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4.xml" ContentType="application/vnd.openxmlformats-officedocument.drawingml.chartshapes+xml"/>
  <Override PartName="/xl/pivotTables/pivotTable1.xml" ContentType="application/vnd.openxmlformats-officedocument.spreadsheetml.pivotTable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comments2.xml" ContentType="application/vnd.openxmlformats-officedocument.spreadsheetml.comment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3.xml" ContentType="application/vnd.openxmlformats-officedocument.spreadsheetml.comments+xml"/>
  <Override PartName="/xl/drawings/drawing9.xml" ContentType="application/vnd.openxmlformats-officedocument.drawing+xml"/>
  <Override PartName="/xl/comments4.xml" ContentType="application/vnd.openxmlformats-officedocument.spreadsheetml.comments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drawings/drawing18.xml" ContentType="application/vnd.openxmlformats-officedocument.drawing+xml"/>
  <Override PartName="/xl/comments23.xml" ContentType="application/vnd.openxmlformats-officedocument.spreadsheetml.comment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19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\\s1210.ms\SETORES\DEIURB\07 - LICITAÇÕES\SUDECO (SORAYA)\01 - PAV. DREN  JARDIM NASHIVILLE - ETAPA B - FASE 2 , CAMPO GRANDE -79.001.724-2026\CD\MEMÓRIA DE CÁLCULO\"/>
    </mc:Choice>
  </mc:AlternateContent>
  <bookViews>
    <workbookView xWindow="0" yWindow="0" windowWidth="28800" windowHeight="11175" tabRatio="921" firstSheet="18" activeTab="39"/>
  </bookViews>
  <sheets>
    <sheet name="PAINEL" sheetId="76" state="hidden" r:id="rId1"/>
    <sheet name="Curva ABC" sheetId="78" state="hidden" r:id="rId2"/>
    <sheet name="Pareto" sheetId="96" state="hidden" r:id="rId3"/>
    <sheet name="Planilha6" sheetId="108" state="hidden" r:id="rId4"/>
    <sheet name="Orçamento auxliar" sheetId="98" state="hidden" r:id="rId5"/>
    <sheet name="Orçamento_Não_Deson" sheetId="12" state="hidden" r:id="rId6"/>
    <sheet name="Cronograma_Não_Deson" sheetId="39" state="hidden" r:id="rId7"/>
    <sheet name="CCU_Adm_Local_Não_Deson" sheetId="74" state="hidden" r:id="rId8"/>
    <sheet name="Orçamento_Deson" sheetId="120" state="hidden" r:id="rId9"/>
    <sheet name="Cronograma_Deson" sheetId="134" state="hidden" r:id="rId10"/>
    <sheet name="CCU_Adm_Local_Deson" sheetId="121" state="hidden" r:id="rId11"/>
    <sheet name="Dados_DMT" sheetId="119" state="hidden" r:id="rId12"/>
    <sheet name="Deson_X_Nao_Deson" sheetId="122" state="hidden" r:id="rId13"/>
    <sheet name="Estatística_Deson" sheetId="77" state="hidden" r:id="rId14"/>
    <sheet name="S_Preliminares" sheetId="55" r:id="rId15"/>
    <sheet name="Demolicao" sheetId="118" r:id="rId16"/>
    <sheet name="Dren_Quantificacao" sheetId="43" state="hidden" r:id="rId17"/>
    <sheet name="Dre_Ser_Prelim" sheetId="60" r:id="rId18"/>
    <sheet name="Dre_Terraplenagem" sheetId="58" r:id="rId19"/>
    <sheet name="Dre_Disp_Estruturais" sheetId="59" r:id="rId20"/>
    <sheet name="Bacia_Amortecimento" sheetId="132" state="hidden" r:id="rId21"/>
    <sheet name="Dre_Profunda" sheetId="62" state="hidden" r:id="rId22"/>
    <sheet name="Dre_Fecha_Vala" sheetId="61" r:id="rId23"/>
    <sheet name="Recap_Previo" sheetId="47" state="hidden" r:id="rId24"/>
    <sheet name="Recap_Final" sheetId="63" state="hidden" r:id="rId25"/>
    <sheet name="Pav_Dados" sheetId="44" state="hidden" r:id="rId26"/>
    <sheet name="Pav_Terraplenagem" sheetId="56" r:id="rId27"/>
    <sheet name="Pav_Estrutura" sheetId="37" r:id="rId28"/>
    <sheet name="S_Complementares" sheetId="75" r:id="rId29"/>
    <sheet name="Passeio" sheetId="54" r:id="rId30"/>
    <sheet name="Ciclovia" sheetId="83" state="hidden" r:id="rId31"/>
    <sheet name="Cubação - Canteiro" sheetId="156" state="hidden" r:id="rId32"/>
    <sheet name="Sinal_Via" sheetId="133" r:id="rId33"/>
    <sheet name="MEMÓRIA_PONTE" sheetId="154" state="hidden" r:id="rId34"/>
    <sheet name="Ponto_Onibus" sheetId="87" state="hidden" r:id="rId35"/>
    <sheet name="Calculo numero N" sheetId="68" state="hidden" r:id="rId36"/>
    <sheet name="Geotecnia" sheetId="115" state="hidden" r:id="rId37"/>
    <sheet name="Pav_Dim" sheetId="49" state="hidden" r:id="rId38"/>
    <sheet name="Dren_Dados" sheetId="40" state="hidden" r:id="rId39"/>
    <sheet name="Dren_Dim" sheetId="41" r:id="rId40"/>
    <sheet name="B_Amort_01 -" sheetId="155" state="hidden" r:id="rId41"/>
    <sheet name="B_Amort_01" sheetId="153" state="hidden" r:id="rId42"/>
  </sheets>
  <externalReferences>
    <externalReference r:id="rId43"/>
    <externalReference r:id="rId44"/>
  </externalReferences>
  <definedNames>
    <definedName name="\c" localSheetId="41">#REF!</definedName>
    <definedName name="\c" localSheetId="40">#REF!</definedName>
    <definedName name="\c" localSheetId="31">#REF!</definedName>
    <definedName name="\c" localSheetId="33">#REF!</definedName>
    <definedName name="\c" localSheetId="34">#REF!</definedName>
    <definedName name="\c" localSheetId="32">#REF!</definedName>
    <definedName name="\c">#REF!</definedName>
    <definedName name="\p" localSheetId="31">#REF!</definedName>
    <definedName name="\p" localSheetId="33">#REF!</definedName>
    <definedName name="\p" localSheetId="34">#REF!</definedName>
    <definedName name="\p" localSheetId="32">#REF!</definedName>
    <definedName name="\p">#REF!</definedName>
    <definedName name="_3" localSheetId="31">#REF!</definedName>
    <definedName name="_3" localSheetId="33">#REF!</definedName>
    <definedName name="_3" localSheetId="37">#REF!</definedName>
    <definedName name="_3" localSheetId="32">#REF!</definedName>
    <definedName name="_3">#REF!</definedName>
    <definedName name="_xlnm._FilterDatabase" localSheetId="20" hidden="1">Bacia_Amortecimento!$K$1:$K$112</definedName>
    <definedName name="_xlnm._FilterDatabase" localSheetId="30" hidden="1">Ciclovia!$K$1:$K$149</definedName>
    <definedName name="_xlnm._FilterDatabase" localSheetId="1" hidden="1">'Curva ABC'!$A$1:$H$12</definedName>
    <definedName name="_xlnm._FilterDatabase" localSheetId="15" hidden="1">Demolicao!$N$1:$N$76</definedName>
    <definedName name="_xlnm._FilterDatabase" localSheetId="19" hidden="1">Dre_Disp_Estruturais!$AF$1:$AF$172</definedName>
    <definedName name="_xlnm._FilterDatabase" localSheetId="22" hidden="1">Dre_Fecha_Vala!$I$1:$I$101</definedName>
    <definedName name="_xlnm._FilterDatabase" localSheetId="21" hidden="1">Dre_Profunda!$J$1:$J$120</definedName>
    <definedName name="_xlnm._FilterDatabase" localSheetId="17" hidden="1">Dre_Ser_Prelim!$AF$1:$AF$43</definedName>
    <definedName name="_xlnm._FilterDatabase" localSheetId="18" hidden="1">Dre_Terraplenagem!$AF$1:$AF$222</definedName>
    <definedName name="_xlnm._FilterDatabase" localSheetId="38" hidden="1">Dren_Dados!$A$5:$K$12</definedName>
    <definedName name="_xlnm._FilterDatabase" localSheetId="39" hidden="1">Dren_Dim!$A$11:$AL$15</definedName>
    <definedName name="_xlnm._FilterDatabase" localSheetId="8" hidden="1">Orçamento_Deson!$A$1:$N$1482</definedName>
    <definedName name="_xlnm._FilterDatabase" localSheetId="5" hidden="1">Orçamento_Não_Deson!$B$1:$L$950</definedName>
    <definedName name="_xlnm._FilterDatabase" localSheetId="29" hidden="1">Passeio!$O$1:$O$269</definedName>
    <definedName name="_xlnm._FilterDatabase" localSheetId="27" hidden="1">Pav_Estrutura!$O$1:$O$138</definedName>
    <definedName name="_xlnm._FilterDatabase" localSheetId="26" hidden="1">Pav_Terraplenagem!$N$1:$N$124</definedName>
    <definedName name="_xlnm._FilterDatabase" localSheetId="34" hidden="1">Ponto_Onibus!$J$1:$J$74</definedName>
    <definedName name="_xlnm._FilterDatabase" localSheetId="24" hidden="1">Recap_Final!$L$1:$L$135</definedName>
    <definedName name="_xlnm._FilterDatabase" localSheetId="23" hidden="1">Recap_Previo!$K$1:$K$270</definedName>
    <definedName name="_xlnm._FilterDatabase" localSheetId="28" hidden="1">S_Complementares!$Q$1:$Q$76</definedName>
    <definedName name="_xlnm._FilterDatabase" localSheetId="32" hidden="1">Sinal_Via!$O$1:$O$402</definedName>
    <definedName name="a" localSheetId="31">#REF!</definedName>
    <definedName name="a" localSheetId="33">#REF!</definedName>
    <definedName name="a" localSheetId="37">#REF!</definedName>
    <definedName name="a" localSheetId="34">#REF!</definedName>
    <definedName name="a" localSheetId="32">#REF!</definedName>
    <definedName name="a">#REF!</definedName>
    <definedName name="adfhdfhsd" localSheetId="41">#REF!</definedName>
    <definedName name="adfhdfhsd" localSheetId="40">#REF!</definedName>
    <definedName name="adfhdfhsd" localSheetId="33">#REF!</definedName>
    <definedName name="adfhdfhsd">#REF!</definedName>
    <definedName name="_xlnm.Print_Area" localSheetId="20">Bacia_Amortecimento!$A$1:$K$110</definedName>
    <definedName name="_xlnm.Print_Area" localSheetId="10">CCU_Adm_Local_Deson!$A$1:$H$70</definedName>
    <definedName name="_xlnm.Print_Area" localSheetId="7">CCU_Adm_Local_Não_Deson!$A$1:$H$70</definedName>
    <definedName name="_xlnm.Print_Area" localSheetId="30">Ciclovia!$A$1:$J$148</definedName>
    <definedName name="_xlnm.Print_Area" localSheetId="9">Cronograma_Deson!$A$1:$X$92</definedName>
    <definedName name="_xlnm.Print_Area" localSheetId="6">Cronograma_Não_Deson!$A$1:$X$92</definedName>
    <definedName name="_xlnm.Print_Area" localSheetId="31">'Cubação - Canteiro'!$A$2:$J$43</definedName>
    <definedName name="_xlnm.Print_Area" localSheetId="1">'Curva ABC'!$A$1:$J$93</definedName>
    <definedName name="_xlnm.Print_Area" localSheetId="11">Dados_DMT!$A$1:$L$35</definedName>
    <definedName name="_xlnm.Print_Area" localSheetId="15">Demolicao!$A$1:$M$76</definedName>
    <definedName name="_xlnm.Print_Area" localSheetId="19">Dre_Disp_Estruturais!$A$1:$AE$172</definedName>
    <definedName name="_xlnm.Print_Area" localSheetId="22">Dre_Fecha_Vala!$A$1:$H$101</definedName>
    <definedName name="_xlnm.Print_Area" localSheetId="21">Dre_Profunda!$A$1:$I$119</definedName>
    <definedName name="_xlnm.Print_Area" localSheetId="17">Dre_Ser_Prelim!$A$1:$AE$42</definedName>
    <definedName name="_xlnm.Print_Area" localSheetId="18">Dre_Terraplenagem!$A$1:$AE$222</definedName>
    <definedName name="_xlnm.Print_Area" localSheetId="38">Dren_Dados!#REF!</definedName>
    <definedName name="_xlnm.Print_Area" localSheetId="39">Dren_Dim!$A$1:$AL$15</definedName>
    <definedName name="_xlnm.Print_Area" localSheetId="16">Dren_Quantificacao!$A$1:$AC$157</definedName>
    <definedName name="_xlnm.Print_Area" localSheetId="13">Estatística_Deson!$A$1:$I$37</definedName>
    <definedName name="_xlnm.Print_Area" localSheetId="36">Geotecnia!$A$1:$I$62</definedName>
    <definedName name="_xlnm.Print_Area" localSheetId="33">MEMÓRIA_PONTE!$A$1:$G$671</definedName>
    <definedName name="_xlnm.Print_Area" localSheetId="8">Orçamento_Deson!$A$1:$K$930</definedName>
    <definedName name="_xlnm.Print_Area" localSheetId="5">Orçamento_Não_Deson!$A$1:$K$930</definedName>
    <definedName name="_xlnm.Print_Area" localSheetId="0">PAINEL!$A$1:$N$73</definedName>
    <definedName name="_xlnm.Print_Area" localSheetId="2">Pareto!$A$1:$Q$40</definedName>
    <definedName name="_xlnm.Print_Area" localSheetId="29">Passeio!$A$1:$N$259</definedName>
    <definedName name="_xlnm.Print_Area" localSheetId="25">Pav_Dados!$A$1:$G$140</definedName>
    <definedName name="_xlnm.Print_Area" localSheetId="37">Pav_Dim!$A$1:$U$65</definedName>
    <definedName name="_xlnm.Print_Area" localSheetId="27">Pav_Estrutura!$A$1:$N$135</definedName>
    <definedName name="_xlnm.Print_Area" localSheetId="26">Pav_Terraplenagem!$A$1:$M$121</definedName>
    <definedName name="_xlnm.Print_Area" localSheetId="3">Planilha6!$A$1:$D$220</definedName>
    <definedName name="_xlnm.Print_Area" localSheetId="34">Ponto_Onibus!$A$1:$I$73</definedName>
    <definedName name="_xlnm.Print_Area" localSheetId="24">Recap_Final!$A$1:$K$135</definedName>
    <definedName name="_xlnm.Print_Area" localSheetId="23">Recap_Previo!$A$1:$J$156</definedName>
    <definedName name="_xlnm.Print_Area" localSheetId="28">S_Complementares!$A$1:$P$75</definedName>
    <definedName name="_xlnm.Print_Area" localSheetId="14">S_Preliminares!$A$1:$N$28</definedName>
    <definedName name="_xlnm.Print_Area" localSheetId="32">Sinal_Via!$A$1:$N$401</definedName>
    <definedName name="Bananas">#REF!</definedName>
    <definedName name="_xlnm.Database" localSheetId="31">#REF!</definedName>
    <definedName name="_xlnm.Database" localSheetId="39">#REF!</definedName>
    <definedName name="_xlnm.Database" localSheetId="33">#REF!</definedName>
    <definedName name="_xlnm.Database" localSheetId="37">#REF!</definedName>
    <definedName name="_xlnm.Database" localSheetId="27">#REF!</definedName>
    <definedName name="_xlnm.Database">#REF!</definedName>
    <definedName name="BOLETIM" localSheetId="31">#REF!</definedName>
    <definedName name="BOLETIM" localSheetId="37">#REF!</definedName>
    <definedName name="BOLETIM">#REF!</definedName>
    <definedName name="comp" localSheetId="31">#REF!</definedName>
    <definedName name="comp" localSheetId="37">#REF!</definedName>
    <definedName name="comp">#REF!</definedName>
    <definedName name="CONTRATO">#REF!</definedName>
    <definedName name="_xlnm.Criteria" localSheetId="31">#REF!</definedName>
    <definedName name="_xlnm.Criteria" localSheetId="39">#REF!</definedName>
    <definedName name="_xlnm.Criteria" localSheetId="33">#REF!</definedName>
    <definedName name="_xlnm.Criteria" localSheetId="37">#REF!</definedName>
    <definedName name="_xlnm.Criteria" localSheetId="27">#REF!</definedName>
    <definedName name="_xlnm.Criteria">#REF!</definedName>
    <definedName name="Cronograma">#REF!</definedName>
    <definedName name="des" localSheetId="31">#REF!</definedName>
    <definedName name="des" localSheetId="37">#REF!</definedName>
    <definedName name="des" localSheetId="34">#REF!</definedName>
    <definedName name="des" localSheetId="32">#REF!</definedName>
    <definedName name="des">#REF!</definedName>
    <definedName name="dghdfhsdf" localSheetId="41">#REF!</definedName>
    <definedName name="dghdfhsdf" localSheetId="40">#REF!</definedName>
    <definedName name="dghdfhsdf" localSheetId="33">#REF!</definedName>
    <definedName name="dghdfhsdf">#REF!</definedName>
    <definedName name="dghzdfhsd" localSheetId="41" hidden="1">{#N/A,#N/A,FALSE,"Pla_Preço";#N/A,#N/A,FALSE,"Crono"}</definedName>
    <definedName name="dghzdfhsd" localSheetId="40" hidden="1">{#N/A,#N/A,FALSE,"Pla_Preço";#N/A,#N/A,FALSE,"Crono"}</definedName>
    <definedName name="dghzdfhsd" localSheetId="33" hidden="1">{#N/A,#N/A,FALSE,"Pla_Preço";#N/A,#N/A,FALSE,"Crono"}</definedName>
    <definedName name="dghzdfhsd" hidden="1">{#N/A,#N/A,FALSE,"Pla_Preço";#N/A,#N/A,FALSE,"Crono"}</definedName>
    <definedName name="dsghnfxgvnjxf" localSheetId="41">#REF!</definedName>
    <definedName name="dsghnfxgvnjxf" localSheetId="40">#REF!</definedName>
    <definedName name="dsghnfxgvnjxf" localSheetId="33">#REF!</definedName>
    <definedName name="dsghnfxgvnjxf">#REF!</definedName>
    <definedName name="dsgjhxgn" localSheetId="41" hidden="1">{#N/A,#N/A,FALSE,"Pla_Preço";#N/A,#N/A,FALSE,"Crono"}</definedName>
    <definedName name="dsgjhxgn" localSheetId="40" hidden="1">{#N/A,#N/A,FALSE,"Pla_Preço";#N/A,#N/A,FALSE,"Crono"}</definedName>
    <definedName name="dsgjhxgn" localSheetId="33" hidden="1">{#N/A,#N/A,FALSE,"Pla_Preço";#N/A,#N/A,FALSE,"Crono"}</definedName>
    <definedName name="dsgjhxgn" hidden="1">{#N/A,#N/A,FALSE,"Pla_Preço";#N/A,#N/A,FALSE,"Crono"}</definedName>
    <definedName name="Eu" localSheetId="41">#REF!</definedName>
    <definedName name="Eu" localSheetId="40">#REF!</definedName>
    <definedName name="Eu" localSheetId="31">#REF!</definedName>
    <definedName name="Eu" localSheetId="33">#REF!</definedName>
    <definedName name="Eu" localSheetId="37">#REF!</definedName>
    <definedName name="Eu" localSheetId="32">#REF!</definedName>
    <definedName name="Eu">#REF!</definedName>
    <definedName name="extenção" localSheetId="37">#REF!</definedName>
    <definedName name="extenção">#REF!</definedName>
    <definedName name="fhdfhsfd" localSheetId="41">#REF!</definedName>
    <definedName name="fhdfhsfd" localSheetId="40">#REF!</definedName>
    <definedName name="fhdfhsfd" localSheetId="33">#REF!</definedName>
    <definedName name="fhdfhsfd">#REF!</definedName>
    <definedName name="ghgh" localSheetId="41">#REF!</definedName>
    <definedName name="ghgh" localSheetId="40">#REF!</definedName>
    <definedName name="ghgh" localSheetId="33">#REF!</definedName>
    <definedName name="ghgh">#REF!</definedName>
    <definedName name="grp_GuieMeChave">"shp_BraceBottom,txt_WalkMeBrace,shp_BraceLeft"</definedName>
    <definedName name="grp_GuieMeSetas">"shp_ArrowCurved,txt_WalkMeArrows,shp_ArrowStraight"</definedName>
    <definedName name="Imposto_sobre_vendas">0.0825</definedName>
    <definedName name="IMPRIMAÇÃO" localSheetId="41">#REF!</definedName>
    <definedName name="IMPRIMAÇÃO" localSheetId="40">#REF!</definedName>
    <definedName name="IMPRIMAÇÃO" localSheetId="33">#REF!</definedName>
    <definedName name="IMPRIMAÇÃO" localSheetId="37">#REF!</definedName>
    <definedName name="IMPRIMAÇÃO">#REF!</definedName>
    <definedName name="jnxcfhnxc">#REF!</definedName>
    <definedName name="Kincc" localSheetId="37">#REF!</definedName>
    <definedName name="Kincc">#REF!</definedName>
    <definedName name="Koae" localSheetId="37">#REF!</definedName>
    <definedName name="Koae">#REF!</definedName>
    <definedName name="Kp" localSheetId="37">#REF!</definedName>
    <definedName name="Kp">#REF!</definedName>
    <definedName name="Kt" localSheetId="37">#REF!</definedName>
    <definedName name="Kt">#REF!</definedName>
    <definedName name="Laranjas">#REF!</definedName>
    <definedName name="Limões">#REF!</definedName>
    <definedName name="lst_Fruta">#REF!</definedName>
    <definedName name="lst_TipoDeFruta">#REF!</definedName>
    <definedName name="Maçãs">#REF!</definedName>
    <definedName name="mmm">#REF!</definedName>
    <definedName name="Payment_Needed">"Pagamento necessário"</definedName>
    <definedName name="Print_01" localSheetId="41">#REF!</definedName>
    <definedName name="Print_01" localSheetId="40">#REF!</definedName>
    <definedName name="Print_01" localSheetId="33">#REF!</definedName>
    <definedName name="Print_01">#REF!</definedName>
    <definedName name="Print_Area_MI" localSheetId="31">#REF!</definedName>
    <definedName name="Print_Area_MI" localSheetId="38">#REF!</definedName>
    <definedName name="Print_Area_MI" localSheetId="37">#REF!</definedName>
    <definedName name="Print_Area_MI" localSheetId="27">#REF!</definedName>
    <definedName name="Print_Area_MI">#REF!</definedName>
    <definedName name="qadfhnbxfc">#REF!</definedName>
    <definedName name="Reimbursement">"Reembolso"</definedName>
    <definedName name="Remessa">1.25</definedName>
    <definedName name="_xlnm.Print_Titles" localSheetId="6">Cronograma_Não_Deson!$A:$E,Cronograma_Não_Deson!$1:$8</definedName>
    <definedName name="_xlnm.Print_Titles" localSheetId="1">'Curva ABC'!$12:$12</definedName>
    <definedName name="_xlnm.Print_Titles" localSheetId="19">Dre_Disp_Estruturais!$A:$C</definedName>
    <definedName name="_xlnm.Print_Titles" localSheetId="22">Dre_Fecha_Vala!$A:$C</definedName>
    <definedName name="_xlnm.Print_Titles" localSheetId="21">Dre_Profunda!$A:$C</definedName>
    <definedName name="_xlnm.Print_Titles" localSheetId="17">Dre_Ser_Prelim!$A:$C</definedName>
    <definedName name="_xlnm.Print_Titles" localSheetId="18">Dre_Terraplenagem!$A:$C</definedName>
    <definedName name="_xlnm.Print_Titles" localSheetId="38">Dren_Dados!$A:$A,Dren_Dados!$2:$8</definedName>
    <definedName name="_xlnm.Print_Titles" localSheetId="39">Dren_Dim!$1:$10</definedName>
    <definedName name="_xlnm.Print_Titles" localSheetId="8">Orçamento_Deson!$33:$33</definedName>
    <definedName name="_xlnm.Print_Titles" localSheetId="5">Orçamento_Não_Deson!$33:$33</definedName>
    <definedName name="_xlnm.Print_Titles" localSheetId="29">Passeio!$A:$D</definedName>
    <definedName name="_xlnm.Print_Titles" localSheetId="27">Pav_Estrutura!$A:$D</definedName>
    <definedName name="_xlnm.Print_Titles" localSheetId="26">Pav_Terraplenagem!$A:$C</definedName>
    <definedName name="_xlnm.Print_Titles" localSheetId="34">Ponto_Onibus!$A:$C</definedName>
    <definedName name="_xlnm.Print_Titles" localSheetId="24">Recap_Final!$A:$D</definedName>
    <definedName name="_xlnm.Print_Titles" localSheetId="23">Recap_Previo!$A:$C</definedName>
    <definedName name="_xlnm.Print_Titles" localSheetId="28">S_Complementares!$A:$C</definedName>
    <definedName name="TSD" localSheetId="31">#REF!</definedName>
    <definedName name="TSD" localSheetId="37">#REF!</definedName>
    <definedName name="TSD" localSheetId="34">#REF!</definedName>
    <definedName name="TSD" localSheetId="32">#REF!</definedName>
    <definedName name="TSD">#REF!</definedName>
    <definedName name="wdgadfgdsz" localSheetId="41">#REF!</definedName>
    <definedName name="wdgadfgdsz" localSheetId="40">#REF!</definedName>
    <definedName name="wdgadfgdsz" localSheetId="33">#REF!</definedName>
    <definedName name="wdgadfgdsz">#REF!</definedName>
    <definedName name="wrn.preco." localSheetId="41" hidden="1">{#N/A,#N/A,FALSE,"Pla_Preço";#N/A,#N/A,FALSE,"Crono"}</definedName>
    <definedName name="wrn.preco." localSheetId="40" hidden="1">{#N/A,#N/A,FALSE,"Pla_Preço";#N/A,#N/A,FALSE,"Crono"}</definedName>
    <definedName name="wrn.preco." localSheetId="31" hidden="1">{#N/A,#N/A,FALSE,"Pla_Preço";#N/A,#N/A,FALSE,"Crono"}</definedName>
    <definedName name="wrn.preco." localSheetId="33" hidden="1">{#N/A,#N/A,FALSE,"Pla_Preço";#N/A,#N/A,FALSE,"Crono"}</definedName>
    <definedName name="wrn.preco." localSheetId="37" hidden="1">{#N/A,#N/A,FALSE,"Pla_Preço";#N/A,#N/A,FALSE,"Crono"}</definedName>
    <definedName name="wrn.preco." localSheetId="34" hidden="1">{#N/A,#N/A,FALSE,"Pla_Preço";#N/A,#N/A,FALSE,"Crono"}</definedName>
    <definedName name="wrn.preco." localSheetId="32" hidden="1">{#N/A,#N/A,FALSE,"Pla_Preço";#N/A,#N/A,FALSE,"Crono"}</definedName>
    <definedName name="wrn.preco." hidden="1">{#N/A,#N/A,FALSE,"Pla_Preço";#N/A,#N/A,FALSE,"Crono"}</definedName>
  </definedNames>
  <calcPr calcId="162913"/>
  <pivotCaches>
    <pivotCache cacheId="0" r:id="rId45"/>
  </pivotCaches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4" i="119" l="1"/>
  <c r="B13" i="119"/>
  <c r="B38" i="119"/>
  <c r="G13" i="78" l="1"/>
  <c r="D13" i="78"/>
  <c r="A102" i="78"/>
  <c r="G102" i="78" s="1"/>
  <c r="B102" i="78" l="1"/>
  <c r="C102" i="78"/>
  <c r="D102" i="78"/>
  <c r="E102" i="78"/>
  <c r="F102" i="78"/>
  <c r="J75" i="118"/>
  <c r="L73" i="43"/>
  <c r="K73" i="43"/>
  <c r="J73" i="43"/>
  <c r="A101" i="78" l="1"/>
  <c r="G101" i="78" s="1"/>
  <c r="A100" i="78"/>
  <c r="E100" i="78" s="1"/>
  <c r="A99" i="78"/>
  <c r="D99" i="78" s="1"/>
  <c r="A98" i="78"/>
  <c r="F98" i="78" s="1"/>
  <c r="A97" i="78"/>
  <c r="G97" i="78" s="1"/>
  <c r="A96" i="78"/>
  <c r="G96" i="78" s="1"/>
  <c r="A95" i="78"/>
  <c r="F95" i="78" s="1"/>
  <c r="A94" i="78"/>
  <c r="F94" i="78" s="1"/>
  <c r="H47" i="12"/>
  <c r="G94" i="78" l="1"/>
  <c r="E99" i="78"/>
  <c r="F99" i="78"/>
  <c r="G99" i="78"/>
  <c r="D97" i="78"/>
  <c r="D95" i="78"/>
  <c r="F100" i="78"/>
  <c r="G100" i="78"/>
  <c r="C95" i="78"/>
  <c r="B100" i="78"/>
  <c r="D100" i="78"/>
  <c r="C96" i="78"/>
  <c r="D96" i="78"/>
  <c r="E97" i="78"/>
  <c r="E95" i="78"/>
  <c r="G95" i="78"/>
  <c r="D98" i="78"/>
  <c r="C94" i="78"/>
  <c r="E101" i="78"/>
  <c r="F101" i="78"/>
  <c r="B97" i="78"/>
  <c r="C97" i="78"/>
  <c r="F97" i="78"/>
  <c r="C100" i="78"/>
  <c r="C98" i="78"/>
  <c r="E98" i="78"/>
  <c r="B96" i="78"/>
  <c r="G98" i="78"/>
  <c r="B101" i="78"/>
  <c r="E96" i="78"/>
  <c r="C101" i="78"/>
  <c r="B94" i="78"/>
  <c r="B95" i="78"/>
  <c r="B98" i="78"/>
  <c r="F96" i="78"/>
  <c r="D101" i="78"/>
  <c r="D94" i="78"/>
  <c r="B99" i="78"/>
  <c r="E94" i="78"/>
  <c r="C99" i="78"/>
  <c r="A93" i="78" l="1"/>
  <c r="E93" i="78" s="1"/>
  <c r="A92" i="78"/>
  <c r="A91" i="78"/>
  <c r="E91" i="78" s="1"/>
  <c r="G93" i="78" l="1"/>
  <c r="D93" i="78"/>
  <c r="G92" i="78"/>
  <c r="E92" i="78"/>
  <c r="D92" i="78"/>
  <c r="G91" i="78"/>
  <c r="D91" i="78"/>
  <c r="F889" i="12" l="1"/>
  <c r="M74" i="134"/>
  <c r="O74" i="134"/>
  <c r="O78" i="134"/>
  <c r="N78" i="134"/>
  <c r="F78" i="134"/>
  <c r="G78" i="134"/>
  <c r="H78" i="134"/>
  <c r="I78" i="134"/>
  <c r="J78" i="134"/>
  <c r="K78" i="134"/>
  <c r="L78" i="134"/>
  <c r="M78" i="134"/>
  <c r="P36" i="60" l="1"/>
  <c r="P35" i="60"/>
  <c r="P27" i="60"/>
  <c r="P23" i="60"/>
  <c r="P26" i="60" s="1"/>
  <c r="P20" i="60"/>
  <c r="P16" i="60"/>
  <c r="P19" i="60" s="1"/>
  <c r="P13" i="60"/>
  <c r="P9" i="60" s="1"/>
  <c r="P5" i="60"/>
  <c r="P3" i="60"/>
  <c r="P1" i="60"/>
  <c r="G45" i="61"/>
  <c r="G26" i="61"/>
  <c r="G25" i="61"/>
  <c r="G24" i="61"/>
  <c r="G21" i="61" s="1"/>
  <c r="G23" i="61"/>
  <c r="G22" i="61"/>
  <c r="G19" i="61"/>
  <c r="G77" i="61" s="1"/>
  <c r="G98" i="61" s="1"/>
  <c r="G17" i="61"/>
  <c r="G13" i="61"/>
  <c r="G10" i="61"/>
  <c r="G7" i="61"/>
  <c r="G1" i="61"/>
  <c r="O151" i="59"/>
  <c r="N151" i="59"/>
  <c r="O149" i="59"/>
  <c r="N149" i="59"/>
  <c r="O148" i="59"/>
  <c r="N148" i="59"/>
  <c r="N150" i="59" s="1"/>
  <c r="N169" i="59" s="1"/>
  <c r="N159" i="59" s="1"/>
  <c r="O146" i="59"/>
  <c r="N146" i="59"/>
  <c r="O145" i="59"/>
  <c r="N145" i="59"/>
  <c r="O144" i="59"/>
  <c r="N144" i="59"/>
  <c r="O143" i="59"/>
  <c r="N143" i="59"/>
  <c r="O142" i="59"/>
  <c r="N142" i="59"/>
  <c r="O141" i="59"/>
  <c r="N141" i="59"/>
  <c r="O140" i="59"/>
  <c r="N140" i="59"/>
  <c r="O139" i="59"/>
  <c r="N139" i="59"/>
  <c r="O138" i="59"/>
  <c r="N138" i="59"/>
  <c r="O137" i="59"/>
  <c r="N137" i="59"/>
  <c r="O136" i="59"/>
  <c r="N136" i="59"/>
  <c r="O135" i="59"/>
  <c r="N135" i="59"/>
  <c r="O134" i="59"/>
  <c r="N134" i="59"/>
  <c r="O128" i="59"/>
  <c r="N128" i="59"/>
  <c r="O127" i="59"/>
  <c r="N127" i="59"/>
  <c r="O126" i="59"/>
  <c r="N126" i="59"/>
  <c r="O125" i="59"/>
  <c r="N125" i="59"/>
  <c r="O124" i="59"/>
  <c r="N124" i="59"/>
  <c r="O123" i="59"/>
  <c r="N123" i="59"/>
  <c r="O122" i="59"/>
  <c r="N122" i="59"/>
  <c r="O121" i="59"/>
  <c r="N121" i="59"/>
  <c r="O120" i="59"/>
  <c r="N120" i="59"/>
  <c r="O119" i="59"/>
  <c r="N119" i="59"/>
  <c r="O118" i="59"/>
  <c r="N118" i="59"/>
  <c r="O117" i="59"/>
  <c r="N117" i="59"/>
  <c r="O116" i="59"/>
  <c r="N116" i="59"/>
  <c r="O115" i="59"/>
  <c r="N115" i="59"/>
  <c r="O114" i="59"/>
  <c r="N114" i="59"/>
  <c r="O113" i="59"/>
  <c r="N113" i="59"/>
  <c r="O112" i="59"/>
  <c r="N112" i="59"/>
  <c r="O111" i="59"/>
  <c r="N111" i="59"/>
  <c r="O110" i="59"/>
  <c r="N110" i="59"/>
  <c r="O109" i="59"/>
  <c r="N109" i="59"/>
  <c r="O108" i="59"/>
  <c r="N108" i="59"/>
  <c r="O107" i="59"/>
  <c r="N107" i="59"/>
  <c r="O106" i="59"/>
  <c r="N106" i="59"/>
  <c r="O105" i="59"/>
  <c r="N105" i="59"/>
  <c r="O104" i="59"/>
  <c r="N104" i="59"/>
  <c r="O103" i="59"/>
  <c r="N103" i="59"/>
  <c r="O102" i="59"/>
  <c r="N102" i="59"/>
  <c r="O101" i="59"/>
  <c r="N101" i="59"/>
  <c r="O100" i="59"/>
  <c r="N100" i="59"/>
  <c r="O99" i="59"/>
  <c r="N99" i="59"/>
  <c r="O98" i="59"/>
  <c r="N98" i="59"/>
  <c r="O97" i="59"/>
  <c r="N97" i="59"/>
  <c r="O96" i="59"/>
  <c r="N96" i="59"/>
  <c r="O95" i="59"/>
  <c r="N95" i="59"/>
  <c r="O94" i="59"/>
  <c r="N94" i="59"/>
  <c r="O93" i="59"/>
  <c r="N93" i="59"/>
  <c r="O90" i="59"/>
  <c r="N90" i="59"/>
  <c r="O89" i="59"/>
  <c r="N89" i="59"/>
  <c r="O88" i="59"/>
  <c r="N88" i="59"/>
  <c r="O87" i="59"/>
  <c r="N87" i="59"/>
  <c r="O86" i="59"/>
  <c r="N86" i="59"/>
  <c r="O85" i="59"/>
  <c r="N85" i="59"/>
  <c r="O83" i="59"/>
  <c r="N83" i="59"/>
  <c r="O82" i="59"/>
  <c r="N82" i="59"/>
  <c r="O74" i="59"/>
  <c r="N74" i="59"/>
  <c r="O73" i="59"/>
  <c r="N73" i="59"/>
  <c r="O72" i="59"/>
  <c r="N72" i="59"/>
  <c r="O71" i="59"/>
  <c r="N71" i="59"/>
  <c r="O69" i="59"/>
  <c r="N69" i="59"/>
  <c r="O67" i="59"/>
  <c r="O75" i="59" s="1"/>
  <c r="N67" i="59"/>
  <c r="N75" i="59" s="1"/>
  <c r="O66" i="59"/>
  <c r="N66" i="59"/>
  <c r="O65" i="59"/>
  <c r="O81" i="59" s="1"/>
  <c r="N65" i="59"/>
  <c r="N81" i="59" s="1"/>
  <c r="O64" i="59"/>
  <c r="N64" i="59"/>
  <c r="O63" i="59"/>
  <c r="O79" i="59" s="1"/>
  <c r="N63" i="59"/>
  <c r="N79" i="59" s="1"/>
  <c r="O62" i="59"/>
  <c r="O78" i="59" s="1"/>
  <c r="N62" i="59"/>
  <c r="N78" i="59" s="1"/>
  <c r="O61" i="59"/>
  <c r="O77" i="59" s="1"/>
  <c r="N61" i="59"/>
  <c r="N77" i="59" s="1"/>
  <c r="O60" i="59"/>
  <c r="N60" i="59"/>
  <c r="O7" i="59"/>
  <c r="N7" i="59"/>
  <c r="O6" i="59"/>
  <c r="O59" i="59" s="1"/>
  <c r="N6" i="59"/>
  <c r="N59" i="59" s="1"/>
  <c r="O5" i="59"/>
  <c r="N5" i="59"/>
  <c r="O4" i="59"/>
  <c r="O51" i="59" s="1"/>
  <c r="N4" i="59"/>
  <c r="N51" i="59" s="1"/>
  <c r="O3" i="59"/>
  <c r="N3" i="59"/>
  <c r="O2" i="59"/>
  <c r="N2" i="59"/>
  <c r="O1" i="59"/>
  <c r="N1" i="59"/>
  <c r="M151" i="59"/>
  <c r="L151" i="59"/>
  <c r="K151" i="59"/>
  <c r="J151" i="59"/>
  <c r="I151" i="59"/>
  <c r="H151" i="59"/>
  <c r="M149" i="59"/>
  <c r="L149" i="59"/>
  <c r="K149" i="59"/>
  <c r="J149" i="59"/>
  <c r="I149" i="59"/>
  <c r="H149" i="59"/>
  <c r="M148" i="59"/>
  <c r="L148" i="59"/>
  <c r="K148" i="59"/>
  <c r="J148" i="59"/>
  <c r="I148" i="59"/>
  <c r="H148" i="59"/>
  <c r="M146" i="59"/>
  <c r="L146" i="59"/>
  <c r="K146" i="59"/>
  <c r="J146" i="59"/>
  <c r="I146" i="59"/>
  <c r="H146" i="59"/>
  <c r="M145" i="59"/>
  <c r="L145" i="59"/>
  <c r="K145" i="59"/>
  <c r="J145" i="59"/>
  <c r="I145" i="59"/>
  <c r="H145" i="59"/>
  <c r="M144" i="59"/>
  <c r="L144" i="59"/>
  <c r="K144" i="59"/>
  <c r="J144" i="59"/>
  <c r="I144" i="59"/>
  <c r="H144" i="59"/>
  <c r="M143" i="59"/>
  <c r="L143" i="59"/>
  <c r="K143" i="59"/>
  <c r="J143" i="59"/>
  <c r="I143" i="59"/>
  <c r="H143" i="59"/>
  <c r="M142" i="59"/>
  <c r="L142" i="59"/>
  <c r="K142" i="59"/>
  <c r="J142" i="59"/>
  <c r="I142" i="59"/>
  <c r="H142" i="59"/>
  <c r="M141" i="59"/>
  <c r="L141" i="59"/>
  <c r="K141" i="59"/>
  <c r="J141" i="59"/>
  <c r="I141" i="59"/>
  <c r="H141" i="59"/>
  <c r="M140" i="59"/>
  <c r="L140" i="59"/>
  <c r="K140" i="59"/>
  <c r="J140" i="59"/>
  <c r="I140" i="59"/>
  <c r="H140" i="59"/>
  <c r="M139" i="59"/>
  <c r="L139" i="59"/>
  <c r="K139" i="59"/>
  <c r="J139" i="59"/>
  <c r="I139" i="59"/>
  <c r="H139" i="59"/>
  <c r="M138" i="59"/>
  <c r="L138" i="59"/>
  <c r="K138" i="59"/>
  <c r="J138" i="59"/>
  <c r="I138" i="59"/>
  <c r="H138" i="59"/>
  <c r="M137" i="59"/>
  <c r="L137" i="59"/>
  <c r="K137" i="59"/>
  <c r="J137" i="59"/>
  <c r="I137" i="59"/>
  <c r="H137" i="59"/>
  <c r="M136" i="59"/>
  <c r="L136" i="59"/>
  <c r="K136" i="59"/>
  <c r="J136" i="59"/>
  <c r="I136" i="59"/>
  <c r="H136" i="59"/>
  <c r="M135" i="59"/>
  <c r="L135" i="59"/>
  <c r="K135" i="59"/>
  <c r="J135" i="59"/>
  <c r="I135" i="59"/>
  <c r="H135" i="59"/>
  <c r="M134" i="59"/>
  <c r="L134" i="59"/>
  <c r="K134" i="59"/>
  <c r="J134" i="59"/>
  <c r="I134" i="59"/>
  <c r="H134" i="59"/>
  <c r="M128" i="59"/>
  <c r="L128" i="59"/>
  <c r="K128" i="59"/>
  <c r="J128" i="59"/>
  <c r="I128" i="59"/>
  <c r="H128" i="59"/>
  <c r="M127" i="59"/>
  <c r="L127" i="59"/>
  <c r="K127" i="59"/>
  <c r="J127" i="59"/>
  <c r="I127" i="59"/>
  <c r="H127" i="59"/>
  <c r="M126" i="59"/>
  <c r="L126" i="59"/>
  <c r="K126" i="59"/>
  <c r="J126" i="59"/>
  <c r="I126" i="59"/>
  <c r="H126" i="59"/>
  <c r="M125" i="59"/>
  <c r="L125" i="59"/>
  <c r="K125" i="59"/>
  <c r="J125" i="59"/>
  <c r="I125" i="59"/>
  <c r="H125" i="59"/>
  <c r="M124" i="59"/>
  <c r="L124" i="59"/>
  <c r="K124" i="59"/>
  <c r="J124" i="59"/>
  <c r="I124" i="59"/>
  <c r="H124" i="59"/>
  <c r="M123" i="59"/>
  <c r="L123" i="59"/>
  <c r="K123" i="59"/>
  <c r="J123" i="59"/>
  <c r="I123" i="59"/>
  <c r="H123" i="59"/>
  <c r="M122" i="59"/>
  <c r="L122" i="59"/>
  <c r="K122" i="59"/>
  <c r="J122" i="59"/>
  <c r="I122" i="59"/>
  <c r="H122" i="59"/>
  <c r="M121" i="59"/>
  <c r="L121" i="59"/>
  <c r="K121" i="59"/>
  <c r="J121" i="59"/>
  <c r="I121" i="59"/>
  <c r="H121" i="59"/>
  <c r="M120" i="59"/>
  <c r="L120" i="59"/>
  <c r="K120" i="59"/>
  <c r="J120" i="59"/>
  <c r="I120" i="59"/>
  <c r="H120" i="59"/>
  <c r="M119" i="59"/>
  <c r="L119" i="59"/>
  <c r="K119" i="59"/>
  <c r="J119" i="59"/>
  <c r="I119" i="59"/>
  <c r="H119" i="59"/>
  <c r="M118" i="59"/>
  <c r="L118" i="59"/>
  <c r="K118" i="59"/>
  <c r="J118" i="59"/>
  <c r="I118" i="59"/>
  <c r="H118" i="59"/>
  <c r="M117" i="59"/>
  <c r="L117" i="59"/>
  <c r="K117" i="59"/>
  <c r="J117" i="59"/>
  <c r="I117" i="59"/>
  <c r="H117" i="59"/>
  <c r="M116" i="59"/>
  <c r="L116" i="59"/>
  <c r="K116" i="59"/>
  <c r="J116" i="59"/>
  <c r="I116" i="59"/>
  <c r="H116" i="59"/>
  <c r="M115" i="59"/>
  <c r="L115" i="59"/>
  <c r="K115" i="59"/>
  <c r="J115" i="59"/>
  <c r="I115" i="59"/>
  <c r="H115" i="59"/>
  <c r="M114" i="59"/>
  <c r="L114" i="59"/>
  <c r="K114" i="59"/>
  <c r="J114" i="59"/>
  <c r="I114" i="59"/>
  <c r="H114" i="59"/>
  <c r="M113" i="59"/>
  <c r="L113" i="59"/>
  <c r="K113" i="59"/>
  <c r="J113" i="59"/>
  <c r="I113" i="59"/>
  <c r="H113" i="59"/>
  <c r="M112" i="59"/>
  <c r="L112" i="59"/>
  <c r="K112" i="59"/>
  <c r="J112" i="59"/>
  <c r="I112" i="59"/>
  <c r="H112" i="59"/>
  <c r="M111" i="59"/>
  <c r="L111" i="59"/>
  <c r="K111" i="59"/>
  <c r="J111" i="59"/>
  <c r="I111" i="59"/>
  <c r="H111" i="59"/>
  <c r="M110" i="59"/>
  <c r="L110" i="59"/>
  <c r="K110" i="59"/>
  <c r="J110" i="59"/>
  <c r="I110" i="59"/>
  <c r="H110" i="59"/>
  <c r="M109" i="59"/>
  <c r="L109" i="59"/>
  <c r="K109" i="59"/>
  <c r="J109" i="59"/>
  <c r="I109" i="59"/>
  <c r="H109" i="59"/>
  <c r="M108" i="59"/>
  <c r="L108" i="59"/>
  <c r="K108" i="59"/>
  <c r="J108" i="59"/>
  <c r="I108" i="59"/>
  <c r="H108" i="59"/>
  <c r="M107" i="59"/>
  <c r="L107" i="59"/>
  <c r="K107" i="59"/>
  <c r="J107" i="59"/>
  <c r="I107" i="59"/>
  <c r="H107" i="59"/>
  <c r="M106" i="59"/>
  <c r="L106" i="59"/>
  <c r="K106" i="59"/>
  <c r="J106" i="59"/>
  <c r="I106" i="59"/>
  <c r="H106" i="59"/>
  <c r="M105" i="59"/>
  <c r="L105" i="59"/>
  <c r="K105" i="59"/>
  <c r="J105" i="59"/>
  <c r="I105" i="59"/>
  <c r="H105" i="59"/>
  <c r="M104" i="59"/>
  <c r="L104" i="59"/>
  <c r="K104" i="59"/>
  <c r="J104" i="59"/>
  <c r="I104" i="59"/>
  <c r="H104" i="59"/>
  <c r="M103" i="59"/>
  <c r="L103" i="59"/>
  <c r="K103" i="59"/>
  <c r="J103" i="59"/>
  <c r="I103" i="59"/>
  <c r="H103" i="59"/>
  <c r="M102" i="59"/>
  <c r="L102" i="59"/>
  <c r="K102" i="59"/>
  <c r="J102" i="59"/>
  <c r="I102" i="59"/>
  <c r="H102" i="59"/>
  <c r="M101" i="59"/>
  <c r="L101" i="59"/>
  <c r="K101" i="59"/>
  <c r="J101" i="59"/>
  <c r="I101" i="59"/>
  <c r="H101" i="59"/>
  <c r="M100" i="59"/>
  <c r="L100" i="59"/>
  <c r="K100" i="59"/>
  <c r="J100" i="59"/>
  <c r="I100" i="59"/>
  <c r="H100" i="59"/>
  <c r="M99" i="59"/>
  <c r="L99" i="59"/>
  <c r="K99" i="59"/>
  <c r="J99" i="59"/>
  <c r="I99" i="59"/>
  <c r="H99" i="59"/>
  <c r="M98" i="59"/>
  <c r="L98" i="59"/>
  <c r="K98" i="59"/>
  <c r="J98" i="59"/>
  <c r="I98" i="59"/>
  <c r="H98" i="59"/>
  <c r="M97" i="59"/>
  <c r="L97" i="59"/>
  <c r="K97" i="59"/>
  <c r="J97" i="59"/>
  <c r="I97" i="59"/>
  <c r="H97" i="59"/>
  <c r="M96" i="59"/>
  <c r="L96" i="59"/>
  <c r="K96" i="59"/>
  <c r="J96" i="59"/>
  <c r="I96" i="59"/>
  <c r="H96" i="59"/>
  <c r="M95" i="59"/>
  <c r="L95" i="59"/>
  <c r="K95" i="59"/>
  <c r="J95" i="59"/>
  <c r="I95" i="59"/>
  <c r="H95" i="59"/>
  <c r="M94" i="59"/>
  <c r="L94" i="59"/>
  <c r="K94" i="59"/>
  <c r="J94" i="59"/>
  <c r="I94" i="59"/>
  <c r="H94" i="59"/>
  <c r="M93" i="59"/>
  <c r="L93" i="59"/>
  <c r="K93" i="59"/>
  <c r="J93" i="59"/>
  <c r="I93" i="59"/>
  <c r="H93" i="59"/>
  <c r="M90" i="59"/>
  <c r="L90" i="59"/>
  <c r="K90" i="59"/>
  <c r="J90" i="59"/>
  <c r="I90" i="59"/>
  <c r="H90" i="59"/>
  <c r="M89" i="59"/>
  <c r="L89" i="59"/>
  <c r="K89" i="59"/>
  <c r="J89" i="59"/>
  <c r="I89" i="59"/>
  <c r="H89" i="59"/>
  <c r="M88" i="59"/>
  <c r="L88" i="59"/>
  <c r="K88" i="59"/>
  <c r="J88" i="59"/>
  <c r="I88" i="59"/>
  <c r="H88" i="59"/>
  <c r="M87" i="59"/>
  <c r="L87" i="59"/>
  <c r="K87" i="59"/>
  <c r="J87" i="59"/>
  <c r="I87" i="59"/>
  <c r="H87" i="59"/>
  <c r="M86" i="59"/>
  <c r="L86" i="59"/>
  <c r="K86" i="59"/>
  <c r="J86" i="59"/>
  <c r="I86" i="59"/>
  <c r="H86" i="59"/>
  <c r="M85" i="59"/>
  <c r="L85" i="59"/>
  <c r="K85" i="59"/>
  <c r="J85" i="59"/>
  <c r="I85" i="59"/>
  <c r="H85" i="59"/>
  <c r="M83" i="59"/>
  <c r="L83" i="59"/>
  <c r="M82" i="59"/>
  <c r="L82" i="59"/>
  <c r="H80" i="59"/>
  <c r="M74" i="59"/>
  <c r="L74" i="59"/>
  <c r="M73" i="59"/>
  <c r="L73" i="59"/>
  <c r="M72" i="59"/>
  <c r="L72" i="59"/>
  <c r="M71" i="59"/>
  <c r="L71" i="59"/>
  <c r="M69" i="59"/>
  <c r="L69" i="59"/>
  <c r="M67" i="59"/>
  <c r="M75" i="59" s="1"/>
  <c r="L67" i="59"/>
  <c r="L75" i="59" s="1"/>
  <c r="M66" i="59"/>
  <c r="L66" i="59"/>
  <c r="K66" i="59"/>
  <c r="J66" i="59"/>
  <c r="I66" i="59"/>
  <c r="H66" i="59"/>
  <c r="M65" i="59"/>
  <c r="M81" i="59" s="1"/>
  <c r="L65" i="59"/>
  <c r="L81" i="59" s="1"/>
  <c r="K65" i="59"/>
  <c r="K81" i="59" s="1"/>
  <c r="J65" i="59"/>
  <c r="J81" i="59" s="1"/>
  <c r="I65" i="59"/>
  <c r="I81" i="59" s="1"/>
  <c r="H65" i="59"/>
  <c r="H81" i="59" s="1"/>
  <c r="M64" i="59"/>
  <c r="M80" i="59" s="1"/>
  <c r="L64" i="59"/>
  <c r="L80" i="59" s="1"/>
  <c r="K64" i="59"/>
  <c r="K80" i="59" s="1"/>
  <c r="J64" i="59"/>
  <c r="J80" i="59" s="1"/>
  <c r="I64" i="59"/>
  <c r="I80" i="59" s="1"/>
  <c r="H64" i="59"/>
  <c r="M63" i="59"/>
  <c r="M79" i="59" s="1"/>
  <c r="L63" i="59"/>
  <c r="L79" i="59" s="1"/>
  <c r="K63" i="59"/>
  <c r="K79" i="59" s="1"/>
  <c r="J63" i="59"/>
  <c r="J79" i="59" s="1"/>
  <c r="I63" i="59"/>
  <c r="I79" i="59" s="1"/>
  <c r="H63" i="59"/>
  <c r="H79" i="59" s="1"/>
  <c r="M62" i="59"/>
  <c r="M78" i="59" s="1"/>
  <c r="L62" i="59"/>
  <c r="L78" i="59" s="1"/>
  <c r="K62" i="59"/>
  <c r="K78" i="59" s="1"/>
  <c r="J62" i="59"/>
  <c r="J78" i="59" s="1"/>
  <c r="I62" i="59"/>
  <c r="I78" i="59" s="1"/>
  <c r="H62" i="59"/>
  <c r="H78" i="59" s="1"/>
  <c r="M61" i="59"/>
  <c r="M77" i="59" s="1"/>
  <c r="L61" i="59"/>
  <c r="L77" i="59" s="1"/>
  <c r="K61" i="59"/>
  <c r="K77" i="59" s="1"/>
  <c r="J61" i="59"/>
  <c r="J77" i="59" s="1"/>
  <c r="I61" i="59"/>
  <c r="I77" i="59" s="1"/>
  <c r="H61" i="59"/>
  <c r="H77" i="59" s="1"/>
  <c r="M60" i="59"/>
  <c r="L60" i="59"/>
  <c r="K60" i="59"/>
  <c r="J60" i="59"/>
  <c r="I60" i="59"/>
  <c r="H60" i="59"/>
  <c r="L31" i="59"/>
  <c r="M7" i="59"/>
  <c r="L7" i="59"/>
  <c r="M6" i="59"/>
  <c r="M57" i="59" s="1"/>
  <c r="L6" i="59"/>
  <c r="L58" i="59" s="1"/>
  <c r="M5" i="59"/>
  <c r="L5" i="59"/>
  <c r="M4" i="59"/>
  <c r="M51" i="59" s="1"/>
  <c r="L4" i="59"/>
  <c r="L34" i="59" s="1"/>
  <c r="M3" i="59"/>
  <c r="L3" i="59"/>
  <c r="M2" i="59"/>
  <c r="L2" i="59"/>
  <c r="M1" i="59"/>
  <c r="L1" i="59"/>
  <c r="O222" i="58"/>
  <c r="O195" i="58"/>
  <c r="O193" i="58"/>
  <c r="O192" i="58"/>
  <c r="O190" i="58"/>
  <c r="O189" i="58"/>
  <c r="O187" i="58"/>
  <c r="O186" i="58"/>
  <c r="O183" i="58"/>
  <c r="O182" i="58"/>
  <c r="O181" i="58"/>
  <c r="O176" i="58"/>
  <c r="O178" i="58" s="1"/>
  <c r="O172" i="58"/>
  <c r="O174" i="58" s="1"/>
  <c r="O171" i="58"/>
  <c r="O170" i="58"/>
  <c r="O164" i="58"/>
  <c r="O166" i="58" s="1"/>
  <c r="O155" i="58"/>
  <c r="O154" i="58"/>
  <c r="O122" i="58"/>
  <c r="O133" i="58" s="1"/>
  <c r="O29" i="58"/>
  <c r="O150" i="58" s="1"/>
  <c r="O28" i="58"/>
  <c r="O19" i="58"/>
  <c r="O16" i="58"/>
  <c r="O37" i="58" s="1"/>
  <c r="O15" i="58"/>
  <c r="O14" i="58"/>
  <c r="O38" i="58" s="1"/>
  <c r="O41" i="58" s="1"/>
  <c r="O7" i="58"/>
  <c r="O6" i="58"/>
  <c r="O5" i="58"/>
  <c r="O4" i="58"/>
  <c r="O3" i="58"/>
  <c r="O2" i="58"/>
  <c r="O8" i="58" s="1"/>
  <c r="O1" i="58"/>
  <c r="N222" i="58"/>
  <c r="N195" i="58"/>
  <c r="N193" i="58"/>
  <c r="N192" i="58"/>
  <c r="N190" i="58"/>
  <c r="N189" i="58"/>
  <c r="N187" i="58"/>
  <c r="N186" i="58"/>
  <c r="N183" i="58"/>
  <c r="N182" i="58"/>
  <c r="N181" i="58"/>
  <c r="N176" i="58"/>
  <c r="N178" i="58" s="1"/>
  <c r="N172" i="58"/>
  <c r="N174" i="58" s="1"/>
  <c r="N171" i="58"/>
  <c r="N170" i="58"/>
  <c r="N164" i="58"/>
  <c r="N166" i="58" s="1"/>
  <c r="N155" i="58"/>
  <c r="N154" i="58"/>
  <c r="N122" i="58"/>
  <c r="N133" i="58" s="1"/>
  <c r="N29" i="58"/>
  <c r="N150" i="58" s="1"/>
  <c r="N28" i="58"/>
  <c r="N19" i="58"/>
  <c r="N16" i="58"/>
  <c r="N37" i="58" s="1"/>
  <c r="N15" i="58"/>
  <c r="N14" i="58"/>
  <c r="N38" i="58" s="1"/>
  <c r="N41" i="58" s="1"/>
  <c r="N7" i="58"/>
  <c r="N6" i="58"/>
  <c r="N5" i="58"/>
  <c r="N4" i="58"/>
  <c r="N3" i="58"/>
  <c r="N2" i="58"/>
  <c r="N8" i="58" s="1"/>
  <c r="N1" i="58"/>
  <c r="M222" i="58"/>
  <c r="L222" i="58"/>
  <c r="K222" i="58"/>
  <c r="J222" i="58"/>
  <c r="I222" i="58"/>
  <c r="H222" i="58"/>
  <c r="M195" i="58"/>
  <c r="L195" i="58"/>
  <c r="K195" i="58"/>
  <c r="J195" i="58"/>
  <c r="I195" i="58"/>
  <c r="H195" i="58"/>
  <c r="M193" i="58"/>
  <c r="L193" i="58"/>
  <c r="K193" i="58"/>
  <c r="J193" i="58"/>
  <c r="I193" i="58"/>
  <c r="H193" i="58"/>
  <c r="M192" i="58"/>
  <c r="M194" i="58" s="1"/>
  <c r="L192" i="58"/>
  <c r="K192" i="58"/>
  <c r="J192" i="58"/>
  <c r="I192" i="58"/>
  <c r="H192" i="58"/>
  <c r="M190" i="58"/>
  <c r="L190" i="58"/>
  <c r="K190" i="58"/>
  <c r="J190" i="58"/>
  <c r="I190" i="58"/>
  <c r="H190" i="58"/>
  <c r="M189" i="58"/>
  <c r="M206" i="58" s="1"/>
  <c r="M214" i="58" s="1"/>
  <c r="L189" i="58"/>
  <c r="L206" i="58" s="1"/>
  <c r="L214" i="58" s="1"/>
  <c r="K189" i="58"/>
  <c r="J189" i="58"/>
  <c r="I189" i="58"/>
  <c r="H189" i="58"/>
  <c r="M187" i="58"/>
  <c r="L187" i="58"/>
  <c r="K187" i="58"/>
  <c r="J187" i="58"/>
  <c r="I187" i="58"/>
  <c r="H187" i="58"/>
  <c r="M186" i="58"/>
  <c r="L186" i="58"/>
  <c r="K186" i="58"/>
  <c r="J186" i="58"/>
  <c r="I186" i="58"/>
  <c r="H186" i="58"/>
  <c r="M183" i="58"/>
  <c r="L183" i="58"/>
  <c r="K183" i="58"/>
  <c r="J183" i="58"/>
  <c r="I183" i="58"/>
  <c r="H183" i="58"/>
  <c r="M182" i="58"/>
  <c r="L182" i="58"/>
  <c r="K182" i="58"/>
  <c r="J182" i="58"/>
  <c r="I182" i="58"/>
  <c r="H182" i="58"/>
  <c r="M181" i="58"/>
  <c r="L181" i="58"/>
  <c r="K181" i="58"/>
  <c r="J181" i="58"/>
  <c r="I181" i="58"/>
  <c r="H181" i="58"/>
  <c r="M176" i="58"/>
  <c r="M177" i="58" s="1"/>
  <c r="L176" i="58"/>
  <c r="L177" i="58" s="1"/>
  <c r="K176" i="58"/>
  <c r="K177" i="58" s="1"/>
  <c r="J176" i="58"/>
  <c r="J178" i="58" s="1"/>
  <c r="I176" i="58"/>
  <c r="I178" i="58" s="1"/>
  <c r="H176" i="58"/>
  <c r="H178" i="58" s="1"/>
  <c r="M172" i="58"/>
  <c r="M174" i="58" s="1"/>
  <c r="L172" i="58"/>
  <c r="L174" i="58" s="1"/>
  <c r="K172" i="58"/>
  <c r="K174" i="58" s="1"/>
  <c r="J172" i="58"/>
  <c r="J174" i="58" s="1"/>
  <c r="I172" i="58"/>
  <c r="I174" i="58" s="1"/>
  <c r="H172" i="58"/>
  <c r="H174" i="58" s="1"/>
  <c r="M171" i="58"/>
  <c r="L171" i="58"/>
  <c r="K171" i="58"/>
  <c r="J171" i="58"/>
  <c r="I171" i="58"/>
  <c r="H171" i="58"/>
  <c r="M170" i="58"/>
  <c r="L170" i="58"/>
  <c r="K170" i="58"/>
  <c r="J170" i="58"/>
  <c r="I170" i="58"/>
  <c r="H170" i="58"/>
  <c r="M164" i="58"/>
  <c r="M166" i="58" s="1"/>
  <c r="L164" i="58"/>
  <c r="L166" i="58" s="1"/>
  <c r="K164" i="58"/>
  <c r="K166" i="58" s="1"/>
  <c r="J164" i="58"/>
  <c r="J166" i="58" s="1"/>
  <c r="J168" i="58" s="1"/>
  <c r="I164" i="58"/>
  <c r="I166" i="58" s="1"/>
  <c r="H164" i="58"/>
  <c r="H166" i="58" s="1"/>
  <c r="H168" i="58" s="1"/>
  <c r="M155" i="58"/>
  <c r="L155" i="58"/>
  <c r="M154" i="58"/>
  <c r="L154" i="58"/>
  <c r="K154" i="58"/>
  <c r="J154" i="58"/>
  <c r="J156" i="58" s="1"/>
  <c r="I154" i="58"/>
  <c r="I156" i="58" s="1"/>
  <c r="H154" i="58"/>
  <c r="H156" i="58" s="1"/>
  <c r="H158" i="58" s="1"/>
  <c r="M122" i="58"/>
  <c r="M133" i="58" s="1"/>
  <c r="L122" i="58"/>
  <c r="L133" i="58" s="1"/>
  <c r="K122" i="58"/>
  <c r="K133" i="58" s="1"/>
  <c r="J122" i="58"/>
  <c r="J133" i="58" s="1"/>
  <c r="I122" i="58"/>
  <c r="I133" i="58" s="1"/>
  <c r="H122" i="58"/>
  <c r="H133" i="58" s="1"/>
  <c r="M29" i="58"/>
  <c r="M150" i="58" s="1"/>
  <c r="L29" i="58"/>
  <c r="L152" i="58" s="1"/>
  <c r="K29" i="58"/>
  <c r="K147" i="58" s="1"/>
  <c r="J29" i="58"/>
  <c r="J78" i="58" s="1"/>
  <c r="I29" i="58"/>
  <c r="I72" i="58" s="1"/>
  <c r="H29" i="58"/>
  <c r="H144" i="58" s="1"/>
  <c r="M28" i="58"/>
  <c r="L28" i="58"/>
  <c r="K28" i="58"/>
  <c r="J28" i="58"/>
  <c r="I28" i="58"/>
  <c r="H28" i="58"/>
  <c r="M19" i="58"/>
  <c r="L19" i="58"/>
  <c r="K19" i="58"/>
  <c r="J19" i="58"/>
  <c r="I19" i="58"/>
  <c r="H19" i="58"/>
  <c r="M16" i="58"/>
  <c r="M37" i="58" s="1"/>
  <c r="L16" i="58"/>
  <c r="L37" i="58" s="1"/>
  <c r="K16" i="58"/>
  <c r="K37" i="58" s="1"/>
  <c r="J16" i="58"/>
  <c r="J37" i="58" s="1"/>
  <c r="I16" i="58"/>
  <c r="I37" i="58" s="1"/>
  <c r="H16" i="58"/>
  <c r="H37" i="58" s="1"/>
  <c r="M15" i="58"/>
  <c r="L15" i="58"/>
  <c r="K15" i="58"/>
  <c r="J15" i="58"/>
  <c r="I15" i="58"/>
  <c r="H15" i="58"/>
  <c r="M14" i="58"/>
  <c r="M38" i="58" s="1"/>
  <c r="M41" i="58" s="1"/>
  <c r="L14" i="58"/>
  <c r="L38" i="58" s="1"/>
  <c r="L41" i="58" s="1"/>
  <c r="K14" i="58"/>
  <c r="K38" i="58" s="1"/>
  <c r="K41" i="58" s="1"/>
  <c r="K198" i="58" s="1"/>
  <c r="K202" i="58" s="1"/>
  <c r="J14" i="58"/>
  <c r="J38" i="58" s="1"/>
  <c r="J41" i="58" s="1"/>
  <c r="J198" i="58" s="1"/>
  <c r="J202" i="58" s="1"/>
  <c r="I14" i="58"/>
  <c r="I38" i="58" s="1"/>
  <c r="I41" i="58" s="1"/>
  <c r="H14" i="58"/>
  <c r="H38" i="58" s="1"/>
  <c r="H41" i="58" s="1"/>
  <c r="M7" i="58"/>
  <c r="L7" i="58"/>
  <c r="M6" i="58"/>
  <c r="M160" i="58" s="1"/>
  <c r="L6" i="58"/>
  <c r="L160" i="58" s="1"/>
  <c r="M5" i="58"/>
  <c r="L5" i="58"/>
  <c r="M4" i="58"/>
  <c r="M11" i="58" s="1"/>
  <c r="L4" i="58"/>
  <c r="M3" i="58"/>
  <c r="L3" i="58"/>
  <c r="M2" i="58"/>
  <c r="M8" i="58" s="1"/>
  <c r="L2" i="58"/>
  <c r="L8" i="58" s="1"/>
  <c r="M1" i="58"/>
  <c r="L1" i="58"/>
  <c r="O36" i="60"/>
  <c r="N36" i="60"/>
  <c r="M36" i="60"/>
  <c r="L36" i="60"/>
  <c r="K36" i="60"/>
  <c r="J36" i="60"/>
  <c r="I36" i="60"/>
  <c r="H36" i="60"/>
  <c r="O35" i="60"/>
  <c r="N35" i="60"/>
  <c r="M35" i="60"/>
  <c r="L35" i="60"/>
  <c r="K35" i="60"/>
  <c r="J35" i="60"/>
  <c r="I35" i="60"/>
  <c r="H35" i="60"/>
  <c r="O34" i="60"/>
  <c r="N34" i="60"/>
  <c r="M34" i="60"/>
  <c r="L34" i="60"/>
  <c r="K34" i="60"/>
  <c r="J34" i="60"/>
  <c r="I34" i="60"/>
  <c r="H34" i="60"/>
  <c r="O33" i="60"/>
  <c r="N33" i="60"/>
  <c r="M33" i="60"/>
  <c r="L33" i="60"/>
  <c r="K33" i="60"/>
  <c r="J33" i="60"/>
  <c r="I33" i="60"/>
  <c r="H33" i="60"/>
  <c r="O27" i="60"/>
  <c r="O23" i="60" s="1"/>
  <c r="O24" i="60" s="1"/>
  <c r="O25" i="60" s="1"/>
  <c r="G12" i="61" s="1"/>
  <c r="G48" i="61" s="1"/>
  <c r="N27" i="60"/>
  <c r="N23" i="60" s="1"/>
  <c r="N26" i="60" s="1"/>
  <c r="M27" i="60"/>
  <c r="M23" i="60" s="1"/>
  <c r="M26" i="60" s="1"/>
  <c r="L27" i="60"/>
  <c r="L23" i="60" s="1"/>
  <c r="K27" i="60"/>
  <c r="K23" i="60" s="1"/>
  <c r="J27" i="60"/>
  <c r="J23" i="60" s="1"/>
  <c r="I27" i="60"/>
  <c r="I23" i="60" s="1"/>
  <c r="H27" i="60"/>
  <c r="H23" i="60" s="1"/>
  <c r="O20" i="60"/>
  <c r="O16" i="60" s="1"/>
  <c r="O17" i="60" s="1"/>
  <c r="O18" i="60" s="1"/>
  <c r="O21" i="60" s="1"/>
  <c r="N20" i="60"/>
  <c r="N16" i="60" s="1"/>
  <c r="N17" i="60" s="1"/>
  <c r="N18" i="60" s="1"/>
  <c r="N21" i="60" s="1"/>
  <c r="M20" i="60"/>
  <c r="M16" i="60" s="1"/>
  <c r="M17" i="60" s="1"/>
  <c r="M18" i="60" s="1"/>
  <c r="M21" i="60" s="1"/>
  <c r="L20" i="60"/>
  <c r="L16" i="60" s="1"/>
  <c r="L17" i="60" s="1"/>
  <c r="L18" i="60" s="1"/>
  <c r="L21" i="60" s="1"/>
  <c r="K20" i="60"/>
  <c r="K16" i="60" s="1"/>
  <c r="K17" i="60" s="1"/>
  <c r="K18" i="60" s="1"/>
  <c r="K21" i="60" s="1"/>
  <c r="J20" i="60"/>
  <c r="I20" i="60"/>
  <c r="H20" i="60"/>
  <c r="H16" i="60" s="1"/>
  <c r="H17" i="60" s="1"/>
  <c r="H18" i="60" s="1"/>
  <c r="H21" i="60" s="1"/>
  <c r="J16" i="60"/>
  <c r="J17" i="60" s="1"/>
  <c r="J18" i="60" s="1"/>
  <c r="J21" i="60" s="1"/>
  <c r="I16" i="60"/>
  <c r="I17" i="60" s="1"/>
  <c r="I18" i="60" s="1"/>
  <c r="I21" i="60" s="1"/>
  <c r="O13" i="60"/>
  <c r="O9" i="60" s="1"/>
  <c r="N13" i="60"/>
  <c r="N9" i="60" s="1"/>
  <c r="M13" i="60"/>
  <c r="M9" i="60" s="1"/>
  <c r="L13" i="60"/>
  <c r="K13" i="60"/>
  <c r="J13" i="60"/>
  <c r="I13" i="60"/>
  <c r="H13" i="60"/>
  <c r="O5" i="60"/>
  <c r="N5" i="60"/>
  <c r="M5" i="60"/>
  <c r="L5" i="60"/>
  <c r="O4" i="60"/>
  <c r="N4" i="60"/>
  <c r="M4" i="60"/>
  <c r="L4" i="60"/>
  <c r="O3" i="60"/>
  <c r="N3" i="60"/>
  <c r="M3" i="60"/>
  <c r="L3" i="60"/>
  <c r="O2" i="60"/>
  <c r="N2" i="60"/>
  <c r="M2" i="60"/>
  <c r="M8" i="60" s="1"/>
  <c r="L2" i="60"/>
  <c r="L8" i="60" s="1"/>
  <c r="O1" i="60"/>
  <c r="N1" i="60"/>
  <c r="M1" i="60"/>
  <c r="L1" i="60"/>
  <c r="M154" i="43"/>
  <c r="M153" i="43"/>
  <c r="M152" i="43"/>
  <c r="O38" i="59" s="1"/>
  <c r="M151" i="43"/>
  <c r="O48" i="59" s="1"/>
  <c r="M150" i="43"/>
  <c r="O36" i="59" s="1"/>
  <c r="M149" i="43"/>
  <c r="O46" i="59" s="1"/>
  <c r="M148" i="43"/>
  <c r="M147" i="43"/>
  <c r="M146" i="43"/>
  <c r="O11" i="59" s="1"/>
  <c r="M145" i="43"/>
  <c r="O14" i="59" s="1"/>
  <c r="M144" i="43"/>
  <c r="O10" i="59" s="1"/>
  <c r="M143" i="43"/>
  <c r="O13" i="59" s="1"/>
  <c r="I154" i="43"/>
  <c r="I153" i="43"/>
  <c r="I152" i="43"/>
  <c r="K38" i="59" s="1"/>
  <c r="I151" i="43"/>
  <c r="K48" i="59" s="1"/>
  <c r="I150" i="43"/>
  <c r="K36" i="59" s="1"/>
  <c r="I149" i="43"/>
  <c r="K46" i="59" s="1"/>
  <c r="I148" i="43"/>
  <c r="I147" i="43"/>
  <c r="I146" i="43"/>
  <c r="K11" i="59" s="1"/>
  <c r="I145" i="43"/>
  <c r="K14" i="59" s="1"/>
  <c r="I144" i="43"/>
  <c r="K10" i="59" s="1"/>
  <c r="I143" i="43"/>
  <c r="K13" i="59" s="1"/>
  <c r="I19" i="43"/>
  <c r="K155" i="58" s="1"/>
  <c r="L154" i="43"/>
  <c r="K154" i="43"/>
  <c r="J154" i="43"/>
  <c r="L153" i="43"/>
  <c r="K153" i="43"/>
  <c r="J153" i="43"/>
  <c r="L152" i="43"/>
  <c r="N38" i="59" s="1"/>
  <c r="K152" i="43"/>
  <c r="M38" i="59" s="1"/>
  <c r="J152" i="43"/>
  <c r="L38" i="59" s="1"/>
  <c r="L151" i="43"/>
  <c r="N48" i="59" s="1"/>
  <c r="K151" i="43"/>
  <c r="M48" i="59" s="1"/>
  <c r="J151" i="43"/>
  <c r="L48" i="59" s="1"/>
  <c r="L150" i="43"/>
  <c r="N36" i="59" s="1"/>
  <c r="K150" i="43"/>
  <c r="M36" i="59" s="1"/>
  <c r="J150" i="43"/>
  <c r="L36" i="59" s="1"/>
  <c r="L149" i="43"/>
  <c r="N46" i="59" s="1"/>
  <c r="K149" i="43"/>
  <c r="M46" i="59" s="1"/>
  <c r="J149" i="43"/>
  <c r="L46" i="59" s="1"/>
  <c r="L148" i="43"/>
  <c r="K148" i="43"/>
  <c r="J148" i="43"/>
  <c r="L147" i="43"/>
  <c r="K147" i="43"/>
  <c r="J147" i="43"/>
  <c r="L146" i="43"/>
  <c r="N11" i="59" s="1"/>
  <c r="K146" i="43"/>
  <c r="M11" i="59" s="1"/>
  <c r="J146" i="43"/>
  <c r="L11" i="59" s="1"/>
  <c r="L145" i="43"/>
  <c r="N14" i="59" s="1"/>
  <c r="K145" i="43"/>
  <c r="M14" i="59" s="1"/>
  <c r="J145" i="43"/>
  <c r="L14" i="59" s="1"/>
  <c r="L144" i="43"/>
  <c r="N10" i="59" s="1"/>
  <c r="K144" i="43"/>
  <c r="M10" i="59" s="1"/>
  <c r="J144" i="43"/>
  <c r="L10" i="59" s="1"/>
  <c r="L143" i="43"/>
  <c r="N13" i="59" s="1"/>
  <c r="K143" i="43"/>
  <c r="M13" i="59" s="1"/>
  <c r="J143" i="43"/>
  <c r="L13" i="59" s="1"/>
  <c r="N18" i="59" l="1"/>
  <c r="O18" i="59"/>
  <c r="N19" i="59"/>
  <c r="K74" i="58"/>
  <c r="L194" i="58"/>
  <c r="M45" i="59"/>
  <c r="J144" i="58"/>
  <c r="O19" i="59"/>
  <c r="K148" i="58"/>
  <c r="K149" i="58"/>
  <c r="O42" i="59"/>
  <c r="K151" i="58"/>
  <c r="O43" i="59"/>
  <c r="L72" i="58"/>
  <c r="K73" i="58"/>
  <c r="H150" i="59"/>
  <c r="H169" i="59" s="1"/>
  <c r="H159" i="59" s="1"/>
  <c r="L76" i="59"/>
  <c r="I150" i="59"/>
  <c r="I169" i="59" s="1"/>
  <c r="I159" i="59" s="1"/>
  <c r="O150" i="59"/>
  <c r="O169" i="59" s="1"/>
  <c r="O159" i="59" s="1"/>
  <c r="J74" i="58"/>
  <c r="J194" i="58"/>
  <c r="J196" i="58" s="1"/>
  <c r="J197" i="58" s="1"/>
  <c r="M76" i="59"/>
  <c r="N30" i="59"/>
  <c r="N42" i="59"/>
  <c r="O76" i="59"/>
  <c r="N43" i="59"/>
  <c r="J150" i="59"/>
  <c r="J169" i="59" s="1"/>
  <c r="J159" i="59" s="1"/>
  <c r="K150" i="59"/>
  <c r="K169" i="59" s="1"/>
  <c r="K159" i="59" s="1"/>
  <c r="L150" i="59"/>
  <c r="L169" i="59" s="1"/>
  <c r="L159" i="59" s="1"/>
  <c r="N54" i="59"/>
  <c r="M150" i="59"/>
  <c r="M169" i="59" s="1"/>
  <c r="M159" i="59" s="1"/>
  <c r="O54" i="59"/>
  <c r="L21" i="59"/>
  <c r="N55" i="59"/>
  <c r="M21" i="59"/>
  <c r="O55" i="59"/>
  <c r="L24" i="59"/>
  <c r="K194" i="58"/>
  <c r="N206" i="58"/>
  <c r="N214" i="58" s="1"/>
  <c r="H9" i="59"/>
  <c r="K144" i="58"/>
  <c r="I9" i="59"/>
  <c r="J9" i="59"/>
  <c r="M145" i="58"/>
  <c r="K9" i="59"/>
  <c r="K146" i="58"/>
  <c r="O206" i="58"/>
  <c r="O214" i="58" s="1"/>
  <c r="L9" i="59"/>
  <c r="M9" i="59"/>
  <c r="M72" i="58"/>
  <c r="N9" i="59"/>
  <c r="O9" i="59"/>
  <c r="J76" i="58"/>
  <c r="K76" i="58"/>
  <c r="I194" i="58"/>
  <c r="L37" i="60"/>
  <c r="L38" i="60" s="1"/>
  <c r="L39" i="60" s="1"/>
  <c r="L40" i="60"/>
  <c r="L41" i="60"/>
  <c r="M40" i="60"/>
  <c r="M37" i="60"/>
  <c r="M38" i="60" s="1"/>
  <c r="M39" i="60" s="1"/>
  <c r="M41" i="60"/>
  <c r="N8" i="60"/>
  <c r="N41" i="60"/>
  <c r="N37" i="60"/>
  <c r="N38" i="60" s="1"/>
  <c r="N39" i="60" s="1"/>
  <c r="N40" i="60"/>
  <c r="O8" i="60"/>
  <c r="O41" i="60"/>
  <c r="O40" i="60"/>
  <c r="O37" i="60"/>
  <c r="O38" i="60" s="1"/>
  <c r="O39" i="60" s="1"/>
  <c r="G9" i="61"/>
  <c r="G11" i="61" s="1"/>
  <c r="P10" i="60"/>
  <c r="P11" i="60" s="1"/>
  <c r="P14" i="60" s="1"/>
  <c r="P12" i="60"/>
  <c r="P15" i="60" s="1"/>
  <c r="P17" i="60"/>
  <c r="P18" i="60" s="1"/>
  <c r="P22" i="60" s="1"/>
  <c r="P24" i="60"/>
  <c r="P25" i="60" s="1"/>
  <c r="P29" i="60" s="1"/>
  <c r="P30" i="60"/>
  <c r="P7" i="60"/>
  <c r="G14" i="61"/>
  <c r="G61" i="61"/>
  <c r="G41" i="61"/>
  <c r="M24" i="59"/>
  <c r="H130" i="59"/>
  <c r="N84" i="59"/>
  <c r="N68" i="59" s="1"/>
  <c r="N70" i="59" s="1"/>
  <c r="I130" i="59"/>
  <c r="O84" i="59"/>
  <c r="O68" i="59" s="1"/>
  <c r="O70" i="59" s="1"/>
  <c r="M31" i="59"/>
  <c r="J130" i="59"/>
  <c r="N133" i="59"/>
  <c r="M34" i="59"/>
  <c r="K130" i="59"/>
  <c r="O133" i="59"/>
  <c r="L130" i="59"/>
  <c r="L84" i="59"/>
  <c r="L68" i="59" s="1"/>
  <c r="L70" i="59" s="1"/>
  <c r="M133" i="59"/>
  <c r="N76" i="59"/>
  <c r="M84" i="59"/>
  <c r="M68" i="59" s="1"/>
  <c r="M70" i="59" s="1"/>
  <c r="H133" i="59"/>
  <c r="H147" i="59"/>
  <c r="I129" i="59"/>
  <c r="I147" i="59"/>
  <c r="J129" i="59"/>
  <c r="J147" i="59"/>
  <c r="K129" i="59"/>
  <c r="K147" i="59"/>
  <c r="L55" i="59"/>
  <c r="L133" i="59"/>
  <c r="L147" i="59"/>
  <c r="N147" i="59"/>
  <c r="M55" i="59"/>
  <c r="M129" i="59"/>
  <c r="M147" i="59"/>
  <c r="O147" i="59"/>
  <c r="L56" i="59"/>
  <c r="M58" i="59"/>
  <c r="L59" i="59"/>
  <c r="M59" i="59"/>
  <c r="O30" i="59"/>
  <c r="L41" i="59"/>
  <c r="M130" i="59"/>
  <c r="O31" i="59"/>
  <c r="L17" i="59"/>
  <c r="M41" i="59"/>
  <c r="M17" i="59"/>
  <c r="L45" i="59"/>
  <c r="N28" i="59"/>
  <c r="N52" i="59"/>
  <c r="O16" i="59"/>
  <c r="O28" i="59"/>
  <c r="O40" i="59"/>
  <c r="O52" i="59"/>
  <c r="N16" i="59"/>
  <c r="N40" i="59"/>
  <c r="N17" i="59"/>
  <c r="N29" i="59"/>
  <c r="N41" i="59"/>
  <c r="N53" i="59"/>
  <c r="O17" i="59"/>
  <c r="O29" i="59"/>
  <c r="O41" i="59"/>
  <c r="O53" i="59"/>
  <c r="N31" i="59"/>
  <c r="N20" i="59"/>
  <c r="N32" i="59"/>
  <c r="N44" i="59"/>
  <c r="N56" i="59"/>
  <c r="N80" i="59"/>
  <c r="O20" i="59"/>
  <c r="O32" i="59"/>
  <c r="O44" i="59"/>
  <c r="O56" i="59"/>
  <c r="O80" i="59"/>
  <c r="N21" i="59"/>
  <c r="N33" i="59"/>
  <c r="N45" i="59"/>
  <c r="N57" i="59"/>
  <c r="N129" i="59"/>
  <c r="O21" i="59"/>
  <c r="O33" i="59"/>
  <c r="O45" i="59"/>
  <c r="O57" i="59"/>
  <c r="O129" i="59"/>
  <c r="N22" i="59"/>
  <c r="N34" i="59"/>
  <c r="N58" i="59"/>
  <c r="N130" i="59"/>
  <c r="O22" i="59"/>
  <c r="O34" i="59"/>
  <c r="O58" i="59"/>
  <c r="O130" i="59"/>
  <c r="N23" i="59"/>
  <c r="N35" i="59"/>
  <c r="N47" i="59"/>
  <c r="N131" i="59"/>
  <c r="O23" i="59"/>
  <c r="O35" i="59"/>
  <c r="O47" i="59"/>
  <c r="O131" i="59"/>
  <c r="N12" i="59"/>
  <c r="N24" i="59"/>
  <c r="N132" i="59"/>
  <c r="O12" i="59"/>
  <c r="O24" i="59"/>
  <c r="O132" i="59"/>
  <c r="N25" i="59"/>
  <c r="N37" i="59"/>
  <c r="N49" i="59"/>
  <c r="O25" i="59"/>
  <c r="O37" i="59"/>
  <c r="O49" i="59"/>
  <c r="N26" i="59"/>
  <c r="N50" i="59"/>
  <c r="O26" i="59"/>
  <c r="O50" i="59"/>
  <c r="N15" i="59"/>
  <c r="N27" i="59"/>
  <c r="N39" i="59"/>
  <c r="O15" i="59"/>
  <c r="O27" i="59"/>
  <c r="O39" i="59"/>
  <c r="H131" i="59"/>
  <c r="I131" i="59"/>
  <c r="J131" i="59"/>
  <c r="K131" i="59"/>
  <c r="L28" i="59"/>
  <c r="M28" i="59"/>
  <c r="L35" i="59"/>
  <c r="M52" i="59"/>
  <c r="L131" i="59"/>
  <c r="L18" i="59"/>
  <c r="M35" i="59"/>
  <c r="L42" i="59"/>
  <c r="M131" i="59"/>
  <c r="M18" i="59"/>
  <c r="L25" i="59"/>
  <c r="M42" i="59"/>
  <c r="L49" i="59"/>
  <c r="H132" i="59"/>
  <c r="M25" i="59"/>
  <c r="L32" i="59"/>
  <c r="M49" i="59"/>
  <c r="I132" i="59"/>
  <c r="L15" i="59"/>
  <c r="M32" i="59"/>
  <c r="L39" i="59"/>
  <c r="M56" i="59"/>
  <c r="J132" i="59"/>
  <c r="M15" i="59"/>
  <c r="L22" i="59"/>
  <c r="M39" i="59"/>
  <c r="H129" i="59"/>
  <c r="K132" i="59"/>
  <c r="M22" i="59"/>
  <c r="L29" i="59"/>
  <c r="L53" i="59"/>
  <c r="L12" i="59"/>
  <c r="M29" i="59"/>
  <c r="M53" i="59"/>
  <c r="L132" i="59"/>
  <c r="M12" i="59"/>
  <c r="L19" i="59"/>
  <c r="L43" i="59"/>
  <c r="M132" i="59"/>
  <c r="M19" i="59"/>
  <c r="L26" i="59"/>
  <c r="M43" i="59"/>
  <c r="L50" i="59"/>
  <c r="M26" i="59"/>
  <c r="L33" i="59"/>
  <c r="M50" i="59"/>
  <c r="L57" i="59"/>
  <c r="L129" i="59"/>
  <c r="I133" i="59"/>
  <c r="L16" i="59"/>
  <c r="M33" i="59"/>
  <c r="L40" i="59"/>
  <c r="J133" i="59"/>
  <c r="M16" i="59"/>
  <c r="L23" i="59"/>
  <c r="M40" i="59"/>
  <c r="L47" i="59"/>
  <c r="K133" i="59"/>
  <c r="M23" i="59"/>
  <c r="L30" i="59"/>
  <c r="M47" i="59"/>
  <c r="L54" i="59"/>
  <c r="M30" i="59"/>
  <c r="L37" i="59"/>
  <c r="M54" i="59"/>
  <c r="L20" i="59"/>
  <c r="M37" i="59"/>
  <c r="L44" i="59"/>
  <c r="M20" i="59"/>
  <c r="L27" i="59"/>
  <c r="M44" i="59"/>
  <c r="L51" i="59"/>
  <c r="L52" i="59"/>
  <c r="M27" i="59"/>
  <c r="O151" i="58"/>
  <c r="M188" i="58"/>
  <c r="M205" i="58" s="1"/>
  <c r="M213" i="58" s="1"/>
  <c r="K77" i="58"/>
  <c r="H151" i="58"/>
  <c r="I79" i="58"/>
  <c r="J79" i="58"/>
  <c r="K79" i="58"/>
  <c r="M152" i="58"/>
  <c r="K153" i="58"/>
  <c r="O184" i="58"/>
  <c r="O185" i="58" s="1"/>
  <c r="O153" i="58"/>
  <c r="J177" i="58"/>
  <c r="J179" i="58" s="1"/>
  <c r="J180" i="58" s="1"/>
  <c r="L184" i="58"/>
  <c r="L185" i="58" s="1"/>
  <c r="O152" i="58"/>
  <c r="M184" i="58"/>
  <c r="M185" i="58" s="1"/>
  <c r="K70" i="58"/>
  <c r="K178" i="58"/>
  <c r="K179" i="58" s="1"/>
  <c r="K180" i="58" s="1"/>
  <c r="J71" i="58"/>
  <c r="L178" i="58"/>
  <c r="L179" i="58" s="1"/>
  <c r="L188" i="58"/>
  <c r="L205" i="58" s="1"/>
  <c r="L213" i="58" s="1"/>
  <c r="K71" i="58"/>
  <c r="I144" i="58"/>
  <c r="I158" i="58"/>
  <c r="K168" i="58"/>
  <c r="J158" i="58"/>
  <c r="I168" i="58"/>
  <c r="M79" i="58"/>
  <c r="L147" i="58"/>
  <c r="M178" i="58"/>
  <c r="M179" i="58" s="1"/>
  <c r="M180" i="58" s="1"/>
  <c r="O165" i="58"/>
  <c r="O167" i="58" s="1"/>
  <c r="M12" i="58"/>
  <c r="M17" i="58" s="1"/>
  <c r="M18" i="58" s="1"/>
  <c r="M24" i="58" s="1"/>
  <c r="H165" i="58"/>
  <c r="H167" i="58" s="1"/>
  <c r="H169" i="58" s="1"/>
  <c r="N184" i="58"/>
  <c r="N185" i="58" s="1"/>
  <c r="I165" i="58"/>
  <c r="I167" i="58" s="1"/>
  <c r="N70" i="58"/>
  <c r="L146" i="58"/>
  <c r="M73" i="58"/>
  <c r="M147" i="58"/>
  <c r="L74" i="58"/>
  <c r="J165" i="58"/>
  <c r="J167" i="58" s="1"/>
  <c r="J169" i="58" s="1"/>
  <c r="N71" i="58"/>
  <c r="N188" i="58"/>
  <c r="N205" i="58" s="1"/>
  <c r="N213" i="58" s="1"/>
  <c r="O70" i="58"/>
  <c r="L153" i="58"/>
  <c r="M74" i="58"/>
  <c r="L148" i="58"/>
  <c r="K165" i="58"/>
  <c r="K167" i="58" s="1"/>
  <c r="M173" i="58"/>
  <c r="M175" i="58" s="1"/>
  <c r="N72" i="58"/>
  <c r="O71" i="58"/>
  <c r="L73" i="58"/>
  <c r="M148" i="58"/>
  <c r="H188" i="58"/>
  <c r="H205" i="58" s="1"/>
  <c r="H213" i="58" s="1"/>
  <c r="N73" i="58"/>
  <c r="O72" i="58"/>
  <c r="L75" i="58"/>
  <c r="I188" i="58"/>
  <c r="I205" i="58" s="1"/>
  <c r="I213" i="58" s="1"/>
  <c r="N74" i="58"/>
  <c r="O73" i="58"/>
  <c r="L79" i="58"/>
  <c r="M75" i="58"/>
  <c r="J188" i="58"/>
  <c r="J205" i="58" s="1"/>
  <c r="J213" i="58" s="1"/>
  <c r="N79" i="58"/>
  <c r="O74" i="58"/>
  <c r="L149" i="58"/>
  <c r="K188" i="58"/>
  <c r="K205" i="58" s="1"/>
  <c r="K213" i="58" s="1"/>
  <c r="O75" i="58"/>
  <c r="M149" i="58"/>
  <c r="I184" i="58"/>
  <c r="I185" i="58" s="1"/>
  <c r="O76" i="58"/>
  <c r="O188" i="58"/>
  <c r="O205" i="58" s="1"/>
  <c r="O213" i="58" s="1"/>
  <c r="L70" i="58"/>
  <c r="N144" i="58"/>
  <c r="O79" i="58"/>
  <c r="M70" i="58"/>
  <c r="L76" i="58"/>
  <c r="K184" i="58"/>
  <c r="K185" i="58" s="1"/>
  <c r="H194" i="58"/>
  <c r="H196" i="58" s="1"/>
  <c r="H197" i="58" s="1"/>
  <c r="N145" i="58"/>
  <c r="M88" i="58"/>
  <c r="M87" i="58" s="1"/>
  <c r="M76" i="58"/>
  <c r="N146" i="58"/>
  <c r="N151" i="58"/>
  <c r="O144" i="58"/>
  <c r="M144" i="58"/>
  <c r="M151" i="58"/>
  <c r="H206" i="58"/>
  <c r="H214" i="58" s="1"/>
  <c r="N152" i="58"/>
  <c r="O145" i="58"/>
  <c r="J72" i="58"/>
  <c r="L77" i="58"/>
  <c r="K145" i="58"/>
  <c r="K152" i="58"/>
  <c r="H184" i="58"/>
  <c r="H185" i="58" s="1"/>
  <c r="I206" i="58"/>
  <c r="I214" i="58" s="1"/>
  <c r="N11" i="58"/>
  <c r="N31" i="58" s="1"/>
  <c r="N153" i="58"/>
  <c r="O146" i="58"/>
  <c r="L151" i="58"/>
  <c r="K72" i="58"/>
  <c r="M77" i="58"/>
  <c r="J206" i="58"/>
  <c r="J214" i="58" s="1"/>
  <c r="O12" i="58"/>
  <c r="O147" i="58"/>
  <c r="M146" i="58"/>
  <c r="L144" i="58"/>
  <c r="L12" i="58"/>
  <c r="H79" i="58"/>
  <c r="L145" i="58"/>
  <c r="J184" i="58"/>
  <c r="J185" i="58" s="1"/>
  <c r="K206" i="58"/>
  <c r="K214" i="58" s="1"/>
  <c r="O148" i="58"/>
  <c r="O198" i="58"/>
  <c r="O202" i="58" s="1"/>
  <c r="O84" i="58"/>
  <c r="O59" i="58"/>
  <c r="O168" i="58"/>
  <c r="O177" i="58"/>
  <c r="O179" i="58" s="1"/>
  <c r="O180" i="58" s="1"/>
  <c r="O82" i="58"/>
  <c r="O156" i="58"/>
  <c r="O160" i="58"/>
  <c r="O11" i="58"/>
  <c r="O9" i="58"/>
  <c r="O10" i="58" s="1"/>
  <c r="O194" i="58"/>
  <c r="O196" i="58" s="1"/>
  <c r="O197" i="58" s="1"/>
  <c r="O77" i="58"/>
  <c r="O149" i="58"/>
  <c r="O173" i="58"/>
  <c r="O175" i="58" s="1"/>
  <c r="O78" i="58"/>
  <c r="N168" i="58"/>
  <c r="N198" i="58"/>
  <c r="N202" i="58" s="1"/>
  <c r="N84" i="58"/>
  <c r="N59" i="58"/>
  <c r="N177" i="58"/>
  <c r="N179" i="58" s="1"/>
  <c r="N180" i="58" s="1"/>
  <c r="N9" i="58"/>
  <c r="N10" i="58" s="1"/>
  <c r="N82" i="58"/>
  <c r="N156" i="58"/>
  <c r="N12" i="58"/>
  <c r="N160" i="58"/>
  <c r="N165" i="58"/>
  <c r="N167" i="58" s="1"/>
  <c r="N194" i="58"/>
  <c r="N196" i="58" s="1"/>
  <c r="N197" i="58" s="1"/>
  <c r="N75" i="58"/>
  <c r="N147" i="58"/>
  <c r="N76" i="58"/>
  <c r="N148" i="58"/>
  <c r="N77" i="58"/>
  <c r="N149" i="58"/>
  <c r="N173" i="58"/>
  <c r="N175" i="58" s="1"/>
  <c r="N78" i="58"/>
  <c r="L9" i="58"/>
  <c r="L8" i="59" s="1"/>
  <c r="M162" i="58"/>
  <c r="M161" i="58"/>
  <c r="H198" i="58"/>
  <c r="H202" i="58" s="1"/>
  <c r="H84" i="58"/>
  <c r="H59" i="58"/>
  <c r="L168" i="58"/>
  <c r="I198" i="58"/>
  <c r="I202" i="58" s="1"/>
  <c r="I84" i="58"/>
  <c r="I59" i="58"/>
  <c r="L162" i="58"/>
  <c r="L161" i="58"/>
  <c r="M168" i="58"/>
  <c r="L198" i="58"/>
  <c r="L84" i="58"/>
  <c r="L59" i="58"/>
  <c r="M9" i="58"/>
  <c r="M10" i="58" s="1"/>
  <c r="M198" i="58"/>
  <c r="M202" i="58" s="1"/>
  <c r="M84" i="58"/>
  <c r="M59" i="58"/>
  <c r="M31" i="58"/>
  <c r="M13" i="58"/>
  <c r="M20" i="58" s="1"/>
  <c r="M113" i="58"/>
  <c r="I151" i="58"/>
  <c r="L82" i="58"/>
  <c r="J151" i="58"/>
  <c r="H76" i="58"/>
  <c r="M82" i="58"/>
  <c r="H148" i="58"/>
  <c r="I76" i="58"/>
  <c r="I148" i="58"/>
  <c r="I196" i="58"/>
  <c r="I197" i="58" s="1"/>
  <c r="J148" i="58"/>
  <c r="J59" i="58"/>
  <c r="H73" i="58"/>
  <c r="H145" i="58"/>
  <c r="K196" i="58"/>
  <c r="K197" i="58" s="1"/>
  <c r="K59" i="58"/>
  <c r="I73" i="58"/>
  <c r="I145" i="58"/>
  <c r="H152" i="58"/>
  <c r="L165" i="58"/>
  <c r="L167" i="58" s="1"/>
  <c r="J73" i="58"/>
  <c r="J145" i="58"/>
  <c r="I152" i="58"/>
  <c r="M165" i="58"/>
  <c r="M167" i="58" s="1"/>
  <c r="L196" i="58"/>
  <c r="L197" i="58" s="1"/>
  <c r="H70" i="58"/>
  <c r="J152" i="58"/>
  <c r="M196" i="58"/>
  <c r="M197" i="58" s="1"/>
  <c r="I70" i="58"/>
  <c r="H77" i="58"/>
  <c r="H149" i="58"/>
  <c r="H173" i="58"/>
  <c r="H175" i="58" s="1"/>
  <c r="J70" i="58"/>
  <c r="I77" i="58"/>
  <c r="I149" i="58"/>
  <c r="I173" i="58"/>
  <c r="I175" i="58" s="1"/>
  <c r="J77" i="58"/>
  <c r="J149" i="58"/>
  <c r="J173" i="58"/>
  <c r="J175" i="58" s="1"/>
  <c r="H74" i="58"/>
  <c r="J84" i="58"/>
  <c r="H146" i="58"/>
  <c r="K173" i="58"/>
  <c r="K175" i="58" s="1"/>
  <c r="I74" i="58"/>
  <c r="K84" i="58"/>
  <c r="I146" i="58"/>
  <c r="H153" i="58"/>
  <c r="K156" i="58"/>
  <c r="H177" i="58"/>
  <c r="H179" i="58" s="1"/>
  <c r="H180" i="58" s="1"/>
  <c r="J146" i="58"/>
  <c r="I153" i="58"/>
  <c r="L173" i="58"/>
  <c r="L175" i="58" s="1"/>
  <c r="I177" i="58"/>
  <c r="I179" i="58" s="1"/>
  <c r="I180" i="58" s="1"/>
  <c r="H71" i="58"/>
  <c r="J153" i="58"/>
  <c r="L156" i="58"/>
  <c r="I71" i="58"/>
  <c r="H78" i="58"/>
  <c r="H150" i="58"/>
  <c r="M156" i="58"/>
  <c r="I78" i="58"/>
  <c r="I150" i="58"/>
  <c r="J150" i="58"/>
  <c r="H75" i="58"/>
  <c r="K78" i="58"/>
  <c r="H147" i="58"/>
  <c r="K150" i="58"/>
  <c r="M153" i="58"/>
  <c r="L71" i="58"/>
  <c r="I75" i="58"/>
  <c r="I147" i="58"/>
  <c r="M71" i="58"/>
  <c r="J75" i="58"/>
  <c r="L78" i="58"/>
  <c r="J147" i="58"/>
  <c r="L150" i="58"/>
  <c r="L11" i="58"/>
  <c r="H72" i="58"/>
  <c r="K75" i="58"/>
  <c r="M78" i="58"/>
  <c r="M7" i="60"/>
  <c r="N7" i="60"/>
  <c r="O7" i="60"/>
  <c r="I7" i="60"/>
  <c r="H26" i="60"/>
  <c r="H24" i="60"/>
  <c r="H25" i="60" s="1"/>
  <c r="H28" i="60" s="1"/>
  <c r="N12" i="60"/>
  <c r="N10" i="60"/>
  <c r="N11" i="60" s="1"/>
  <c r="N14" i="60" s="1"/>
  <c r="K26" i="60"/>
  <c r="K24" i="60"/>
  <c r="K25" i="60" s="1"/>
  <c r="K28" i="60" s="1"/>
  <c r="M12" i="60"/>
  <c r="M10" i="60"/>
  <c r="M11" i="60" s="1"/>
  <c r="M14" i="60" s="1"/>
  <c r="I26" i="60"/>
  <c r="I24" i="60"/>
  <c r="I25" i="60" s="1"/>
  <c r="I28" i="60" s="1"/>
  <c r="O12" i="60"/>
  <c r="O10" i="60"/>
  <c r="O11" i="60" s="1"/>
  <c r="O28" i="60"/>
  <c r="J26" i="60"/>
  <c r="J24" i="60"/>
  <c r="J25" i="60" s="1"/>
  <c r="J28" i="60" s="1"/>
  <c r="L24" i="60"/>
  <c r="L25" i="60" s="1"/>
  <c r="L28" i="60" s="1"/>
  <c r="L26" i="60"/>
  <c r="O26" i="60"/>
  <c r="O29" i="60" s="1"/>
  <c r="H19" i="60"/>
  <c r="H22" i="60" s="1"/>
  <c r="I19" i="60"/>
  <c r="I22" i="60" s="1"/>
  <c r="J19" i="60"/>
  <c r="J22" i="60" s="1"/>
  <c r="K19" i="60"/>
  <c r="K22" i="60" s="1"/>
  <c r="M24" i="60"/>
  <c r="M25" i="60" s="1"/>
  <c r="M29" i="60" s="1"/>
  <c r="H30" i="60"/>
  <c r="N24" i="60"/>
  <c r="N25" i="60" s="1"/>
  <c r="N29" i="60" s="1"/>
  <c r="I30" i="60"/>
  <c r="J30" i="60"/>
  <c r="H9" i="60"/>
  <c r="M19" i="60"/>
  <c r="M22" i="60" s="1"/>
  <c r="K30" i="60"/>
  <c r="N19" i="60"/>
  <c r="N22" i="60" s="1"/>
  <c r="L19" i="60"/>
  <c r="L22" i="60" s="1"/>
  <c r="I9" i="60"/>
  <c r="J9" i="60"/>
  <c r="O19" i="60"/>
  <c r="O22" i="60" s="1"/>
  <c r="L30" i="60"/>
  <c r="K9" i="60"/>
  <c r="M30" i="60"/>
  <c r="N30" i="60"/>
  <c r="L9" i="60"/>
  <c r="O30" i="60"/>
  <c r="H7" i="60"/>
  <c r="J7" i="60"/>
  <c r="K7" i="60"/>
  <c r="L7" i="60"/>
  <c r="I21" i="43"/>
  <c r="I23" i="43"/>
  <c r="P32" i="60" l="1"/>
  <c r="N160" i="59"/>
  <c r="N170" i="59" s="1"/>
  <c r="H191" i="58"/>
  <c r="I169" i="58"/>
  <c r="O169" i="58"/>
  <c r="O221" i="58" s="1"/>
  <c r="O211" i="58" s="1"/>
  <c r="K169" i="58"/>
  <c r="K191" i="58" s="1"/>
  <c r="M160" i="59"/>
  <c r="M170" i="59" s="1"/>
  <c r="L160" i="59"/>
  <c r="L170" i="59" s="1"/>
  <c r="L10" i="58"/>
  <c r="P28" i="60"/>
  <c r="P21" i="60"/>
  <c r="O14" i="60"/>
  <c r="O31" i="60" s="1"/>
  <c r="G6" i="61"/>
  <c r="G8" i="61" s="1"/>
  <c r="G32" i="61" s="1"/>
  <c r="G15" i="61" s="1"/>
  <c r="G16" i="61" s="1"/>
  <c r="G62" i="61" s="1"/>
  <c r="G84" i="61" s="1"/>
  <c r="M28" i="60"/>
  <c r="M31" i="60" s="1"/>
  <c r="J191" i="58"/>
  <c r="M8" i="59"/>
  <c r="L17" i="58"/>
  <c r="L18" i="58" s="1"/>
  <c r="L24" i="58" s="1"/>
  <c r="L113" i="58"/>
  <c r="L97" i="58" s="1"/>
  <c r="O8" i="59"/>
  <c r="N8" i="59"/>
  <c r="L171" i="59"/>
  <c r="L161" i="59" s="1"/>
  <c r="L169" i="58"/>
  <c r="L202" i="58"/>
  <c r="L180" i="58"/>
  <c r="O171" i="59"/>
  <c r="O161" i="59" s="1"/>
  <c r="N171" i="59"/>
  <c r="N161" i="59" s="1"/>
  <c r="O160" i="59"/>
  <c r="O170" i="59" s="1"/>
  <c r="M171" i="59"/>
  <c r="M161" i="59" s="1"/>
  <c r="J221" i="58"/>
  <c r="J211" i="58" s="1"/>
  <c r="I191" i="58"/>
  <c r="N13" i="58"/>
  <c r="N20" i="58" s="1"/>
  <c r="N56" i="58" s="1"/>
  <c r="N68" i="58" s="1"/>
  <c r="N17" i="58"/>
  <c r="N18" i="58" s="1"/>
  <c r="N24" i="58" s="1"/>
  <c r="N25" i="58" s="1"/>
  <c r="N26" i="58" s="1"/>
  <c r="H221" i="58"/>
  <c r="H211" i="58" s="1"/>
  <c r="K221" i="58"/>
  <c r="K211" i="58" s="1"/>
  <c r="N113" i="58"/>
  <c r="N97" i="58" s="1"/>
  <c r="N169" i="58"/>
  <c r="N221" i="58" s="1"/>
  <c r="N211" i="58" s="1"/>
  <c r="N88" i="58"/>
  <c r="N87" i="58" s="1"/>
  <c r="M169" i="58"/>
  <c r="M221" i="58" s="1"/>
  <c r="M211" i="58" s="1"/>
  <c r="O113" i="58"/>
  <c r="O13" i="58"/>
  <c r="O20" i="58" s="1"/>
  <c r="O88" i="58"/>
  <c r="O87" i="58" s="1"/>
  <c r="O31" i="58"/>
  <c r="O158" i="58"/>
  <c r="O157" i="58"/>
  <c r="O162" i="58"/>
  <c r="O161" i="58"/>
  <c r="O17" i="58"/>
  <c r="O18" i="58" s="1"/>
  <c r="O24" i="58" s="1"/>
  <c r="N158" i="58"/>
  <c r="N157" i="58"/>
  <c r="N162" i="58"/>
  <c r="N161" i="58"/>
  <c r="N33" i="58"/>
  <c r="N32" i="58"/>
  <c r="N34" i="58" s="1"/>
  <c r="M25" i="58"/>
  <c r="M26" i="58" s="1"/>
  <c r="M27" i="58" s="1"/>
  <c r="I221" i="58"/>
  <c r="I211" i="58" s="1"/>
  <c r="L13" i="58"/>
  <c r="L20" i="58" s="1"/>
  <c r="L31" i="58"/>
  <c r="L88" i="58"/>
  <c r="L87" i="58" s="1"/>
  <c r="L157" i="58"/>
  <c r="L158" i="58"/>
  <c r="M115" i="58"/>
  <c r="M114" i="58"/>
  <c r="M163" i="58"/>
  <c r="M57" i="58"/>
  <c r="M69" i="58" s="1"/>
  <c r="M21" i="58"/>
  <c r="M56" i="58"/>
  <c r="M68" i="58" s="1"/>
  <c r="M42" i="58"/>
  <c r="M33" i="58"/>
  <c r="M32" i="58"/>
  <c r="M34" i="58" s="1"/>
  <c r="M97" i="58"/>
  <c r="L163" i="58"/>
  <c r="K157" i="58"/>
  <c r="K158" i="58"/>
  <c r="M157" i="58"/>
  <c r="M158" i="58"/>
  <c r="H10" i="60"/>
  <c r="H11" i="60" s="1"/>
  <c r="H14" i="60" s="1"/>
  <c r="H31" i="60" s="1"/>
  <c r="H12" i="60"/>
  <c r="L12" i="60"/>
  <c r="L10" i="60"/>
  <c r="L11" i="60" s="1"/>
  <c r="L14" i="60" s="1"/>
  <c r="L31" i="60" s="1"/>
  <c r="O15" i="60"/>
  <c r="O32" i="60" s="1"/>
  <c r="I29" i="60"/>
  <c r="N15" i="60"/>
  <c r="N32" i="60" s="1"/>
  <c r="K10" i="60"/>
  <c r="K11" i="60" s="1"/>
  <c r="K14" i="60" s="1"/>
  <c r="K31" i="60" s="1"/>
  <c r="K12" i="60"/>
  <c r="K29" i="60"/>
  <c r="I10" i="60"/>
  <c r="I11" i="60" s="1"/>
  <c r="I14" i="60" s="1"/>
  <c r="I31" i="60" s="1"/>
  <c r="I12" i="60"/>
  <c r="N28" i="60"/>
  <c r="N31" i="60" s="1"/>
  <c r="M15" i="60"/>
  <c r="M32" i="60" s="1"/>
  <c r="J10" i="60"/>
  <c r="J11" i="60" s="1"/>
  <c r="J14" i="60" s="1"/>
  <c r="J31" i="60" s="1"/>
  <c r="J12" i="60"/>
  <c r="L29" i="60"/>
  <c r="J29" i="60"/>
  <c r="H29" i="60"/>
  <c r="G47" i="61" l="1"/>
  <c r="G51" i="61" s="1"/>
  <c r="G76" i="61" s="1"/>
  <c r="G97" i="61" s="1"/>
  <c r="O191" i="58"/>
  <c r="N159" i="58"/>
  <c r="N219" i="58" s="1"/>
  <c r="N209" i="58" s="1"/>
  <c r="P31" i="60"/>
  <c r="J15" i="60"/>
  <c r="G18" i="61"/>
  <c r="G30" i="61" s="1"/>
  <c r="G71" i="61" s="1"/>
  <c r="G92" i="61" s="1"/>
  <c r="G4" i="61"/>
  <c r="G5" i="61"/>
  <c r="G33" i="61"/>
  <c r="G79" i="61" s="1"/>
  <c r="G38" i="61"/>
  <c r="G39" i="61" s="1"/>
  <c r="K15" i="60"/>
  <c r="G2" i="61"/>
  <c r="G57" i="61" s="1"/>
  <c r="G46" i="61"/>
  <c r="G83" i="61" s="1"/>
  <c r="G100" i="61" s="1"/>
  <c r="G3" i="61"/>
  <c r="M191" i="58"/>
  <c r="N57" i="58"/>
  <c r="N69" i="58" s="1"/>
  <c r="N42" i="58"/>
  <c r="G50" i="61"/>
  <c r="G68" i="61" s="1"/>
  <c r="G89" i="61" s="1"/>
  <c r="I15" i="60"/>
  <c r="I32" i="60" s="1"/>
  <c r="H15" i="60"/>
  <c r="H32" i="60" s="1"/>
  <c r="G49" i="61"/>
  <c r="G81" i="61" s="1"/>
  <c r="O159" i="58"/>
  <c r="O219" i="58" s="1"/>
  <c r="O209" i="58" s="1"/>
  <c r="N21" i="58"/>
  <c r="N55" i="58" s="1"/>
  <c r="N67" i="58" s="1"/>
  <c r="L191" i="58"/>
  <c r="L221" i="58"/>
  <c r="L211" i="58" s="1"/>
  <c r="M159" i="58"/>
  <c r="M219" i="58" s="1"/>
  <c r="M209" i="58" s="1"/>
  <c r="N114" i="58"/>
  <c r="N117" i="58" s="1"/>
  <c r="N191" i="58"/>
  <c r="N115" i="58"/>
  <c r="O25" i="58"/>
  <c r="O163" i="58"/>
  <c r="O57" i="58"/>
  <c r="O69" i="58" s="1"/>
  <c r="O56" i="58"/>
  <c r="O68" i="58" s="1"/>
  <c r="O21" i="58"/>
  <c r="O42" i="58"/>
  <c r="O33" i="58"/>
  <c r="O32" i="58"/>
  <c r="O34" i="58" s="1"/>
  <c r="O115" i="58"/>
  <c r="O114" i="58"/>
  <c r="O97" i="58"/>
  <c r="N36" i="58"/>
  <c r="N39" i="58" s="1"/>
  <c r="N35" i="58"/>
  <c r="N118" i="58"/>
  <c r="N119" i="58"/>
  <c r="N163" i="58"/>
  <c r="N99" i="58"/>
  <c r="N98" i="58"/>
  <c r="N104" i="58"/>
  <c r="N27" i="58"/>
  <c r="L98" i="58"/>
  <c r="L104" i="58"/>
  <c r="L109" i="58" s="1"/>
  <c r="L110" i="58" s="1"/>
  <c r="L99" i="58"/>
  <c r="L33" i="58"/>
  <c r="L32" i="58"/>
  <c r="L34" i="58" s="1"/>
  <c r="L115" i="58"/>
  <c r="L114" i="58"/>
  <c r="L57" i="58"/>
  <c r="L69" i="58" s="1"/>
  <c r="L21" i="58"/>
  <c r="L56" i="58"/>
  <c r="L68" i="58" s="1"/>
  <c r="L42" i="58"/>
  <c r="M117" i="58"/>
  <c r="M116" i="58"/>
  <c r="M98" i="58"/>
  <c r="M104" i="58"/>
  <c r="M99" i="58"/>
  <c r="M54" i="58"/>
  <c r="M66" i="58" s="1"/>
  <c r="M43" i="58"/>
  <c r="M55" i="58"/>
  <c r="M67" i="58" s="1"/>
  <c r="M40" i="58"/>
  <c r="M218" i="58"/>
  <c r="M208" i="58" s="1"/>
  <c r="M217" i="58"/>
  <c r="M207" i="58" s="1"/>
  <c r="M220" i="58"/>
  <c r="M210" i="58" s="1"/>
  <c r="L40" i="58"/>
  <c r="L218" i="58"/>
  <c r="L208" i="58" s="1"/>
  <c r="L217" i="58"/>
  <c r="L207" i="58" s="1"/>
  <c r="L220" i="58"/>
  <c r="L210" i="58" s="1"/>
  <c r="M36" i="58"/>
  <c r="M39" i="58" s="1"/>
  <c r="M35" i="58"/>
  <c r="M118" i="58"/>
  <c r="M119" i="58"/>
  <c r="L25" i="58"/>
  <c r="L26" i="58" s="1"/>
  <c r="L159" i="58"/>
  <c r="K159" i="58"/>
  <c r="K219" i="58" s="1"/>
  <c r="K209" i="58" s="1"/>
  <c r="M22" i="58"/>
  <c r="J32" i="60"/>
  <c r="K32" i="60"/>
  <c r="L15" i="60"/>
  <c r="L32" i="60" s="1"/>
  <c r="H154" i="43"/>
  <c r="G154" i="43"/>
  <c r="F154" i="43"/>
  <c r="H153" i="43"/>
  <c r="G153" i="43"/>
  <c r="F153" i="43"/>
  <c r="H152" i="43"/>
  <c r="J38" i="59" s="1"/>
  <c r="G152" i="43"/>
  <c r="I38" i="59" s="1"/>
  <c r="F152" i="43"/>
  <c r="H38" i="59" s="1"/>
  <c r="H151" i="43"/>
  <c r="J48" i="59" s="1"/>
  <c r="G151" i="43"/>
  <c r="I48" i="59" s="1"/>
  <c r="F151" i="43"/>
  <c r="H48" i="59" s="1"/>
  <c r="H150" i="43"/>
  <c r="J36" i="59" s="1"/>
  <c r="G150" i="43"/>
  <c r="I36" i="59" s="1"/>
  <c r="F150" i="43"/>
  <c r="H149" i="43"/>
  <c r="J46" i="59" s="1"/>
  <c r="G149" i="43"/>
  <c r="I46" i="59" s="1"/>
  <c r="F149" i="43"/>
  <c r="H46" i="59" s="1"/>
  <c r="H148" i="43"/>
  <c r="G148" i="43"/>
  <c r="F148" i="43"/>
  <c r="H147" i="43"/>
  <c r="G147" i="43"/>
  <c r="F147" i="43"/>
  <c r="H146" i="43"/>
  <c r="J11" i="59" s="1"/>
  <c r="G146" i="43"/>
  <c r="I11" i="59" s="1"/>
  <c r="F146" i="43"/>
  <c r="H11" i="59" s="1"/>
  <c r="H145" i="43"/>
  <c r="J14" i="59" s="1"/>
  <c r="G145" i="43"/>
  <c r="I14" i="59" s="1"/>
  <c r="F145" i="43"/>
  <c r="H14" i="59" s="1"/>
  <c r="H144" i="43"/>
  <c r="J10" i="59" s="1"/>
  <c r="G144" i="43"/>
  <c r="I10" i="59" s="1"/>
  <c r="F144" i="43"/>
  <c r="H10" i="59" s="1"/>
  <c r="H143" i="43"/>
  <c r="J13" i="59" s="1"/>
  <c r="G143" i="43"/>
  <c r="I13" i="59" s="1"/>
  <c r="F143" i="43"/>
  <c r="H13" i="59" s="1"/>
  <c r="H19" i="43"/>
  <c r="J155" i="58" s="1"/>
  <c r="J157" i="58" s="1"/>
  <c r="J159" i="58" s="1"/>
  <c r="J219" i="58" s="1"/>
  <c r="J209" i="58" s="1"/>
  <c r="G19" i="43"/>
  <c r="I155" i="58" s="1"/>
  <c r="I157" i="58" s="1"/>
  <c r="I159" i="58" s="1"/>
  <c r="I219" i="58" s="1"/>
  <c r="I209" i="58" s="1"/>
  <c r="F19" i="43"/>
  <c r="H155" i="58" s="1"/>
  <c r="H157" i="58" s="1"/>
  <c r="H159" i="58" s="1"/>
  <c r="H219" i="58" s="1"/>
  <c r="H209" i="58" s="1"/>
  <c r="M65" i="75"/>
  <c r="M74" i="75" s="1"/>
  <c r="L65" i="75"/>
  <c r="L74" i="75" s="1"/>
  <c r="N60" i="75"/>
  <c r="N69" i="75" s="1"/>
  <c r="M60" i="75"/>
  <c r="M69" i="75" s="1"/>
  <c r="N56" i="75"/>
  <c r="M56" i="75"/>
  <c r="L56" i="75"/>
  <c r="K56" i="75"/>
  <c r="J56" i="75"/>
  <c r="N55" i="75"/>
  <c r="N65" i="75" s="1"/>
  <c r="N74" i="75" s="1"/>
  <c r="M55" i="75"/>
  <c r="L55" i="75"/>
  <c r="K55" i="75"/>
  <c r="K65" i="75" s="1"/>
  <c r="K74" i="75" s="1"/>
  <c r="J55" i="75"/>
  <c r="J65" i="75" s="1"/>
  <c r="J74" i="75" s="1"/>
  <c r="N54" i="75"/>
  <c r="M54" i="75"/>
  <c r="L54" i="75"/>
  <c r="K54" i="75"/>
  <c r="J54" i="75"/>
  <c r="N53" i="75"/>
  <c r="N64" i="75" s="1"/>
  <c r="N73" i="75" s="1"/>
  <c r="M53" i="75"/>
  <c r="M64" i="75" s="1"/>
  <c r="M73" i="75" s="1"/>
  <c r="L53" i="75"/>
  <c r="L64" i="75" s="1"/>
  <c r="L73" i="75" s="1"/>
  <c r="K53" i="75"/>
  <c r="K64" i="75" s="1"/>
  <c r="K73" i="75" s="1"/>
  <c r="J53" i="75"/>
  <c r="J64" i="75" s="1"/>
  <c r="J73" i="75" s="1"/>
  <c r="N52" i="75"/>
  <c r="M52" i="75"/>
  <c r="L52" i="75"/>
  <c r="K52" i="75"/>
  <c r="J52" i="75"/>
  <c r="N51" i="75"/>
  <c r="M51" i="75"/>
  <c r="L51" i="75"/>
  <c r="K51" i="75"/>
  <c r="J51" i="75"/>
  <c r="N50" i="75"/>
  <c r="M50" i="75"/>
  <c r="L50" i="75"/>
  <c r="K50" i="75"/>
  <c r="J50" i="75"/>
  <c r="N49" i="75"/>
  <c r="M49" i="75"/>
  <c r="L49" i="75"/>
  <c r="L60" i="75" s="1"/>
  <c r="L69" i="75" s="1"/>
  <c r="K49" i="75"/>
  <c r="K60" i="75" s="1"/>
  <c r="K69" i="75" s="1"/>
  <c r="J49" i="75"/>
  <c r="J60" i="75" s="1"/>
  <c r="J69" i="75" s="1"/>
  <c r="N47" i="75"/>
  <c r="N48" i="75" s="1"/>
  <c r="N61" i="75" s="1"/>
  <c r="N70" i="75" s="1"/>
  <c r="M47" i="75"/>
  <c r="M48" i="75" s="1"/>
  <c r="M61" i="75" s="1"/>
  <c r="M70" i="75" s="1"/>
  <c r="L47" i="75"/>
  <c r="L48" i="75" s="1"/>
  <c r="L61" i="75" s="1"/>
  <c r="L70" i="75" s="1"/>
  <c r="K47" i="75"/>
  <c r="K48" i="75" s="1"/>
  <c r="K61" i="75" s="1"/>
  <c r="K70" i="75" s="1"/>
  <c r="J47" i="75"/>
  <c r="J48" i="75" s="1"/>
  <c r="J61" i="75" s="1"/>
  <c r="J70" i="75" s="1"/>
  <c r="N46" i="75"/>
  <c r="M46" i="75"/>
  <c r="L46" i="75"/>
  <c r="K46" i="75"/>
  <c r="J46" i="75"/>
  <c r="N44" i="75"/>
  <c r="N45" i="75" s="1"/>
  <c r="M44" i="75"/>
  <c r="M45" i="75" s="1"/>
  <c r="L44" i="75"/>
  <c r="L45" i="75" s="1"/>
  <c r="K44" i="75"/>
  <c r="K45" i="75" s="1"/>
  <c r="J44" i="75"/>
  <c r="N43" i="75"/>
  <c r="M43" i="75"/>
  <c r="L43" i="75"/>
  <c r="K43" i="75"/>
  <c r="J43" i="75"/>
  <c r="N42" i="75"/>
  <c r="M42" i="75"/>
  <c r="L42" i="75"/>
  <c r="K42" i="75"/>
  <c r="J42" i="75"/>
  <c r="J45" i="75" s="1"/>
  <c r="N41" i="75"/>
  <c r="M41" i="75"/>
  <c r="L41" i="75"/>
  <c r="N40" i="75"/>
  <c r="M40" i="75"/>
  <c r="L40" i="75"/>
  <c r="K40" i="75"/>
  <c r="K41" i="75" s="1"/>
  <c r="J40" i="75"/>
  <c r="J41" i="75" s="1"/>
  <c r="N39" i="75"/>
  <c r="M39" i="75"/>
  <c r="L39" i="75"/>
  <c r="K39" i="75"/>
  <c r="J39" i="75"/>
  <c r="N38" i="75"/>
  <c r="M38" i="75"/>
  <c r="L38" i="75"/>
  <c r="K38" i="75"/>
  <c r="J38" i="75"/>
  <c r="L37" i="75"/>
  <c r="K37" i="75"/>
  <c r="J37" i="75"/>
  <c r="N36" i="75"/>
  <c r="N37" i="75" s="1"/>
  <c r="M36" i="75"/>
  <c r="M37" i="75" s="1"/>
  <c r="L36" i="75"/>
  <c r="K36" i="75"/>
  <c r="J36" i="75"/>
  <c r="N35" i="75"/>
  <c r="M35" i="75"/>
  <c r="L35" i="75"/>
  <c r="K35" i="75"/>
  <c r="J35" i="75"/>
  <c r="N34" i="75"/>
  <c r="M34" i="75"/>
  <c r="L34" i="75"/>
  <c r="K34" i="75"/>
  <c r="J34" i="75"/>
  <c r="N32" i="75"/>
  <c r="N33" i="75" s="1"/>
  <c r="M32" i="75"/>
  <c r="M33" i="75" s="1"/>
  <c r="L32" i="75"/>
  <c r="L33" i="75" s="1"/>
  <c r="K32" i="75"/>
  <c r="K33" i="75" s="1"/>
  <c r="J32" i="75"/>
  <c r="J33" i="75" s="1"/>
  <c r="N31" i="75"/>
  <c r="M31" i="75"/>
  <c r="L31" i="75"/>
  <c r="K31" i="75"/>
  <c r="J31" i="75"/>
  <c r="N30" i="75"/>
  <c r="M30" i="75"/>
  <c r="L30" i="75"/>
  <c r="K30" i="75"/>
  <c r="J30" i="75"/>
  <c r="N29" i="75"/>
  <c r="M29" i="75"/>
  <c r="L29" i="75"/>
  <c r="K29" i="75"/>
  <c r="J29" i="75"/>
  <c r="N28" i="75"/>
  <c r="M28" i="75"/>
  <c r="L28" i="75"/>
  <c r="K28" i="75"/>
  <c r="J28" i="75"/>
  <c r="N27" i="75"/>
  <c r="M27" i="75"/>
  <c r="L27" i="75"/>
  <c r="K27" i="75"/>
  <c r="J27" i="75"/>
  <c r="N26" i="75"/>
  <c r="M26" i="75"/>
  <c r="L26" i="75"/>
  <c r="K26" i="75"/>
  <c r="J26" i="75"/>
  <c r="N25" i="75"/>
  <c r="M25" i="75"/>
  <c r="L25" i="75"/>
  <c r="K25" i="75"/>
  <c r="J25" i="75"/>
  <c r="N24" i="75"/>
  <c r="M24" i="75"/>
  <c r="L24" i="75"/>
  <c r="K24" i="75"/>
  <c r="J24" i="75"/>
  <c r="N23" i="75"/>
  <c r="M23" i="75"/>
  <c r="L23" i="75"/>
  <c r="K23" i="75"/>
  <c r="J23" i="75"/>
  <c r="N22" i="75"/>
  <c r="M22" i="75"/>
  <c r="L22" i="75"/>
  <c r="K22" i="75"/>
  <c r="J22" i="75"/>
  <c r="N21" i="75"/>
  <c r="M21" i="75"/>
  <c r="L21" i="75"/>
  <c r="K21" i="75"/>
  <c r="J21" i="75"/>
  <c r="N18" i="75"/>
  <c r="M18" i="75"/>
  <c r="L18" i="75"/>
  <c r="K18" i="75"/>
  <c r="J18" i="75"/>
  <c r="N17" i="75"/>
  <c r="M17" i="75"/>
  <c r="L17" i="75"/>
  <c r="K17" i="75"/>
  <c r="J17" i="75"/>
  <c r="N16" i="75"/>
  <c r="M16" i="75"/>
  <c r="L16" i="75"/>
  <c r="K16" i="75"/>
  <c r="J16" i="75"/>
  <c r="N14" i="75"/>
  <c r="M14" i="75"/>
  <c r="L14" i="75"/>
  <c r="K14" i="75"/>
  <c r="K15" i="75" s="1"/>
  <c r="J14" i="75"/>
  <c r="J15" i="75" s="1"/>
  <c r="N13" i="75"/>
  <c r="N15" i="75" s="1"/>
  <c r="M13" i="75"/>
  <c r="M15" i="75" s="1"/>
  <c r="L13" i="75"/>
  <c r="L15" i="75" s="1"/>
  <c r="K13" i="75"/>
  <c r="J13" i="75"/>
  <c r="N12" i="75"/>
  <c r="M12" i="75"/>
  <c r="L12" i="75"/>
  <c r="K12" i="75"/>
  <c r="J12" i="75"/>
  <c r="N11" i="75"/>
  <c r="M11" i="75"/>
  <c r="L11" i="75"/>
  <c r="K11" i="75"/>
  <c r="J11" i="75"/>
  <c r="N10" i="75"/>
  <c r="M10" i="75"/>
  <c r="L10" i="75"/>
  <c r="K10" i="75"/>
  <c r="J10" i="75"/>
  <c r="N9" i="75"/>
  <c r="M9" i="75"/>
  <c r="L9" i="75"/>
  <c r="K9" i="75"/>
  <c r="J9" i="75"/>
  <c r="N8" i="75"/>
  <c r="M8" i="75"/>
  <c r="L8" i="75"/>
  <c r="K8" i="75"/>
  <c r="J8" i="75"/>
  <c r="N7" i="75"/>
  <c r="M7" i="75"/>
  <c r="L7" i="75"/>
  <c r="K7" i="75"/>
  <c r="J7" i="75"/>
  <c r="N6" i="75"/>
  <c r="M6" i="75"/>
  <c r="L6" i="75"/>
  <c r="K6" i="75"/>
  <c r="N5" i="75"/>
  <c r="M5" i="75"/>
  <c r="L5" i="75"/>
  <c r="K5" i="75"/>
  <c r="N4" i="75"/>
  <c r="M4" i="75"/>
  <c r="L4" i="75"/>
  <c r="K4" i="75"/>
  <c r="J4" i="75"/>
  <c r="N3" i="75"/>
  <c r="M3" i="75"/>
  <c r="L3" i="75"/>
  <c r="K3" i="75"/>
  <c r="J3" i="75"/>
  <c r="N2" i="75"/>
  <c r="M2" i="75"/>
  <c r="L2" i="75"/>
  <c r="K2" i="75"/>
  <c r="J2" i="75"/>
  <c r="N1" i="75"/>
  <c r="M1" i="75"/>
  <c r="L1" i="75"/>
  <c r="K1" i="75"/>
  <c r="J1" i="75"/>
  <c r="L91" i="37"/>
  <c r="L94" i="37" s="1"/>
  <c r="L115" i="37" s="1"/>
  <c r="L90" i="37"/>
  <c r="K90" i="37"/>
  <c r="K91" i="37" s="1"/>
  <c r="J90" i="37"/>
  <c r="J91" i="37" s="1"/>
  <c r="I90" i="37"/>
  <c r="I91" i="37" s="1"/>
  <c r="H90" i="37"/>
  <c r="H91" i="37" s="1"/>
  <c r="L84" i="37"/>
  <c r="L89" i="37" s="1"/>
  <c r="L118" i="37" s="1"/>
  <c r="K84" i="37"/>
  <c r="K89" i="37" s="1"/>
  <c r="K118" i="37" s="1"/>
  <c r="J84" i="37"/>
  <c r="J89" i="37" s="1"/>
  <c r="J118" i="37" s="1"/>
  <c r="I84" i="37"/>
  <c r="I89" i="37" s="1"/>
  <c r="I118" i="37" s="1"/>
  <c r="H84" i="37"/>
  <c r="H89" i="37" s="1"/>
  <c r="H118" i="37" s="1"/>
  <c r="L83" i="37"/>
  <c r="L88" i="37" s="1"/>
  <c r="L117" i="37" s="1"/>
  <c r="K83" i="37"/>
  <c r="K88" i="37" s="1"/>
  <c r="K117" i="37" s="1"/>
  <c r="J83" i="37"/>
  <c r="J88" i="37" s="1"/>
  <c r="J117" i="37" s="1"/>
  <c r="I83" i="37"/>
  <c r="I88" i="37" s="1"/>
  <c r="I117" i="37" s="1"/>
  <c r="H83" i="37"/>
  <c r="H88" i="37" s="1"/>
  <c r="H117" i="37" s="1"/>
  <c r="K82" i="37"/>
  <c r="J82" i="37"/>
  <c r="L81" i="37"/>
  <c r="L82" i="37" s="1"/>
  <c r="K81" i="37"/>
  <c r="J81" i="37"/>
  <c r="I81" i="37"/>
  <c r="I82" i="37" s="1"/>
  <c r="H81" i="37"/>
  <c r="L78" i="37"/>
  <c r="K78" i="37"/>
  <c r="J78" i="37"/>
  <c r="I78" i="37"/>
  <c r="H78" i="37"/>
  <c r="L77" i="37"/>
  <c r="K77" i="37"/>
  <c r="J77" i="37"/>
  <c r="I77" i="37"/>
  <c r="H77" i="37"/>
  <c r="L76" i="37"/>
  <c r="K76" i="37"/>
  <c r="J76" i="37"/>
  <c r="I76" i="37"/>
  <c r="H76" i="37"/>
  <c r="L75" i="37"/>
  <c r="K75" i="37"/>
  <c r="J75" i="37"/>
  <c r="I75" i="37"/>
  <c r="H75" i="37"/>
  <c r="L72" i="37"/>
  <c r="L74" i="37" s="1"/>
  <c r="K72" i="37"/>
  <c r="K74" i="37" s="1"/>
  <c r="J72" i="37"/>
  <c r="J74" i="37" s="1"/>
  <c r="I72" i="37"/>
  <c r="I74" i="37" s="1"/>
  <c r="H72" i="37"/>
  <c r="H73" i="37" s="1"/>
  <c r="L68" i="37"/>
  <c r="L71" i="37" s="1"/>
  <c r="K68" i="37"/>
  <c r="K71" i="37" s="1"/>
  <c r="J68" i="37"/>
  <c r="J71" i="37" s="1"/>
  <c r="I68" i="37"/>
  <c r="I71" i="37" s="1"/>
  <c r="H68" i="37"/>
  <c r="H71" i="37" s="1"/>
  <c r="L64" i="37"/>
  <c r="L65" i="37" s="1"/>
  <c r="L112" i="37" s="1"/>
  <c r="K64" i="37"/>
  <c r="K65" i="37" s="1"/>
  <c r="K112" i="37" s="1"/>
  <c r="J64" i="37"/>
  <c r="I64" i="37"/>
  <c r="H64" i="37"/>
  <c r="H82" i="37" s="1"/>
  <c r="I57" i="37"/>
  <c r="H57" i="37"/>
  <c r="J55" i="37"/>
  <c r="I55" i="37"/>
  <c r="H55" i="37"/>
  <c r="L53" i="37"/>
  <c r="K53" i="37"/>
  <c r="J53" i="37"/>
  <c r="L49" i="37"/>
  <c r="L52" i="37" s="1"/>
  <c r="K49" i="37"/>
  <c r="K52" i="37" s="1"/>
  <c r="J49" i="37"/>
  <c r="J52" i="37" s="1"/>
  <c r="I49" i="37"/>
  <c r="I53" i="37" s="1"/>
  <c r="H49" i="37"/>
  <c r="H53" i="37" s="1"/>
  <c r="L48" i="37"/>
  <c r="L57" i="37" s="1"/>
  <c r="K48" i="37"/>
  <c r="K57" i="37" s="1"/>
  <c r="J48" i="37"/>
  <c r="J57" i="37" s="1"/>
  <c r="I48" i="37"/>
  <c r="H48" i="37"/>
  <c r="L47" i="37"/>
  <c r="K47" i="37"/>
  <c r="J47" i="37"/>
  <c r="I47" i="37"/>
  <c r="H47" i="37"/>
  <c r="L46" i="37"/>
  <c r="L55" i="37" s="1"/>
  <c r="K46" i="37"/>
  <c r="K55" i="37" s="1"/>
  <c r="J46" i="37"/>
  <c r="I46" i="37"/>
  <c r="H46" i="37"/>
  <c r="L45" i="37"/>
  <c r="K45" i="37"/>
  <c r="J45" i="37"/>
  <c r="I45" i="37"/>
  <c r="H45" i="37"/>
  <c r="L44" i="37"/>
  <c r="L54" i="37" s="1"/>
  <c r="K44" i="37"/>
  <c r="K54" i="37" s="1"/>
  <c r="J44" i="37"/>
  <c r="J54" i="37" s="1"/>
  <c r="I44" i="37"/>
  <c r="I54" i="37" s="1"/>
  <c r="H44" i="37"/>
  <c r="H54" i="37" s="1"/>
  <c r="L39" i="37"/>
  <c r="L38" i="37" s="1"/>
  <c r="K39" i="37"/>
  <c r="K38" i="37" s="1"/>
  <c r="J39" i="37"/>
  <c r="J38" i="37" s="1"/>
  <c r="I39" i="37"/>
  <c r="I38" i="37" s="1"/>
  <c r="H39" i="37"/>
  <c r="H38" i="37" s="1"/>
  <c r="J31" i="37"/>
  <c r="I31" i="37"/>
  <c r="H31" i="37"/>
  <c r="L30" i="37"/>
  <c r="K30" i="37"/>
  <c r="J30" i="37"/>
  <c r="I30" i="37"/>
  <c r="H30" i="37"/>
  <c r="L29" i="37"/>
  <c r="K29" i="37"/>
  <c r="J29" i="37"/>
  <c r="L27" i="37"/>
  <c r="L26" i="37"/>
  <c r="L25" i="37"/>
  <c r="K25" i="37"/>
  <c r="J25" i="37"/>
  <c r="I25" i="37"/>
  <c r="H25" i="37"/>
  <c r="L24" i="37"/>
  <c r="K24" i="37"/>
  <c r="L23" i="37"/>
  <c r="K23" i="37"/>
  <c r="K27" i="37" s="1"/>
  <c r="J23" i="37"/>
  <c r="J24" i="37" s="1"/>
  <c r="I23" i="37"/>
  <c r="I24" i="37" s="1"/>
  <c r="H23" i="37"/>
  <c r="H24" i="37" s="1"/>
  <c r="L22" i="37"/>
  <c r="L31" i="37" s="1"/>
  <c r="K22" i="37"/>
  <c r="K31" i="37" s="1"/>
  <c r="J22" i="37"/>
  <c r="I22" i="37"/>
  <c r="H22" i="37"/>
  <c r="L21" i="37"/>
  <c r="K21" i="37"/>
  <c r="J21" i="37"/>
  <c r="I21" i="37"/>
  <c r="H21" i="37"/>
  <c r="L20" i="37"/>
  <c r="K20" i="37"/>
  <c r="J20" i="37"/>
  <c r="I20" i="37"/>
  <c r="I29" i="37" s="1"/>
  <c r="H20" i="37"/>
  <c r="H29" i="37" s="1"/>
  <c r="L19" i="37"/>
  <c r="K19" i="37"/>
  <c r="J19" i="37"/>
  <c r="I19" i="37"/>
  <c r="H19" i="37"/>
  <c r="L18" i="37"/>
  <c r="K18" i="37"/>
  <c r="J18" i="37"/>
  <c r="I18" i="37"/>
  <c r="H18" i="37"/>
  <c r="L13" i="37"/>
  <c r="L14" i="37" s="1"/>
  <c r="K13" i="37"/>
  <c r="K14" i="37" s="1"/>
  <c r="J13" i="37"/>
  <c r="J14" i="37" s="1"/>
  <c r="I13" i="37"/>
  <c r="I14" i="37" s="1"/>
  <c r="H13" i="37"/>
  <c r="H12" i="37" s="1"/>
  <c r="L8" i="37"/>
  <c r="K8" i="37"/>
  <c r="J8" i="37"/>
  <c r="I8" i="37"/>
  <c r="L7" i="37"/>
  <c r="K7" i="37"/>
  <c r="J7" i="37"/>
  <c r="I7" i="37"/>
  <c r="H7" i="37"/>
  <c r="L6" i="37"/>
  <c r="L9" i="37" s="1"/>
  <c r="K6" i="37"/>
  <c r="K9" i="37" s="1"/>
  <c r="J6" i="37"/>
  <c r="J9" i="37" s="1"/>
  <c r="I6" i="37"/>
  <c r="I9" i="37" s="1"/>
  <c r="H6" i="37"/>
  <c r="H9" i="37" s="1"/>
  <c r="L5" i="37"/>
  <c r="K5" i="37"/>
  <c r="J5" i="37"/>
  <c r="I5" i="37"/>
  <c r="H5" i="37"/>
  <c r="L4" i="37"/>
  <c r="K4" i="37"/>
  <c r="J4" i="37"/>
  <c r="I4" i="37"/>
  <c r="H4" i="37"/>
  <c r="L3" i="37"/>
  <c r="K3" i="37"/>
  <c r="J3" i="37"/>
  <c r="I3" i="37"/>
  <c r="H3" i="37"/>
  <c r="L2" i="37"/>
  <c r="K2" i="37"/>
  <c r="J2" i="37"/>
  <c r="I2" i="37"/>
  <c r="H2" i="37"/>
  <c r="H8" i="37" s="1"/>
  <c r="L1" i="37"/>
  <c r="K1" i="37"/>
  <c r="J1" i="37"/>
  <c r="I1" i="37"/>
  <c r="H1" i="37"/>
  <c r="J102" i="56"/>
  <c r="J111" i="56" s="1"/>
  <c r="J92" i="56"/>
  <c r="I92" i="56"/>
  <c r="J91" i="56"/>
  <c r="I91" i="56"/>
  <c r="K88" i="56"/>
  <c r="K90" i="56" s="1"/>
  <c r="J88" i="56"/>
  <c r="J90" i="56" s="1"/>
  <c r="I88" i="56"/>
  <c r="I90" i="56" s="1"/>
  <c r="H88" i="56"/>
  <c r="H90" i="56" s="1"/>
  <c r="G88" i="56"/>
  <c r="G90" i="56" s="1"/>
  <c r="K80" i="56"/>
  <c r="I80" i="56"/>
  <c r="H80" i="56"/>
  <c r="G80" i="56"/>
  <c r="K79" i="56"/>
  <c r="J79" i="56"/>
  <c r="I79" i="56"/>
  <c r="K78" i="56"/>
  <c r="I78" i="56"/>
  <c r="K77" i="56"/>
  <c r="J77" i="56"/>
  <c r="J78" i="56" s="1"/>
  <c r="I77" i="56"/>
  <c r="H77" i="56"/>
  <c r="H78" i="56" s="1"/>
  <c r="G77" i="56"/>
  <c r="G78" i="56" s="1"/>
  <c r="K76" i="56"/>
  <c r="I76" i="56"/>
  <c r="H76" i="56"/>
  <c r="G76" i="56"/>
  <c r="K74" i="56"/>
  <c r="J74" i="56"/>
  <c r="I74" i="56"/>
  <c r="H74" i="56"/>
  <c r="G74" i="56"/>
  <c r="K73" i="56"/>
  <c r="K75" i="56" s="1"/>
  <c r="J73" i="56"/>
  <c r="J75" i="56" s="1"/>
  <c r="K72" i="56"/>
  <c r="J72" i="56"/>
  <c r="J76" i="56" s="1"/>
  <c r="I72" i="56"/>
  <c r="I73" i="56" s="1"/>
  <c r="I75" i="56" s="1"/>
  <c r="H72" i="56"/>
  <c r="H73" i="56" s="1"/>
  <c r="H75" i="56" s="1"/>
  <c r="G72" i="56"/>
  <c r="G73" i="56" s="1"/>
  <c r="G75" i="56" s="1"/>
  <c r="J71" i="56"/>
  <c r="I71" i="56"/>
  <c r="H71" i="56"/>
  <c r="G71" i="56"/>
  <c r="K69" i="56"/>
  <c r="J69" i="56"/>
  <c r="I69" i="56"/>
  <c r="H69" i="56"/>
  <c r="G69" i="56"/>
  <c r="K68" i="56"/>
  <c r="K70" i="56" s="1"/>
  <c r="K67" i="56"/>
  <c r="K71" i="56" s="1"/>
  <c r="J67" i="56"/>
  <c r="J68" i="56" s="1"/>
  <c r="J70" i="56" s="1"/>
  <c r="I67" i="56"/>
  <c r="I68" i="56" s="1"/>
  <c r="I70" i="56" s="1"/>
  <c r="H67" i="56"/>
  <c r="H68" i="56" s="1"/>
  <c r="H70" i="56" s="1"/>
  <c r="G67" i="56"/>
  <c r="G68" i="56" s="1"/>
  <c r="G70" i="56" s="1"/>
  <c r="K66" i="56"/>
  <c r="J66" i="56"/>
  <c r="I66" i="56"/>
  <c r="H66" i="56"/>
  <c r="G66" i="56"/>
  <c r="K64" i="56"/>
  <c r="J64" i="56"/>
  <c r="I64" i="56"/>
  <c r="H64" i="56"/>
  <c r="G64" i="56"/>
  <c r="K62" i="56"/>
  <c r="K63" i="56" s="1"/>
  <c r="K65" i="56" s="1"/>
  <c r="J62" i="56"/>
  <c r="J63" i="56" s="1"/>
  <c r="J65" i="56" s="1"/>
  <c r="I62" i="56"/>
  <c r="I63" i="56" s="1"/>
  <c r="I65" i="56" s="1"/>
  <c r="H62" i="56"/>
  <c r="H63" i="56" s="1"/>
  <c r="H65" i="56" s="1"/>
  <c r="G62" i="56"/>
  <c r="G63" i="56" s="1"/>
  <c r="G65" i="56" s="1"/>
  <c r="K61" i="56"/>
  <c r="J61" i="56"/>
  <c r="I61" i="56"/>
  <c r="H61" i="56"/>
  <c r="K59" i="56"/>
  <c r="J59" i="56"/>
  <c r="I59" i="56"/>
  <c r="H59" i="56"/>
  <c r="G59" i="56"/>
  <c r="K57" i="56"/>
  <c r="K58" i="56" s="1"/>
  <c r="K60" i="56" s="1"/>
  <c r="J57" i="56"/>
  <c r="J58" i="56" s="1"/>
  <c r="J60" i="56" s="1"/>
  <c r="I57" i="56"/>
  <c r="I58" i="56" s="1"/>
  <c r="I60" i="56" s="1"/>
  <c r="H57" i="56"/>
  <c r="H58" i="56" s="1"/>
  <c r="H60" i="56" s="1"/>
  <c r="G57" i="56"/>
  <c r="G58" i="56" s="1"/>
  <c r="G60" i="56" s="1"/>
  <c r="K56" i="56"/>
  <c r="J56" i="56"/>
  <c r="I56" i="56"/>
  <c r="G56" i="56"/>
  <c r="K54" i="56"/>
  <c r="J54" i="56"/>
  <c r="I54" i="56"/>
  <c r="H54" i="56"/>
  <c r="G54" i="56"/>
  <c r="I53" i="56"/>
  <c r="I55" i="56" s="1"/>
  <c r="K52" i="56"/>
  <c r="K53" i="56" s="1"/>
  <c r="K55" i="56" s="1"/>
  <c r="J52" i="56"/>
  <c r="J53" i="56" s="1"/>
  <c r="J55" i="56" s="1"/>
  <c r="I52" i="56"/>
  <c r="H52" i="56"/>
  <c r="H53" i="56" s="1"/>
  <c r="H55" i="56" s="1"/>
  <c r="G52" i="56"/>
  <c r="G53" i="56" s="1"/>
  <c r="G55" i="56" s="1"/>
  <c r="K51" i="56"/>
  <c r="J51" i="56"/>
  <c r="H51" i="56"/>
  <c r="G51" i="56"/>
  <c r="K49" i="56"/>
  <c r="J49" i="56"/>
  <c r="I49" i="56"/>
  <c r="H49" i="56"/>
  <c r="G49" i="56"/>
  <c r="J48" i="56"/>
  <c r="J50" i="56" s="1"/>
  <c r="K47" i="56"/>
  <c r="K48" i="56" s="1"/>
  <c r="K50" i="56" s="1"/>
  <c r="J47" i="56"/>
  <c r="I47" i="56"/>
  <c r="I48" i="56" s="1"/>
  <c r="I50" i="56" s="1"/>
  <c r="H47" i="56"/>
  <c r="H48" i="56" s="1"/>
  <c r="H50" i="56" s="1"/>
  <c r="G47" i="56"/>
  <c r="G48" i="56" s="1"/>
  <c r="G50" i="56" s="1"/>
  <c r="K45" i="56"/>
  <c r="J45" i="56"/>
  <c r="I45" i="56"/>
  <c r="H45" i="56"/>
  <c r="G45" i="56"/>
  <c r="K44" i="56"/>
  <c r="K42" i="56"/>
  <c r="K43" i="56" s="1"/>
  <c r="K46" i="56" s="1"/>
  <c r="J42" i="56"/>
  <c r="J44" i="56" s="1"/>
  <c r="I42" i="56"/>
  <c r="I44" i="56" s="1"/>
  <c r="H42" i="56"/>
  <c r="H44" i="56" s="1"/>
  <c r="G42" i="56"/>
  <c r="G44" i="56" s="1"/>
  <c r="K40" i="56"/>
  <c r="J40" i="56"/>
  <c r="I40" i="56"/>
  <c r="H40" i="56"/>
  <c r="G40" i="56"/>
  <c r="K37" i="56"/>
  <c r="K39" i="56" s="1"/>
  <c r="J37" i="56"/>
  <c r="J39" i="56" s="1"/>
  <c r="I37" i="56"/>
  <c r="I39" i="56" s="1"/>
  <c r="H37" i="56"/>
  <c r="H39" i="56" s="1"/>
  <c r="G37" i="56"/>
  <c r="G39" i="56" s="1"/>
  <c r="H33" i="56"/>
  <c r="G33" i="56"/>
  <c r="H32" i="56"/>
  <c r="G32" i="56"/>
  <c r="H31" i="56"/>
  <c r="H34" i="56" s="1"/>
  <c r="G31" i="56"/>
  <c r="G34" i="56" s="1"/>
  <c r="K30" i="56"/>
  <c r="K33" i="56" s="1"/>
  <c r="J30" i="56"/>
  <c r="J33" i="56" s="1"/>
  <c r="I30" i="56"/>
  <c r="I33" i="56" s="1"/>
  <c r="H30" i="56"/>
  <c r="G30" i="56"/>
  <c r="K28" i="56"/>
  <c r="J28" i="56"/>
  <c r="I28" i="56"/>
  <c r="H28" i="56"/>
  <c r="G28" i="56"/>
  <c r="K27" i="56"/>
  <c r="K29" i="56" s="1"/>
  <c r="K113" i="56" s="1"/>
  <c r="J27" i="56"/>
  <c r="J29" i="56" s="1"/>
  <c r="J113" i="56" s="1"/>
  <c r="I27" i="56"/>
  <c r="I29" i="56" s="1"/>
  <c r="I113" i="56" s="1"/>
  <c r="H27" i="56"/>
  <c r="H29" i="56" s="1"/>
  <c r="H113" i="56" s="1"/>
  <c r="G27" i="56"/>
  <c r="G29" i="56" s="1"/>
  <c r="G113" i="56" s="1"/>
  <c r="K26" i="56"/>
  <c r="J26" i="56"/>
  <c r="I26" i="56"/>
  <c r="H26" i="56"/>
  <c r="G26" i="56"/>
  <c r="K25" i="56"/>
  <c r="J25" i="56"/>
  <c r="I25" i="56"/>
  <c r="H25" i="56"/>
  <c r="G25" i="56"/>
  <c r="K24" i="56"/>
  <c r="J24" i="56"/>
  <c r="I24" i="56"/>
  <c r="H24" i="56"/>
  <c r="G24" i="56"/>
  <c r="K23" i="56"/>
  <c r="J23" i="56"/>
  <c r="I23" i="56"/>
  <c r="H23" i="56"/>
  <c r="G23" i="56"/>
  <c r="K22" i="56"/>
  <c r="J22" i="56"/>
  <c r="I22" i="56"/>
  <c r="G22" i="56"/>
  <c r="K21" i="56"/>
  <c r="I21" i="56"/>
  <c r="K20" i="56"/>
  <c r="J20" i="56"/>
  <c r="I20" i="56"/>
  <c r="H20" i="56"/>
  <c r="G20" i="56"/>
  <c r="K19" i="56"/>
  <c r="J19" i="56"/>
  <c r="I19" i="56"/>
  <c r="H19" i="56"/>
  <c r="G19" i="56"/>
  <c r="K18" i="56"/>
  <c r="J18" i="56"/>
  <c r="I18" i="56"/>
  <c r="G18" i="56"/>
  <c r="K17" i="56"/>
  <c r="I17" i="56"/>
  <c r="K16" i="56"/>
  <c r="J16" i="56"/>
  <c r="I16" i="56"/>
  <c r="H16" i="56"/>
  <c r="G16" i="56"/>
  <c r="K15" i="56"/>
  <c r="J15" i="56"/>
  <c r="I15" i="56"/>
  <c r="H15" i="56"/>
  <c r="G15" i="56"/>
  <c r="K14" i="56"/>
  <c r="J14" i="56"/>
  <c r="I14" i="56"/>
  <c r="H14" i="56"/>
  <c r="G14" i="56"/>
  <c r="K13" i="56"/>
  <c r="K11" i="56"/>
  <c r="J11" i="56"/>
  <c r="I11" i="56"/>
  <c r="H11" i="56"/>
  <c r="G11" i="56"/>
  <c r="K9" i="56"/>
  <c r="K10" i="56" s="1"/>
  <c r="J9" i="56"/>
  <c r="J10" i="56" s="1"/>
  <c r="I9" i="56"/>
  <c r="I10" i="56" s="1"/>
  <c r="H9" i="56"/>
  <c r="H10" i="56" s="1"/>
  <c r="G9" i="56"/>
  <c r="G10" i="56" s="1"/>
  <c r="G12" i="56" s="1"/>
  <c r="K8" i="56"/>
  <c r="J8" i="56"/>
  <c r="J13" i="56" s="1"/>
  <c r="I8" i="56"/>
  <c r="I13" i="56" s="1"/>
  <c r="H8" i="56"/>
  <c r="H13" i="56" s="1"/>
  <c r="G8" i="56"/>
  <c r="G13" i="56" s="1"/>
  <c r="K7" i="56"/>
  <c r="J7" i="56"/>
  <c r="I7" i="56"/>
  <c r="H7" i="56"/>
  <c r="G7" i="56"/>
  <c r="K6" i="56"/>
  <c r="J6" i="56"/>
  <c r="I6" i="56"/>
  <c r="H6" i="56"/>
  <c r="G6" i="56"/>
  <c r="K5" i="56"/>
  <c r="J5" i="56"/>
  <c r="I5" i="56"/>
  <c r="H5" i="56"/>
  <c r="G5" i="56"/>
  <c r="K4" i="56"/>
  <c r="J4" i="56"/>
  <c r="I4" i="56"/>
  <c r="H4" i="56"/>
  <c r="G4" i="56"/>
  <c r="K3" i="56"/>
  <c r="J3" i="56"/>
  <c r="I3" i="56"/>
  <c r="H3" i="56"/>
  <c r="G3" i="56"/>
  <c r="K2" i="56"/>
  <c r="J2" i="56"/>
  <c r="I2" i="56"/>
  <c r="H2" i="56"/>
  <c r="G2" i="56"/>
  <c r="K1" i="56"/>
  <c r="J1" i="56"/>
  <c r="I1" i="56"/>
  <c r="H1" i="56"/>
  <c r="G1" i="56"/>
  <c r="I363" i="133"/>
  <c r="I316" i="133"/>
  <c r="I2" i="133"/>
  <c r="I296" i="133"/>
  <c r="I10" i="37" l="1"/>
  <c r="I11" i="37" s="1"/>
  <c r="K10" i="37"/>
  <c r="K11" i="37" s="1"/>
  <c r="G31" i="61"/>
  <c r="G72" i="61" s="1"/>
  <c r="G93" i="61" s="1"/>
  <c r="G20" i="61"/>
  <c r="G27" i="61"/>
  <c r="G63" i="61" s="1"/>
  <c r="G85" i="61" s="1"/>
  <c r="G29" i="61"/>
  <c r="G69" i="61" s="1"/>
  <c r="G90" i="61" s="1"/>
  <c r="G40" i="61"/>
  <c r="G35" i="61"/>
  <c r="G66" i="61" s="1"/>
  <c r="G36" i="61"/>
  <c r="G28" i="61"/>
  <c r="G70" i="61" s="1"/>
  <c r="G91" i="61" s="1"/>
  <c r="H36" i="59"/>
  <c r="G55" i="61"/>
  <c r="G53" i="61"/>
  <c r="G59" i="61" s="1"/>
  <c r="G65" i="61" s="1"/>
  <c r="G87" i="61" s="1"/>
  <c r="N54" i="58"/>
  <c r="N66" i="58" s="1"/>
  <c r="N22" i="58"/>
  <c r="N23" i="58" s="1"/>
  <c r="N43" i="58"/>
  <c r="L10" i="37"/>
  <c r="L11" i="37" s="1"/>
  <c r="M59" i="75"/>
  <c r="M68" i="75" s="1"/>
  <c r="N58" i="75"/>
  <c r="N67" i="75" s="1"/>
  <c r="L58" i="75"/>
  <c r="L67" i="75" s="1"/>
  <c r="G91" i="56"/>
  <c r="G92" i="56"/>
  <c r="G79" i="56"/>
  <c r="J80" i="56"/>
  <c r="H91" i="56"/>
  <c r="H92" i="56"/>
  <c r="H79" i="56"/>
  <c r="J73" i="37"/>
  <c r="H74" i="37"/>
  <c r="I80" i="37"/>
  <c r="H114" i="37"/>
  <c r="K114" i="37"/>
  <c r="L114" i="37"/>
  <c r="L15" i="37"/>
  <c r="L16" i="37" s="1"/>
  <c r="L17" i="37" s="1"/>
  <c r="L28" i="37" s="1"/>
  <c r="K15" i="37"/>
  <c r="K16" i="37" s="1"/>
  <c r="K17" i="37" s="1"/>
  <c r="K28" i="37" s="1"/>
  <c r="J15" i="37"/>
  <c r="J16" i="37" s="1"/>
  <c r="J17" i="37" s="1"/>
  <c r="J28" i="37" s="1"/>
  <c r="I15" i="37"/>
  <c r="I16" i="37" s="1"/>
  <c r="I17" i="37" s="1"/>
  <c r="I37" i="37" s="1"/>
  <c r="H14" i="37"/>
  <c r="N116" i="58"/>
  <c r="L219" i="58"/>
  <c r="G43" i="61"/>
  <c r="G67" i="61" s="1"/>
  <c r="G88" i="61" s="1"/>
  <c r="G82" i="61"/>
  <c r="G99" i="61" s="1"/>
  <c r="G42" i="61"/>
  <c r="G78" i="61" s="1"/>
  <c r="G44" i="61"/>
  <c r="G75" i="61" s="1"/>
  <c r="G96" i="61" s="1"/>
  <c r="G73" i="61"/>
  <c r="G94" i="61" s="1"/>
  <c r="G37" i="61"/>
  <c r="G80" i="61" s="1"/>
  <c r="G34" i="61"/>
  <c r="G60" i="61"/>
  <c r="G74" i="61" s="1"/>
  <c r="G95" i="61" s="1"/>
  <c r="L27" i="58"/>
  <c r="O99" i="58"/>
  <c r="O98" i="58"/>
  <c r="O104" i="58"/>
  <c r="O117" i="58"/>
  <c r="O116" i="58"/>
  <c r="O36" i="58"/>
  <c r="O39" i="58" s="1"/>
  <c r="O35" i="58"/>
  <c r="O118" i="58"/>
  <c r="O119" i="58"/>
  <c r="O54" i="58"/>
  <c r="O66" i="58" s="1"/>
  <c r="O55" i="58"/>
  <c r="O67" i="58" s="1"/>
  <c r="O43" i="58"/>
  <c r="O22" i="58"/>
  <c r="O23" i="58" s="1"/>
  <c r="O220" i="58"/>
  <c r="O210" i="58" s="1"/>
  <c r="O218" i="58"/>
  <c r="O208" i="58" s="1"/>
  <c r="O217" i="58"/>
  <c r="O207" i="58" s="1"/>
  <c r="O40" i="58"/>
  <c r="O26" i="58"/>
  <c r="O27" i="58" s="1"/>
  <c r="N53" i="58"/>
  <c r="N65" i="58" s="1"/>
  <c r="N52" i="58"/>
  <c r="N64" i="58" s="1"/>
  <c r="N51" i="58"/>
  <c r="N63" i="58" s="1"/>
  <c r="N44" i="58"/>
  <c r="N106" i="58"/>
  <c r="N105" i="58"/>
  <c r="N109" i="58"/>
  <c r="N110" i="58" s="1"/>
  <c r="N102" i="58"/>
  <c r="N101" i="58"/>
  <c r="N100" i="58"/>
  <c r="N103" i="58"/>
  <c r="N220" i="58"/>
  <c r="N210" i="58" s="1"/>
  <c r="N218" i="58"/>
  <c r="N208" i="58" s="1"/>
  <c r="N217" i="58"/>
  <c r="N207" i="58" s="1"/>
  <c r="N40" i="58"/>
  <c r="N83" i="58"/>
  <c r="N124" i="58"/>
  <c r="N135" i="58" s="1"/>
  <c r="N125" i="58"/>
  <c r="N136" i="58" s="1"/>
  <c r="M105" i="58"/>
  <c r="M106" i="58"/>
  <c r="M109" i="58"/>
  <c r="M110" i="58" s="1"/>
  <c r="M53" i="58"/>
  <c r="M65" i="58" s="1"/>
  <c r="M52" i="58"/>
  <c r="M64" i="58" s="1"/>
  <c r="M51" i="58"/>
  <c r="M63" i="58" s="1"/>
  <c r="M44" i="58"/>
  <c r="M23" i="58"/>
  <c r="M102" i="58"/>
  <c r="M101" i="58"/>
  <c r="M100" i="58"/>
  <c r="M103" i="58"/>
  <c r="L54" i="58"/>
  <c r="L66" i="58" s="1"/>
  <c r="L43" i="58"/>
  <c r="L55" i="58"/>
  <c r="L67" i="58" s="1"/>
  <c r="L22" i="58"/>
  <c r="M83" i="58"/>
  <c r="M125" i="58"/>
  <c r="M136" i="58" s="1"/>
  <c r="M124" i="58"/>
  <c r="M135" i="58" s="1"/>
  <c r="L116" i="58"/>
  <c r="L117" i="58"/>
  <c r="L36" i="58"/>
  <c r="L39" i="58" s="1"/>
  <c r="L35" i="58"/>
  <c r="L119" i="58"/>
  <c r="L118" i="58"/>
  <c r="L105" i="58"/>
  <c r="L106" i="58"/>
  <c r="L102" i="58"/>
  <c r="L101" i="58"/>
  <c r="L100" i="58"/>
  <c r="L103" i="58"/>
  <c r="J116" i="56"/>
  <c r="I114" i="37"/>
  <c r="J114" i="37"/>
  <c r="H79" i="37"/>
  <c r="H111" i="37" s="1"/>
  <c r="H132" i="37" s="1"/>
  <c r="I79" i="37"/>
  <c r="I111" i="37" s="1"/>
  <c r="I132" i="37" s="1"/>
  <c r="J79" i="37"/>
  <c r="J111" i="37" s="1"/>
  <c r="J132" i="37" s="1"/>
  <c r="K79" i="37"/>
  <c r="K111" i="37" s="1"/>
  <c r="K132" i="37" s="1"/>
  <c r="I73" i="37"/>
  <c r="L79" i="37"/>
  <c r="L111" i="37" s="1"/>
  <c r="L132" i="37" s="1"/>
  <c r="K81" i="56"/>
  <c r="K83" i="56" s="1"/>
  <c r="K86" i="56" s="1"/>
  <c r="H80" i="37"/>
  <c r="H99" i="37" s="1"/>
  <c r="I86" i="37"/>
  <c r="I130" i="37" s="1"/>
  <c r="J80" i="37"/>
  <c r="J99" i="37" s="1"/>
  <c r="J86" i="37"/>
  <c r="J108" i="37" s="1"/>
  <c r="K80" i="37"/>
  <c r="K99" i="37" s="1"/>
  <c r="K86" i="37"/>
  <c r="K108" i="37" s="1"/>
  <c r="I66" i="37"/>
  <c r="I67" i="37" s="1"/>
  <c r="I113" i="37" s="1"/>
  <c r="L80" i="37"/>
  <c r="L86" i="37"/>
  <c r="L108" i="37" s="1"/>
  <c r="J66" i="37"/>
  <c r="J67" i="37" s="1"/>
  <c r="J113" i="37" s="1"/>
  <c r="L59" i="75"/>
  <c r="L68" i="75" s="1"/>
  <c r="L32" i="37"/>
  <c r="J10" i="37"/>
  <c r="J11" i="37" s="1"/>
  <c r="N59" i="75"/>
  <c r="N68" i="75" s="1"/>
  <c r="G81" i="56"/>
  <c r="G83" i="56" s="1"/>
  <c r="G86" i="56" s="1"/>
  <c r="J19" i="75"/>
  <c r="J20" i="75" s="1"/>
  <c r="J62" i="75"/>
  <c r="J71" i="75" s="1"/>
  <c r="K19" i="75"/>
  <c r="K62" i="75"/>
  <c r="K71" i="75" s="1"/>
  <c r="M19" i="75"/>
  <c r="M20" i="75" s="1"/>
  <c r="M62" i="75"/>
  <c r="M71" i="75" s="1"/>
  <c r="N19" i="75"/>
  <c r="N62" i="75"/>
  <c r="N71" i="75" s="1"/>
  <c r="K59" i="75"/>
  <c r="K68" i="75" s="1"/>
  <c r="K58" i="75"/>
  <c r="K67" i="75" s="1"/>
  <c r="K57" i="75"/>
  <c r="K66" i="75" s="1"/>
  <c r="L19" i="75"/>
  <c r="L62" i="75"/>
  <c r="L71" i="75" s="1"/>
  <c r="K20" i="75"/>
  <c r="L57" i="75"/>
  <c r="L66" i="75" s="1"/>
  <c r="M57" i="75"/>
  <c r="M66" i="75" s="1"/>
  <c r="J5" i="75"/>
  <c r="N57" i="75"/>
  <c r="N66" i="75" s="1"/>
  <c r="M58" i="75"/>
  <c r="M67" i="75" s="1"/>
  <c r="H86" i="37"/>
  <c r="H87" i="37"/>
  <c r="H116" i="37" s="1"/>
  <c r="H119" i="37"/>
  <c r="H133" i="37" s="1"/>
  <c r="H85" i="37"/>
  <c r="L130" i="37"/>
  <c r="I99" i="37"/>
  <c r="H120" i="37"/>
  <c r="H134" i="37" s="1"/>
  <c r="H94" i="37"/>
  <c r="H115" i="37" s="1"/>
  <c r="H93" i="37"/>
  <c r="H109" i="37" s="1"/>
  <c r="H92" i="37"/>
  <c r="H102" i="37" s="1"/>
  <c r="I120" i="37"/>
  <c r="I134" i="37" s="1"/>
  <c r="I94" i="37"/>
  <c r="I115" i="37" s="1"/>
  <c r="I93" i="37"/>
  <c r="I109" i="37" s="1"/>
  <c r="I92" i="37"/>
  <c r="I102" i="37" s="1"/>
  <c r="J120" i="37"/>
  <c r="J134" i="37" s="1"/>
  <c r="J94" i="37"/>
  <c r="J115" i="37" s="1"/>
  <c r="J93" i="37"/>
  <c r="J109" i="37" s="1"/>
  <c r="J92" i="37"/>
  <c r="J102" i="37" s="1"/>
  <c r="K94" i="37"/>
  <c r="K115" i="37" s="1"/>
  <c r="K93" i="37"/>
  <c r="K109" i="37" s="1"/>
  <c r="K120" i="37"/>
  <c r="K134" i="37" s="1"/>
  <c r="K92" i="37"/>
  <c r="K102" i="37" s="1"/>
  <c r="I87" i="37"/>
  <c r="I116" i="37" s="1"/>
  <c r="L120" i="37"/>
  <c r="L134" i="37" s="1"/>
  <c r="J87" i="37"/>
  <c r="J116" i="37" s="1"/>
  <c r="K87" i="37"/>
  <c r="K116" i="37" s="1"/>
  <c r="L87" i="37"/>
  <c r="L116" i="37" s="1"/>
  <c r="H40" i="37"/>
  <c r="K73" i="37"/>
  <c r="L92" i="37"/>
  <c r="L102" i="37" s="1"/>
  <c r="I40" i="37"/>
  <c r="H69" i="37"/>
  <c r="L73" i="37"/>
  <c r="H26" i="37"/>
  <c r="J40" i="37"/>
  <c r="H50" i="37"/>
  <c r="I69" i="37"/>
  <c r="I26" i="37"/>
  <c r="K40" i="37"/>
  <c r="I50" i="37"/>
  <c r="J69" i="37"/>
  <c r="J26" i="37"/>
  <c r="L40" i="37"/>
  <c r="J50" i="37"/>
  <c r="K69" i="37"/>
  <c r="I12" i="37"/>
  <c r="K26" i="37"/>
  <c r="K32" i="37" s="1"/>
  <c r="K50" i="37"/>
  <c r="H65" i="37"/>
  <c r="H112" i="37" s="1"/>
  <c r="L69" i="37"/>
  <c r="L93" i="37"/>
  <c r="L109" i="37" s="1"/>
  <c r="J12" i="37"/>
  <c r="I41" i="37"/>
  <c r="I42" i="37" s="1"/>
  <c r="I43" i="37" s="1"/>
  <c r="L50" i="37"/>
  <c r="I65" i="37"/>
  <c r="I112" i="37" s="1"/>
  <c r="H70" i="37"/>
  <c r="K12" i="37"/>
  <c r="H27" i="37"/>
  <c r="J41" i="37"/>
  <c r="J42" i="37" s="1"/>
  <c r="J43" i="37" s="1"/>
  <c r="H51" i="37"/>
  <c r="J65" i="37"/>
  <c r="J112" i="37" s="1"/>
  <c r="I70" i="37"/>
  <c r="L12" i="37"/>
  <c r="I27" i="37"/>
  <c r="K41" i="37"/>
  <c r="K42" i="37" s="1"/>
  <c r="K43" i="37" s="1"/>
  <c r="I51" i="37"/>
  <c r="J70" i="37"/>
  <c r="J27" i="37"/>
  <c r="L41" i="37"/>
  <c r="L42" i="37" s="1"/>
  <c r="L43" i="37" s="1"/>
  <c r="J51" i="37"/>
  <c r="K70" i="37"/>
  <c r="K51" i="37"/>
  <c r="H66" i="37"/>
  <c r="H67" i="37" s="1"/>
  <c r="H113" i="37" s="1"/>
  <c r="L70" i="37"/>
  <c r="I85" i="37"/>
  <c r="L51" i="37"/>
  <c r="J85" i="37"/>
  <c r="H52" i="37"/>
  <c r="K85" i="37"/>
  <c r="I119" i="37"/>
  <c r="I133" i="37" s="1"/>
  <c r="I52" i="37"/>
  <c r="K66" i="37"/>
  <c r="K67" i="37" s="1"/>
  <c r="K113" i="37" s="1"/>
  <c r="L85" i="37"/>
  <c r="J119" i="37"/>
  <c r="J133" i="37" s="1"/>
  <c r="L66" i="37"/>
  <c r="L67" i="37" s="1"/>
  <c r="L113" i="37" s="1"/>
  <c r="K119" i="37"/>
  <c r="K133" i="37" s="1"/>
  <c r="L119" i="37"/>
  <c r="L133" i="37" s="1"/>
  <c r="I81" i="56"/>
  <c r="I83" i="56" s="1"/>
  <c r="J81" i="56"/>
  <c r="J106" i="56" s="1"/>
  <c r="K105" i="56"/>
  <c r="H103" i="56"/>
  <c r="H36" i="56"/>
  <c r="H35" i="56"/>
  <c r="H110" i="56"/>
  <c r="H119" i="56"/>
  <c r="H12" i="56"/>
  <c r="I110" i="56"/>
  <c r="I119" i="56"/>
  <c r="I12" i="56"/>
  <c r="J110" i="56"/>
  <c r="J119" i="56"/>
  <c r="K110" i="56"/>
  <c r="K119" i="56"/>
  <c r="H81" i="56"/>
  <c r="G110" i="56"/>
  <c r="G119" i="56"/>
  <c r="J12" i="56"/>
  <c r="K12" i="56"/>
  <c r="G35" i="56"/>
  <c r="G36" i="56"/>
  <c r="G103" i="56"/>
  <c r="G114" i="56"/>
  <c r="K91" i="56"/>
  <c r="I31" i="56"/>
  <c r="I34" i="56" s="1"/>
  <c r="J31" i="56"/>
  <c r="J34" i="56" s="1"/>
  <c r="K31" i="56"/>
  <c r="K34" i="56" s="1"/>
  <c r="I51" i="56"/>
  <c r="H56" i="56"/>
  <c r="G61" i="56"/>
  <c r="K92" i="56"/>
  <c r="I32" i="56"/>
  <c r="J32" i="56"/>
  <c r="K32" i="56"/>
  <c r="G38" i="56"/>
  <c r="G41" i="56" s="1"/>
  <c r="G104" i="56" s="1"/>
  <c r="G109" i="56" s="1"/>
  <c r="G89" i="56"/>
  <c r="G93" i="56" s="1"/>
  <c r="H38" i="56"/>
  <c r="H41" i="56" s="1"/>
  <c r="H104" i="56" s="1"/>
  <c r="G43" i="56"/>
  <c r="G46" i="56" s="1"/>
  <c r="H89" i="56"/>
  <c r="H93" i="56" s="1"/>
  <c r="I38" i="56"/>
  <c r="I41" i="56" s="1"/>
  <c r="I104" i="56" s="1"/>
  <c r="H43" i="56"/>
  <c r="H46" i="56" s="1"/>
  <c r="I89" i="56"/>
  <c r="I93" i="56" s="1"/>
  <c r="J38" i="56"/>
  <c r="J41" i="56" s="1"/>
  <c r="J104" i="56" s="1"/>
  <c r="I43" i="56"/>
  <c r="I46" i="56" s="1"/>
  <c r="J89" i="56"/>
  <c r="J93" i="56" s="1"/>
  <c r="K38" i="56"/>
  <c r="K41" i="56" s="1"/>
  <c r="K104" i="56" s="1"/>
  <c r="J43" i="56"/>
  <c r="J46" i="56" s="1"/>
  <c r="K89" i="56"/>
  <c r="L389" i="133"/>
  <c r="K389" i="133"/>
  <c r="J389" i="133"/>
  <c r="I389" i="133"/>
  <c r="H389" i="133"/>
  <c r="L386" i="133"/>
  <c r="K386" i="133"/>
  <c r="J386" i="133"/>
  <c r="I386" i="133"/>
  <c r="H386" i="133"/>
  <c r="L383" i="133" a="1"/>
  <c r="L383" i="133" s="1"/>
  <c r="K383" i="133" a="1"/>
  <c r="K383" i="133" s="1"/>
  <c r="J383" i="133" a="1"/>
  <c r="J383" i="133" s="1"/>
  <c r="I383" i="133" a="1"/>
  <c r="I383" i="133" s="1"/>
  <c r="H383" i="133" a="1"/>
  <c r="H383" i="133" s="1"/>
  <c r="L362" i="133" a="1"/>
  <c r="L362" i="133" s="1"/>
  <c r="K362" i="133" a="1"/>
  <c r="K362" i="133" s="1"/>
  <c r="J362" i="133" a="1"/>
  <c r="J362" i="133" s="1"/>
  <c r="I362" i="133" a="1"/>
  <c r="I362" i="133" s="1"/>
  <c r="H362" i="133" a="1"/>
  <c r="H362" i="133" s="1"/>
  <c r="L355" i="133" a="1"/>
  <c r="L355" i="133" s="1"/>
  <c r="K355" i="133" a="1"/>
  <c r="K355" i="133" s="1"/>
  <c r="J355" i="133" a="1"/>
  <c r="J355" i="133" s="1"/>
  <c r="I355" i="133" a="1"/>
  <c r="I355" i="133" s="1"/>
  <c r="H355" i="133" a="1"/>
  <c r="H355" i="133" s="1"/>
  <c r="L348" i="133" a="1"/>
  <c r="L348" i="133" s="1"/>
  <c r="K348" i="133" a="1"/>
  <c r="K348" i="133" s="1"/>
  <c r="J348" i="133" a="1"/>
  <c r="J348" i="133" s="1"/>
  <c r="I348" i="133" a="1"/>
  <c r="I348" i="133" s="1"/>
  <c r="H348" i="133" a="1"/>
  <c r="H348" i="133" s="1"/>
  <c r="L315" i="133"/>
  <c r="K315" i="133"/>
  <c r="J315" i="133"/>
  <c r="I315" i="133"/>
  <c r="H315" i="133"/>
  <c r="L306" i="133"/>
  <c r="L312" i="133" s="1"/>
  <c r="K306" i="133"/>
  <c r="K312" i="133" s="1"/>
  <c r="J306" i="133"/>
  <c r="J312" i="133" s="1"/>
  <c r="I306" i="133"/>
  <c r="I312" i="133" s="1"/>
  <c r="H306" i="133"/>
  <c r="H312" i="133" s="1"/>
  <c r="L302" i="133"/>
  <c r="K302" i="133"/>
  <c r="K304" i="133" s="1"/>
  <c r="J302" i="133"/>
  <c r="I302" i="133"/>
  <c r="H302" i="133"/>
  <c r="L299" i="133"/>
  <c r="K299" i="133"/>
  <c r="J299" i="133"/>
  <c r="J304" i="133" s="1"/>
  <c r="I299" i="133"/>
  <c r="I304" i="133" s="1"/>
  <c r="H299" i="133"/>
  <c r="L295" i="133"/>
  <c r="K295" i="133"/>
  <c r="J295" i="133"/>
  <c r="I295" i="133"/>
  <c r="H295" i="133"/>
  <c r="L292" i="133"/>
  <c r="L293" i="133" s="1"/>
  <c r="K292" i="133"/>
  <c r="K293" i="133" s="1"/>
  <c r="J292" i="133"/>
  <c r="J293" i="133" s="1"/>
  <c r="I292" i="133"/>
  <c r="I293" i="133" s="1"/>
  <c r="H292" i="133"/>
  <c r="H293" i="133" s="1"/>
  <c r="L290" i="133" a="1"/>
  <c r="L290" i="133" s="1"/>
  <c r="K290" i="133" a="1"/>
  <c r="K290" i="133" s="1"/>
  <c r="J290" i="133" a="1"/>
  <c r="J290" i="133" s="1"/>
  <c r="I290" i="133" a="1"/>
  <c r="I290" i="133" s="1"/>
  <c r="H290" i="133" a="1"/>
  <c r="H290" i="133" s="1"/>
  <c r="L289" i="133"/>
  <c r="K289" i="133"/>
  <c r="J289" i="133"/>
  <c r="I289" i="133"/>
  <c r="H289" i="133"/>
  <c r="L280" i="133" a="1"/>
  <c r="L280" i="133" s="1"/>
  <c r="K280" i="133" a="1"/>
  <c r="K280" i="133" s="1"/>
  <c r="J280" i="133" a="1"/>
  <c r="J280" i="133" s="1"/>
  <c r="I280" i="133" a="1"/>
  <c r="I280" i="133" s="1"/>
  <c r="H280" i="133" a="1"/>
  <c r="H280" i="133" s="1"/>
  <c r="L279" i="133"/>
  <c r="K279" i="133"/>
  <c r="J279" i="133"/>
  <c r="I279" i="133"/>
  <c r="H279" i="133"/>
  <c r="L278" i="133"/>
  <c r="K278" i="133"/>
  <c r="J278" i="133"/>
  <c r="I278" i="133"/>
  <c r="H278" i="133"/>
  <c r="L1" i="133"/>
  <c r="K1" i="133"/>
  <c r="J1" i="133"/>
  <c r="I1" i="133"/>
  <c r="H1" i="133"/>
  <c r="L187" i="54"/>
  <c r="K187" i="54"/>
  <c r="J187" i="54"/>
  <c r="I187" i="54"/>
  <c r="H187" i="54"/>
  <c r="G187" i="54"/>
  <c r="L177" i="54"/>
  <c r="K177" i="54"/>
  <c r="J177" i="54"/>
  <c r="I177" i="54"/>
  <c r="H177" i="54"/>
  <c r="G177" i="54"/>
  <c r="L145" i="54"/>
  <c r="K145" i="54"/>
  <c r="J145" i="54"/>
  <c r="I145" i="54"/>
  <c r="H145" i="54"/>
  <c r="G145" i="54"/>
  <c r="J35" i="54"/>
  <c r="L35" i="54"/>
  <c r="K35" i="54"/>
  <c r="I35" i="54"/>
  <c r="H35" i="54"/>
  <c r="G35" i="54"/>
  <c r="L20" i="54"/>
  <c r="J20" i="54"/>
  <c r="I20" i="54"/>
  <c r="H20" i="54"/>
  <c r="G20" i="54"/>
  <c r="K20" i="54"/>
  <c r="G58" i="61" l="1"/>
  <c r="G64" i="61" s="1"/>
  <c r="G86" i="61" s="1"/>
  <c r="N48" i="58"/>
  <c r="N50" i="58"/>
  <c r="N62" i="58" s="1"/>
  <c r="N49" i="58"/>
  <c r="N61" i="58" s="1"/>
  <c r="N45" i="58"/>
  <c r="J131" i="37"/>
  <c r="L131" i="37"/>
  <c r="K131" i="37"/>
  <c r="I108" i="37"/>
  <c r="L123" i="37"/>
  <c r="I35" i="37"/>
  <c r="I36" i="37"/>
  <c r="I28" i="37"/>
  <c r="G106" i="56"/>
  <c r="I34" i="37"/>
  <c r="L209" i="58"/>
  <c r="N46" i="58"/>
  <c r="N120" i="58" s="1"/>
  <c r="O53" i="58"/>
  <c r="O65" i="58" s="1"/>
  <c r="O52" i="58"/>
  <c r="O64" i="58" s="1"/>
  <c r="O51" i="58"/>
  <c r="O63" i="58" s="1"/>
  <c r="O44" i="58"/>
  <c r="O83" i="58"/>
  <c r="O125" i="58"/>
  <c r="O136" i="58" s="1"/>
  <c r="O124" i="58"/>
  <c r="O135" i="58" s="1"/>
  <c r="O105" i="58"/>
  <c r="O106" i="58"/>
  <c r="O109" i="58"/>
  <c r="O110" i="58" s="1"/>
  <c r="O102" i="58"/>
  <c r="O101" i="58"/>
  <c r="O100" i="58"/>
  <c r="O103" i="58"/>
  <c r="O50" i="58"/>
  <c r="O62" i="58" s="1"/>
  <c r="O49" i="58"/>
  <c r="O61" i="58" s="1"/>
  <c r="O48" i="58"/>
  <c r="O45" i="58"/>
  <c r="N93" i="58"/>
  <c r="N203" i="58"/>
  <c r="N108" i="58"/>
  <c r="N107" i="58"/>
  <c r="N112" i="58"/>
  <c r="N111" i="58"/>
  <c r="N80" i="58"/>
  <c r="N81" i="58" s="1"/>
  <c r="N60" i="58"/>
  <c r="L83" i="58"/>
  <c r="L124" i="58"/>
  <c r="L135" i="58" s="1"/>
  <c r="L125" i="58"/>
  <c r="L136" i="58" s="1"/>
  <c r="M93" i="58"/>
  <c r="M203" i="58"/>
  <c r="M50" i="58"/>
  <c r="M62" i="58" s="1"/>
  <c r="M49" i="58"/>
  <c r="M61" i="58" s="1"/>
  <c r="M45" i="58"/>
  <c r="M46" i="58" s="1"/>
  <c r="M48" i="58"/>
  <c r="L112" i="58"/>
  <c r="L111" i="58"/>
  <c r="L108" i="58"/>
  <c r="L107" i="58"/>
  <c r="M112" i="58"/>
  <c r="M111" i="58"/>
  <c r="M108" i="58"/>
  <c r="M107" i="58"/>
  <c r="L44" i="58"/>
  <c r="L53" i="58"/>
  <c r="L65" i="58" s="1"/>
  <c r="L52" i="58"/>
  <c r="L64" i="58" s="1"/>
  <c r="L51" i="58"/>
  <c r="L63" i="58" s="1"/>
  <c r="L23" i="58"/>
  <c r="K87" i="56"/>
  <c r="K106" i="56"/>
  <c r="L99" i="37"/>
  <c r="K130" i="37"/>
  <c r="J130" i="37"/>
  <c r="H32" i="37"/>
  <c r="J32" i="37"/>
  <c r="L20" i="75"/>
  <c r="L63" i="75" s="1"/>
  <c r="L72" i="75" s="1"/>
  <c r="N20" i="75"/>
  <c r="N63" i="75" s="1"/>
  <c r="N72" i="75" s="1"/>
  <c r="K58" i="37"/>
  <c r="K98" i="37" s="1"/>
  <c r="K122" i="37" s="1"/>
  <c r="M63" i="75"/>
  <c r="M72" i="75" s="1"/>
  <c r="I32" i="37"/>
  <c r="K63" i="75"/>
  <c r="K72" i="75" s="1"/>
  <c r="H112" i="56"/>
  <c r="H118" i="56" s="1"/>
  <c r="J63" i="75"/>
  <c r="J72" i="75" s="1"/>
  <c r="I86" i="56"/>
  <c r="I87" i="56"/>
  <c r="K62" i="37"/>
  <c r="K61" i="37"/>
  <c r="K60" i="37"/>
  <c r="K59" i="37"/>
  <c r="K63" i="37"/>
  <c r="K96" i="37" s="1"/>
  <c r="K56" i="37"/>
  <c r="I106" i="56"/>
  <c r="I33" i="37"/>
  <c r="L62" i="37"/>
  <c r="L61" i="37"/>
  <c r="L56" i="37"/>
  <c r="L60" i="37"/>
  <c r="L59" i="37"/>
  <c r="L63" i="37"/>
  <c r="L96" i="37" s="1"/>
  <c r="K33" i="37"/>
  <c r="K37" i="37"/>
  <c r="K36" i="37"/>
  <c r="K35" i="37"/>
  <c r="K34" i="37"/>
  <c r="K123" i="37"/>
  <c r="J129" i="37"/>
  <c r="J107" i="37"/>
  <c r="K125" i="37"/>
  <c r="K101" i="37"/>
  <c r="I124" i="37"/>
  <c r="I100" i="37"/>
  <c r="H125" i="37"/>
  <c r="H101" i="37"/>
  <c r="K124" i="37"/>
  <c r="K100" i="37"/>
  <c r="J124" i="37"/>
  <c r="J100" i="37"/>
  <c r="H58" i="37"/>
  <c r="J58" i="37"/>
  <c r="J62" i="37"/>
  <c r="J61" i="37"/>
  <c r="J60" i="37"/>
  <c r="J59" i="37"/>
  <c r="J63" i="37"/>
  <c r="J96" i="37" s="1"/>
  <c r="H129" i="37"/>
  <c r="H107" i="37"/>
  <c r="J125" i="37"/>
  <c r="J101" i="37"/>
  <c r="H130" i="37"/>
  <c r="H108" i="37"/>
  <c r="I129" i="37"/>
  <c r="I107" i="37"/>
  <c r="L58" i="37"/>
  <c r="L98" i="37" s="1"/>
  <c r="L122" i="37" s="1"/>
  <c r="J33" i="37"/>
  <c r="J37" i="37"/>
  <c r="J36" i="37"/>
  <c r="J35" i="37"/>
  <c r="J34" i="37"/>
  <c r="L33" i="37"/>
  <c r="L37" i="37"/>
  <c r="L36" i="37"/>
  <c r="L35" i="37"/>
  <c r="L34" i="37"/>
  <c r="I62" i="37"/>
  <c r="I61" i="37"/>
  <c r="I60" i="37"/>
  <c r="I59" i="37"/>
  <c r="I63" i="37"/>
  <c r="I96" i="37" s="1"/>
  <c r="L125" i="37"/>
  <c r="L101" i="37"/>
  <c r="I125" i="37"/>
  <c r="I101" i="37"/>
  <c r="L129" i="37"/>
  <c r="L107" i="37"/>
  <c r="H124" i="37"/>
  <c r="H100" i="37"/>
  <c r="I123" i="37"/>
  <c r="J123" i="37"/>
  <c r="L124" i="37"/>
  <c r="L100" i="37"/>
  <c r="J56" i="37"/>
  <c r="I56" i="37"/>
  <c r="I58" i="37"/>
  <c r="J83" i="56"/>
  <c r="K129" i="37"/>
  <c r="K107" i="37"/>
  <c r="H123" i="37"/>
  <c r="J35" i="56"/>
  <c r="J103" i="56"/>
  <c r="J36" i="56"/>
  <c r="G87" i="56"/>
  <c r="J105" i="56"/>
  <c r="J94" i="56"/>
  <c r="H83" i="56"/>
  <c r="H86" i="56" s="1"/>
  <c r="I103" i="56"/>
  <c r="I36" i="56"/>
  <c r="I35" i="56"/>
  <c r="K35" i="56"/>
  <c r="K103" i="56"/>
  <c r="K36" i="56"/>
  <c r="H106" i="56"/>
  <c r="K93" i="56"/>
  <c r="K94" i="56" s="1"/>
  <c r="I105" i="56"/>
  <c r="I94" i="56"/>
  <c r="I114" i="56"/>
  <c r="I109" i="56"/>
  <c r="H114" i="56"/>
  <c r="H109" i="56"/>
  <c r="J115" i="56"/>
  <c r="K114" i="56"/>
  <c r="K109" i="56"/>
  <c r="J114" i="56"/>
  <c r="J109" i="56"/>
  <c r="H105" i="56"/>
  <c r="H94" i="56"/>
  <c r="G105" i="56"/>
  <c r="G94" i="56"/>
  <c r="G112" i="56"/>
  <c r="G118" i="56" s="1"/>
  <c r="L291" i="133"/>
  <c r="H304" i="133"/>
  <c r="L304" i="133"/>
  <c r="H291" i="133"/>
  <c r="I291" i="133"/>
  <c r="J291" i="133"/>
  <c r="K291" i="133"/>
  <c r="J105" i="37" l="1"/>
  <c r="I98" i="37"/>
  <c r="I122" i="37" s="1"/>
  <c r="L105" i="37"/>
  <c r="N85" i="58"/>
  <c r="N86" i="58" s="1"/>
  <c r="I131" i="37"/>
  <c r="I103" i="37"/>
  <c r="I105" i="37"/>
  <c r="I104" i="37"/>
  <c r="H98" i="37"/>
  <c r="H122" i="37" s="1"/>
  <c r="N199" i="58"/>
  <c r="O46" i="58"/>
  <c r="O120" i="58" s="1"/>
  <c r="O199" i="58" s="1"/>
  <c r="O80" i="58"/>
  <c r="O81" i="58" s="1"/>
  <c r="O60" i="58"/>
  <c r="O93" i="58"/>
  <c r="O85" i="58"/>
  <c r="O203" i="58"/>
  <c r="O108" i="58"/>
  <c r="O107" i="58"/>
  <c r="O112" i="58"/>
  <c r="O111" i="58"/>
  <c r="N47" i="58"/>
  <c r="N58" i="58"/>
  <c r="N89" i="58"/>
  <c r="N123" i="58"/>
  <c r="N94" i="58"/>
  <c r="N92" i="58"/>
  <c r="N95" i="58" s="1"/>
  <c r="N96" i="58" s="1"/>
  <c r="N212" i="58" s="1"/>
  <c r="N204" i="58" s="1"/>
  <c r="M120" i="58"/>
  <c r="M85" i="58"/>
  <c r="M60" i="58"/>
  <c r="M80" i="58"/>
  <c r="M81" i="58" s="1"/>
  <c r="L50" i="58"/>
  <c r="L62" i="58" s="1"/>
  <c r="L49" i="58"/>
  <c r="L61" i="58" s="1"/>
  <c r="L45" i="58"/>
  <c r="L46" i="58" s="1"/>
  <c r="L48" i="58"/>
  <c r="M94" i="58"/>
  <c r="M92" i="58"/>
  <c r="M95" i="58" s="1"/>
  <c r="M96" i="58" s="1"/>
  <c r="M212" i="58" s="1"/>
  <c r="M204" i="58" s="1"/>
  <c r="L93" i="58"/>
  <c r="L203" i="58"/>
  <c r="J98" i="37"/>
  <c r="J122" i="37" s="1"/>
  <c r="K97" i="37"/>
  <c r="K121" i="37" s="1"/>
  <c r="I127" i="37"/>
  <c r="I106" i="37"/>
  <c r="I126" i="37"/>
  <c r="I128" i="37"/>
  <c r="J97" i="37"/>
  <c r="J121" i="37" s="1"/>
  <c r="K105" i="37"/>
  <c r="J128" i="37"/>
  <c r="J104" i="37"/>
  <c r="J103" i="37"/>
  <c r="J126" i="37"/>
  <c r="J127" i="37"/>
  <c r="J106" i="37"/>
  <c r="H87" i="56"/>
  <c r="K128" i="37"/>
  <c r="K104" i="37"/>
  <c r="K103" i="37"/>
  <c r="K126" i="37"/>
  <c r="K127" i="37"/>
  <c r="K106" i="37"/>
  <c r="J86" i="56"/>
  <c r="J87" i="56"/>
  <c r="L127" i="37"/>
  <c r="L106" i="37"/>
  <c r="L128" i="37"/>
  <c r="L104" i="37"/>
  <c r="L103" i="37"/>
  <c r="L126" i="37"/>
  <c r="L97" i="37"/>
  <c r="L121" i="37" s="1"/>
  <c r="I97" i="37"/>
  <c r="I121" i="37" s="1"/>
  <c r="K95" i="56"/>
  <c r="K107" i="56"/>
  <c r="H95" i="56"/>
  <c r="H107" i="56"/>
  <c r="I112" i="56"/>
  <c r="I118" i="56" s="1"/>
  <c r="J95" i="56"/>
  <c r="J108" i="56" s="1"/>
  <c r="J107" i="56"/>
  <c r="I95" i="56"/>
  <c r="I107" i="56"/>
  <c r="G95" i="56"/>
  <c r="G107" i="56"/>
  <c r="K112" i="56"/>
  <c r="K118" i="56" s="1"/>
  <c r="J112" i="56"/>
  <c r="J118" i="56" s="1"/>
  <c r="N216" i="58" l="1"/>
  <c r="I97" i="56"/>
  <c r="I102" i="56" s="1"/>
  <c r="K97" i="56"/>
  <c r="K102" i="56" s="1"/>
  <c r="G97" i="56"/>
  <c r="G102" i="56" s="1"/>
  <c r="H97" i="56"/>
  <c r="H102" i="56" s="1"/>
  <c r="O216" i="58"/>
  <c r="O86" i="58"/>
  <c r="O94" i="58"/>
  <c r="O92" i="58"/>
  <c r="O58" i="58"/>
  <c r="O47" i="58"/>
  <c r="O89" i="58"/>
  <c r="O123" i="58"/>
  <c r="N126" i="58"/>
  <c r="N137" i="58" s="1"/>
  <c r="N134" i="58"/>
  <c r="N90" i="58"/>
  <c r="N91" i="58" s="1"/>
  <c r="N201" i="58" s="1"/>
  <c r="L120" i="58"/>
  <c r="L85" i="58"/>
  <c r="M86" i="58"/>
  <c r="M216" i="58"/>
  <c r="M89" i="58"/>
  <c r="M123" i="58"/>
  <c r="L60" i="58"/>
  <c r="L80" i="58"/>
  <c r="L81" i="58" s="1"/>
  <c r="M58" i="58"/>
  <c r="M47" i="58"/>
  <c r="M199" i="58"/>
  <c r="L92" i="58"/>
  <c r="L94" i="58"/>
  <c r="J117" i="56"/>
  <c r="J120" i="56"/>
  <c r="L245" i="54"/>
  <c r="L256" i="54" s="1"/>
  <c r="K245" i="54"/>
  <c r="K256" i="54" s="1"/>
  <c r="J245" i="54"/>
  <c r="J256" i="54" s="1"/>
  <c r="I245" i="54"/>
  <c r="I256" i="54" s="1"/>
  <c r="H245" i="54"/>
  <c r="H256" i="54" s="1"/>
  <c r="L240" i="54"/>
  <c r="L251" i="54" s="1"/>
  <c r="K240" i="54"/>
  <c r="K251" i="54" s="1"/>
  <c r="J240" i="54"/>
  <c r="J251" i="54" s="1"/>
  <c r="I240" i="54"/>
  <c r="I251" i="54" s="1"/>
  <c r="H240" i="54"/>
  <c r="H251" i="54" s="1"/>
  <c r="L236" i="54"/>
  <c r="K236" i="54"/>
  <c r="J236" i="54"/>
  <c r="I236" i="54"/>
  <c r="H236" i="54"/>
  <c r="L228" i="54"/>
  <c r="K228" i="54"/>
  <c r="J228" i="54"/>
  <c r="I228" i="54"/>
  <c r="H228" i="54"/>
  <c r="L227" i="54"/>
  <c r="K227" i="54"/>
  <c r="J227" i="54"/>
  <c r="I227" i="54"/>
  <c r="H227" i="54"/>
  <c r="L226" i="54"/>
  <c r="K226" i="54"/>
  <c r="J226" i="54"/>
  <c r="I226" i="54"/>
  <c r="H226" i="54"/>
  <c r="L225" i="54"/>
  <c r="K225" i="54"/>
  <c r="J225" i="54"/>
  <c r="I225" i="54"/>
  <c r="H225" i="54"/>
  <c r="L224" i="54"/>
  <c r="K224" i="54"/>
  <c r="J224" i="54"/>
  <c r="I224" i="54"/>
  <c r="H224" i="54"/>
  <c r="L223" i="54"/>
  <c r="L229" i="54" s="1"/>
  <c r="K223" i="54"/>
  <c r="K229" i="54" s="1"/>
  <c r="J223" i="54"/>
  <c r="J178" i="54" s="1"/>
  <c r="I223" i="54"/>
  <c r="I229" i="54" s="1"/>
  <c r="H223" i="54"/>
  <c r="L221" i="54"/>
  <c r="K221" i="54"/>
  <c r="J221" i="54"/>
  <c r="I221" i="54"/>
  <c r="H221" i="54"/>
  <c r="L220" i="54"/>
  <c r="K220" i="54"/>
  <c r="J220" i="54"/>
  <c r="H220" i="54"/>
  <c r="L219" i="54"/>
  <c r="J219" i="54"/>
  <c r="L218" i="54"/>
  <c r="K218" i="54"/>
  <c r="J218" i="54"/>
  <c r="I218" i="54"/>
  <c r="H218" i="54"/>
  <c r="L217" i="54"/>
  <c r="K217" i="54"/>
  <c r="J217" i="54"/>
  <c r="I217" i="54"/>
  <c r="H217" i="54"/>
  <c r="L216" i="54"/>
  <c r="K216" i="54"/>
  <c r="J216" i="54"/>
  <c r="H216" i="54"/>
  <c r="L215" i="54"/>
  <c r="J215" i="54"/>
  <c r="L214" i="54"/>
  <c r="K214" i="54"/>
  <c r="J214" i="54"/>
  <c r="I214" i="54"/>
  <c r="H214" i="54"/>
  <c r="L213" i="54"/>
  <c r="K213" i="54"/>
  <c r="J213" i="54"/>
  <c r="I213" i="54"/>
  <c r="H213" i="54"/>
  <c r="L212" i="54"/>
  <c r="K212" i="54"/>
  <c r="J212" i="54"/>
  <c r="I212" i="54"/>
  <c r="H212" i="54"/>
  <c r="L211" i="54"/>
  <c r="K211" i="54"/>
  <c r="J211" i="54"/>
  <c r="I211" i="54"/>
  <c r="H211" i="54"/>
  <c r="L197" i="54"/>
  <c r="K197" i="54"/>
  <c r="J197" i="54"/>
  <c r="I197" i="54"/>
  <c r="H197" i="54"/>
  <c r="L192" i="54"/>
  <c r="K192" i="54"/>
  <c r="J192" i="54"/>
  <c r="I192" i="54"/>
  <c r="H192" i="54"/>
  <c r="L179" i="54"/>
  <c r="K179" i="54"/>
  <c r="J179" i="54"/>
  <c r="I179" i="54"/>
  <c r="H179" i="54"/>
  <c r="L178" i="54"/>
  <c r="K178" i="54"/>
  <c r="H175" i="54"/>
  <c r="H176" i="54" s="1"/>
  <c r="H238" i="54" s="1"/>
  <c r="H249" i="54" s="1"/>
  <c r="L174" i="54"/>
  <c r="L175" i="54" s="1"/>
  <c r="L176" i="54" s="1"/>
  <c r="L238" i="54" s="1"/>
  <c r="L249" i="54" s="1"/>
  <c r="K174" i="54"/>
  <c r="K175" i="54" s="1"/>
  <c r="K176" i="54" s="1"/>
  <c r="K238" i="54" s="1"/>
  <c r="K249" i="54" s="1"/>
  <c r="J174" i="54"/>
  <c r="J175" i="54" s="1"/>
  <c r="J176" i="54" s="1"/>
  <c r="J238" i="54" s="1"/>
  <c r="J249" i="54" s="1"/>
  <c r="I174" i="54"/>
  <c r="I175" i="54" s="1"/>
  <c r="I176" i="54" s="1"/>
  <c r="I238" i="54" s="1"/>
  <c r="I249" i="54" s="1"/>
  <c r="H174" i="54"/>
  <c r="L165" i="54"/>
  <c r="L169" i="54" s="1"/>
  <c r="K165" i="54"/>
  <c r="K169" i="54" s="1"/>
  <c r="J165" i="54"/>
  <c r="J166" i="54" s="1"/>
  <c r="I165" i="54"/>
  <c r="I166" i="54" s="1"/>
  <c r="H165" i="54"/>
  <c r="H166" i="54" s="1"/>
  <c r="L158" i="54"/>
  <c r="K158" i="54"/>
  <c r="J158" i="54"/>
  <c r="I158" i="54"/>
  <c r="H158" i="54"/>
  <c r="L152" i="54"/>
  <c r="K152" i="54"/>
  <c r="J152" i="54"/>
  <c r="I152" i="54"/>
  <c r="H152" i="54"/>
  <c r="L151" i="54"/>
  <c r="K151" i="54"/>
  <c r="J151" i="54"/>
  <c r="I151" i="54"/>
  <c r="H151" i="54"/>
  <c r="L150" i="54"/>
  <c r="K150" i="54"/>
  <c r="J150" i="54"/>
  <c r="I150" i="54"/>
  <c r="L147" i="54"/>
  <c r="K147" i="54"/>
  <c r="J147" i="54"/>
  <c r="I147" i="54"/>
  <c r="H147" i="54"/>
  <c r="L146" i="54"/>
  <c r="K146" i="54"/>
  <c r="J146" i="54"/>
  <c r="I146" i="54"/>
  <c r="H146" i="54"/>
  <c r="L141" i="54"/>
  <c r="K141" i="54"/>
  <c r="J141" i="54"/>
  <c r="I141" i="54"/>
  <c r="H141" i="54"/>
  <c r="L140" i="54"/>
  <c r="L167" i="54" s="1"/>
  <c r="K140" i="54"/>
  <c r="K167" i="54" s="1"/>
  <c r="J140" i="54"/>
  <c r="J167" i="54" s="1"/>
  <c r="I140" i="54"/>
  <c r="I167" i="54" s="1"/>
  <c r="I168" i="54" s="1"/>
  <c r="I247" i="54" s="1"/>
  <c r="I258" i="54" s="1"/>
  <c r="H140" i="54"/>
  <c r="H150" i="54" s="1"/>
  <c r="L139" i="54"/>
  <c r="K139" i="54"/>
  <c r="J139" i="54"/>
  <c r="I139" i="54"/>
  <c r="H139" i="54"/>
  <c r="L131" i="54"/>
  <c r="K131" i="54"/>
  <c r="J131" i="54"/>
  <c r="I131" i="54"/>
  <c r="H131" i="54"/>
  <c r="L126" i="54"/>
  <c r="K126" i="54"/>
  <c r="J126" i="54"/>
  <c r="I126" i="54"/>
  <c r="H126" i="54"/>
  <c r="L125" i="54"/>
  <c r="K125" i="54"/>
  <c r="J125" i="54"/>
  <c r="I125" i="54"/>
  <c r="H125" i="54"/>
  <c r="L124" i="54"/>
  <c r="K124" i="54"/>
  <c r="J124" i="54"/>
  <c r="I124" i="54"/>
  <c r="H124" i="54"/>
  <c r="L123" i="54"/>
  <c r="K123" i="54"/>
  <c r="J123" i="54"/>
  <c r="I123" i="54"/>
  <c r="H123" i="54"/>
  <c r="L122" i="54"/>
  <c r="K122" i="54"/>
  <c r="J122" i="54"/>
  <c r="I122" i="54"/>
  <c r="H122" i="54"/>
  <c r="L119" i="54"/>
  <c r="K119" i="54"/>
  <c r="J119" i="54"/>
  <c r="I119" i="54"/>
  <c r="H119" i="54"/>
  <c r="L118" i="54"/>
  <c r="K118" i="54"/>
  <c r="J118" i="54"/>
  <c r="I118" i="54"/>
  <c r="H118" i="54"/>
  <c r="L117" i="54"/>
  <c r="K117" i="54"/>
  <c r="J117" i="54"/>
  <c r="I117" i="54"/>
  <c r="H117" i="54"/>
  <c r="L116" i="54"/>
  <c r="K116" i="54"/>
  <c r="J116" i="54"/>
  <c r="I116" i="54"/>
  <c r="H116" i="54"/>
  <c r="L112" i="54"/>
  <c r="K112" i="54"/>
  <c r="J112" i="54"/>
  <c r="I112" i="54"/>
  <c r="H112" i="54"/>
  <c r="L111" i="54"/>
  <c r="K111" i="54"/>
  <c r="J111" i="54"/>
  <c r="I111" i="54"/>
  <c r="H111" i="54"/>
  <c r="L110" i="54"/>
  <c r="K110" i="54"/>
  <c r="J110" i="54"/>
  <c r="I110" i="54"/>
  <c r="H110" i="54"/>
  <c r="L109" i="54"/>
  <c r="K109" i="54"/>
  <c r="J109" i="54"/>
  <c r="I109" i="54"/>
  <c r="H109" i="54"/>
  <c r="L108" i="54"/>
  <c r="K108" i="54"/>
  <c r="J108" i="54"/>
  <c r="I108" i="54"/>
  <c r="H108" i="54"/>
  <c r="L105" i="54"/>
  <c r="K105" i="54"/>
  <c r="J105" i="54"/>
  <c r="I105" i="54"/>
  <c r="H105" i="54"/>
  <c r="L104" i="54"/>
  <c r="K104" i="54"/>
  <c r="J104" i="54"/>
  <c r="I104" i="54"/>
  <c r="H104" i="54"/>
  <c r="L103" i="54"/>
  <c r="K103" i="54"/>
  <c r="J103" i="54"/>
  <c r="I103" i="54"/>
  <c r="H103" i="54"/>
  <c r="L102" i="54"/>
  <c r="K102" i="54"/>
  <c r="J102" i="54"/>
  <c r="I102" i="54"/>
  <c r="H102" i="54"/>
  <c r="L101" i="54"/>
  <c r="K101" i="54"/>
  <c r="J101" i="54"/>
  <c r="I101" i="54"/>
  <c r="H101" i="54"/>
  <c r="L98" i="54"/>
  <c r="K98" i="54"/>
  <c r="J98" i="54"/>
  <c r="I98" i="54"/>
  <c r="H98" i="54"/>
  <c r="L97" i="54"/>
  <c r="K97" i="54"/>
  <c r="J97" i="54"/>
  <c r="I97" i="54"/>
  <c r="H97" i="54"/>
  <c r="L96" i="54"/>
  <c r="K96" i="54"/>
  <c r="J96" i="54"/>
  <c r="I96" i="54"/>
  <c r="H96" i="54"/>
  <c r="L95" i="54"/>
  <c r="K95" i="54"/>
  <c r="J95" i="54"/>
  <c r="I95" i="54"/>
  <c r="H95" i="54"/>
  <c r="L94" i="54"/>
  <c r="K94" i="54"/>
  <c r="J94" i="54"/>
  <c r="I94" i="54"/>
  <c r="H94" i="54"/>
  <c r="L91" i="54"/>
  <c r="L89" i="54" s="1"/>
  <c r="K91" i="54"/>
  <c r="K89" i="54" s="1"/>
  <c r="J91" i="54"/>
  <c r="J89" i="54" s="1"/>
  <c r="I91" i="54"/>
  <c r="I89" i="54" s="1"/>
  <c r="H91" i="54"/>
  <c r="H89" i="54" s="1"/>
  <c r="L90" i="54"/>
  <c r="K90" i="54"/>
  <c r="J90" i="54"/>
  <c r="I90" i="54"/>
  <c r="H90" i="54"/>
  <c r="L88" i="54"/>
  <c r="K88" i="54"/>
  <c r="J88" i="54"/>
  <c r="I88" i="54"/>
  <c r="H88" i="54"/>
  <c r="L87" i="54"/>
  <c r="K87" i="54"/>
  <c r="J87" i="54"/>
  <c r="I87" i="54"/>
  <c r="H87" i="54"/>
  <c r="L86" i="54"/>
  <c r="K86" i="54"/>
  <c r="J86" i="54"/>
  <c r="I86" i="54"/>
  <c r="H86" i="54"/>
  <c r="L83" i="54"/>
  <c r="K83" i="54"/>
  <c r="J83" i="54"/>
  <c r="J143" i="54" s="1"/>
  <c r="I83" i="54"/>
  <c r="H83" i="54"/>
  <c r="L82" i="54"/>
  <c r="K82" i="54"/>
  <c r="J82" i="54"/>
  <c r="I82" i="54"/>
  <c r="H82" i="54"/>
  <c r="L81" i="54"/>
  <c r="K81" i="54"/>
  <c r="J81" i="54"/>
  <c r="I81" i="54"/>
  <c r="H81" i="54"/>
  <c r="L80" i="54"/>
  <c r="K80" i="54"/>
  <c r="J80" i="54"/>
  <c r="I80" i="54"/>
  <c r="H80" i="54"/>
  <c r="L79" i="54"/>
  <c r="K79" i="54"/>
  <c r="J79" i="54"/>
  <c r="I79" i="54"/>
  <c r="H79" i="54"/>
  <c r="L76" i="54"/>
  <c r="K76" i="54"/>
  <c r="J76" i="54"/>
  <c r="I76" i="54"/>
  <c r="H76" i="54"/>
  <c r="L75" i="54"/>
  <c r="K75" i="54"/>
  <c r="J75" i="54"/>
  <c r="I75" i="54"/>
  <c r="H75" i="54"/>
  <c r="L74" i="54"/>
  <c r="K74" i="54"/>
  <c r="J74" i="54"/>
  <c r="I74" i="54"/>
  <c r="H74" i="54"/>
  <c r="L73" i="54"/>
  <c r="K73" i="54"/>
  <c r="J73" i="54"/>
  <c r="I73" i="54"/>
  <c r="H73" i="54"/>
  <c r="L72" i="54"/>
  <c r="K72" i="54"/>
  <c r="J72" i="54"/>
  <c r="I72" i="54"/>
  <c r="H72" i="54"/>
  <c r="L69" i="54"/>
  <c r="K69" i="54"/>
  <c r="J69" i="54"/>
  <c r="I69" i="54"/>
  <c r="H69" i="54"/>
  <c r="L68" i="54"/>
  <c r="K68" i="54"/>
  <c r="J68" i="54"/>
  <c r="I68" i="54"/>
  <c r="H68" i="54"/>
  <c r="L67" i="54"/>
  <c r="K67" i="54"/>
  <c r="J67" i="54"/>
  <c r="J148" i="54" s="1"/>
  <c r="J156" i="54" s="1"/>
  <c r="I67" i="54"/>
  <c r="I148" i="54" s="1"/>
  <c r="I156" i="54" s="1"/>
  <c r="H67" i="54"/>
  <c r="H148" i="54" s="1"/>
  <c r="L66" i="54"/>
  <c r="K66" i="54"/>
  <c r="J66" i="54"/>
  <c r="I66" i="54"/>
  <c r="H66" i="54"/>
  <c r="L65" i="54"/>
  <c r="K65" i="54"/>
  <c r="J65" i="54"/>
  <c r="I65" i="54"/>
  <c r="H65" i="54"/>
  <c r="L62" i="54"/>
  <c r="K62" i="54"/>
  <c r="J62" i="54"/>
  <c r="I62" i="54"/>
  <c r="H62" i="54"/>
  <c r="L61" i="54"/>
  <c r="K61" i="54"/>
  <c r="J61" i="54"/>
  <c r="I61" i="54"/>
  <c r="H61" i="54"/>
  <c r="L60" i="54"/>
  <c r="K60" i="54"/>
  <c r="J60" i="54"/>
  <c r="I60" i="54"/>
  <c r="H60" i="54"/>
  <c r="L59" i="54"/>
  <c r="K59" i="54"/>
  <c r="J59" i="54"/>
  <c r="I59" i="54"/>
  <c r="H59" i="54"/>
  <c r="L58" i="54"/>
  <c r="K58" i="54"/>
  <c r="J58" i="54"/>
  <c r="I58" i="54"/>
  <c r="H58" i="54"/>
  <c r="L55" i="54"/>
  <c r="L143" i="54" s="1"/>
  <c r="K55" i="54"/>
  <c r="J55" i="54"/>
  <c r="I55" i="54"/>
  <c r="H55" i="54"/>
  <c r="L54" i="54"/>
  <c r="K54" i="54"/>
  <c r="J54" i="54"/>
  <c r="I54" i="54"/>
  <c r="H54" i="54"/>
  <c r="L53" i="54"/>
  <c r="K53" i="54"/>
  <c r="J53" i="54"/>
  <c r="I53" i="54"/>
  <c r="H53" i="54"/>
  <c r="L52" i="54"/>
  <c r="K52" i="54"/>
  <c r="J52" i="54"/>
  <c r="I52" i="54"/>
  <c r="H52" i="54"/>
  <c r="L51" i="54"/>
  <c r="K51" i="54"/>
  <c r="J51" i="54"/>
  <c r="I51" i="54"/>
  <c r="H51" i="54"/>
  <c r="L48" i="54"/>
  <c r="K48" i="54"/>
  <c r="J48" i="54"/>
  <c r="I48" i="54"/>
  <c r="H48" i="54"/>
  <c r="L47" i="54"/>
  <c r="K47" i="54"/>
  <c r="J47" i="54"/>
  <c r="I47" i="54"/>
  <c r="H47" i="54"/>
  <c r="L46" i="54"/>
  <c r="K46" i="54"/>
  <c r="J46" i="54"/>
  <c r="I46" i="54"/>
  <c r="H46" i="54"/>
  <c r="L45" i="54"/>
  <c r="K45" i="54"/>
  <c r="J45" i="54"/>
  <c r="I45" i="54"/>
  <c r="H45" i="54"/>
  <c r="L44" i="54"/>
  <c r="K44" i="54"/>
  <c r="K160" i="54" s="1"/>
  <c r="K182" i="54" s="1"/>
  <c r="K183" i="54" s="1"/>
  <c r="K188" i="54" s="1"/>
  <c r="J44" i="54"/>
  <c r="J160" i="54" s="1"/>
  <c r="J182" i="54" s="1"/>
  <c r="J183" i="54" s="1"/>
  <c r="J188" i="54" s="1"/>
  <c r="I44" i="54"/>
  <c r="I160" i="54" s="1"/>
  <c r="I182" i="54" s="1"/>
  <c r="I183" i="54" s="1"/>
  <c r="I188" i="54" s="1"/>
  <c r="H44" i="54"/>
  <c r="L41" i="54"/>
  <c r="K41" i="54"/>
  <c r="J41" i="54"/>
  <c r="I41" i="54"/>
  <c r="H41" i="54"/>
  <c r="L40" i="54"/>
  <c r="K40" i="54"/>
  <c r="J40" i="54"/>
  <c r="I40" i="54"/>
  <c r="H40" i="54"/>
  <c r="L39" i="54"/>
  <c r="K39" i="54"/>
  <c r="J39" i="54"/>
  <c r="I39" i="54"/>
  <c r="H39" i="54"/>
  <c r="L38" i="54"/>
  <c r="K38" i="54"/>
  <c r="J38" i="54"/>
  <c r="I38" i="54"/>
  <c r="H38" i="54"/>
  <c r="L33" i="54"/>
  <c r="K33" i="54"/>
  <c r="J33" i="54"/>
  <c r="I33" i="54"/>
  <c r="H33" i="54"/>
  <c r="L31" i="54"/>
  <c r="K31" i="54"/>
  <c r="J31" i="54"/>
  <c r="I31" i="54"/>
  <c r="H31" i="54"/>
  <c r="L29" i="54"/>
  <c r="L30" i="54" s="1"/>
  <c r="K29" i="54"/>
  <c r="K30" i="54" s="1"/>
  <c r="J29" i="54"/>
  <c r="J30" i="54" s="1"/>
  <c r="I29" i="54"/>
  <c r="I30" i="54" s="1"/>
  <c r="H29" i="54"/>
  <c r="H30" i="54" s="1"/>
  <c r="L24" i="54"/>
  <c r="L25" i="54" s="1"/>
  <c r="K24" i="54"/>
  <c r="K25" i="54" s="1"/>
  <c r="J24" i="54"/>
  <c r="J25" i="54" s="1"/>
  <c r="I24" i="54"/>
  <c r="I25" i="54" s="1"/>
  <c r="H24" i="54"/>
  <c r="H25" i="54" s="1"/>
  <c r="L2" i="54"/>
  <c r="K2" i="54"/>
  <c r="J2" i="54"/>
  <c r="I2" i="54"/>
  <c r="H2" i="54"/>
  <c r="L1" i="54"/>
  <c r="K1" i="54"/>
  <c r="J1" i="54"/>
  <c r="I1" i="54"/>
  <c r="H1" i="54"/>
  <c r="O95" i="58" l="1"/>
  <c r="O96" i="58" s="1"/>
  <c r="O212" i="58" s="1"/>
  <c r="O204" i="58" s="1"/>
  <c r="H111" i="56"/>
  <c r="H116" i="56"/>
  <c r="H115" i="56"/>
  <c r="H108" i="56"/>
  <c r="G116" i="56"/>
  <c r="G111" i="56"/>
  <c r="G115" i="56"/>
  <c r="G108" i="56"/>
  <c r="K116" i="56"/>
  <c r="K111" i="56"/>
  <c r="K115" i="56"/>
  <c r="K108" i="56"/>
  <c r="I116" i="56"/>
  <c r="I111" i="56"/>
  <c r="I115" i="56"/>
  <c r="I108" i="56"/>
  <c r="I159" i="54"/>
  <c r="H230" i="54"/>
  <c r="H237" i="54" s="1"/>
  <c r="H248" i="54" s="1"/>
  <c r="H3" i="54"/>
  <c r="H5" i="54" s="1"/>
  <c r="J149" i="54"/>
  <c r="J157" i="54" s="1"/>
  <c r="I3" i="54"/>
  <c r="I5" i="54" s="1"/>
  <c r="K180" i="54"/>
  <c r="H234" i="54"/>
  <c r="L180" i="54"/>
  <c r="I234" i="54"/>
  <c r="I230" i="54"/>
  <c r="I237" i="54" s="1"/>
  <c r="I248" i="54" s="1"/>
  <c r="J234" i="54"/>
  <c r="J230" i="54"/>
  <c r="J237" i="54" s="1"/>
  <c r="J248" i="54" s="1"/>
  <c r="K234" i="54"/>
  <c r="K230" i="54"/>
  <c r="K237" i="54" s="1"/>
  <c r="K248" i="54" s="1"/>
  <c r="K148" i="54"/>
  <c r="K156" i="54" s="1"/>
  <c r="K244" i="54"/>
  <c r="K255" i="54" s="1"/>
  <c r="L234" i="54"/>
  <c r="L230" i="54"/>
  <c r="L237" i="54" s="1"/>
  <c r="L248" i="54" s="1"/>
  <c r="L3" i="54"/>
  <c r="L5" i="54" s="1"/>
  <c r="L148" i="54"/>
  <c r="L156" i="54" s="1"/>
  <c r="L244" i="54"/>
  <c r="L255" i="54" s="1"/>
  <c r="H235" i="54"/>
  <c r="L160" i="54"/>
  <c r="L182" i="54" s="1"/>
  <c r="L183" i="54" s="1"/>
  <c r="L188" i="54" s="1"/>
  <c r="K166" i="54"/>
  <c r="I235" i="54"/>
  <c r="H160" i="54"/>
  <c r="H182" i="54" s="1"/>
  <c r="H183" i="54" s="1"/>
  <c r="H188" i="54" s="1"/>
  <c r="H143" i="54"/>
  <c r="L166" i="54"/>
  <c r="J235" i="54"/>
  <c r="I143" i="54"/>
  <c r="H167" i="54"/>
  <c r="H168" i="54" s="1"/>
  <c r="H247" i="54" s="1"/>
  <c r="H258" i="54" s="1"/>
  <c r="K235" i="54"/>
  <c r="I149" i="54"/>
  <c r="I157" i="54" s="1"/>
  <c r="I239" i="54" s="1"/>
  <c r="I250" i="54" s="1"/>
  <c r="L233" i="54"/>
  <c r="L235" i="54"/>
  <c r="K3" i="54"/>
  <c r="K5" i="54" s="1"/>
  <c r="J3" i="54"/>
  <c r="J5" i="54" s="1"/>
  <c r="H149" i="54"/>
  <c r="N127" i="58"/>
  <c r="L95" i="58"/>
  <c r="L96" i="58" s="1"/>
  <c r="L212" i="58" s="1"/>
  <c r="L204" i="58" s="1"/>
  <c r="O126" i="58"/>
  <c r="O137" i="58" s="1"/>
  <c r="O134" i="58"/>
  <c r="O90" i="58"/>
  <c r="O91" i="58" s="1"/>
  <c r="O201" i="58" s="1"/>
  <c r="N215" i="58"/>
  <c r="N200" i="58"/>
  <c r="L47" i="58"/>
  <c r="L58" i="58"/>
  <c r="M126" i="58"/>
  <c r="M137" i="58" s="1"/>
  <c r="M134" i="58"/>
  <c r="M90" i="58"/>
  <c r="M91" i="58" s="1"/>
  <c r="L86" i="58"/>
  <c r="L216" i="58"/>
  <c r="L89" i="58"/>
  <c r="L123" i="58"/>
  <c r="L199" i="58"/>
  <c r="J180" i="54"/>
  <c r="H159" i="54"/>
  <c r="I232" i="54"/>
  <c r="I231" i="54"/>
  <c r="J239" i="54"/>
  <c r="J250" i="54" s="1"/>
  <c r="K149" i="54"/>
  <c r="K157" i="54" s="1"/>
  <c r="K232" i="54"/>
  <c r="K231" i="54"/>
  <c r="K161" i="54"/>
  <c r="L149" i="54"/>
  <c r="L157" i="54" s="1"/>
  <c r="H156" i="54"/>
  <c r="H157" i="54"/>
  <c r="H239" i="54" s="1"/>
  <c r="H250" i="54" s="1"/>
  <c r="L232" i="54"/>
  <c r="L231" i="54"/>
  <c r="J153" i="54"/>
  <c r="J155" i="54" s="1"/>
  <c r="J161" i="54"/>
  <c r="K143" i="54"/>
  <c r="J168" i="54"/>
  <c r="J247" i="54" s="1"/>
  <c r="J258" i="54" s="1"/>
  <c r="K168" i="54"/>
  <c r="K247" i="54" s="1"/>
  <c r="K258" i="54" s="1"/>
  <c r="L168" i="54"/>
  <c r="L247" i="54" s="1"/>
  <c r="L258" i="54" s="1"/>
  <c r="H169" i="54"/>
  <c r="I169" i="54"/>
  <c r="I244" i="54" s="1"/>
  <c r="I255" i="54" s="1"/>
  <c r="H178" i="54"/>
  <c r="H180" i="54" s="1"/>
  <c r="J169" i="54"/>
  <c r="J244" i="54" s="1"/>
  <c r="J255" i="54" s="1"/>
  <c r="I178" i="54"/>
  <c r="I180" i="54" s="1"/>
  <c r="H233" i="54"/>
  <c r="I233" i="54"/>
  <c r="J233" i="54"/>
  <c r="J159" i="54"/>
  <c r="K233" i="54"/>
  <c r="K159" i="54"/>
  <c r="K162" i="54" s="1"/>
  <c r="H229" i="54"/>
  <c r="J229" i="54"/>
  <c r="I120" i="56" l="1"/>
  <c r="I117" i="56"/>
  <c r="K117" i="56"/>
  <c r="K120" i="56"/>
  <c r="H117" i="56"/>
  <c r="H120" i="56"/>
  <c r="G117" i="56"/>
  <c r="G120" i="56"/>
  <c r="L239" i="54"/>
  <c r="L250" i="54" s="1"/>
  <c r="L159" i="54"/>
  <c r="H244" i="54"/>
  <c r="H255" i="54" s="1"/>
  <c r="K239" i="54"/>
  <c r="K250" i="54" s="1"/>
  <c r="I161" i="54"/>
  <c r="I162" i="54" s="1"/>
  <c r="I153" i="54"/>
  <c r="I155" i="54" s="1"/>
  <c r="N138" i="58"/>
  <c r="N128" i="58"/>
  <c r="M127" i="58"/>
  <c r="M138" i="58" s="1"/>
  <c r="O127" i="58"/>
  <c r="O138" i="58" s="1"/>
  <c r="O200" i="58"/>
  <c r="O215" i="58"/>
  <c r="L126" i="58"/>
  <c r="L137" i="58" s="1"/>
  <c r="L134" i="58"/>
  <c r="L90" i="58"/>
  <c r="L91" i="58" s="1"/>
  <c r="M215" i="58"/>
  <c r="M200" i="58"/>
  <c r="M201" i="58"/>
  <c r="I170" i="54"/>
  <c r="I164" i="54"/>
  <c r="J232" i="54"/>
  <c r="J231" i="54"/>
  <c r="H153" i="54"/>
  <c r="H155" i="54" s="1"/>
  <c r="H161" i="54"/>
  <c r="H232" i="54"/>
  <c r="H231" i="54"/>
  <c r="K170" i="54"/>
  <c r="K164" i="54"/>
  <c r="K153" i="54"/>
  <c r="K155" i="54" s="1"/>
  <c r="J162" i="54"/>
  <c r="L161" i="54"/>
  <c r="L162" i="54" s="1"/>
  <c r="L153" i="54"/>
  <c r="L155" i="54" s="1"/>
  <c r="H162" i="54"/>
  <c r="L127" i="58" l="1"/>
  <c r="L138" i="58" s="1"/>
  <c r="M128" i="58"/>
  <c r="M129" i="58" s="1"/>
  <c r="M140" i="58" s="1"/>
  <c r="N139" i="58"/>
  <c r="N129" i="58"/>
  <c r="O128" i="58"/>
  <c r="O139" i="58" s="1"/>
  <c r="M130" i="58"/>
  <c r="M141" i="58" s="1"/>
  <c r="O129" i="58"/>
  <c r="O140" i="58" s="1"/>
  <c r="L215" i="58"/>
  <c r="L200" i="58"/>
  <c r="L201" i="58"/>
  <c r="L128" i="58"/>
  <c r="M139" i="58"/>
  <c r="H170" i="54"/>
  <c r="H164" i="54"/>
  <c r="J170" i="54"/>
  <c r="J164" i="54"/>
  <c r="K243" i="54"/>
  <c r="K254" i="54" s="1"/>
  <c r="K242" i="54"/>
  <c r="K253" i="54" s="1"/>
  <c r="K246" i="54"/>
  <c r="K257" i="54" s="1"/>
  <c r="K241" i="54"/>
  <c r="K252" i="54" s="1"/>
  <c r="L170" i="54"/>
  <c r="L164" i="54"/>
  <c r="I243" i="54"/>
  <c r="I254" i="54" s="1"/>
  <c r="I242" i="54"/>
  <c r="I253" i="54" s="1"/>
  <c r="I246" i="54"/>
  <c r="I257" i="54" s="1"/>
  <c r="I241" i="54"/>
  <c r="I252" i="54" s="1"/>
  <c r="M131" i="58" l="1"/>
  <c r="M142" i="58" s="1"/>
  <c r="M132" i="58"/>
  <c r="M143" i="58" s="1"/>
  <c r="N130" i="58"/>
  <c r="N140" i="58"/>
  <c r="M121" i="58"/>
  <c r="O130" i="58"/>
  <c r="O131" i="58" s="1"/>
  <c r="L139" i="58"/>
  <c r="L129" i="58"/>
  <c r="L130" i="58" s="1"/>
  <c r="L141" i="58" s="1"/>
  <c r="L243" i="54"/>
  <c r="L254" i="54" s="1"/>
  <c r="L242" i="54"/>
  <c r="L253" i="54" s="1"/>
  <c r="L246" i="54"/>
  <c r="L257" i="54" s="1"/>
  <c r="L241" i="54"/>
  <c r="L252" i="54" s="1"/>
  <c r="J243" i="54"/>
  <c r="J254" i="54" s="1"/>
  <c r="J242" i="54"/>
  <c r="J253" i="54" s="1"/>
  <c r="J246" i="54"/>
  <c r="J257" i="54" s="1"/>
  <c r="J241" i="54"/>
  <c r="J252" i="54" s="1"/>
  <c r="H243" i="54"/>
  <c r="H254" i="54" s="1"/>
  <c r="H242" i="54"/>
  <c r="H253" i="54" s="1"/>
  <c r="H246" i="54"/>
  <c r="H257" i="54" s="1"/>
  <c r="H241" i="54"/>
  <c r="H252" i="54" s="1"/>
  <c r="N141" i="58" l="1"/>
  <c r="N131" i="58"/>
  <c r="O142" i="58"/>
  <c r="O132" i="58"/>
  <c r="O143" i="58" s="1"/>
  <c r="O141" i="58"/>
  <c r="L140" i="58"/>
  <c r="L131" i="58"/>
  <c r="L142" i="58" s="1"/>
  <c r="L2" i="44"/>
  <c r="K2" i="44"/>
  <c r="J2" i="44"/>
  <c r="I2" i="44"/>
  <c r="H2" i="44"/>
  <c r="G2" i="44"/>
  <c r="D15" i="40"/>
  <c r="L113" i="44"/>
  <c r="K113" i="44"/>
  <c r="J113" i="44"/>
  <c r="L78" i="44"/>
  <c r="K78" i="44"/>
  <c r="J78" i="44"/>
  <c r="L29" i="44"/>
  <c r="K29" i="44"/>
  <c r="J29" i="44"/>
  <c r="L25" i="44"/>
  <c r="K25" i="44"/>
  <c r="J25" i="44"/>
  <c r="L20" i="44"/>
  <c r="K20" i="44"/>
  <c r="J20" i="44"/>
  <c r="L19" i="44"/>
  <c r="K19" i="44"/>
  <c r="J19" i="44"/>
  <c r="L18" i="44"/>
  <c r="K18" i="44"/>
  <c r="J18" i="44"/>
  <c r="L16" i="44"/>
  <c r="K16" i="44"/>
  <c r="J16" i="44"/>
  <c r="L15" i="44"/>
  <c r="K15" i="44"/>
  <c r="J15" i="44"/>
  <c r="L14" i="44"/>
  <c r="K14" i="44"/>
  <c r="J14" i="44"/>
  <c r="F31" i="121"/>
  <c r="E31" i="121"/>
  <c r="B31" i="121"/>
  <c r="F30" i="121"/>
  <c r="E30" i="121"/>
  <c r="B30" i="121"/>
  <c r="F29" i="121"/>
  <c r="E29" i="121"/>
  <c r="B29" i="121"/>
  <c r="F28" i="121"/>
  <c r="E28" i="121"/>
  <c r="B28" i="121"/>
  <c r="F27" i="121"/>
  <c r="E27" i="121"/>
  <c r="B27" i="121"/>
  <c r="F26" i="121"/>
  <c r="E26" i="121"/>
  <c r="B26" i="121"/>
  <c r="F25" i="121"/>
  <c r="E25" i="121"/>
  <c r="B25" i="121"/>
  <c r="F24" i="121"/>
  <c r="E24" i="121"/>
  <c r="B24" i="121"/>
  <c r="F23" i="121"/>
  <c r="E23" i="121"/>
  <c r="B23" i="121"/>
  <c r="F22" i="121"/>
  <c r="E22" i="121"/>
  <c r="B22" i="121"/>
  <c r="F21" i="121"/>
  <c r="E21" i="121"/>
  <c r="B21" i="121"/>
  <c r="F15" i="121"/>
  <c r="E15" i="121"/>
  <c r="D15" i="121"/>
  <c r="B15" i="121"/>
  <c r="F14" i="121"/>
  <c r="E14" i="121"/>
  <c r="D14" i="121"/>
  <c r="B14" i="121"/>
  <c r="F13" i="121"/>
  <c r="E13" i="121"/>
  <c r="D13" i="121"/>
  <c r="B13" i="121"/>
  <c r="F11" i="121"/>
  <c r="E11" i="121"/>
  <c r="D11" i="121"/>
  <c r="B11" i="121"/>
  <c r="J4" i="120"/>
  <c r="J3" i="120"/>
  <c r="J2" i="120"/>
  <c r="J1" i="120"/>
  <c r="BG118" i="59"/>
  <c r="BD118" i="59"/>
  <c r="AX118" i="59"/>
  <c r="AO118" i="59"/>
  <c r="BG117" i="59"/>
  <c r="BD117" i="59"/>
  <c r="AX117" i="59"/>
  <c r="AO117" i="59"/>
  <c r="BG116" i="59"/>
  <c r="BD116" i="59"/>
  <c r="AX116" i="59"/>
  <c r="AO116" i="59"/>
  <c r="BG115" i="59"/>
  <c r="BD115" i="59"/>
  <c r="AX115" i="59"/>
  <c r="AO115" i="59"/>
  <c r="BG114" i="59"/>
  <c r="BD114" i="59"/>
  <c r="AX114" i="59"/>
  <c r="AO114" i="59"/>
  <c r="BG113" i="59"/>
  <c r="BD113" i="59"/>
  <c r="AX113" i="59"/>
  <c r="AO113" i="59"/>
  <c r="BH112" i="59"/>
  <c r="BB112" i="59"/>
  <c r="AS112" i="59"/>
  <c r="AJ112" i="59"/>
  <c r="BH111" i="59"/>
  <c r="BB111" i="59"/>
  <c r="AS111" i="59"/>
  <c r="AJ111" i="59"/>
  <c r="BH110" i="59"/>
  <c r="BB110" i="59"/>
  <c r="AS110" i="59"/>
  <c r="AJ110" i="59"/>
  <c r="BI109" i="59"/>
  <c r="BF109" i="59"/>
  <c r="BB109" i="59"/>
  <c r="AS109" i="59"/>
  <c r="AJ109" i="59"/>
  <c r="BI108" i="59"/>
  <c r="BF108" i="59"/>
  <c r="BB108" i="59"/>
  <c r="AS108" i="59"/>
  <c r="AJ108" i="59"/>
  <c r="BI107" i="59"/>
  <c r="BF107" i="59"/>
  <c r="BB107" i="59"/>
  <c r="AS107" i="59"/>
  <c r="AJ107" i="59"/>
  <c r="BI106" i="59"/>
  <c r="BF106" i="59"/>
  <c r="BB106" i="59"/>
  <c r="AS106" i="59"/>
  <c r="AJ106" i="59"/>
  <c r="BI105" i="59"/>
  <c r="BF105" i="59"/>
  <c r="BB105" i="59"/>
  <c r="AS105" i="59"/>
  <c r="AJ105" i="59"/>
  <c r="BI104" i="59"/>
  <c r="BF104" i="59"/>
  <c r="BB104" i="59"/>
  <c r="AS104" i="59"/>
  <c r="AJ104" i="59"/>
  <c r="BM101" i="59"/>
  <c r="BJ101" i="59"/>
  <c r="BH101" i="59"/>
  <c r="BF101" i="59"/>
  <c r="BB101" i="59"/>
  <c r="AY101" i="59"/>
  <c r="AW101" i="59"/>
  <c r="AU101" i="59"/>
  <c r="AS101" i="59"/>
  <c r="AP101" i="59"/>
  <c r="AN101" i="59"/>
  <c r="AL101" i="59"/>
  <c r="AJ101" i="59"/>
  <c r="AG101" i="59"/>
  <c r="BM100" i="59"/>
  <c r="BJ100" i="59"/>
  <c r="BH100" i="59"/>
  <c r="BF100" i="59"/>
  <c r="BB100" i="59"/>
  <c r="AY100" i="59"/>
  <c r="AW100" i="59"/>
  <c r="AU100" i="59"/>
  <c r="AS100" i="59"/>
  <c r="AP100" i="59"/>
  <c r="AN100" i="59"/>
  <c r="AL100" i="59"/>
  <c r="AJ100" i="59"/>
  <c r="AG100" i="59"/>
  <c r="BM99" i="59"/>
  <c r="BJ99" i="59"/>
  <c r="BH99" i="59"/>
  <c r="BF99" i="59"/>
  <c r="BB99" i="59"/>
  <c r="AY99" i="59"/>
  <c r="AW99" i="59"/>
  <c r="AU99" i="59"/>
  <c r="AS99" i="59"/>
  <c r="AP99" i="59"/>
  <c r="AN99" i="59"/>
  <c r="AL99" i="59"/>
  <c r="AJ99" i="59"/>
  <c r="AG99" i="59"/>
  <c r="BM82" i="59"/>
  <c r="BJ82" i="59"/>
  <c r="BF82" i="59"/>
  <c r="AW82" i="59"/>
  <c r="AU82" i="59"/>
  <c r="AN82" i="59"/>
  <c r="AL82" i="59"/>
  <c r="AJ82" i="59"/>
  <c r="BM81" i="59"/>
  <c r="BF81" i="59"/>
  <c r="BB81" i="59"/>
  <c r="AW81" i="59"/>
  <c r="AU81" i="59"/>
  <c r="AS81" i="59"/>
  <c r="AN81" i="59"/>
  <c r="AL81" i="59"/>
  <c r="AJ81" i="59"/>
  <c r="BM80" i="59"/>
  <c r="BF80" i="59"/>
  <c r="BB80" i="59"/>
  <c r="AW80" i="59"/>
  <c r="AU80" i="59"/>
  <c r="AS80" i="59"/>
  <c r="AN80" i="59"/>
  <c r="AL80" i="59"/>
  <c r="AJ80" i="59"/>
  <c r="BM79" i="59"/>
  <c r="BF79" i="59"/>
  <c r="BB79" i="59"/>
  <c r="AW79" i="59"/>
  <c r="AU79" i="59"/>
  <c r="AS79" i="59"/>
  <c r="AN79" i="59"/>
  <c r="AL79" i="59"/>
  <c r="AJ79" i="59"/>
  <c r="BM78" i="59"/>
  <c r="BF78" i="59"/>
  <c r="BB78" i="59"/>
  <c r="AW78" i="59"/>
  <c r="AU78" i="59"/>
  <c r="AS78" i="59"/>
  <c r="AN78" i="59"/>
  <c r="AL78" i="59"/>
  <c r="AJ78" i="59"/>
  <c r="BM77" i="59"/>
  <c r="BF77" i="59"/>
  <c r="BB77" i="59"/>
  <c r="AW77" i="59"/>
  <c r="AU77" i="59"/>
  <c r="AS77" i="59"/>
  <c r="AN77" i="59"/>
  <c r="AL77" i="59"/>
  <c r="AJ77" i="59"/>
  <c r="BM76" i="59"/>
  <c r="BF76" i="59"/>
  <c r="BB76" i="59"/>
  <c r="AW76" i="59"/>
  <c r="AU76" i="59"/>
  <c r="AS76" i="59"/>
  <c r="AN76" i="59"/>
  <c r="AL76" i="59"/>
  <c r="AJ76" i="59"/>
  <c r="BN66" i="59"/>
  <c r="BF66" i="59"/>
  <c r="BE66" i="59"/>
  <c r="BB66" i="59"/>
  <c r="AW66" i="59"/>
  <c r="AU66" i="59"/>
  <c r="AS66" i="59"/>
  <c r="AN66" i="59"/>
  <c r="AL66" i="59"/>
  <c r="AJ66" i="59"/>
  <c r="BM65" i="59"/>
  <c r="BJ65" i="59"/>
  <c r="BH65" i="59"/>
  <c r="BF65" i="59"/>
  <c r="BB65" i="59"/>
  <c r="AY65" i="59"/>
  <c r="AW65" i="59"/>
  <c r="AU65" i="59"/>
  <c r="AS65" i="59"/>
  <c r="AP65" i="59"/>
  <c r="AN65" i="59"/>
  <c r="AL65" i="59"/>
  <c r="AJ65" i="59"/>
  <c r="AG65" i="59"/>
  <c r="BM64" i="59"/>
  <c r="BJ64" i="59"/>
  <c r="BH64" i="59"/>
  <c r="BF64" i="59"/>
  <c r="BB64" i="59"/>
  <c r="AY64" i="59"/>
  <c r="AW64" i="59"/>
  <c r="AU64" i="59"/>
  <c r="AS64" i="59"/>
  <c r="AP64" i="59"/>
  <c r="AN64" i="59"/>
  <c r="AL64" i="59"/>
  <c r="AJ64" i="59"/>
  <c r="AG64" i="59"/>
  <c r="BM63" i="59"/>
  <c r="BJ63" i="59"/>
  <c r="BH63" i="59"/>
  <c r="BF63" i="59"/>
  <c r="BB63" i="59"/>
  <c r="AY63" i="59"/>
  <c r="AW63" i="59"/>
  <c r="AU63" i="59"/>
  <c r="AS63" i="59"/>
  <c r="AP63" i="59"/>
  <c r="AN63" i="59"/>
  <c r="AL63" i="59"/>
  <c r="AJ63" i="59"/>
  <c r="AG63" i="59"/>
  <c r="BM62" i="59"/>
  <c r="BJ62" i="59"/>
  <c r="BH62" i="59"/>
  <c r="BF62" i="59"/>
  <c r="BB62" i="59"/>
  <c r="AY62" i="59"/>
  <c r="AW62" i="59"/>
  <c r="AU62" i="59"/>
  <c r="AS62" i="59"/>
  <c r="AP62" i="59"/>
  <c r="AN62" i="59"/>
  <c r="AL62" i="59"/>
  <c r="AJ62" i="59"/>
  <c r="AG62" i="59"/>
  <c r="BM61" i="59"/>
  <c r="BJ61" i="59"/>
  <c r="BH61" i="59"/>
  <c r="BF61" i="59"/>
  <c r="BB61" i="59"/>
  <c r="AY61" i="59"/>
  <c r="AW61" i="59"/>
  <c r="AU61" i="59"/>
  <c r="AS61" i="59"/>
  <c r="AP61" i="59"/>
  <c r="AN61" i="59"/>
  <c r="AL61" i="59"/>
  <c r="AJ61" i="59"/>
  <c r="AG61" i="59"/>
  <c r="BM60" i="59"/>
  <c r="BJ60" i="59"/>
  <c r="BH60" i="59"/>
  <c r="BF60" i="59"/>
  <c r="BB60" i="59"/>
  <c r="AY60" i="59"/>
  <c r="AW60" i="59"/>
  <c r="AU60" i="59"/>
  <c r="AS60" i="59"/>
  <c r="AP60" i="59"/>
  <c r="AN60" i="59"/>
  <c r="AL60" i="59"/>
  <c r="AJ60" i="59"/>
  <c r="AG60" i="59"/>
  <c r="B31" i="74"/>
  <c r="B30" i="74"/>
  <c r="B29" i="74"/>
  <c r="B28" i="74"/>
  <c r="B27" i="74"/>
  <c r="B26" i="74"/>
  <c r="B25" i="74"/>
  <c r="B24" i="74"/>
  <c r="B23" i="74"/>
  <c r="B22" i="74"/>
  <c r="B21" i="74"/>
  <c r="F15" i="74"/>
  <c r="E15" i="74"/>
  <c r="D15" i="74"/>
  <c r="B15" i="74"/>
  <c r="F14" i="74"/>
  <c r="E14" i="74"/>
  <c r="D14" i="74"/>
  <c r="B14" i="74"/>
  <c r="D13" i="74"/>
  <c r="D12" i="74"/>
  <c r="D11" i="74"/>
  <c r="G928" i="12"/>
  <c r="F928" i="12"/>
  <c r="D928" i="12"/>
  <c r="C928" i="12"/>
  <c r="G927" i="12"/>
  <c r="F927" i="12"/>
  <c r="D927" i="12"/>
  <c r="C927" i="12"/>
  <c r="G926" i="12"/>
  <c r="F926" i="12"/>
  <c r="D926" i="12"/>
  <c r="C926" i="12"/>
  <c r="G925" i="12"/>
  <c r="F925" i="12"/>
  <c r="D925" i="12"/>
  <c r="C925" i="12"/>
  <c r="G924" i="12"/>
  <c r="F924" i="12"/>
  <c r="D924" i="12"/>
  <c r="C924" i="12"/>
  <c r="G923" i="12"/>
  <c r="F923" i="12"/>
  <c r="D923" i="12"/>
  <c r="C923" i="12"/>
  <c r="G922" i="12"/>
  <c r="F922" i="12"/>
  <c r="D922" i="12"/>
  <c r="C922" i="12"/>
  <c r="G921" i="12"/>
  <c r="F921" i="12"/>
  <c r="D921" i="12"/>
  <c r="C921" i="12"/>
  <c r="G920" i="12"/>
  <c r="F920" i="12"/>
  <c r="D920" i="12"/>
  <c r="C920" i="12"/>
  <c r="G919" i="12"/>
  <c r="F919" i="12"/>
  <c r="D919" i="12"/>
  <c r="C919" i="12"/>
  <c r="G918" i="12"/>
  <c r="F918" i="12"/>
  <c r="D918" i="12"/>
  <c r="C918" i="12"/>
  <c r="G917" i="12"/>
  <c r="F917" i="12"/>
  <c r="D917" i="12"/>
  <c r="C917" i="12"/>
  <c r="G916" i="12"/>
  <c r="F916" i="12"/>
  <c r="D916" i="12"/>
  <c r="C916" i="12"/>
  <c r="G915" i="12"/>
  <c r="F915" i="12"/>
  <c r="D915" i="12"/>
  <c r="C915" i="12"/>
  <c r="G914" i="12"/>
  <c r="F914" i="12"/>
  <c r="D914" i="12"/>
  <c r="C914" i="12"/>
  <c r="G913" i="12"/>
  <c r="F913" i="12"/>
  <c r="D913" i="12"/>
  <c r="C913" i="12"/>
  <c r="G912" i="12"/>
  <c r="F912" i="12"/>
  <c r="D912" i="12"/>
  <c r="C912" i="12"/>
  <c r="G911" i="12"/>
  <c r="F911" i="12"/>
  <c r="D911" i="12"/>
  <c r="C911" i="12"/>
  <c r="G910" i="12"/>
  <c r="F910" i="12"/>
  <c r="D910" i="12"/>
  <c r="C910" i="12"/>
  <c r="G909" i="12"/>
  <c r="F909" i="12"/>
  <c r="D909" i="12"/>
  <c r="C909" i="12"/>
  <c r="G908" i="12"/>
  <c r="F908" i="12"/>
  <c r="D908" i="12"/>
  <c r="C908" i="12"/>
  <c r="G907" i="12"/>
  <c r="F907" i="12"/>
  <c r="D907" i="12"/>
  <c r="C907" i="12"/>
  <c r="G906" i="12"/>
  <c r="F906" i="12"/>
  <c r="D906" i="12"/>
  <c r="C906" i="12"/>
  <c r="G905" i="12"/>
  <c r="F905" i="12"/>
  <c r="D905" i="12"/>
  <c r="C905" i="12"/>
  <c r="G904" i="12"/>
  <c r="F904" i="12"/>
  <c r="D904" i="12"/>
  <c r="C904" i="12"/>
  <c r="G903" i="12"/>
  <c r="F903" i="12"/>
  <c r="D903" i="12"/>
  <c r="C903" i="12"/>
  <c r="G902" i="12"/>
  <c r="F902" i="12"/>
  <c r="D902" i="12"/>
  <c r="C902" i="12"/>
  <c r="G901" i="12"/>
  <c r="F901" i="12"/>
  <c r="D901" i="12"/>
  <c r="C901" i="12"/>
  <c r="G900" i="12"/>
  <c r="F900" i="12"/>
  <c r="D900" i="12"/>
  <c r="C900" i="12"/>
  <c r="G899" i="12"/>
  <c r="F899" i="12"/>
  <c r="D899" i="12"/>
  <c r="C899" i="12"/>
  <c r="G898" i="12"/>
  <c r="F898" i="12"/>
  <c r="D898" i="12"/>
  <c r="C898" i="12"/>
  <c r="G897" i="12"/>
  <c r="F897" i="12"/>
  <c r="D897" i="12"/>
  <c r="C897" i="12"/>
  <c r="G896" i="12"/>
  <c r="F896" i="12"/>
  <c r="D896" i="12"/>
  <c r="C896" i="12"/>
  <c r="G895" i="12"/>
  <c r="F895" i="12"/>
  <c r="D895" i="12"/>
  <c r="C895" i="12"/>
  <c r="G894" i="12"/>
  <c r="F894" i="12"/>
  <c r="D894" i="12"/>
  <c r="C894" i="12"/>
  <c r="G893" i="12"/>
  <c r="F893" i="12"/>
  <c r="D893" i="12"/>
  <c r="C893" i="12"/>
  <c r="G892" i="12"/>
  <c r="F892" i="12"/>
  <c r="D892" i="12"/>
  <c r="C892" i="12"/>
  <c r="M886" i="12"/>
  <c r="M885" i="12"/>
  <c r="M884" i="12"/>
  <c r="M883" i="12"/>
  <c r="M882" i="12"/>
  <c r="M881" i="12"/>
  <c r="M880" i="12"/>
  <c r="M879" i="12"/>
  <c r="M878" i="12"/>
  <c r="M877" i="12"/>
  <c r="M876" i="12"/>
  <c r="M875" i="12"/>
  <c r="M873" i="12"/>
  <c r="M872" i="12"/>
  <c r="M871" i="12"/>
  <c r="M870" i="12"/>
  <c r="M869" i="12"/>
  <c r="M868" i="12"/>
  <c r="M867" i="12"/>
  <c r="M866" i="12"/>
  <c r="M865" i="12"/>
  <c r="M864" i="12"/>
  <c r="M863" i="12"/>
  <c r="M862" i="12"/>
  <c r="M861" i="12"/>
  <c r="M860" i="12"/>
  <c r="M859" i="12"/>
  <c r="N820" i="12"/>
  <c r="N817" i="12"/>
  <c r="M812" i="12"/>
  <c r="N810" i="12"/>
  <c r="N809" i="12"/>
  <c r="N808" i="12"/>
  <c r="N807" i="12"/>
  <c r="N806" i="12"/>
  <c r="N805" i="12"/>
  <c r="N800" i="12"/>
  <c r="N799" i="12"/>
  <c r="C886" i="12"/>
  <c r="C885" i="12"/>
  <c r="D884" i="12"/>
  <c r="C884" i="12"/>
  <c r="C883" i="12"/>
  <c r="C882" i="12"/>
  <c r="C881" i="12"/>
  <c r="C880" i="12"/>
  <c r="C879" i="12"/>
  <c r="C878" i="12"/>
  <c r="C877" i="12"/>
  <c r="C876" i="12"/>
  <c r="C875" i="12"/>
  <c r="C874" i="12"/>
  <c r="C873" i="12"/>
  <c r="C872" i="12"/>
  <c r="C871" i="12"/>
  <c r="C870" i="12"/>
  <c r="C869" i="12"/>
  <c r="C868" i="12"/>
  <c r="C867" i="12"/>
  <c r="C866" i="12"/>
  <c r="C865" i="12"/>
  <c r="C864" i="12"/>
  <c r="C863" i="12"/>
  <c r="C862" i="12"/>
  <c r="C861" i="12"/>
  <c r="C860" i="12"/>
  <c r="C859" i="12"/>
  <c r="D856" i="12"/>
  <c r="C856" i="12"/>
  <c r="D854" i="12"/>
  <c r="C854" i="12"/>
  <c r="D852" i="12"/>
  <c r="C852" i="12"/>
  <c r="D850" i="12"/>
  <c r="C850" i="12"/>
  <c r="D848" i="12"/>
  <c r="C848" i="12"/>
  <c r="D832" i="12"/>
  <c r="C832" i="12"/>
  <c r="D824" i="12"/>
  <c r="C824" i="12"/>
  <c r="D823" i="12"/>
  <c r="C823" i="12"/>
  <c r="D822" i="12"/>
  <c r="C822" i="12"/>
  <c r="D821" i="12"/>
  <c r="C821" i="12"/>
  <c r="C820" i="12"/>
  <c r="C817" i="12"/>
  <c r="D815" i="12"/>
  <c r="C815" i="12"/>
  <c r="C812" i="12"/>
  <c r="D810" i="12"/>
  <c r="C810" i="12"/>
  <c r="D809" i="12"/>
  <c r="C809" i="12"/>
  <c r="D808" i="12"/>
  <c r="C808" i="12"/>
  <c r="D807" i="12"/>
  <c r="C807" i="12"/>
  <c r="C806" i="12"/>
  <c r="C805" i="12"/>
  <c r="D804" i="12"/>
  <c r="C804" i="12"/>
  <c r="D802" i="12"/>
  <c r="C802" i="12"/>
  <c r="D801" i="12"/>
  <c r="C801" i="12"/>
  <c r="C800" i="12"/>
  <c r="C799" i="12"/>
  <c r="D798" i="12"/>
  <c r="C798" i="12"/>
  <c r="D797" i="12"/>
  <c r="C797" i="12"/>
  <c r="N759" i="12"/>
  <c r="M753" i="12"/>
  <c r="N726" i="12"/>
  <c r="N725" i="12"/>
  <c r="N724" i="12"/>
  <c r="N723" i="12"/>
  <c r="N721" i="12"/>
  <c r="N720" i="12"/>
  <c r="N665" i="12"/>
  <c r="N664" i="12"/>
  <c r="N663" i="12"/>
  <c r="N662" i="12"/>
  <c r="N661" i="12"/>
  <c r="N658" i="12"/>
  <c r="N657" i="12"/>
  <c r="N654" i="12"/>
  <c r="N653" i="12"/>
  <c r="N652" i="12"/>
  <c r="N651" i="12"/>
  <c r="N650" i="12"/>
  <c r="N649" i="12"/>
  <c r="N648" i="12"/>
  <c r="N626" i="12"/>
  <c r="M428" i="12"/>
  <c r="M425" i="12"/>
  <c r="N423" i="12"/>
  <c r="N422" i="12"/>
  <c r="M422" i="12"/>
  <c r="N421" i="12"/>
  <c r="N418" i="12"/>
  <c r="N417" i="12"/>
  <c r="N416" i="12"/>
  <c r="N415" i="12"/>
  <c r="N414" i="12"/>
  <c r="N324" i="12"/>
  <c r="N323" i="12"/>
  <c r="D794" i="12"/>
  <c r="C794" i="12"/>
  <c r="C784" i="12"/>
  <c r="D783" i="12"/>
  <c r="C783" i="12"/>
  <c r="D782" i="12"/>
  <c r="C782" i="12"/>
  <c r="D781" i="12"/>
  <c r="C781" i="12"/>
  <c r="D780" i="12"/>
  <c r="C780" i="12"/>
  <c r="D779" i="12"/>
  <c r="C779" i="12"/>
  <c r="D778" i="12"/>
  <c r="C778" i="12"/>
  <c r="D777" i="12"/>
  <c r="C777" i="12"/>
  <c r="D776" i="12"/>
  <c r="C776" i="12"/>
  <c r="D775" i="12"/>
  <c r="C775" i="12"/>
  <c r="C774" i="12"/>
  <c r="C773" i="12"/>
  <c r="D772" i="12"/>
  <c r="C772" i="12"/>
  <c r="D771" i="12"/>
  <c r="C771" i="12"/>
  <c r="C770" i="12"/>
  <c r="C769" i="12"/>
  <c r="C768" i="12"/>
  <c r="C767" i="12"/>
  <c r="C766" i="12"/>
  <c r="C764" i="12"/>
  <c r="D761" i="12"/>
  <c r="C761" i="12"/>
  <c r="C760" i="12"/>
  <c r="D759" i="12"/>
  <c r="C759" i="12"/>
  <c r="D758" i="12"/>
  <c r="C758" i="12"/>
  <c r="D757" i="12"/>
  <c r="C757" i="12"/>
  <c r="D756" i="12"/>
  <c r="C756" i="12"/>
  <c r="D755" i="12"/>
  <c r="C755" i="12"/>
  <c r="D754" i="12"/>
  <c r="C754" i="12"/>
  <c r="D753" i="12"/>
  <c r="C753" i="12"/>
  <c r="D750" i="12"/>
  <c r="C750" i="12"/>
  <c r="C748" i="12"/>
  <c r="C747" i="12"/>
  <c r="C746" i="12"/>
  <c r="C745" i="12"/>
  <c r="D744" i="12"/>
  <c r="C744" i="12"/>
  <c r="D743" i="12"/>
  <c r="C743" i="12"/>
  <c r="D742" i="12"/>
  <c r="C742" i="12"/>
  <c r="D741" i="12"/>
  <c r="C741" i="12"/>
  <c r="D740" i="12"/>
  <c r="C740" i="12"/>
  <c r="D739" i="12"/>
  <c r="C739" i="12"/>
  <c r="D738" i="12"/>
  <c r="C738" i="12"/>
  <c r="D737" i="12"/>
  <c r="C737" i="12"/>
  <c r="C735" i="12"/>
  <c r="C734" i="12"/>
  <c r="D733" i="12"/>
  <c r="C733" i="12"/>
  <c r="C732" i="12"/>
  <c r="D730" i="12"/>
  <c r="C730" i="12"/>
  <c r="C729" i="12"/>
  <c r="D728" i="12"/>
  <c r="C728" i="12"/>
  <c r="D727" i="12"/>
  <c r="C727" i="12"/>
  <c r="C726" i="12"/>
  <c r="C725" i="12"/>
  <c r="C724" i="12"/>
  <c r="C723" i="12"/>
  <c r="C721" i="12"/>
  <c r="C720" i="12"/>
  <c r="D717" i="12"/>
  <c r="C717" i="12"/>
  <c r="D715" i="12"/>
  <c r="C715" i="12"/>
  <c r="D713" i="12"/>
  <c r="C713" i="12"/>
  <c r="D711" i="12"/>
  <c r="C711" i="12"/>
  <c r="D709" i="12"/>
  <c r="C709" i="12"/>
  <c r="D707" i="12"/>
  <c r="C707" i="12"/>
  <c r="D679" i="12"/>
  <c r="C679" i="12"/>
  <c r="D672" i="12"/>
  <c r="C672" i="12"/>
  <c r="D671" i="12"/>
  <c r="C671" i="12"/>
  <c r="D670" i="12"/>
  <c r="C670" i="12"/>
  <c r="D669" i="12"/>
  <c r="C669" i="12"/>
  <c r="D668" i="12"/>
  <c r="C668" i="12"/>
  <c r="D667" i="12"/>
  <c r="C667" i="12"/>
  <c r="D666" i="12"/>
  <c r="C666" i="12"/>
  <c r="D665" i="12"/>
  <c r="C665" i="12"/>
  <c r="D664" i="12"/>
  <c r="C664" i="12"/>
  <c r="D663" i="12"/>
  <c r="C663" i="12"/>
  <c r="C662" i="12"/>
  <c r="C661" i="12"/>
  <c r="C658" i="12"/>
  <c r="C657" i="12"/>
  <c r="C656" i="12"/>
  <c r="D654" i="12"/>
  <c r="C654" i="12"/>
  <c r="D653" i="12"/>
  <c r="C653" i="12"/>
  <c r="D652" i="12"/>
  <c r="C652" i="12"/>
  <c r="D651" i="12"/>
  <c r="C651" i="12"/>
  <c r="C650" i="12"/>
  <c r="C649" i="12"/>
  <c r="C648" i="12"/>
  <c r="D647" i="12"/>
  <c r="C647" i="12"/>
  <c r="D635" i="12"/>
  <c r="C635" i="12"/>
  <c r="D631" i="12"/>
  <c r="C631" i="12"/>
  <c r="D630" i="12"/>
  <c r="C630" i="12"/>
  <c r="D629" i="12"/>
  <c r="C629" i="12"/>
  <c r="D628" i="12"/>
  <c r="C628" i="12"/>
  <c r="C627" i="12"/>
  <c r="C626" i="12"/>
  <c r="D625" i="12"/>
  <c r="C625" i="12"/>
  <c r="D622" i="12"/>
  <c r="D620" i="12"/>
  <c r="D618" i="12"/>
  <c r="C598" i="12"/>
  <c r="C597" i="12"/>
  <c r="C596" i="12"/>
  <c r="C595" i="12"/>
  <c r="C594" i="12"/>
  <c r="C593" i="12"/>
  <c r="C592" i="12"/>
  <c r="C591" i="12"/>
  <c r="C588" i="12"/>
  <c r="C587" i="12"/>
  <c r="C586" i="12"/>
  <c r="C585" i="12"/>
  <c r="C584" i="12"/>
  <c r="C583" i="12"/>
  <c r="D580" i="12"/>
  <c r="C580" i="12"/>
  <c r="D578" i="12"/>
  <c r="C578" i="12"/>
  <c r="D576" i="12"/>
  <c r="C576" i="12"/>
  <c r="D574" i="12"/>
  <c r="C574" i="12"/>
  <c r="D568" i="12"/>
  <c r="C568" i="12"/>
  <c r="C542" i="12"/>
  <c r="C539" i="12"/>
  <c r="C538" i="12"/>
  <c r="C537" i="12"/>
  <c r="C533" i="12"/>
  <c r="D531" i="12"/>
  <c r="C531" i="12"/>
  <c r="D530" i="12"/>
  <c r="C530" i="12"/>
  <c r="D529" i="12"/>
  <c r="C529" i="12"/>
  <c r="D528" i="12"/>
  <c r="C528" i="12"/>
  <c r="D527" i="12"/>
  <c r="C527" i="12"/>
  <c r="D526" i="12"/>
  <c r="C526" i="12"/>
  <c r="C525" i="12"/>
  <c r="C524" i="12"/>
  <c r="C523" i="12"/>
  <c r="C522" i="12"/>
  <c r="C521" i="12"/>
  <c r="D520" i="12"/>
  <c r="C520" i="12"/>
  <c r="C519" i="12"/>
  <c r="C518" i="12"/>
  <c r="C517" i="12"/>
  <c r="D516" i="12"/>
  <c r="C516" i="12"/>
  <c r="D514" i="12"/>
  <c r="C514" i="12"/>
  <c r="D513" i="12"/>
  <c r="C513" i="12"/>
  <c r="C512" i="12"/>
  <c r="C511" i="12"/>
  <c r="D510" i="12"/>
  <c r="C510" i="12"/>
  <c r="C509" i="12"/>
  <c r="C508" i="12"/>
  <c r="C507" i="12"/>
  <c r="D504" i="12"/>
  <c r="C504" i="12"/>
  <c r="D502" i="12"/>
  <c r="C502" i="12"/>
  <c r="D500" i="12"/>
  <c r="C500" i="12"/>
  <c r="D498" i="12"/>
  <c r="C498" i="12"/>
  <c r="D472" i="12"/>
  <c r="C472" i="12"/>
  <c r="C465" i="12"/>
  <c r="C464" i="12"/>
  <c r="C461" i="12"/>
  <c r="C459" i="12"/>
  <c r="C458" i="12"/>
  <c r="C457" i="12"/>
  <c r="D456" i="12"/>
  <c r="C456" i="12"/>
  <c r="D455" i="12"/>
  <c r="C455" i="12"/>
  <c r="D454" i="12"/>
  <c r="C454" i="12"/>
  <c r="D453" i="12"/>
  <c r="C453" i="12"/>
  <c r="D452" i="12"/>
  <c r="C452" i="12"/>
  <c r="D451" i="12"/>
  <c r="C451" i="12"/>
  <c r="D450" i="12"/>
  <c r="C450" i="12"/>
  <c r="D449" i="12"/>
  <c r="C449" i="12"/>
  <c r="D438" i="12"/>
  <c r="C438" i="12"/>
  <c r="D437" i="12"/>
  <c r="C437" i="12"/>
  <c r="C436" i="12"/>
  <c r="D435" i="12"/>
  <c r="C435" i="12"/>
  <c r="D434" i="12"/>
  <c r="C434" i="12"/>
  <c r="C433" i="12"/>
  <c r="C432" i="12"/>
  <c r="C431" i="12"/>
  <c r="D430" i="12"/>
  <c r="C430" i="12"/>
  <c r="D429" i="12"/>
  <c r="C429" i="12"/>
  <c r="D428" i="12"/>
  <c r="C428" i="12"/>
  <c r="C427" i="12"/>
  <c r="D426" i="12"/>
  <c r="C426" i="12"/>
  <c r="D425" i="12"/>
  <c r="C425" i="12"/>
  <c r="D424" i="12"/>
  <c r="C424" i="12"/>
  <c r="C423" i="12"/>
  <c r="D422" i="12"/>
  <c r="C422" i="12"/>
  <c r="C421" i="12"/>
  <c r="C420" i="12"/>
  <c r="C419" i="12"/>
  <c r="C418" i="12"/>
  <c r="C417" i="12"/>
  <c r="C416" i="12"/>
  <c r="C415" i="12"/>
  <c r="C414" i="12"/>
  <c r="D407" i="12"/>
  <c r="C407" i="12"/>
  <c r="D401" i="12"/>
  <c r="C401" i="12"/>
  <c r="D398" i="12"/>
  <c r="C398" i="12"/>
  <c r="D395" i="12"/>
  <c r="C395" i="12"/>
  <c r="C394" i="12"/>
  <c r="D393" i="12"/>
  <c r="C393" i="12"/>
  <c r="C391" i="12"/>
  <c r="C389" i="12"/>
  <c r="D388" i="12"/>
  <c r="C388" i="12"/>
  <c r="C387" i="12"/>
  <c r="C385" i="12"/>
  <c r="C384" i="12"/>
  <c r="D383" i="12"/>
  <c r="C383" i="12"/>
  <c r="D382" i="12"/>
  <c r="C382" i="12"/>
  <c r="D381" i="12"/>
  <c r="C381" i="12"/>
  <c r="D380" i="12"/>
  <c r="C380" i="12"/>
  <c r="C379" i="12"/>
  <c r="C378" i="12"/>
  <c r="D377" i="12"/>
  <c r="C377" i="12"/>
  <c r="C376" i="12"/>
  <c r="D375" i="12"/>
  <c r="C375" i="12"/>
  <c r="C374" i="12"/>
  <c r="C373" i="12"/>
  <c r="C372" i="12"/>
  <c r="D371" i="12"/>
  <c r="C371" i="12"/>
  <c r="D370" i="12"/>
  <c r="C370" i="12"/>
  <c r="D369" i="12"/>
  <c r="C369" i="12"/>
  <c r="D368" i="12"/>
  <c r="C368" i="12"/>
  <c r="D367" i="12"/>
  <c r="C367" i="12"/>
  <c r="D366" i="12"/>
  <c r="C366" i="12"/>
  <c r="D365" i="12"/>
  <c r="C365" i="12"/>
  <c r="D364" i="12"/>
  <c r="C364" i="12"/>
  <c r="D363" i="12"/>
  <c r="C363" i="12"/>
  <c r="D362" i="12"/>
  <c r="C362" i="12"/>
  <c r="D361" i="12"/>
  <c r="C361" i="12"/>
  <c r="D360" i="12"/>
  <c r="C360" i="12"/>
  <c r="D359" i="12"/>
  <c r="C359" i="12"/>
  <c r="D358" i="12"/>
  <c r="C358" i="12"/>
  <c r="D357" i="12"/>
  <c r="C357" i="12"/>
  <c r="D356" i="12"/>
  <c r="C356" i="12"/>
  <c r="D355" i="12"/>
  <c r="C355" i="12"/>
  <c r="D354" i="12"/>
  <c r="C354" i="12"/>
  <c r="D353" i="12"/>
  <c r="C353" i="12"/>
  <c r="D352" i="12"/>
  <c r="C352" i="12"/>
  <c r="D351" i="12"/>
  <c r="C351" i="12"/>
  <c r="D350" i="12"/>
  <c r="C350" i="12"/>
  <c r="D346" i="12"/>
  <c r="C346" i="12"/>
  <c r="C344" i="12"/>
  <c r="C343" i="12"/>
  <c r="C342" i="12"/>
  <c r="C341" i="12"/>
  <c r="D340" i="12"/>
  <c r="C340" i="12"/>
  <c r="D339" i="12"/>
  <c r="C339" i="12"/>
  <c r="D338" i="12"/>
  <c r="C338" i="12"/>
  <c r="D337" i="12"/>
  <c r="C337" i="12"/>
  <c r="D336" i="12"/>
  <c r="C336" i="12"/>
  <c r="D335" i="12"/>
  <c r="C335" i="12"/>
  <c r="D333" i="12"/>
  <c r="C333" i="12"/>
  <c r="D332" i="12"/>
  <c r="C332" i="12"/>
  <c r="D331" i="12"/>
  <c r="C331" i="12"/>
  <c r="D330" i="12"/>
  <c r="C330" i="12"/>
  <c r="C329" i="12"/>
  <c r="D328" i="12"/>
  <c r="C328" i="12"/>
  <c r="D327" i="12"/>
  <c r="C327" i="12"/>
  <c r="D326" i="12"/>
  <c r="C326" i="12"/>
  <c r="C325" i="12"/>
  <c r="C324" i="12"/>
  <c r="D323" i="12"/>
  <c r="C323" i="12"/>
  <c r="D320" i="12"/>
  <c r="C320" i="12"/>
  <c r="C319" i="12"/>
  <c r="C318" i="12"/>
  <c r="C317" i="12"/>
  <c r="D316" i="12"/>
  <c r="C316" i="12"/>
  <c r="N271" i="12"/>
  <c r="N270" i="12"/>
  <c r="N269" i="12"/>
  <c r="M269" i="12"/>
  <c r="N268" i="12"/>
  <c r="N267" i="12"/>
  <c r="N266" i="12"/>
  <c r="M266" i="12"/>
  <c r="N265" i="12"/>
  <c r="N264" i="12"/>
  <c r="N263" i="12"/>
  <c r="N262" i="12"/>
  <c r="N261" i="12"/>
  <c r="N260" i="12"/>
  <c r="N259" i="12"/>
  <c r="N258" i="12"/>
  <c r="N257" i="12"/>
  <c r="N256" i="12"/>
  <c r="N255" i="12"/>
  <c r="N254" i="12"/>
  <c r="N253" i="12"/>
  <c r="N252" i="12"/>
  <c r="N251" i="12"/>
  <c r="N250" i="12"/>
  <c r="N249" i="12"/>
  <c r="N248" i="12"/>
  <c r="N247" i="12"/>
  <c r="N246" i="12"/>
  <c r="N241" i="12"/>
  <c r="N239" i="12"/>
  <c r="N237" i="12"/>
  <c r="N235" i="12"/>
  <c r="M216" i="12"/>
  <c r="M215" i="12"/>
  <c r="M214" i="12"/>
  <c r="M213" i="12"/>
  <c r="M212" i="12"/>
  <c r="M211" i="12"/>
  <c r="M210" i="12"/>
  <c r="M209" i="12"/>
  <c r="M208" i="12"/>
  <c r="N207" i="12"/>
  <c r="N206" i="12"/>
  <c r="N205" i="12"/>
  <c r="N204" i="12"/>
  <c r="M162" i="12"/>
  <c r="M160" i="12"/>
  <c r="M157" i="12"/>
  <c r="M154" i="12"/>
  <c r="M152" i="12"/>
  <c r="M150" i="12"/>
  <c r="M147" i="12"/>
  <c r="M144" i="12"/>
  <c r="M138" i="12"/>
  <c r="M136" i="12"/>
  <c r="M135" i="12"/>
  <c r="M134" i="12"/>
  <c r="M126" i="12"/>
  <c r="N125" i="12"/>
  <c r="N123" i="12"/>
  <c r="M122" i="12"/>
  <c r="N121" i="12"/>
  <c r="N120" i="12"/>
  <c r="M120" i="12"/>
  <c r="N118" i="12"/>
  <c r="N117" i="12"/>
  <c r="M117" i="12"/>
  <c r="N116" i="12"/>
  <c r="N115" i="12"/>
  <c r="N114" i="12"/>
  <c r="M114" i="12"/>
  <c r="N113" i="12"/>
  <c r="M112" i="12"/>
  <c r="N111" i="12"/>
  <c r="N110" i="12"/>
  <c r="M110" i="12"/>
  <c r="N108" i="12"/>
  <c r="N107" i="12"/>
  <c r="M107" i="12"/>
  <c r="N106" i="12"/>
  <c r="N105" i="12"/>
  <c r="N104" i="12"/>
  <c r="M104" i="12"/>
  <c r="N73" i="12"/>
  <c r="N72" i="12"/>
  <c r="N71" i="12"/>
  <c r="N70" i="12"/>
  <c r="N69" i="12"/>
  <c r="N68" i="12"/>
  <c r="N67" i="12"/>
  <c r="N66" i="12"/>
  <c r="N65" i="12"/>
  <c r="N64" i="12"/>
  <c r="D312" i="12"/>
  <c r="C312" i="12"/>
  <c r="D311" i="12"/>
  <c r="C311" i="12"/>
  <c r="D310" i="12"/>
  <c r="C310" i="12"/>
  <c r="D309" i="12"/>
  <c r="C309" i="12"/>
  <c r="D308" i="12"/>
  <c r="C308" i="12"/>
  <c r="D307" i="12"/>
  <c r="C307" i="12"/>
  <c r="D306" i="12"/>
  <c r="C306" i="12"/>
  <c r="D305" i="12"/>
  <c r="C305" i="12"/>
  <c r="D304" i="12"/>
  <c r="C304" i="12"/>
  <c r="D303" i="12"/>
  <c r="C303" i="12"/>
  <c r="D302" i="12"/>
  <c r="C302" i="12"/>
  <c r="D301" i="12"/>
  <c r="C301" i="12"/>
  <c r="D300" i="12"/>
  <c r="C300" i="12"/>
  <c r="D299" i="12"/>
  <c r="C299" i="12"/>
  <c r="D298" i="12"/>
  <c r="C298" i="12"/>
  <c r="D297" i="12"/>
  <c r="C297" i="12"/>
  <c r="D296" i="12"/>
  <c r="C296" i="12"/>
  <c r="D295" i="12"/>
  <c r="C295" i="12"/>
  <c r="D292" i="12"/>
  <c r="C292" i="12"/>
  <c r="C288" i="12"/>
  <c r="C287" i="12"/>
  <c r="C286" i="12"/>
  <c r="C285" i="12"/>
  <c r="C284" i="12"/>
  <c r="C283" i="12"/>
  <c r="C282" i="12"/>
  <c r="C281" i="12"/>
  <c r="C280" i="12"/>
  <c r="C279" i="12"/>
  <c r="C278" i="12"/>
  <c r="C277" i="12"/>
  <c r="C276" i="12"/>
  <c r="C275" i="12"/>
  <c r="C274" i="12"/>
  <c r="C273" i="12"/>
  <c r="C272" i="12"/>
  <c r="C271" i="12"/>
  <c r="C270" i="12"/>
  <c r="C269" i="12"/>
  <c r="C268" i="12"/>
  <c r="C267" i="12"/>
  <c r="C266" i="12"/>
  <c r="D265" i="12"/>
  <c r="C265" i="12"/>
  <c r="C264" i="12"/>
  <c r="C263" i="12"/>
  <c r="C262" i="12"/>
  <c r="C261" i="12"/>
  <c r="C260" i="12"/>
  <c r="D259" i="12"/>
  <c r="C259" i="12"/>
  <c r="C258" i="12"/>
  <c r="C257" i="12"/>
  <c r="C256" i="12"/>
  <c r="C255" i="12"/>
  <c r="C254" i="12"/>
  <c r="C253" i="12"/>
  <c r="C252" i="12"/>
  <c r="C251" i="12"/>
  <c r="C250" i="12"/>
  <c r="C249" i="12"/>
  <c r="C248" i="12"/>
  <c r="C247" i="12"/>
  <c r="C246" i="12"/>
  <c r="C245" i="12"/>
  <c r="D242" i="12"/>
  <c r="C242" i="12"/>
  <c r="C241" i="12"/>
  <c r="D240" i="12"/>
  <c r="C240" i="12"/>
  <c r="C239" i="12"/>
  <c r="D238" i="12"/>
  <c r="C238" i="12"/>
  <c r="C237" i="12"/>
  <c r="D236" i="12"/>
  <c r="C236" i="12"/>
  <c r="C235" i="12"/>
  <c r="D234" i="12"/>
  <c r="C234" i="12"/>
  <c r="D233" i="12"/>
  <c r="C233" i="12"/>
  <c r="D232" i="12"/>
  <c r="C232" i="12"/>
  <c r="D231" i="12"/>
  <c r="C231" i="12"/>
  <c r="C230" i="12"/>
  <c r="D229" i="12"/>
  <c r="C229" i="12"/>
  <c r="D228" i="12"/>
  <c r="C228" i="12"/>
  <c r="C227" i="12"/>
  <c r="C226" i="12"/>
  <c r="D225" i="12"/>
  <c r="C225" i="12"/>
  <c r="D224" i="12"/>
  <c r="C224" i="12"/>
  <c r="D223" i="12"/>
  <c r="C223" i="12"/>
  <c r="D222" i="12"/>
  <c r="C222" i="12"/>
  <c r="D221" i="12"/>
  <c r="C221" i="12"/>
  <c r="C220" i="12"/>
  <c r="D219" i="12"/>
  <c r="C219" i="12"/>
  <c r="C218" i="12"/>
  <c r="C217" i="12"/>
  <c r="D216" i="12"/>
  <c r="C216" i="12"/>
  <c r="D215" i="12"/>
  <c r="C215" i="12"/>
  <c r="D214" i="12"/>
  <c r="C214" i="12"/>
  <c r="D213" i="12"/>
  <c r="C213" i="12"/>
  <c r="D212" i="12"/>
  <c r="C212" i="12"/>
  <c r="D211" i="12"/>
  <c r="C211" i="12"/>
  <c r="D210" i="12"/>
  <c r="C210" i="12"/>
  <c r="D209" i="12"/>
  <c r="C209" i="12"/>
  <c r="D208" i="12"/>
  <c r="C208" i="12"/>
  <c r="D207" i="12"/>
  <c r="C207" i="12"/>
  <c r="D206" i="12"/>
  <c r="C206" i="12"/>
  <c r="D205" i="12"/>
  <c r="C205" i="12"/>
  <c r="D204" i="12"/>
  <c r="C204" i="12"/>
  <c r="D203" i="12"/>
  <c r="C203" i="12"/>
  <c r="D202" i="12"/>
  <c r="C202" i="12"/>
  <c r="D201" i="12"/>
  <c r="C201" i="12"/>
  <c r="D200" i="12"/>
  <c r="C200" i="12"/>
  <c r="D199" i="12"/>
  <c r="C199" i="12"/>
  <c r="D198" i="12"/>
  <c r="C198" i="12"/>
  <c r="D197" i="12"/>
  <c r="C197" i="12"/>
  <c r="D196" i="12"/>
  <c r="C196" i="12"/>
  <c r="D195" i="12"/>
  <c r="C195" i="12"/>
  <c r="D194" i="12"/>
  <c r="C194" i="12"/>
  <c r="D193" i="12"/>
  <c r="C193" i="12"/>
  <c r="D192" i="12"/>
  <c r="C192" i="12"/>
  <c r="D191" i="12"/>
  <c r="C191" i="12"/>
  <c r="D190" i="12"/>
  <c r="C190" i="12"/>
  <c r="D189" i="12"/>
  <c r="C189" i="12"/>
  <c r="D188" i="12"/>
  <c r="C188" i="12"/>
  <c r="D187" i="12"/>
  <c r="C187" i="12"/>
  <c r="D186" i="12"/>
  <c r="C186" i="12"/>
  <c r="D185" i="12"/>
  <c r="C185" i="12"/>
  <c r="D184" i="12"/>
  <c r="C184" i="12"/>
  <c r="D171" i="12"/>
  <c r="C171" i="12"/>
  <c r="D167" i="12"/>
  <c r="C167" i="12"/>
  <c r="D166" i="12"/>
  <c r="C166" i="12"/>
  <c r="D165" i="12"/>
  <c r="C165" i="12"/>
  <c r="D164" i="12"/>
  <c r="C164" i="12"/>
  <c r="D163" i="12"/>
  <c r="C163" i="12"/>
  <c r="D162" i="12"/>
  <c r="C162" i="12"/>
  <c r="D161" i="12"/>
  <c r="C161" i="12"/>
  <c r="D160" i="12"/>
  <c r="C160" i="12"/>
  <c r="D159" i="12"/>
  <c r="C159" i="12"/>
  <c r="D158" i="12"/>
  <c r="C158" i="12"/>
  <c r="D157" i="12"/>
  <c r="C157" i="12"/>
  <c r="D156" i="12"/>
  <c r="C156" i="12"/>
  <c r="D155" i="12"/>
  <c r="C155" i="12"/>
  <c r="D154" i="12"/>
  <c r="C154" i="12"/>
  <c r="D153" i="12"/>
  <c r="C153" i="12"/>
  <c r="D152" i="12"/>
  <c r="C152" i="12"/>
  <c r="D151" i="12"/>
  <c r="C151" i="12"/>
  <c r="D150" i="12"/>
  <c r="C150" i="12"/>
  <c r="D149" i="12"/>
  <c r="C149" i="12"/>
  <c r="D148" i="12"/>
  <c r="C148" i="12"/>
  <c r="D147" i="12"/>
  <c r="C147" i="12"/>
  <c r="D146" i="12"/>
  <c r="C146" i="12"/>
  <c r="D145" i="12"/>
  <c r="C145" i="12"/>
  <c r="D144" i="12"/>
  <c r="C144" i="12"/>
  <c r="C143" i="12"/>
  <c r="D142" i="12"/>
  <c r="C142" i="12"/>
  <c r="D141" i="12"/>
  <c r="C141" i="12"/>
  <c r="D140" i="12"/>
  <c r="C140" i="12"/>
  <c r="D139" i="12"/>
  <c r="C139" i="12"/>
  <c r="D138" i="12"/>
  <c r="C138" i="12"/>
  <c r="D137" i="12"/>
  <c r="C137" i="12"/>
  <c r="D136" i="12"/>
  <c r="C136" i="12"/>
  <c r="C135" i="12"/>
  <c r="C134" i="12"/>
  <c r="D133" i="12"/>
  <c r="C133" i="12"/>
  <c r="D132" i="12"/>
  <c r="C132" i="12"/>
  <c r="D131" i="12"/>
  <c r="C131" i="12"/>
  <c r="D130" i="12"/>
  <c r="C130" i="12"/>
  <c r="D129" i="12"/>
  <c r="C129" i="12"/>
  <c r="D128" i="12"/>
  <c r="C128" i="12"/>
  <c r="D127" i="12"/>
  <c r="C127" i="12"/>
  <c r="D126" i="12"/>
  <c r="C126" i="12"/>
  <c r="C125" i="12"/>
  <c r="D124" i="12"/>
  <c r="C124" i="12"/>
  <c r="D123" i="12"/>
  <c r="C123" i="12"/>
  <c r="D122" i="12"/>
  <c r="C122" i="12"/>
  <c r="D121" i="12"/>
  <c r="C121" i="12"/>
  <c r="D120" i="12"/>
  <c r="C120" i="12"/>
  <c r="D119" i="12"/>
  <c r="C119" i="12"/>
  <c r="D118" i="12"/>
  <c r="C118" i="12"/>
  <c r="D117" i="12"/>
  <c r="C117" i="12"/>
  <c r="D116" i="12"/>
  <c r="C116" i="12"/>
  <c r="D115" i="12"/>
  <c r="C115" i="12"/>
  <c r="D114" i="12"/>
  <c r="C114" i="12"/>
  <c r="D113" i="12"/>
  <c r="C113" i="12"/>
  <c r="D112" i="12"/>
  <c r="C112" i="12"/>
  <c r="D111" i="12"/>
  <c r="C111" i="12"/>
  <c r="D110" i="12"/>
  <c r="C110" i="12"/>
  <c r="D109" i="12"/>
  <c r="C109" i="12"/>
  <c r="D108" i="12"/>
  <c r="C108" i="12"/>
  <c r="D107" i="12"/>
  <c r="C107" i="12"/>
  <c r="D106" i="12"/>
  <c r="C106" i="12"/>
  <c r="D105" i="12"/>
  <c r="C105" i="12"/>
  <c r="D104" i="12"/>
  <c r="C104" i="12"/>
  <c r="C103" i="12"/>
  <c r="C102" i="12"/>
  <c r="C101" i="12"/>
  <c r="D98" i="12"/>
  <c r="C98" i="12"/>
  <c r="D92" i="12"/>
  <c r="C92" i="12"/>
  <c r="C90" i="12"/>
  <c r="D89" i="12"/>
  <c r="C89" i="12"/>
  <c r="D88" i="12"/>
  <c r="C88" i="12"/>
  <c r="C87" i="12"/>
  <c r="D86" i="12"/>
  <c r="C86" i="12"/>
  <c r="D85" i="12"/>
  <c r="C85" i="12"/>
  <c r="D84" i="12"/>
  <c r="C84" i="12"/>
  <c r="D83" i="12"/>
  <c r="C83" i="12"/>
  <c r="D82" i="12"/>
  <c r="C82" i="12"/>
  <c r="D81" i="12"/>
  <c r="C81" i="12"/>
  <c r="D80" i="12"/>
  <c r="C80" i="12"/>
  <c r="D79" i="12"/>
  <c r="C79" i="12"/>
  <c r="D78" i="12"/>
  <c r="C78" i="12"/>
  <c r="D77" i="12"/>
  <c r="C77" i="12"/>
  <c r="C76" i="12"/>
  <c r="C75" i="12"/>
  <c r="C74" i="12"/>
  <c r="C73" i="12"/>
  <c r="C72" i="12"/>
  <c r="D71" i="12"/>
  <c r="C71" i="12"/>
  <c r="C70" i="12"/>
  <c r="C69" i="12"/>
  <c r="D68" i="12"/>
  <c r="C68" i="12"/>
  <c r="C67" i="12"/>
  <c r="C66" i="12"/>
  <c r="C65" i="12"/>
  <c r="C64" i="12"/>
  <c r="D56" i="12"/>
  <c r="C56" i="12"/>
  <c r="C55" i="12"/>
  <c r="C54" i="12"/>
  <c r="D53" i="12"/>
  <c r="C53" i="12"/>
  <c r="C52" i="12"/>
  <c r="D51" i="12"/>
  <c r="C51" i="12"/>
  <c r="C50" i="12"/>
  <c r="C49" i="12"/>
  <c r="C48" i="12"/>
  <c r="C47" i="12"/>
  <c r="C46" i="12"/>
  <c r="D45" i="12"/>
  <c r="C45" i="12"/>
  <c r="D44" i="12"/>
  <c r="C44" i="12"/>
  <c r="C43" i="12"/>
  <c r="D42" i="12"/>
  <c r="C42" i="12"/>
  <c r="D41" i="12"/>
  <c r="C41" i="12"/>
  <c r="D40" i="12"/>
  <c r="C40" i="12"/>
  <c r="D39" i="12"/>
  <c r="C39" i="12"/>
  <c r="D38" i="12"/>
  <c r="C38" i="12"/>
  <c r="D37" i="12"/>
  <c r="C37" i="12"/>
  <c r="D36" i="12"/>
  <c r="C36" i="12"/>
  <c r="C35" i="12"/>
  <c r="J4" i="12"/>
  <c r="J3" i="12"/>
  <c r="J2" i="12"/>
  <c r="J1" i="12"/>
  <c r="G224" i="54"/>
  <c r="O121" i="58" l="1"/>
  <c r="J17" i="56"/>
  <c r="K215" i="54"/>
  <c r="J21" i="56"/>
  <c r="K219" i="54"/>
  <c r="N142" i="58"/>
  <c r="N132" i="58"/>
  <c r="N143" i="58" s="1"/>
  <c r="L165" i="59"/>
  <c r="L155" i="59" s="1"/>
  <c r="M165" i="59"/>
  <c r="M155" i="59" s="1"/>
  <c r="O165" i="59"/>
  <c r="O155" i="59" s="1"/>
  <c r="N165" i="59"/>
  <c r="N155" i="59" s="1"/>
  <c r="O162" i="59"/>
  <c r="O152" i="59" s="1"/>
  <c r="L162" i="59"/>
  <c r="L152" i="59" s="1"/>
  <c r="N162" i="59"/>
  <c r="N152" i="59" s="1"/>
  <c r="M162" i="59"/>
  <c r="M152" i="59" s="1"/>
  <c r="L166" i="59"/>
  <c r="L156" i="59" s="1"/>
  <c r="O166" i="59"/>
  <c r="O156" i="59" s="1"/>
  <c r="M166" i="59"/>
  <c r="M156" i="59" s="1"/>
  <c r="N166" i="59"/>
  <c r="N156" i="59" s="1"/>
  <c r="L132" i="58"/>
  <c r="L143" i="58" s="1"/>
  <c r="L121" i="58" s="1"/>
  <c r="N121" i="58" l="1"/>
  <c r="B35" i="119" l="1"/>
  <c r="B36" i="119" l="1"/>
  <c r="E76" i="120" l="1"/>
  <c r="B76" i="120"/>
  <c r="F25" i="56"/>
  <c r="G151" i="59"/>
  <c r="G149" i="59"/>
  <c r="G148" i="59"/>
  <c r="G146" i="59"/>
  <c r="G145" i="59"/>
  <c r="G144" i="59"/>
  <c r="G143" i="59"/>
  <c r="G142" i="59"/>
  <c r="G141" i="59"/>
  <c r="G140" i="59"/>
  <c r="G139" i="59"/>
  <c r="G138" i="59"/>
  <c r="G137" i="59"/>
  <c r="G136" i="59"/>
  <c r="G135" i="59"/>
  <c r="G134" i="59"/>
  <c r="G128" i="59"/>
  <c r="G127" i="59"/>
  <c r="G126" i="59"/>
  <c r="G125" i="59"/>
  <c r="G124" i="59"/>
  <c r="G123" i="59"/>
  <c r="G122" i="59"/>
  <c r="G121" i="59"/>
  <c r="G120" i="59"/>
  <c r="G119" i="59"/>
  <c r="G118" i="59"/>
  <c r="G117" i="59"/>
  <c r="G116" i="59"/>
  <c r="G115" i="59"/>
  <c r="G114" i="59"/>
  <c r="G113" i="59"/>
  <c r="G112" i="59"/>
  <c r="G111" i="59"/>
  <c r="G110" i="59"/>
  <c r="G109" i="59"/>
  <c r="G108" i="59"/>
  <c r="G107" i="59"/>
  <c r="G106" i="59"/>
  <c r="G105" i="59"/>
  <c r="G104" i="59"/>
  <c r="G103" i="59"/>
  <c r="G102" i="59"/>
  <c r="G101" i="59"/>
  <c r="G100" i="59"/>
  <c r="G99" i="59"/>
  <c r="G98" i="59"/>
  <c r="G97" i="59"/>
  <c r="G96" i="59"/>
  <c r="G95" i="59"/>
  <c r="G94" i="59"/>
  <c r="G93" i="59"/>
  <c r="G90" i="59"/>
  <c r="G89" i="59"/>
  <c r="G88" i="59"/>
  <c r="G87" i="59"/>
  <c r="G86" i="59"/>
  <c r="G85" i="59"/>
  <c r="G66" i="59"/>
  <c r="G65" i="59"/>
  <c r="G81" i="59" s="1"/>
  <c r="G64" i="59"/>
  <c r="G80" i="59" s="1"/>
  <c r="G63" i="59"/>
  <c r="G79" i="59" s="1"/>
  <c r="G62" i="59"/>
  <c r="G78" i="59" s="1"/>
  <c r="G61" i="59"/>
  <c r="G77" i="59" s="1"/>
  <c r="G60" i="59"/>
  <c r="G222" i="58"/>
  <c r="G195" i="58"/>
  <c r="G193" i="58"/>
  <c r="G192" i="58"/>
  <c r="G190" i="58"/>
  <c r="G189" i="58"/>
  <c r="G187" i="58"/>
  <c r="G186" i="58"/>
  <c r="G183" i="58"/>
  <c r="G182" i="58"/>
  <c r="G181" i="58"/>
  <c r="G176" i="58"/>
  <c r="G172" i="58"/>
  <c r="G171" i="58"/>
  <c r="G170" i="58"/>
  <c r="G164" i="58"/>
  <c r="G154" i="58"/>
  <c r="G156" i="58" s="1"/>
  <c r="G122" i="58"/>
  <c r="G29" i="58"/>
  <c r="G9" i="59" s="1"/>
  <c r="G28" i="58"/>
  <c r="G19" i="58"/>
  <c r="G16" i="58"/>
  <c r="G37" i="58" s="1"/>
  <c r="G15" i="58"/>
  <c r="G14" i="58"/>
  <c r="G38" i="58" s="1"/>
  <c r="G36" i="60"/>
  <c r="G35" i="60"/>
  <c r="G34" i="60"/>
  <c r="G33" i="60"/>
  <c r="G27" i="60"/>
  <c r="G23" i="60" s="1"/>
  <c r="G24" i="60" s="1"/>
  <c r="G25" i="60" s="1"/>
  <c r="G20" i="60"/>
  <c r="G13" i="60"/>
  <c r="L9" i="40"/>
  <c r="L10" i="40"/>
  <c r="L11" i="40"/>
  <c r="L12" i="40"/>
  <c r="L13" i="40"/>
  <c r="L14" i="40"/>
  <c r="L15" i="40"/>
  <c r="L16" i="40"/>
  <c r="L17" i="40"/>
  <c r="L18" i="40"/>
  <c r="L19" i="40"/>
  <c r="L20" i="40"/>
  <c r="L21" i="40"/>
  <c r="L22" i="40"/>
  <c r="L23" i="40"/>
  <c r="L24" i="40"/>
  <c r="L25" i="40"/>
  <c r="L26" i="40"/>
  <c r="L27" i="40"/>
  <c r="L28" i="40"/>
  <c r="L29" i="40"/>
  <c r="L30" i="40"/>
  <c r="L31" i="40"/>
  <c r="L32" i="40"/>
  <c r="L33" i="40"/>
  <c r="L34" i="40"/>
  <c r="L35" i="40"/>
  <c r="L36" i="40"/>
  <c r="L37" i="40"/>
  <c r="L38" i="40"/>
  <c r="L39" i="40"/>
  <c r="L40" i="40"/>
  <c r="L41" i="40"/>
  <c r="L42" i="40"/>
  <c r="L43" i="40"/>
  <c r="L44" i="40"/>
  <c r="L45" i="40"/>
  <c r="L46" i="40"/>
  <c r="L47" i="40"/>
  <c r="L48" i="40"/>
  <c r="G41" i="58" l="1"/>
  <c r="G132" i="59"/>
  <c r="G7" i="60"/>
  <c r="M25" i="56"/>
  <c r="H76" i="12" s="1"/>
  <c r="H76" i="120" s="1"/>
  <c r="G76" i="120"/>
  <c r="I76" i="120" s="1"/>
  <c r="F76" i="120"/>
  <c r="D76" i="120"/>
  <c r="C76" i="120"/>
  <c r="G194" i="58"/>
  <c r="G196" i="58" s="1"/>
  <c r="G197" i="58" s="1"/>
  <c r="G9" i="60"/>
  <c r="G12" i="60" s="1"/>
  <c r="G188" i="58"/>
  <c r="G205" i="58" s="1"/>
  <c r="G213" i="58" s="1"/>
  <c r="G131" i="59"/>
  <c r="G147" i="59"/>
  <c r="G184" i="58"/>
  <c r="G185" i="58" s="1"/>
  <c r="G30" i="60"/>
  <c r="G206" i="58"/>
  <c r="G214" i="58" s="1"/>
  <c r="G150" i="59"/>
  <c r="G169" i="59" s="1"/>
  <c r="G159" i="59" s="1"/>
  <c r="G130" i="59"/>
  <c r="G133" i="59"/>
  <c r="G129" i="59"/>
  <c r="G198" i="58"/>
  <c r="G84" i="58"/>
  <c r="G59" i="58"/>
  <c r="G26" i="60"/>
  <c r="G29" i="60" s="1"/>
  <c r="G145" i="58"/>
  <c r="G151" i="58"/>
  <c r="G146" i="58"/>
  <c r="G149" i="58"/>
  <c r="G152" i="58"/>
  <c r="G150" i="58"/>
  <c r="G148" i="58"/>
  <c r="G153" i="58"/>
  <c r="G147" i="58"/>
  <c r="G76" i="58"/>
  <c r="G144" i="58"/>
  <c r="G73" i="58"/>
  <c r="G70" i="58"/>
  <c r="G79" i="58"/>
  <c r="G72" i="58"/>
  <c r="G75" i="58"/>
  <c r="G78" i="58"/>
  <c r="G74" i="58"/>
  <c r="G71" i="58"/>
  <c r="G77" i="58"/>
  <c r="G133" i="58"/>
  <c r="G158" i="58"/>
  <c r="G173" i="58"/>
  <c r="G174" i="58"/>
  <c r="G28" i="60"/>
  <c r="G16" i="60"/>
  <c r="N25" i="56" l="1"/>
  <c r="G202" i="58"/>
  <c r="J76" i="120"/>
  <c r="G10" i="60"/>
  <c r="G11" i="60" s="1"/>
  <c r="G15" i="60" s="1"/>
  <c r="G175" i="58"/>
  <c r="G19" i="60"/>
  <c r="G17" i="60"/>
  <c r="G18" i="60" s="1"/>
  <c r="G14" i="60" l="1"/>
  <c r="G22" i="60"/>
  <c r="G32" i="60" s="1"/>
  <c r="G21" i="60"/>
  <c r="G31" i="60" s="1"/>
  <c r="F71" i="47" l="1"/>
  <c r="M17" i="55" l="1"/>
  <c r="K17" i="55"/>
  <c r="M15" i="55"/>
  <c r="K15" i="55"/>
  <c r="D37" i="40" l="1"/>
  <c r="D36" i="40"/>
  <c r="D35" i="40"/>
  <c r="D34" i="40"/>
  <c r="D33" i="40"/>
  <c r="D32" i="40"/>
  <c r="D31" i="40"/>
  <c r="D30" i="40"/>
  <c r="D29" i="40"/>
  <c r="D28" i="40"/>
  <c r="D26" i="40"/>
  <c r="D25" i="40"/>
  <c r="D24" i="40"/>
  <c r="D23" i="40"/>
  <c r="D17" i="40"/>
  <c r="D16" i="40"/>
  <c r="G302" i="133" l="1"/>
  <c r="G299" i="133"/>
  <c r="G306" i="133" l="1"/>
  <c r="G312" i="133" s="1"/>
  <c r="G292" i="133"/>
  <c r="G293" i="133" s="1"/>
  <c r="G389" i="133"/>
  <c r="G386" i="133"/>
  <c r="G362" i="133" a="1"/>
  <c r="G362" i="133" s="1"/>
  <c r="G315" i="133"/>
  <c r="G290" i="133" a="1"/>
  <c r="G290" i="133" s="1"/>
  <c r="G289" i="133"/>
  <c r="F138" i="47" l="1"/>
  <c r="P54" i="155"/>
  <c r="Q54" i="155"/>
  <c r="B463" i="12" l="1"/>
  <c r="H65" i="75"/>
  <c r="H74" i="75" s="1"/>
  <c r="H64" i="75"/>
  <c r="H73" i="75" s="1"/>
  <c r="H62" i="75"/>
  <c r="H71" i="75" s="1"/>
  <c r="H61" i="75"/>
  <c r="H70" i="75" s="1"/>
  <c r="H60" i="75"/>
  <c r="H69" i="75" s="1"/>
  <c r="G212" i="54"/>
  <c r="G213" i="54"/>
  <c r="G214" i="54"/>
  <c r="G218" i="54"/>
  <c r="C463" i="12" l="1"/>
  <c r="G2" i="63" l="1"/>
  <c r="I85" i="63" l="1"/>
  <c r="H85" i="63"/>
  <c r="I61" i="63"/>
  <c r="I69" i="63" s="1"/>
  <c r="I109" i="63" s="1"/>
  <c r="I129" i="63" s="1"/>
  <c r="H61" i="63"/>
  <c r="H69" i="63" s="1"/>
  <c r="H109" i="63" s="1"/>
  <c r="H129" i="63" s="1"/>
  <c r="I60" i="63"/>
  <c r="I68" i="63" s="1"/>
  <c r="I112" i="63" s="1"/>
  <c r="I132" i="63" s="1"/>
  <c r="H60" i="63"/>
  <c r="H68" i="63" s="1"/>
  <c r="H112" i="63" s="1"/>
  <c r="H132" i="63" s="1"/>
  <c r="I59" i="63"/>
  <c r="I67" i="63" s="1"/>
  <c r="I111" i="63" s="1"/>
  <c r="I131" i="63" s="1"/>
  <c r="H59" i="63"/>
  <c r="H67" i="63" s="1"/>
  <c r="H111" i="63" s="1"/>
  <c r="H131" i="63" s="1"/>
  <c r="I54" i="63"/>
  <c r="I56" i="63" s="1"/>
  <c r="H54" i="63"/>
  <c r="H55" i="63" s="1"/>
  <c r="I48" i="63"/>
  <c r="I49" i="63" s="1"/>
  <c r="I98" i="63" s="1"/>
  <c r="I118" i="63" s="1"/>
  <c r="H48" i="63"/>
  <c r="H50" i="63" s="1"/>
  <c r="I45" i="63"/>
  <c r="I46" i="63" s="1"/>
  <c r="H45" i="63"/>
  <c r="H46" i="63" s="1"/>
  <c r="I42" i="63"/>
  <c r="I44" i="63" s="1"/>
  <c r="H42" i="63"/>
  <c r="H43" i="63" s="1"/>
  <c r="I39" i="63"/>
  <c r="I40" i="63" s="1"/>
  <c r="H39" i="63"/>
  <c r="H41" i="63" s="1"/>
  <c r="I33" i="63"/>
  <c r="I34" i="63" s="1"/>
  <c r="I35" i="63" s="1"/>
  <c r="H33" i="63"/>
  <c r="H34" i="63" s="1"/>
  <c r="H35" i="63" s="1"/>
  <c r="I28" i="63"/>
  <c r="I29" i="63" s="1"/>
  <c r="I30" i="63" s="1"/>
  <c r="H28" i="63"/>
  <c r="H29" i="63" s="1"/>
  <c r="H30" i="63" s="1"/>
  <c r="I25" i="63"/>
  <c r="H25" i="63"/>
  <c r="I23" i="63"/>
  <c r="I24" i="63" s="1"/>
  <c r="H23" i="63"/>
  <c r="H24" i="63" s="1"/>
  <c r="I9" i="63"/>
  <c r="H9" i="63"/>
  <c r="I3" i="63"/>
  <c r="I6" i="63" s="1"/>
  <c r="H3" i="63"/>
  <c r="H6" i="63" s="1"/>
  <c r="I2" i="63"/>
  <c r="I71" i="63" s="1"/>
  <c r="H2" i="63"/>
  <c r="H71" i="63" s="1"/>
  <c r="I1" i="63"/>
  <c r="H1" i="63"/>
  <c r="H6" i="47"/>
  <c r="H18" i="47" s="1"/>
  <c r="H19" i="47" s="1"/>
  <c r="G6" i="47"/>
  <c r="G10" i="47" s="1"/>
  <c r="F6" i="47"/>
  <c r="H118" i="47"/>
  <c r="G118" i="47"/>
  <c r="H117" i="47"/>
  <c r="G117" i="47"/>
  <c r="H116" i="47"/>
  <c r="G116" i="47"/>
  <c r="H111" i="47"/>
  <c r="G111" i="47"/>
  <c r="H107" i="47"/>
  <c r="H110" i="47" s="1"/>
  <c r="G107" i="47"/>
  <c r="G110" i="47" s="1"/>
  <c r="H95" i="47"/>
  <c r="G95" i="47"/>
  <c r="H91" i="47"/>
  <c r="H93" i="47" s="1"/>
  <c r="G91" i="47"/>
  <c r="G93" i="47" s="1"/>
  <c r="H86" i="47"/>
  <c r="H88" i="47" s="1"/>
  <c r="H137" i="47" s="1"/>
  <c r="G86" i="47"/>
  <c r="G88" i="47" s="1"/>
  <c r="G137" i="47" s="1"/>
  <c r="H85" i="47"/>
  <c r="H87" i="47" s="1"/>
  <c r="G85" i="47"/>
  <c r="G87" i="47" s="1"/>
  <c r="H84" i="47"/>
  <c r="G84" i="47"/>
  <c r="H80" i="47"/>
  <c r="H83" i="47" s="1"/>
  <c r="G80" i="47"/>
  <c r="G83" i="47" s="1"/>
  <c r="H77" i="47"/>
  <c r="G77" i="47"/>
  <c r="H76" i="47"/>
  <c r="G76" i="47"/>
  <c r="H75" i="47"/>
  <c r="G75" i="47"/>
  <c r="H74" i="47"/>
  <c r="G74" i="47"/>
  <c r="H73" i="47"/>
  <c r="H134" i="47" s="1"/>
  <c r="G73" i="47"/>
  <c r="G124" i="47" s="1"/>
  <c r="H72" i="47"/>
  <c r="H133" i="47" s="1"/>
  <c r="G72" i="47"/>
  <c r="G133" i="47" s="1"/>
  <c r="H71" i="47"/>
  <c r="H131" i="47" s="1"/>
  <c r="H150" i="47" s="1"/>
  <c r="G71" i="47"/>
  <c r="G131" i="47" s="1"/>
  <c r="G150" i="47" s="1"/>
  <c r="H70" i="47"/>
  <c r="G70" i="47"/>
  <c r="H69" i="47"/>
  <c r="G69" i="47"/>
  <c r="H63" i="47"/>
  <c r="H96" i="47" s="1"/>
  <c r="G63" i="47"/>
  <c r="G96" i="47" s="1"/>
  <c r="H60" i="47"/>
  <c r="H61" i="47" s="1"/>
  <c r="H62" i="47" s="1"/>
  <c r="G60" i="47"/>
  <c r="G61" i="47" s="1"/>
  <c r="G62" i="47" s="1"/>
  <c r="H58" i="47"/>
  <c r="H59" i="47" s="1"/>
  <c r="G58" i="47"/>
  <c r="G59" i="47" s="1"/>
  <c r="H53" i="47"/>
  <c r="H54" i="47" s="1"/>
  <c r="G53" i="47"/>
  <c r="G54" i="47" s="1"/>
  <c r="H47" i="47"/>
  <c r="H48" i="47" s="1"/>
  <c r="H122" i="47" s="1"/>
  <c r="G47" i="47"/>
  <c r="G48" i="47" s="1"/>
  <c r="G122" i="47" s="1"/>
  <c r="H43" i="47"/>
  <c r="G43" i="47"/>
  <c r="H41" i="47"/>
  <c r="G41" i="47"/>
  <c r="H37" i="47"/>
  <c r="G37" i="47"/>
  <c r="H33" i="47"/>
  <c r="G33" i="47"/>
  <c r="H26" i="47"/>
  <c r="H39" i="47" s="1"/>
  <c r="H40" i="47" s="1"/>
  <c r="G26" i="47"/>
  <c r="G39" i="47" s="1"/>
  <c r="G40" i="47" s="1"/>
  <c r="H14" i="47"/>
  <c r="H15" i="47" s="1"/>
  <c r="G14" i="47"/>
  <c r="G15" i="47" s="1"/>
  <c r="H103" i="63" l="1"/>
  <c r="H123" i="63" s="1"/>
  <c r="H47" i="63"/>
  <c r="H10" i="47"/>
  <c r="H4" i="63"/>
  <c r="H8" i="63" s="1"/>
  <c r="I4" i="63"/>
  <c r="I8" i="63" s="1"/>
  <c r="I58" i="63" s="1"/>
  <c r="G18" i="47"/>
  <c r="G19" i="47" s="1"/>
  <c r="H44" i="63"/>
  <c r="H106" i="63" s="1"/>
  <c r="H126" i="63" s="1"/>
  <c r="I47" i="63"/>
  <c r="H56" i="63"/>
  <c r="H58" i="63"/>
  <c r="H57" i="63"/>
  <c r="H52" i="63" s="1"/>
  <c r="H53" i="63" s="1"/>
  <c r="H107" i="63" s="1"/>
  <c r="H127" i="63" s="1"/>
  <c r="H114" i="63"/>
  <c r="H134" i="63" s="1"/>
  <c r="H49" i="63"/>
  <c r="H98" i="63" s="1"/>
  <c r="H118" i="63" s="1"/>
  <c r="I78" i="63"/>
  <c r="I114" i="63"/>
  <c r="I134" i="63" s="1"/>
  <c r="H51" i="63"/>
  <c r="H63" i="63"/>
  <c r="H100" i="63" s="1"/>
  <c r="H120" i="63" s="1"/>
  <c r="H80" i="63"/>
  <c r="H78" i="63"/>
  <c r="I51" i="63"/>
  <c r="I108" i="63" s="1"/>
  <c r="I128" i="63" s="1"/>
  <c r="I63" i="63"/>
  <c r="I100" i="63" s="1"/>
  <c r="I120" i="63" s="1"/>
  <c r="I80" i="63"/>
  <c r="H82" i="63"/>
  <c r="I82" i="63"/>
  <c r="H65" i="63"/>
  <c r="H105" i="63" s="1"/>
  <c r="H125" i="63" s="1"/>
  <c r="I41" i="63"/>
  <c r="I65" i="63"/>
  <c r="I105" i="63" s="1"/>
  <c r="I125" i="63" s="1"/>
  <c r="I50" i="63"/>
  <c r="H73" i="63"/>
  <c r="H75" i="63"/>
  <c r="H40" i="63"/>
  <c r="H102" i="63" s="1"/>
  <c r="H122" i="63" s="1"/>
  <c r="I43" i="63"/>
  <c r="I102" i="63" s="1"/>
  <c r="I122" i="63" s="1"/>
  <c r="I55" i="63"/>
  <c r="H5" i="63"/>
  <c r="I5" i="63"/>
  <c r="I75" i="63"/>
  <c r="I73" i="63"/>
  <c r="H100" i="47"/>
  <c r="H99" i="47"/>
  <c r="H101" i="47" s="1"/>
  <c r="H102" i="47" s="1"/>
  <c r="H140" i="47" s="1"/>
  <c r="H120" i="47"/>
  <c r="H136" i="47" s="1"/>
  <c r="G115" i="47"/>
  <c r="G143" i="47" s="1"/>
  <c r="G155" i="47" s="1"/>
  <c r="G56" i="47"/>
  <c r="G57" i="47" s="1"/>
  <c r="H119" i="47"/>
  <c r="H130" i="47" s="1"/>
  <c r="H121" i="47"/>
  <c r="H141" i="47" s="1"/>
  <c r="H153" i="47" s="1"/>
  <c r="H124" i="47"/>
  <c r="H56" i="47"/>
  <c r="H57" i="47" s="1"/>
  <c r="H21" i="47"/>
  <c r="H23" i="47"/>
  <c r="H109" i="47" s="1"/>
  <c r="H94" i="47"/>
  <c r="H97" i="47" s="1"/>
  <c r="H98" i="47" s="1"/>
  <c r="H139" i="47" s="1"/>
  <c r="H152" i="47" s="1"/>
  <c r="G120" i="47"/>
  <c r="G136" i="47" s="1"/>
  <c r="G134" i="47"/>
  <c r="G119" i="47"/>
  <c r="G130" i="47" s="1"/>
  <c r="G121" i="47"/>
  <c r="G141" i="47" s="1"/>
  <c r="G100" i="47"/>
  <c r="G21" i="47"/>
  <c r="G23" i="47"/>
  <c r="G94" i="47"/>
  <c r="G97" i="47" s="1"/>
  <c r="G98" i="47" s="1"/>
  <c r="G139" i="47" s="1"/>
  <c r="G152" i="47" s="1"/>
  <c r="G99" i="47"/>
  <c r="H123" i="47"/>
  <c r="H128" i="47"/>
  <c r="H148" i="47" s="1"/>
  <c r="G109" i="47"/>
  <c r="G128" i="47"/>
  <c r="G148" i="47" s="1"/>
  <c r="G123" i="47"/>
  <c r="H64" i="47"/>
  <c r="H65" i="47" s="1"/>
  <c r="H66" i="47" s="1"/>
  <c r="H67" i="47" s="1"/>
  <c r="G28" i="47"/>
  <c r="G125" i="47" s="1"/>
  <c r="G144" i="47" s="1"/>
  <c r="H31" i="47"/>
  <c r="G11" i="47"/>
  <c r="G126" i="47" s="1"/>
  <c r="G145" i="47" s="1"/>
  <c r="H115" i="47"/>
  <c r="H143" i="47" s="1"/>
  <c r="H155" i="47" s="1"/>
  <c r="G64" i="47"/>
  <c r="G65" i="47" s="1"/>
  <c r="G66" i="47" s="1"/>
  <c r="G67" i="47" s="1"/>
  <c r="H28" i="47"/>
  <c r="H125" i="47" s="1"/>
  <c r="H144" i="47" s="1"/>
  <c r="G35" i="47"/>
  <c r="H11" i="47"/>
  <c r="H126" i="47" s="1"/>
  <c r="H145" i="47" s="1"/>
  <c r="H35" i="47"/>
  <c r="G31" i="47"/>
  <c r="I106" i="63" l="1"/>
  <c r="I126" i="63" s="1"/>
  <c r="H108" i="63"/>
  <c r="H128" i="63" s="1"/>
  <c r="I57" i="63"/>
  <c r="I52" i="63" s="1"/>
  <c r="I53" i="63" s="1"/>
  <c r="I107" i="63" s="1"/>
  <c r="I127" i="63" s="1"/>
  <c r="I103" i="63"/>
  <c r="I123" i="63" s="1"/>
  <c r="H76" i="63"/>
  <c r="H95" i="63" s="1"/>
  <c r="H94" i="63" s="1"/>
  <c r="I76" i="63"/>
  <c r="I95" i="63" s="1"/>
  <c r="I115" i="63" s="1"/>
  <c r="H97" i="63"/>
  <c r="H117" i="63" s="1"/>
  <c r="H101" i="63"/>
  <c r="H121" i="63" s="1"/>
  <c r="H96" i="63"/>
  <c r="H116" i="63" s="1"/>
  <c r="I113" i="63"/>
  <c r="I133" i="63" s="1"/>
  <c r="I62" i="63"/>
  <c r="I99" i="63" s="1"/>
  <c r="I119" i="63" s="1"/>
  <c r="I66" i="63"/>
  <c r="I110" i="63" s="1"/>
  <c r="I130" i="63" s="1"/>
  <c r="I64" i="63"/>
  <c r="I104" i="63" s="1"/>
  <c r="I124" i="63" s="1"/>
  <c r="H62" i="63"/>
  <c r="H99" i="63" s="1"/>
  <c r="H119" i="63" s="1"/>
  <c r="H66" i="63"/>
  <c r="H110" i="63" s="1"/>
  <c r="H130" i="63" s="1"/>
  <c r="H113" i="63"/>
  <c r="H133" i="63" s="1"/>
  <c r="H64" i="63"/>
  <c r="H104" i="63" s="1"/>
  <c r="H124" i="63" s="1"/>
  <c r="I97" i="63"/>
  <c r="I117" i="63" s="1"/>
  <c r="I96" i="63"/>
  <c r="I116" i="63" s="1"/>
  <c r="I101" i="63"/>
  <c r="I121" i="63" s="1"/>
  <c r="G101" i="47"/>
  <c r="G102" i="47" s="1"/>
  <c r="G140" i="47" s="1"/>
  <c r="G153" i="47" s="1"/>
  <c r="G32" i="47"/>
  <c r="G132" i="47"/>
  <c r="G114" i="47"/>
  <c r="G138" i="47" s="1"/>
  <c r="G151" i="47" s="1"/>
  <c r="G108" i="47"/>
  <c r="G142" i="47" s="1"/>
  <c r="G154" i="47" s="1"/>
  <c r="G113" i="47"/>
  <c r="G135" i="47" s="1"/>
  <c r="G112" i="47"/>
  <c r="G129" i="47" s="1"/>
  <c r="G149" i="47" s="1"/>
  <c r="G36" i="47"/>
  <c r="G127" i="47"/>
  <c r="G146" i="47" s="1"/>
  <c r="H36" i="47"/>
  <c r="H127" i="47"/>
  <c r="H146" i="47" s="1"/>
  <c r="H32" i="47"/>
  <c r="H132" i="47"/>
  <c r="H108" i="47"/>
  <c r="H142" i="47" s="1"/>
  <c r="H154" i="47" s="1"/>
  <c r="H114" i="47"/>
  <c r="H138" i="47" s="1"/>
  <c r="H151" i="47" s="1"/>
  <c r="H112" i="47"/>
  <c r="H129" i="47" s="1"/>
  <c r="H149" i="47" s="1"/>
  <c r="H113" i="47"/>
  <c r="H135" i="47" s="1"/>
  <c r="B632" i="12"/>
  <c r="C632" i="12" l="1"/>
  <c r="D632" i="12"/>
  <c r="H115" i="63"/>
  <c r="I94" i="63"/>
  <c r="G147" i="47"/>
  <c r="H147" i="47"/>
  <c r="G15" i="121" l="1"/>
  <c r="G14" i="121"/>
  <c r="R222" i="58" l="1"/>
  <c r="R195" i="58"/>
  <c r="R193" i="58"/>
  <c r="R192" i="58"/>
  <c r="R190" i="58"/>
  <c r="R189" i="58"/>
  <c r="R187" i="58"/>
  <c r="R186" i="58"/>
  <c r="R183" i="58"/>
  <c r="R182" i="58"/>
  <c r="R181" i="58"/>
  <c r="R176" i="58"/>
  <c r="R178" i="58" s="1"/>
  <c r="R172" i="58"/>
  <c r="R174" i="58" s="1"/>
  <c r="R171" i="58"/>
  <c r="R170" i="58"/>
  <c r="R164" i="58"/>
  <c r="R166" i="58" s="1"/>
  <c r="R154" i="58"/>
  <c r="R122" i="58"/>
  <c r="R133" i="58" s="1"/>
  <c r="R36" i="58"/>
  <c r="R29" i="58"/>
  <c r="R28" i="58"/>
  <c r="R19" i="58"/>
  <c r="R16" i="58"/>
  <c r="R37" i="58" s="1"/>
  <c r="R15" i="58"/>
  <c r="R14" i="58"/>
  <c r="R38" i="58" s="1"/>
  <c r="R41" i="58" s="1"/>
  <c r="R7" i="58"/>
  <c r="R6" i="58"/>
  <c r="R4" i="58"/>
  <c r="R3" i="58"/>
  <c r="R1" i="58"/>
  <c r="P222" i="58"/>
  <c r="P195" i="58"/>
  <c r="P193" i="58"/>
  <c r="P192" i="58"/>
  <c r="P190" i="58"/>
  <c r="P189" i="58"/>
  <c r="P187" i="58"/>
  <c r="P186" i="58"/>
  <c r="P183" i="58"/>
  <c r="P182" i="58"/>
  <c r="P181" i="58"/>
  <c r="P176" i="58"/>
  <c r="P178" i="58" s="1"/>
  <c r="P172" i="58"/>
  <c r="P174" i="58" s="1"/>
  <c r="P171" i="58"/>
  <c r="P170" i="58"/>
  <c r="P164" i="58"/>
  <c r="P166" i="58" s="1"/>
  <c r="P154" i="58"/>
  <c r="P122" i="58"/>
  <c r="P133" i="58" s="1"/>
  <c r="P36" i="58"/>
  <c r="P29" i="58"/>
  <c r="P28" i="58"/>
  <c r="P19" i="58"/>
  <c r="P16" i="58"/>
  <c r="P37" i="58" s="1"/>
  <c r="P15" i="58"/>
  <c r="P14" i="58"/>
  <c r="P38" i="58" s="1"/>
  <c r="P41" i="58" s="1"/>
  <c r="P7" i="58"/>
  <c r="P6" i="58"/>
  <c r="P3" i="58"/>
  <c r="P1" i="58"/>
  <c r="R143" i="59"/>
  <c r="R142" i="59"/>
  <c r="R141" i="59"/>
  <c r="R140" i="59"/>
  <c r="R139" i="59"/>
  <c r="R138" i="59"/>
  <c r="R136" i="59"/>
  <c r="R135" i="59"/>
  <c r="R134" i="59"/>
  <c r="R7" i="59"/>
  <c r="R6" i="59"/>
  <c r="R4" i="59"/>
  <c r="R3" i="59"/>
  <c r="R1" i="59"/>
  <c r="P143" i="59"/>
  <c r="P142" i="59"/>
  <c r="P141" i="59"/>
  <c r="P140" i="59"/>
  <c r="P139" i="59"/>
  <c r="P138" i="59"/>
  <c r="P136" i="59"/>
  <c r="P135" i="59"/>
  <c r="P134" i="59"/>
  <c r="P7" i="59"/>
  <c r="P6" i="59"/>
  <c r="P3" i="59"/>
  <c r="P1" i="59"/>
  <c r="R206" i="58" l="1"/>
  <c r="R214" i="58" s="1"/>
  <c r="P206" i="58"/>
  <c r="P214" i="58" s="1"/>
  <c r="R188" i="58"/>
  <c r="R205" i="58" s="1"/>
  <c r="R213" i="58" s="1"/>
  <c r="P184" i="58"/>
  <c r="P185" i="58" s="1"/>
  <c r="P188" i="58"/>
  <c r="P205" i="58" s="1"/>
  <c r="P213" i="58" s="1"/>
  <c r="R184" i="58"/>
  <c r="R185" i="58" s="1"/>
  <c r="R198" i="58"/>
  <c r="R202" i="58" s="1"/>
  <c r="R84" i="58"/>
  <c r="R59" i="58"/>
  <c r="R177" i="58"/>
  <c r="R179" i="58" s="1"/>
  <c r="R180" i="58" s="1"/>
  <c r="R156" i="58"/>
  <c r="R158" i="58" s="1"/>
  <c r="R60" i="58"/>
  <c r="R61" i="58"/>
  <c r="R134" i="58"/>
  <c r="R62" i="58"/>
  <c r="R135" i="58"/>
  <c r="R63" i="58"/>
  <c r="R136" i="58"/>
  <c r="R160" i="58"/>
  <c r="R64" i="58"/>
  <c r="R137" i="58"/>
  <c r="R65" i="58"/>
  <c r="R138" i="58"/>
  <c r="R66" i="58"/>
  <c r="R139" i="58"/>
  <c r="R67" i="58"/>
  <c r="R140" i="58"/>
  <c r="R68" i="58"/>
  <c r="R141" i="58"/>
  <c r="R165" i="58"/>
  <c r="R69" i="58"/>
  <c r="R142" i="58"/>
  <c r="R143" i="58"/>
  <c r="R167" i="58"/>
  <c r="R168" i="58"/>
  <c r="R194" i="58"/>
  <c r="R196" i="58" s="1"/>
  <c r="R197" i="58" s="1"/>
  <c r="R173" i="58"/>
  <c r="R175" i="58" s="1"/>
  <c r="P198" i="58"/>
  <c r="P202" i="58" s="1"/>
  <c r="P84" i="58"/>
  <c r="P59" i="58"/>
  <c r="P177" i="58"/>
  <c r="P179" i="58" s="1"/>
  <c r="P180" i="58" s="1"/>
  <c r="P156" i="58"/>
  <c r="P157" i="58" s="1"/>
  <c r="P60" i="58"/>
  <c r="P61" i="58"/>
  <c r="P134" i="58"/>
  <c r="P62" i="58"/>
  <c r="P135" i="58"/>
  <c r="P63" i="58"/>
  <c r="P136" i="58"/>
  <c r="P160" i="58"/>
  <c r="P64" i="58"/>
  <c r="P137" i="58"/>
  <c r="P65" i="58"/>
  <c r="P138" i="58"/>
  <c r="P66" i="58"/>
  <c r="P139" i="58"/>
  <c r="P67" i="58"/>
  <c r="P140" i="58"/>
  <c r="P68" i="58"/>
  <c r="P141" i="58"/>
  <c r="P165" i="58"/>
  <c r="P69" i="58"/>
  <c r="P142" i="58"/>
  <c r="P143" i="58"/>
  <c r="P167" i="58"/>
  <c r="P168" i="58"/>
  <c r="P194" i="58"/>
  <c r="P196" i="58" s="1"/>
  <c r="P197" i="58" s="1"/>
  <c r="P173" i="58"/>
  <c r="P175" i="58" s="1"/>
  <c r="P158" i="58" l="1"/>
  <c r="P159" i="58" s="1"/>
  <c r="P219" i="58" s="1"/>
  <c r="P209" i="58" s="1"/>
  <c r="R157" i="58"/>
  <c r="R159" i="58" s="1"/>
  <c r="R219" i="58" s="1"/>
  <c r="R209" i="58" s="1"/>
  <c r="R169" i="58"/>
  <c r="R162" i="58"/>
  <c r="R161" i="58"/>
  <c r="P162" i="58"/>
  <c r="P161" i="58"/>
  <c r="P169" i="58"/>
  <c r="P163" i="58" l="1"/>
  <c r="P217" i="58" s="1"/>
  <c r="P207" i="58" s="1"/>
  <c r="R163" i="58"/>
  <c r="R221" i="58"/>
  <c r="R211" i="58" s="1"/>
  <c r="R191" i="58"/>
  <c r="P221" i="58"/>
  <c r="P211" i="58" s="1"/>
  <c r="P191" i="58"/>
  <c r="P220" i="58" l="1"/>
  <c r="P210" i="58" s="1"/>
  <c r="P218" i="58"/>
  <c r="P208" i="58" s="1"/>
  <c r="P40" i="58"/>
  <c r="R220" i="58"/>
  <c r="R210" i="58" s="1"/>
  <c r="R218" i="58"/>
  <c r="R208" i="58" s="1"/>
  <c r="R217" i="58"/>
  <c r="R207" i="58" s="1"/>
  <c r="R40" i="58"/>
  <c r="H675" i="120" l="1"/>
  <c r="I675" i="120"/>
  <c r="I675" i="12"/>
  <c r="I78" i="44"/>
  <c r="I113" i="44"/>
  <c r="I29" i="44"/>
  <c r="I25" i="44"/>
  <c r="I20" i="44"/>
  <c r="I19" i="44"/>
  <c r="I18" i="44"/>
  <c r="I16" i="44"/>
  <c r="I15" i="44"/>
  <c r="I14" i="44"/>
  <c r="H18" i="56" l="1"/>
  <c r="I216" i="54"/>
  <c r="H22" i="56"/>
  <c r="I220" i="54"/>
  <c r="H17" i="56"/>
  <c r="I215" i="54"/>
  <c r="H21" i="56"/>
  <c r="I219" i="54"/>
  <c r="J675" i="12"/>
  <c r="J675" i="120"/>
  <c r="G355" i="133" a="1"/>
  <c r="G355" i="133" s="1"/>
  <c r="H29" i="44" l="1"/>
  <c r="G29" i="44"/>
  <c r="F30" i="56" s="1"/>
  <c r="F31" i="56" s="1"/>
  <c r="G383" i="133" a="1"/>
  <c r="G383" i="133" s="1"/>
  <c r="G348" i="133" a="1"/>
  <c r="G348" i="133" s="1"/>
  <c r="G295" i="133"/>
  <c r="G280" i="133" a="1"/>
  <c r="G280" i="133" s="1"/>
  <c r="G279" i="133"/>
  <c r="G278" i="133"/>
  <c r="G291" i="133" s="1"/>
  <c r="G1" i="133"/>
  <c r="G240" i="54"/>
  <c r="G251" i="54" s="1"/>
  <c r="G236" i="54"/>
  <c r="G228" i="54"/>
  <c r="G227" i="54"/>
  <c r="G226" i="54"/>
  <c r="G225" i="54"/>
  <c r="G233" i="54" s="1"/>
  <c r="G223" i="54"/>
  <c r="G211" i="54"/>
  <c r="G197" i="54"/>
  <c r="G192" i="54"/>
  <c r="G179" i="54"/>
  <c r="G174" i="54"/>
  <c r="G175" i="54" s="1"/>
  <c r="G176" i="54" s="1"/>
  <c r="G238" i="54" s="1"/>
  <c r="G249" i="54" s="1"/>
  <c r="G165" i="54"/>
  <c r="G169" i="54" s="1"/>
  <c r="G158" i="54"/>
  <c r="G152" i="54"/>
  <c r="G151" i="54"/>
  <c r="G147" i="54"/>
  <c r="G146" i="54"/>
  <c r="G141" i="54"/>
  <c r="G140" i="54"/>
  <c r="G150" i="54" s="1"/>
  <c r="G139" i="54"/>
  <c r="G131" i="54"/>
  <c r="G126" i="54"/>
  <c r="G125" i="54"/>
  <c r="G124" i="54"/>
  <c r="G123" i="54"/>
  <c r="G122" i="54"/>
  <c r="G119" i="54"/>
  <c r="G118" i="54"/>
  <c r="G117" i="54"/>
  <c r="G116" i="54"/>
  <c r="G112" i="54"/>
  <c r="G111" i="54"/>
  <c r="G110" i="54"/>
  <c r="G109" i="54"/>
  <c r="G108" i="54"/>
  <c r="G105" i="54"/>
  <c r="G104" i="54"/>
  <c r="G103" i="54"/>
  <c r="G102" i="54"/>
  <c r="G101" i="54"/>
  <c r="G98" i="54"/>
  <c r="G97" i="54"/>
  <c r="G96" i="54"/>
  <c r="G95" i="54"/>
  <c r="G94" i="54"/>
  <c r="G91" i="54"/>
  <c r="G89" i="54" s="1"/>
  <c r="G90" i="54"/>
  <c r="G88" i="54"/>
  <c r="G87" i="54"/>
  <c r="G86" i="54"/>
  <c r="G83" i="54"/>
  <c r="G82" i="54"/>
  <c r="G81" i="54"/>
  <c r="G80" i="54"/>
  <c r="G79" i="54"/>
  <c r="G76" i="54"/>
  <c r="G75" i="54"/>
  <c r="G74" i="54"/>
  <c r="G73" i="54"/>
  <c r="G72" i="54"/>
  <c r="G69" i="54"/>
  <c r="G68" i="54"/>
  <c r="G67" i="54"/>
  <c r="G66" i="54"/>
  <c r="G65" i="54"/>
  <c r="G62" i="54"/>
  <c r="G61" i="54"/>
  <c r="G60" i="54"/>
  <c r="G59" i="54"/>
  <c r="G58" i="54"/>
  <c r="G55" i="54"/>
  <c r="G54" i="54"/>
  <c r="G53" i="54"/>
  <c r="G52" i="54"/>
  <c r="G51" i="54"/>
  <c r="G48" i="54"/>
  <c r="G47" i="54"/>
  <c r="G46" i="54"/>
  <c r="G45" i="54"/>
  <c r="G44" i="54"/>
  <c r="G41" i="54"/>
  <c r="G40" i="54"/>
  <c r="G39" i="54"/>
  <c r="G38" i="54"/>
  <c r="G33" i="54"/>
  <c r="G31" i="54"/>
  <c r="G29" i="54"/>
  <c r="G30" i="54" s="1"/>
  <c r="G24" i="54"/>
  <c r="G25" i="54" s="1"/>
  <c r="G1" i="54"/>
  <c r="I56" i="75"/>
  <c r="I55" i="75"/>
  <c r="I54" i="75"/>
  <c r="I53" i="75"/>
  <c r="I52" i="75"/>
  <c r="I51" i="75"/>
  <c r="I50" i="75"/>
  <c r="I49" i="75"/>
  <c r="I47" i="75"/>
  <c r="I46" i="75"/>
  <c r="I44" i="75"/>
  <c r="I43" i="75"/>
  <c r="I42" i="75"/>
  <c r="I40" i="75"/>
  <c r="I39" i="75"/>
  <c r="I38" i="75"/>
  <c r="I36" i="75"/>
  <c r="I35" i="75"/>
  <c r="I32" i="75"/>
  <c r="I31" i="75"/>
  <c r="I30" i="75"/>
  <c r="I29" i="75"/>
  <c r="I28" i="75"/>
  <c r="I26" i="75"/>
  <c r="I25" i="75"/>
  <c r="I24" i="75"/>
  <c r="I23" i="75"/>
  <c r="I22" i="75"/>
  <c r="I21" i="75"/>
  <c r="I18" i="75"/>
  <c r="I17" i="75"/>
  <c r="I16" i="75"/>
  <c r="I14" i="75"/>
  <c r="I13" i="75"/>
  <c r="I12" i="75"/>
  <c r="I11" i="75"/>
  <c r="I10" i="75"/>
  <c r="I9" i="75"/>
  <c r="I8" i="75"/>
  <c r="I7" i="75"/>
  <c r="I4" i="75"/>
  <c r="I3" i="75"/>
  <c r="I1" i="75"/>
  <c r="G90" i="37"/>
  <c r="G84" i="37"/>
  <c r="G89" i="37" s="1"/>
  <c r="G118" i="37" s="1"/>
  <c r="G83" i="37"/>
  <c r="G88" i="37" s="1"/>
  <c r="G117" i="37" s="1"/>
  <c r="G81" i="37"/>
  <c r="G78" i="37"/>
  <c r="G77" i="37"/>
  <c r="G76" i="37"/>
  <c r="G75" i="37"/>
  <c r="G72" i="37"/>
  <c r="G74" i="37" s="1"/>
  <c r="G68" i="37"/>
  <c r="G70" i="37" s="1"/>
  <c r="G64" i="37"/>
  <c r="G49" i="37"/>
  <c r="G53" i="37" s="1"/>
  <c r="G48" i="37"/>
  <c r="G57" i="37" s="1"/>
  <c r="G47" i="37"/>
  <c r="G46" i="37"/>
  <c r="G55" i="37" s="1"/>
  <c r="G45" i="37"/>
  <c r="G44" i="37"/>
  <c r="G39" i="37"/>
  <c r="G23" i="37"/>
  <c r="G27" i="37" s="1"/>
  <c r="G22" i="37"/>
  <c r="G31" i="37" s="1"/>
  <c r="G21" i="37"/>
  <c r="G20" i="37"/>
  <c r="G19" i="37"/>
  <c r="G18" i="37"/>
  <c r="G13" i="37"/>
  <c r="G7" i="37"/>
  <c r="G6" i="37"/>
  <c r="G5" i="37"/>
  <c r="G4" i="37"/>
  <c r="G3" i="37"/>
  <c r="G1" i="37"/>
  <c r="F88" i="56"/>
  <c r="F90" i="56" s="1"/>
  <c r="F77" i="56"/>
  <c r="F74" i="56"/>
  <c r="F72" i="56"/>
  <c r="F76" i="56" s="1"/>
  <c r="F69" i="56"/>
  <c r="F67" i="56"/>
  <c r="F71" i="56" s="1"/>
  <c r="F64" i="56"/>
  <c r="F62" i="56"/>
  <c r="F63" i="56" s="1"/>
  <c r="F65" i="56" s="1"/>
  <c r="F59" i="56"/>
  <c r="F57" i="56"/>
  <c r="F61" i="56" s="1"/>
  <c r="F54" i="56"/>
  <c r="F52" i="56"/>
  <c r="F56" i="56" s="1"/>
  <c r="F49" i="56"/>
  <c r="F47" i="56"/>
  <c r="F51" i="56" s="1"/>
  <c r="F42" i="56"/>
  <c r="F45" i="56" s="1"/>
  <c r="F37" i="56"/>
  <c r="F39" i="56" s="1"/>
  <c r="F27" i="56"/>
  <c r="F26" i="56"/>
  <c r="F24" i="56"/>
  <c r="F20" i="56"/>
  <c r="F16" i="56"/>
  <c r="F15" i="56"/>
  <c r="F14" i="56"/>
  <c r="F11" i="56"/>
  <c r="F9" i="56"/>
  <c r="F7" i="56"/>
  <c r="F6" i="56"/>
  <c r="F5" i="56"/>
  <c r="F4" i="56"/>
  <c r="F3" i="56"/>
  <c r="F1" i="56"/>
  <c r="F8" i="56"/>
  <c r="F13" i="56" s="1"/>
  <c r="H113" i="44"/>
  <c r="G113" i="44"/>
  <c r="I34" i="75" s="1"/>
  <c r="H78" i="44"/>
  <c r="G78" i="44"/>
  <c r="H25" i="44"/>
  <c r="G25" i="44"/>
  <c r="F28" i="56" s="1"/>
  <c r="H20" i="44"/>
  <c r="G20" i="44"/>
  <c r="G221" i="54" s="1"/>
  <c r="H19" i="44"/>
  <c r="G19" i="44"/>
  <c r="F22" i="56" s="1"/>
  <c r="H18" i="44"/>
  <c r="G18" i="44"/>
  <c r="H16" i="44"/>
  <c r="G16" i="44"/>
  <c r="G217" i="54" s="1"/>
  <c r="H15" i="44"/>
  <c r="G15" i="44"/>
  <c r="G216" i="54" s="1"/>
  <c r="H14" i="44"/>
  <c r="G14" i="44"/>
  <c r="G215" i="54" s="1"/>
  <c r="E154" i="43"/>
  <c r="E153" i="43"/>
  <c r="E152" i="43"/>
  <c r="E151" i="43"/>
  <c r="G48" i="59" s="1"/>
  <c r="E150" i="43"/>
  <c r="E149" i="43"/>
  <c r="G46" i="59" s="1"/>
  <c r="E148" i="43"/>
  <c r="E147" i="43"/>
  <c r="E146" i="43"/>
  <c r="E145" i="43"/>
  <c r="G14" i="59" s="1"/>
  <c r="E144" i="43"/>
  <c r="E143" i="43"/>
  <c r="G13" i="59" s="1"/>
  <c r="E19" i="43"/>
  <c r="G155" i="58" s="1"/>
  <c r="G157" i="58" s="1"/>
  <c r="G159" i="58" s="1"/>
  <c r="G219" i="58" s="1"/>
  <c r="G209" i="58" s="1"/>
  <c r="E2" i="43"/>
  <c r="F2" i="43" s="1"/>
  <c r="J22" i="155"/>
  <c r="I22" i="155"/>
  <c r="H22" i="155"/>
  <c r="G22" i="155"/>
  <c r="E22" i="155"/>
  <c r="D22" i="155"/>
  <c r="C22" i="155"/>
  <c r="J21" i="155"/>
  <c r="I21" i="155"/>
  <c r="H21" i="155"/>
  <c r="G21" i="155"/>
  <c r="E21" i="155"/>
  <c r="D21" i="155"/>
  <c r="C21" i="155"/>
  <c r="J20" i="155"/>
  <c r="I20" i="155"/>
  <c r="H20" i="155"/>
  <c r="G20" i="155"/>
  <c r="E20" i="155"/>
  <c r="D20" i="155"/>
  <c r="C20" i="155"/>
  <c r="J19" i="155"/>
  <c r="I19" i="155"/>
  <c r="H19" i="155"/>
  <c r="G19" i="155"/>
  <c r="E19" i="155"/>
  <c r="D19" i="155"/>
  <c r="C19" i="155"/>
  <c r="J18" i="155"/>
  <c r="I18" i="155"/>
  <c r="H18" i="155"/>
  <c r="G18" i="155"/>
  <c r="E18" i="155"/>
  <c r="D18" i="155"/>
  <c r="C18" i="155"/>
  <c r="I10" i="155"/>
  <c r="G10" i="155"/>
  <c r="I9" i="155"/>
  <c r="G9" i="155"/>
  <c r="I8" i="155"/>
  <c r="G8" i="155"/>
  <c r="I87" i="155"/>
  <c r="K87" i="155" s="1"/>
  <c r="H87" i="155"/>
  <c r="J87" i="155" s="1"/>
  <c r="G87" i="155"/>
  <c r="L87" i="155" s="1"/>
  <c r="C87" i="155"/>
  <c r="E87" i="155" s="1"/>
  <c r="B87" i="155"/>
  <c r="F87" i="155" s="1"/>
  <c r="L81" i="155"/>
  <c r="K81" i="155"/>
  <c r="F81" i="155"/>
  <c r="E81" i="155"/>
  <c r="G64" i="155"/>
  <c r="H64" i="155" s="1"/>
  <c r="G59" i="155"/>
  <c r="H59" i="155" s="1"/>
  <c r="D50" i="155"/>
  <c r="C50" i="155"/>
  <c r="L49" i="155"/>
  <c r="L50" i="155" s="1"/>
  <c r="K49" i="155"/>
  <c r="K50" i="155" s="1"/>
  <c r="J49" i="155"/>
  <c r="J50" i="155" s="1"/>
  <c r="I49" i="155"/>
  <c r="I50" i="155" s="1"/>
  <c r="H49" i="155"/>
  <c r="H50" i="155" s="1"/>
  <c r="G49" i="155"/>
  <c r="G50" i="155" s="1"/>
  <c r="F49" i="155"/>
  <c r="F50" i="155" s="1"/>
  <c r="E49" i="155"/>
  <c r="E50" i="155" s="1"/>
  <c r="D49" i="155"/>
  <c r="C49" i="155"/>
  <c r="K40" i="155"/>
  <c r="J40" i="155"/>
  <c r="I40" i="155"/>
  <c r="H40" i="155"/>
  <c r="G40" i="155"/>
  <c r="L39" i="155"/>
  <c r="L40" i="155" s="1"/>
  <c r="K39" i="155"/>
  <c r="J39" i="155"/>
  <c r="I39" i="155"/>
  <c r="H39" i="155"/>
  <c r="G39" i="155"/>
  <c r="F39" i="155"/>
  <c r="F40" i="155" s="1"/>
  <c r="E39" i="155"/>
  <c r="E40" i="155" s="1"/>
  <c r="D39" i="155"/>
  <c r="D40" i="155" s="1"/>
  <c r="C39" i="155"/>
  <c r="C40" i="155" s="1"/>
  <c r="J33" i="155"/>
  <c r="K22" i="155"/>
  <c r="F22" i="155"/>
  <c r="K21" i="155"/>
  <c r="F21" i="155"/>
  <c r="K20" i="155"/>
  <c r="F20" i="155"/>
  <c r="K19" i="155"/>
  <c r="F19" i="155"/>
  <c r="K18" i="155"/>
  <c r="F18" i="155"/>
  <c r="E6" i="43" a="1"/>
  <c r="E5" i="43" a="1"/>
  <c r="F1" i="43" a="1"/>
  <c r="F6" i="43" a="1"/>
  <c r="E7" i="43" a="1"/>
  <c r="F69" i="43" a="1"/>
  <c r="F63" i="43" a="1"/>
  <c r="F3" i="43" a="1"/>
  <c r="F7" i="43" a="1"/>
  <c r="F5" i="43" a="1"/>
  <c r="F4" i="43" a="1"/>
  <c r="F64" i="43" a="1"/>
  <c r="G21" i="56" l="1"/>
  <c r="H219" i="54"/>
  <c r="G17" i="56"/>
  <c r="H215" i="54"/>
  <c r="G38" i="59"/>
  <c r="G36" i="59"/>
  <c r="F63" i="43"/>
  <c r="H67" i="59" s="1"/>
  <c r="F6" i="43"/>
  <c r="F4" i="43"/>
  <c r="H3" i="59" s="1"/>
  <c r="F7" i="43"/>
  <c r="H6" i="59" s="1"/>
  <c r="F5" i="43"/>
  <c r="H4" i="59" s="1"/>
  <c r="F1" i="43"/>
  <c r="F64" i="43"/>
  <c r="F3" i="43"/>
  <c r="H2" i="59" s="1"/>
  <c r="F69" i="43"/>
  <c r="H74" i="59" s="1"/>
  <c r="G2" i="43"/>
  <c r="I64" i="75"/>
  <c r="I73" i="75" s="1"/>
  <c r="G10" i="59"/>
  <c r="G11" i="59"/>
  <c r="F79" i="56"/>
  <c r="F80" i="56"/>
  <c r="F21" i="56"/>
  <c r="G219" i="54"/>
  <c r="G220" i="54"/>
  <c r="I2" i="75"/>
  <c r="I5" i="75" s="1"/>
  <c r="G2" i="37"/>
  <c r="G8" i="37" s="1"/>
  <c r="F18" i="56"/>
  <c r="F2" i="56"/>
  <c r="G80" i="37"/>
  <c r="G99" i="37" s="1"/>
  <c r="G79" i="37"/>
  <c r="G111" i="37" s="1"/>
  <c r="G132" i="37" s="1"/>
  <c r="G82" i="37"/>
  <c r="G119" i="37" s="1"/>
  <c r="G133" i="37" s="1"/>
  <c r="G73" i="37"/>
  <c r="G129" i="37" s="1"/>
  <c r="G178" i="54"/>
  <c r="G180" i="54" s="1"/>
  <c r="G235" i="54"/>
  <c r="G244" i="54" s="1"/>
  <c r="G255" i="54" s="1"/>
  <c r="I48" i="75"/>
  <c r="I61" i="75" s="1"/>
  <c r="I70" i="75" s="1"/>
  <c r="I65" i="75"/>
  <c r="I74" i="75" s="1"/>
  <c r="I27" i="75"/>
  <c r="G54" i="37"/>
  <c r="G9" i="37"/>
  <c r="G14" i="37"/>
  <c r="F53" i="56"/>
  <c r="F55" i="56" s="1"/>
  <c r="F92" i="56"/>
  <c r="F32" i="56"/>
  <c r="F40" i="56"/>
  <c r="F66" i="56"/>
  <c r="G65" i="37"/>
  <c r="G112" i="37" s="1"/>
  <c r="I41" i="75"/>
  <c r="F48" i="56"/>
  <c r="F50" i="56" s="1"/>
  <c r="G71" i="37"/>
  <c r="G114" i="37" s="1"/>
  <c r="G91" i="37"/>
  <c r="G94" i="37" s="1"/>
  <c r="G115" i="37" s="1"/>
  <c r="I15" i="75"/>
  <c r="I62" i="75" s="1"/>
  <c r="I71" i="75" s="1"/>
  <c r="I45" i="75"/>
  <c r="G2" i="54"/>
  <c r="I37" i="75"/>
  <c r="I33" i="75"/>
  <c r="F91" i="56"/>
  <c r="I60" i="75"/>
  <c r="I69" i="75" s="1"/>
  <c r="G143" i="54"/>
  <c r="G3" i="54"/>
  <c r="G5" i="54" s="1"/>
  <c r="G160" i="54"/>
  <c r="G182" i="54" s="1"/>
  <c r="G183" i="54" s="1"/>
  <c r="G188" i="54" s="1"/>
  <c r="G234" i="54"/>
  <c r="G230" i="54"/>
  <c r="G237" i="54" s="1"/>
  <c r="G248" i="54" s="1"/>
  <c r="G148" i="54"/>
  <c r="G156" i="54" s="1"/>
  <c r="G229" i="54"/>
  <c r="G149" i="54"/>
  <c r="G157" i="54" s="1"/>
  <c r="G167" i="54"/>
  <c r="G168" i="54" s="1"/>
  <c r="F10" i="56"/>
  <c r="F12" i="56" s="1"/>
  <c r="F114" i="56" s="1"/>
  <c r="F17" i="56"/>
  <c r="F23" i="56"/>
  <c r="F19" i="56"/>
  <c r="F29" i="56"/>
  <c r="F113" i="56" s="1"/>
  <c r="G304" i="133"/>
  <c r="G166" i="54"/>
  <c r="G24" i="37"/>
  <c r="G40" i="37"/>
  <c r="G25" i="37"/>
  <c r="G26" i="37"/>
  <c r="G50" i="37"/>
  <c r="G66" i="37"/>
  <c r="G67" i="37" s="1"/>
  <c r="G113" i="37" s="1"/>
  <c r="G51" i="37"/>
  <c r="G52" i="37"/>
  <c r="G69" i="37"/>
  <c r="F73" i="56"/>
  <c r="F75" i="56" s="1"/>
  <c r="F58" i="56"/>
  <c r="F60" i="56" s="1"/>
  <c r="F43" i="56"/>
  <c r="F46" i="56" s="1"/>
  <c r="F105" i="56" s="1"/>
  <c r="M105" i="56" s="1"/>
  <c r="N105" i="56" s="1"/>
  <c r="F44" i="56"/>
  <c r="F68" i="56"/>
  <c r="F70" i="56" s="1"/>
  <c r="F38" i="56"/>
  <c r="F78" i="56"/>
  <c r="F89" i="56"/>
  <c r="E6" i="43"/>
  <c r="E7" i="43"/>
  <c r="G6" i="59" s="1"/>
  <c r="E5" i="43"/>
  <c r="D87" i="155"/>
  <c r="G64" i="43" a="1"/>
  <c r="E4" i="43" a="1"/>
  <c r="G1" i="43" a="1"/>
  <c r="G69" i="43" a="1"/>
  <c r="G63" i="43" a="1"/>
  <c r="G7" i="43" a="1"/>
  <c r="G4" i="43" a="1"/>
  <c r="G3" i="43" a="1"/>
  <c r="G6" i="43" a="1"/>
  <c r="G5" i="43" a="1"/>
  <c r="H1" i="59" l="1"/>
  <c r="H45" i="59"/>
  <c r="H55" i="59"/>
  <c r="H52" i="59"/>
  <c r="H24" i="59"/>
  <c r="H41" i="59"/>
  <c r="H17" i="59"/>
  <c r="H35" i="59"/>
  <c r="H34" i="59"/>
  <c r="H51" i="59"/>
  <c r="H27" i="59"/>
  <c r="H44" i="59"/>
  <c r="H20" i="59"/>
  <c r="H32" i="59"/>
  <c r="H37" i="59"/>
  <c r="H54" i="59"/>
  <c r="H30" i="59"/>
  <c r="H47" i="59"/>
  <c r="H23" i="59"/>
  <c r="H25" i="59"/>
  <c r="H40" i="59"/>
  <c r="H33" i="59"/>
  <c r="H50" i="59"/>
  <c r="H18" i="59"/>
  <c r="H43" i="59"/>
  <c r="H19" i="59"/>
  <c r="H28" i="59"/>
  <c r="H53" i="59"/>
  <c r="H29" i="59"/>
  <c r="H22" i="59"/>
  <c r="H42" i="59"/>
  <c r="H56" i="59"/>
  <c r="H58" i="59"/>
  <c r="H57" i="59"/>
  <c r="H59" i="59"/>
  <c r="H2" i="60"/>
  <c r="H2" i="58"/>
  <c r="H3" i="60"/>
  <c r="H3" i="58"/>
  <c r="H1" i="60"/>
  <c r="H1" i="58"/>
  <c r="H4" i="60"/>
  <c r="H4" i="58"/>
  <c r="H5" i="60"/>
  <c r="H6" i="58"/>
  <c r="F8" i="43"/>
  <c r="G5" i="43"/>
  <c r="I4" i="59" s="1"/>
  <c r="G7" i="43"/>
  <c r="I6" i="59" s="1"/>
  <c r="G63" i="43"/>
  <c r="I67" i="59" s="1"/>
  <c r="G1" i="43"/>
  <c r="G3" i="43"/>
  <c r="I2" i="59" s="1"/>
  <c r="G64" i="43"/>
  <c r="G6" i="43"/>
  <c r="G4" i="43"/>
  <c r="I3" i="59" s="1"/>
  <c r="G69" i="43"/>
  <c r="I74" i="59" s="1"/>
  <c r="F23" i="43"/>
  <c r="F21" i="43"/>
  <c r="H2" i="43"/>
  <c r="I2" i="43" s="1"/>
  <c r="F33" i="56"/>
  <c r="F34" i="56" s="1"/>
  <c r="F103" i="56" s="1"/>
  <c r="G232" i="54"/>
  <c r="G231" i="54"/>
  <c r="G12" i="37"/>
  <c r="F119" i="56"/>
  <c r="F110" i="56"/>
  <c r="G4" i="58"/>
  <c r="G4" i="59"/>
  <c r="G59" i="59"/>
  <c r="G56" i="59"/>
  <c r="G58" i="59"/>
  <c r="G57" i="59"/>
  <c r="G5" i="60"/>
  <c r="G6" i="58"/>
  <c r="G4" i="60"/>
  <c r="G107" i="37"/>
  <c r="G86" i="37"/>
  <c r="G108" i="37" s="1"/>
  <c r="G38" i="37"/>
  <c r="G87" i="37"/>
  <c r="G116" i="37" s="1"/>
  <c r="G85" i="37"/>
  <c r="G101" i="37" s="1"/>
  <c r="F81" i="56"/>
  <c r="F106" i="56" s="1"/>
  <c r="F41" i="56"/>
  <c r="F104" i="56" s="1"/>
  <c r="G92" i="37"/>
  <c r="G102" i="37" s="1"/>
  <c r="G159" i="54"/>
  <c r="F93" i="56"/>
  <c r="F94" i="56" s="1"/>
  <c r="F107" i="56" s="1"/>
  <c r="I19" i="75"/>
  <c r="I20" i="75" s="1"/>
  <c r="I63" i="75" s="1"/>
  <c r="I72" i="75" s="1"/>
  <c r="G120" i="37"/>
  <c r="G134" i="37" s="1"/>
  <c r="G93" i="37"/>
  <c r="G109" i="37" s="1"/>
  <c r="G153" i="54"/>
  <c r="G155" i="54" s="1"/>
  <c r="G161" i="54"/>
  <c r="G239" i="54"/>
  <c r="G250" i="54" s="1"/>
  <c r="G58" i="37"/>
  <c r="G124" i="37"/>
  <c r="G100" i="37"/>
  <c r="G32" i="37"/>
  <c r="E8" i="43"/>
  <c r="E4" i="43"/>
  <c r="H6" i="43" a="1"/>
  <c r="I69" i="43" a="1"/>
  <c r="H3" i="43" a="1"/>
  <c r="H69" i="43" a="1"/>
  <c r="I3" i="43" a="1"/>
  <c r="H5" i="43" a="1"/>
  <c r="I7" i="43" a="1"/>
  <c r="I5" i="43" a="1"/>
  <c r="I64" i="43" a="1"/>
  <c r="I63" i="43" a="1"/>
  <c r="H4" i="43" a="1"/>
  <c r="H63" i="43" a="1"/>
  <c r="H64" i="43" a="1"/>
  <c r="I6" i="43" a="1"/>
  <c r="H7" i="43" a="1"/>
  <c r="H1" i="43" a="1"/>
  <c r="I4" i="43" a="1"/>
  <c r="I1" i="43" a="1"/>
  <c r="H8" i="60" l="1"/>
  <c r="H37" i="60"/>
  <c r="H38" i="60" s="1"/>
  <c r="H39" i="60" s="1"/>
  <c r="H41" i="60"/>
  <c r="H40" i="60"/>
  <c r="F35" i="56"/>
  <c r="F36" i="56"/>
  <c r="I1" i="59"/>
  <c r="I56" i="59"/>
  <c r="I58" i="59"/>
  <c r="I57" i="59"/>
  <c r="I59" i="59"/>
  <c r="I55" i="59"/>
  <c r="I31" i="59"/>
  <c r="I24" i="59"/>
  <c r="I34" i="59"/>
  <c r="I44" i="59"/>
  <c r="I20" i="59"/>
  <c r="I37" i="59"/>
  <c r="I45" i="59"/>
  <c r="I54" i="59"/>
  <c r="I30" i="59"/>
  <c r="I25" i="59"/>
  <c r="I42" i="59"/>
  <c r="I47" i="59"/>
  <c r="I23" i="59"/>
  <c r="I40" i="59"/>
  <c r="I16" i="59"/>
  <c r="I33" i="59"/>
  <c r="I18" i="59"/>
  <c r="I28" i="59"/>
  <c r="I50" i="59"/>
  <c r="I26" i="59"/>
  <c r="I43" i="59"/>
  <c r="I19" i="59"/>
  <c r="I12" i="59"/>
  <c r="I52" i="59"/>
  <c r="I53" i="59"/>
  <c r="I29" i="59"/>
  <c r="I39" i="59"/>
  <c r="I15" i="59"/>
  <c r="I49" i="59"/>
  <c r="I21" i="59"/>
  <c r="I35" i="59"/>
  <c r="H7" i="58"/>
  <c r="H7" i="59"/>
  <c r="I5" i="60"/>
  <c r="I6" i="58"/>
  <c r="I1" i="60"/>
  <c r="I1" i="58"/>
  <c r="H82" i="58"/>
  <c r="H160" i="58"/>
  <c r="I2" i="60"/>
  <c r="I2" i="58"/>
  <c r="I3" i="60"/>
  <c r="I3" i="58"/>
  <c r="I4" i="60"/>
  <c r="I4" i="58"/>
  <c r="G8" i="43"/>
  <c r="I7" i="43"/>
  <c r="K6" i="59" s="1"/>
  <c r="I6" i="43"/>
  <c r="I64" i="43"/>
  <c r="I1" i="43"/>
  <c r="I63" i="43"/>
  <c r="K67" i="59" s="1"/>
  <c r="I5" i="43"/>
  <c r="K4" i="59" s="1"/>
  <c r="I3" i="43"/>
  <c r="K2" i="59" s="1"/>
  <c r="I4" i="43"/>
  <c r="K3" i="59" s="1"/>
  <c r="I69" i="43"/>
  <c r="K74" i="59" s="1"/>
  <c r="H63" i="43"/>
  <c r="J67" i="59" s="1"/>
  <c r="H7" i="43"/>
  <c r="J6" i="59" s="1"/>
  <c r="H4" i="43"/>
  <c r="J3" i="59" s="1"/>
  <c r="H64" i="43"/>
  <c r="H1" i="43"/>
  <c r="H6" i="43"/>
  <c r="H5" i="43"/>
  <c r="J4" i="59" s="1"/>
  <c r="H3" i="43"/>
  <c r="J2" i="59" s="1"/>
  <c r="H69" i="43"/>
  <c r="J74" i="59" s="1"/>
  <c r="G23" i="43"/>
  <c r="G21" i="43"/>
  <c r="G162" i="54"/>
  <c r="F112" i="56"/>
  <c r="F118" i="56" s="1"/>
  <c r="G3" i="58"/>
  <c r="G3" i="59"/>
  <c r="G45" i="59"/>
  <c r="G37" i="59"/>
  <c r="G29" i="59"/>
  <c r="G40" i="59"/>
  <c r="G51" i="59"/>
  <c r="G54" i="59"/>
  <c r="G41" i="59"/>
  <c r="G52" i="59"/>
  <c r="G44" i="59"/>
  <c r="G55" i="59"/>
  <c r="G22" i="59"/>
  <c r="G42" i="59"/>
  <c r="G32" i="59"/>
  <c r="G25" i="59"/>
  <c r="G24" i="59"/>
  <c r="G50" i="59"/>
  <c r="G35" i="59"/>
  <c r="G27" i="59"/>
  <c r="G20" i="59"/>
  <c r="G17" i="59"/>
  <c r="G30" i="59"/>
  <c r="G34" i="59"/>
  <c r="G19" i="59"/>
  <c r="G47" i="59"/>
  <c r="G7" i="58"/>
  <c r="G7" i="59"/>
  <c r="G84" i="59" s="1"/>
  <c r="G160" i="58"/>
  <c r="G3" i="60"/>
  <c r="F109" i="56"/>
  <c r="G130" i="37"/>
  <c r="G123" i="37"/>
  <c r="G125" i="37"/>
  <c r="F83" i="56"/>
  <c r="F86" i="56" s="1"/>
  <c r="M104" i="56"/>
  <c r="G164" i="54"/>
  <c r="G170" i="54"/>
  <c r="G98" i="37"/>
  <c r="G122" i="37" s="1"/>
  <c r="F95" i="56"/>
  <c r="I8" i="60" l="1"/>
  <c r="I37" i="60"/>
  <c r="I38" i="60" s="1"/>
  <c r="I39" i="60" s="1"/>
  <c r="I41" i="60"/>
  <c r="I40" i="60"/>
  <c r="J1" i="59"/>
  <c r="K1" i="59"/>
  <c r="K24" i="59"/>
  <c r="K52" i="59"/>
  <c r="K34" i="59"/>
  <c r="K44" i="59"/>
  <c r="K20" i="59"/>
  <c r="K42" i="59"/>
  <c r="K28" i="59"/>
  <c r="K37" i="59"/>
  <c r="K35" i="59"/>
  <c r="K54" i="59"/>
  <c r="K30" i="59"/>
  <c r="K47" i="59"/>
  <c r="K23" i="59"/>
  <c r="K40" i="59"/>
  <c r="K16" i="59"/>
  <c r="K33" i="59"/>
  <c r="K21" i="59"/>
  <c r="K50" i="59"/>
  <c r="K26" i="59"/>
  <c r="K43" i="59"/>
  <c r="K19" i="59"/>
  <c r="K12" i="59"/>
  <c r="K18" i="59"/>
  <c r="K55" i="59"/>
  <c r="K53" i="59"/>
  <c r="K29" i="59"/>
  <c r="K31" i="59"/>
  <c r="K39" i="59"/>
  <c r="K15" i="59"/>
  <c r="K49" i="59"/>
  <c r="K25" i="59"/>
  <c r="K45" i="59"/>
  <c r="K58" i="59"/>
  <c r="K57" i="59"/>
  <c r="K56" i="59"/>
  <c r="K59" i="59"/>
  <c r="I7" i="58"/>
  <c r="I7" i="59"/>
  <c r="J55" i="59"/>
  <c r="J31" i="59"/>
  <c r="J24" i="59"/>
  <c r="J42" i="59"/>
  <c r="J34" i="59"/>
  <c r="J44" i="59"/>
  <c r="J20" i="59"/>
  <c r="J37" i="59"/>
  <c r="J54" i="59"/>
  <c r="J30" i="59"/>
  <c r="J47" i="59"/>
  <c r="J23" i="59"/>
  <c r="J40" i="59"/>
  <c r="J16" i="59"/>
  <c r="J33" i="59"/>
  <c r="J21" i="59"/>
  <c r="J50" i="59"/>
  <c r="J26" i="59"/>
  <c r="J49" i="59"/>
  <c r="J43" i="59"/>
  <c r="J19" i="59"/>
  <c r="J12" i="59"/>
  <c r="J25" i="59"/>
  <c r="J53" i="59"/>
  <c r="J29" i="59"/>
  <c r="J18" i="59"/>
  <c r="J39" i="59"/>
  <c r="J15" i="59"/>
  <c r="J35" i="59"/>
  <c r="J45" i="59"/>
  <c r="J28" i="59"/>
  <c r="J52" i="59"/>
  <c r="J58" i="59"/>
  <c r="J59" i="59"/>
  <c r="J57" i="59"/>
  <c r="J56" i="59"/>
  <c r="H84" i="59"/>
  <c r="K4" i="60"/>
  <c r="K4" i="58"/>
  <c r="K1" i="60"/>
  <c r="K1" i="58"/>
  <c r="K5" i="60"/>
  <c r="K6" i="58"/>
  <c r="J4" i="60"/>
  <c r="J4" i="58"/>
  <c r="J5" i="60"/>
  <c r="J6" i="58"/>
  <c r="H161" i="58"/>
  <c r="H162" i="58"/>
  <c r="J3" i="60"/>
  <c r="J3" i="58"/>
  <c r="J2" i="60"/>
  <c r="J2" i="58"/>
  <c r="K3" i="60"/>
  <c r="K3" i="58"/>
  <c r="I82" i="58"/>
  <c r="I160" i="58"/>
  <c r="J1" i="60"/>
  <c r="J1" i="58"/>
  <c r="K2" i="60"/>
  <c r="K2" i="58"/>
  <c r="H8" i="43"/>
  <c r="I8" i="43"/>
  <c r="H23" i="43"/>
  <c r="H21" i="43"/>
  <c r="G160" i="59"/>
  <c r="G170" i="59" s="1"/>
  <c r="G162" i="58"/>
  <c r="G161" i="58"/>
  <c r="F87" i="56"/>
  <c r="G246" i="54"/>
  <c r="G257" i="54" s="1"/>
  <c r="G243" i="54"/>
  <c r="G254" i="54" s="1"/>
  <c r="F102" i="56"/>
  <c r="J8" i="60" l="1"/>
  <c r="J41" i="60"/>
  <c r="J40" i="60"/>
  <c r="J37" i="60"/>
  <c r="J38" i="60" s="1"/>
  <c r="J39" i="60" s="1"/>
  <c r="K8" i="60"/>
  <c r="K41" i="60"/>
  <c r="K40" i="60"/>
  <c r="K37" i="60"/>
  <c r="K38" i="60" s="1"/>
  <c r="K39" i="60" s="1"/>
  <c r="K7" i="58"/>
  <c r="K7" i="59"/>
  <c r="H68" i="59"/>
  <c r="H160" i="59"/>
  <c r="H170" i="59" s="1"/>
  <c r="J7" i="58"/>
  <c r="J7" i="59"/>
  <c r="I84" i="59"/>
  <c r="J82" i="58"/>
  <c r="J160" i="58"/>
  <c r="K82" i="58"/>
  <c r="K160" i="58"/>
  <c r="I161" i="58"/>
  <c r="I162" i="58"/>
  <c r="H163" i="58"/>
  <c r="F116" i="56"/>
  <c r="F111" i="56"/>
  <c r="F115" i="56"/>
  <c r="F108" i="56"/>
  <c r="G163" i="58"/>
  <c r="F90" i="59"/>
  <c r="F89" i="59"/>
  <c r="F88" i="59"/>
  <c r="F87" i="59"/>
  <c r="F86" i="59"/>
  <c r="F85" i="59"/>
  <c r="AH90" i="59"/>
  <c r="AH89" i="59"/>
  <c r="AH88" i="59"/>
  <c r="AI87" i="59"/>
  <c r="AH87" i="59"/>
  <c r="AG87" i="59"/>
  <c r="AH86" i="59"/>
  <c r="AI85" i="59"/>
  <c r="AH85" i="59"/>
  <c r="AG85" i="59"/>
  <c r="N91" i="59" l="1"/>
  <c r="N163" i="59" s="1"/>
  <c r="N153" i="59" s="1"/>
  <c r="I92" i="59"/>
  <c r="O92" i="59"/>
  <c r="O164" i="59" s="1"/>
  <c r="O154" i="59" s="1"/>
  <c r="L91" i="59"/>
  <c r="L163" i="59" s="1"/>
  <c r="L153" i="59" s="1"/>
  <c r="J92" i="59"/>
  <c r="K92" i="59"/>
  <c r="M91" i="59"/>
  <c r="M163" i="59" s="1"/>
  <c r="M153" i="59" s="1"/>
  <c r="J91" i="59"/>
  <c r="H91" i="59"/>
  <c r="L92" i="59"/>
  <c r="L164" i="59" s="1"/>
  <c r="L154" i="59" s="1"/>
  <c r="O91" i="59"/>
  <c r="O163" i="59" s="1"/>
  <c r="O153" i="59" s="1"/>
  <c r="K91" i="59"/>
  <c r="I91" i="59"/>
  <c r="M92" i="59"/>
  <c r="M164" i="59" s="1"/>
  <c r="M154" i="59" s="1"/>
  <c r="H92" i="59"/>
  <c r="N92" i="59"/>
  <c r="N164" i="59" s="1"/>
  <c r="N154" i="59" s="1"/>
  <c r="K84" i="59"/>
  <c r="I68" i="59"/>
  <c r="I160" i="59"/>
  <c r="I170" i="59" s="1"/>
  <c r="J84" i="59"/>
  <c r="I163" i="58"/>
  <c r="I40" i="58" s="1"/>
  <c r="K162" i="58"/>
  <c r="K161" i="58"/>
  <c r="J162" i="58"/>
  <c r="J161" i="58"/>
  <c r="H40" i="58"/>
  <c r="H218" i="58"/>
  <c r="H208" i="58" s="1"/>
  <c r="H217" i="58"/>
  <c r="H207" i="58" s="1"/>
  <c r="H220" i="58"/>
  <c r="H210" i="58" s="1"/>
  <c r="G92" i="59"/>
  <c r="G91" i="59"/>
  <c r="F117" i="56"/>
  <c r="F120" i="56"/>
  <c r="G218" i="58"/>
  <c r="G208" i="58" s="1"/>
  <c r="G217" i="58"/>
  <c r="G207" i="58" s="1"/>
  <c r="G220" i="58"/>
  <c r="G210" i="58" s="1"/>
  <c r="F92" i="59"/>
  <c r="AE90" i="59"/>
  <c r="F91" i="59"/>
  <c r="AE86" i="59"/>
  <c r="AE88" i="59"/>
  <c r="AE87" i="59"/>
  <c r="AE85" i="59"/>
  <c r="I217" i="58" l="1"/>
  <c r="I207" i="58" s="1"/>
  <c r="I220" i="58"/>
  <c r="I210" i="58" s="1"/>
  <c r="I218" i="58"/>
  <c r="I208" i="58" s="1"/>
  <c r="J68" i="59"/>
  <c r="J160" i="59"/>
  <c r="J170" i="59" s="1"/>
  <c r="K68" i="59"/>
  <c r="K160" i="59"/>
  <c r="K170" i="59" s="1"/>
  <c r="K163" i="58"/>
  <c r="K40" i="58" s="1"/>
  <c r="J163" i="58"/>
  <c r="AF85" i="59"/>
  <c r="AF90" i="59"/>
  <c r="AF87" i="59"/>
  <c r="AF86" i="59"/>
  <c r="AF88" i="59"/>
  <c r="K220" i="58" l="1"/>
  <c r="K210" i="58" s="1"/>
  <c r="K217" i="58"/>
  <c r="K207" i="58" s="1"/>
  <c r="K218" i="58"/>
  <c r="K208" i="58" s="1"/>
  <c r="J40" i="58"/>
  <c r="J218" i="58"/>
  <c r="J208" i="58" s="1"/>
  <c r="J217" i="58"/>
  <c r="J207" i="58" s="1"/>
  <c r="J220" i="58"/>
  <c r="J210" i="58" s="1"/>
  <c r="F5" i="156" l="1"/>
  <c r="G5" i="156" s="1"/>
  <c r="I5" i="156" s="1"/>
  <c r="F6" i="156"/>
  <c r="G6" i="156" s="1"/>
  <c r="H6" i="156"/>
  <c r="F7" i="156"/>
  <c r="G7" i="156"/>
  <c r="H7" i="156"/>
  <c r="F8" i="156"/>
  <c r="G8" i="156" s="1"/>
  <c r="F9" i="156"/>
  <c r="G9" i="156"/>
  <c r="H9" i="156"/>
  <c r="F10" i="156"/>
  <c r="G10" i="156" s="1"/>
  <c r="H10" i="156"/>
  <c r="F11" i="156"/>
  <c r="G11" i="156"/>
  <c r="H11" i="156"/>
  <c r="F12" i="156"/>
  <c r="G12" i="156"/>
  <c r="H12" i="156"/>
  <c r="F13" i="156"/>
  <c r="G13" i="156"/>
  <c r="H13" i="156"/>
  <c r="F14" i="156"/>
  <c r="G14" i="156" s="1"/>
  <c r="H14" i="156"/>
  <c r="F15" i="156"/>
  <c r="G15" i="156"/>
  <c r="H15" i="156"/>
  <c r="F16" i="156"/>
  <c r="G16" i="156" s="1"/>
  <c r="H16" i="156"/>
  <c r="F17" i="156"/>
  <c r="G17" i="156"/>
  <c r="H17" i="156"/>
  <c r="F18" i="156"/>
  <c r="G18" i="156"/>
  <c r="H18" i="156"/>
  <c r="F19" i="156"/>
  <c r="H19" i="156" s="1"/>
  <c r="G19" i="156"/>
  <c r="F20" i="156"/>
  <c r="G20" i="156"/>
  <c r="H20" i="156"/>
  <c r="F21" i="156"/>
  <c r="G21" i="156"/>
  <c r="H21" i="156"/>
  <c r="F22" i="156"/>
  <c r="G22" i="156" s="1"/>
  <c r="H22" i="156"/>
  <c r="F23" i="156"/>
  <c r="H23" i="156" s="1"/>
  <c r="F24" i="156"/>
  <c r="G24" i="156" s="1"/>
  <c r="F25" i="156"/>
  <c r="G25" i="156"/>
  <c r="H25" i="156"/>
  <c r="F26" i="156"/>
  <c r="G26" i="156"/>
  <c r="H26" i="156"/>
  <c r="F27" i="156"/>
  <c r="G27" i="156" s="1"/>
  <c r="F28" i="156"/>
  <c r="G28" i="156" s="1"/>
  <c r="H28" i="156"/>
  <c r="F29" i="156"/>
  <c r="G29" i="156" s="1"/>
  <c r="F30" i="156"/>
  <c r="G30" i="156"/>
  <c r="H30" i="156"/>
  <c r="F31" i="156"/>
  <c r="G31" i="156"/>
  <c r="H31" i="156"/>
  <c r="F32" i="156"/>
  <c r="G32" i="156"/>
  <c r="H32" i="156"/>
  <c r="F33" i="156"/>
  <c r="G33" i="156" s="1"/>
  <c r="H33" i="156"/>
  <c r="F34" i="156"/>
  <c r="G34" i="156" s="1"/>
  <c r="H34" i="156"/>
  <c r="F35" i="156"/>
  <c r="G35" i="156"/>
  <c r="H35" i="156"/>
  <c r="F36" i="156"/>
  <c r="G36" i="156" s="1"/>
  <c r="H36" i="156"/>
  <c r="F37" i="156"/>
  <c r="G37" i="156"/>
  <c r="H37" i="156"/>
  <c r="F38" i="156"/>
  <c r="G38" i="156"/>
  <c r="H38" i="156"/>
  <c r="F39" i="156"/>
  <c r="G39" i="156"/>
  <c r="H39" i="156"/>
  <c r="F40" i="156"/>
  <c r="G40" i="156"/>
  <c r="H40" i="156"/>
  <c r="F41" i="156"/>
  <c r="G41" i="156"/>
  <c r="H41" i="156"/>
  <c r="F42" i="156"/>
  <c r="G42" i="156"/>
  <c r="H42" i="156"/>
  <c r="I6" i="156" l="1"/>
  <c r="I7" i="156" s="1"/>
  <c r="I8" i="156" s="1"/>
  <c r="I9" i="156" s="1"/>
  <c r="I10" i="156" s="1"/>
  <c r="I11" i="156" s="1"/>
  <c r="I12" i="156" s="1"/>
  <c r="I13" i="156" s="1"/>
  <c r="I14" i="156" s="1"/>
  <c r="I15" i="156" s="1"/>
  <c r="I16" i="156" s="1"/>
  <c r="I17" i="156" s="1"/>
  <c r="I18" i="156" s="1"/>
  <c r="I19" i="156" s="1"/>
  <c r="I20" i="156" s="1"/>
  <c r="I21" i="156" s="1"/>
  <c r="I22" i="156" s="1"/>
  <c r="I23" i="156" s="1"/>
  <c r="I24" i="156" s="1"/>
  <c r="I25" i="156" s="1"/>
  <c r="I26" i="156" s="1"/>
  <c r="I27" i="156" s="1"/>
  <c r="I28" i="156" s="1"/>
  <c r="I29" i="156" s="1"/>
  <c r="I30" i="156" s="1"/>
  <c r="I31" i="156" s="1"/>
  <c r="I32" i="156" s="1"/>
  <c r="I33" i="156" s="1"/>
  <c r="I34" i="156" s="1"/>
  <c r="I35" i="156" s="1"/>
  <c r="I36" i="156" s="1"/>
  <c r="I37" i="156" s="1"/>
  <c r="I38" i="156" s="1"/>
  <c r="I39" i="156" s="1"/>
  <c r="I40" i="156" s="1"/>
  <c r="I41" i="156" s="1"/>
  <c r="I42" i="156" s="1"/>
  <c r="G23" i="156"/>
  <c r="H27" i="156"/>
  <c r="H8" i="156"/>
  <c r="H29" i="156"/>
  <c r="H5" i="156"/>
  <c r="J5" i="156" s="1"/>
  <c r="J6" i="156" s="1"/>
  <c r="J7" i="156" s="1"/>
  <c r="J8" i="156" s="1"/>
  <c r="J9" i="156" s="1"/>
  <c r="J10" i="156" s="1"/>
  <c r="J11" i="156" s="1"/>
  <c r="J12" i="156" s="1"/>
  <c r="J13" i="156" s="1"/>
  <c r="J14" i="156" s="1"/>
  <c r="J15" i="156" s="1"/>
  <c r="J16" i="156" s="1"/>
  <c r="J17" i="156" s="1"/>
  <c r="J18" i="156" s="1"/>
  <c r="J19" i="156" s="1"/>
  <c r="J20" i="156" s="1"/>
  <c r="J21" i="156" s="1"/>
  <c r="J22" i="156" s="1"/>
  <c r="J23" i="156" s="1"/>
  <c r="J24" i="156" s="1"/>
  <c r="J25" i="156" s="1"/>
  <c r="J26" i="156" s="1"/>
  <c r="J27" i="156" s="1"/>
  <c r="J28" i="156" s="1"/>
  <c r="J29" i="156" s="1"/>
  <c r="J30" i="156" s="1"/>
  <c r="J31" i="156" s="1"/>
  <c r="J32" i="156" s="1"/>
  <c r="J33" i="156" s="1"/>
  <c r="J34" i="156" s="1"/>
  <c r="J35" i="156" s="1"/>
  <c r="J36" i="156" s="1"/>
  <c r="J37" i="156" s="1"/>
  <c r="J38" i="156" s="1"/>
  <c r="J39" i="156" s="1"/>
  <c r="J40" i="156" s="1"/>
  <c r="J41" i="156" s="1"/>
  <c r="J42" i="156" s="1"/>
  <c r="H24" i="156"/>
  <c r="AE89" i="59" l="1"/>
  <c r="AE91" i="59" l="1"/>
  <c r="AF91" i="59" s="1"/>
  <c r="AF89" i="59"/>
  <c r="AE92" i="59"/>
  <c r="AF92" i="59" s="1"/>
  <c r="B3" i="120" l="1"/>
  <c r="B4" i="120"/>
  <c r="C8" i="120"/>
  <c r="B8" i="120"/>
  <c r="A90" i="78" l="1"/>
  <c r="C20" i="120"/>
  <c r="D90" i="78" l="1"/>
  <c r="G90" i="78"/>
  <c r="E90" i="78"/>
  <c r="C18" i="12" l="1"/>
  <c r="D154" i="43" l="1"/>
  <c r="D153" i="43"/>
  <c r="D152" i="43"/>
  <c r="D151" i="43"/>
  <c r="D150" i="43"/>
  <c r="D149" i="43"/>
  <c r="D148" i="43"/>
  <c r="D147" i="43"/>
  <c r="D146" i="43"/>
  <c r="D145" i="43"/>
  <c r="D144" i="43"/>
  <c r="D143" i="43"/>
  <c r="D23" i="43"/>
  <c r="D21" i="43"/>
  <c r="D19" i="43"/>
  <c r="D5" i="43" a="1"/>
  <c r="D7" i="43" a="1"/>
  <c r="D4" i="43" a="1"/>
  <c r="D6" i="43" a="1"/>
  <c r="D7" i="43" l="1"/>
  <c r="D8" i="43" s="1"/>
  <c r="D5" i="43"/>
  <c r="D6" i="43"/>
  <c r="D4" i="43"/>
  <c r="N145" i="54"/>
  <c r="Q161" i="54" l="1"/>
  <c r="K73" i="39" l="1"/>
  <c r="L77" i="39" l="1"/>
  <c r="M77" i="39"/>
  <c r="N77" i="39"/>
  <c r="B3" i="121" l="1"/>
  <c r="H2" i="39" l="1"/>
  <c r="G2" i="39"/>
  <c r="W9" i="39"/>
  <c r="V9" i="39"/>
  <c r="U9" i="39"/>
  <c r="T9" i="39"/>
  <c r="S9" i="39"/>
  <c r="R9" i="39"/>
  <c r="Q9" i="39"/>
  <c r="P9" i="39"/>
  <c r="O9" i="39"/>
  <c r="W13" i="39"/>
  <c r="V13" i="39"/>
  <c r="U13" i="39"/>
  <c r="T13" i="39"/>
  <c r="S13" i="39"/>
  <c r="R13" i="39"/>
  <c r="Q13" i="39"/>
  <c r="P13" i="39"/>
  <c r="O13" i="39"/>
  <c r="W17" i="39"/>
  <c r="V17" i="39"/>
  <c r="U17" i="39"/>
  <c r="T17" i="39"/>
  <c r="S17" i="39"/>
  <c r="R17" i="39"/>
  <c r="Q17" i="39"/>
  <c r="P17" i="39"/>
  <c r="O17" i="39"/>
  <c r="W21" i="39"/>
  <c r="V21" i="39"/>
  <c r="U21" i="39"/>
  <c r="T21" i="39"/>
  <c r="S21" i="39"/>
  <c r="R21" i="39"/>
  <c r="Q21" i="39"/>
  <c r="P21" i="39"/>
  <c r="O21" i="39"/>
  <c r="W25" i="39"/>
  <c r="V25" i="39"/>
  <c r="U25" i="39"/>
  <c r="T25" i="39"/>
  <c r="S25" i="39"/>
  <c r="R25" i="39"/>
  <c r="Q25" i="39"/>
  <c r="P25" i="39"/>
  <c r="O25" i="39"/>
  <c r="W29" i="39"/>
  <c r="V29" i="39"/>
  <c r="U29" i="39"/>
  <c r="T29" i="39"/>
  <c r="S29" i="39"/>
  <c r="R29" i="39"/>
  <c r="Q29" i="39"/>
  <c r="P29" i="39"/>
  <c r="O29" i="39"/>
  <c r="W33" i="39"/>
  <c r="V33" i="39"/>
  <c r="U33" i="39"/>
  <c r="T33" i="39"/>
  <c r="S33" i="39"/>
  <c r="R33" i="39"/>
  <c r="Q33" i="39"/>
  <c r="P33" i="39"/>
  <c r="O33" i="39"/>
  <c r="W37" i="39"/>
  <c r="V37" i="39"/>
  <c r="U37" i="39"/>
  <c r="T37" i="39"/>
  <c r="S37" i="39"/>
  <c r="R37" i="39"/>
  <c r="Q37" i="39"/>
  <c r="P37" i="39"/>
  <c r="O37" i="39"/>
  <c r="W41" i="39"/>
  <c r="V41" i="39"/>
  <c r="U41" i="39"/>
  <c r="T41" i="39"/>
  <c r="S41" i="39"/>
  <c r="R41" i="39"/>
  <c r="Q41" i="39"/>
  <c r="P41" i="39"/>
  <c r="O41" i="39"/>
  <c r="W45" i="39"/>
  <c r="V45" i="39"/>
  <c r="U45" i="39"/>
  <c r="T45" i="39"/>
  <c r="S45" i="39"/>
  <c r="R45" i="39"/>
  <c r="Q45" i="39"/>
  <c r="P45" i="39"/>
  <c r="O45" i="39"/>
  <c r="W49" i="39"/>
  <c r="V49" i="39"/>
  <c r="U49" i="39"/>
  <c r="T49" i="39"/>
  <c r="S49" i="39"/>
  <c r="R49" i="39"/>
  <c r="Q49" i="39"/>
  <c r="P49" i="39"/>
  <c r="O49" i="39"/>
  <c r="W53" i="39"/>
  <c r="V53" i="39"/>
  <c r="U53" i="39"/>
  <c r="T53" i="39"/>
  <c r="S53" i="39"/>
  <c r="R53" i="39"/>
  <c r="Q53" i="39"/>
  <c r="P53" i="39"/>
  <c r="O53" i="39"/>
  <c r="W57" i="39"/>
  <c r="V57" i="39"/>
  <c r="U57" i="39"/>
  <c r="T57" i="39"/>
  <c r="S57" i="39"/>
  <c r="R57" i="39"/>
  <c r="Q57" i="39"/>
  <c r="P57" i="39"/>
  <c r="O57" i="39"/>
  <c r="W61" i="39"/>
  <c r="V61" i="39"/>
  <c r="U61" i="39"/>
  <c r="T61" i="39"/>
  <c r="S61" i="39"/>
  <c r="R61" i="39"/>
  <c r="Q61" i="39"/>
  <c r="P61" i="39"/>
  <c r="O61" i="39"/>
  <c r="W65" i="39"/>
  <c r="V65" i="39"/>
  <c r="U65" i="39"/>
  <c r="T65" i="39"/>
  <c r="S65" i="39"/>
  <c r="R65" i="39"/>
  <c r="Q65" i="39"/>
  <c r="P65" i="39"/>
  <c r="O65" i="39"/>
  <c r="W69" i="39"/>
  <c r="V69" i="39"/>
  <c r="U69" i="39"/>
  <c r="T69" i="39"/>
  <c r="S69" i="39"/>
  <c r="R69" i="39"/>
  <c r="Q69" i="39"/>
  <c r="P69" i="39"/>
  <c r="O69" i="39"/>
  <c r="W73" i="39"/>
  <c r="V73" i="39"/>
  <c r="U73" i="39"/>
  <c r="T73" i="39"/>
  <c r="S73" i="39"/>
  <c r="R73" i="39"/>
  <c r="Q73" i="39"/>
  <c r="P73" i="39"/>
  <c r="O73" i="39"/>
  <c r="W77" i="39"/>
  <c r="V77" i="39"/>
  <c r="U77" i="39"/>
  <c r="T77" i="39"/>
  <c r="S77" i="39"/>
  <c r="R77" i="39"/>
  <c r="Q77" i="39"/>
  <c r="P77" i="39"/>
  <c r="O77" i="39"/>
  <c r="W81" i="39"/>
  <c r="V81" i="39"/>
  <c r="U81" i="39"/>
  <c r="T81" i="39"/>
  <c r="S81" i="39"/>
  <c r="R81" i="39"/>
  <c r="Q81" i="39"/>
  <c r="P81" i="39"/>
  <c r="O81" i="39"/>
  <c r="H790" i="12"/>
  <c r="B2" i="120"/>
  <c r="B1" i="120"/>
  <c r="C4" i="120"/>
  <c r="C7" i="120" l="1"/>
  <c r="E630" i="120" l="1"/>
  <c r="G31" i="132" l="1"/>
  <c r="I11" i="132"/>
  <c r="I13" i="132" s="1"/>
  <c r="I5" i="132"/>
  <c r="I7" i="132" s="1"/>
  <c r="I25" i="132"/>
  <c r="I23" i="132"/>
  <c r="G25" i="132"/>
  <c r="G23" i="132"/>
  <c r="G5" i="132"/>
  <c r="G7" i="132" s="1"/>
  <c r="M85" i="56" l="1"/>
  <c r="N85" i="56" s="1"/>
  <c r="H132" i="12" l="1"/>
  <c r="J35" i="132" l="1"/>
  <c r="K35" i="132" s="1"/>
  <c r="J44" i="132"/>
  <c r="K44" i="132" s="1"/>
  <c r="J43" i="132"/>
  <c r="H343" i="12" s="1"/>
  <c r="L49" i="132"/>
  <c r="E344" i="120"/>
  <c r="B344" i="120"/>
  <c r="E343" i="120"/>
  <c r="B343" i="120"/>
  <c r="E296" i="120"/>
  <c r="B16" i="119"/>
  <c r="G344" i="120" l="1"/>
  <c r="I344" i="120" s="1"/>
  <c r="F344" i="120"/>
  <c r="D344" i="120"/>
  <c r="C344" i="120"/>
  <c r="G343" i="120"/>
  <c r="I343" i="120" s="1"/>
  <c r="F343" i="120"/>
  <c r="D343" i="120"/>
  <c r="C343" i="120"/>
  <c r="E173" i="12"/>
  <c r="E440" i="12"/>
  <c r="E405" i="12"/>
  <c r="H344" i="12"/>
  <c r="K43" i="132"/>
  <c r="E352" i="120" l="1"/>
  <c r="E351" i="120"/>
  <c r="M391" i="120"/>
  <c r="E391" i="120"/>
  <c r="B391" i="120"/>
  <c r="G391" i="120" l="1"/>
  <c r="I391" i="120" s="1"/>
  <c r="F391" i="120"/>
  <c r="D391" i="120"/>
  <c r="C391" i="120"/>
  <c r="J87" i="132" l="1"/>
  <c r="K87" i="132" s="1"/>
  <c r="J86" i="132"/>
  <c r="K86" i="132" s="1"/>
  <c r="J85" i="132"/>
  <c r="K85" i="132" s="1"/>
  <c r="H391" i="12" l="1"/>
  <c r="H391" i="120" s="1"/>
  <c r="J391" i="120" s="1"/>
  <c r="H390" i="12"/>
  <c r="G39" i="154"/>
  <c r="G44" i="154"/>
  <c r="I44" i="154"/>
  <c r="F49" i="154"/>
  <c r="G82" i="154"/>
  <c r="G87" i="154"/>
  <c r="F92" i="154"/>
  <c r="C124" i="154"/>
  <c r="D124" i="154"/>
  <c r="E124" i="154"/>
  <c r="C129" i="154"/>
  <c r="D129" i="154" s="1"/>
  <c r="C134" i="154"/>
  <c r="D134" i="154" s="1"/>
  <c r="E134" i="154"/>
  <c r="E139" i="154"/>
  <c r="F139" i="154"/>
  <c r="C164" i="154"/>
  <c r="F619" i="154" s="1"/>
  <c r="G619" i="154" s="1"/>
  <c r="D164" i="154"/>
  <c r="E164" i="154"/>
  <c r="C169" i="154"/>
  <c r="F624" i="154" s="1"/>
  <c r="D169" i="154"/>
  <c r="E169" i="154"/>
  <c r="C174" i="154"/>
  <c r="D174" i="154" s="1"/>
  <c r="E179" i="154"/>
  <c r="F179" i="154"/>
  <c r="E208" i="154"/>
  <c r="B212" i="154"/>
  <c r="C212" i="154"/>
  <c r="D212" i="154"/>
  <c r="E212" i="154"/>
  <c r="G212" i="154" s="1"/>
  <c r="F212" i="154"/>
  <c r="E236" i="154"/>
  <c r="E240" i="154" s="1"/>
  <c r="G240" i="154" s="1"/>
  <c r="I236" i="154"/>
  <c r="B240" i="154"/>
  <c r="C240" i="154"/>
  <c r="D240" i="154"/>
  <c r="F240" i="154"/>
  <c r="D263" i="154"/>
  <c r="E263" i="154"/>
  <c r="A283" i="154"/>
  <c r="B283" i="154"/>
  <c r="E300" i="154"/>
  <c r="F300" i="154"/>
  <c r="B321" i="154" s="1"/>
  <c r="E316" i="154"/>
  <c r="F316" i="154"/>
  <c r="B396" i="154"/>
  <c r="C396" i="154"/>
  <c r="D396" i="154"/>
  <c r="F413" i="154"/>
  <c r="C417" i="154" s="1"/>
  <c r="B417" i="154"/>
  <c r="E434" i="154"/>
  <c r="F434" i="154"/>
  <c r="B459" i="154"/>
  <c r="C459" i="154"/>
  <c r="E476" i="154"/>
  <c r="F476" i="154"/>
  <c r="E498" i="154"/>
  <c r="J502" i="154" s="1"/>
  <c r="B502" i="154"/>
  <c r="C502" i="154"/>
  <c r="B531" i="154"/>
  <c r="C531" i="154"/>
  <c r="D531" i="154"/>
  <c r="F572" i="154"/>
  <c r="G572" i="154" s="1"/>
  <c r="I572" i="154"/>
  <c r="J572" i="154"/>
  <c r="K572" i="154"/>
  <c r="J576" i="154"/>
  <c r="E582" i="154"/>
  <c r="F582" i="154" s="1"/>
  <c r="E659" i="154"/>
  <c r="G659" i="154" s="1"/>
  <c r="E629" i="154" l="1"/>
  <c r="F629" i="154" s="1"/>
  <c r="C97" i="154"/>
  <c r="E97" i="154" s="1"/>
  <c r="E174" i="154"/>
  <c r="C184" i="154"/>
  <c r="A321" i="154"/>
  <c r="F577" i="154"/>
  <c r="G577" i="154" s="1"/>
  <c r="C633" i="154" s="1"/>
  <c r="E129" i="154"/>
  <c r="D184" i="154" s="1"/>
  <c r="I502" i="154"/>
  <c r="N81" i="39" l="1"/>
  <c r="N73" i="39"/>
  <c r="N69" i="39"/>
  <c r="N65" i="39"/>
  <c r="N61" i="39"/>
  <c r="N57" i="39"/>
  <c r="N53" i="39"/>
  <c r="N49" i="39"/>
  <c r="N45" i="39"/>
  <c r="N41" i="39"/>
  <c r="N37" i="39"/>
  <c r="N33" i="39"/>
  <c r="N29" i="39"/>
  <c r="N25" i="39"/>
  <c r="N21" i="39"/>
  <c r="N17" i="39"/>
  <c r="N13" i="39"/>
  <c r="N9" i="39"/>
  <c r="E372" i="120"/>
  <c r="B372" i="120"/>
  <c r="E330" i="120"/>
  <c r="B330" i="120"/>
  <c r="E326" i="120"/>
  <c r="B326" i="120"/>
  <c r="E323" i="120"/>
  <c r="B323" i="120"/>
  <c r="E312" i="120"/>
  <c r="B312" i="120"/>
  <c r="E306" i="120"/>
  <c r="B306" i="120"/>
  <c r="E301" i="120"/>
  <c r="B301" i="120"/>
  <c r="E299" i="120"/>
  <c r="B299" i="120"/>
  <c r="E298" i="120"/>
  <c r="B298" i="120"/>
  <c r="B296" i="120"/>
  <c r="E295" i="120"/>
  <c r="B295" i="120"/>
  <c r="B292" i="120"/>
  <c r="E277" i="120"/>
  <c r="B277" i="120"/>
  <c r="E273" i="120"/>
  <c r="B273" i="120"/>
  <c r="E272" i="120"/>
  <c r="B272" i="120"/>
  <c r="E271" i="120"/>
  <c r="B271" i="120"/>
  <c r="E270" i="120"/>
  <c r="B270" i="120"/>
  <c r="E269" i="120"/>
  <c r="B269" i="120"/>
  <c r="E264" i="120"/>
  <c r="B264" i="120"/>
  <c r="E261" i="120"/>
  <c r="B261" i="120"/>
  <c r="E260" i="120"/>
  <c r="B260" i="120"/>
  <c r="E259" i="120"/>
  <c r="B259" i="120"/>
  <c r="E255" i="120"/>
  <c r="B255" i="120"/>
  <c r="E253" i="120"/>
  <c r="B253" i="120"/>
  <c r="E252" i="120"/>
  <c r="B252" i="120"/>
  <c r="E248" i="120"/>
  <c r="B248" i="120"/>
  <c r="E247" i="120"/>
  <c r="B247" i="120"/>
  <c r="E246" i="120"/>
  <c r="B246" i="120"/>
  <c r="E245" i="120"/>
  <c r="B245" i="120"/>
  <c r="E234" i="120"/>
  <c r="B234" i="120"/>
  <c r="E223" i="120"/>
  <c r="B223" i="120"/>
  <c r="E222" i="120"/>
  <c r="B222" i="120"/>
  <c r="E220" i="120"/>
  <c r="B220" i="120"/>
  <c r="E219" i="120"/>
  <c r="B219" i="120"/>
  <c r="E216" i="120"/>
  <c r="B216" i="120"/>
  <c r="E214" i="120"/>
  <c r="B214" i="120"/>
  <c r="E213" i="120"/>
  <c r="B213" i="120"/>
  <c r="E211" i="120"/>
  <c r="B211" i="120"/>
  <c r="E210" i="120"/>
  <c r="B210" i="120"/>
  <c r="E207" i="120"/>
  <c r="B207" i="120"/>
  <c r="E206" i="120"/>
  <c r="B206" i="120"/>
  <c r="E205" i="120"/>
  <c r="B205" i="120"/>
  <c r="E204" i="120"/>
  <c r="B204" i="120"/>
  <c r="E203" i="120"/>
  <c r="B203" i="120"/>
  <c r="E202" i="120"/>
  <c r="B202" i="120"/>
  <c r="E196" i="120"/>
  <c r="B196" i="120"/>
  <c r="E190" i="120"/>
  <c r="B190" i="120"/>
  <c r="E189" i="120"/>
  <c r="B189" i="120"/>
  <c r="E188" i="120"/>
  <c r="B188" i="120"/>
  <c r="E187" i="120"/>
  <c r="B187" i="120"/>
  <c r="E185" i="120"/>
  <c r="B185" i="120"/>
  <c r="E184" i="120"/>
  <c r="B184" i="120"/>
  <c r="M174" i="120"/>
  <c r="M170" i="120"/>
  <c r="M169" i="120"/>
  <c r="B171" i="120"/>
  <c r="E169" i="120"/>
  <c r="E161" i="120"/>
  <c r="B161" i="120"/>
  <c r="E159" i="120"/>
  <c r="B159" i="120"/>
  <c r="E151" i="120"/>
  <c r="B151" i="120"/>
  <c r="E149" i="120"/>
  <c r="B149" i="120"/>
  <c r="E148" i="120"/>
  <c r="B148" i="120"/>
  <c r="E146" i="120"/>
  <c r="B146" i="120"/>
  <c r="E143" i="120"/>
  <c r="B143" i="120"/>
  <c r="E141" i="120"/>
  <c r="B141" i="120"/>
  <c r="E140" i="120"/>
  <c r="B140" i="120"/>
  <c r="E139" i="120"/>
  <c r="B139" i="120"/>
  <c r="E138" i="120"/>
  <c r="B138" i="120"/>
  <c r="E136" i="120"/>
  <c r="B136" i="120"/>
  <c r="E135" i="120"/>
  <c r="B135" i="120"/>
  <c r="E124" i="120"/>
  <c r="B124" i="120"/>
  <c r="E121" i="120"/>
  <c r="B121" i="120"/>
  <c r="E119" i="120"/>
  <c r="B119" i="120"/>
  <c r="E111" i="120"/>
  <c r="B111" i="120"/>
  <c r="E109" i="120"/>
  <c r="B109" i="120"/>
  <c r="E108" i="120"/>
  <c r="B108" i="120"/>
  <c r="E106" i="120"/>
  <c r="B106" i="120"/>
  <c r="M97" i="120"/>
  <c r="E101" i="120"/>
  <c r="B101" i="120"/>
  <c r="B98" i="120"/>
  <c r="M93" i="120"/>
  <c r="E90" i="120"/>
  <c r="B90" i="120"/>
  <c r="E88" i="120"/>
  <c r="B88" i="120"/>
  <c r="E86" i="120"/>
  <c r="B86" i="120"/>
  <c r="E85" i="120"/>
  <c r="B85" i="120"/>
  <c r="E84" i="120"/>
  <c r="B84" i="120"/>
  <c r="E82" i="120"/>
  <c r="B82" i="120"/>
  <c r="E81" i="120"/>
  <c r="B81" i="120"/>
  <c r="E80" i="120"/>
  <c r="B80" i="120"/>
  <c r="E79" i="120"/>
  <c r="B79" i="120"/>
  <c r="E78" i="120"/>
  <c r="B78" i="120"/>
  <c r="E77" i="120"/>
  <c r="B77" i="120"/>
  <c r="E74" i="120"/>
  <c r="B74" i="120"/>
  <c r="E73" i="120"/>
  <c r="B73" i="120"/>
  <c r="E71" i="120"/>
  <c r="B71" i="120"/>
  <c r="E65" i="120"/>
  <c r="B65" i="120"/>
  <c r="M60" i="120"/>
  <c r="M58" i="120"/>
  <c r="M57" i="120"/>
  <c r="B60" i="120"/>
  <c r="A60" i="120"/>
  <c r="B58" i="120"/>
  <c r="A58" i="120"/>
  <c r="B56" i="120"/>
  <c r="B55" i="120"/>
  <c r="B54" i="120"/>
  <c r="B53" i="120"/>
  <c r="B52" i="120"/>
  <c r="B50" i="120"/>
  <c r="B49" i="120"/>
  <c r="B48" i="120"/>
  <c r="B47" i="120"/>
  <c r="B46" i="120"/>
  <c r="B45" i="120"/>
  <c r="B44" i="120"/>
  <c r="B43" i="120"/>
  <c r="B42" i="120"/>
  <c r="B41" i="120"/>
  <c r="B40" i="120"/>
  <c r="B39" i="120"/>
  <c r="B35" i="120"/>
  <c r="B7" i="120"/>
  <c r="B2" i="155"/>
  <c r="B6" i="120"/>
  <c r="G2" i="134" s="1"/>
  <c r="B5" i="120"/>
  <c r="P82" i="134"/>
  <c r="P81" i="134" s="1"/>
  <c r="O82" i="134"/>
  <c r="O81" i="134" s="1"/>
  <c r="N82" i="134"/>
  <c r="N81" i="134" s="1"/>
  <c r="M82" i="134"/>
  <c r="L82" i="134"/>
  <c r="K82" i="134"/>
  <c r="J82" i="134"/>
  <c r="I82" i="134"/>
  <c r="H82" i="134"/>
  <c r="G82" i="134"/>
  <c r="F82" i="134"/>
  <c r="P78" i="134"/>
  <c r="P77" i="134" s="1"/>
  <c r="O77" i="134"/>
  <c r="N77" i="134"/>
  <c r="P74" i="134"/>
  <c r="P73" i="134" s="1"/>
  <c r="O73" i="134"/>
  <c r="N74" i="134"/>
  <c r="N73" i="134" s="1"/>
  <c r="L74" i="134"/>
  <c r="K74" i="134"/>
  <c r="J74" i="134"/>
  <c r="I74" i="134"/>
  <c r="H74" i="134"/>
  <c r="G74" i="134"/>
  <c r="F74" i="134"/>
  <c r="P70" i="134"/>
  <c r="P69" i="134" s="1"/>
  <c r="O70" i="134"/>
  <c r="O69" i="134" s="1"/>
  <c r="N70" i="134"/>
  <c r="N69" i="134" s="1"/>
  <c r="M70" i="134"/>
  <c r="L70" i="134"/>
  <c r="K70" i="134"/>
  <c r="J70" i="134"/>
  <c r="I70" i="134"/>
  <c r="H70" i="134"/>
  <c r="G70" i="134"/>
  <c r="F70" i="134"/>
  <c r="P66" i="134"/>
  <c r="P65" i="134" s="1"/>
  <c r="O66" i="134"/>
  <c r="O65" i="134" s="1"/>
  <c r="N66" i="134"/>
  <c r="N65" i="134" s="1"/>
  <c r="M66" i="134"/>
  <c r="L66" i="134"/>
  <c r="K66" i="134"/>
  <c r="J66" i="134"/>
  <c r="I66" i="134"/>
  <c r="H66" i="134"/>
  <c r="G66" i="134"/>
  <c r="F66" i="134"/>
  <c r="P62" i="134"/>
  <c r="P61" i="134" s="1"/>
  <c r="O62" i="134"/>
  <c r="O61" i="134" s="1"/>
  <c r="N62" i="134"/>
  <c r="N61" i="134" s="1"/>
  <c r="M62" i="134"/>
  <c r="L62" i="134"/>
  <c r="K62" i="134"/>
  <c r="J62" i="134"/>
  <c r="I62" i="134"/>
  <c r="H62" i="134"/>
  <c r="G62" i="134"/>
  <c r="F62" i="134"/>
  <c r="P58" i="134"/>
  <c r="P57" i="134" s="1"/>
  <c r="O58" i="134"/>
  <c r="O57" i="134" s="1"/>
  <c r="N58" i="134"/>
  <c r="N57" i="134" s="1"/>
  <c r="M58" i="134"/>
  <c r="L58" i="134"/>
  <c r="K58" i="134"/>
  <c r="J58" i="134"/>
  <c r="I58" i="134"/>
  <c r="H58" i="134"/>
  <c r="G58" i="134"/>
  <c r="F58" i="134"/>
  <c r="P54" i="134"/>
  <c r="P53" i="134" s="1"/>
  <c r="O54" i="134"/>
  <c r="O53" i="134" s="1"/>
  <c r="N54" i="134"/>
  <c r="N53" i="134" s="1"/>
  <c r="M54" i="134"/>
  <c r="L54" i="134"/>
  <c r="K54" i="134"/>
  <c r="J54" i="134"/>
  <c r="I54" i="134"/>
  <c r="H54" i="134"/>
  <c r="G54" i="134"/>
  <c r="F54" i="134"/>
  <c r="P50" i="134"/>
  <c r="P49" i="134" s="1"/>
  <c r="O50" i="134"/>
  <c r="O49" i="134" s="1"/>
  <c r="N50" i="134"/>
  <c r="N49" i="134" s="1"/>
  <c r="M50" i="134"/>
  <c r="L50" i="134"/>
  <c r="K50" i="134"/>
  <c r="J50" i="134"/>
  <c r="I50" i="134"/>
  <c r="H50" i="134"/>
  <c r="G50" i="134"/>
  <c r="F50" i="134"/>
  <c r="P46" i="134"/>
  <c r="P45" i="134" s="1"/>
  <c r="O46" i="134"/>
  <c r="O45" i="134" s="1"/>
  <c r="N46" i="134"/>
  <c r="N45" i="134" s="1"/>
  <c r="M46" i="134"/>
  <c r="L46" i="134"/>
  <c r="K46" i="134"/>
  <c r="J46" i="134"/>
  <c r="I46" i="134"/>
  <c r="H46" i="134"/>
  <c r="G46" i="134"/>
  <c r="F46" i="134"/>
  <c r="P42" i="134"/>
  <c r="P41" i="134" s="1"/>
  <c r="O42" i="134"/>
  <c r="O41" i="134" s="1"/>
  <c r="N42" i="134"/>
  <c r="N41" i="134" s="1"/>
  <c r="M42" i="134"/>
  <c r="L42" i="134"/>
  <c r="K42" i="134"/>
  <c r="J42" i="134"/>
  <c r="I42" i="134"/>
  <c r="H42" i="134"/>
  <c r="G42" i="134"/>
  <c r="F42" i="134"/>
  <c r="P38" i="134"/>
  <c r="P37" i="134" s="1"/>
  <c r="O38" i="134"/>
  <c r="O37" i="134" s="1"/>
  <c r="N38" i="134"/>
  <c r="N37" i="134" s="1"/>
  <c r="M38" i="134"/>
  <c r="L38" i="134"/>
  <c r="K38" i="134"/>
  <c r="J38" i="134"/>
  <c r="I38" i="134"/>
  <c r="H38" i="134"/>
  <c r="G38" i="134"/>
  <c r="F38" i="134"/>
  <c r="P34" i="134"/>
  <c r="P33" i="134" s="1"/>
  <c r="O34" i="134"/>
  <c r="O33" i="134" s="1"/>
  <c r="N34" i="134"/>
  <c r="N33" i="134" s="1"/>
  <c r="M34" i="134"/>
  <c r="M33" i="134" s="1"/>
  <c r="L34" i="134"/>
  <c r="K34" i="134"/>
  <c r="J34" i="134"/>
  <c r="I34" i="134"/>
  <c r="H34" i="134"/>
  <c r="G34" i="134"/>
  <c r="F34" i="134"/>
  <c r="P30" i="134"/>
  <c r="P29" i="134" s="1"/>
  <c r="O30" i="134"/>
  <c r="O29" i="134" s="1"/>
  <c r="N30" i="134"/>
  <c r="N29" i="134" s="1"/>
  <c r="M30" i="134"/>
  <c r="L30" i="134"/>
  <c r="K30" i="134"/>
  <c r="J30" i="134"/>
  <c r="I30" i="134"/>
  <c r="H30" i="134"/>
  <c r="G30" i="134"/>
  <c r="F30" i="134"/>
  <c r="P26" i="134"/>
  <c r="P25" i="134" s="1"/>
  <c r="O26" i="134"/>
  <c r="O25" i="134" s="1"/>
  <c r="N26" i="134"/>
  <c r="N25" i="134" s="1"/>
  <c r="M26" i="134"/>
  <c r="L26" i="134"/>
  <c r="K26" i="134"/>
  <c r="J26" i="134"/>
  <c r="I26" i="134"/>
  <c r="H26" i="134"/>
  <c r="G26" i="134"/>
  <c r="F26" i="134"/>
  <c r="P22" i="134"/>
  <c r="P21" i="134" s="1"/>
  <c r="O22" i="134"/>
  <c r="O21" i="134" s="1"/>
  <c r="N22" i="134"/>
  <c r="N21" i="134" s="1"/>
  <c r="M22" i="134"/>
  <c r="L22" i="134"/>
  <c r="K22" i="134"/>
  <c r="J22" i="134"/>
  <c r="I22" i="134"/>
  <c r="H22" i="134"/>
  <c r="G22" i="134"/>
  <c r="F22" i="134"/>
  <c r="P18" i="134"/>
  <c r="P17" i="134" s="1"/>
  <c r="O18" i="134"/>
  <c r="O17" i="134" s="1"/>
  <c r="N18" i="134"/>
  <c r="N17" i="134" s="1"/>
  <c r="M18" i="134"/>
  <c r="L18" i="134"/>
  <c r="K18" i="134"/>
  <c r="J18" i="134"/>
  <c r="I18" i="134"/>
  <c r="H18" i="134"/>
  <c r="G18" i="134"/>
  <c r="F18" i="134"/>
  <c r="P14" i="134"/>
  <c r="P13" i="134" s="1"/>
  <c r="O14" i="134"/>
  <c r="O13" i="134" s="1"/>
  <c r="N14" i="134"/>
  <c r="N13" i="134" s="1"/>
  <c r="M14" i="134"/>
  <c r="L14" i="134"/>
  <c r="K14" i="134"/>
  <c r="J14" i="134"/>
  <c r="I14" i="134"/>
  <c r="H14" i="134"/>
  <c r="G14" i="134"/>
  <c r="F14" i="134"/>
  <c r="P10" i="134"/>
  <c r="P9" i="134" s="1"/>
  <c r="O10" i="134"/>
  <c r="O9" i="134" s="1"/>
  <c r="N10" i="134"/>
  <c r="N9" i="134" s="1"/>
  <c r="M10" i="134"/>
  <c r="L10" i="134"/>
  <c r="K10" i="134"/>
  <c r="J10" i="134"/>
  <c r="I10" i="134"/>
  <c r="H10" i="134"/>
  <c r="G10" i="134"/>
  <c r="F10" i="134"/>
  <c r="N14" i="55"/>
  <c r="T1" i="58"/>
  <c r="S1" i="58"/>
  <c r="Q1" i="58"/>
  <c r="T143" i="59"/>
  <c r="S143" i="59"/>
  <c r="Q143" i="59"/>
  <c r="T142" i="59"/>
  <c r="S142" i="59"/>
  <c r="Q142" i="59"/>
  <c r="T141" i="59"/>
  <c r="S141" i="59"/>
  <c r="Q141" i="59"/>
  <c r="T140" i="59"/>
  <c r="S140" i="59"/>
  <c r="Q140" i="59"/>
  <c r="T139" i="59"/>
  <c r="S139" i="59"/>
  <c r="Q139" i="59"/>
  <c r="T138" i="59"/>
  <c r="S138" i="59"/>
  <c r="Q138" i="59"/>
  <c r="T136" i="59"/>
  <c r="S136" i="59"/>
  <c r="Q136" i="59"/>
  <c r="T135" i="59"/>
  <c r="S135" i="59"/>
  <c r="Q135" i="59"/>
  <c r="T134" i="59"/>
  <c r="S134" i="59"/>
  <c r="Q134" i="59"/>
  <c r="T7" i="59"/>
  <c r="S7" i="59"/>
  <c r="Q7" i="59"/>
  <c r="S4" i="59"/>
  <c r="T3" i="59"/>
  <c r="S3" i="59"/>
  <c r="Q3" i="59"/>
  <c r="T1" i="59"/>
  <c r="S1" i="59"/>
  <c r="Q1" i="59"/>
  <c r="G1" i="62"/>
  <c r="F1" i="62"/>
  <c r="I4" i="87"/>
  <c r="I3" i="87"/>
  <c r="I76" i="153"/>
  <c r="H76" i="153"/>
  <c r="G76" i="153"/>
  <c r="L76" i="153" s="1"/>
  <c r="C76" i="153"/>
  <c r="B76" i="153"/>
  <c r="L38" i="153"/>
  <c r="K38" i="153"/>
  <c r="J38" i="153"/>
  <c r="I38" i="153"/>
  <c r="H38" i="153"/>
  <c r="G38" i="153"/>
  <c r="F38" i="153"/>
  <c r="E38" i="153"/>
  <c r="D38" i="153"/>
  <c r="C38" i="153"/>
  <c r="I32" i="153"/>
  <c r="J23" i="153"/>
  <c r="J22" i="153"/>
  <c r="J21" i="153"/>
  <c r="J20" i="153"/>
  <c r="J19" i="153"/>
  <c r="J18" i="153"/>
  <c r="J17" i="153"/>
  <c r="L14" i="153"/>
  <c r="J14" i="153"/>
  <c r="L13" i="153"/>
  <c r="J13" i="153"/>
  <c r="L12" i="153"/>
  <c r="J12" i="153"/>
  <c r="D64" i="43" a="1"/>
  <c r="E64" i="43" a="1"/>
  <c r="G48" i="120" l="1"/>
  <c r="F48" i="120"/>
  <c r="D48" i="120"/>
  <c r="C48" i="120"/>
  <c r="G140" i="120"/>
  <c r="F140" i="120"/>
  <c r="D140" i="120"/>
  <c r="C140" i="120"/>
  <c r="G35" i="120"/>
  <c r="F35" i="120"/>
  <c r="D35" i="120"/>
  <c r="C35" i="120"/>
  <c r="G50" i="120"/>
  <c r="F50" i="120"/>
  <c r="D50" i="120"/>
  <c r="C50" i="120"/>
  <c r="G106" i="120"/>
  <c r="F106" i="120"/>
  <c r="D106" i="120"/>
  <c r="N106" i="120"/>
  <c r="C106" i="120"/>
  <c r="G124" i="120"/>
  <c r="F124" i="120"/>
  <c r="D124" i="120"/>
  <c r="C124" i="120"/>
  <c r="C141" i="120"/>
  <c r="G141" i="120"/>
  <c r="F141" i="120"/>
  <c r="D141" i="120"/>
  <c r="C159" i="120"/>
  <c r="G159" i="120"/>
  <c r="F159" i="120"/>
  <c r="D159" i="120"/>
  <c r="G44" i="120"/>
  <c r="F44" i="120"/>
  <c r="D44" i="120"/>
  <c r="C44" i="120"/>
  <c r="G190" i="120"/>
  <c r="F190" i="120"/>
  <c r="D190" i="120"/>
  <c r="C190" i="120"/>
  <c r="N121" i="120"/>
  <c r="G121" i="120"/>
  <c r="F121" i="120"/>
  <c r="D121" i="120"/>
  <c r="C121" i="120"/>
  <c r="G39" i="120"/>
  <c r="F39" i="120"/>
  <c r="D39" i="120"/>
  <c r="C39" i="120"/>
  <c r="D52" i="120"/>
  <c r="C52" i="120"/>
  <c r="G52" i="120"/>
  <c r="F52" i="120"/>
  <c r="D65" i="120"/>
  <c r="C65" i="120"/>
  <c r="N65" i="120"/>
  <c r="G65" i="120"/>
  <c r="F65" i="120"/>
  <c r="G79" i="120"/>
  <c r="F79" i="120"/>
  <c r="D79" i="120"/>
  <c r="C79" i="120"/>
  <c r="G86" i="120"/>
  <c r="F86" i="120"/>
  <c r="D86" i="120"/>
  <c r="C86" i="120"/>
  <c r="G187" i="120"/>
  <c r="F187" i="120"/>
  <c r="D187" i="120"/>
  <c r="C187" i="120"/>
  <c r="C203" i="120"/>
  <c r="N203" i="120"/>
  <c r="G203" i="120"/>
  <c r="F203" i="120"/>
  <c r="D203" i="120"/>
  <c r="G211" i="120"/>
  <c r="F211" i="120"/>
  <c r="D211" i="120"/>
  <c r="C211" i="120"/>
  <c r="M211" i="120"/>
  <c r="G222" i="120"/>
  <c r="F222" i="120"/>
  <c r="N222" i="120"/>
  <c r="D222" i="120"/>
  <c r="C222" i="120"/>
  <c r="G248" i="120"/>
  <c r="F248" i="120"/>
  <c r="N248" i="120"/>
  <c r="D248" i="120"/>
  <c r="C248" i="120"/>
  <c r="G261" i="120"/>
  <c r="F261" i="120"/>
  <c r="D261" i="120"/>
  <c r="C261" i="120"/>
  <c r="N261" i="120"/>
  <c r="G273" i="120"/>
  <c r="F273" i="120"/>
  <c r="D273" i="120"/>
  <c r="C273" i="120"/>
  <c r="G301" i="120"/>
  <c r="F301" i="120"/>
  <c r="C301" i="120"/>
  <c r="D301" i="120"/>
  <c r="G372" i="120"/>
  <c r="F372" i="120"/>
  <c r="D372" i="120"/>
  <c r="C372" i="120"/>
  <c r="C111" i="120"/>
  <c r="N111" i="120"/>
  <c r="G111" i="120"/>
  <c r="F111" i="120"/>
  <c r="D111" i="120"/>
  <c r="G245" i="120"/>
  <c r="F245" i="120"/>
  <c r="D245" i="120"/>
  <c r="N245" i="120"/>
  <c r="C245" i="120"/>
  <c r="D40" i="120"/>
  <c r="C40" i="120"/>
  <c r="G40" i="120"/>
  <c r="F40" i="120"/>
  <c r="G53" i="120"/>
  <c r="F53" i="120"/>
  <c r="D53" i="120"/>
  <c r="C53" i="120"/>
  <c r="C108" i="120"/>
  <c r="N108" i="120"/>
  <c r="G108" i="120"/>
  <c r="F108" i="120"/>
  <c r="D108" i="120"/>
  <c r="C135" i="120"/>
  <c r="G135" i="120"/>
  <c r="F135" i="120"/>
  <c r="D135" i="120"/>
  <c r="M135" i="120"/>
  <c r="G143" i="120"/>
  <c r="F143" i="120"/>
  <c r="D143" i="120"/>
  <c r="C143" i="120"/>
  <c r="G161" i="120"/>
  <c r="F161" i="120"/>
  <c r="D161" i="120"/>
  <c r="C161" i="120"/>
  <c r="G54" i="120"/>
  <c r="F54" i="120"/>
  <c r="D54" i="120"/>
  <c r="C54" i="120"/>
  <c r="G88" i="120"/>
  <c r="F88" i="120"/>
  <c r="D88" i="120"/>
  <c r="C88" i="120"/>
  <c r="C188" i="120"/>
  <c r="G188" i="120"/>
  <c r="F188" i="120"/>
  <c r="D188" i="120"/>
  <c r="N204" i="120"/>
  <c r="G204" i="120"/>
  <c r="F204" i="120"/>
  <c r="D204" i="120"/>
  <c r="C204" i="120"/>
  <c r="M213" i="120"/>
  <c r="G213" i="120"/>
  <c r="F213" i="120"/>
  <c r="D213" i="120"/>
  <c r="C213" i="120"/>
  <c r="G264" i="120"/>
  <c r="F264" i="120"/>
  <c r="N264" i="120"/>
  <c r="D264" i="120"/>
  <c r="C264" i="120"/>
  <c r="D277" i="120"/>
  <c r="C277" i="120"/>
  <c r="G277" i="120"/>
  <c r="F277" i="120"/>
  <c r="D306" i="120"/>
  <c r="C306" i="120"/>
  <c r="G306" i="120"/>
  <c r="F306" i="120"/>
  <c r="G148" i="120"/>
  <c r="F148" i="120"/>
  <c r="D148" i="120"/>
  <c r="C148" i="120"/>
  <c r="G45" i="120"/>
  <c r="F45" i="120"/>
  <c r="D45" i="120"/>
  <c r="C45" i="120"/>
  <c r="G80" i="120"/>
  <c r="F80" i="120"/>
  <c r="D80" i="120"/>
  <c r="C80" i="120"/>
  <c r="G252" i="120"/>
  <c r="F252" i="120"/>
  <c r="N252" i="120"/>
  <c r="D252" i="120"/>
  <c r="C252" i="120"/>
  <c r="G42" i="120"/>
  <c r="F42" i="120"/>
  <c r="D42" i="120"/>
  <c r="C42" i="120"/>
  <c r="D55" i="120"/>
  <c r="C55" i="120"/>
  <c r="G55" i="120"/>
  <c r="F55" i="120"/>
  <c r="G109" i="120"/>
  <c r="F109" i="120"/>
  <c r="D109" i="120"/>
  <c r="C109" i="120"/>
  <c r="G136" i="120"/>
  <c r="F136" i="120"/>
  <c r="M136" i="120"/>
  <c r="D136" i="120"/>
  <c r="C136" i="120"/>
  <c r="G146" i="120"/>
  <c r="F146" i="120"/>
  <c r="D146" i="120"/>
  <c r="C146" i="120"/>
  <c r="G74" i="120"/>
  <c r="F74" i="120"/>
  <c r="D74" i="120"/>
  <c r="C74" i="120"/>
  <c r="G41" i="120"/>
  <c r="F41" i="120"/>
  <c r="D41" i="120"/>
  <c r="C41" i="120"/>
  <c r="N71" i="120"/>
  <c r="C71" i="120"/>
  <c r="F71" i="120"/>
  <c r="D71" i="120"/>
  <c r="G71" i="120"/>
  <c r="G223" i="120"/>
  <c r="F223" i="120"/>
  <c r="D223" i="120"/>
  <c r="C223" i="120"/>
  <c r="N223" i="120"/>
  <c r="D43" i="120"/>
  <c r="C43" i="120"/>
  <c r="G43" i="120"/>
  <c r="F43" i="120"/>
  <c r="G56" i="120"/>
  <c r="F56" i="120"/>
  <c r="D56" i="120"/>
  <c r="C56" i="120"/>
  <c r="N73" i="120"/>
  <c r="G73" i="120"/>
  <c r="F73" i="120"/>
  <c r="I14" i="120" s="1"/>
  <c r="D73" i="120"/>
  <c r="C73" i="120"/>
  <c r="C81" i="120"/>
  <c r="G81" i="120"/>
  <c r="F81" i="120"/>
  <c r="D81" i="120"/>
  <c r="C90" i="120"/>
  <c r="G90" i="120"/>
  <c r="F90" i="120"/>
  <c r="D90" i="120"/>
  <c r="G171" i="120"/>
  <c r="F171" i="120"/>
  <c r="D171" i="120"/>
  <c r="C171" i="120"/>
  <c r="G189" i="120"/>
  <c r="F189" i="120"/>
  <c r="D189" i="120"/>
  <c r="C189" i="120"/>
  <c r="N205" i="120"/>
  <c r="G205" i="120"/>
  <c r="F205" i="120"/>
  <c r="D205" i="120"/>
  <c r="C205" i="120"/>
  <c r="G214" i="120"/>
  <c r="F214" i="120"/>
  <c r="M214" i="120"/>
  <c r="D214" i="120"/>
  <c r="C214" i="120"/>
  <c r="G234" i="120"/>
  <c r="F234" i="120"/>
  <c r="N234" i="120"/>
  <c r="D234" i="120"/>
  <c r="C234" i="120"/>
  <c r="C253" i="120"/>
  <c r="N253" i="120"/>
  <c r="G253" i="120"/>
  <c r="F253" i="120"/>
  <c r="D253" i="120"/>
  <c r="G269" i="120"/>
  <c r="F269" i="120"/>
  <c r="C269" i="120"/>
  <c r="N269" i="120"/>
  <c r="M269" i="120"/>
  <c r="D269" i="120"/>
  <c r="D292" i="120"/>
  <c r="C292" i="120"/>
  <c r="G292" i="120"/>
  <c r="F292" i="120"/>
  <c r="D312" i="120"/>
  <c r="C312" i="120"/>
  <c r="G312" i="120"/>
  <c r="F312" i="120"/>
  <c r="G295" i="120"/>
  <c r="F295" i="120"/>
  <c r="D295" i="120"/>
  <c r="C295" i="120"/>
  <c r="M216" i="120"/>
  <c r="G216" i="120"/>
  <c r="F216" i="120"/>
  <c r="D216" i="120"/>
  <c r="C216" i="120"/>
  <c r="G82" i="120"/>
  <c r="F82" i="120"/>
  <c r="D82" i="120"/>
  <c r="C82" i="120"/>
  <c r="C206" i="120"/>
  <c r="N206" i="120"/>
  <c r="G206" i="120"/>
  <c r="F206" i="120"/>
  <c r="D206" i="120"/>
  <c r="N255" i="120"/>
  <c r="G255" i="120"/>
  <c r="F255" i="120"/>
  <c r="D255" i="120"/>
  <c r="C255" i="120"/>
  <c r="G323" i="120"/>
  <c r="F323" i="120"/>
  <c r="D323" i="120"/>
  <c r="C323" i="120"/>
  <c r="N323" i="120"/>
  <c r="D46" i="120"/>
  <c r="C46" i="120"/>
  <c r="G46" i="120"/>
  <c r="F46" i="120"/>
  <c r="G98" i="120"/>
  <c r="F98" i="120"/>
  <c r="D98" i="120"/>
  <c r="C98" i="120"/>
  <c r="G119" i="120"/>
  <c r="F119" i="120"/>
  <c r="D119" i="120"/>
  <c r="C119" i="120"/>
  <c r="G139" i="120"/>
  <c r="F139" i="120"/>
  <c r="D139" i="120"/>
  <c r="C139" i="120"/>
  <c r="G149" i="120"/>
  <c r="F149" i="120"/>
  <c r="D149" i="120"/>
  <c r="C149" i="120"/>
  <c r="G296" i="120"/>
  <c r="F296" i="120"/>
  <c r="D296" i="120"/>
  <c r="C296" i="120"/>
  <c r="G270" i="120"/>
  <c r="F270" i="120"/>
  <c r="D270" i="120"/>
  <c r="C270" i="120"/>
  <c r="N270" i="120"/>
  <c r="G47" i="120"/>
  <c r="F47" i="120"/>
  <c r="D47" i="120"/>
  <c r="C47" i="120"/>
  <c r="G77" i="120"/>
  <c r="F77" i="120"/>
  <c r="D77" i="120"/>
  <c r="C77" i="120"/>
  <c r="C84" i="120"/>
  <c r="G84" i="120"/>
  <c r="F84" i="120"/>
  <c r="D84" i="120"/>
  <c r="G101" i="120"/>
  <c r="F101" i="120"/>
  <c r="D101" i="120"/>
  <c r="C101" i="120"/>
  <c r="G184" i="120"/>
  <c r="F184" i="120"/>
  <c r="D184" i="120"/>
  <c r="C184" i="120"/>
  <c r="G196" i="120"/>
  <c r="F196" i="120"/>
  <c r="D196" i="120"/>
  <c r="C196" i="120"/>
  <c r="N196" i="120"/>
  <c r="G207" i="120"/>
  <c r="F207" i="120"/>
  <c r="D207" i="120"/>
  <c r="N207" i="120"/>
  <c r="C207" i="120"/>
  <c r="G219" i="120"/>
  <c r="F219" i="120"/>
  <c r="D219" i="120"/>
  <c r="C219" i="120"/>
  <c r="N219" i="120"/>
  <c r="G246" i="120"/>
  <c r="F246" i="120"/>
  <c r="D246" i="120"/>
  <c r="C246" i="120"/>
  <c r="N246" i="120"/>
  <c r="C259" i="120"/>
  <c r="G259" i="120"/>
  <c r="F259" i="120"/>
  <c r="D259" i="120"/>
  <c r="N259" i="120"/>
  <c r="D271" i="120"/>
  <c r="C271" i="120"/>
  <c r="N271" i="120"/>
  <c r="G271" i="120"/>
  <c r="F271" i="120"/>
  <c r="G298" i="120"/>
  <c r="F298" i="120"/>
  <c r="D298" i="120"/>
  <c r="C298" i="120"/>
  <c r="G326" i="120"/>
  <c r="F326" i="120"/>
  <c r="D326" i="120"/>
  <c r="C326" i="120"/>
  <c r="C138" i="120"/>
  <c r="M138" i="120"/>
  <c r="G138" i="120"/>
  <c r="F138" i="120"/>
  <c r="D138" i="120"/>
  <c r="G151" i="120"/>
  <c r="F151" i="120"/>
  <c r="D151" i="120"/>
  <c r="C151" i="120"/>
  <c r="D49" i="120"/>
  <c r="C49" i="120"/>
  <c r="G49" i="120"/>
  <c r="F49" i="120"/>
  <c r="C78" i="120"/>
  <c r="G78" i="120"/>
  <c r="F78" i="120"/>
  <c r="D78" i="120"/>
  <c r="G85" i="120"/>
  <c r="F85" i="120"/>
  <c r="D85" i="120"/>
  <c r="C85" i="120"/>
  <c r="C185" i="120"/>
  <c r="G185" i="120"/>
  <c r="F185" i="120"/>
  <c r="D185" i="120"/>
  <c r="G202" i="120"/>
  <c r="F202" i="120"/>
  <c r="N202" i="120"/>
  <c r="D202" i="120"/>
  <c r="C202" i="120"/>
  <c r="G210" i="120"/>
  <c r="F210" i="120"/>
  <c r="M210" i="120"/>
  <c r="D210" i="120"/>
  <c r="C210" i="120"/>
  <c r="G220" i="120"/>
  <c r="F220" i="120"/>
  <c r="D220" i="120"/>
  <c r="C220" i="120"/>
  <c r="N220" i="120"/>
  <c r="C247" i="120"/>
  <c r="G247" i="120"/>
  <c r="F247" i="120"/>
  <c r="D247" i="120"/>
  <c r="N247" i="120"/>
  <c r="G260" i="120"/>
  <c r="F260" i="120"/>
  <c r="N260" i="120"/>
  <c r="D260" i="120"/>
  <c r="C260" i="120"/>
  <c r="G272" i="120"/>
  <c r="F272" i="120"/>
  <c r="D272" i="120"/>
  <c r="C272" i="120"/>
  <c r="G299" i="120"/>
  <c r="F299" i="120"/>
  <c r="D299" i="120"/>
  <c r="C299" i="120"/>
  <c r="D330" i="120"/>
  <c r="C330" i="120"/>
  <c r="G330" i="120"/>
  <c r="F330" i="120"/>
  <c r="E64" i="43"/>
  <c r="G68" i="59" s="1"/>
  <c r="F76" i="153"/>
  <c r="D64" i="43"/>
  <c r="B2" i="153"/>
  <c r="H2" i="134"/>
  <c r="C39" i="153"/>
  <c r="D39" i="153"/>
  <c r="E39" i="153"/>
  <c r="F39" i="153"/>
  <c r="G39" i="153"/>
  <c r="H39" i="153"/>
  <c r="I39" i="153"/>
  <c r="J39" i="153"/>
  <c r="H22" i="153"/>
  <c r="G22" i="153"/>
  <c r="F22" i="153"/>
  <c r="E22" i="153"/>
  <c r="D22" i="153"/>
  <c r="C22" i="153"/>
  <c r="H21" i="153"/>
  <c r="G21" i="153"/>
  <c r="F21" i="153"/>
  <c r="E21" i="153"/>
  <c r="D21" i="153"/>
  <c r="C21" i="153"/>
  <c r="H20" i="153"/>
  <c r="G20" i="153"/>
  <c r="F20" i="153"/>
  <c r="E20" i="153"/>
  <c r="D20" i="153"/>
  <c r="C20" i="153"/>
  <c r="H19" i="153"/>
  <c r="G19" i="153"/>
  <c r="F19" i="153"/>
  <c r="E19" i="153"/>
  <c r="D19" i="153"/>
  <c r="C19" i="153"/>
  <c r="H18" i="153"/>
  <c r="G18" i="153"/>
  <c r="F18" i="153"/>
  <c r="E18" i="153"/>
  <c r="D18" i="153"/>
  <c r="C18" i="153"/>
  <c r="H17" i="153"/>
  <c r="G17" i="153"/>
  <c r="F17" i="153"/>
  <c r="E17" i="153"/>
  <c r="D17" i="153"/>
  <c r="C17" i="153"/>
  <c r="H16" i="153"/>
  <c r="G16" i="153"/>
  <c r="F16" i="153"/>
  <c r="E16" i="153"/>
  <c r="D16" i="153"/>
  <c r="C16" i="153"/>
  <c r="H15" i="153"/>
  <c r="G15" i="153"/>
  <c r="F15" i="153"/>
  <c r="E15" i="153"/>
  <c r="D15" i="153"/>
  <c r="C15" i="153"/>
  <c r="H14" i="153"/>
  <c r="G14" i="153"/>
  <c r="F14" i="153"/>
  <c r="E14" i="153"/>
  <c r="D14" i="153"/>
  <c r="C14" i="153"/>
  <c r="K23" i="153"/>
  <c r="K22" i="153"/>
  <c r="K21" i="153"/>
  <c r="K20" i="153"/>
  <c r="K39" i="153"/>
  <c r="L39" i="153"/>
  <c r="G48" i="153"/>
  <c r="H48" i="153" s="1"/>
  <c r="G53" i="153"/>
  <c r="H53" i="153" s="1"/>
  <c r="E70" i="153"/>
  <c r="F70" i="153"/>
  <c r="K70" i="153"/>
  <c r="L70" i="153"/>
  <c r="D76" i="153"/>
  <c r="E76" i="153"/>
  <c r="J76" i="153"/>
  <c r="K76" i="153"/>
  <c r="K19" i="153" l="1"/>
  <c r="F151" i="59" l="1"/>
  <c r="F149" i="59"/>
  <c r="F148" i="59"/>
  <c r="F146" i="59"/>
  <c r="F145" i="59"/>
  <c r="F144" i="59"/>
  <c r="F143" i="59"/>
  <c r="F142" i="59"/>
  <c r="F141" i="59"/>
  <c r="F140" i="59"/>
  <c r="F139" i="59"/>
  <c r="F138" i="59"/>
  <c r="F137" i="59"/>
  <c r="F136" i="59"/>
  <c r="F135" i="59"/>
  <c r="F134" i="59"/>
  <c r="F128" i="59"/>
  <c r="F127" i="59"/>
  <c r="F126" i="59"/>
  <c r="F125" i="59"/>
  <c r="F124" i="59"/>
  <c r="F123" i="59"/>
  <c r="F122" i="59"/>
  <c r="F121" i="59"/>
  <c r="F120" i="59"/>
  <c r="F119" i="59"/>
  <c r="F118" i="59"/>
  <c r="F117" i="59"/>
  <c r="F116" i="59"/>
  <c r="F115" i="59"/>
  <c r="F114" i="59"/>
  <c r="F113" i="59"/>
  <c r="F112" i="59"/>
  <c r="F111" i="59"/>
  <c r="F110" i="59"/>
  <c r="F109" i="59"/>
  <c r="F108" i="59"/>
  <c r="F107" i="59"/>
  <c r="F106" i="59"/>
  <c r="F105" i="59"/>
  <c r="F104" i="59"/>
  <c r="F103" i="59"/>
  <c r="F102" i="59"/>
  <c r="F101" i="59"/>
  <c r="F100" i="59"/>
  <c r="F99" i="59"/>
  <c r="F98" i="59"/>
  <c r="F97" i="59"/>
  <c r="F96" i="59"/>
  <c r="F95" i="59"/>
  <c r="F94" i="59"/>
  <c r="F93" i="59"/>
  <c r="F66" i="59"/>
  <c r="F65" i="59"/>
  <c r="F81" i="59" s="1"/>
  <c r="F64" i="59"/>
  <c r="F80" i="59" s="1"/>
  <c r="F63" i="59"/>
  <c r="F79" i="59" s="1"/>
  <c r="F62" i="59"/>
  <c r="F78" i="59" s="1"/>
  <c r="F61" i="59"/>
  <c r="F77" i="59" s="1"/>
  <c r="F60" i="59"/>
  <c r="F222" i="58"/>
  <c r="F195" i="58"/>
  <c r="F193" i="58"/>
  <c r="F192" i="58"/>
  <c r="F190" i="58"/>
  <c r="F189" i="58"/>
  <c r="F187" i="58"/>
  <c r="F186" i="58"/>
  <c r="F183" i="58"/>
  <c r="F182" i="58"/>
  <c r="F181" i="58"/>
  <c r="F176" i="58"/>
  <c r="F172" i="58"/>
  <c r="F171" i="58"/>
  <c r="F170" i="58"/>
  <c r="F164" i="58"/>
  <c r="F154" i="58"/>
  <c r="F122" i="58"/>
  <c r="F29" i="58"/>
  <c r="F28" i="58"/>
  <c r="F19" i="58"/>
  <c r="F16" i="58"/>
  <c r="F14" i="58"/>
  <c r="F15" i="58"/>
  <c r="F174" i="58" l="1"/>
  <c r="F156" i="58"/>
  <c r="F165" i="58"/>
  <c r="F177" i="58"/>
  <c r="F38" i="58"/>
  <c r="F158" i="58"/>
  <c r="F37" i="58"/>
  <c r="F133" i="58"/>
  <c r="F188" i="58"/>
  <c r="F166" i="58"/>
  <c r="F184" i="58"/>
  <c r="F206" i="58"/>
  <c r="F178" i="58"/>
  <c r="F150" i="59"/>
  <c r="F9" i="59"/>
  <c r="F173" i="58"/>
  <c r="F194" i="58"/>
  <c r="F133" i="59"/>
  <c r="F147" i="59"/>
  <c r="F130" i="59"/>
  <c r="F131" i="59"/>
  <c r="F132" i="59"/>
  <c r="F129" i="59"/>
  <c r="F175" i="58" l="1"/>
  <c r="F168" i="58"/>
  <c r="F205" i="58"/>
  <c r="F179" i="58"/>
  <c r="F196" i="58"/>
  <c r="F214" i="58"/>
  <c r="F41" i="58"/>
  <c r="F185" i="58"/>
  <c r="F169" i="59"/>
  <c r="F159" i="59" s="1"/>
  <c r="F167" i="58"/>
  <c r="F180" i="58" l="1"/>
  <c r="F169" i="58"/>
  <c r="F197" i="58"/>
  <c r="F59" i="58"/>
  <c r="F84" i="58"/>
  <c r="F198" i="58"/>
  <c r="F213" i="58"/>
  <c r="F221" i="58"/>
  <c r="F36" i="60"/>
  <c r="F35" i="60"/>
  <c r="F34" i="60"/>
  <c r="F33" i="60"/>
  <c r="F27" i="60"/>
  <c r="F20" i="60"/>
  <c r="F16" i="60" s="1"/>
  <c r="F19" i="60" s="1"/>
  <c r="F13" i="60"/>
  <c r="F9" i="60" s="1"/>
  <c r="F12" i="60" s="1"/>
  <c r="F211" i="58" l="1"/>
  <c r="F202" i="58"/>
  <c r="F191" i="58"/>
  <c r="F30" i="60"/>
  <c r="F17" i="60"/>
  <c r="F18" i="60" s="1"/>
  <c r="F7" i="60"/>
  <c r="F10" i="60"/>
  <c r="F11" i="60" s="1"/>
  <c r="F21" i="60" l="1"/>
  <c r="F15" i="60"/>
  <c r="F14" i="60"/>
  <c r="F22" i="60"/>
  <c r="AA3" i="43" l="1"/>
  <c r="AB3" i="43"/>
  <c r="AC3" i="43"/>
  <c r="O5" i="43" l="1"/>
  <c r="P4" i="60" s="1"/>
  <c r="P5" i="43"/>
  <c r="Q4" i="59" s="1"/>
  <c r="S5" i="43"/>
  <c r="O12" i="43"/>
  <c r="P8" i="59" s="1"/>
  <c r="P12" i="43"/>
  <c r="Q12" i="43"/>
  <c r="R8" i="59" s="1"/>
  <c r="R12" i="43"/>
  <c r="T12" i="43"/>
  <c r="T9" i="43" s="1"/>
  <c r="U12" i="43"/>
  <c r="V12" i="43"/>
  <c r="W12" i="43"/>
  <c r="X12" i="43"/>
  <c r="Y12" i="43"/>
  <c r="Z12" i="43"/>
  <c r="O19" i="43"/>
  <c r="P155" i="58" s="1"/>
  <c r="P19" i="43"/>
  <c r="Q19" i="43"/>
  <c r="R155" i="58" s="1"/>
  <c r="R19" i="43"/>
  <c r="S19" i="43"/>
  <c r="T19" i="43"/>
  <c r="U19" i="43"/>
  <c r="V19" i="43"/>
  <c r="W19" i="43"/>
  <c r="X19" i="43"/>
  <c r="Y19" i="43"/>
  <c r="Z19" i="43"/>
  <c r="O21" i="43"/>
  <c r="P21" i="43"/>
  <c r="Q21" i="43"/>
  <c r="R21" i="43"/>
  <c r="S21" i="43"/>
  <c r="T21" i="43"/>
  <c r="U21" i="43"/>
  <c r="V21" i="43"/>
  <c r="W21" i="43"/>
  <c r="X21" i="43"/>
  <c r="Y21" i="43"/>
  <c r="Z21" i="43"/>
  <c r="O23" i="43"/>
  <c r="P23" i="43"/>
  <c r="Q23" i="43"/>
  <c r="R23" i="43"/>
  <c r="S23" i="43"/>
  <c r="T23" i="43"/>
  <c r="U23" i="43"/>
  <c r="V23" i="43"/>
  <c r="W23" i="43"/>
  <c r="X23" i="43"/>
  <c r="Y23" i="43"/>
  <c r="Z23" i="43"/>
  <c r="F48" i="59"/>
  <c r="F46" i="59"/>
  <c r="F14" i="59"/>
  <c r="F13" i="59"/>
  <c r="F155" i="58"/>
  <c r="F157" i="58" s="1"/>
  <c r="F159" i="58" l="1"/>
  <c r="P4" i="58"/>
  <c r="P4" i="59"/>
  <c r="T148" i="43"/>
  <c r="T3" i="43" s="1"/>
  <c r="F10" i="59"/>
  <c r="F36" i="59"/>
  <c r="P9" i="43"/>
  <c r="Q5" i="59" s="1"/>
  <c r="Q8" i="59"/>
  <c r="O9" i="43"/>
  <c r="S12" i="43"/>
  <c r="T4" i="59"/>
  <c r="Q9" i="43"/>
  <c r="R9" i="43"/>
  <c r="S5" i="59" s="1"/>
  <c r="S8" i="59"/>
  <c r="F38" i="59"/>
  <c r="F11" i="59"/>
  <c r="O143" i="43"/>
  <c r="O3" i="43" s="1"/>
  <c r="P2" i="60" s="1"/>
  <c r="P8" i="60" s="1"/>
  <c r="W151" i="43"/>
  <c r="W3" i="43" s="1"/>
  <c r="Q145" i="43"/>
  <c r="Q3" i="43" s="1"/>
  <c r="Y153" i="43"/>
  <c r="Y3" i="43" s="1"/>
  <c r="Z154" i="43"/>
  <c r="Z3" i="43" s="1"/>
  <c r="R146" i="43"/>
  <c r="R3" i="43" s="1"/>
  <c r="S2" i="59" s="1"/>
  <c r="V150" i="43"/>
  <c r="V3" i="43" s="1"/>
  <c r="S147" i="43"/>
  <c r="S3" i="43" s="1"/>
  <c r="T2" i="59" s="1"/>
  <c r="P144" i="43"/>
  <c r="P3" i="43" s="1"/>
  <c r="Q2" i="59" s="1"/>
  <c r="X152" i="43"/>
  <c r="X3" i="43" s="1"/>
  <c r="U149" i="43"/>
  <c r="U3" i="43" s="1"/>
  <c r="F4" i="59"/>
  <c r="F219" i="58" l="1"/>
  <c r="R5" i="58"/>
  <c r="R12" i="58" s="1"/>
  <c r="R5" i="59"/>
  <c r="P5" i="59"/>
  <c r="P5" i="58"/>
  <c r="P12" i="58" s="1"/>
  <c r="P2" i="59"/>
  <c r="P2" i="58"/>
  <c r="R2" i="58"/>
  <c r="R2" i="59"/>
  <c r="S9" i="43"/>
  <c r="T5" i="59" s="1"/>
  <c r="T8" i="59"/>
  <c r="F55" i="59"/>
  <c r="F25" i="59"/>
  <c r="F42" i="59"/>
  <c r="F37" i="59"/>
  <c r="F52" i="59"/>
  <c r="F20" i="59"/>
  <c r="F50" i="59"/>
  <c r="F47" i="59"/>
  <c r="F45" i="59"/>
  <c r="F40" i="59"/>
  <c r="F35" i="59"/>
  <c r="F30" i="59"/>
  <c r="F4" i="58"/>
  <c r="F4" i="60"/>
  <c r="F3" i="59"/>
  <c r="F209" i="58" l="1"/>
  <c r="P8" i="58"/>
  <c r="P82" i="58"/>
  <c r="R8" i="58"/>
  <c r="R82" i="58"/>
  <c r="F6" i="58"/>
  <c r="F6" i="59"/>
  <c r="F3" i="58"/>
  <c r="F3" i="60"/>
  <c r="F5" i="60"/>
  <c r="F160" i="58" l="1"/>
  <c r="F162" i="58" s="1"/>
  <c r="P9" i="58"/>
  <c r="P10" i="58" s="1"/>
  <c r="P11" i="58" s="1"/>
  <c r="R9" i="58"/>
  <c r="R10" i="58" s="1"/>
  <c r="R11" i="58" s="1"/>
  <c r="F7" i="58"/>
  <c r="F7" i="59"/>
  <c r="F58" i="59"/>
  <c r="F56" i="59"/>
  <c r="F59" i="59"/>
  <c r="F57" i="59"/>
  <c r="F161" i="58" l="1"/>
  <c r="F163" i="58" s="1"/>
  <c r="P17" i="58"/>
  <c r="P18" i="58" s="1"/>
  <c r="P24" i="58" s="1"/>
  <c r="P13" i="58"/>
  <c r="P20" i="58" s="1"/>
  <c r="P88" i="58"/>
  <c r="P87" i="58" s="1"/>
  <c r="P113" i="58"/>
  <c r="P31" i="58"/>
  <c r="R113" i="58"/>
  <c r="R97" i="58" s="1"/>
  <c r="R31" i="58"/>
  <c r="R17" i="58"/>
  <c r="R18" i="58" s="1"/>
  <c r="R24" i="58" s="1"/>
  <c r="R88" i="58"/>
  <c r="R87" i="58" s="1"/>
  <c r="R13" i="58"/>
  <c r="R20" i="58" s="1"/>
  <c r="F84" i="59"/>
  <c r="F40" i="58" l="1"/>
  <c r="P33" i="58"/>
  <c r="P32" i="58"/>
  <c r="P34" i="58" s="1"/>
  <c r="P97" i="58"/>
  <c r="P114" i="58"/>
  <c r="P115" i="58"/>
  <c r="P25" i="58"/>
  <c r="P26" i="58" s="1"/>
  <c r="P27" i="58" s="1"/>
  <c r="P21" i="58"/>
  <c r="P42" i="58"/>
  <c r="P57" i="58"/>
  <c r="P79" i="58" s="1"/>
  <c r="P56" i="58"/>
  <c r="P78" i="58" s="1"/>
  <c r="P22" i="58"/>
  <c r="R98" i="58"/>
  <c r="R104" i="58"/>
  <c r="R109" i="58" s="1"/>
  <c r="R110" i="58" s="1"/>
  <c r="R112" i="58" s="1"/>
  <c r="R21" i="58"/>
  <c r="R22" i="58" s="1"/>
  <c r="R56" i="58"/>
  <c r="R78" i="58" s="1"/>
  <c r="R57" i="58"/>
  <c r="R79" i="58" s="1"/>
  <c r="R42" i="58"/>
  <c r="R25" i="58"/>
  <c r="R26" i="58" s="1"/>
  <c r="R27" i="58" s="1"/>
  <c r="R33" i="58"/>
  <c r="R32" i="58"/>
  <c r="R34" i="58" s="1"/>
  <c r="R115" i="58"/>
  <c r="R114" i="58"/>
  <c r="F218" i="58"/>
  <c r="F220" i="58"/>
  <c r="F217" i="58"/>
  <c r="F160" i="59"/>
  <c r="F170" i="59" s="1"/>
  <c r="F207" i="58" l="1"/>
  <c r="F210" i="58"/>
  <c r="F208" i="58"/>
  <c r="R39" i="58"/>
  <c r="P39" i="58"/>
  <c r="P55" i="58"/>
  <c r="P77" i="58" s="1"/>
  <c r="P43" i="58"/>
  <c r="P54" i="58"/>
  <c r="P76" i="58" s="1"/>
  <c r="P23" i="58"/>
  <c r="P51" i="58"/>
  <c r="P73" i="58" s="1"/>
  <c r="P52" i="58"/>
  <c r="P74" i="58" s="1"/>
  <c r="P44" i="58"/>
  <c r="P53" i="58"/>
  <c r="P75" i="58" s="1"/>
  <c r="P117" i="58"/>
  <c r="P116" i="58"/>
  <c r="P98" i="58"/>
  <c r="P104" i="58"/>
  <c r="P119" i="58"/>
  <c r="P118" i="58"/>
  <c r="P35" i="58"/>
  <c r="R117" i="58"/>
  <c r="R116" i="58"/>
  <c r="R23" i="58"/>
  <c r="R55" i="58"/>
  <c r="R77" i="58" s="1"/>
  <c r="R43" i="58"/>
  <c r="R54" i="58"/>
  <c r="R76" i="58" s="1"/>
  <c r="R118" i="58"/>
  <c r="R35" i="58"/>
  <c r="R119" i="58"/>
  <c r="R105" i="58"/>
  <c r="R106" i="58"/>
  <c r="R51" i="58" l="1"/>
  <c r="R73" i="58" s="1"/>
  <c r="R123" i="58"/>
  <c r="R144" i="58" s="1"/>
  <c r="R125" i="58"/>
  <c r="R146" i="58" s="1"/>
  <c r="P83" i="58"/>
  <c r="P125" i="58"/>
  <c r="P146" i="58" s="1"/>
  <c r="P123" i="58"/>
  <c r="P109" i="58"/>
  <c r="P110" i="58" s="1"/>
  <c r="P112" i="58" s="1"/>
  <c r="P106" i="58"/>
  <c r="P105" i="58"/>
  <c r="P99" i="58"/>
  <c r="P100" i="58" s="1"/>
  <c r="P45" i="58"/>
  <c r="P46" i="58" s="1"/>
  <c r="P48" i="58"/>
  <c r="P50" i="58"/>
  <c r="P72" i="58" s="1"/>
  <c r="R44" i="58"/>
  <c r="R53" i="58" s="1"/>
  <c r="R75" i="58" s="1"/>
  <c r="R83" i="58"/>
  <c r="R99" i="58"/>
  <c r="R50" i="58"/>
  <c r="R72" i="58" s="1"/>
  <c r="R45" i="58"/>
  <c r="R48" i="58"/>
  <c r="R108" i="58"/>
  <c r="R107" i="58"/>
  <c r="H927" i="120"/>
  <c r="E927" i="120"/>
  <c r="B927" i="120"/>
  <c r="H926" i="120"/>
  <c r="E926" i="120"/>
  <c r="B926" i="120"/>
  <c r="C927" i="120" l="1"/>
  <c r="D927" i="120"/>
  <c r="G927" i="120"/>
  <c r="I927" i="120" s="1"/>
  <c r="J927" i="120" s="1"/>
  <c r="F927" i="120"/>
  <c r="G926" i="120"/>
  <c r="I926" i="120" s="1"/>
  <c r="J926" i="120" s="1"/>
  <c r="F926" i="120"/>
  <c r="D926" i="120"/>
  <c r="C926" i="120"/>
  <c r="P49" i="58"/>
  <c r="P71" i="58" s="1"/>
  <c r="R49" i="58"/>
  <c r="R71" i="58" s="1"/>
  <c r="P120" i="58"/>
  <c r="P199" i="58" s="1"/>
  <c r="P108" i="58"/>
  <c r="P107" i="58"/>
  <c r="R46" i="58"/>
  <c r="R120" i="58" s="1"/>
  <c r="P103" i="58"/>
  <c r="P101" i="58"/>
  <c r="P102" i="58"/>
  <c r="P144" i="58"/>
  <c r="P70" i="58"/>
  <c r="P85" i="58"/>
  <c r="P93" i="58"/>
  <c r="P203" i="58"/>
  <c r="R70" i="58"/>
  <c r="R102" i="58"/>
  <c r="R100" i="58"/>
  <c r="R103" i="58"/>
  <c r="R101" i="58"/>
  <c r="R93" i="58"/>
  <c r="R203" i="58"/>
  <c r="R52" i="58"/>
  <c r="R74" i="58" s="1"/>
  <c r="R85" i="58" l="1"/>
  <c r="P80" i="58"/>
  <c r="P81" i="58" s="1"/>
  <c r="R89" i="58"/>
  <c r="R90" i="58" s="1"/>
  <c r="R91" i="58" s="1"/>
  <c r="R124" i="58"/>
  <c r="R199" i="58"/>
  <c r="P94" i="58"/>
  <c r="P92" i="58"/>
  <c r="P216" i="58"/>
  <c r="P86" i="58"/>
  <c r="P58" i="58"/>
  <c r="P47" i="58"/>
  <c r="P89" i="58"/>
  <c r="P90" i="58" s="1"/>
  <c r="P91" i="58" s="1"/>
  <c r="P124" i="58"/>
  <c r="R94" i="58"/>
  <c r="R92" i="58"/>
  <c r="R216" i="58"/>
  <c r="R86" i="58"/>
  <c r="R80" i="58"/>
  <c r="R81" i="58" s="1"/>
  <c r="R47" i="58"/>
  <c r="R58" i="58"/>
  <c r="I927" i="12"/>
  <c r="J927" i="12" s="1"/>
  <c r="I926" i="12"/>
  <c r="J926" i="12" s="1"/>
  <c r="I893" i="12"/>
  <c r="J893" i="12" s="1"/>
  <c r="M867" i="120"/>
  <c r="I592" i="12"/>
  <c r="E5" i="74"/>
  <c r="E4" i="121"/>
  <c r="H5" i="134"/>
  <c r="E242" i="120"/>
  <c r="B242" i="120"/>
  <c r="E240" i="120"/>
  <c r="B240" i="120"/>
  <c r="E238" i="120"/>
  <c r="B238" i="120"/>
  <c r="E236" i="120"/>
  <c r="B236" i="120"/>
  <c r="F11" i="62"/>
  <c r="F10" i="62"/>
  <c r="F9" i="62"/>
  <c r="H790" i="120"/>
  <c r="E650" i="120"/>
  <c r="B650" i="120"/>
  <c r="E458" i="120"/>
  <c r="B458" i="120"/>
  <c r="B14" i="119"/>
  <c r="B15" i="119"/>
  <c r="B17" i="119"/>
  <c r="N13" i="55"/>
  <c r="H44" i="120" s="1"/>
  <c r="G84" i="132"/>
  <c r="H326" i="12"/>
  <c r="H326" i="120" s="1"/>
  <c r="G104" i="132"/>
  <c r="W82" i="134"/>
  <c r="W81" i="134" s="1"/>
  <c r="V82" i="134"/>
  <c r="V81" i="134" s="1"/>
  <c r="U82" i="134"/>
  <c r="U81" i="134" s="1"/>
  <c r="T82" i="134"/>
  <c r="T81" i="134" s="1"/>
  <c r="S82" i="134"/>
  <c r="S81" i="134" s="1"/>
  <c r="R82" i="134"/>
  <c r="R81" i="134" s="1"/>
  <c r="Q82" i="134"/>
  <c r="Q81" i="134" s="1"/>
  <c r="W78" i="134"/>
  <c r="W77" i="134" s="1"/>
  <c r="V78" i="134"/>
  <c r="V77" i="134" s="1"/>
  <c r="U78" i="134"/>
  <c r="U77" i="134" s="1"/>
  <c r="T78" i="134"/>
  <c r="T77" i="134" s="1"/>
  <c r="S78" i="134"/>
  <c r="S77" i="134" s="1"/>
  <c r="R78" i="134"/>
  <c r="R77" i="134" s="1"/>
  <c r="Q78" i="134"/>
  <c r="Q77" i="134" s="1"/>
  <c r="W74" i="134"/>
  <c r="W73" i="134" s="1"/>
  <c r="V74" i="134"/>
  <c r="V73" i="134" s="1"/>
  <c r="U74" i="134"/>
  <c r="U73" i="134" s="1"/>
  <c r="T74" i="134"/>
  <c r="T73" i="134" s="1"/>
  <c r="S74" i="134"/>
  <c r="S73" i="134" s="1"/>
  <c r="R74" i="134"/>
  <c r="Q74" i="134"/>
  <c r="Q73" i="134" s="1"/>
  <c r="W70" i="134"/>
  <c r="W69" i="134" s="1"/>
  <c r="V70" i="134"/>
  <c r="V69" i="134" s="1"/>
  <c r="U70" i="134"/>
  <c r="U69" i="134" s="1"/>
  <c r="T70" i="134"/>
  <c r="T69" i="134" s="1"/>
  <c r="S70" i="134"/>
  <c r="S69" i="134" s="1"/>
  <c r="R70" i="134"/>
  <c r="R69" i="134" s="1"/>
  <c r="Q70" i="134"/>
  <c r="Q69" i="134" s="1"/>
  <c r="W66" i="134"/>
  <c r="W65" i="134" s="1"/>
  <c r="V66" i="134"/>
  <c r="V65" i="134" s="1"/>
  <c r="U66" i="134"/>
  <c r="U65" i="134" s="1"/>
  <c r="T66" i="134"/>
  <c r="T65" i="134" s="1"/>
  <c r="S66" i="134"/>
  <c r="S65" i="134" s="1"/>
  <c r="R66" i="134"/>
  <c r="R65" i="134" s="1"/>
  <c r="Q66" i="134"/>
  <c r="Q65" i="134" s="1"/>
  <c r="W62" i="134"/>
  <c r="W61" i="134" s="1"/>
  <c r="V62" i="134"/>
  <c r="V61" i="134" s="1"/>
  <c r="U62" i="134"/>
  <c r="U61" i="134" s="1"/>
  <c r="T62" i="134"/>
  <c r="T61" i="134" s="1"/>
  <c r="S62" i="134"/>
  <c r="S61" i="134" s="1"/>
  <c r="R62" i="134"/>
  <c r="R61" i="134" s="1"/>
  <c r="Q62" i="134"/>
  <c r="Q61" i="134" s="1"/>
  <c r="W58" i="134"/>
  <c r="W57" i="134" s="1"/>
  <c r="V58" i="134"/>
  <c r="V57" i="134" s="1"/>
  <c r="U58" i="134"/>
  <c r="U57" i="134" s="1"/>
  <c r="T58" i="134"/>
  <c r="T57" i="134" s="1"/>
  <c r="S58" i="134"/>
  <c r="S57" i="134" s="1"/>
  <c r="R58" i="134"/>
  <c r="R57" i="134" s="1"/>
  <c r="Q58" i="134"/>
  <c r="W54" i="134"/>
  <c r="W53" i="134" s="1"/>
  <c r="V54" i="134"/>
  <c r="U54" i="134"/>
  <c r="U53" i="134" s="1"/>
  <c r="T54" i="134"/>
  <c r="T53" i="134" s="1"/>
  <c r="S54" i="134"/>
  <c r="S53" i="134" s="1"/>
  <c r="R54" i="134"/>
  <c r="R53" i="134" s="1"/>
  <c r="Q54" i="134"/>
  <c r="Q53" i="134" s="1"/>
  <c r="W50" i="134"/>
  <c r="W49" i="134" s="1"/>
  <c r="V50" i="134"/>
  <c r="V49" i="134" s="1"/>
  <c r="U50" i="134"/>
  <c r="U49" i="134" s="1"/>
  <c r="T50" i="134"/>
  <c r="T49" i="134" s="1"/>
  <c r="S50" i="134"/>
  <c r="S49" i="134" s="1"/>
  <c r="R50" i="134"/>
  <c r="R49" i="134" s="1"/>
  <c r="Q50" i="134"/>
  <c r="Q49" i="134" s="1"/>
  <c r="W46" i="134"/>
  <c r="W45" i="134" s="1"/>
  <c r="V46" i="134"/>
  <c r="V45" i="134" s="1"/>
  <c r="U46" i="134"/>
  <c r="U45" i="134" s="1"/>
  <c r="T46" i="134"/>
  <c r="T45" i="134" s="1"/>
  <c r="S46" i="134"/>
  <c r="S45" i="134" s="1"/>
  <c r="R46" i="134"/>
  <c r="R45" i="134" s="1"/>
  <c r="Q46" i="134"/>
  <c r="Q45" i="134" s="1"/>
  <c r="W42" i="134"/>
  <c r="W41" i="134" s="1"/>
  <c r="V42" i="134"/>
  <c r="V41" i="134" s="1"/>
  <c r="U42" i="134"/>
  <c r="U41" i="134" s="1"/>
  <c r="T42" i="134"/>
  <c r="T41" i="134" s="1"/>
  <c r="S42" i="134"/>
  <c r="S41" i="134" s="1"/>
  <c r="R42" i="134"/>
  <c r="R41" i="134" s="1"/>
  <c r="Q42" i="134"/>
  <c r="Q41" i="134" s="1"/>
  <c r="W38" i="134"/>
  <c r="W37" i="134" s="1"/>
  <c r="V38" i="134"/>
  <c r="V37" i="134" s="1"/>
  <c r="U38" i="134"/>
  <c r="U37" i="134" s="1"/>
  <c r="T38" i="134"/>
  <c r="T37" i="134" s="1"/>
  <c r="S38" i="134"/>
  <c r="S37" i="134" s="1"/>
  <c r="R38" i="134"/>
  <c r="R37" i="134" s="1"/>
  <c r="Q38" i="134"/>
  <c r="Q37" i="134" s="1"/>
  <c r="W34" i="134"/>
  <c r="W33" i="134" s="1"/>
  <c r="V34" i="134"/>
  <c r="V33" i="134" s="1"/>
  <c r="U34" i="134"/>
  <c r="U33" i="134" s="1"/>
  <c r="T34" i="134"/>
  <c r="T33" i="134" s="1"/>
  <c r="S34" i="134"/>
  <c r="S33" i="134" s="1"/>
  <c r="R34" i="134"/>
  <c r="R33" i="134" s="1"/>
  <c r="Q34" i="134"/>
  <c r="Q33" i="134" s="1"/>
  <c r="W30" i="134"/>
  <c r="W29" i="134" s="1"/>
  <c r="V30" i="134"/>
  <c r="V29" i="134" s="1"/>
  <c r="U30" i="134"/>
  <c r="U29" i="134" s="1"/>
  <c r="T30" i="134"/>
  <c r="T29" i="134" s="1"/>
  <c r="S30" i="134"/>
  <c r="S29" i="134" s="1"/>
  <c r="R30" i="134"/>
  <c r="R29" i="134" s="1"/>
  <c r="Q30" i="134"/>
  <c r="W26" i="134"/>
  <c r="V26" i="134"/>
  <c r="V25" i="134" s="1"/>
  <c r="U26" i="134"/>
  <c r="U25" i="134" s="1"/>
  <c r="T26" i="134"/>
  <c r="T25" i="134" s="1"/>
  <c r="S26" i="134"/>
  <c r="S25" i="134" s="1"/>
  <c r="R26" i="134"/>
  <c r="R25" i="134" s="1"/>
  <c r="Q26" i="134"/>
  <c r="Q25" i="134" s="1"/>
  <c r="W22" i="134"/>
  <c r="W21" i="134" s="1"/>
  <c r="V22" i="134"/>
  <c r="V21" i="134" s="1"/>
  <c r="U22" i="134"/>
  <c r="U21" i="134" s="1"/>
  <c r="T22" i="134"/>
  <c r="T21" i="134" s="1"/>
  <c r="S22" i="134"/>
  <c r="S21" i="134" s="1"/>
  <c r="R22" i="134"/>
  <c r="R21" i="134" s="1"/>
  <c r="Q22" i="134"/>
  <c r="Q21" i="134" s="1"/>
  <c r="W18" i="134"/>
  <c r="W17" i="134" s="1"/>
  <c r="V18" i="134"/>
  <c r="V17" i="134" s="1"/>
  <c r="U18" i="134"/>
  <c r="U17" i="134" s="1"/>
  <c r="T18" i="134"/>
  <c r="T17" i="134" s="1"/>
  <c r="S18" i="134"/>
  <c r="S17" i="134" s="1"/>
  <c r="R18" i="134"/>
  <c r="R17" i="134" s="1"/>
  <c r="Q18" i="134"/>
  <c r="Q17" i="134" s="1"/>
  <c r="W14" i="134"/>
  <c r="W13" i="134" s="1"/>
  <c r="V14" i="134"/>
  <c r="V13" i="134" s="1"/>
  <c r="U14" i="134"/>
  <c r="U13" i="134" s="1"/>
  <c r="T14" i="134"/>
  <c r="T13" i="134" s="1"/>
  <c r="S14" i="134"/>
  <c r="S13" i="134" s="1"/>
  <c r="R14" i="134"/>
  <c r="R13" i="134" s="1"/>
  <c r="Q14" i="134"/>
  <c r="Q13" i="134" s="1"/>
  <c r="W10" i="134"/>
  <c r="W9" i="134" s="1"/>
  <c r="V10" i="134"/>
  <c r="V9" i="134" s="1"/>
  <c r="U10" i="134"/>
  <c r="U9" i="134" s="1"/>
  <c r="T10" i="134"/>
  <c r="T9" i="134" s="1"/>
  <c r="S10" i="134"/>
  <c r="S9" i="134" s="1"/>
  <c r="R10" i="134"/>
  <c r="R9" i="134" s="1"/>
  <c r="Q10" i="134"/>
  <c r="Q9" i="134" s="1"/>
  <c r="H906" i="120"/>
  <c r="H909" i="120"/>
  <c r="H920" i="120"/>
  <c r="I31" i="12"/>
  <c r="E33" i="122" s="1"/>
  <c r="K61" i="83"/>
  <c r="G105" i="62"/>
  <c r="G106" i="62" s="1"/>
  <c r="G115" i="62"/>
  <c r="G104" i="62"/>
  <c r="G102" i="62"/>
  <c r="G100" i="62"/>
  <c r="G98" i="62"/>
  <c r="G96" i="62"/>
  <c r="G94" i="62"/>
  <c r="G92" i="62"/>
  <c r="G91" i="62"/>
  <c r="G76" i="62"/>
  <c r="G86" i="62" s="1"/>
  <c r="G75" i="62"/>
  <c r="G85" i="62" s="1"/>
  <c r="G71" i="62"/>
  <c r="G81" i="62" s="1"/>
  <c r="G63" i="62"/>
  <c r="G77" i="62" s="1"/>
  <c r="G87" i="62" s="1"/>
  <c r="G62" i="62"/>
  <c r="G59" i="62"/>
  <c r="G56" i="62"/>
  <c r="G57" i="62" s="1"/>
  <c r="G42" i="62"/>
  <c r="G41" i="62"/>
  <c r="G33" i="62"/>
  <c r="G34" i="62" s="1"/>
  <c r="G35" i="62" s="1"/>
  <c r="G31" i="62"/>
  <c r="G27" i="62"/>
  <c r="G22" i="62"/>
  <c r="G26" i="62" s="1"/>
  <c r="G29" i="62" s="1"/>
  <c r="G16" i="62"/>
  <c r="G36" i="62" s="1"/>
  <c r="G37" i="62" s="1"/>
  <c r="G13" i="62"/>
  <c r="G14" i="62" s="1"/>
  <c r="G12" i="62"/>
  <c r="G11" i="62"/>
  <c r="G10" i="62"/>
  <c r="G9" i="62"/>
  <c r="I26" i="61"/>
  <c r="I25" i="61"/>
  <c r="I17" i="61"/>
  <c r="H10" i="61"/>
  <c r="I10" i="61" s="1"/>
  <c r="G65" i="62"/>
  <c r="N4" i="40"/>
  <c r="N2" i="40"/>
  <c r="N294" i="133"/>
  <c r="O294" i="133" s="1"/>
  <c r="AE48" i="59"/>
  <c r="AF48" i="59" s="1"/>
  <c r="AE13" i="59"/>
  <c r="H202" i="12" s="1"/>
  <c r="B226" i="120"/>
  <c r="E133" i="120"/>
  <c r="B133" i="120"/>
  <c r="H132" i="120"/>
  <c r="E132" i="120"/>
  <c r="B132" i="120"/>
  <c r="E131" i="120"/>
  <c r="B131" i="120"/>
  <c r="E130" i="120"/>
  <c r="B130" i="120"/>
  <c r="B659" i="12"/>
  <c r="B655" i="12"/>
  <c r="B169" i="12"/>
  <c r="G1" i="134"/>
  <c r="E758" i="120"/>
  <c r="B758" i="120"/>
  <c r="E757" i="120"/>
  <c r="B757" i="120"/>
  <c r="O23" i="54"/>
  <c r="O22" i="54"/>
  <c r="B20" i="119"/>
  <c r="B21" i="119"/>
  <c r="N355" i="133"/>
  <c r="O355" i="133" s="1"/>
  <c r="AE34" i="60"/>
  <c r="AF34" i="60" s="1"/>
  <c r="G56" i="118" s="1"/>
  <c r="AE33" i="60"/>
  <c r="AF33" i="60" s="1"/>
  <c r="A2" i="134"/>
  <c r="A1" i="134"/>
  <c r="B96" i="134"/>
  <c r="D90" i="134"/>
  <c r="E83" i="134"/>
  <c r="E84" i="134" s="1"/>
  <c r="M81" i="134"/>
  <c r="L81" i="134"/>
  <c r="K81" i="134"/>
  <c r="J81" i="134"/>
  <c r="I81" i="134"/>
  <c r="H81" i="134"/>
  <c r="G81" i="134"/>
  <c r="F81" i="134"/>
  <c r="E79" i="134"/>
  <c r="E80" i="134" s="1"/>
  <c r="M77" i="134"/>
  <c r="L77" i="134"/>
  <c r="K77" i="134"/>
  <c r="J77" i="134"/>
  <c r="I77" i="134"/>
  <c r="H77" i="134"/>
  <c r="G77" i="134"/>
  <c r="F77" i="134"/>
  <c r="E75" i="134"/>
  <c r="E76" i="134" s="1"/>
  <c r="M73" i="134"/>
  <c r="L73" i="134"/>
  <c r="K73" i="134"/>
  <c r="J73" i="134"/>
  <c r="I73" i="134"/>
  <c r="H73" i="134"/>
  <c r="G73" i="134"/>
  <c r="F73" i="134"/>
  <c r="E71" i="134"/>
  <c r="E72" i="134" s="1"/>
  <c r="M69" i="134"/>
  <c r="L69" i="134"/>
  <c r="K69" i="134"/>
  <c r="J69" i="134"/>
  <c r="I69" i="134"/>
  <c r="H69" i="134"/>
  <c r="G69" i="134"/>
  <c r="F69" i="134"/>
  <c r="E67" i="134"/>
  <c r="E68" i="134" s="1"/>
  <c r="M65" i="134"/>
  <c r="L65" i="134"/>
  <c r="K65" i="134"/>
  <c r="J65" i="134"/>
  <c r="I65" i="134"/>
  <c r="H65" i="134"/>
  <c r="G65" i="134"/>
  <c r="F65" i="134"/>
  <c r="E63" i="134"/>
  <c r="E64" i="134" s="1"/>
  <c r="M61" i="134"/>
  <c r="L61" i="134"/>
  <c r="K61" i="134"/>
  <c r="J61" i="134"/>
  <c r="I61" i="134"/>
  <c r="H61" i="134"/>
  <c r="G61" i="134"/>
  <c r="F61" i="134"/>
  <c r="E59" i="134"/>
  <c r="E60" i="134" s="1"/>
  <c r="M57" i="134"/>
  <c r="L57" i="134"/>
  <c r="K57" i="134"/>
  <c r="J57" i="134"/>
  <c r="I57" i="134"/>
  <c r="H57" i="134"/>
  <c r="G57" i="134"/>
  <c r="F57" i="134"/>
  <c r="E55" i="134"/>
  <c r="E56" i="134" s="1"/>
  <c r="M53" i="134"/>
  <c r="L53" i="134"/>
  <c r="K53" i="134"/>
  <c r="J53" i="134"/>
  <c r="I53" i="134"/>
  <c r="H53" i="134"/>
  <c r="G53" i="134"/>
  <c r="F53" i="134"/>
  <c r="E51" i="134"/>
  <c r="E52" i="134" s="1"/>
  <c r="M49" i="134"/>
  <c r="L49" i="134"/>
  <c r="K49" i="134"/>
  <c r="J49" i="134"/>
  <c r="I49" i="134"/>
  <c r="H49" i="134"/>
  <c r="G49" i="134"/>
  <c r="F49" i="134"/>
  <c r="E47" i="134"/>
  <c r="E48" i="134" s="1"/>
  <c r="M45" i="134"/>
  <c r="L45" i="134"/>
  <c r="K45" i="134"/>
  <c r="J45" i="134"/>
  <c r="I45" i="134"/>
  <c r="H45" i="134"/>
  <c r="G45" i="134"/>
  <c r="F45" i="134"/>
  <c r="E43" i="134"/>
  <c r="E44" i="134" s="1"/>
  <c r="M41" i="134"/>
  <c r="L41" i="134"/>
  <c r="K41" i="134"/>
  <c r="J41" i="134"/>
  <c r="I41" i="134"/>
  <c r="H41" i="134"/>
  <c r="G41" i="134"/>
  <c r="F41" i="134"/>
  <c r="E39" i="134"/>
  <c r="E40" i="134" s="1"/>
  <c r="M37" i="134"/>
  <c r="L37" i="134"/>
  <c r="K37" i="134"/>
  <c r="J37" i="134"/>
  <c r="I37" i="134"/>
  <c r="H37" i="134"/>
  <c r="G37" i="134"/>
  <c r="F37" i="134"/>
  <c r="E35" i="134"/>
  <c r="E36" i="134" s="1"/>
  <c r="L33" i="134"/>
  <c r="K33" i="134"/>
  <c r="J33" i="134"/>
  <c r="I33" i="134"/>
  <c r="H33" i="134"/>
  <c r="G33" i="134"/>
  <c r="F33" i="134"/>
  <c r="E31" i="134"/>
  <c r="E32" i="134" s="1"/>
  <c r="M29" i="134"/>
  <c r="L29" i="134"/>
  <c r="K29" i="134"/>
  <c r="J29" i="134"/>
  <c r="I29" i="134"/>
  <c r="H29" i="134"/>
  <c r="G29" i="134"/>
  <c r="F29" i="134"/>
  <c r="E27" i="134"/>
  <c r="E28" i="134" s="1"/>
  <c r="M25" i="134"/>
  <c r="L25" i="134"/>
  <c r="K25" i="134"/>
  <c r="J25" i="134"/>
  <c r="I25" i="134"/>
  <c r="H25" i="134"/>
  <c r="G25" i="134"/>
  <c r="F25" i="134"/>
  <c r="E23" i="134"/>
  <c r="E24" i="134" s="1"/>
  <c r="M21" i="134"/>
  <c r="L21" i="134"/>
  <c r="K21" i="134"/>
  <c r="J21" i="134"/>
  <c r="I21" i="134"/>
  <c r="H21" i="134"/>
  <c r="G21" i="134"/>
  <c r="F21" i="134"/>
  <c r="E19" i="134"/>
  <c r="E20" i="134" s="1"/>
  <c r="M17" i="134"/>
  <c r="L17" i="134"/>
  <c r="K17" i="134"/>
  <c r="J17" i="134"/>
  <c r="I17" i="134"/>
  <c r="H17" i="134"/>
  <c r="G17" i="134"/>
  <c r="F17" i="134"/>
  <c r="E15" i="134"/>
  <c r="E16" i="134" s="1"/>
  <c r="M13" i="134"/>
  <c r="L13" i="134"/>
  <c r="K13" i="134"/>
  <c r="J13" i="134"/>
  <c r="I13" i="134"/>
  <c r="H13" i="134"/>
  <c r="G13" i="134"/>
  <c r="F13" i="134"/>
  <c r="E11" i="134"/>
  <c r="E12" i="134" s="1"/>
  <c r="M9" i="134"/>
  <c r="L9" i="134"/>
  <c r="K9" i="134"/>
  <c r="J9" i="134"/>
  <c r="I9" i="134"/>
  <c r="H9" i="134"/>
  <c r="G9" i="134"/>
  <c r="F9" i="134"/>
  <c r="E142" i="120"/>
  <c r="B142" i="120"/>
  <c r="O30" i="74"/>
  <c r="O28" i="74"/>
  <c r="AB2" i="60"/>
  <c r="AB8" i="60" s="1"/>
  <c r="AC2" i="60"/>
  <c r="AC8" i="60" s="1"/>
  <c r="AD2" i="60"/>
  <c r="AD8" i="60" s="1"/>
  <c r="Q4" i="60"/>
  <c r="T4" i="60"/>
  <c r="S155" i="58"/>
  <c r="Y155" i="58"/>
  <c r="Q1" i="60"/>
  <c r="R1" i="60"/>
  <c r="S1" i="60"/>
  <c r="T1" i="60"/>
  <c r="U1" i="60"/>
  <c r="V1" i="60"/>
  <c r="W1" i="60"/>
  <c r="X1" i="60"/>
  <c r="Y1" i="60"/>
  <c r="Z1" i="60"/>
  <c r="AA1" i="60"/>
  <c r="AB1" i="60"/>
  <c r="AC1" i="60"/>
  <c r="AD1" i="60"/>
  <c r="Q3" i="60"/>
  <c r="R3" i="60"/>
  <c r="S3" i="60"/>
  <c r="T3" i="60"/>
  <c r="U3" i="60"/>
  <c r="V3" i="60"/>
  <c r="W3" i="60"/>
  <c r="X3" i="60"/>
  <c r="Y3" i="60"/>
  <c r="Z3" i="60"/>
  <c r="AA3" i="60"/>
  <c r="AB3" i="60"/>
  <c r="AC3" i="60"/>
  <c r="AD3" i="60"/>
  <c r="R4" i="60"/>
  <c r="S4" i="60"/>
  <c r="U4" i="60"/>
  <c r="V4" i="60"/>
  <c r="W4" i="60"/>
  <c r="X4" i="60"/>
  <c r="Y4" i="60"/>
  <c r="Z4" i="60"/>
  <c r="AA4" i="60"/>
  <c r="AB4" i="60"/>
  <c r="AC4" i="60"/>
  <c r="AD4" i="60"/>
  <c r="Q5" i="60"/>
  <c r="R5" i="60"/>
  <c r="S5" i="60"/>
  <c r="T5" i="60"/>
  <c r="U5" i="60"/>
  <c r="V5" i="60"/>
  <c r="W5" i="60"/>
  <c r="X5" i="60"/>
  <c r="Y5" i="60"/>
  <c r="Z5" i="60"/>
  <c r="AA5" i="60"/>
  <c r="AB5" i="60"/>
  <c r="AC5" i="60"/>
  <c r="AD5" i="60"/>
  <c r="Q13" i="60"/>
  <c r="Q9" i="60" s="1"/>
  <c r="R13" i="60"/>
  <c r="S13" i="60"/>
  <c r="T13" i="60"/>
  <c r="T9" i="60" s="1"/>
  <c r="U13" i="60"/>
  <c r="U9" i="60" s="1"/>
  <c r="V13" i="60"/>
  <c r="V9" i="60" s="1"/>
  <c r="W13" i="60"/>
  <c r="W9" i="60" s="1"/>
  <c r="X13" i="60"/>
  <c r="X9" i="60" s="1"/>
  <c r="X12" i="60" s="1"/>
  <c r="Y13" i="60"/>
  <c r="Y9" i="60" s="1"/>
  <c r="Z13" i="60"/>
  <c r="Z9" i="60" s="1"/>
  <c r="AA13" i="60"/>
  <c r="AA9" i="60" s="1"/>
  <c r="AA10" i="60" s="1"/>
  <c r="AA11" i="60" s="1"/>
  <c r="AB13" i="60"/>
  <c r="AC13" i="60"/>
  <c r="AC9" i="60" s="1"/>
  <c r="AD13" i="60"/>
  <c r="AD9" i="60" s="1"/>
  <c r="Q20" i="60"/>
  <c r="Q16" i="60" s="1"/>
  <c r="R20" i="60"/>
  <c r="R16" i="60" s="1"/>
  <c r="S20" i="60"/>
  <c r="S16" i="60" s="1"/>
  <c r="T20" i="60"/>
  <c r="T16" i="60" s="1"/>
  <c r="U20" i="60"/>
  <c r="U16" i="60" s="1"/>
  <c r="V20" i="60"/>
  <c r="V16" i="60" s="1"/>
  <c r="W20" i="60"/>
  <c r="W16" i="60" s="1"/>
  <c r="W17" i="60" s="1"/>
  <c r="W18" i="60" s="1"/>
  <c r="X20" i="60"/>
  <c r="Y20" i="60"/>
  <c r="Y16" i="60" s="1"/>
  <c r="Z20" i="60"/>
  <c r="Z16" i="60" s="1"/>
  <c r="AA20" i="60"/>
  <c r="AA16" i="60" s="1"/>
  <c r="AA19" i="60" s="1"/>
  <c r="AB20" i="60"/>
  <c r="AB16" i="60" s="1"/>
  <c r="AC20" i="60"/>
  <c r="AC16" i="60" s="1"/>
  <c r="AD20" i="60"/>
  <c r="AD16" i="60" s="1"/>
  <c r="Q27" i="60"/>
  <c r="Q23" i="60" s="1"/>
  <c r="R27" i="60"/>
  <c r="R23" i="60" s="1"/>
  <c r="R26" i="60" s="1"/>
  <c r="S27" i="60"/>
  <c r="S23" i="60" s="1"/>
  <c r="T27" i="60"/>
  <c r="T23" i="60" s="1"/>
  <c r="U27" i="60"/>
  <c r="V27" i="60"/>
  <c r="V23" i="60" s="1"/>
  <c r="W27" i="60"/>
  <c r="W23" i="60" s="1"/>
  <c r="X27" i="60"/>
  <c r="X23" i="60" s="1"/>
  <c r="Y27" i="60"/>
  <c r="Y23" i="60" s="1"/>
  <c r="Y24" i="60" s="1"/>
  <c r="Y25" i="60" s="1"/>
  <c r="Z27" i="60"/>
  <c r="Z23" i="60" s="1"/>
  <c r="AA27" i="60"/>
  <c r="AA23" i="60" s="1"/>
  <c r="AB27" i="60"/>
  <c r="AB23" i="60" s="1"/>
  <c r="AC27" i="60"/>
  <c r="AD27" i="60"/>
  <c r="AD23" i="60" s="1"/>
  <c r="Q35" i="60"/>
  <c r="R35" i="60"/>
  <c r="S35" i="60"/>
  <c r="T35" i="60"/>
  <c r="U35" i="60"/>
  <c r="V35" i="60"/>
  <c r="W35" i="60"/>
  <c r="X35" i="60"/>
  <c r="Y35" i="60"/>
  <c r="Z35" i="60"/>
  <c r="AA35" i="60"/>
  <c r="AB35" i="60"/>
  <c r="AC35" i="60"/>
  <c r="AD35" i="60"/>
  <c r="Q36" i="60"/>
  <c r="R36" i="60"/>
  <c r="S36" i="60"/>
  <c r="T36" i="60"/>
  <c r="U36" i="60"/>
  <c r="V36" i="60"/>
  <c r="W36" i="60"/>
  <c r="X36" i="60"/>
  <c r="Y36" i="60"/>
  <c r="Z36" i="60"/>
  <c r="AA36" i="60"/>
  <c r="AB36" i="60"/>
  <c r="AC36" i="60"/>
  <c r="AD36" i="60"/>
  <c r="AA29" i="58"/>
  <c r="AA79" i="58" s="1"/>
  <c r="Z29" i="58"/>
  <c r="Z70" i="58" s="1"/>
  <c r="Y29" i="58"/>
  <c r="Y148" i="58" s="1"/>
  <c r="X29" i="58"/>
  <c r="X145" i="58" s="1"/>
  <c r="W29" i="58"/>
  <c r="W73" i="58" s="1"/>
  <c r="V29" i="58"/>
  <c r="V72" i="58" s="1"/>
  <c r="U29" i="58"/>
  <c r="U73" i="58" s="1"/>
  <c r="T29" i="58"/>
  <c r="T75" i="58" s="1"/>
  <c r="S29" i="58"/>
  <c r="S9" i="59" s="1"/>
  <c r="Q29" i="58"/>
  <c r="Q9" i="59" s="1"/>
  <c r="H6" i="134"/>
  <c r="N2" i="54"/>
  <c r="N192" i="54"/>
  <c r="O192" i="54" s="1"/>
  <c r="N110" i="54"/>
  <c r="N97" i="54"/>
  <c r="N76" i="54"/>
  <c r="N75" i="54"/>
  <c r="N62" i="54"/>
  <c r="N59" i="54"/>
  <c r="N54" i="54"/>
  <c r="O54" i="54" s="1"/>
  <c r="N53" i="54"/>
  <c r="N41" i="54"/>
  <c r="N114" i="54"/>
  <c r="O114" i="54" s="1"/>
  <c r="N36" i="54"/>
  <c r="O36" i="54" s="1"/>
  <c r="O21" i="54"/>
  <c r="E683" i="12"/>
  <c r="E683" i="120" s="1"/>
  <c r="B33" i="119"/>
  <c r="B32" i="119"/>
  <c r="B31" i="119"/>
  <c r="B30" i="119"/>
  <c r="B29" i="119"/>
  <c r="B28" i="119"/>
  <c r="B27" i="119"/>
  <c r="B26" i="119"/>
  <c r="B25" i="119"/>
  <c r="B24" i="119"/>
  <c r="B23" i="119"/>
  <c r="B22" i="119"/>
  <c r="E566" i="12" s="1"/>
  <c r="B18" i="119"/>
  <c r="E292" i="12"/>
  <c r="E292" i="120" s="1"/>
  <c r="E32" i="122"/>
  <c r="E30" i="122"/>
  <c r="E29" i="122"/>
  <c r="H928" i="120"/>
  <c r="E928" i="120"/>
  <c r="B928" i="120"/>
  <c r="H925" i="120"/>
  <c r="E925" i="120"/>
  <c r="B925" i="120"/>
  <c r="H924" i="120"/>
  <c r="E924" i="120"/>
  <c r="B924" i="120"/>
  <c r="E923" i="120"/>
  <c r="B923" i="120"/>
  <c r="H922" i="120"/>
  <c r="E922" i="120"/>
  <c r="B922" i="120"/>
  <c r="H921" i="120"/>
  <c r="E921" i="120"/>
  <c r="B921" i="120"/>
  <c r="E920" i="120"/>
  <c r="B920" i="120"/>
  <c r="H919" i="120"/>
  <c r="E919" i="120"/>
  <c r="B919" i="120"/>
  <c r="E918" i="120"/>
  <c r="B918" i="120"/>
  <c r="H917" i="120"/>
  <c r="E917" i="120"/>
  <c r="B917" i="120"/>
  <c r="E916" i="120"/>
  <c r="B916" i="120"/>
  <c r="E915" i="120"/>
  <c r="B915" i="120"/>
  <c r="H914" i="120"/>
  <c r="E914" i="120"/>
  <c r="B914" i="120"/>
  <c r="H913" i="120"/>
  <c r="E913" i="120"/>
  <c r="B913" i="120"/>
  <c r="H912" i="120"/>
  <c r="E912" i="120"/>
  <c r="B912" i="120"/>
  <c r="H911" i="120"/>
  <c r="E911" i="120"/>
  <c r="B911" i="120"/>
  <c r="H910" i="120"/>
  <c r="E910" i="120"/>
  <c r="B910" i="120"/>
  <c r="E909" i="120"/>
  <c r="B909" i="120"/>
  <c r="H908" i="120"/>
  <c r="E908" i="120"/>
  <c r="B908" i="120"/>
  <c r="H907" i="120"/>
  <c r="E907" i="120"/>
  <c r="B907" i="120"/>
  <c r="E906" i="120"/>
  <c r="B906" i="120"/>
  <c r="E905" i="120"/>
  <c r="B905" i="120"/>
  <c r="H904" i="120"/>
  <c r="E904" i="120"/>
  <c r="B904" i="120"/>
  <c r="H903" i="120"/>
  <c r="E903" i="120"/>
  <c r="B903" i="120"/>
  <c r="H902" i="120"/>
  <c r="E902" i="120"/>
  <c r="B902" i="120"/>
  <c r="E901" i="120"/>
  <c r="B901" i="120"/>
  <c r="E900" i="120"/>
  <c r="B900" i="120"/>
  <c r="E899" i="120"/>
  <c r="B899" i="120"/>
  <c r="E898" i="120"/>
  <c r="B898" i="120"/>
  <c r="H897" i="120"/>
  <c r="E897" i="120"/>
  <c r="B897" i="120"/>
  <c r="H896" i="120"/>
  <c r="E896" i="120"/>
  <c r="B896" i="120"/>
  <c r="E895" i="120"/>
  <c r="B895" i="120"/>
  <c r="E894" i="120"/>
  <c r="B894" i="120"/>
  <c r="E893" i="120"/>
  <c r="B893" i="120"/>
  <c r="H892" i="120"/>
  <c r="E892" i="120"/>
  <c r="B892" i="120"/>
  <c r="E886" i="120"/>
  <c r="B886" i="120"/>
  <c r="E885" i="120"/>
  <c r="B885" i="120"/>
  <c r="E884" i="120"/>
  <c r="B884" i="120"/>
  <c r="E883" i="120"/>
  <c r="B883" i="120"/>
  <c r="H882" i="120"/>
  <c r="E882" i="120"/>
  <c r="B882" i="120"/>
  <c r="E881" i="120"/>
  <c r="B881" i="120"/>
  <c r="E880" i="120"/>
  <c r="B880" i="120"/>
  <c r="H879" i="120"/>
  <c r="E879" i="120"/>
  <c r="B879" i="120"/>
  <c r="E878" i="120"/>
  <c r="B878" i="120"/>
  <c r="H877" i="120"/>
  <c r="E877" i="120"/>
  <c r="B877" i="120"/>
  <c r="E876" i="120"/>
  <c r="B876" i="120"/>
  <c r="E875" i="120"/>
  <c r="B875" i="120"/>
  <c r="E874" i="120"/>
  <c r="B874" i="120"/>
  <c r="E873" i="120"/>
  <c r="B873" i="120"/>
  <c r="E872" i="120"/>
  <c r="B872" i="120"/>
  <c r="E871" i="120"/>
  <c r="B871" i="120"/>
  <c r="H870" i="120"/>
  <c r="E870" i="120"/>
  <c r="B870" i="120"/>
  <c r="H869" i="120"/>
  <c r="E869" i="120"/>
  <c r="B869" i="120"/>
  <c r="E868" i="120"/>
  <c r="B868" i="120"/>
  <c r="H867" i="120"/>
  <c r="E867" i="120"/>
  <c r="B867" i="120"/>
  <c r="E866" i="120"/>
  <c r="B866" i="120"/>
  <c r="E865" i="120"/>
  <c r="B865" i="120"/>
  <c r="E864" i="120"/>
  <c r="B864" i="120"/>
  <c r="E863" i="120"/>
  <c r="B863" i="120"/>
  <c r="E862" i="120"/>
  <c r="B862" i="120"/>
  <c r="E861" i="120"/>
  <c r="B861" i="120"/>
  <c r="E860" i="120"/>
  <c r="B860" i="120"/>
  <c r="E859" i="120"/>
  <c r="B859" i="120"/>
  <c r="M831" i="120"/>
  <c r="M827" i="120"/>
  <c r="M826" i="120"/>
  <c r="M825" i="120"/>
  <c r="M823" i="120"/>
  <c r="M822" i="120"/>
  <c r="M821" i="120"/>
  <c r="M819" i="120"/>
  <c r="M818" i="120"/>
  <c r="M816" i="120"/>
  <c r="M814" i="120"/>
  <c r="M813" i="120"/>
  <c r="M811" i="120"/>
  <c r="M803" i="120"/>
  <c r="B856" i="120"/>
  <c r="B854" i="120"/>
  <c r="B832" i="120"/>
  <c r="E826" i="120"/>
  <c r="E825" i="120"/>
  <c r="E824" i="120"/>
  <c r="B824" i="120"/>
  <c r="E823" i="120"/>
  <c r="B823" i="120"/>
  <c r="E822" i="120"/>
  <c r="B822" i="120"/>
  <c r="E821" i="120"/>
  <c r="B821" i="120"/>
  <c r="E820" i="120"/>
  <c r="B820" i="120"/>
  <c r="E819" i="120"/>
  <c r="E818" i="120"/>
  <c r="E817" i="120"/>
  <c r="B817" i="120"/>
  <c r="E816" i="120"/>
  <c r="E815" i="120"/>
  <c r="B815" i="120"/>
  <c r="E814" i="120"/>
  <c r="E813" i="120"/>
  <c r="E812" i="120"/>
  <c r="B812" i="120"/>
  <c r="E811" i="120"/>
  <c r="E810" i="120"/>
  <c r="B810" i="120"/>
  <c r="E809" i="120"/>
  <c r="B809" i="120"/>
  <c r="E808" i="120"/>
  <c r="B808" i="120"/>
  <c r="E807" i="120"/>
  <c r="B807" i="120"/>
  <c r="E806" i="120"/>
  <c r="B806" i="120"/>
  <c r="E805" i="120"/>
  <c r="B805" i="120"/>
  <c r="E804" i="120"/>
  <c r="B804" i="120"/>
  <c r="E803" i="120"/>
  <c r="E802" i="120"/>
  <c r="B802" i="120"/>
  <c r="E801" i="120"/>
  <c r="B801" i="120"/>
  <c r="E800" i="120"/>
  <c r="B800" i="120"/>
  <c r="E799" i="120"/>
  <c r="B799" i="120"/>
  <c r="E798" i="120"/>
  <c r="B798" i="120"/>
  <c r="E797" i="120"/>
  <c r="B797" i="120"/>
  <c r="M785" i="120"/>
  <c r="M765" i="120"/>
  <c r="M763" i="120"/>
  <c r="M762" i="120"/>
  <c r="M755" i="120"/>
  <c r="B794" i="120"/>
  <c r="E784" i="120"/>
  <c r="B784" i="120"/>
  <c r="E783" i="120"/>
  <c r="B783" i="120"/>
  <c r="E782" i="120"/>
  <c r="B782" i="120"/>
  <c r="E781" i="120"/>
  <c r="B781" i="120"/>
  <c r="E780" i="120"/>
  <c r="B780" i="120"/>
  <c r="E779" i="120"/>
  <c r="B779" i="120"/>
  <c r="E778" i="120"/>
  <c r="B778" i="120"/>
  <c r="E777" i="120"/>
  <c r="B777" i="120"/>
  <c r="E776" i="120"/>
  <c r="B776" i="120"/>
  <c r="E775" i="120"/>
  <c r="B775" i="120"/>
  <c r="E774" i="120"/>
  <c r="B774" i="120"/>
  <c r="E773" i="120"/>
  <c r="B773" i="120"/>
  <c r="E772" i="120"/>
  <c r="B772" i="120"/>
  <c r="E771" i="120"/>
  <c r="B771" i="120"/>
  <c r="E770" i="120"/>
  <c r="B770" i="120"/>
  <c r="E769" i="120"/>
  <c r="B769" i="120"/>
  <c r="E768" i="120"/>
  <c r="B768" i="120"/>
  <c r="E767" i="120"/>
  <c r="B767" i="120"/>
  <c r="E766" i="120"/>
  <c r="B766" i="120"/>
  <c r="E765" i="120"/>
  <c r="H764" i="120"/>
  <c r="E764" i="120"/>
  <c r="B764" i="120"/>
  <c r="E763" i="120"/>
  <c r="E762" i="120"/>
  <c r="E761" i="120"/>
  <c r="B761" i="120"/>
  <c r="E760" i="120"/>
  <c r="B760" i="120"/>
  <c r="E759" i="120"/>
  <c r="B759" i="120"/>
  <c r="E756" i="120"/>
  <c r="B756" i="120"/>
  <c r="E755" i="120"/>
  <c r="B755" i="120"/>
  <c r="E754" i="120"/>
  <c r="B754" i="120"/>
  <c r="E753" i="120"/>
  <c r="B753" i="120"/>
  <c r="M722" i="120"/>
  <c r="M721" i="120"/>
  <c r="M720" i="120"/>
  <c r="M736" i="120"/>
  <c r="M731" i="120"/>
  <c r="B750" i="120"/>
  <c r="E748" i="120"/>
  <c r="B748" i="120"/>
  <c r="E747" i="120"/>
  <c r="B747" i="120"/>
  <c r="E746" i="120"/>
  <c r="B746" i="120"/>
  <c r="E745" i="120"/>
  <c r="B745" i="120"/>
  <c r="E744" i="120"/>
  <c r="B744" i="120"/>
  <c r="E743" i="120"/>
  <c r="B743" i="120"/>
  <c r="E742" i="120"/>
  <c r="B742" i="120"/>
  <c r="E741" i="120"/>
  <c r="B741" i="120"/>
  <c r="E740" i="120"/>
  <c r="B740" i="120"/>
  <c r="E739" i="120"/>
  <c r="B739" i="120"/>
  <c r="E738" i="120"/>
  <c r="B738" i="120"/>
  <c r="E737" i="120"/>
  <c r="B737" i="120"/>
  <c r="E736" i="120"/>
  <c r="E735" i="120"/>
  <c r="B735" i="120"/>
  <c r="E734" i="120"/>
  <c r="B734" i="120"/>
  <c r="E733" i="120"/>
  <c r="B733" i="120"/>
  <c r="E732" i="120"/>
  <c r="B732" i="120"/>
  <c r="E731" i="120"/>
  <c r="E730" i="120"/>
  <c r="B730" i="120"/>
  <c r="E729" i="120"/>
  <c r="B729" i="120"/>
  <c r="E728" i="120"/>
  <c r="B728" i="120"/>
  <c r="E727" i="120"/>
  <c r="B727" i="120"/>
  <c r="E726" i="120"/>
  <c r="B726" i="120"/>
  <c r="E725" i="120"/>
  <c r="B725" i="120"/>
  <c r="E724" i="120"/>
  <c r="B724" i="120"/>
  <c r="E723" i="120"/>
  <c r="B723" i="120"/>
  <c r="E722" i="120"/>
  <c r="E721" i="120"/>
  <c r="E720" i="120"/>
  <c r="M678" i="120"/>
  <c r="M674" i="120"/>
  <c r="M673" i="120"/>
  <c r="M669" i="120"/>
  <c r="M668" i="120"/>
  <c r="M660" i="120"/>
  <c r="M659" i="120"/>
  <c r="M655" i="120"/>
  <c r="M646" i="120"/>
  <c r="B717" i="120"/>
  <c r="B715" i="120"/>
  <c r="B679" i="120"/>
  <c r="E674" i="120"/>
  <c r="E673" i="120"/>
  <c r="E672" i="120"/>
  <c r="B672" i="120"/>
  <c r="E671" i="120"/>
  <c r="B671" i="120"/>
  <c r="E670" i="120"/>
  <c r="B670" i="120"/>
  <c r="E669" i="120"/>
  <c r="B669" i="120"/>
  <c r="E668" i="120"/>
  <c r="B668" i="120"/>
  <c r="E667" i="120"/>
  <c r="B667" i="120"/>
  <c r="E666" i="120"/>
  <c r="B666" i="120"/>
  <c r="E665" i="120"/>
  <c r="B665" i="120"/>
  <c r="E664" i="120"/>
  <c r="B664" i="120"/>
  <c r="E663" i="120"/>
  <c r="B663" i="120"/>
  <c r="E662" i="120"/>
  <c r="B662" i="120"/>
  <c r="E661" i="120"/>
  <c r="B661" i="120"/>
  <c r="E660" i="120"/>
  <c r="E659" i="120"/>
  <c r="E658" i="120"/>
  <c r="B658" i="120"/>
  <c r="E657" i="120"/>
  <c r="B657" i="120"/>
  <c r="E656" i="120"/>
  <c r="B656" i="120"/>
  <c r="E655" i="120"/>
  <c r="E654" i="120"/>
  <c r="B654" i="120"/>
  <c r="E653" i="120"/>
  <c r="B653" i="120"/>
  <c r="E652" i="120"/>
  <c r="B652" i="120"/>
  <c r="E651" i="120"/>
  <c r="B651" i="120"/>
  <c r="E649" i="120"/>
  <c r="B649" i="120"/>
  <c r="E648" i="120"/>
  <c r="B648" i="120"/>
  <c r="E647" i="120"/>
  <c r="B647" i="120"/>
  <c r="E646" i="120"/>
  <c r="M640" i="120"/>
  <c r="M638" i="120"/>
  <c r="M634" i="120"/>
  <c r="M633" i="120"/>
  <c r="M632" i="120"/>
  <c r="M631" i="120"/>
  <c r="B635" i="120"/>
  <c r="E633" i="120"/>
  <c r="E632" i="120"/>
  <c r="E631" i="120"/>
  <c r="B631" i="120"/>
  <c r="E629" i="120"/>
  <c r="B629" i="120"/>
  <c r="E628" i="120"/>
  <c r="B628" i="120"/>
  <c r="E627" i="120"/>
  <c r="B627" i="120"/>
  <c r="E626" i="120"/>
  <c r="B626" i="120"/>
  <c r="E625" i="120"/>
  <c r="B625" i="120"/>
  <c r="M590" i="120"/>
  <c r="M589" i="120"/>
  <c r="E598" i="120"/>
  <c r="B598" i="120"/>
  <c r="E597" i="120"/>
  <c r="B597" i="120"/>
  <c r="E596" i="120"/>
  <c r="B596" i="120"/>
  <c r="E595" i="120"/>
  <c r="B595" i="120"/>
  <c r="E594" i="120"/>
  <c r="B594" i="120"/>
  <c r="E593" i="120"/>
  <c r="B593" i="120"/>
  <c r="E592" i="120"/>
  <c r="B592" i="120"/>
  <c r="E591" i="120"/>
  <c r="B591" i="120"/>
  <c r="E590" i="120"/>
  <c r="E589" i="120"/>
  <c r="E588" i="120"/>
  <c r="B588" i="120"/>
  <c r="E587" i="120"/>
  <c r="B587" i="120"/>
  <c r="E586" i="120"/>
  <c r="B586" i="120"/>
  <c r="E585" i="120"/>
  <c r="B585" i="120"/>
  <c r="E584" i="120"/>
  <c r="B584" i="120"/>
  <c r="E583" i="120"/>
  <c r="B583" i="120"/>
  <c r="M545" i="120"/>
  <c r="M542" i="120"/>
  <c r="M541" i="120"/>
  <c r="M540" i="120"/>
  <c r="M536" i="120"/>
  <c r="M535" i="120"/>
  <c r="M534" i="120"/>
  <c r="M532" i="120"/>
  <c r="M515" i="120"/>
  <c r="M514" i="120"/>
  <c r="B568" i="120"/>
  <c r="E542" i="120"/>
  <c r="B542" i="120"/>
  <c r="E541" i="120"/>
  <c r="E540" i="120"/>
  <c r="E539" i="120"/>
  <c r="B539" i="120"/>
  <c r="E538" i="120"/>
  <c r="B538" i="120"/>
  <c r="E537" i="120"/>
  <c r="B537" i="120"/>
  <c r="E536" i="120"/>
  <c r="E535" i="120"/>
  <c r="E534" i="120"/>
  <c r="E533" i="120"/>
  <c r="B533" i="120"/>
  <c r="E532" i="120"/>
  <c r="E531" i="120"/>
  <c r="B531" i="120"/>
  <c r="E530" i="120"/>
  <c r="B530" i="120"/>
  <c r="E529" i="120"/>
  <c r="B529" i="120"/>
  <c r="E528" i="120"/>
  <c r="B528" i="120"/>
  <c r="E527" i="120"/>
  <c r="B527" i="120"/>
  <c r="E526" i="120"/>
  <c r="B526" i="120"/>
  <c r="E525" i="120"/>
  <c r="B525" i="120"/>
  <c r="E524" i="120"/>
  <c r="B524" i="120"/>
  <c r="E523" i="120"/>
  <c r="B523" i="120"/>
  <c r="E522" i="120"/>
  <c r="B522" i="120"/>
  <c r="E521" i="120"/>
  <c r="B521" i="120"/>
  <c r="E520" i="120"/>
  <c r="B520" i="120"/>
  <c r="E519" i="120"/>
  <c r="B519" i="120"/>
  <c r="E518" i="120"/>
  <c r="B518" i="120"/>
  <c r="E517" i="120"/>
  <c r="B517" i="120"/>
  <c r="E516" i="120"/>
  <c r="B516" i="120"/>
  <c r="E515" i="120"/>
  <c r="E514" i="120"/>
  <c r="B514" i="120"/>
  <c r="E513" i="120"/>
  <c r="B513" i="120"/>
  <c r="E512" i="120"/>
  <c r="B512" i="120"/>
  <c r="E511" i="120"/>
  <c r="B511" i="120"/>
  <c r="E510" i="120"/>
  <c r="B510" i="120"/>
  <c r="E509" i="120"/>
  <c r="B509" i="120"/>
  <c r="E508" i="120"/>
  <c r="B508" i="120"/>
  <c r="E507" i="120"/>
  <c r="B507" i="120"/>
  <c r="M467" i="120"/>
  <c r="M466" i="120"/>
  <c r="M463" i="120"/>
  <c r="M462" i="120"/>
  <c r="M460" i="120"/>
  <c r="M453" i="120"/>
  <c r="M451" i="120"/>
  <c r="B472" i="120"/>
  <c r="E466" i="120"/>
  <c r="E465" i="120"/>
  <c r="B465" i="120"/>
  <c r="E464" i="120"/>
  <c r="B464" i="120"/>
  <c r="E463" i="120"/>
  <c r="E462" i="120"/>
  <c r="E461" i="120"/>
  <c r="B461" i="120"/>
  <c r="E460" i="120"/>
  <c r="E459" i="120"/>
  <c r="B459" i="120"/>
  <c r="E457" i="120"/>
  <c r="B457" i="120"/>
  <c r="E456" i="120"/>
  <c r="B456" i="120"/>
  <c r="E455" i="120"/>
  <c r="B455" i="120"/>
  <c r="E454" i="120"/>
  <c r="B454" i="120"/>
  <c r="E453" i="120"/>
  <c r="B453" i="120"/>
  <c r="E452" i="120"/>
  <c r="B452" i="120"/>
  <c r="E451" i="120"/>
  <c r="B451" i="120"/>
  <c r="E450" i="120"/>
  <c r="B450" i="120"/>
  <c r="E449" i="120"/>
  <c r="B449" i="120"/>
  <c r="M441" i="120"/>
  <c r="M439" i="120"/>
  <c r="M430" i="120"/>
  <c r="E438" i="120"/>
  <c r="B438" i="120"/>
  <c r="E437" i="120"/>
  <c r="B437" i="120"/>
  <c r="E436" i="120"/>
  <c r="B436" i="120"/>
  <c r="E435" i="120"/>
  <c r="B435" i="120"/>
  <c r="E434" i="120"/>
  <c r="B434" i="120"/>
  <c r="E433" i="120"/>
  <c r="B433" i="120"/>
  <c r="E432" i="120"/>
  <c r="B432" i="120"/>
  <c r="E431" i="120"/>
  <c r="B431" i="120"/>
  <c r="E430" i="120"/>
  <c r="B430" i="120"/>
  <c r="E429" i="120"/>
  <c r="B429" i="120"/>
  <c r="E428" i="120"/>
  <c r="B428" i="120"/>
  <c r="E427" i="120"/>
  <c r="B427" i="120"/>
  <c r="E426" i="120"/>
  <c r="B426" i="120"/>
  <c r="E425" i="120"/>
  <c r="B425" i="120"/>
  <c r="E424" i="120"/>
  <c r="B424" i="120"/>
  <c r="E423" i="120"/>
  <c r="B423" i="120"/>
  <c r="E422" i="120"/>
  <c r="B422" i="120"/>
  <c r="E421" i="120"/>
  <c r="B421" i="120"/>
  <c r="E420" i="120"/>
  <c r="B420" i="120"/>
  <c r="E419" i="120"/>
  <c r="B419" i="120"/>
  <c r="E418" i="120"/>
  <c r="B418" i="120"/>
  <c r="E417" i="120"/>
  <c r="B417" i="120"/>
  <c r="E416" i="120"/>
  <c r="B416" i="120"/>
  <c r="E415" i="120"/>
  <c r="B415" i="120"/>
  <c r="E414" i="120"/>
  <c r="B414" i="120"/>
  <c r="M401" i="120"/>
  <c r="M404" i="120"/>
  <c r="M402" i="120"/>
  <c r="M400" i="120"/>
  <c r="M403" i="120"/>
  <c r="M399" i="120"/>
  <c r="M398" i="120"/>
  <c r="M397" i="120"/>
  <c r="M396" i="120"/>
  <c r="M392" i="120"/>
  <c r="M390" i="120"/>
  <c r="B407" i="120"/>
  <c r="B401" i="120"/>
  <c r="E399" i="120"/>
  <c r="E398" i="120"/>
  <c r="B398" i="120"/>
  <c r="E397" i="120"/>
  <c r="E396" i="120"/>
  <c r="E395" i="120"/>
  <c r="B395" i="120"/>
  <c r="E394" i="120"/>
  <c r="B394" i="120"/>
  <c r="E393" i="120"/>
  <c r="B393" i="120"/>
  <c r="E392" i="120"/>
  <c r="E390" i="120"/>
  <c r="E389" i="120"/>
  <c r="B389" i="120"/>
  <c r="E388" i="120"/>
  <c r="B388" i="120"/>
  <c r="E387" i="120"/>
  <c r="B387" i="120"/>
  <c r="E385" i="120"/>
  <c r="B385" i="120"/>
  <c r="E384" i="120"/>
  <c r="B384" i="120"/>
  <c r="E383" i="120"/>
  <c r="B383" i="120"/>
  <c r="E382" i="120"/>
  <c r="B382" i="120"/>
  <c r="E381" i="120"/>
  <c r="B381" i="120"/>
  <c r="E380" i="120"/>
  <c r="B380" i="120"/>
  <c r="E379" i="120"/>
  <c r="B379" i="120"/>
  <c r="E378" i="120"/>
  <c r="B378" i="120"/>
  <c r="E377" i="120"/>
  <c r="B377" i="120"/>
  <c r="E376" i="120"/>
  <c r="B376" i="120"/>
  <c r="E375" i="120"/>
  <c r="B375" i="120"/>
  <c r="E374" i="120"/>
  <c r="B374" i="120"/>
  <c r="E373" i="120"/>
  <c r="B373" i="120"/>
  <c r="E371" i="120"/>
  <c r="B371" i="120"/>
  <c r="E370" i="120"/>
  <c r="B370" i="120"/>
  <c r="E369" i="120"/>
  <c r="B369" i="120"/>
  <c r="E368" i="120"/>
  <c r="B368" i="120"/>
  <c r="E367" i="120"/>
  <c r="B367" i="120"/>
  <c r="E366" i="120"/>
  <c r="B366" i="120"/>
  <c r="E365" i="120"/>
  <c r="B365" i="120"/>
  <c r="E364" i="120"/>
  <c r="B364" i="120"/>
  <c r="E363" i="120"/>
  <c r="B363" i="120"/>
  <c r="E362" i="120"/>
  <c r="B362" i="120"/>
  <c r="E361" i="120"/>
  <c r="B361" i="120"/>
  <c r="E360" i="120"/>
  <c r="B360" i="120"/>
  <c r="E359" i="120"/>
  <c r="B359" i="120"/>
  <c r="E358" i="120"/>
  <c r="B358" i="120"/>
  <c r="E357" i="120"/>
  <c r="B357" i="120"/>
  <c r="E356" i="120"/>
  <c r="B356" i="120"/>
  <c r="E355" i="120"/>
  <c r="B355" i="120"/>
  <c r="E354" i="120"/>
  <c r="B354" i="120"/>
  <c r="E353" i="120"/>
  <c r="B353" i="120"/>
  <c r="B352" i="120"/>
  <c r="B351" i="120"/>
  <c r="E350" i="120"/>
  <c r="B350" i="120"/>
  <c r="E349" i="120"/>
  <c r="E348" i="120"/>
  <c r="E347" i="120"/>
  <c r="E346" i="120"/>
  <c r="B346" i="120"/>
  <c r="M349" i="120"/>
  <c r="M348" i="120"/>
  <c r="M347" i="120"/>
  <c r="M336" i="120"/>
  <c r="M334" i="120"/>
  <c r="E342" i="120"/>
  <c r="B342" i="120"/>
  <c r="E341" i="120"/>
  <c r="B341" i="120"/>
  <c r="E340" i="120"/>
  <c r="B340" i="120"/>
  <c r="E339" i="120"/>
  <c r="B339" i="120"/>
  <c r="E338" i="120"/>
  <c r="B338" i="120"/>
  <c r="E337" i="120"/>
  <c r="B337" i="120"/>
  <c r="E336" i="120"/>
  <c r="B336" i="120"/>
  <c r="E335" i="120"/>
  <c r="B335" i="120"/>
  <c r="E334" i="120"/>
  <c r="E333" i="120"/>
  <c r="B333" i="120"/>
  <c r="E332" i="120"/>
  <c r="B332" i="120"/>
  <c r="E331" i="120"/>
  <c r="B331" i="120"/>
  <c r="E329" i="120"/>
  <c r="B329" i="120"/>
  <c r="E328" i="120"/>
  <c r="B328" i="120"/>
  <c r="E327" i="120"/>
  <c r="B327" i="120"/>
  <c r="E325" i="120"/>
  <c r="B325" i="120"/>
  <c r="E324" i="120"/>
  <c r="B324" i="120"/>
  <c r="M321" i="120"/>
  <c r="E321" i="120"/>
  <c r="E320" i="120"/>
  <c r="B320" i="120"/>
  <c r="E319" i="120"/>
  <c r="B319" i="120"/>
  <c r="E318" i="120"/>
  <c r="B318" i="120"/>
  <c r="E317" i="120"/>
  <c r="B317" i="120"/>
  <c r="E316" i="120"/>
  <c r="B316" i="120"/>
  <c r="H311" i="120"/>
  <c r="E311" i="120"/>
  <c r="B311" i="120"/>
  <c r="E310" i="120"/>
  <c r="B310" i="120"/>
  <c r="E309" i="120"/>
  <c r="B309" i="120"/>
  <c r="E308" i="120"/>
  <c r="B308" i="120"/>
  <c r="E307" i="120"/>
  <c r="B307" i="120"/>
  <c r="E305" i="120"/>
  <c r="B305" i="120"/>
  <c r="H304" i="120"/>
  <c r="E304" i="120"/>
  <c r="B304" i="120"/>
  <c r="H303" i="120"/>
  <c r="E303" i="120"/>
  <c r="B303" i="120"/>
  <c r="H302" i="120"/>
  <c r="E302" i="120"/>
  <c r="B302" i="120"/>
  <c r="E300" i="120"/>
  <c r="B300" i="120"/>
  <c r="H297" i="120"/>
  <c r="E297" i="120"/>
  <c r="B297" i="120"/>
  <c r="E288" i="120"/>
  <c r="B288" i="120"/>
  <c r="E287" i="120"/>
  <c r="B287" i="120"/>
  <c r="E286" i="120"/>
  <c r="B286" i="120"/>
  <c r="E285" i="120"/>
  <c r="B285" i="120"/>
  <c r="E284" i="120"/>
  <c r="B284" i="120"/>
  <c r="E283" i="120"/>
  <c r="B283" i="120"/>
  <c r="E282" i="120"/>
  <c r="B282" i="120"/>
  <c r="E281" i="120"/>
  <c r="B281" i="120"/>
  <c r="E280" i="120"/>
  <c r="B280" i="120"/>
  <c r="E279" i="120"/>
  <c r="B279" i="120"/>
  <c r="E278" i="120"/>
  <c r="B278" i="120"/>
  <c r="E276" i="120"/>
  <c r="B276" i="120"/>
  <c r="E275" i="120"/>
  <c r="B275" i="120"/>
  <c r="E274" i="120"/>
  <c r="B274" i="120"/>
  <c r="E268" i="120"/>
  <c r="B268" i="120"/>
  <c r="E267" i="120"/>
  <c r="B267" i="120"/>
  <c r="E266" i="120"/>
  <c r="B266" i="120"/>
  <c r="E265" i="120"/>
  <c r="B265" i="120"/>
  <c r="E263" i="120"/>
  <c r="B263" i="120"/>
  <c r="E262" i="120"/>
  <c r="B262" i="120"/>
  <c r="E258" i="120"/>
  <c r="B258" i="120"/>
  <c r="E257" i="120"/>
  <c r="B257" i="120"/>
  <c r="E256" i="120"/>
  <c r="B256" i="120"/>
  <c r="E254" i="120"/>
  <c r="B254" i="120"/>
  <c r="E251" i="120"/>
  <c r="B251" i="120"/>
  <c r="E250" i="120"/>
  <c r="B250" i="120"/>
  <c r="E249" i="120"/>
  <c r="B249" i="120"/>
  <c r="E241" i="120"/>
  <c r="B241" i="120"/>
  <c r="E239" i="120"/>
  <c r="B239" i="120"/>
  <c r="E237" i="120"/>
  <c r="B237" i="120"/>
  <c r="E235" i="120"/>
  <c r="B235" i="120"/>
  <c r="E233" i="120"/>
  <c r="B233" i="120"/>
  <c r="E232" i="120"/>
  <c r="B232" i="120"/>
  <c r="E231" i="120"/>
  <c r="B231" i="120"/>
  <c r="E230" i="120"/>
  <c r="B230" i="120"/>
  <c r="E229" i="120"/>
  <c r="B229" i="120"/>
  <c r="E228" i="120"/>
  <c r="B228" i="120"/>
  <c r="E227" i="120"/>
  <c r="B227" i="120"/>
  <c r="E226" i="120"/>
  <c r="E225" i="120"/>
  <c r="B225" i="120"/>
  <c r="E224" i="120"/>
  <c r="B224" i="120"/>
  <c r="E221" i="120"/>
  <c r="B221" i="120"/>
  <c r="E218" i="120"/>
  <c r="B218" i="120"/>
  <c r="E217" i="120"/>
  <c r="B217" i="120"/>
  <c r="E215" i="120"/>
  <c r="B215" i="120"/>
  <c r="E212" i="120"/>
  <c r="B212" i="120"/>
  <c r="E209" i="120"/>
  <c r="B209" i="120"/>
  <c r="E208" i="120"/>
  <c r="B208" i="120"/>
  <c r="E201" i="120"/>
  <c r="B201" i="120"/>
  <c r="E200" i="120"/>
  <c r="B200" i="120"/>
  <c r="E199" i="120"/>
  <c r="B199" i="120"/>
  <c r="E198" i="120"/>
  <c r="B198" i="120"/>
  <c r="E197" i="120"/>
  <c r="B197" i="120"/>
  <c r="E195" i="120"/>
  <c r="B195" i="120"/>
  <c r="E194" i="120"/>
  <c r="B194" i="120"/>
  <c r="E193" i="120"/>
  <c r="B193" i="120"/>
  <c r="E192" i="120"/>
  <c r="B192" i="120"/>
  <c r="E191" i="120"/>
  <c r="B191" i="120"/>
  <c r="E186" i="120"/>
  <c r="B186" i="120"/>
  <c r="M172" i="120"/>
  <c r="M168" i="120"/>
  <c r="M167" i="120"/>
  <c r="E168" i="120"/>
  <c r="E167" i="120"/>
  <c r="B167" i="120"/>
  <c r="E166" i="120"/>
  <c r="B166" i="120"/>
  <c r="E165" i="120"/>
  <c r="B165" i="120"/>
  <c r="E164" i="120"/>
  <c r="B164" i="120"/>
  <c r="E163" i="120"/>
  <c r="B163" i="120"/>
  <c r="E162" i="120"/>
  <c r="B162" i="120"/>
  <c r="E160" i="120"/>
  <c r="B160" i="120"/>
  <c r="E158" i="120"/>
  <c r="B158" i="120"/>
  <c r="E157" i="120"/>
  <c r="B157" i="120"/>
  <c r="E156" i="120"/>
  <c r="B156" i="120"/>
  <c r="E155" i="120"/>
  <c r="B155" i="120"/>
  <c r="E154" i="120"/>
  <c r="B154" i="120"/>
  <c r="E153" i="120"/>
  <c r="B153" i="120"/>
  <c r="E152" i="120"/>
  <c r="B152" i="120"/>
  <c r="E150" i="120"/>
  <c r="B150" i="120"/>
  <c r="E147" i="120"/>
  <c r="B147" i="120"/>
  <c r="E145" i="120"/>
  <c r="B145" i="120"/>
  <c r="E144" i="120"/>
  <c r="B144" i="120"/>
  <c r="E137" i="120"/>
  <c r="B137" i="120"/>
  <c r="E134" i="120"/>
  <c r="B134" i="120"/>
  <c r="E129" i="120"/>
  <c r="B129" i="120"/>
  <c r="E128" i="120"/>
  <c r="B128" i="120"/>
  <c r="E127" i="120"/>
  <c r="B127" i="120"/>
  <c r="E126" i="120"/>
  <c r="B126" i="120"/>
  <c r="E125" i="120"/>
  <c r="B125" i="120"/>
  <c r="E123" i="120"/>
  <c r="B123" i="120"/>
  <c r="E122" i="120"/>
  <c r="B122" i="120"/>
  <c r="E120" i="120"/>
  <c r="B120" i="120"/>
  <c r="E118" i="120"/>
  <c r="B118" i="120"/>
  <c r="E117" i="120"/>
  <c r="B117" i="120"/>
  <c r="E116" i="120"/>
  <c r="B116" i="120"/>
  <c r="E115" i="120"/>
  <c r="B115" i="120"/>
  <c r="E114" i="120"/>
  <c r="B114" i="120"/>
  <c r="E113" i="120"/>
  <c r="B113" i="120"/>
  <c r="E112" i="120"/>
  <c r="B112" i="120"/>
  <c r="E110" i="120"/>
  <c r="B110" i="120"/>
  <c r="E107" i="120"/>
  <c r="B107" i="120"/>
  <c r="E105" i="120"/>
  <c r="B105" i="120"/>
  <c r="E104" i="120"/>
  <c r="B104" i="120"/>
  <c r="E103" i="120"/>
  <c r="B103" i="120"/>
  <c r="E102" i="120"/>
  <c r="B102" i="120"/>
  <c r="M95" i="120"/>
  <c r="M91" i="120"/>
  <c r="B92" i="120"/>
  <c r="E89" i="120"/>
  <c r="B89" i="120"/>
  <c r="E87" i="120"/>
  <c r="B87" i="120"/>
  <c r="E83" i="120"/>
  <c r="B83" i="120"/>
  <c r="E75" i="120"/>
  <c r="B75" i="120"/>
  <c r="E72" i="120"/>
  <c r="B72" i="120"/>
  <c r="E70" i="120"/>
  <c r="B70" i="120"/>
  <c r="E69" i="120"/>
  <c r="B69" i="120"/>
  <c r="E68" i="120"/>
  <c r="B68" i="120"/>
  <c r="E67" i="120"/>
  <c r="B67" i="120"/>
  <c r="E66" i="120"/>
  <c r="B66" i="120"/>
  <c r="E64" i="120"/>
  <c r="B64" i="120"/>
  <c r="H51" i="120"/>
  <c r="B51" i="120"/>
  <c r="B38" i="120"/>
  <c r="B37" i="120"/>
  <c r="B36" i="120"/>
  <c r="I265" i="120"/>
  <c r="H1" i="134"/>
  <c r="D889" i="120"/>
  <c r="I34" i="120"/>
  <c r="C31" i="120"/>
  <c r="B81" i="134" s="1"/>
  <c r="C30" i="120"/>
  <c r="B77" i="134" s="1"/>
  <c r="C29" i="120"/>
  <c r="B73" i="134" s="1"/>
  <c r="C28" i="120"/>
  <c r="B69" i="134" s="1"/>
  <c r="C27" i="120"/>
  <c r="B65" i="134" s="1"/>
  <c r="C26" i="120"/>
  <c r="B61" i="134" s="1"/>
  <c r="C25" i="120"/>
  <c r="B57" i="134" s="1"/>
  <c r="C24" i="120"/>
  <c r="B53" i="134" s="1"/>
  <c r="C23" i="120"/>
  <c r="B49" i="134" s="1"/>
  <c r="C22" i="120"/>
  <c r="B45" i="134" s="1"/>
  <c r="C21" i="120"/>
  <c r="B41" i="134" s="1"/>
  <c r="B37" i="134"/>
  <c r="C19" i="120"/>
  <c r="B33" i="134" s="1"/>
  <c r="C18" i="120"/>
  <c r="B29" i="134" s="1"/>
  <c r="C17" i="120"/>
  <c r="B25" i="134" s="1"/>
  <c r="C16" i="120"/>
  <c r="B21" i="134" s="1"/>
  <c r="C15" i="120"/>
  <c r="B17" i="134" s="1"/>
  <c r="C14" i="120"/>
  <c r="B13" i="134" s="1"/>
  <c r="C13" i="120"/>
  <c r="B9" i="134" s="1"/>
  <c r="B13" i="120"/>
  <c r="A9" i="134" s="1"/>
  <c r="D10" i="120"/>
  <c r="N397" i="133"/>
  <c r="O397" i="133" s="1"/>
  <c r="N396" i="133"/>
  <c r="O396" i="133" s="1"/>
  <c r="N395" i="133"/>
  <c r="O395" i="133" s="1"/>
  <c r="N394" i="133"/>
  <c r="O394" i="133" s="1"/>
  <c r="N393" i="133"/>
  <c r="O393" i="133" s="1"/>
  <c r="N392" i="133"/>
  <c r="N391" i="133"/>
  <c r="O391" i="133" s="1"/>
  <c r="N390" i="133"/>
  <c r="O390" i="133" s="1"/>
  <c r="N2" i="133"/>
  <c r="O2" i="133" s="1"/>
  <c r="O3" i="133" s="1"/>
  <c r="N4" i="133"/>
  <c r="O4" i="133" s="1"/>
  <c r="O5" i="133" s="1"/>
  <c r="N6" i="133"/>
  <c r="O6" i="133" s="1"/>
  <c r="O7" i="133" s="1"/>
  <c r="N8" i="133"/>
  <c r="O8" i="133" s="1"/>
  <c r="O9" i="133" s="1"/>
  <c r="N10" i="133"/>
  <c r="O10" i="133" s="1"/>
  <c r="O11" i="133" s="1"/>
  <c r="N12" i="133"/>
  <c r="O12" i="133" s="1"/>
  <c r="O13" i="133" s="1"/>
  <c r="N14" i="133"/>
  <c r="O14" i="133" s="1"/>
  <c r="O15" i="133" s="1"/>
  <c r="N16" i="133"/>
  <c r="O16" i="133" s="1"/>
  <c r="O17" i="133" s="1"/>
  <c r="N18" i="133"/>
  <c r="O18" i="133" s="1"/>
  <c r="O19" i="133" s="1"/>
  <c r="N20" i="133"/>
  <c r="O20" i="133" s="1"/>
  <c r="O21" i="133" s="1"/>
  <c r="N22" i="133"/>
  <c r="O22" i="133" s="1"/>
  <c r="O23" i="133" s="1"/>
  <c r="N24" i="133"/>
  <c r="O24" i="133" s="1"/>
  <c r="O25" i="133" s="1"/>
  <c r="N26" i="133"/>
  <c r="O26" i="133" s="1"/>
  <c r="O27" i="133" s="1"/>
  <c r="N28" i="133"/>
  <c r="O28" i="133" s="1"/>
  <c r="O29" i="133" s="1"/>
  <c r="N30" i="133"/>
  <c r="O30" i="133" s="1"/>
  <c r="O31" i="133" s="1"/>
  <c r="N32" i="133"/>
  <c r="O32" i="133" s="1"/>
  <c r="O33" i="133" s="1"/>
  <c r="N34" i="133"/>
  <c r="O34" i="133" s="1"/>
  <c r="O35" i="133" s="1"/>
  <c r="N36" i="133"/>
  <c r="O36" i="133" s="1"/>
  <c r="O37" i="133" s="1"/>
  <c r="N38" i="133"/>
  <c r="O38" i="133" s="1"/>
  <c r="O39" i="133" s="1"/>
  <c r="N40" i="133"/>
  <c r="O40" i="133" s="1"/>
  <c r="O41" i="133" s="1"/>
  <c r="N42" i="133"/>
  <c r="O42" i="133" s="1"/>
  <c r="O43" i="133" s="1"/>
  <c r="N44" i="133"/>
  <c r="O44" i="133" s="1"/>
  <c r="O45" i="133" s="1"/>
  <c r="N46" i="133"/>
  <c r="O46" i="133" s="1"/>
  <c r="O47" i="133" s="1"/>
  <c r="N48" i="133"/>
  <c r="O48" i="133" s="1"/>
  <c r="O49" i="133" s="1"/>
  <c r="N50" i="133"/>
  <c r="O50" i="133" s="1"/>
  <c r="O51" i="133" s="1"/>
  <c r="N52" i="133"/>
  <c r="O52" i="133" s="1"/>
  <c r="O53" i="133" s="1"/>
  <c r="N54" i="133"/>
  <c r="O54" i="133" s="1"/>
  <c r="O55" i="133" s="1"/>
  <c r="N56" i="133"/>
  <c r="O56" i="133" s="1"/>
  <c r="O57" i="133" s="1"/>
  <c r="N58" i="133"/>
  <c r="O58" i="133" s="1"/>
  <c r="O59" i="133" s="1"/>
  <c r="N60" i="133"/>
  <c r="O60" i="133" s="1"/>
  <c r="O61" i="133" s="1"/>
  <c r="N62" i="133"/>
  <c r="O62" i="133" s="1"/>
  <c r="O63" i="133" s="1"/>
  <c r="N64" i="133"/>
  <c r="O64" i="133" s="1"/>
  <c r="O65" i="133" s="1"/>
  <c r="N66" i="133"/>
  <c r="O66" i="133" s="1"/>
  <c r="O67" i="133" s="1"/>
  <c r="N68" i="133"/>
  <c r="O68" i="133" s="1"/>
  <c r="O69" i="133" s="1"/>
  <c r="N70" i="133"/>
  <c r="O70" i="133" s="1"/>
  <c r="O71" i="133" s="1"/>
  <c r="N72" i="133"/>
  <c r="O72" i="133" s="1"/>
  <c r="O73" i="133" s="1"/>
  <c r="N74" i="133"/>
  <c r="O74" i="133" s="1"/>
  <c r="O75" i="133" s="1"/>
  <c r="N76" i="133"/>
  <c r="O76" i="133" s="1"/>
  <c r="O77" i="133" s="1"/>
  <c r="N78" i="133"/>
  <c r="O78" i="133" s="1"/>
  <c r="O79" i="133" s="1"/>
  <c r="N80" i="133"/>
  <c r="O80" i="133" s="1"/>
  <c r="O81" i="133" s="1"/>
  <c r="N82" i="133"/>
  <c r="O82" i="133" s="1"/>
  <c r="O83" i="133" s="1"/>
  <c r="N84" i="133"/>
  <c r="O84" i="133" s="1"/>
  <c r="O85" i="133" s="1"/>
  <c r="N86" i="133"/>
  <c r="O86" i="133" s="1"/>
  <c r="O87" i="133" s="1"/>
  <c r="N88" i="133"/>
  <c r="O88" i="133" s="1"/>
  <c r="O89" i="133" s="1"/>
  <c r="N90" i="133"/>
  <c r="O90" i="133" s="1"/>
  <c r="O91" i="133" s="1"/>
  <c r="N92" i="133"/>
  <c r="O92" i="133" s="1"/>
  <c r="O93" i="133" s="1"/>
  <c r="N94" i="133"/>
  <c r="O94" i="133" s="1"/>
  <c r="O95" i="133" s="1"/>
  <c r="N96" i="133"/>
  <c r="O96" i="133" s="1"/>
  <c r="O97" i="133" s="1"/>
  <c r="N98" i="133"/>
  <c r="O98" i="133" s="1"/>
  <c r="O99" i="133" s="1"/>
  <c r="N100" i="133"/>
  <c r="O100" i="133" s="1"/>
  <c r="O101" i="133" s="1"/>
  <c r="N102" i="133"/>
  <c r="O102" i="133" s="1"/>
  <c r="O103" i="133" s="1"/>
  <c r="N104" i="133"/>
  <c r="O104" i="133" s="1"/>
  <c r="O105" i="133" s="1"/>
  <c r="N106" i="133"/>
  <c r="O106" i="133" s="1"/>
  <c r="O107" i="133" s="1"/>
  <c r="N108" i="133"/>
  <c r="O108" i="133" s="1"/>
  <c r="O109" i="133" s="1"/>
  <c r="N110" i="133"/>
  <c r="O110" i="133" s="1"/>
  <c r="O111" i="133" s="1"/>
  <c r="N112" i="133"/>
  <c r="O112" i="133" s="1"/>
  <c r="O113" i="133" s="1"/>
  <c r="N114" i="133"/>
  <c r="O114" i="133" s="1"/>
  <c r="O115" i="133" s="1"/>
  <c r="N116" i="133"/>
  <c r="O116" i="133" s="1"/>
  <c r="O117" i="133" s="1"/>
  <c r="N118" i="133"/>
  <c r="O118" i="133" s="1"/>
  <c r="O119" i="133" s="1"/>
  <c r="N120" i="133"/>
  <c r="O120" i="133" s="1"/>
  <c r="O121" i="133" s="1"/>
  <c r="N122" i="133"/>
  <c r="O122" i="133" s="1"/>
  <c r="O123" i="133" s="1"/>
  <c r="N124" i="133"/>
  <c r="O124" i="133" s="1"/>
  <c r="O125" i="133" s="1"/>
  <c r="N126" i="133"/>
  <c r="O126" i="133" s="1"/>
  <c r="O127" i="133" s="1"/>
  <c r="N128" i="133"/>
  <c r="O128" i="133" s="1"/>
  <c r="O129" i="133" s="1"/>
  <c r="N130" i="133"/>
  <c r="O130" i="133" s="1"/>
  <c r="O131" i="133" s="1"/>
  <c r="N132" i="133"/>
  <c r="O132" i="133" s="1"/>
  <c r="O133" i="133" s="1"/>
  <c r="N134" i="133"/>
  <c r="O134" i="133" s="1"/>
  <c r="O135" i="133" s="1"/>
  <c r="N136" i="133"/>
  <c r="O136" i="133" s="1"/>
  <c r="O137" i="133" s="1"/>
  <c r="N138" i="133"/>
  <c r="O138" i="133" s="1"/>
  <c r="O139" i="133" s="1"/>
  <c r="N140" i="133"/>
  <c r="O140" i="133" s="1"/>
  <c r="O141" i="133" s="1"/>
  <c r="N142" i="133"/>
  <c r="O142" i="133" s="1"/>
  <c r="O143" i="133" s="1"/>
  <c r="N144" i="133"/>
  <c r="O144" i="133" s="1"/>
  <c r="O145" i="133" s="1"/>
  <c r="N146" i="133"/>
  <c r="O146" i="133" s="1"/>
  <c r="O147" i="133" s="1"/>
  <c r="N148" i="133"/>
  <c r="O148" i="133" s="1"/>
  <c r="O149" i="133" s="1"/>
  <c r="N150" i="133"/>
  <c r="O150" i="133" s="1"/>
  <c r="O151" i="133" s="1"/>
  <c r="N152" i="133"/>
  <c r="O152" i="133" s="1"/>
  <c r="O153" i="133" s="1"/>
  <c r="N154" i="133"/>
  <c r="O154" i="133" s="1"/>
  <c r="O155" i="133" s="1"/>
  <c r="N156" i="133"/>
  <c r="O156" i="133" s="1"/>
  <c r="O157" i="133" s="1"/>
  <c r="N158" i="133"/>
  <c r="O158" i="133" s="1"/>
  <c r="O159" i="133" s="1"/>
  <c r="N160" i="133"/>
  <c r="O160" i="133" s="1"/>
  <c r="O161" i="133" s="1"/>
  <c r="N162" i="133"/>
  <c r="O162" i="133" s="1"/>
  <c r="O163" i="133" s="1"/>
  <c r="N164" i="133"/>
  <c r="O164" i="133" s="1"/>
  <c r="O165" i="133" s="1"/>
  <c r="N166" i="133"/>
  <c r="O166" i="133" s="1"/>
  <c r="O167" i="133" s="1"/>
  <c r="N168" i="133"/>
  <c r="O168" i="133" s="1"/>
  <c r="O169" i="133" s="1"/>
  <c r="N170" i="133"/>
  <c r="O170" i="133" s="1"/>
  <c r="O171" i="133" s="1"/>
  <c r="N172" i="133"/>
  <c r="O172" i="133" s="1"/>
  <c r="O173" i="133" s="1"/>
  <c r="N174" i="133"/>
  <c r="O174" i="133" s="1"/>
  <c r="O175" i="133" s="1"/>
  <c r="N176" i="133"/>
  <c r="O176" i="133" s="1"/>
  <c r="O177" i="133" s="1"/>
  <c r="N178" i="133"/>
  <c r="O178" i="133" s="1"/>
  <c r="O179" i="133" s="1"/>
  <c r="N180" i="133"/>
  <c r="O180" i="133" s="1"/>
  <c r="O181" i="133" s="1"/>
  <c r="N182" i="133"/>
  <c r="O182" i="133" s="1"/>
  <c r="O183" i="133" s="1"/>
  <c r="N184" i="133"/>
  <c r="O184" i="133" s="1"/>
  <c r="O185" i="133" s="1"/>
  <c r="N186" i="133"/>
  <c r="O186" i="133" s="1"/>
  <c r="O187" i="133" s="1"/>
  <c r="N188" i="133"/>
  <c r="O188" i="133" s="1"/>
  <c r="O189" i="133" s="1"/>
  <c r="N190" i="133"/>
  <c r="O190" i="133" s="1"/>
  <c r="O191" i="133" s="1"/>
  <c r="N192" i="133"/>
  <c r="O192" i="133" s="1"/>
  <c r="O193" i="133" s="1"/>
  <c r="N194" i="133"/>
  <c r="O194" i="133" s="1"/>
  <c r="O195" i="133" s="1"/>
  <c r="N196" i="133"/>
  <c r="O196" i="133" s="1"/>
  <c r="O197" i="133" s="1"/>
  <c r="N198" i="133"/>
  <c r="O198" i="133" s="1"/>
  <c r="O199" i="133" s="1"/>
  <c r="N200" i="133"/>
  <c r="O200" i="133" s="1"/>
  <c r="O201" i="133" s="1"/>
  <c r="N202" i="133"/>
  <c r="O202" i="133" s="1"/>
  <c r="O203" i="133" s="1"/>
  <c r="N204" i="133"/>
  <c r="O204" i="133" s="1"/>
  <c r="O205" i="133" s="1"/>
  <c r="N206" i="133"/>
  <c r="O206" i="133" s="1"/>
  <c r="O207" i="133" s="1"/>
  <c r="N208" i="133"/>
  <c r="O208" i="133" s="1"/>
  <c r="O209" i="133" s="1"/>
  <c r="N210" i="133"/>
  <c r="O210" i="133" s="1"/>
  <c r="O211" i="133" s="1"/>
  <c r="N212" i="133"/>
  <c r="O212" i="133" s="1"/>
  <c r="O213" i="133" s="1"/>
  <c r="N214" i="133"/>
  <c r="O214" i="133" s="1"/>
  <c r="O215" i="133" s="1"/>
  <c r="N216" i="133"/>
  <c r="O216" i="133" s="1"/>
  <c r="O217" i="133" s="1"/>
  <c r="N218" i="133"/>
  <c r="O218" i="133" s="1"/>
  <c r="O219" i="133" s="1"/>
  <c r="N220" i="133"/>
  <c r="O220" i="133" s="1"/>
  <c r="O221" i="133" s="1"/>
  <c r="N222" i="133"/>
  <c r="O222" i="133" s="1"/>
  <c r="O223" i="133" s="1"/>
  <c r="N224" i="133"/>
  <c r="O224" i="133" s="1"/>
  <c r="O225" i="133" s="1"/>
  <c r="N226" i="133"/>
  <c r="O226" i="133" s="1"/>
  <c r="O227" i="133" s="1"/>
  <c r="N228" i="133"/>
  <c r="O228" i="133" s="1"/>
  <c r="O229" i="133" s="1"/>
  <c r="N230" i="133"/>
  <c r="O230" i="133" s="1"/>
  <c r="O231" i="133" s="1"/>
  <c r="N232" i="133"/>
  <c r="O232" i="133" s="1"/>
  <c r="O233" i="133" s="1"/>
  <c r="N234" i="133"/>
  <c r="O234" i="133" s="1"/>
  <c r="O235" i="133" s="1"/>
  <c r="N236" i="133"/>
  <c r="O236" i="133" s="1"/>
  <c r="O237" i="133" s="1"/>
  <c r="N238" i="133"/>
  <c r="O238" i="133" s="1"/>
  <c r="O239" i="133" s="1"/>
  <c r="N240" i="133"/>
  <c r="O240" i="133" s="1"/>
  <c r="O241" i="133" s="1"/>
  <c r="N242" i="133"/>
  <c r="O242" i="133" s="1"/>
  <c r="O243" i="133" s="1"/>
  <c r="N244" i="133"/>
  <c r="O244" i="133" s="1"/>
  <c r="O245" i="133" s="1"/>
  <c r="N246" i="133"/>
  <c r="O246" i="133" s="1"/>
  <c r="O247" i="133" s="1"/>
  <c r="N248" i="133"/>
  <c r="O248" i="133" s="1"/>
  <c r="O249" i="133" s="1"/>
  <c r="N250" i="133"/>
  <c r="O250" i="133" s="1"/>
  <c r="O251" i="133" s="1"/>
  <c r="N252" i="133"/>
  <c r="O252" i="133" s="1"/>
  <c r="O253" i="133" s="1"/>
  <c r="N254" i="133"/>
  <c r="O254" i="133" s="1"/>
  <c r="O255" i="133" s="1"/>
  <c r="N256" i="133"/>
  <c r="O256" i="133" s="1"/>
  <c r="O257" i="133" s="1"/>
  <c r="N258" i="133"/>
  <c r="O258" i="133" s="1"/>
  <c r="O259" i="133" s="1"/>
  <c r="N260" i="133"/>
  <c r="O260" i="133" s="1"/>
  <c r="O261" i="133" s="1"/>
  <c r="N262" i="133"/>
  <c r="O262" i="133" s="1"/>
  <c r="O263" i="133" s="1"/>
  <c r="N264" i="133"/>
  <c r="O264" i="133" s="1"/>
  <c r="O265" i="133" s="1"/>
  <c r="N266" i="133"/>
  <c r="O266" i="133" s="1"/>
  <c r="O267" i="133" s="1"/>
  <c r="N268" i="133"/>
  <c r="O268" i="133" s="1"/>
  <c r="O269" i="133" s="1"/>
  <c r="N270" i="133"/>
  <c r="O270" i="133" s="1"/>
  <c r="O271" i="133" s="1"/>
  <c r="N272" i="133"/>
  <c r="O272" i="133" s="1"/>
  <c r="O273" i="133" s="1"/>
  <c r="N274" i="133"/>
  <c r="O274" i="133" s="1"/>
  <c r="O275" i="133" s="1"/>
  <c r="N276" i="133"/>
  <c r="O276" i="133" s="1"/>
  <c r="O277" i="133" s="1"/>
  <c r="N278" i="133"/>
  <c r="N279" i="133"/>
  <c r="N282" i="133"/>
  <c r="O282" i="133" s="1"/>
  <c r="N283" i="133"/>
  <c r="O283" i="133" s="1"/>
  <c r="N284" i="133"/>
  <c r="O284" i="133" s="1"/>
  <c r="N286" i="133"/>
  <c r="O286" i="133" s="1"/>
  <c r="N287" i="133"/>
  <c r="O287" i="133" s="1"/>
  <c r="N288" i="133"/>
  <c r="O288" i="133" s="1"/>
  <c r="N289" i="133"/>
  <c r="O289" i="133" s="1"/>
  <c r="N292" i="133"/>
  <c r="H875" i="12" s="1"/>
  <c r="N293" i="133"/>
  <c r="H876" i="12" s="1"/>
  <c r="H876" i="120" s="1"/>
  <c r="N296" i="133"/>
  <c r="O296" i="133" s="1"/>
  <c r="O297" i="133" s="1"/>
  <c r="N308" i="133"/>
  <c r="O308" i="133" s="1"/>
  <c r="O309" i="133" s="1"/>
  <c r="N310" i="133"/>
  <c r="O310" i="133" s="1"/>
  <c r="O311" i="133" s="1"/>
  <c r="N313" i="133"/>
  <c r="O313" i="133" s="1"/>
  <c r="O314" i="133" s="1"/>
  <c r="N315" i="133"/>
  <c r="H863" i="12" s="1"/>
  <c r="H863" i="120" s="1"/>
  <c r="N316" i="133"/>
  <c r="O316" i="133" s="1"/>
  <c r="O317" i="133" s="1"/>
  <c r="N318" i="133"/>
  <c r="O318" i="133" s="1"/>
  <c r="O319" i="133" s="1"/>
  <c r="N320" i="133"/>
  <c r="O320" i="133" s="1"/>
  <c r="O321" i="133" s="1"/>
  <c r="N322" i="133"/>
  <c r="O322" i="133" s="1"/>
  <c r="O323" i="133" s="1"/>
  <c r="N324" i="133"/>
  <c r="O324" i="133" s="1"/>
  <c r="O325" i="133" s="1"/>
  <c r="N326" i="133"/>
  <c r="O326" i="133" s="1"/>
  <c r="O327" i="133" s="1"/>
  <c r="N328" i="133"/>
  <c r="O328" i="133" s="1"/>
  <c r="O329" i="133" s="1"/>
  <c r="N330" i="133"/>
  <c r="O330" i="133" s="1"/>
  <c r="O331" i="133" s="1"/>
  <c r="N332" i="133"/>
  <c r="O332" i="133" s="1"/>
  <c r="O333" i="133" s="1"/>
  <c r="N334" i="133"/>
  <c r="O334" i="133" s="1"/>
  <c r="O335" i="133" s="1"/>
  <c r="N336" i="133"/>
  <c r="O336" i="133" s="1"/>
  <c r="O337" i="133" s="1"/>
  <c r="N338" i="133"/>
  <c r="O338" i="133" s="1"/>
  <c r="O339" i="133" s="1"/>
  <c r="N340" i="133"/>
  <c r="O340" i="133" s="1"/>
  <c r="O341" i="133" s="1"/>
  <c r="N342" i="133"/>
  <c r="O342" i="133" s="1"/>
  <c r="O343" i="133" s="1"/>
  <c r="N344" i="133"/>
  <c r="O344" i="133" s="1"/>
  <c r="O345" i="133" s="1"/>
  <c r="N346" i="133"/>
  <c r="O346" i="133" s="1"/>
  <c r="O347" i="133" s="1"/>
  <c r="N349" i="133"/>
  <c r="O349" i="133" s="1"/>
  <c r="O350" i="133" s="1"/>
  <c r="N351" i="133"/>
  <c r="O351" i="133" s="1"/>
  <c r="O352" i="133" s="1"/>
  <c r="N353" i="133"/>
  <c r="O353" i="133" s="1"/>
  <c r="O354" i="133" s="1"/>
  <c r="N356" i="133"/>
  <c r="O356" i="133" s="1"/>
  <c r="O357" i="133" s="1"/>
  <c r="N358" i="133"/>
  <c r="O358" i="133" s="1"/>
  <c r="O359" i="133" s="1"/>
  <c r="N360" i="133"/>
  <c r="O360" i="133" s="1"/>
  <c r="O361" i="133" s="1"/>
  <c r="N363" i="133"/>
  <c r="O363" i="133" s="1"/>
  <c r="O364" i="133" s="1"/>
  <c r="N365" i="133"/>
  <c r="O365" i="133" s="1"/>
  <c r="O366" i="133" s="1"/>
  <c r="N367" i="133"/>
  <c r="O367" i="133" s="1"/>
  <c r="O368" i="133" s="1"/>
  <c r="N369" i="133"/>
  <c r="O369" i="133" s="1"/>
  <c r="O370" i="133" s="1"/>
  <c r="N371" i="133"/>
  <c r="O371" i="133" s="1"/>
  <c r="O372" i="133" s="1"/>
  <c r="N373" i="133"/>
  <c r="O373" i="133" s="1"/>
  <c r="O374" i="133" s="1"/>
  <c r="N375" i="133"/>
  <c r="O375" i="133" s="1"/>
  <c r="O376" i="133" s="1"/>
  <c r="N377" i="133"/>
  <c r="O377" i="133" s="1"/>
  <c r="O378" i="133" s="1"/>
  <c r="N379" i="133"/>
  <c r="O379" i="133" s="1"/>
  <c r="O380" i="133" s="1"/>
  <c r="N381" i="133"/>
  <c r="O381" i="133" s="1"/>
  <c r="O382" i="133" s="1"/>
  <c r="N384" i="133"/>
  <c r="O384" i="133" s="1"/>
  <c r="O385" i="133" s="1"/>
  <c r="N387" i="133"/>
  <c r="O387" i="133" s="1"/>
  <c r="O388" i="133" s="1"/>
  <c r="N398" i="133"/>
  <c r="O398" i="133" s="1"/>
  <c r="N399" i="133"/>
  <c r="O399" i="133" s="1"/>
  <c r="N400" i="133"/>
  <c r="O400" i="133" s="1"/>
  <c r="N386" i="133"/>
  <c r="O386" i="133" s="1"/>
  <c r="N301" i="133"/>
  <c r="O302" i="133"/>
  <c r="O303" i="133" s="1"/>
  <c r="N298" i="133"/>
  <c r="N295" i="133"/>
  <c r="O295" i="133" s="1"/>
  <c r="N304" i="133"/>
  <c r="O304" i="133" s="1"/>
  <c r="O299" i="133"/>
  <c r="O300" i="133" s="1"/>
  <c r="P23" i="75"/>
  <c r="J39" i="49"/>
  <c r="A89" i="78"/>
  <c r="E89" i="78" s="1"/>
  <c r="A88" i="78"/>
  <c r="A87" i="78"/>
  <c r="A86" i="78"/>
  <c r="D86" i="78" s="1"/>
  <c r="A85" i="78"/>
  <c r="E85" i="78" s="1"/>
  <c r="A84" i="78"/>
  <c r="D84" i="78" s="1"/>
  <c r="A83" i="78"/>
  <c r="D83" i="78" s="1"/>
  <c r="A82" i="78"/>
  <c r="G82" i="78" s="1"/>
  <c r="A81" i="78"/>
  <c r="A80" i="78"/>
  <c r="A79" i="78"/>
  <c r="G79" i="78" s="1"/>
  <c r="A78" i="78"/>
  <c r="G78" i="78" s="1"/>
  <c r="A77" i="78"/>
  <c r="D77" i="78" s="1"/>
  <c r="A76" i="78"/>
  <c r="E76" i="78" s="1"/>
  <c r="A75" i="78"/>
  <c r="E75" i="78" s="1"/>
  <c r="A74" i="78"/>
  <c r="D74" i="78" s="1"/>
  <c r="A73" i="78"/>
  <c r="G73" i="78" s="1"/>
  <c r="A72" i="78"/>
  <c r="A71" i="78"/>
  <c r="G71" i="78" s="1"/>
  <c r="A70" i="78"/>
  <c r="A69" i="78"/>
  <c r="A68" i="78"/>
  <c r="A67" i="78"/>
  <c r="G67" i="78" s="1"/>
  <c r="A66" i="78"/>
  <c r="E66" i="78" s="1"/>
  <c r="A65" i="78"/>
  <c r="G65" i="78" s="1"/>
  <c r="A64" i="78"/>
  <c r="A63" i="78"/>
  <c r="A62" i="78"/>
  <c r="G62" i="78" s="1"/>
  <c r="A61" i="78"/>
  <c r="A60" i="78"/>
  <c r="E60" i="78" s="1"/>
  <c r="A59" i="78"/>
  <c r="D59" i="78" s="1"/>
  <c r="A58" i="78"/>
  <c r="G58" i="78" s="1"/>
  <c r="A57" i="78"/>
  <c r="A56" i="78"/>
  <c r="A55" i="78"/>
  <c r="E55" i="78" s="1"/>
  <c r="A54" i="78"/>
  <c r="D54" i="78" s="1"/>
  <c r="A53" i="78"/>
  <c r="A52" i="78"/>
  <c r="A51" i="78"/>
  <c r="E51" i="78" s="1"/>
  <c r="A50" i="78"/>
  <c r="A49" i="78"/>
  <c r="E49" i="78" s="1"/>
  <c r="A48" i="78"/>
  <c r="D48" i="78" s="1"/>
  <c r="A47" i="78"/>
  <c r="E47" i="78" s="1"/>
  <c r="A46" i="78"/>
  <c r="A45" i="78"/>
  <c r="A44" i="78"/>
  <c r="D44" i="78" s="1"/>
  <c r="A43" i="78"/>
  <c r="E43" i="78" s="1"/>
  <c r="A42" i="78"/>
  <c r="A41" i="78"/>
  <c r="A40" i="78"/>
  <c r="A39" i="78"/>
  <c r="A38" i="78"/>
  <c r="G38" i="78" s="1"/>
  <c r="A37" i="78"/>
  <c r="E37" i="78" s="1"/>
  <c r="A36" i="78"/>
  <c r="G36" i="78" s="1"/>
  <c r="A35" i="78"/>
  <c r="A34" i="78"/>
  <c r="A33" i="78"/>
  <c r="E33" i="78" s="1"/>
  <c r="A32" i="78"/>
  <c r="A31" i="78"/>
  <c r="A30" i="78"/>
  <c r="D30" i="78" s="1"/>
  <c r="A29" i="78"/>
  <c r="A28" i="78"/>
  <c r="A27" i="78"/>
  <c r="A26" i="78"/>
  <c r="D26" i="78" s="1"/>
  <c r="A25" i="78"/>
  <c r="A24" i="78"/>
  <c r="A23" i="78"/>
  <c r="E23" i="78" s="1"/>
  <c r="A22" i="78"/>
  <c r="A21" i="78"/>
  <c r="A20" i="78"/>
  <c r="G20" i="78" s="1"/>
  <c r="A19" i="78"/>
  <c r="G19" i="78" s="1"/>
  <c r="A18" i="78"/>
  <c r="A17" i="78"/>
  <c r="A16" i="78"/>
  <c r="A15" i="78"/>
  <c r="E35" i="39"/>
  <c r="E36" i="39" s="1"/>
  <c r="AA34" i="39"/>
  <c r="X34" i="39"/>
  <c r="Y34" i="39" s="1"/>
  <c r="M33" i="39"/>
  <c r="L33" i="39"/>
  <c r="K33" i="39"/>
  <c r="J33" i="39"/>
  <c r="I33" i="39"/>
  <c r="H33" i="39"/>
  <c r="G33" i="39"/>
  <c r="F33" i="39"/>
  <c r="E27" i="39"/>
  <c r="E28" i="39" s="1"/>
  <c r="AA26" i="39"/>
  <c r="X26" i="39"/>
  <c r="Y26" i="39" s="1"/>
  <c r="M25" i="39"/>
  <c r="L25" i="39"/>
  <c r="K25" i="39"/>
  <c r="J25" i="39"/>
  <c r="I25" i="39"/>
  <c r="H25" i="39"/>
  <c r="G25" i="39"/>
  <c r="F25" i="39"/>
  <c r="N761" i="120"/>
  <c r="N760" i="120"/>
  <c r="C17" i="12"/>
  <c r="E405" i="120"/>
  <c r="E401" i="12"/>
  <c r="G106" i="132"/>
  <c r="J106" i="132" s="1"/>
  <c r="G88" i="132"/>
  <c r="K88" i="132" s="1"/>
  <c r="C19" i="12"/>
  <c r="A15" i="121"/>
  <c r="A14" i="121"/>
  <c r="A13" i="121"/>
  <c r="A12" i="121"/>
  <c r="A11" i="121"/>
  <c r="G102" i="132"/>
  <c r="J102" i="132" s="1"/>
  <c r="H398" i="12" s="1"/>
  <c r="H398" i="120" s="1"/>
  <c r="G99" i="132"/>
  <c r="J99" i="132" s="1"/>
  <c r="K99" i="132" s="1"/>
  <c r="G96" i="132"/>
  <c r="J96" i="132" s="1"/>
  <c r="H396" i="12" s="1"/>
  <c r="H396" i="120" s="1"/>
  <c r="G11" i="132"/>
  <c r="J11" i="132" s="1"/>
  <c r="K11" i="132" s="1"/>
  <c r="F13" i="62"/>
  <c r="F12" i="62"/>
  <c r="I12" i="62" s="1"/>
  <c r="P30" i="75"/>
  <c r="Q30" i="75" s="1"/>
  <c r="P21" i="75"/>
  <c r="G54" i="83"/>
  <c r="K101" i="132"/>
  <c r="K98" i="132"/>
  <c r="K95" i="132"/>
  <c r="K92" i="132"/>
  <c r="J100" i="132"/>
  <c r="K100" i="132" s="1"/>
  <c r="J93" i="132"/>
  <c r="K93" i="132" s="1"/>
  <c r="J91" i="132"/>
  <c r="H395" i="12" s="1"/>
  <c r="H395" i="120" s="1"/>
  <c r="J90" i="132"/>
  <c r="H394" i="12" s="1"/>
  <c r="H394" i="120" s="1"/>
  <c r="J66" i="132"/>
  <c r="H355" i="12" s="1"/>
  <c r="H355" i="120" s="1"/>
  <c r="J68" i="132"/>
  <c r="H357" i="12" s="1"/>
  <c r="H357" i="120" s="1"/>
  <c r="J67" i="132"/>
  <c r="H356" i="12" s="1"/>
  <c r="H356" i="120" s="1"/>
  <c r="J65" i="132"/>
  <c r="H354" i="12" s="1"/>
  <c r="H354" i="120" s="1"/>
  <c r="H336" i="12"/>
  <c r="H336" i="120" s="1"/>
  <c r="J30" i="132"/>
  <c r="H334" i="12" s="1"/>
  <c r="H334" i="120" s="1"/>
  <c r="K32" i="132"/>
  <c r="K10" i="132"/>
  <c r="K9" i="132"/>
  <c r="K8" i="132"/>
  <c r="J94" i="132"/>
  <c r="K94" i="132" s="1"/>
  <c r="J103" i="132"/>
  <c r="H399" i="12" s="1"/>
  <c r="H399" i="120" s="1"/>
  <c r="J97" i="132"/>
  <c r="H397" i="12" s="1"/>
  <c r="H397" i="120" s="1"/>
  <c r="J89" i="132"/>
  <c r="H393" i="12" s="1"/>
  <c r="H393" i="120" s="1"/>
  <c r="J88" i="132"/>
  <c r="H392" i="12" s="1"/>
  <c r="H392" i="120" s="1"/>
  <c r="H389" i="12"/>
  <c r="H389" i="120" s="1"/>
  <c r="J84" i="132"/>
  <c r="K84" i="132" s="1"/>
  <c r="J83" i="132"/>
  <c r="H387" i="12" s="1"/>
  <c r="H387" i="120" s="1"/>
  <c r="J82" i="132"/>
  <c r="H385" i="12" s="1"/>
  <c r="H385" i="120" s="1"/>
  <c r="J81" i="132"/>
  <c r="H384" i="12" s="1"/>
  <c r="H384" i="120" s="1"/>
  <c r="J80" i="132"/>
  <c r="H383" i="12" s="1"/>
  <c r="H383" i="120" s="1"/>
  <c r="J79" i="132"/>
  <c r="H382" i="12" s="1"/>
  <c r="H382" i="120" s="1"/>
  <c r="J78" i="132"/>
  <c r="H381" i="12" s="1"/>
  <c r="H381" i="120" s="1"/>
  <c r="J77" i="132"/>
  <c r="H380" i="12" s="1"/>
  <c r="H380" i="120" s="1"/>
  <c r="J76" i="132"/>
  <c r="H379" i="12" s="1"/>
  <c r="H379" i="120" s="1"/>
  <c r="J75" i="132"/>
  <c r="H378" i="12" s="1"/>
  <c r="H378" i="120" s="1"/>
  <c r="J74" i="132"/>
  <c r="H377" i="12" s="1"/>
  <c r="H377" i="120" s="1"/>
  <c r="J73" i="132"/>
  <c r="H376" i="12" s="1"/>
  <c r="H376" i="120" s="1"/>
  <c r="J72" i="132"/>
  <c r="H375" i="12" s="1"/>
  <c r="H375" i="120" s="1"/>
  <c r="J71" i="132"/>
  <c r="H374" i="12" s="1"/>
  <c r="H374" i="120" s="1"/>
  <c r="J70" i="132"/>
  <c r="H373" i="12" s="1"/>
  <c r="H373" i="120" s="1"/>
  <c r="J69" i="132"/>
  <c r="H372" i="12" s="1"/>
  <c r="H372" i="120" s="1"/>
  <c r="J64" i="132"/>
  <c r="H371" i="12" s="1"/>
  <c r="H371" i="120" s="1"/>
  <c r="J63" i="132"/>
  <c r="H370" i="12" s="1"/>
  <c r="H370" i="120" s="1"/>
  <c r="J62" i="132"/>
  <c r="H369" i="12" s="1"/>
  <c r="H369" i="120" s="1"/>
  <c r="J61" i="132"/>
  <c r="H368" i="12" s="1"/>
  <c r="H368" i="120" s="1"/>
  <c r="J60" i="132"/>
  <c r="H367" i="12" s="1"/>
  <c r="H367" i="120" s="1"/>
  <c r="J59" i="132"/>
  <c r="H366" i="12" s="1"/>
  <c r="H366" i="120" s="1"/>
  <c r="J58" i="132"/>
  <c r="H365" i="12" s="1"/>
  <c r="H365" i="120" s="1"/>
  <c r="J57" i="132"/>
  <c r="H364" i="12" s="1"/>
  <c r="H364" i="120" s="1"/>
  <c r="J56" i="132"/>
  <c r="H363" i="12" s="1"/>
  <c r="H363" i="120" s="1"/>
  <c r="J55" i="132"/>
  <c r="H362" i="12" s="1"/>
  <c r="H362" i="120" s="1"/>
  <c r="J54" i="132"/>
  <c r="H361" i="12" s="1"/>
  <c r="H361" i="120" s="1"/>
  <c r="J53" i="132"/>
  <c r="H360" i="12" s="1"/>
  <c r="H360" i="120" s="1"/>
  <c r="J52" i="132"/>
  <c r="H359" i="12" s="1"/>
  <c r="H359" i="120" s="1"/>
  <c r="J51" i="132"/>
  <c r="H358" i="12" s="1"/>
  <c r="H358" i="120" s="1"/>
  <c r="J50" i="132"/>
  <c r="H353" i="12" s="1"/>
  <c r="H353" i="120" s="1"/>
  <c r="J49" i="132"/>
  <c r="H350" i="12" s="1"/>
  <c r="J48" i="132"/>
  <c r="H349" i="12" s="1"/>
  <c r="H349" i="120" s="1"/>
  <c r="J47" i="132"/>
  <c r="H348" i="12" s="1"/>
  <c r="H348" i="120" s="1"/>
  <c r="J46" i="132"/>
  <c r="K46" i="132" s="1"/>
  <c r="J45" i="132"/>
  <c r="J42" i="132"/>
  <c r="H342" i="12" s="1"/>
  <c r="H342" i="120" s="1"/>
  <c r="J41" i="132"/>
  <c r="H341" i="12" s="1"/>
  <c r="H341" i="120" s="1"/>
  <c r="J40" i="132"/>
  <c r="H340" i="12" s="1"/>
  <c r="H340" i="120" s="1"/>
  <c r="J39" i="132"/>
  <c r="H339" i="12" s="1"/>
  <c r="H339" i="120" s="1"/>
  <c r="J29" i="132"/>
  <c r="H333" i="12" s="1"/>
  <c r="H333" i="120" s="1"/>
  <c r="J28" i="132"/>
  <c r="H332" i="12" s="1"/>
  <c r="H332" i="120" s="1"/>
  <c r="J27" i="132"/>
  <c r="H331" i="12" s="1"/>
  <c r="H331" i="120" s="1"/>
  <c r="J26" i="132"/>
  <c r="K26" i="132" s="1"/>
  <c r="J25" i="132"/>
  <c r="H329" i="12" s="1"/>
  <c r="H329" i="120" s="1"/>
  <c r="J23" i="132"/>
  <c r="H328" i="12" s="1"/>
  <c r="H328" i="120" s="1"/>
  <c r="J21" i="132"/>
  <c r="H327" i="12" s="1"/>
  <c r="H327" i="120" s="1"/>
  <c r="J18" i="132"/>
  <c r="H324" i="12" s="1"/>
  <c r="O324" i="12" s="1"/>
  <c r="J16" i="132"/>
  <c r="H320" i="12" s="1"/>
  <c r="H320" i="120" s="1"/>
  <c r="J14" i="132"/>
  <c r="H318" i="12" s="1"/>
  <c r="H318" i="120" s="1"/>
  <c r="J12" i="132"/>
  <c r="H317" i="12" s="1"/>
  <c r="H317" i="120" s="1"/>
  <c r="J6" i="132"/>
  <c r="G13" i="132"/>
  <c r="G109" i="132" s="1"/>
  <c r="J109" i="132" s="1"/>
  <c r="B390" i="12"/>
  <c r="K53" i="132"/>
  <c r="K69" i="132"/>
  <c r="K81" i="132"/>
  <c r="K71" i="132"/>
  <c r="K89" i="132"/>
  <c r="K61" i="132"/>
  <c r="K62" i="132"/>
  <c r="K78" i="132"/>
  <c r="K42" i="132"/>
  <c r="K45" i="132"/>
  <c r="K40" i="132"/>
  <c r="K29" i="132"/>
  <c r="J5" i="132"/>
  <c r="J7" i="132"/>
  <c r="H321" i="12" s="1"/>
  <c r="H321" i="120" s="1"/>
  <c r="H390" i="120"/>
  <c r="B349" i="12"/>
  <c r="B348" i="12"/>
  <c r="B347" i="12"/>
  <c r="B403" i="12"/>
  <c r="B399" i="12"/>
  <c r="B397" i="12"/>
  <c r="B396" i="12"/>
  <c r="B392" i="12"/>
  <c r="J15" i="132"/>
  <c r="H319" i="12" s="1"/>
  <c r="H319" i="120" s="1"/>
  <c r="B334" i="12"/>
  <c r="N16" i="55"/>
  <c r="H46" i="12" s="1"/>
  <c r="H46" i="120" s="1"/>
  <c r="B826" i="12"/>
  <c r="B825" i="12"/>
  <c r="B674" i="12"/>
  <c r="B673" i="12"/>
  <c r="B633" i="12"/>
  <c r="B541" i="12"/>
  <c r="B540" i="12"/>
  <c r="B466" i="12"/>
  <c r="I10" i="62"/>
  <c r="J10" i="62" s="1"/>
  <c r="I11" i="62"/>
  <c r="J11" i="62" s="1"/>
  <c r="I13" i="62"/>
  <c r="J13" i="62" s="1"/>
  <c r="I9" i="62"/>
  <c r="J9" i="62" s="1"/>
  <c r="F27" i="62"/>
  <c r="J27" i="62" s="1"/>
  <c r="AD191" i="58"/>
  <c r="AC191" i="58"/>
  <c r="AB191" i="58"/>
  <c r="U39" i="49"/>
  <c r="T39" i="49"/>
  <c r="S39" i="49"/>
  <c r="R39" i="49"/>
  <c r="U1" i="58"/>
  <c r="V1" i="58"/>
  <c r="W1" i="58"/>
  <c r="X1" i="58"/>
  <c r="Y1" i="58"/>
  <c r="Z1" i="58"/>
  <c r="AA1" i="58"/>
  <c r="Q3" i="58"/>
  <c r="S3" i="58"/>
  <c r="T3" i="58"/>
  <c r="U3" i="58"/>
  <c r="V3" i="58"/>
  <c r="W3" i="58"/>
  <c r="X3" i="58"/>
  <c r="Y3" i="58"/>
  <c r="Z3" i="58"/>
  <c r="AA3" i="58"/>
  <c r="S4" i="58"/>
  <c r="U4" i="58"/>
  <c r="V4" i="58"/>
  <c r="W4" i="58"/>
  <c r="X4" i="58"/>
  <c r="Y4" i="58"/>
  <c r="Z4" i="58"/>
  <c r="AA4" i="58"/>
  <c r="V5" i="58"/>
  <c r="W5" i="58"/>
  <c r="X5" i="58"/>
  <c r="Y5" i="58"/>
  <c r="Z5" i="58"/>
  <c r="AA5" i="58"/>
  <c r="Q6" i="58"/>
  <c r="S6" i="58"/>
  <c r="S160" i="58" s="1"/>
  <c r="S161" i="58" s="1"/>
  <c r="T6" i="58"/>
  <c r="T160" i="58" s="1"/>
  <c r="U6" i="58"/>
  <c r="U160" i="58" s="1"/>
  <c r="U162" i="58" s="1"/>
  <c r="V6" i="58"/>
  <c r="V160" i="58" s="1"/>
  <c r="W6" i="58"/>
  <c r="W160" i="58" s="1"/>
  <c r="W161" i="58" s="1"/>
  <c r="X6" i="58"/>
  <c r="X160" i="58" s="1"/>
  <c r="Y6" i="58"/>
  <c r="Y160" i="58" s="1"/>
  <c r="Z6" i="58"/>
  <c r="AA6" i="58"/>
  <c r="AA160" i="58" s="1"/>
  <c r="Q7" i="58"/>
  <c r="S7" i="58"/>
  <c r="T7" i="58"/>
  <c r="U7" i="58"/>
  <c r="V7" i="58"/>
  <c r="W7" i="58"/>
  <c r="X7" i="58"/>
  <c r="Y7" i="58"/>
  <c r="Z7" i="58"/>
  <c r="AA7" i="58"/>
  <c r="Q14" i="58"/>
  <c r="S14" i="58"/>
  <c r="S38" i="58" s="1"/>
  <c r="S41" i="58" s="1"/>
  <c r="T14" i="58"/>
  <c r="T38" i="58" s="1"/>
  <c r="T41" i="58" s="1"/>
  <c r="U14" i="58"/>
  <c r="U38" i="58" s="1"/>
  <c r="U41" i="58" s="1"/>
  <c r="V14" i="58"/>
  <c r="V38" i="58" s="1"/>
  <c r="V41" i="58" s="1"/>
  <c r="W14" i="58"/>
  <c r="W38" i="58" s="1"/>
  <c r="W41" i="58" s="1"/>
  <c r="X14" i="58"/>
  <c r="X38" i="58" s="1"/>
  <c r="X41" i="58" s="1"/>
  <c r="Y14" i="58"/>
  <c r="Y38" i="58" s="1"/>
  <c r="Y41" i="58" s="1"/>
  <c r="Y198" i="58" s="1"/>
  <c r="Y202" i="58" s="1"/>
  <c r="Z14" i="58"/>
  <c r="Z38" i="58" s="1"/>
  <c r="Z41" i="58" s="1"/>
  <c r="AA14" i="58"/>
  <c r="AA38" i="58" s="1"/>
  <c r="AA41" i="58" s="1"/>
  <c r="Q15" i="58"/>
  <c r="S15" i="58"/>
  <c r="T15" i="58"/>
  <c r="U15" i="58"/>
  <c r="V15" i="58"/>
  <c r="W15" i="58"/>
  <c r="X15" i="58"/>
  <c r="Y15" i="58"/>
  <c r="Z15" i="58"/>
  <c r="AA15" i="58"/>
  <c r="Q16" i="58"/>
  <c r="S16" i="58"/>
  <c r="S37" i="58" s="1"/>
  <c r="T16" i="58"/>
  <c r="T37" i="58" s="1"/>
  <c r="U16" i="58"/>
  <c r="U37" i="58" s="1"/>
  <c r="V16" i="58"/>
  <c r="V37" i="58" s="1"/>
  <c r="W16" i="58"/>
  <c r="W37" i="58" s="1"/>
  <c r="X16" i="58"/>
  <c r="X37" i="58" s="1"/>
  <c r="Y16" i="58"/>
  <c r="Y37" i="58" s="1"/>
  <c r="Z16" i="58"/>
  <c r="Z37" i="58" s="1"/>
  <c r="AA16" i="58"/>
  <c r="AA37" i="58" s="1"/>
  <c r="Q19" i="58"/>
  <c r="S19" i="58"/>
  <c r="T19" i="58"/>
  <c r="U19" i="58"/>
  <c r="V19" i="58"/>
  <c r="W19" i="58"/>
  <c r="X19" i="58"/>
  <c r="Y19" i="58"/>
  <c r="Z19" i="58"/>
  <c r="AA19" i="58"/>
  <c r="Q28" i="58"/>
  <c r="S28" i="58"/>
  <c r="T28" i="58"/>
  <c r="T88" i="58" s="1"/>
  <c r="T87" i="58" s="1"/>
  <c r="U28" i="58"/>
  <c r="U88" i="58" s="1"/>
  <c r="U87" i="58" s="1"/>
  <c r="V28" i="58"/>
  <c r="W28" i="58"/>
  <c r="X28" i="58"/>
  <c r="Y28" i="58"/>
  <c r="Z28" i="58"/>
  <c r="Z88" i="58" s="1"/>
  <c r="Z87" i="58" s="1"/>
  <c r="AA28" i="58"/>
  <c r="AA88" i="58" s="1"/>
  <c r="AA87" i="58" s="1"/>
  <c r="Q36" i="58"/>
  <c r="S36" i="58"/>
  <c r="T36" i="58"/>
  <c r="U36" i="58"/>
  <c r="V36" i="58"/>
  <c r="W36" i="58"/>
  <c r="X36" i="58"/>
  <c r="Y36" i="58"/>
  <c r="Z36" i="58"/>
  <c r="AA36" i="58"/>
  <c r="Q122" i="58"/>
  <c r="S122" i="58"/>
  <c r="T122" i="58"/>
  <c r="T133" i="58" s="1"/>
  <c r="U122" i="58"/>
  <c r="U133" i="58" s="1"/>
  <c r="V122" i="58"/>
  <c r="V133" i="58" s="1"/>
  <c r="W122" i="58"/>
  <c r="W133" i="58" s="1"/>
  <c r="X122" i="58"/>
  <c r="X133" i="58" s="1"/>
  <c r="Y122" i="58"/>
  <c r="Y133" i="58" s="1"/>
  <c r="Z122" i="58"/>
  <c r="Z133" i="58" s="1"/>
  <c r="AA122" i="58"/>
  <c r="AA133" i="58" s="1"/>
  <c r="Q154" i="58"/>
  <c r="S154" i="58"/>
  <c r="S156" i="58" s="1"/>
  <c r="T154" i="58"/>
  <c r="T156" i="58" s="1"/>
  <c r="U154" i="58"/>
  <c r="U156" i="58" s="1"/>
  <c r="V154" i="58"/>
  <c r="V156" i="58" s="1"/>
  <c r="W154" i="58"/>
  <c r="W156" i="58" s="1"/>
  <c r="X154" i="58"/>
  <c r="X156" i="58" s="1"/>
  <c r="Y154" i="58"/>
  <c r="Y156" i="58" s="1"/>
  <c r="Z154" i="58"/>
  <c r="Z156" i="58" s="1"/>
  <c r="AA154" i="58"/>
  <c r="AA156" i="58" s="1"/>
  <c r="Q164" i="58"/>
  <c r="S164" i="58"/>
  <c r="S166" i="58" s="1"/>
  <c r="T164" i="58"/>
  <c r="T165" i="58" s="1"/>
  <c r="U164" i="58"/>
  <c r="U166" i="58" s="1"/>
  <c r="V164" i="58"/>
  <c r="V166" i="58" s="1"/>
  <c r="W164" i="58"/>
  <c r="W166" i="58" s="1"/>
  <c r="X164" i="58"/>
  <c r="X165" i="58" s="1"/>
  <c r="Y164" i="58"/>
  <c r="Y165" i="58" s="1"/>
  <c r="Z164" i="58"/>
  <c r="Z165" i="58" s="1"/>
  <c r="AA164" i="58"/>
  <c r="AA166" i="58" s="1"/>
  <c r="Q170" i="58"/>
  <c r="S170" i="58"/>
  <c r="T170" i="58"/>
  <c r="U170" i="58"/>
  <c r="V170" i="58"/>
  <c r="W170" i="58"/>
  <c r="X170" i="58"/>
  <c r="Y170" i="58"/>
  <c r="Z170" i="58"/>
  <c r="AA170" i="58"/>
  <c r="Q171" i="58"/>
  <c r="S171" i="58"/>
  <c r="T171" i="58"/>
  <c r="U171" i="58"/>
  <c r="V171" i="58"/>
  <c r="W171" i="58"/>
  <c r="X171" i="58"/>
  <c r="Y171" i="58"/>
  <c r="Z171" i="58"/>
  <c r="AA171" i="58"/>
  <c r="Q172" i="58"/>
  <c r="S172" i="58"/>
  <c r="S174" i="58" s="1"/>
  <c r="T172" i="58"/>
  <c r="T174" i="58" s="1"/>
  <c r="U172" i="58"/>
  <c r="U174" i="58" s="1"/>
  <c r="V172" i="58"/>
  <c r="V174" i="58" s="1"/>
  <c r="W172" i="58"/>
  <c r="W174" i="58" s="1"/>
  <c r="X172" i="58"/>
  <c r="X174" i="58" s="1"/>
  <c r="Y172" i="58"/>
  <c r="Y174" i="58" s="1"/>
  <c r="Z172" i="58"/>
  <c r="Z174" i="58" s="1"/>
  <c r="AA172" i="58"/>
  <c r="AA174" i="58" s="1"/>
  <c r="Q176" i="58"/>
  <c r="S176" i="58"/>
  <c r="S178" i="58" s="1"/>
  <c r="T176" i="58"/>
  <c r="T178" i="58" s="1"/>
  <c r="U176" i="58"/>
  <c r="U177" i="58" s="1"/>
  <c r="V176" i="58"/>
  <c r="V178" i="58" s="1"/>
  <c r="W176" i="58"/>
  <c r="W178" i="58" s="1"/>
  <c r="X176" i="58"/>
  <c r="X178" i="58" s="1"/>
  <c r="Y176" i="58"/>
  <c r="Y178" i="58" s="1"/>
  <c r="Z176" i="58"/>
  <c r="Z177" i="58" s="1"/>
  <c r="AA176" i="58"/>
  <c r="AA177" i="58" s="1"/>
  <c r="Q181" i="58"/>
  <c r="S181" i="58"/>
  <c r="T181" i="58"/>
  <c r="U181" i="58"/>
  <c r="V181" i="58"/>
  <c r="W181" i="58"/>
  <c r="X181" i="58"/>
  <c r="Y181" i="58"/>
  <c r="Z181" i="58"/>
  <c r="AA181" i="58"/>
  <c r="Q182" i="58"/>
  <c r="S182" i="58"/>
  <c r="T182" i="58"/>
  <c r="U182" i="58"/>
  <c r="V182" i="58"/>
  <c r="W182" i="58"/>
  <c r="X182" i="58"/>
  <c r="Y182" i="58"/>
  <c r="Z182" i="58"/>
  <c r="AA182" i="58"/>
  <c r="Q183" i="58"/>
  <c r="S183" i="58"/>
  <c r="T183" i="58"/>
  <c r="U183" i="58"/>
  <c r="V183" i="58"/>
  <c r="W183" i="58"/>
  <c r="X183" i="58"/>
  <c r="Y183" i="58"/>
  <c r="Z183" i="58"/>
  <c r="AA183" i="58"/>
  <c r="Q186" i="58"/>
  <c r="S186" i="58"/>
  <c r="T186" i="58"/>
  <c r="U186" i="58"/>
  <c r="V186" i="58"/>
  <c r="W186" i="58"/>
  <c r="X186" i="58"/>
  <c r="Y186" i="58"/>
  <c r="Z186" i="58"/>
  <c r="AA186" i="58"/>
  <c r="Q187" i="58"/>
  <c r="S187" i="58"/>
  <c r="T187" i="58"/>
  <c r="U187" i="58"/>
  <c r="V187" i="58"/>
  <c r="W187" i="58"/>
  <c r="X187" i="58"/>
  <c r="Y187" i="58"/>
  <c r="Z187" i="58"/>
  <c r="AA187" i="58"/>
  <c r="Q189" i="58"/>
  <c r="S189" i="58"/>
  <c r="T189" i="58"/>
  <c r="U189" i="58"/>
  <c r="V189" i="58"/>
  <c r="W189" i="58"/>
  <c r="X189" i="58"/>
  <c r="Y189" i="58"/>
  <c r="Z189" i="58"/>
  <c r="AA189" i="58"/>
  <c r="Q190" i="58"/>
  <c r="S190" i="58"/>
  <c r="T190" i="58"/>
  <c r="U190" i="58"/>
  <c r="V190" i="58"/>
  <c r="W190" i="58"/>
  <c r="X190" i="58"/>
  <c r="Y190" i="58"/>
  <c r="Z190" i="58"/>
  <c r="AA190" i="58"/>
  <c r="Q192" i="58"/>
  <c r="S192" i="58"/>
  <c r="T192" i="58"/>
  <c r="U192" i="58"/>
  <c r="V192" i="58"/>
  <c r="W192" i="58"/>
  <c r="X192" i="58"/>
  <c r="Y192" i="58"/>
  <c r="Z192" i="58"/>
  <c r="AA192" i="58"/>
  <c r="Q193" i="58"/>
  <c r="S193" i="58"/>
  <c r="T193" i="58"/>
  <c r="U193" i="58"/>
  <c r="V193" i="58"/>
  <c r="W193" i="58"/>
  <c r="X193" i="58"/>
  <c r="Y193" i="58"/>
  <c r="Z193" i="58"/>
  <c r="AA193" i="58"/>
  <c r="Q195" i="58"/>
  <c r="S195" i="58"/>
  <c r="T195" i="58"/>
  <c r="U195" i="58"/>
  <c r="V195" i="58"/>
  <c r="W195" i="58"/>
  <c r="X195" i="58"/>
  <c r="Y195" i="58"/>
  <c r="Z195" i="58"/>
  <c r="AA195" i="58"/>
  <c r="Q222" i="58"/>
  <c r="S222" i="58"/>
  <c r="T222" i="58"/>
  <c r="U222" i="58"/>
  <c r="V222" i="58"/>
  <c r="W222" i="58"/>
  <c r="X222" i="58"/>
  <c r="Y222" i="58"/>
  <c r="Z222" i="58"/>
  <c r="AA222" i="58"/>
  <c r="Z72" i="58"/>
  <c r="Z151" i="58"/>
  <c r="Z150" i="58"/>
  <c r="Z147" i="58"/>
  <c r="Z78" i="58"/>
  <c r="Z74" i="58"/>
  <c r="Z75" i="58"/>
  <c r="H3" i="49"/>
  <c r="L39" i="49"/>
  <c r="L57" i="49" s="1"/>
  <c r="K39" i="49"/>
  <c r="K57" i="49" s="1"/>
  <c r="J57" i="49"/>
  <c r="J59" i="49" s="1"/>
  <c r="J61" i="49" s="1"/>
  <c r="I39" i="49"/>
  <c r="I57" i="49" s="1"/>
  <c r="H39" i="49"/>
  <c r="H57" i="49" s="1"/>
  <c r="G39" i="49"/>
  <c r="G57" i="49" s="1"/>
  <c r="J7" i="49"/>
  <c r="F19" i="49"/>
  <c r="U29" i="49"/>
  <c r="U27" i="49"/>
  <c r="U30" i="49" s="1"/>
  <c r="T26" i="49"/>
  <c r="T30" i="49" s="1"/>
  <c r="S29" i="49"/>
  <c r="S28" i="49"/>
  <c r="S30" i="49" s="1"/>
  <c r="R26" i="49"/>
  <c r="R24" i="49"/>
  <c r="R30" i="49" s="1"/>
  <c r="F25" i="49"/>
  <c r="F24" i="49"/>
  <c r="F23" i="49"/>
  <c r="F22" i="49"/>
  <c r="F30" i="49" s="1"/>
  <c r="F21" i="49"/>
  <c r="F20" i="49"/>
  <c r="F18" i="49"/>
  <c r="F12" i="49"/>
  <c r="H17" i="49"/>
  <c r="H30" i="49"/>
  <c r="H49" i="49" s="1"/>
  <c r="G17" i="49"/>
  <c r="G30" i="49"/>
  <c r="G49" i="49" s="1"/>
  <c r="I18" i="49"/>
  <c r="I17" i="49"/>
  <c r="I16" i="49"/>
  <c r="I15" i="49"/>
  <c r="I30" i="49" s="1"/>
  <c r="I13" i="49"/>
  <c r="J12" i="49"/>
  <c r="J11" i="49"/>
  <c r="J10" i="49"/>
  <c r="K9" i="49"/>
  <c r="K8" i="49"/>
  <c r="L7" i="49"/>
  <c r="K7" i="49"/>
  <c r="K30" i="49" s="1"/>
  <c r="Q6" i="49"/>
  <c r="Q30" i="49"/>
  <c r="Q49" i="49" s="1"/>
  <c r="P6" i="49"/>
  <c r="P30" i="49"/>
  <c r="P49" i="49" s="1"/>
  <c r="O6" i="49"/>
  <c r="O30" i="49" s="1"/>
  <c r="N6" i="49"/>
  <c r="N30" i="49" s="1"/>
  <c r="N32" i="49" s="1"/>
  <c r="N54" i="49" s="1"/>
  <c r="M6" i="49"/>
  <c r="M30" i="49" s="1"/>
  <c r="L6" i="49"/>
  <c r="L30" i="49" s="1"/>
  <c r="T3" i="49"/>
  <c r="S3" i="49"/>
  <c r="R3" i="49"/>
  <c r="Q3" i="49"/>
  <c r="P3" i="49"/>
  <c r="O3" i="49"/>
  <c r="N3" i="49"/>
  <c r="M3" i="49"/>
  <c r="L3" i="49"/>
  <c r="K3" i="49"/>
  <c r="J3" i="49"/>
  <c r="G3" i="49"/>
  <c r="F3" i="49"/>
  <c r="T57" i="49"/>
  <c r="S57" i="49"/>
  <c r="S59" i="49" s="1"/>
  <c r="S61" i="49" s="1"/>
  <c r="R57" i="49"/>
  <c r="Q39" i="49"/>
  <c r="Q57" i="49" s="1"/>
  <c r="P39" i="49"/>
  <c r="P57" i="49" s="1"/>
  <c r="O39" i="49"/>
  <c r="O57" i="49" s="1"/>
  <c r="N39" i="49"/>
  <c r="N57" i="49" s="1"/>
  <c r="M39" i="49"/>
  <c r="M57" i="49" s="1"/>
  <c r="T5" i="49"/>
  <c r="S5" i="49"/>
  <c r="S34" i="49" s="1"/>
  <c r="R5" i="49"/>
  <c r="R34" i="49" s="1"/>
  <c r="R58" i="49" s="1"/>
  <c r="Q5" i="49"/>
  <c r="Q41" i="49" s="1"/>
  <c r="P5" i="49"/>
  <c r="P41" i="49" s="1"/>
  <c r="O5" i="49"/>
  <c r="O41" i="49" s="1"/>
  <c r="N5" i="49"/>
  <c r="N41" i="49" s="1"/>
  <c r="M5" i="49"/>
  <c r="M41" i="49" s="1"/>
  <c r="L5" i="49"/>
  <c r="L41" i="49" s="1"/>
  <c r="K5" i="49"/>
  <c r="J5" i="49"/>
  <c r="J41" i="49"/>
  <c r="I5" i="49"/>
  <c r="H5" i="49"/>
  <c r="H41" i="49" s="1"/>
  <c r="T4" i="49"/>
  <c r="S4" i="49"/>
  <c r="R4" i="49"/>
  <c r="Q4" i="49"/>
  <c r="P4" i="49"/>
  <c r="O4" i="49"/>
  <c r="N4" i="49"/>
  <c r="M4" i="49"/>
  <c r="L4" i="49"/>
  <c r="K4" i="49"/>
  <c r="J4" i="49"/>
  <c r="I4" i="49"/>
  <c r="H4" i="49"/>
  <c r="I3" i="49"/>
  <c r="S41" i="49"/>
  <c r="I41" i="49"/>
  <c r="I34" i="49"/>
  <c r="T34" i="49"/>
  <c r="T58" i="49" s="1"/>
  <c r="T41" i="49"/>
  <c r="J34" i="49"/>
  <c r="K41" i="49"/>
  <c r="K34" i="49"/>
  <c r="M34" i="49"/>
  <c r="N34" i="49"/>
  <c r="H34" i="49"/>
  <c r="J30" i="49"/>
  <c r="J49" i="49" s="1"/>
  <c r="S63" i="49"/>
  <c r="R63" i="49"/>
  <c r="R59" i="49"/>
  <c r="R61" i="49" s="1"/>
  <c r="T63" i="49"/>
  <c r="T59" i="49"/>
  <c r="T61" i="49" s="1"/>
  <c r="O154" i="54"/>
  <c r="O27" i="54"/>
  <c r="N26" i="54"/>
  <c r="O26" i="54" s="1"/>
  <c r="N28" i="54"/>
  <c r="O28" i="54" s="1"/>
  <c r="B765" i="12"/>
  <c r="H48" i="12"/>
  <c r="H48" i="120" s="1"/>
  <c r="H898" i="120"/>
  <c r="U1" i="59"/>
  <c r="V1" i="59"/>
  <c r="W1" i="59"/>
  <c r="X1" i="59"/>
  <c r="Y1" i="59"/>
  <c r="Z1" i="59"/>
  <c r="AA1" i="59"/>
  <c r="AB2" i="59"/>
  <c r="AC2" i="59"/>
  <c r="AD2" i="59"/>
  <c r="U3" i="59"/>
  <c r="V3" i="59"/>
  <c r="W3" i="59"/>
  <c r="X3" i="59"/>
  <c r="Y3" i="59"/>
  <c r="Z3" i="59"/>
  <c r="AA3" i="59"/>
  <c r="U4" i="59"/>
  <c r="V4" i="59"/>
  <c r="W4" i="59"/>
  <c r="X4" i="59"/>
  <c r="Y4" i="59"/>
  <c r="Z4" i="59"/>
  <c r="AA4" i="59"/>
  <c r="V5" i="59"/>
  <c r="W5" i="59"/>
  <c r="X5" i="59"/>
  <c r="Y5" i="59"/>
  <c r="Z5" i="59"/>
  <c r="AA5" i="59"/>
  <c r="Q6" i="59"/>
  <c r="S6" i="59"/>
  <c r="T6" i="59"/>
  <c r="U6" i="59"/>
  <c r="V6" i="59"/>
  <c r="W6" i="59"/>
  <c r="X6" i="59"/>
  <c r="Y6" i="59"/>
  <c r="Z6" i="59"/>
  <c r="AA6" i="59"/>
  <c r="U7" i="59"/>
  <c r="V7" i="59"/>
  <c r="W7" i="59"/>
  <c r="X7" i="59"/>
  <c r="Y7" i="59"/>
  <c r="Z7" i="59"/>
  <c r="AA7" i="59"/>
  <c r="BM8" i="59"/>
  <c r="BN8" i="59"/>
  <c r="U134" i="59"/>
  <c r="V134" i="59"/>
  <c r="W134" i="59"/>
  <c r="X134" i="59"/>
  <c r="Y134" i="59"/>
  <c r="Z134" i="59"/>
  <c r="AA134" i="59"/>
  <c r="AB134" i="59"/>
  <c r="AC134" i="59"/>
  <c r="AD134" i="59"/>
  <c r="U135" i="59"/>
  <c r="V135" i="59"/>
  <c r="W135" i="59"/>
  <c r="X135" i="59"/>
  <c r="Y135" i="59"/>
  <c r="Z135" i="59"/>
  <c r="AA135" i="59"/>
  <c r="AB135" i="59"/>
  <c r="AC135" i="59"/>
  <c r="AD135" i="59"/>
  <c r="U136" i="59"/>
  <c r="V136" i="59"/>
  <c r="W136" i="59"/>
  <c r="X136" i="59"/>
  <c r="Y136" i="59"/>
  <c r="Z136" i="59"/>
  <c r="AA136" i="59"/>
  <c r="AB136" i="59"/>
  <c r="AC136" i="59"/>
  <c r="AD136" i="59"/>
  <c r="U138" i="59"/>
  <c r="V138" i="59"/>
  <c r="W138" i="59"/>
  <c r="X138" i="59"/>
  <c r="Y138" i="59"/>
  <c r="Z138" i="59"/>
  <c r="AA138" i="59"/>
  <c r="AB138" i="59"/>
  <c r="AC138" i="59"/>
  <c r="AD138" i="59"/>
  <c r="U139" i="59"/>
  <c r="V139" i="59"/>
  <c r="W139" i="59"/>
  <c r="X139" i="59"/>
  <c r="Y139" i="59"/>
  <c r="Z139" i="59"/>
  <c r="AA139" i="59"/>
  <c r="AB139" i="59"/>
  <c r="AC139" i="59"/>
  <c r="AD139" i="59"/>
  <c r="U140" i="59"/>
  <c r="V140" i="59"/>
  <c r="W140" i="59"/>
  <c r="X140" i="59"/>
  <c r="Y140" i="59"/>
  <c r="Z140" i="59"/>
  <c r="AA140" i="59"/>
  <c r="AB140" i="59"/>
  <c r="AC140" i="59"/>
  <c r="AD140" i="59"/>
  <c r="U141" i="59"/>
  <c r="V141" i="59"/>
  <c r="W141" i="59"/>
  <c r="X141" i="59"/>
  <c r="Y141" i="59"/>
  <c r="Z141" i="59"/>
  <c r="AA141" i="59"/>
  <c r="AB141" i="59"/>
  <c r="AC141" i="59"/>
  <c r="AD141" i="59"/>
  <c r="U142" i="59"/>
  <c r="V142" i="59"/>
  <c r="W142" i="59"/>
  <c r="X142" i="59"/>
  <c r="Y142" i="59"/>
  <c r="Z142" i="59"/>
  <c r="AA142" i="59"/>
  <c r="AB142" i="59"/>
  <c r="AC142" i="59"/>
  <c r="AD142" i="59"/>
  <c r="U143" i="59"/>
  <c r="V143" i="59"/>
  <c r="W143" i="59"/>
  <c r="X143" i="59"/>
  <c r="Y143" i="59"/>
  <c r="Z143" i="59"/>
  <c r="AA143" i="59"/>
  <c r="AB143" i="59"/>
  <c r="AC143" i="59"/>
  <c r="AD143" i="59"/>
  <c r="AB144" i="59"/>
  <c r="AC144" i="59"/>
  <c r="AD144" i="59"/>
  <c r="AB145" i="59"/>
  <c r="AC145" i="59"/>
  <c r="AD145" i="59"/>
  <c r="AB146" i="59"/>
  <c r="AC146" i="59"/>
  <c r="AD146" i="59"/>
  <c r="AB148" i="59"/>
  <c r="AC148" i="59"/>
  <c r="AD148" i="59"/>
  <c r="AB149" i="59"/>
  <c r="AC149" i="59"/>
  <c r="AD149" i="59"/>
  <c r="N759" i="120"/>
  <c r="M861" i="120"/>
  <c r="M753" i="120"/>
  <c r="C31" i="12"/>
  <c r="C30" i="12"/>
  <c r="B13" i="77" s="1"/>
  <c r="C29" i="12"/>
  <c r="B27" i="77" s="1"/>
  <c r="C28" i="12"/>
  <c r="B69" i="39" s="1"/>
  <c r="C29" i="122"/>
  <c r="C27" i="12"/>
  <c r="B26" i="77" s="1"/>
  <c r="C26" i="12"/>
  <c r="B61" i="39" s="1"/>
  <c r="C25" i="12"/>
  <c r="B57" i="39" s="1"/>
  <c r="C24" i="12"/>
  <c r="B53" i="39" s="1"/>
  <c r="C23" i="12"/>
  <c r="B35" i="77" s="1"/>
  <c r="C22" i="12"/>
  <c r="C23" i="122" s="1"/>
  <c r="C21" i="12"/>
  <c r="B21" i="77" s="1"/>
  <c r="C20" i="12"/>
  <c r="B37" i="39" s="1"/>
  <c r="B29" i="39"/>
  <c r="C16" i="12"/>
  <c r="B21" i="39" s="1"/>
  <c r="C15" i="12"/>
  <c r="B17" i="39" s="1"/>
  <c r="C14" i="12"/>
  <c r="C13" i="12"/>
  <c r="C14" i="122" s="1"/>
  <c r="B13" i="12"/>
  <c r="A12" i="77" s="1"/>
  <c r="E4" i="74"/>
  <c r="E5" i="121"/>
  <c r="H3" i="122"/>
  <c r="B7" i="119"/>
  <c r="A7" i="119"/>
  <c r="B6" i="119"/>
  <c r="A6" i="119"/>
  <c r="B5" i="119"/>
  <c r="A5" i="119"/>
  <c r="B4" i="119"/>
  <c r="A4" i="119"/>
  <c r="A2" i="119"/>
  <c r="A1" i="119"/>
  <c r="M81" i="39"/>
  <c r="L81" i="39"/>
  <c r="K81" i="39"/>
  <c r="J81" i="39"/>
  <c r="I81" i="39"/>
  <c r="H81" i="39"/>
  <c r="G81" i="39"/>
  <c r="F81" i="39"/>
  <c r="K77" i="39"/>
  <c r="J77" i="39"/>
  <c r="I77" i="39"/>
  <c r="H77" i="39"/>
  <c r="G77" i="39"/>
  <c r="F77" i="39"/>
  <c r="M73" i="39"/>
  <c r="L73" i="39"/>
  <c r="J73" i="39"/>
  <c r="I73" i="39"/>
  <c r="H73" i="39"/>
  <c r="G73" i="39"/>
  <c r="F73" i="39"/>
  <c r="M69" i="39"/>
  <c r="L69" i="39"/>
  <c r="K69" i="39"/>
  <c r="J69" i="39"/>
  <c r="I69" i="39"/>
  <c r="H69" i="39"/>
  <c r="G69" i="39"/>
  <c r="F69" i="39"/>
  <c r="M65" i="39"/>
  <c r="L65" i="39"/>
  <c r="K65" i="39"/>
  <c r="J65" i="39"/>
  <c r="I65" i="39"/>
  <c r="H65" i="39"/>
  <c r="G65" i="39"/>
  <c r="F65" i="39"/>
  <c r="M61" i="39"/>
  <c r="L61" i="39"/>
  <c r="K61" i="39"/>
  <c r="J61" i="39"/>
  <c r="I61" i="39"/>
  <c r="H61" i="39"/>
  <c r="G61" i="39"/>
  <c r="F61" i="39"/>
  <c r="M57" i="39"/>
  <c r="L57" i="39"/>
  <c r="K57" i="39"/>
  <c r="J57" i="39"/>
  <c r="I57" i="39"/>
  <c r="H57" i="39"/>
  <c r="G57" i="39"/>
  <c r="F57" i="39"/>
  <c r="M53" i="39"/>
  <c r="L53" i="39"/>
  <c r="K53" i="39"/>
  <c r="J53" i="39"/>
  <c r="I53" i="39"/>
  <c r="H53" i="39"/>
  <c r="G53" i="39"/>
  <c r="F53" i="39"/>
  <c r="M49" i="39"/>
  <c r="L49" i="39"/>
  <c r="K49" i="39"/>
  <c r="J49" i="39"/>
  <c r="I49" i="39"/>
  <c r="H49" i="39"/>
  <c r="G49" i="39"/>
  <c r="F49" i="39"/>
  <c r="M45" i="39"/>
  <c r="L45" i="39"/>
  <c r="K45" i="39"/>
  <c r="J45" i="39"/>
  <c r="I45" i="39"/>
  <c r="H45" i="39"/>
  <c r="G45" i="39"/>
  <c r="F45" i="39"/>
  <c r="M41" i="39"/>
  <c r="L41" i="39"/>
  <c r="K41" i="39"/>
  <c r="J41" i="39"/>
  <c r="I41" i="39"/>
  <c r="H41" i="39"/>
  <c r="G41" i="39"/>
  <c r="F41" i="39"/>
  <c r="M37" i="39"/>
  <c r="L37" i="39"/>
  <c r="K37" i="39"/>
  <c r="J37" i="39"/>
  <c r="I37" i="39"/>
  <c r="H37" i="39"/>
  <c r="G37" i="39"/>
  <c r="F37" i="39"/>
  <c r="M29" i="39"/>
  <c r="L29" i="39"/>
  <c r="K29" i="39"/>
  <c r="J29" i="39"/>
  <c r="I29" i="39"/>
  <c r="H29" i="39"/>
  <c r="G29" i="39"/>
  <c r="F29" i="39"/>
  <c r="M21" i="39"/>
  <c r="L21" i="39"/>
  <c r="K21" i="39"/>
  <c r="J21" i="39"/>
  <c r="I21" i="39"/>
  <c r="H21" i="39"/>
  <c r="G21" i="39"/>
  <c r="F21" i="39"/>
  <c r="M17" i="39"/>
  <c r="L17" i="39"/>
  <c r="K17" i="39"/>
  <c r="J17" i="39"/>
  <c r="I17" i="39"/>
  <c r="H17" i="39"/>
  <c r="G17" i="39"/>
  <c r="F17" i="39"/>
  <c r="M13" i="39"/>
  <c r="L13" i="39"/>
  <c r="K13" i="39"/>
  <c r="J13" i="39"/>
  <c r="I13" i="39"/>
  <c r="H13" i="39"/>
  <c r="G13" i="39"/>
  <c r="F13" i="39"/>
  <c r="M9" i="39"/>
  <c r="L9" i="39"/>
  <c r="K9" i="39"/>
  <c r="J9" i="39"/>
  <c r="I9" i="39"/>
  <c r="H9" i="39"/>
  <c r="G9" i="39"/>
  <c r="F9" i="39"/>
  <c r="C7" i="122"/>
  <c r="H6" i="122"/>
  <c r="G6" i="122"/>
  <c r="C6" i="122"/>
  <c r="H5" i="122"/>
  <c r="G5" i="122"/>
  <c r="C5" i="122"/>
  <c r="G4" i="122"/>
  <c r="C4" i="122"/>
  <c r="G3" i="122"/>
  <c r="B2" i="122"/>
  <c r="B1" i="122"/>
  <c r="D32" i="77"/>
  <c r="D31" i="77"/>
  <c r="D13" i="77"/>
  <c r="I6" i="77"/>
  <c r="H6" i="77"/>
  <c r="B6" i="77"/>
  <c r="A6" i="77"/>
  <c r="I5" i="77"/>
  <c r="H5" i="77"/>
  <c r="B5" i="77"/>
  <c r="A5" i="77"/>
  <c r="I4" i="77"/>
  <c r="H4" i="77"/>
  <c r="B4" i="77"/>
  <c r="A4" i="77"/>
  <c r="H3" i="77"/>
  <c r="H2" i="77"/>
  <c r="H1" i="77"/>
  <c r="A1" i="77"/>
  <c r="F100" i="47"/>
  <c r="F58" i="47"/>
  <c r="F59" i="47" s="1"/>
  <c r="G40" i="87"/>
  <c r="G49" i="87"/>
  <c r="F40" i="87"/>
  <c r="I40" i="87" s="1"/>
  <c r="G33" i="87"/>
  <c r="F33" i="87"/>
  <c r="G22" i="87"/>
  <c r="J22" i="87" s="1"/>
  <c r="F22" i="87"/>
  <c r="G15" i="87"/>
  <c r="F15" i="87"/>
  <c r="J15" i="87" s="1"/>
  <c r="G9" i="87"/>
  <c r="F9" i="87"/>
  <c r="J9" i="87" s="1"/>
  <c r="G8" i="87"/>
  <c r="F8" i="87"/>
  <c r="J8" i="87" s="1"/>
  <c r="G7" i="87"/>
  <c r="G10" i="87" s="1"/>
  <c r="F7" i="87"/>
  <c r="F20" i="87" s="1"/>
  <c r="K16" i="68"/>
  <c r="I16" i="68"/>
  <c r="K15" i="68"/>
  <c r="I15" i="68"/>
  <c r="K14" i="68"/>
  <c r="I14" i="68"/>
  <c r="K13" i="68"/>
  <c r="I13" i="68"/>
  <c r="K12" i="68"/>
  <c r="I12" i="68"/>
  <c r="I3" i="77"/>
  <c r="H4" i="122"/>
  <c r="F10" i="87"/>
  <c r="H2" i="122"/>
  <c r="C3" i="121"/>
  <c r="G61" i="63"/>
  <c r="G63" i="63" s="1"/>
  <c r="H6" i="39"/>
  <c r="G6" i="78"/>
  <c r="I2" i="77"/>
  <c r="G2" i="122"/>
  <c r="G28" i="63"/>
  <c r="G29" i="63" s="1"/>
  <c r="L26" i="63"/>
  <c r="G25" i="63"/>
  <c r="L25" i="63" s="1"/>
  <c r="G23" i="63"/>
  <c r="L23" i="63" s="1"/>
  <c r="L17" i="63"/>
  <c r="L16" i="63"/>
  <c r="L15" i="63"/>
  <c r="L14" i="63"/>
  <c r="L13" i="63"/>
  <c r="L12" i="63"/>
  <c r="L11" i="63"/>
  <c r="L10" i="63"/>
  <c r="L38" i="63"/>
  <c r="L32" i="63"/>
  <c r="L27" i="63"/>
  <c r="B515" i="12"/>
  <c r="F117" i="47"/>
  <c r="K7" i="47"/>
  <c r="F85" i="47"/>
  <c r="F87" i="47" s="1"/>
  <c r="F84" i="47"/>
  <c r="J84" i="47" s="1"/>
  <c r="H523" i="12" s="1"/>
  <c r="H523" i="120" s="1"/>
  <c r="F80" i="47"/>
  <c r="F83" i="47" s="1"/>
  <c r="K83" i="47" s="1"/>
  <c r="F86" i="47"/>
  <c r="F88" i="47" s="1"/>
  <c r="F72" i="47"/>
  <c r="F133" i="47" s="1"/>
  <c r="F76" i="47"/>
  <c r="F75" i="47"/>
  <c r="J75" i="47" s="1"/>
  <c r="F74" i="47"/>
  <c r="J74" i="47" s="1"/>
  <c r="K74" i="47" s="1"/>
  <c r="F131" i="47"/>
  <c r="F150" i="47" s="1"/>
  <c r="F70" i="47"/>
  <c r="J70" i="47" s="1"/>
  <c r="K70" i="47" s="1"/>
  <c r="F69" i="47"/>
  <c r="J69" i="47" s="1"/>
  <c r="K46" i="47"/>
  <c r="K45" i="47"/>
  <c r="K29" i="47"/>
  <c r="F26" i="47"/>
  <c r="F43" i="47" s="1"/>
  <c r="K4" i="47"/>
  <c r="K3" i="47"/>
  <c r="K51" i="47"/>
  <c r="F18" i="47"/>
  <c r="F19" i="47" s="1"/>
  <c r="F14" i="47"/>
  <c r="F10" i="47"/>
  <c r="F11" i="47" s="1"/>
  <c r="F41" i="47"/>
  <c r="J41" i="47" s="1"/>
  <c r="K41" i="47" s="1"/>
  <c r="F60" i="47"/>
  <c r="F61" i="47" s="1"/>
  <c r="F37" i="47"/>
  <c r="F33" i="47"/>
  <c r="J42" i="47"/>
  <c r="K42" i="47" s="1"/>
  <c r="J38" i="47"/>
  <c r="K38" i="47" s="1"/>
  <c r="J34" i="47"/>
  <c r="K34" i="47" s="1"/>
  <c r="J24" i="47"/>
  <c r="K24" i="47" s="1"/>
  <c r="K22" i="47"/>
  <c r="K20" i="47"/>
  <c r="F116" i="47"/>
  <c r="K25" i="47"/>
  <c r="K27" i="47"/>
  <c r="J33" i="47"/>
  <c r="K33" i="47" s="1"/>
  <c r="F107" i="47"/>
  <c r="F110" i="47" s="1"/>
  <c r="K105" i="47"/>
  <c r="K92" i="47"/>
  <c r="K90" i="47"/>
  <c r="K81" i="47"/>
  <c r="K82" i="47" s="1"/>
  <c r="K79" i="47"/>
  <c r="K52" i="47"/>
  <c r="K30" i="47"/>
  <c r="K17" i="47"/>
  <c r="K16" i="47"/>
  <c r="K13" i="47"/>
  <c r="K12" i="47"/>
  <c r="K9" i="47"/>
  <c r="K8" i="47"/>
  <c r="K5" i="47"/>
  <c r="F91" i="47"/>
  <c r="F93" i="47" s="1"/>
  <c r="F118" i="47"/>
  <c r="F111" i="47"/>
  <c r="F53" i="47"/>
  <c r="F63" i="47" s="1"/>
  <c r="F47" i="47"/>
  <c r="F48" i="47" s="1"/>
  <c r="G1" i="63"/>
  <c r="K68" i="47"/>
  <c r="J68" i="47"/>
  <c r="F77" i="47"/>
  <c r="J77" i="47" s="1"/>
  <c r="F73" i="47"/>
  <c r="J73" i="47" s="1"/>
  <c r="H529" i="12" s="1"/>
  <c r="H529" i="120" s="1"/>
  <c r="E75" i="39"/>
  <c r="E76" i="39" s="1"/>
  <c r="AA74" i="39"/>
  <c r="X74" i="39"/>
  <c r="Y74" i="39" s="1"/>
  <c r="E71" i="39"/>
  <c r="E72" i="39" s="1"/>
  <c r="AA70" i="39"/>
  <c r="X70" i="39"/>
  <c r="Y70" i="39" s="1"/>
  <c r="D889" i="12"/>
  <c r="I59" i="87"/>
  <c r="J59" i="87" s="1"/>
  <c r="I57" i="87"/>
  <c r="J57" i="87" s="1"/>
  <c r="I56" i="87"/>
  <c r="J56" i="87"/>
  <c r="I55" i="87"/>
  <c r="J55" i="87" s="1"/>
  <c r="I45" i="87"/>
  <c r="I38" i="87"/>
  <c r="J38" i="87" s="1"/>
  <c r="J43" i="87"/>
  <c r="J41" i="87"/>
  <c r="J39" i="87"/>
  <c r="J32" i="87"/>
  <c r="J21" i="87"/>
  <c r="J14" i="87"/>
  <c r="G44" i="87"/>
  <c r="G42" i="87"/>
  <c r="G53" i="87"/>
  <c r="F42" i="87"/>
  <c r="I42" i="87" s="1"/>
  <c r="F44" i="87"/>
  <c r="J33" i="87"/>
  <c r="J6" i="87"/>
  <c r="G28" i="87"/>
  <c r="G37" i="87" s="1"/>
  <c r="G27" i="87"/>
  <c r="G51" i="87" s="1"/>
  <c r="F28" i="87"/>
  <c r="F52" i="87" s="1"/>
  <c r="H821" i="12"/>
  <c r="H821" i="120" s="1"/>
  <c r="K44" i="83"/>
  <c r="B816" i="12"/>
  <c r="B819" i="12"/>
  <c r="B818" i="12"/>
  <c r="B814" i="12"/>
  <c r="B813" i="12"/>
  <c r="B811" i="12"/>
  <c r="B532" i="12"/>
  <c r="B460" i="12"/>
  <c r="B660" i="12"/>
  <c r="B590" i="12"/>
  <c r="B589" i="12"/>
  <c r="B535" i="12"/>
  <c r="B534" i="12"/>
  <c r="B536" i="12"/>
  <c r="B462" i="12"/>
  <c r="J66" i="83"/>
  <c r="H810" i="12" s="1"/>
  <c r="J65" i="83"/>
  <c r="H809" i="12" s="1"/>
  <c r="J64" i="83"/>
  <c r="H808" i="12" s="1"/>
  <c r="J63" i="83"/>
  <c r="H807" i="12" s="1"/>
  <c r="O807" i="12" s="1"/>
  <c r="G68" i="83"/>
  <c r="J68" i="83" s="1"/>
  <c r="H805" i="12" s="1"/>
  <c r="B3" i="40"/>
  <c r="B2" i="40"/>
  <c r="A1" i="40"/>
  <c r="U57" i="49"/>
  <c r="F39" i="49"/>
  <c r="F57" i="49"/>
  <c r="E39" i="49"/>
  <c r="E57" i="49" s="1"/>
  <c r="E31" i="49"/>
  <c r="E30" i="49"/>
  <c r="U5" i="49"/>
  <c r="G5" i="49"/>
  <c r="F5" i="49"/>
  <c r="E5" i="49"/>
  <c r="U4" i="49"/>
  <c r="G4" i="49"/>
  <c r="F4" i="49"/>
  <c r="E4" i="49"/>
  <c r="U3" i="49"/>
  <c r="E3" i="49"/>
  <c r="J5" i="87"/>
  <c r="J4" i="87"/>
  <c r="J3" i="87"/>
  <c r="I2" i="87"/>
  <c r="J2" i="87" s="1"/>
  <c r="G109" i="83"/>
  <c r="G112" i="83" s="1"/>
  <c r="J108" i="83"/>
  <c r="K108" i="83" s="1"/>
  <c r="J107" i="83"/>
  <c r="K107" i="83" s="1"/>
  <c r="J106" i="83"/>
  <c r="K40" i="118" s="1"/>
  <c r="J105" i="83"/>
  <c r="K53" i="118" s="1"/>
  <c r="J104" i="83"/>
  <c r="J103" i="83"/>
  <c r="J102" i="83"/>
  <c r="J101" i="83"/>
  <c r="G97" i="83"/>
  <c r="G98" i="83" s="1"/>
  <c r="J96" i="83"/>
  <c r="K96" i="83" s="1"/>
  <c r="K95" i="83"/>
  <c r="K92" i="83"/>
  <c r="G91" i="83"/>
  <c r="K91" i="83" s="1"/>
  <c r="J90" i="83"/>
  <c r="K90" i="83" s="1"/>
  <c r="K83" i="83"/>
  <c r="G81" i="83"/>
  <c r="G82" i="83" s="1"/>
  <c r="K80" i="83"/>
  <c r="J79" i="83"/>
  <c r="K79" i="83" s="1"/>
  <c r="K60" i="83"/>
  <c r="K59" i="83"/>
  <c r="K58" i="83"/>
  <c r="K62" i="83"/>
  <c r="G67" i="83"/>
  <c r="G110" i="83" s="1"/>
  <c r="K55" i="83"/>
  <c r="K54" i="83"/>
  <c r="G49" i="83"/>
  <c r="J49" i="83" s="1"/>
  <c r="K49" i="83" s="1"/>
  <c r="G48" i="83"/>
  <c r="K47" i="83"/>
  <c r="K46" i="83"/>
  <c r="J45" i="83"/>
  <c r="K45" i="83" s="1"/>
  <c r="G42" i="83"/>
  <c r="K41" i="83"/>
  <c r="K40" i="83"/>
  <c r="J39" i="83"/>
  <c r="K39" i="83" s="1"/>
  <c r="K38" i="83"/>
  <c r="G36" i="83"/>
  <c r="G37" i="83" s="1"/>
  <c r="J37" i="83" s="1"/>
  <c r="H798" i="12" s="1"/>
  <c r="K35" i="83"/>
  <c r="K34" i="83"/>
  <c r="J33" i="83"/>
  <c r="K33" i="83" s="1"/>
  <c r="G29" i="83"/>
  <c r="G30" i="83" s="1"/>
  <c r="K28" i="83"/>
  <c r="K27" i="83"/>
  <c r="J26" i="83"/>
  <c r="K26" i="83" s="1"/>
  <c r="J25" i="83"/>
  <c r="K66" i="118" s="1"/>
  <c r="J24" i="83"/>
  <c r="J23" i="83"/>
  <c r="K23" i="83" s="1"/>
  <c r="J22" i="83"/>
  <c r="J21" i="83"/>
  <c r="K21" i="83" s="1"/>
  <c r="J20" i="83"/>
  <c r="K20" i="83" s="1"/>
  <c r="J19" i="83"/>
  <c r="K60" i="118" s="1"/>
  <c r="J18" i="83"/>
  <c r="K18" i="83" s="1"/>
  <c r="J17" i="83"/>
  <c r="K58" i="118" s="1"/>
  <c r="J16" i="83"/>
  <c r="K15" i="83"/>
  <c r="G13" i="83"/>
  <c r="G14" i="83" s="1"/>
  <c r="K12" i="83"/>
  <c r="K11" i="83"/>
  <c r="J10" i="83"/>
  <c r="K10" i="83" s="1"/>
  <c r="K8" i="83"/>
  <c r="K7" i="83"/>
  <c r="J6" i="83"/>
  <c r="K6" i="83" s="1"/>
  <c r="J5" i="83"/>
  <c r="K5" i="83" s="1"/>
  <c r="G4" i="83"/>
  <c r="G9" i="83" s="1"/>
  <c r="J3" i="83"/>
  <c r="K3" i="83" s="1"/>
  <c r="J2" i="83"/>
  <c r="H28" i="120" s="1"/>
  <c r="C70" i="134" s="1"/>
  <c r="N222" i="54"/>
  <c r="O222" i="54" s="1"/>
  <c r="N210" i="54"/>
  <c r="O210" i="54" s="1"/>
  <c r="AP209" i="54"/>
  <c r="AD209" i="54"/>
  <c r="V209" i="54"/>
  <c r="N209" i="54"/>
  <c r="H776" i="12" s="1"/>
  <c r="N208" i="54"/>
  <c r="O208" i="54" s="1"/>
  <c r="N207" i="54"/>
  <c r="H773" i="12" s="1"/>
  <c r="H773" i="120" s="1"/>
  <c r="N206" i="54"/>
  <c r="F206" i="54"/>
  <c r="N205" i="54"/>
  <c r="H771" i="12" s="1"/>
  <c r="H771" i="120" s="1"/>
  <c r="F205" i="54"/>
  <c r="N204" i="54"/>
  <c r="O204" i="54" s="1"/>
  <c r="F204" i="54"/>
  <c r="N203" i="54"/>
  <c r="H769" i="12" s="1"/>
  <c r="H769" i="120" s="1"/>
  <c r="N202" i="54"/>
  <c r="O202" i="54" s="1"/>
  <c r="F202" i="54"/>
  <c r="N201" i="54"/>
  <c r="H767" i="12" s="1"/>
  <c r="H767" i="120" s="1"/>
  <c r="N200" i="54"/>
  <c r="H766" i="12" s="1"/>
  <c r="H766" i="120" s="1"/>
  <c r="N199" i="54"/>
  <c r="H774" i="12" s="1"/>
  <c r="H774" i="120" s="1"/>
  <c r="N198" i="54"/>
  <c r="H775" i="12" s="1"/>
  <c r="N196" i="54"/>
  <c r="O196" i="54" s="1"/>
  <c r="O195" i="54"/>
  <c r="O194" i="54"/>
  <c r="O193" i="54"/>
  <c r="O191" i="54"/>
  <c r="O190" i="54"/>
  <c r="O189" i="54"/>
  <c r="O186" i="54"/>
  <c r="O185" i="54"/>
  <c r="O184" i="54"/>
  <c r="O181" i="54"/>
  <c r="O173" i="54"/>
  <c r="O172" i="54"/>
  <c r="N171" i="54"/>
  <c r="O171" i="54" s="1"/>
  <c r="N163" i="54"/>
  <c r="O163" i="54" s="1"/>
  <c r="AM152" i="54"/>
  <c r="N144" i="54"/>
  <c r="N142" i="54"/>
  <c r="O142" i="54" s="1"/>
  <c r="N138" i="54"/>
  <c r="O138" i="54" s="1"/>
  <c r="O137" i="54"/>
  <c r="N136" i="54"/>
  <c r="O136" i="54" s="1"/>
  <c r="N135" i="54"/>
  <c r="O135" i="54" s="1"/>
  <c r="N134" i="54"/>
  <c r="O134" i="54" s="1"/>
  <c r="N133" i="54"/>
  <c r="O133" i="54" s="1"/>
  <c r="N132" i="54"/>
  <c r="O132" i="54" s="1"/>
  <c r="N130" i="54"/>
  <c r="O130" i="54" s="1"/>
  <c r="O129" i="54"/>
  <c r="N128" i="54"/>
  <c r="O128" i="54" s="1"/>
  <c r="N127" i="54"/>
  <c r="O127" i="54" s="1"/>
  <c r="F125" i="54"/>
  <c r="F124" i="54"/>
  <c r="N121" i="54"/>
  <c r="O121" i="54" s="1"/>
  <c r="N120" i="54"/>
  <c r="O120" i="54" s="1"/>
  <c r="F118" i="54"/>
  <c r="F117" i="54"/>
  <c r="N113" i="54"/>
  <c r="O113" i="54" s="1"/>
  <c r="F111" i="54"/>
  <c r="F110" i="54"/>
  <c r="N107" i="54"/>
  <c r="O107" i="54" s="1"/>
  <c r="N106" i="54"/>
  <c r="O106" i="54" s="1"/>
  <c r="F104" i="54"/>
  <c r="F103" i="54"/>
  <c r="N100" i="54"/>
  <c r="O100" i="54" s="1"/>
  <c r="N99" i="54"/>
  <c r="O99" i="54" s="1"/>
  <c r="F97" i="54"/>
  <c r="F96" i="54"/>
  <c r="N93" i="54"/>
  <c r="O93" i="54" s="1"/>
  <c r="N92" i="54"/>
  <c r="O92" i="54" s="1"/>
  <c r="F89" i="54"/>
  <c r="F88" i="54"/>
  <c r="N85" i="54"/>
  <c r="O85" i="54" s="1"/>
  <c r="N84" i="54"/>
  <c r="O84" i="54" s="1"/>
  <c r="F81" i="54"/>
  <c r="N78" i="54"/>
  <c r="O78" i="54" s="1"/>
  <c r="N77" i="54"/>
  <c r="O77" i="54" s="1"/>
  <c r="F75" i="54"/>
  <c r="F74" i="54"/>
  <c r="N71" i="54"/>
  <c r="O71" i="54" s="1"/>
  <c r="N70" i="54"/>
  <c r="O70" i="54" s="1"/>
  <c r="F67" i="54"/>
  <c r="N64" i="54"/>
  <c r="O64" i="54" s="1"/>
  <c r="N63" i="54"/>
  <c r="O63" i="54" s="1"/>
  <c r="F61" i="54"/>
  <c r="N57" i="54"/>
  <c r="O57" i="54" s="1"/>
  <c r="N56" i="54"/>
  <c r="O56" i="54" s="1"/>
  <c r="F53" i="54"/>
  <c r="N50" i="54"/>
  <c r="O50" i="54" s="1"/>
  <c r="N49" i="54"/>
  <c r="O49" i="54" s="1"/>
  <c r="F47" i="54"/>
  <c r="N43" i="54"/>
  <c r="O43" i="54" s="1"/>
  <c r="N42" i="54"/>
  <c r="O42" i="54" s="1"/>
  <c r="F40" i="54"/>
  <c r="O34" i="54"/>
  <c r="O32" i="54"/>
  <c r="N19" i="54"/>
  <c r="O19" i="54" s="1"/>
  <c r="N18" i="54"/>
  <c r="O18" i="54" s="1"/>
  <c r="O17" i="54"/>
  <c r="N16" i="54"/>
  <c r="O16" i="54" s="1"/>
  <c r="N14" i="54"/>
  <c r="O14" i="54" s="1"/>
  <c r="O13" i="54"/>
  <c r="N12" i="54"/>
  <c r="O12" i="54" s="1"/>
  <c r="N11" i="54"/>
  <c r="O11" i="54" s="1"/>
  <c r="N10" i="54"/>
  <c r="O10" i="54" s="1"/>
  <c r="O9" i="54"/>
  <c r="N8" i="54"/>
  <c r="O8" i="54" s="1"/>
  <c r="N7" i="54"/>
  <c r="O7" i="54" s="1"/>
  <c r="O6" i="54"/>
  <c r="O4" i="54"/>
  <c r="P56" i="75"/>
  <c r="P50" i="75"/>
  <c r="Q44" i="75"/>
  <c r="Q42" i="75"/>
  <c r="Q40" i="75"/>
  <c r="Q38" i="75"/>
  <c r="Q36" i="75"/>
  <c r="Q32" i="75"/>
  <c r="H19" i="75"/>
  <c r="P16" i="75"/>
  <c r="Q16" i="75" s="1"/>
  <c r="Q14" i="75"/>
  <c r="P12" i="75"/>
  <c r="Q12" i="75" s="1"/>
  <c r="P9" i="75"/>
  <c r="P7" i="75"/>
  <c r="Q4" i="75"/>
  <c r="P3" i="75"/>
  <c r="O81" i="37"/>
  <c r="N77" i="37"/>
  <c r="N72" i="37"/>
  <c r="O48" i="37"/>
  <c r="O45" i="37"/>
  <c r="O19" i="37"/>
  <c r="O7" i="37"/>
  <c r="N3" i="37"/>
  <c r="M101" i="56"/>
  <c r="N101" i="56" s="1"/>
  <c r="N100" i="56"/>
  <c r="M99" i="56"/>
  <c r="N99" i="56" s="1"/>
  <c r="N98" i="56"/>
  <c r="N96" i="56"/>
  <c r="N74" i="56"/>
  <c r="N69" i="56"/>
  <c r="M67" i="56"/>
  <c r="N59" i="56"/>
  <c r="M42" i="56"/>
  <c r="M37" i="56"/>
  <c r="N37" i="56" s="1"/>
  <c r="M27" i="56"/>
  <c r="N27" i="56" s="1"/>
  <c r="M26" i="56"/>
  <c r="M21" i="56"/>
  <c r="M19" i="56"/>
  <c r="I62" i="118" s="1"/>
  <c r="M16" i="56"/>
  <c r="I59" i="118" s="1"/>
  <c r="M15" i="56"/>
  <c r="M14" i="56"/>
  <c r="N11" i="56"/>
  <c r="N7" i="56"/>
  <c r="N6" i="56"/>
  <c r="M5" i="56"/>
  <c r="K93" i="63"/>
  <c r="L93" i="63" s="1"/>
  <c r="K92" i="63"/>
  <c r="L92" i="63" s="1"/>
  <c r="K91" i="63"/>
  <c r="L91" i="63" s="1"/>
  <c r="K90" i="63"/>
  <c r="L90" i="63" s="1"/>
  <c r="K89" i="63"/>
  <c r="H594" i="12" s="1"/>
  <c r="H594" i="120" s="1"/>
  <c r="K88" i="63"/>
  <c r="H593" i="12" s="1"/>
  <c r="H593" i="120" s="1"/>
  <c r="K87" i="63"/>
  <c r="G29" i="75" s="1"/>
  <c r="K86" i="63"/>
  <c r="G28" i="75" s="1"/>
  <c r="G85" i="63"/>
  <c r="K85" i="63" s="1"/>
  <c r="K84" i="63"/>
  <c r="L84" i="63" s="1"/>
  <c r="L83" i="63"/>
  <c r="L81" i="63"/>
  <c r="L79" i="63"/>
  <c r="L77" i="63"/>
  <c r="L74" i="63"/>
  <c r="L72" i="63"/>
  <c r="L70" i="63"/>
  <c r="G48" i="63"/>
  <c r="G49" i="63" s="1"/>
  <c r="G45" i="63"/>
  <c r="G47" i="63" s="1"/>
  <c r="G42" i="63"/>
  <c r="G44" i="63" s="1"/>
  <c r="K44" i="63" s="1"/>
  <c r="G39" i="63"/>
  <c r="G41" i="63" s="1"/>
  <c r="G9" i="63"/>
  <c r="L7" i="63"/>
  <c r="L37" i="63"/>
  <c r="G33" i="63"/>
  <c r="G34" i="63" s="1"/>
  <c r="L31" i="63"/>
  <c r="G3" i="63"/>
  <c r="G6" i="63" s="1"/>
  <c r="L6" i="63" s="1"/>
  <c r="G71" i="63"/>
  <c r="J100" i="47"/>
  <c r="K100" i="47" s="1"/>
  <c r="K106" i="47"/>
  <c r="J89" i="47"/>
  <c r="K89" i="47" s="1"/>
  <c r="J78" i="47"/>
  <c r="K78" i="47" s="1"/>
  <c r="J60" i="47"/>
  <c r="K60" i="47" s="1"/>
  <c r="J50" i="47"/>
  <c r="K50" i="47" s="1"/>
  <c r="J44" i="47"/>
  <c r="K44" i="47" s="1"/>
  <c r="I56" i="61"/>
  <c r="I54" i="61"/>
  <c r="I52" i="61"/>
  <c r="J113" i="62"/>
  <c r="J107" i="62"/>
  <c r="F105" i="62"/>
  <c r="F115" i="62" s="1"/>
  <c r="I115" i="62" s="1"/>
  <c r="F47" i="61" s="1"/>
  <c r="F104" i="62"/>
  <c r="I104" i="62" s="1"/>
  <c r="J104" i="62" s="1"/>
  <c r="F102" i="62"/>
  <c r="F98" i="62"/>
  <c r="F100" i="62"/>
  <c r="I97" i="62"/>
  <c r="J97" i="62" s="1"/>
  <c r="F96" i="62"/>
  <c r="I95" i="62"/>
  <c r="J95" i="62" s="1"/>
  <c r="F94" i="62"/>
  <c r="I94" i="62" s="1"/>
  <c r="G42" i="118" s="1"/>
  <c r="J93" i="62"/>
  <c r="F92" i="62"/>
  <c r="I92" i="62" s="1"/>
  <c r="J92" i="62" s="1"/>
  <c r="F91" i="62"/>
  <c r="I91" i="62" s="1"/>
  <c r="J91" i="62" s="1"/>
  <c r="I90" i="62"/>
  <c r="F2" i="61" s="1"/>
  <c r="J89" i="62"/>
  <c r="J88" i="62"/>
  <c r="I88" i="62"/>
  <c r="F76" i="62"/>
  <c r="F75" i="62"/>
  <c r="F71" i="62"/>
  <c r="I71" i="62" s="1"/>
  <c r="F63" i="62"/>
  <c r="F62" i="62"/>
  <c r="I61" i="62"/>
  <c r="J61" i="62" s="1"/>
  <c r="I60" i="62"/>
  <c r="H433" i="12" s="1"/>
  <c r="H433" i="120" s="1"/>
  <c r="W59" i="62"/>
  <c r="J58" i="62"/>
  <c r="F56" i="62"/>
  <c r="F57" i="62"/>
  <c r="J55" i="62"/>
  <c r="I54" i="62"/>
  <c r="J54" i="62" s="1"/>
  <c r="J53" i="62"/>
  <c r="J51" i="62"/>
  <c r="I51" i="62"/>
  <c r="F41" i="62"/>
  <c r="F42" i="62"/>
  <c r="J40" i="62"/>
  <c r="J38" i="62"/>
  <c r="F31" i="62"/>
  <c r="J25" i="62"/>
  <c r="J24" i="62"/>
  <c r="J23" i="62"/>
  <c r="F22" i="62"/>
  <c r="F26" i="62" s="1"/>
  <c r="J21" i="62"/>
  <c r="J20" i="62"/>
  <c r="I19" i="62"/>
  <c r="J19" i="62" s="1"/>
  <c r="I18" i="62"/>
  <c r="I17" i="62"/>
  <c r="J17" i="62" s="1"/>
  <c r="F16" i="62"/>
  <c r="F39" i="62" s="1"/>
  <c r="I8" i="62"/>
  <c r="H418" i="12" s="1"/>
  <c r="H418" i="120" s="1"/>
  <c r="I7" i="62"/>
  <c r="J7" i="62" s="1"/>
  <c r="I6" i="62"/>
  <c r="H416" i="12" s="1"/>
  <c r="I5" i="62"/>
  <c r="H415" i="12" s="1"/>
  <c r="I4" i="62"/>
  <c r="H414" i="12" s="1"/>
  <c r="AD222" i="58"/>
  <c r="AC222" i="58"/>
  <c r="AB222" i="58"/>
  <c r="AD221" i="58"/>
  <c r="AD211" i="58" s="1"/>
  <c r="AC221" i="58"/>
  <c r="AC211" i="58" s="1"/>
  <c r="AB221" i="58"/>
  <c r="AB211" i="58" s="1"/>
  <c r="AD220" i="58"/>
  <c r="AD210" i="58" s="1"/>
  <c r="AC220" i="58"/>
  <c r="AC210" i="58" s="1"/>
  <c r="AB220" i="58"/>
  <c r="AB210" i="58" s="1"/>
  <c r="AD219" i="58"/>
  <c r="AD209" i="58" s="1"/>
  <c r="AC219" i="58"/>
  <c r="AC209" i="58" s="1"/>
  <c r="AB219" i="58"/>
  <c r="AB209" i="58" s="1"/>
  <c r="AD218" i="58"/>
  <c r="AD208" i="58" s="1"/>
  <c r="AC218" i="58"/>
  <c r="AC208" i="58" s="1"/>
  <c r="AB218" i="58"/>
  <c r="AB208" i="58" s="1"/>
  <c r="AD217" i="58"/>
  <c r="AD207" i="58" s="1"/>
  <c r="AC217" i="58"/>
  <c r="AC207" i="58" s="1"/>
  <c r="AB217" i="58"/>
  <c r="AB207" i="58" s="1"/>
  <c r="AD216" i="58"/>
  <c r="AC216" i="58"/>
  <c r="AB216" i="58"/>
  <c r="AD215" i="58"/>
  <c r="AC215" i="58"/>
  <c r="AB215" i="58"/>
  <c r="AD212" i="58"/>
  <c r="AD204" i="58" s="1"/>
  <c r="AC212" i="58"/>
  <c r="AC204" i="58" s="1"/>
  <c r="AB212" i="58"/>
  <c r="AB204" i="58" s="1"/>
  <c r="AD205" i="58"/>
  <c r="AD213" i="58" s="1"/>
  <c r="AC205" i="58"/>
  <c r="AC213" i="58" s="1"/>
  <c r="AB205" i="58"/>
  <c r="AB213" i="58" s="1"/>
  <c r="AD201" i="58"/>
  <c r="AC201" i="58"/>
  <c r="AB201" i="58"/>
  <c r="AD200" i="58"/>
  <c r="AC200" i="58"/>
  <c r="AB200" i="58"/>
  <c r="AD199" i="58"/>
  <c r="AD203" i="58" s="1"/>
  <c r="AC199" i="58"/>
  <c r="AC203" i="58" s="1"/>
  <c r="AB199" i="58"/>
  <c r="AB203" i="58" s="1"/>
  <c r="AD198" i="58"/>
  <c r="AD202" i="58" s="1"/>
  <c r="AC198" i="58"/>
  <c r="AC202" i="58" s="1"/>
  <c r="AB198" i="58"/>
  <c r="AB202" i="58" s="1"/>
  <c r="AD190" i="58"/>
  <c r="AC190" i="58"/>
  <c r="AB190" i="58"/>
  <c r="AD189" i="58"/>
  <c r="AC189" i="58"/>
  <c r="AB189" i="58"/>
  <c r="AF6" i="60"/>
  <c r="AA155" i="58"/>
  <c r="Z155" i="58"/>
  <c r="X155" i="58"/>
  <c r="W155" i="58"/>
  <c r="V155" i="58"/>
  <c r="U155" i="58"/>
  <c r="T155" i="58"/>
  <c r="Q155" i="58"/>
  <c r="AA8" i="59"/>
  <c r="Z8" i="59"/>
  <c r="Y8" i="59"/>
  <c r="X8" i="59"/>
  <c r="W8" i="59"/>
  <c r="V8" i="59"/>
  <c r="U8" i="59"/>
  <c r="H75" i="118"/>
  <c r="G75" i="118"/>
  <c r="F75" i="118"/>
  <c r="K73" i="118"/>
  <c r="J73" i="118"/>
  <c r="I73" i="118"/>
  <c r="G73" i="118"/>
  <c r="F73" i="118"/>
  <c r="K72" i="118"/>
  <c r="J72" i="118"/>
  <c r="I72" i="118"/>
  <c r="K71" i="118"/>
  <c r="J71" i="118"/>
  <c r="I71" i="118"/>
  <c r="K49" i="118"/>
  <c r="K50" i="118" s="1"/>
  <c r="G49" i="118"/>
  <c r="G50" i="118" s="1"/>
  <c r="F49" i="118"/>
  <c r="N47" i="118"/>
  <c r="K46" i="118"/>
  <c r="J46" i="118"/>
  <c r="J48" i="118" s="1"/>
  <c r="I46" i="118"/>
  <c r="I48" i="118" s="1"/>
  <c r="H46" i="118"/>
  <c r="H48" i="118" s="1"/>
  <c r="F46" i="118"/>
  <c r="F48" i="118" s="1"/>
  <c r="N45" i="118"/>
  <c r="N44" i="118"/>
  <c r="N43" i="118"/>
  <c r="N41" i="118"/>
  <c r="J40" i="118"/>
  <c r="J42" i="118" s="1"/>
  <c r="N38" i="118"/>
  <c r="N37" i="118"/>
  <c r="K36" i="118"/>
  <c r="I36" i="118"/>
  <c r="H36" i="118"/>
  <c r="N35" i="118"/>
  <c r="F34" i="118"/>
  <c r="F36" i="118" s="1"/>
  <c r="N33" i="118"/>
  <c r="N32" i="118"/>
  <c r="N31" i="118"/>
  <c r="K30" i="118"/>
  <c r="J30" i="118"/>
  <c r="I30" i="118"/>
  <c r="H30" i="118"/>
  <c r="F30" i="118"/>
  <c r="N29" i="118"/>
  <c r="N28" i="118"/>
  <c r="N27" i="118"/>
  <c r="N26" i="118"/>
  <c r="K25" i="118"/>
  <c r="J25" i="118"/>
  <c r="H25" i="118"/>
  <c r="F25" i="118"/>
  <c r="N24" i="118"/>
  <c r="N23" i="118"/>
  <c r="N22" i="118"/>
  <c r="N21" i="118"/>
  <c r="K20" i="118"/>
  <c r="I20" i="118"/>
  <c r="H20" i="118"/>
  <c r="F20" i="118"/>
  <c r="N19" i="118"/>
  <c r="N18" i="118"/>
  <c r="N17" i="118"/>
  <c r="N16" i="118"/>
  <c r="K15" i="118"/>
  <c r="I15" i="118"/>
  <c r="H15" i="118"/>
  <c r="F15" i="118"/>
  <c r="N14" i="118"/>
  <c r="N13" i="118"/>
  <c r="N12" i="118"/>
  <c r="N11" i="118"/>
  <c r="F10" i="118"/>
  <c r="N9" i="118"/>
  <c r="N8" i="118"/>
  <c r="N7" i="118"/>
  <c r="N6" i="118"/>
  <c r="F5" i="118"/>
  <c r="N4" i="118"/>
  <c r="N3" i="118"/>
  <c r="N2" i="118"/>
  <c r="N17" i="55"/>
  <c r="N15" i="55"/>
  <c r="N25" i="55" s="1"/>
  <c r="H57" i="12" s="1"/>
  <c r="N11" i="55"/>
  <c r="H42" i="12" s="1"/>
  <c r="H42" i="120" s="1"/>
  <c r="J7" i="55"/>
  <c r="M7" i="55" s="1"/>
  <c r="N4" i="55"/>
  <c r="H30" i="12" s="1"/>
  <c r="D32" i="122" s="1"/>
  <c r="N3" i="55"/>
  <c r="H35" i="12" s="1"/>
  <c r="H35" i="120" s="1"/>
  <c r="H13" i="120" s="1"/>
  <c r="B96" i="39"/>
  <c r="D90" i="39"/>
  <c r="E83" i="39"/>
  <c r="E84" i="39" s="1"/>
  <c r="AA82" i="39"/>
  <c r="X82" i="39"/>
  <c r="Y82" i="39" s="1"/>
  <c r="E79" i="39"/>
  <c r="E80" i="39" s="1"/>
  <c r="AA78" i="39"/>
  <c r="X78" i="39"/>
  <c r="Y78" i="39" s="1"/>
  <c r="E67" i="39"/>
  <c r="E68" i="39" s="1"/>
  <c r="AA66" i="39"/>
  <c r="X66" i="39"/>
  <c r="Y66" i="39" s="1"/>
  <c r="E63" i="39"/>
  <c r="E64" i="39" s="1"/>
  <c r="AA62" i="39"/>
  <c r="X62" i="39"/>
  <c r="Y62" i="39" s="1"/>
  <c r="E59" i="39"/>
  <c r="E60" i="39" s="1"/>
  <c r="AA58" i="39"/>
  <c r="X58" i="39"/>
  <c r="Y58" i="39" s="1"/>
  <c r="E55" i="39"/>
  <c r="E56" i="39" s="1"/>
  <c r="AA54" i="39"/>
  <c r="X54" i="39"/>
  <c r="Y54" i="39" s="1"/>
  <c r="E51" i="39"/>
  <c r="E52" i="39" s="1"/>
  <c r="AA50" i="39"/>
  <c r="X50" i="39"/>
  <c r="Y50" i="39" s="1"/>
  <c r="E47" i="39"/>
  <c r="E48" i="39" s="1"/>
  <c r="AA46" i="39"/>
  <c r="X46" i="39"/>
  <c r="Y46" i="39" s="1"/>
  <c r="E43" i="39"/>
  <c r="E44" i="39" s="1"/>
  <c r="AA42" i="39"/>
  <c r="X42" i="39"/>
  <c r="Y42" i="39" s="1"/>
  <c r="E39" i="39"/>
  <c r="E40" i="39" s="1"/>
  <c r="AA38" i="39"/>
  <c r="X38" i="39"/>
  <c r="Y38" i="39" s="1"/>
  <c r="E31" i="39"/>
  <c r="E32" i="39" s="1"/>
  <c r="AA30" i="39"/>
  <c r="X30" i="39"/>
  <c r="Y30" i="39" s="1"/>
  <c r="E23" i="39"/>
  <c r="E24" i="39" s="1"/>
  <c r="AA22" i="39"/>
  <c r="X22" i="39"/>
  <c r="Y22" i="39" s="1"/>
  <c r="E19" i="39"/>
  <c r="E20" i="39" s="1"/>
  <c r="AA18" i="39"/>
  <c r="X18" i="39"/>
  <c r="Y18" i="39" s="1"/>
  <c r="E15" i="39"/>
  <c r="E16" i="39" s="1"/>
  <c r="AA14" i="39"/>
  <c r="X14" i="39"/>
  <c r="Y14" i="39" s="1"/>
  <c r="E11" i="39"/>
  <c r="E12" i="39" s="1"/>
  <c r="AA10" i="39"/>
  <c r="X10" i="39"/>
  <c r="Y10" i="39" s="1"/>
  <c r="A2" i="39"/>
  <c r="H1" i="39"/>
  <c r="G1" i="39"/>
  <c r="A1" i="39"/>
  <c r="D29" i="122"/>
  <c r="B803" i="12"/>
  <c r="B763" i="12"/>
  <c r="B762" i="12"/>
  <c r="H737" i="12"/>
  <c r="H737" i="120" s="1"/>
  <c r="B736" i="12"/>
  <c r="B731" i="12"/>
  <c r="B722" i="12"/>
  <c r="B646" i="12"/>
  <c r="I265" i="12"/>
  <c r="B168" i="12"/>
  <c r="E840" i="12"/>
  <c r="E711" i="12"/>
  <c r="E711" i="120" s="1"/>
  <c r="E834" i="12"/>
  <c r="E96" i="12"/>
  <c r="E96" i="120" s="1"/>
  <c r="U7" i="96"/>
  <c r="S7" i="96"/>
  <c r="U6" i="96"/>
  <c r="T6" i="96"/>
  <c r="S5" i="96"/>
  <c r="S4" i="96"/>
  <c r="A14" i="78"/>
  <c r="B7" i="78"/>
  <c r="A7" i="78"/>
  <c r="B6" i="78"/>
  <c r="A6" i="78"/>
  <c r="B5" i="78"/>
  <c r="A5" i="78"/>
  <c r="B4" i="78"/>
  <c r="A4" i="78"/>
  <c r="A2" i="78"/>
  <c r="A1" i="78"/>
  <c r="N305" i="133"/>
  <c r="O306" i="133"/>
  <c r="O307" i="133" s="1"/>
  <c r="T4" i="58"/>
  <c r="J4" i="62"/>
  <c r="AE46" i="59"/>
  <c r="H226" i="12" s="1"/>
  <c r="O226" i="12" s="1"/>
  <c r="J60" i="62"/>
  <c r="G53" i="83"/>
  <c r="G56" i="83" s="1"/>
  <c r="G57" i="83" s="1"/>
  <c r="G75" i="83"/>
  <c r="G76" i="83" s="1"/>
  <c r="G77" i="83" s="1"/>
  <c r="G84" i="83" s="1"/>
  <c r="G85" i="83" s="1"/>
  <c r="G86" i="83" s="1"/>
  <c r="G78" i="63"/>
  <c r="AE14" i="59"/>
  <c r="AF14" i="59" s="1"/>
  <c r="Q4" i="58"/>
  <c r="J20" i="132"/>
  <c r="K20" i="132" s="1"/>
  <c r="E34" i="49"/>
  <c r="E35" i="49"/>
  <c r="F34" i="49"/>
  <c r="F58" i="49" s="1"/>
  <c r="G41" i="49"/>
  <c r="G34" i="49"/>
  <c r="U34" i="49"/>
  <c r="U41" i="49"/>
  <c r="K24" i="83"/>
  <c r="K65" i="118"/>
  <c r="K16" i="83"/>
  <c r="K57" i="118"/>
  <c r="K22" i="83"/>
  <c r="K63" i="118"/>
  <c r="K17" i="83"/>
  <c r="K61" i="118"/>
  <c r="AE62" i="59"/>
  <c r="H247" i="12" s="1"/>
  <c r="AE98" i="59"/>
  <c r="AE110" i="59"/>
  <c r="H282" i="12" s="1"/>
  <c r="H282" i="120" s="1"/>
  <c r="AE122" i="59"/>
  <c r="H281" i="12" s="1"/>
  <c r="H281" i="120" s="1"/>
  <c r="AE105" i="59"/>
  <c r="H267" i="12" s="1"/>
  <c r="AE117" i="59"/>
  <c r="H276" i="12" s="1"/>
  <c r="H276" i="120" s="1"/>
  <c r="AE64" i="59"/>
  <c r="H249" i="12" s="1"/>
  <c r="O249" i="12" s="1"/>
  <c r="AE100" i="59"/>
  <c r="H262" i="12" s="1"/>
  <c r="AE112" i="59"/>
  <c r="H284" i="12" s="1"/>
  <c r="H284" i="120" s="1"/>
  <c r="AE124" i="59"/>
  <c r="AF124" i="59" s="1"/>
  <c r="AE95" i="59"/>
  <c r="AF95" i="59" s="1"/>
  <c r="AE107" i="59"/>
  <c r="H269" i="12" s="1"/>
  <c r="AE119" i="59"/>
  <c r="H278" i="12" s="1"/>
  <c r="H278" i="120" s="1"/>
  <c r="AE66" i="59"/>
  <c r="AF66" i="59" s="1"/>
  <c r="AE102" i="59"/>
  <c r="H264" i="12" s="1"/>
  <c r="AE114" i="59"/>
  <c r="AF114" i="59" s="1"/>
  <c r="AE126" i="59"/>
  <c r="AF126" i="59" s="1"/>
  <c r="AE97" i="59"/>
  <c r="AE109" i="59"/>
  <c r="H271" i="12" s="1"/>
  <c r="AE121" i="59"/>
  <c r="H280" i="12" s="1"/>
  <c r="H280" i="120" s="1"/>
  <c r="AE104" i="59"/>
  <c r="AE116" i="59"/>
  <c r="H275" i="12" s="1"/>
  <c r="H275" i="120" s="1"/>
  <c r="AE128" i="59"/>
  <c r="AF128" i="59" s="1"/>
  <c r="AE93" i="59"/>
  <c r="AF93" i="59" s="1"/>
  <c r="AE63" i="59"/>
  <c r="H248" i="12" s="1"/>
  <c r="AE99" i="59"/>
  <c r="H261" i="12" s="1"/>
  <c r="AE111" i="59"/>
  <c r="H283" i="12" s="1"/>
  <c r="H283" i="120" s="1"/>
  <c r="AE123" i="59"/>
  <c r="AF123" i="59" s="1"/>
  <c r="AE94" i="59"/>
  <c r="AF94" i="59" s="1"/>
  <c r="AE106" i="59"/>
  <c r="H268" i="12" s="1"/>
  <c r="O268" i="12" s="1"/>
  <c r="AE118" i="59"/>
  <c r="AE65" i="59"/>
  <c r="H250" i="12" s="1"/>
  <c r="AE101" i="59"/>
  <c r="H263" i="12" s="1"/>
  <c r="AE113" i="59"/>
  <c r="H272" i="12" s="1"/>
  <c r="H272" i="120" s="1"/>
  <c r="AE125" i="59"/>
  <c r="AF125" i="59" s="1"/>
  <c r="AE60" i="59"/>
  <c r="H245" i="12" s="1"/>
  <c r="AE96" i="59"/>
  <c r="AF96" i="59" s="1"/>
  <c r="AE108" i="59"/>
  <c r="H270" i="12" s="1"/>
  <c r="AE120" i="59"/>
  <c r="H279" i="12" s="1"/>
  <c r="H279" i="120" s="1"/>
  <c r="AE137" i="59"/>
  <c r="AF137" i="59" s="1"/>
  <c r="AE151" i="59"/>
  <c r="AF151" i="59" s="1"/>
  <c r="AE103" i="59"/>
  <c r="AF103" i="59" s="1"/>
  <c r="AE115" i="59"/>
  <c r="H274" i="12" s="1"/>
  <c r="H274" i="120" s="1"/>
  <c r="AE127" i="59"/>
  <c r="AF127" i="59" s="1"/>
  <c r="H597" i="12"/>
  <c r="H597" i="120" s="1"/>
  <c r="J76" i="47"/>
  <c r="J18" i="62"/>
  <c r="H419" i="12"/>
  <c r="H419" i="120" s="1"/>
  <c r="I2" i="62"/>
  <c r="J2" i="62" s="1"/>
  <c r="E179" i="12"/>
  <c r="E179" i="120" s="1"/>
  <c r="E844" i="12"/>
  <c r="E488" i="12"/>
  <c r="E488" i="120" s="1"/>
  <c r="E94" i="12"/>
  <c r="E94" i="120" s="1"/>
  <c r="E639" i="12"/>
  <c r="E639" i="120" s="1"/>
  <c r="E854" i="12"/>
  <c r="E828" i="12"/>
  <c r="E546" i="12"/>
  <c r="H47" i="120"/>
  <c r="K104" i="83"/>
  <c r="H820" i="12"/>
  <c r="H820" i="120" s="1"/>
  <c r="K103" i="83"/>
  <c r="H819" i="12"/>
  <c r="H819" i="120" s="1"/>
  <c r="K101" i="83"/>
  <c r="H817" i="12"/>
  <c r="H817" i="120" s="1"/>
  <c r="K102" i="83"/>
  <c r="H818" i="12"/>
  <c r="H818" i="120" s="1"/>
  <c r="E856" i="12"/>
  <c r="E850" i="12"/>
  <c r="E850" i="120" s="1"/>
  <c r="E848" i="12"/>
  <c r="E848" i="120" s="1"/>
  <c r="L14" i="68"/>
  <c r="L13" i="68"/>
  <c r="L16" i="68"/>
  <c r="G32" i="49"/>
  <c r="G54" i="49" s="1"/>
  <c r="F33" i="62"/>
  <c r="F34" i="62" s="1"/>
  <c r="I100" i="62"/>
  <c r="F29" i="61" s="1"/>
  <c r="F69" i="61" s="1"/>
  <c r="F90" i="61" s="1"/>
  <c r="G4" i="63"/>
  <c r="G8" i="63" s="1"/>
  <c r="G59" i="63"/>
  <c r="G67" i="63" s="1"/>
  <c r="G111" i="63" s="1"/>
  <c r="G131" i="63" s="1"/>
  <c r="I24" i="61"/>
  <c r="L87" i="63"/>
  <c r="J104" i="47"/>
  <c r="K104" i="47" s="1"/>
  <c r="N31" i="54"/>
  <c r="L12" i="68"/>
  <c r="K105" i="83"/>
  <c r="J48" i="83"/>
  <c r="K48" i="83" s="1"/>
  <c r="J81" i="83"/>
  <c r="K81" i="83" s="1"/>
  <c r="K106" i="83"/>
  <c r="J109" i="83"/>
  <c r="K109" i="83" s="1"/>
  <c r="K2" i="83"/>
  <c r="K25" i="83"/>
  <c r="E440" i="120"/>
  <c r="E173" i="120"/>
  <c r="E500" i="12"/>
  <c r="E500" i="120" s="1"/>
  <c r="E618" i="12"/>
  <c r="E576" i="12"/>
  <c r="E576" i="120" s="1"/>
  <c r="E498" i="12"/>
  <c r="E498" i="120" s="1"/>
  <c r="E709" i="12"/>
  <c r="E616" i="12"/>
  <c r="E494" i="12"/>
  <c r="E494" i="120" s="1"/>
  <c r="E574" i="12"/>
  <c r="E574" i="120" s="1"/>
  <c r="E703" i="12"/>
  <c r="E703" i="120" s="1"/>
  <c r="E786" i="12"/>
  <c r="E786" i="120" s="1"/>
  <c r="E641" i="12"/>
  <c r="E641" i="120" s="1"/>
  <c r="E544" i="12"/>
  <c r="E98" i="12"/>
  <c r="E98" i="120" s="1"/>
  <c r="E570" i="12"/>
  <c r="E600" i="12"/>
  <c r="E794" i="12"/>
  <c r="E750" i="12"/>
  <c r="E750" i="120" s="1"/>
  <c r="E717" i="12"/>
  <c r="E717" i="120" s="1"/>
  <c r="C3" i="74"/>
  <c r="E550" i="12"/>
  <c r="H550" i="12" s="1"/>
  <c r="E474" i="12"/>
  <c r="E474" i="120" s="1"/>
  <c r="E681" i="12"/>
  <c r="E612" i="12"/>
  <c r="E568" i="12"/>
  <c r="E715" i="12"/>
  <c r="E715" i="120" s="1"/>
  <c r="E59" i="12"/>
  <c r="E59" i="120" s="1"/>
  <c r="E604" i="12"/>
  <c r="E564" i="12"/>
  <c r="E490" i="12"/>
  <c r="E490" i="120" s="1"/>
  <c r="E695" i="12"/>
  <c r="E695" i="120" s="1"/>
  <c r="E620" i="12"/>
  <c r="E502" i="12"/>
  <c r="E502" i="120" s="1"/>
  <c r="E560" i="12"/>
  <c r="E610" i="12"/>
  <c r="E486" i="12"/>
  <c r="E486" i="120" s="1"/>
  <c r="E693" i="12"/>
  <c r="E693" i="120" s="1"/>
  <c r="E608" i="12"/>
  <c r="E687" i="12"/>
  <c r="E687" i="120" s="1"/>
  <c r="E558" i="12"/>
  <c r="E578" i="12"/>
  <c r="E691" i="12"/>
  <c r="E691" i="120" s="1"/>
  <c r="E707" i="12"/>
  <c r="E707" i="120" s="1"/>
  <c r="I105" i="62"/>
  <c r="F32" i="61" s="1"/>
  <c r="F109" i="62"/>
  <c r="F108" i="62"/>
  <c r="F106" i="62"/>
  <c r="F43" i="62"/>
  <c r="J91" i="47"/>
  <c r="K91" i="47" s="1"/>
  <c r="F36" i="62"/>
  <c r="J36" i="62" s="1"/>
  <c r="J22" i="62"/>
  <c r="I98" i="62"/>
  <c r="J98" i="62" s="1"/>
  <c r="J99" i="62" s="1"/>
  <c r="I102" i="62"/>
  <c r="F30" i="61" s="1"/>
  <c r="F71" i="61" s="1"/>
  <c r="F92" i="61" s="1"/>
  <c r="J47" i="47"/>
  <c r="K47" i="47" s="1"/>
  <c r="J80" i="47"/>
  <c r="K80" i="47" s="1"/>
  <c r="F59" i="62"/>
  <c r="I59" i="62" s="1"/>
  <c r="F20" i="55" s="1"/>
  <c r="J41" i="62"/>
  <c r="I22" i="61"/>
  <c r="I23" i="61"/>
  <c r="K22" i="63"/>
  <c r="L22" i="63" s="1"/>
  <c r="K28" i="63"/>
  <c r="L28" i="63" s="1"/>
  <c r="J53" i="47"/>
  <c r="K53" i="47" s="1"/>
  <c r="J86" i="47"/>
  <c r="H525" i="12" s="1"/>
  <c r="H525" i="120" s="1"/>
  <c r="G54" i="63"/>
  <c r="G56" i="63" s="1"/>
  <c r="L33" i="63"/>
  <c r="I45" i="61"/>
  <c r="L3" i="63"/>
  <c r="H7" i="61"/>
  <c r="I7" i="61" s="1"/>
  <c r="N115" i="54"/>
  <c r="O115" i="54" s="1"/>
  <c r="J13" i="83"/>
  <c r="K13" i="83" s="1"/>
  <c r="N37" i="54"/>
  <c r="O37" i="54" s="1"/>
  <c r="N15" i="54"/>
  <c r="O15" i="54" s="1"/>
  <c r="N212" i="54"/>
  <c r="J57" i="118" s="1"/>
  <c r="N216" i="54"/>
  <c r="J61" i="118" s="1"/>
  <c r="N220" i="54"/>
  <c r="J65" i="118" s="1"/>
  <c r="N215" i="54"/>
  <c r="J60" i="118" s="1"/>
  <c r="N219" i="54"/>
  <c r="J64" i="118" s="1"/>
  <c r="N221" i="54"/>
  <c r="J66" i="118" s="1"/>
  <c r="G43" i="83"/>
  <c r="U63" i="49"/>
  <c r="U59" i="49"/>
  <c r="U61" i="49" s="1"/>
  <c r="N187" i="54"/>
  <c r="O187" i="54" s="1"/>
  <c r="G50" i="83"/>
  <c r="G51" i="83" s="1"/>
  <c r="G126" i="83"/>
  <c r="G143" i="83" s="1"/>
  <c r="G93" i="83"/>
  <c r="U58" i="49"/>
  <c r="F63" i="49"/>
  <c r="F59" i="49"/>
  <c r="F61" i="49" s="1"/>
  <c r="E41" i="49"/>
  <c r="F41" i="49"/>
  <c r="E32" i="49"/>
  <c r="E54" i="49" s="1"/>
  <c r="E49" i="49"/>
  <c r="B711" i="120"/>
  <c r="B852" i="120"/>
  <c r="H893" i="120"/>
  <c r="G33" i="49"/>
  <c r="G36" i="49" s="1"/>
  <c r="J100" i="62"/>
  <c r="J101" i="62" s="1"/>
  <c r="I76" i="62"/>
  <c r="H894" i="120"/>
  <c r="G60" i="63"/>
  <c r="G68" i="63" s="1"/>
  <c r="K68" i="63" s="1"/>
  <c r="AE129" i="59"/>
  <c r="AF129" i="59" s="1"/>
  <c r="AE131" i="59"/>
  <c r="AF131" i="59" s="1"/>
  <c r="AE130" i="59"/>
  <c r="AF130" i="59" s="1"/>
  <c r="K76" i="47"/>
  <c r="J116" i="47"/>
  <c r="K116" i="47" s="1"/>
  <c r="G51" i="118"/>
  <c r="G52" i="118" s="1"/>
  <c r="G94" i="83"/>
  <c r="J93" i="83"/>
  <c r="K93" i="83" s="1"/>
  <c r="J42" i="62"/>
  <c r="F112" i="62"/>
  <c r="F111" i="62"/>
  <c r="F110" i="62"/>
  <c r="E33" i="49"/>
  <c r="E36" i="49" s="1"/>
  <c r="B504" i="120"/>
  <c r="B622" i="120"/>
  <c r="B578" i="120"/>
  <c r="B850" i="120"/>
  <c r="B498" i="120"/>
  <c r="B709" i="120"/>
  <c r="B502" i="120"/>
  <c r="B574" i="120"/>
  <c r="B848" i="120"/>
  <c r="B576" i="120"/>
  <c r="B713" i="120"/>
  <c r="B707" i="120"/>
  <c r="B618" i="120"/>
  <c r="B620" i="120"/>
  <c r="B580" i="120"/>
  <c r="B500" i="120"/>
  <c r="H905" i="120"/>
  <c r="G71" i="118"/>
  <c r="G72" i="118"/>
  <c r="H895" i="120"/>
  <c r="J72" i="47"/>
  <c r="K72" i="47" s="1"/>
  <c r="J37" i="47"/>
  <c r="H516" i="12" s="1"/>
  <c r="H516" i="120" s="1"/>
  <c r="J85" i="47"/>
  <c r="H524" i="12" s="1"/>
  <c r="H524" i="120" s="1"/>
  <c r="K55" i="47"/>
  <c r="J117" i="47"/>
  <c r="H538" i="12" s="1"/>
  <c r="H538" i="120" s="1"/>
  <c r="I49" i="118"/>
  <c r="I50" i="118" s="1"/>
  <c r="H730" i="120"/>
  <c r="H900" i="120"/>
  <c r="H899" i="120"/>
  <c r="F27" i="87"/>
  <c r="F51" i="87" s="1"/>
  <c r="I27" i="87"/>
  <c r="J27" i="87" s="1"/>
  <c r="H49" i="118"/>
  <c r="H50" i="118" s="1"/>
  <c r="I28" i="87"/>
  <c r="J28" i="87" s="1"/>
  <c r="N177" i="54"/>
  <c r="O177" i="54" s="1"/>
  <c r="J49" i="118"/>
  <c r="J50" i="118" s="1"/>
  <c r="H71" i="118"/>
  <c r="H72" i="118"/>
  <c r="H73" i="118"/>
  <c r="F72" i="118"/>
  <c r="F71" i="118"/>
  <c r="I34" i="12"/>
  <c r="H674" i="120"/>
  <c r="J5" i="55"/>
  <c r="M5" i="55" s="1"/>
  <c r="J6" i="55"/>
  <c r="H167" i="12"/>
  <c r="H167" i="120" s="1"/>
  <c r="J19" i="132"/>
  <c r="H325" i="12" s="1"/>
  <c r="H325" i="120" s="1"/>
  <c r="J17" i="132"/>
  <c r="H323" i="12" s="1"/>
  <c r="H901" i="120"/>
  <c r="I764" i="120"/>
  <c r="I905" i="12"/>
  <c r="J905" i="12" s="1"/>
  <c r="G1" i="122"/>
  <c r="B4" i="74"/>
  <c r="M888" i="12" s="1"/>
  <c r="I1" i="77"/>
  <c r="H5" i="39"/>
  <c r="G5" i="78"/>
  <c r="B4" i="40"/>
  <c r="I773" i="12"/>
  <c r="I895" i="12"/>
  <c r="J895" i="12" s="1"/>
  <c r="I897" i="12"/>
  <c r="J897" i="12" s="1"/>
  <c r="I902" i="12"/>
  <c r="J902" i="12" s="1"/>
  <c r="I892" i="12"/>
  <c r="J892" i="12" s="1"/>
  <c r="I899" i="12"/>
  <c r="J899" i="12" s="1"/>
  <c r="I894" i="12"/>
  <c r="J894" i="12" s="1"/>
  <c r="I900" i="12"/>
  <c r="J900" i="12" s="1"/>
  <c r="I898" i="12"/>
  <c r="J898" i="12" s="1"/>
  <c r="I896" i="12"/>
  <c r="J896" i="12" s="1"/>
  <c r="I903" i="12"/>
  <c r="J903" i="12" s="1"/>
  <c r="I924" i="12"/>
  <c r="J924" i="12" s="1"/>
  <c r="I915" i="12"/>
  <c r="I916" i="12"/>
  <c r="I928" i="12"/>
  <c r="J928" i="12" s="1"/>
  <c r="I909" i="12"/>
  <c r="J909" i="12" s="1"/>
  <c r="I920" i="12"/>
  <c r="I906" i="12"/>
  <c r="J906" i="12" s="1"/>
  <c r="I907" i="12"/>
  <c r="J907" i="12" s="1"/>
  <c r="I922" i="12"/>
  <c r="J922" i="12" s="1"/>
  <c r="I918" i="12"/>
  <c r="I923" i="12"/>
  <c r="I919" i="12"/>
  <c r="J919" i="12" s="1"/>
  <c r="I910" i="12"/>
  <c r="J910" i="12" s="1"/>
  <c r="I911" i="12"/>
  <c r="J911" i="12" s="1"/>
  <c r="I908" i="12"/>
  <c r="J908" i="12" s="1"/>
  <c r="I917" i="12"/>
  <c r="J917" i="12" s="1"/>
  <c r="I913" i="12"/>
  <c r="J913" i="12" s="1"/>
  <c r="I921" i="12"/>
  <c r="J921" i="12" s="1"/>
  <c r="I925" i="12"/>
  <c r="J925" i="12" s="1"/>
  <c r="I912" i="12"/>
  <c r="J912" i="12" s="1"/>
  <c r="I914" i="12"/>
  <c r="J914" i="12" s="1"/>
  <c r="I662" i="12"/>
  <c r="I539" i="12"/>
  <c r="I764" i="12"/>
  <c r="J764" i="12" s="1"/>
  <c r="I904" i="12"/>
  <c r="J904" i="12" s="1"/>
  <c r="I901" i="12"/>
  <c r="J901" i="12" s="1"/>
  <c r="J6" i="47"/>
  <c r="K6" i="47" s="1"/>
  <c r="J14" i="47"/>
  <c r="K14" i="47" s="1"/>
  <c r="J10" i="47"/>
  <c r="K10" i="47" s="1"/>
  <c r="J2" i="47"/>
  <c r="K2" i="47" s="1"/>
  <c r="D3" i="43" a="1"/>
  <c r="E63" i="43" a="1"/>
  <c r="E3" i="43" a="1"/>
  <c r="AE30" i="58" a="1"/>
  <c r="D1" i="43" a="1"/>
  <c r="E1" i="43" a="1"/>
  <c r="AE30" i="58" l="1"/>
  <c r="F12" i="121"/>
  <c r="E12" i="121"/>
  <c r="D12" i="121"/>
  <c r="B12" i="121"/>
  <c r="Q174" i="58"/>
  <c r="Q166" i="58"/>
  <c r="Q160" i="58"/>
  <c r="Q178" i="58"/>
  <c r="Q156" i="58"/>
  <c r="G53" i="78"/>
  <c r="Q37" i="58"/>
  <c r="Q38" i="58"/>
  <c r="L168" i="59"/>
  <c r="L158" i="59" s="1"/>
  <c r="N168" i="59"/>
  <c r="N158" i="59" s="1"/>
  <c r="O168" i="59"/>
  <c r="O158" i="59" s="1"/>
  <c r="M168" i="59"/>
  <c r="M158" i="59" s="1"/>
  <c r="M167" i="59"/>
  <c r="M157" i="59" s="1"/>
  <c r="L167" i="59"/>
  <c r="L157" i="59" s="1"/>
  <c r="N167" i="59"/>
  <c r="N157" i="59" s="1"/>
  <c r="O167" i="59"/>
  <c r="O157" i="59" s="1"/>
  <c r="T152" i="58"/>
  <c r="G116" i="120"/>
  <c r="I116" i="120" s="1"/>
  <c r="F116" i="120"/>
  <c r="D116" i="120"/>
  <c r="C116" i="120"/>
  <c r="N116" i="120"/>
  <c r="G580" i="120"/>
  <c r="I580" i="120" s="1"/>
  <c r="F580" i="120"/>
  <c r="D580" i="120"/>
  <c r="C580" i="120"/>
  <c r="G578" i="120"/>
  <c r="F578" i="120"/>
  <c r="D578" i="120"/>
  <c r="C578" i="120"/>
  <c r="G711" i="120"/>
  <c r="I711" i="120" s="1"/>
  <c r="F711" i="120"/>
  <c r="D711" i="120"/>
  <c r="C711" i="120"/>
  <c r="C534" i="12"/>
  <c r="C816" i="12"/>
  <c r="N816" i="12"/>
  <c r="D515" i="12"/>
  <c r="C515" i="12"/>
  <c r="D37" i="120"/>
  <c r="C37" i="120"/>
  <c r="G37" i="120"/>
  <c r="I37" i="120" s="1"/>
  <c r="F37" i="120"/>
  <c r="N69" i="120"/>
  <c r="G69" i="120"/>
  <c r="I69" i="120" s="1"/>
  <c r="F69" i="120"/>
  <c r="D69" i="120"/>
  <c r="C69" i="120"/>
  <c r="G89" i="120"/>
  <c r="F89" i="120"/>
  <c r="D89" i="120"/>
  <c r="C89" i="120"/>
  <c r="C227" i="120"/>
  <c r="N227" i="120"/>
  <c r="G227" i="120"/>
  <c r="I227" i="120" s="1"/>
  <c r="F227" i="120"/>
  <c r="D227" i="120"/>
  <c r="C233" i="120"/>
  <c r="N233" i="120"/>
  <c r="G233" i="120"/>
  <c r="I233" i="120" s="1"/>
  <c r="F233" i="120"/>
  <c r="D233" i="120"/>
  <c r="C250" i="120"/>
  <c r="N250" i="120"/>
  <c r="G250" i="120"/>
  <c r="I250" i="120" s="1"/>
  <c r="F250" i="120"/>
  <c r="D250" i="120"/>
  <c r="C262" i="120"/>
  <c r="N262" i="120"/>
  <c r="G262" i="120"/>
  <c r="I262" i="120" s="1"/>
  <c r="F262" i="120"/>
  <c r="D262" i="120"/>
  <c r="D274" i="120"/>
  <c r="C274" i="120"/>
  <c r="G274" i="120"/>
  <c r="I274" i="120" s="1"/>
  <c r="J274" i="120" s="1"/>
  <c r="F274" i="120"/>
  <c r="G281" i="120"/>
  <c r="F281" i="120"/>
  <c r="D281" i="120"/>
  <c r="C281" i="120"/>
  <c r="G287" i="120"/>
  <c r="I287" i="120" s="1"/>
  <c r="F287" i="120"/>
  <c r="C287" i="120"/>
  <c r="D287" i="120"/>
  <c r="D303" i="120"/>
  <c r="C303" i="120"/>
  <c r="G303" i="120"/>
  <c r="I303" i="120" s="1"/>
  <c r="J303" i="120" s="1"/>
  <c r="F303" i="120"/>
  <c r="D309" i="120"/>
  <c r="C309" i="120"/>
  <c r="G309" i="120"/>
  <c r="I309" i="120" s="1"/>
  <c r="F309" i="120"/>
  <c r="G335" i="120"/>
  <c r="I335" i="120" s="1"/>
  <c r="F335" i="120"/>
  <c r="D335" i="120"/>
  <c r="C335" i="120"/>
  <c r="G341" i="120"/>
  <c r="I341" i="120" s="1"/>
  <c r="J341" i="120" s="1"/>
  <c r="F341" i="120"/>
  <c r="D341" i="120"/>
  <c r="C341" i="120"/>
  <c r="G356" i="120"/>
  <c r="I356" i="120" s="1"/>
  <c r="J356" i="120" s="1"/>
  <c r="F356" i="120"/>
  <c r="C356" i="120"/>
  <c r="D356" i="120"/>
  <c r="G362" i="120"/>
  <c r="I362" i="120" s="1"/>
  <c r="J362" i="120" s="1"/>
  <c r="F362" i="120"/>
  <c r="D362" i="120"/>
  <c r="C362" i="120"/>
  <c r="G368" i="120"/>
  <c r="I368" i="120" s="1"/>
  <c r="J368" i="120" s="1"/>
  <c r="F368" i="120"/>
  <c r="D368" i="120"/>
  <c r="C368" i="120"/>
  <c r="G375" i="120"/>
  <c r="I375" i="120" s="1"/>
  <c r="J375" i="120" s="1"/>
  <c r="F375" i="120"/>
  <c r="D375" i="120"/>
  <c r="C375" i="120"/>
  <c r="G381" i="120"/>
  <c r="I381" i="120" s="1"/>
  <c r="J381" i="120" s="1"/>
  <c r="F381" i="120"/>
  <c r="D381" i="120"/>
  <c r="C381" i="120"/>
  <c r="G388" i="120"/>
  <c r="I388" i="120" s="1"/>
  <c r="F388" i="120"/>
  <c r="D388" i="120"/>
  <c r="C388" i="120"/>
  <c r="N417" i="120"/>
  <c r="G417" i="120"/>
  <c r="I417" i="120" s="1"/>
  <c r="F417" i="120"/>
  <c r="D417" i="120"/>
  <c r="C417" i="120"/>
  <c r="N423" i="120"/>
  <c r="G423" i="120"/>
  <c r="I423" i="120" s="1"/>
  <c r="F423" i="120"/>
  <c r="D423" i="120"/>
  <c r="C423" i="120"/>
  <c r="G429" i="120"/>
  <c r="I429" i="120" s="1"/>
  <c r="F429" i="120"/>
  <c r="D429" i="120"/>
  <c r="C429" i="120"/>
  <c r="G435" i="120"/>
  <c r="I435" i="120" s="1"/>
  <c r="F435" i="120"/>
  <c r="D435" i="120"/>
  <c r="C435" i="120"/>
  <c r="G464" i="120"/>
  <c r="I464" i="120" s="1"/>
  <c r="F464" i="120"/>
  <c r="D464" i="120"/>
  <c r="C464" i="120"/>
  <c r="G519" i="120"/>
  <c r="I519" i="120" s="1"/>
  <c r="F519" i="120"/>
  <c r="D519" i="120"/>
  <c r="C519" i="120"/>
  <c r="G525" i="120"/>
  <c r="I525" i="120" s="1"/>
  <c r="J525" i="120" s="1"/>
  <c r="F525" i="120"/>
  <c r="D525" i="120"/>
  <c r="C525" i="120"/>
  <c r="G531" i="120"/>
  <c r="I531" i="120" s="1"/>
  <c r="F531" i="120"/>
  <c r="D531" i="120"/>
  <c r="C531" i="120"/>
  <c r="F539" i="120"/>
  <c r="D539" i="120"/>
  <c r="C539" i="120"/>
  <c r="F662" i="120"/>
  <c r="D662" i="120"/>
  <c r="C662" i="120"/>
  <c r="N662" i="120"/>
  <c r="G668" i="120"/>
  <c r="I668" i="120" s="1"/>
  <c r="F668" i="120"/>
  <c r="D668" i="120"/>
  <c r="C668" i="120"/>
  <c r="G679" i="120"/>
  <c r="I679" i="120" s="1"/>
  <c r="F679" i="120"/>
  <c r="D679" i="120"/>
  <c r="C679" i="120"/>
  <c r="G734" i="120"/>
  <c r="I734" i="120" s="1"/>
  <c r="F734" i="120"/>
  <c r="D734" i="120"/>
  <c r="C734" i="120"/>
  <c r="G809" i="120"/>
  <c r="I809" i="120" s="1"/>
  <c r="F809" i="120"/>
  <c r="N809" i="120"/>
  <c r="D809" i="120"/>
  <c r="C809" i="120"/>
  <c r="N817" i="120"/>
  <c r="O817" i="120" s="1"/>
  <c r="G817" i="120"/>
  <c r="I817" i="120" s="1"/>
  <c r="J817" i="120" s="1"/>
  <c r="F817" i="120"/>
  <c r="D817" i="120"/>
  <c r="C817" i="120"/>
  <c r="G824" i="120"/>
  <c r="I824" i="120" s="1"/>
  <c r="F824" i="120"/>
  <c r="D824" i="120"/>
  <c r="C824" i="120"/>
  <c r="G871" i="120"/>
  <c r="I871" i="120" s="1"/>
  <c r="F871" i="120"/>
  <c r="D871" i="120"/>
  <c r="C871" i="120"/>
  <c r="M871" i="120"/>
  <c r="G877" i="120"/>
  <c r="I877" i="120" s="1"/>
  <c r="J877" i="120" s="1"/>
  <c r="F877" i="120"/>
  <c r="D877" i="120"/>
  <c r="M877" i="120"/>
  <c r="C877" i="120"/>
  <c r="M882" i="120"/>
  <c r="G882" i="120"/>
  <c r="I882" i="120" s="1"/>
  <c r="J882" i="120" s="1"/>
  <c r="F882" i="120"/>
  <c r="D882" i="120"/>
  <c r="C882" i="120"/>
  <c r="G916" i="120"/>
  <c r="I916" i="120" s="1"/>
  <c r="F916" i="120"/>
  <c r="D916" i="120"/>
  <c r="C916" i="120"/>
  <c r="C921" i="120"/>
  <c r="D921" i="120"/>
  <c r="G921" i="120"/>
  <c r="I921" i="120" s="1"/>
  <c r="J921" i="120" s="1"/>
  <c r="F921" i="120"/>
  <c r="D762" i="12"/>
  <c r="C762" i="12"/>
  <c r="G137" i="120"/>
  <c r="I137" i="120" s="1"/>
  <c r="F137" i="120"/>
  <c r="D137" i="120"/>
  <c r="C137" i="120"/>
  <c r="G513" i="120"/>
  <c r="I513" i="120" s="1"/>
  <c r="F513" i="120"/>
  <c r="D513" i="120"/>
  <c r="C513" i="120"/>
  <c r="C594" i="120"/>
  <c r="F594" i="120"/>
  <c r="D594" i="120"/>
  <c r="G594" i="120"/>
  <c r="I594" i="120" s="1"/>
  <c r="J594" i="120" s="1"/>
  <c r="G715" i="120"/>
  <c r="I715" i="120" s="1"/>
  <c r="F715" i="120"/>
  <c r="D715" i="120"/>
  <c r="C715" i="120"/>
  <c r="G861" i="120"/>
  <c r="I861" i="120" s="1"/>
  <c r="F861" i="120"/>
  <c r="D861" i="120"/>
  <c r="C861" i="120"/>
  <c r="G142" i="120"/>
  <c r="I142" i="120" s="1"/>
  <c r="F142" i="120"/>
  <c r="D142" i="120"/>
  <c r="C142" i="120"/>
  <c r="G758" i="120"/>
  <c r="I758" i="120" s="1"/>
  <c r="F758" i="120"/>
  <c r="D758" i="120"/>
  <c r="C758" i="120"/>
  <c r="G618" i="120"/>
  <c r="I618" i="120" s="1"/>
  <c r="F618" i="120"/>
  <c r="D618" i="120"/>
  <c r="C618" i="120"/>
  <c r="G504" i="120"/>
  <c r="I504" i="120" s="1"/>
  <c r="F504" i="120"/>
  <c r="D504" i="120"/>
  <c r="C504" i="120"/>
  <c r="D763" i="12"/>
  <c r="C763" i="12"/>
  <c r="N763" i="12"/>
  <c r="C589" i="12"/>
  <c r="G51" i="120"/>
  <c r="I51" i="120" s="1"/>
  <c r="J51" i="120" s="1"/>
  <c r="F51" i="120"/>
  <c r="D51" i="120"/>
  <c r="C51" i="120"/>
  <c r="N70" i="120"/>
  <c r="G70" i="120"/>
  <c r="I70" i="120" s="1"/>
  <c r="F70" i="120"/>
  <c r="D70" i="120"/>
  <c r="C70" i="120"/>
  <c r="G92" i="120"/>
  <c r="I92" i="120" s="1"/>
  <c r="F92" i="120"/>
  <c r="D92" i="120"/>
  <c r="C92" i="120"/>
  <c r="N228" i="120"/>
  <c r="G228" i="120"/>
  <c r="I228" i="120" s="1"/>
  <c r="F228" i="120"/>
  <c r="D228" i="120"/>
  <c r="C228" i="120"/>
  <c r="G235" i="120"/>
  <c r="I235" i="120" s="1"/>
  <c r="F235" i="120"/>
  <c r="D235" i="120"/>
  <c r="C235" i="120"/>
  <c r="N235" i="120"/>
  <c r="N251" i="120"/>
  <c r="G251" i="120"/>
  <c r="I251" i="120" s="1"/>
  <c r="F251" i="120"/>
  <c r="D251" i="120"/>
  <c r="C251" i="120"/>
  <c r="N263" i="120"/>
  <c r="G263" i="120"/>
  <c r="I263" i="120" s="1"/>
  <c r="F263" i="120"/>
  <c r="D263" i="120"/>
  <c r="C263" i="120"/>
  <c r="G275" i="120"/>
  <c r="I275" i="120" s="1"/>
  <c r="J275" i="120" s="1"/>
  <c r="F275" i="120"/>
  <c r="D275" i="120"/>
  <c r="C275" i="120"/>
  <c r="G282" i="120"/>
  <c r="I282" i="120" s="1"/>
  <c r="J282" i="120" s="1"/>
  <c r="F282" i="120"/>
  <c r="D282" i="120"/>
  <c r="C282" i="120"/>
  <c r="G288" i="120"/>
  <c r="I288" i="120" s="1"/>
  <c r="F288" i="120"/>
  <c r="D288" i="120"/>
  <c r="C288" i="120"/>
  <c r="G310" i="120"/>
  <c r="I310" i="120" s="1"/>
  <c r="F310" i="120"/>
  <c r="C310" i="120"/>
  <c r="D310" i="120"/>
  <c r="D336" i="120"/>
  <c r="C336" i="120"/>
  <c r="G336" i="120"/>
  <c r="I336" i="120" s="1"/>
  <c r="J336" i="120" s="1"/>
  <c r="F336" i="120"/>
  <c r="D342" i="120"/>
  <c r="C342" i="120"/>
  <c r="G342" i="120"/>
  <c r="I342" i="120" s="1"/>
  <c r="J342" i="120" s="1"/>
  <c r="F342" i="120"/>
  <c r="G350" i="120"/>
  <c r="I350" i="120" s="1"/>
  <c r="F350" i="120"/>
  <c r="D350" i="120"/>
  <c r="C350" i="120"/>
  <c r="G357" i="120"/>
  <c r="I357" i="120" s="1"/>
  <c r="J357" i="120" s="1"/>
  <c r="F357" i="120"/>
  <c r="D357" i="120"/>
  <c r="C357" i="120"/>
  <c r="G363" i="120"/>
  <c r="I363" i="120" s="1"/>
  <c r="J363" i="120" s="1"/>
  <c r="F363" i="120"/>
  <c r="D363" i="120"/>
  <c r="C363" i="120"/>
  <c r="G369" i="120"/>
  <c r="I369" i="120" s="1"/>
  <c r="J369" i="120" s="1"/>
  <c r="F369" i="120"/>
  <c r="D369" i="120"/>
  <c r="C369" i="120"/>
  <c r="D376" i="120"/>
  <c r="C376" i="120"/>
  <c r="G376" i="120"/>
  <c r="I376" i="120" s="1"/>
  <c r="J376" i="120" s="1"/>
  <c r="F376" i="120"/>
  <c r="D382" i="120"/>
  <c r="C382" i="120"/>
  <c r="G382" i="120"/>
  <c r="I382" i="120" s="1"/>
  <c r="J382" i="120" s="1"/>
  <c r="F382" i="120"/>
  <c r="D389" i="120"/>
  <c r="C389" i="120"/>
  <c r="G389" i="120"/>
  <c r="I389" i="120" s="1"/>
  <c r="J389" i="120" s="1"/>
  <c r="F389" i="120"/>
  <c r="D398" i="120"/>
  <c r="C398" i="120"/>
  <c r="G398" i="120"/>
  <c r="I398" i="120" s="1"/>
  <c r="J398" i="120" s="1"/>
  <c r="F398" i="120"/>
  <c r="N418" i="120"/>
  <c r="O418" i="120" s="1"/>
  <c r="D418" i="120"/>
  <c r="C418" i="120"/>
  <c r="G418" i="120"/>
  <c r="I418" i="120" s="1"/>
  <c r="J418" i="120" s="1"/>
  <c r="F418" i="120"/>
  <c r="D424" i="120"/>
  <c r="C424" i="120"/>
  <c r="G424" i="120"/>
  <c r="I424" i="120" s="1"/>
  <c r="F424" i="120"/>
  <c r="D430" i="120"/>
  <c r="C430" i="120"/>
  <c r="G430" i="120"/>
  <c r="I430" i="120" s="1"/>
  <c r="F430" i="120"/>
  <c r="D436" i="120"/>
  <c r="C436" i="120"/>
  <c r="G436" i="120"/>
  <c r="I436" i="120" s="1"/>
  <c r="F436" i="120"/>
  <c r="G465" i="120"/>
  <c r="I465" i="120" s="1"/>
  <c r="F465" i="120"/>
  <c r="D465" i="120"/>
  <c r="C465" i="120"/>
  <c r="D520" i="120"/>
  <c r="C520" i="120"/>
  <c r="G520" i="120"/>
  <c r="I520" i="120" s="1"/>
  <c r="F520" i="120"/>
  <c r="D526" i="120"/>
  <c r="C526" i="120"/>
  <c r="G526" i="120"/>
  <c r="I526" i="120" s="1"/>
  <c r="F526" i="120"/>
  <c r="G656" i="120"/>
  <c r="I656" i="120" s="1"/>
  <c r="F656" i="120"/>
  <c r="D656" i="120"/>
  <c r="C656" i="120"/>
  <c r="D663" i="120"/>
  <c r="C663" i="120"/>
  <c r="N663" i="120"/>
  <c r="G663" i="120"/>
  <c r="I663" i="120" s="1"/>
  <c r="F663" i="120"/>
  <c r="D669" i="120"/>
  <c r="C669" i="120"/>
  <c r="G669" i="120"/>
  <c r="I669" i="120" s="1"/>
  <c r="F669" i="120"/>
  <c r="G717" i="120"/>
  <c r="I717" i="120" s="1"/>
  <c r="F717" i="120"/>
  <c r="D717" i="120"/>
  <c r="C717" i="120"/>
  <c r="D735" i="120"/>
  <c r="C735" i="120"/>
  <c r="G735" i="120"/>
  <c r="I735" i="120" s="1"/>
  <c r="F735" i="120"/>
  <c r="F804" i="120"/>
  <c r="D804" i="120"/>
  <c r="C804" i="120"/>
  <c r="G804" i="120"/>
  <c r="I804" i="120" s="1"/>
  <c r="N804" i="120"/>
  <c r="F810" i="120"/>
  <c r="D810" i="120"/>
  <c r="C810" i="120"/>
  <c r="N810" i="120"/>
  <c r="G810" i="120"/>
  <c r="I810" i="120" s="1"/>
  <c r="F872" i="120"/>
  <c r="D872" i="120"/>
  <c r="C872" i="120"/>
  <c r="G872" i="120"/>
  <c r="I872" i="120" s="1"/>
  <c r="M872" i="120"/>
  <c r="G893" i="120"/>
  <c r="I893" i="120" s="1"/>
  <c r="J893" i="120" s="1"/>
  <c r="F893" i="120"/>
  <c r="D893" i="120"/>
  <c r="C893" i="120"/>
  <c r="G898" i="120"/>
  <c r="I898" i="120" s="1"/>
  <c r="J898" i="120" s="1"/>
  <c r="F898" i="120"/>
  <c r="D898" i="120"/>
  <c r="C898" i="120"/>
  <c r="G908" i="120"/>
  <c r="I908" i="120" s="1"/>
  <c r="J908" i="120" s="1"/>
  <c r="F908" i="120"/>
  <c r="D908" i="120"/>
  <c r="C908" i="120"/>
  <c r="G917" i="120"/>
  <c r="I917" i="120" s="1"/>
  <c r="J917" i="120" s="1"/>
  <c r="F917" i="120"/>
  <c r="D917" i="120"/>
  <c r="C917" i="120"/>
  <c r="G928" i="120"/>
  <c r="I928" i="120" s="1"/>
  <c r="J928" i="120" s="1"/>
  <c r="F928" i="120"/>
  <c r="D928" i="120"/>
  <c r="C928" i="120"/>
  <c r="C620" i="120"/>
  <c r="G620" i="120"/>
  <c r="I620" i="120" s="1"/>
  <c r="F620" i="120"/>
  <c r="D620" i="120"/>
  <c r="G160" i="120"/>
  <c r="I160" i="120" s="1"/>
  <c r="F160" i="120"/>
  <c r="D160" i="120"/>
  <c r="M160" i="120"/>
  <c r="C160" i="120"/>
  <c r="G507" i="120"/>
  <c r="I507" i="120" s="1"/>
  <c r="F507" i="120"/>
  <c r="D507" i="120"/>
  <c r="C507" i="120"/>
  <c r="G728" i="120"/>
  <c r="I728" i="120" s="1"/>
  <c r="F728" i="120"/>
  <c r="D728" i="120"/>
  <c r="C728" i="120"/>
  <c r="D707" i="120"/>
  <c r="C707" i="120"/>
  <c r="G707" i="120"/>
  <c r="I707" i="120" s="1"/>
  <c r="F707" i="120"/>
  <c r="C803" i="12"/>
  <c r="N803" i="12"/>
  <c r="D803" i="12"/>
  <c r="D590" i="12"/>
  <c r="C590" i="12"/>
  <c r="D392" i="12"/>
  <c r="C392" i="12"/>
  <c r="C390" i="12"/>
  <c r="D390" i="12"/>
  <c r="G110" i="120"/>
  <c r="I110" i="120" s="1"/>
  <c r="F110" i="120"/>
  <c r="N110" i="120"/>
  <c r="D110" i="120"/>
  <c r="M110" i="120"/>
  <c r="C110" i="120"/>
  <c r="C117" i="120"/>
  <c r="N117" i="120"/>
  <c r="M117" i="120"/>
  <c r="G117" i="120"/>
  <c r="I117" i="120" s="1"/>
  <c r="F117" i="120"/>
  <c r="D117" i="120"/>
  <c r="C126" i="120"/>
  <c r="G126" i="120"/>
  <c r="I126" i="120" s="1"/>
  <c r="F126" i="120"/>
  <c r="D126" i="120"/>
  <c r="M126" i="120"/>
  <c r="C144" i="120"/>
  <c r="M144" i="120"/>
  <c r="G144" i="120"/>
  <c r="I144" i="120" s="1"/>
  <c r="F144" i="120"/>
  <c r="D144" i="120"/>
  <c r="M154" i="120"/>
  <c r="G154" i="120"/>
  <c r="I154" i="120" s="1"/>
  <c r="F154" i="120"/>
  <c r="D154" i="120"/>
  <c r="C154" i="120"/>
  <c r="C162" i="120"/>
  <c r="G162" i="120"/>
  <c r="I162" i="120" s="1"/>
  <c r="M162" i="120"/>
  <c r="F162" i="120"/>
  <c r="D162" i="120"/>
  <c r="C194" i="120"/>
  <c r="G194" i="120"/>
  <c r="I194" i="120" s="1"/>
  <c r="F194" i="120"/>
  <c r="D194" i="120"/>
  <c r="N201" i="120"/>
  <c r="G201" i="120"/>
  <c r="I201" i="120" s="1"/>
  <c r="F201" i="120"/>
  <c r="D201" i="120"/>
  <c r="C201" i="120"/>
  <c r="C218" i="120"/>
  <c r="G218" i="120"/>
  <c r="I218" i="120" s="1"/>
  <c r="F218" i="120"/>
  <c r="D218" i="120"/>
  <c r="N218" i="120"/>
  <c r="G304" i="120"/>
  <c r="I304" i="120" s="1"/>
  <c r="J304" i="120" s="1"/>
  <c r="F304" i="120"/>
  <c r="D304" i="120"/>
  <c r="C304" i="120"/>
  <c r="D320" i="120"/>
  <c r="C320" i="120"/>
  <c r="G320" i="120"/>
  <c r="I320" i="120" s="1"/>
  <c r="J320" i="120" s="1"/>
  <c r="F320" i="120"/>
  <c r="G329" i="120"/>
  <c r="I329" i="120" s="1"/>
  <c r="J329" i="120" s="1"/>
  <c r="F329" i="120"/>
  <c r="D329" i="120"/>
  <c r="C329" i="120"/>
  <c r="D451" i="120"/>
  <c r="C451" i="120"/>
  <c r="G451" i="120"/>
  <c r="I451" i="120" s="1"/>
  <c r="F451" i="120"/>
  <c r="D457" i="120"/>
  <c r="C457" i="120"/>
  <c r="G457" i="120"/>
  <c r="I457" i="120" s="1"/>
  <c r="F457" i="120"/>
  <c r="D508" i="120"/>
  <c r="C508" i="120"/>
  <c r="G508" i="120"/>
  <c r="I508" i="120" s="1"/>
  <c r="F508" i="120"/>
  <c r="D514" i="120"/>
  <c r="C514" i="120"/>
  <c r="G514" i="120"/>
  <c r="I514" i="120" s="1"/>
  <c r="F514" i="120"/>
  <c r="F533" i="120"/>
  <c r="D533" i="120"/>
  <c r="C533" i="120"/>
  <c r="G533" i="120"/>
  <c r="I533" i="120" s="1"/>
  <c r="G588" i="120"/>
  <c r="I588" i="120" s="1"/>
  <c r="F588" i="120"/>
  <c r="D588" i="120"/>
  <c r="C588" i="120"/>
  <c r="G595" i="120"/>
  <c r="I595" i="120" s="1"/>
  <c r="F595" i="120"/>
  <c r="D595" i="120"/>
  <c r="C595" i="120"/>
  <c r="C626" i="120"/>
  <c r="F626" i="120"/>
  <c r="I24" i="120" s="1"/>
  <c r="D626" i="120"/>
  <c r="N626" i="120"/>
  <c r="G626" i="120"/>
  <c r="I626" i="120" s="1"/>
  <c r="G635" i="120"/>
  <c r="I635" i="120" s="1"/>
  <c r="F635" i="120"/>
  <c r="D635" i="120"/>
  <c r="C635" i="120"/>
  <c r="G649" i="120"/>
  <c r="I649" i="120" s="1"/>
  <c r="N649" i="120"/>
  <c r="F649" i="120"/>
  <c r="D649" i="120"/>
  <c r="C649" i="120"/>
  <c r="N723" i="120"/>
  <c r="D723" i="120"/>
  <c r="C723" i="120"/>
  <c r="F723" i="120"/>
  <c r="G723" i="120"/>
  <c r="I723" i="120" s="1"/>
  <c r="D729" i="120"/>
  <c r="C729" i="120"/>
  <c r="G729" i="120"/>
  <c r="I729" i="120" s="1"/>
  <c r="F729" i="120"/>
  <c r="G742" i="120"/>
  <c r="I742" i="120" s="1"/>
  <c r="F742" i="120"/>
  <c r="D742" i="120"/>
  <c r="C742" i="120"/>
  <c r="G748" i="120"/>
  <c r="I748" i="120" s="1"/>
  <c r="F748" i="120"/>
  <c r="D748" i="120"/>
  <c r="C748" i="120"/>
  <c r="G755" i="120"/>
  <c r="I755" i="120" s="1"/>
  <c r="F755" i="120"/>
  <c r="D755" i="120"/>
  <c r="C755" i="120"/>
  <c r="F764" i="120"/>
  <c r="D764" i="120"/>
  <c r="C764" i="120"/>
  <c r="G770" i="120"/>
  <c r="I770" i="120" s="1"/>
  <c r="F770" i="120"/>
  <c r="D770" i="120"/>
  <c r="C770" i="120"/>
  <c r="G776" i="120"/>
  <c r="F776" i="120"/>
  <c r="D776" i="120"/>
  <c r="C776" i="120"/>
  <c r="G782" i="120"/>
  <c r="I782" i="120" s="1"/>
  <c r="F782" i="120"/>
  <c r="D782" i="120"/>
  <c r="C782" i="120"/>
  <c r="F798" i="120"/>
  <c r="D798" i="120"/>
  <c r="N798" i="120"/>
  <c r="C798" i="120"/>
  <c r="G798" i="120"/>
  <c r="I798" i="120" s="1"/>
  <c r="G862" i="120"/>
  <c r="I862" i="120" s="1"/>
  <c r="F862" i="120"/>
  <c r="D862" i="120"/>
  <c r="C862" i="120"/>
  <c r="M862" i="120"/>
  <c r="F878" i="120"/>
  <c r="D878" i="120"/>
  <c r="C878" i="120"/>
  <c r="M878" i="120"/>
  <c r="G878" i="120"/>
  <c r="I878" i="120" s="1"/>
  <c r="M883" i="120"/>
  <c r="G883" i="120"/>
  <c r="I883" i="120" s="1"/>
  <c r="F883" i="120"/>
  <c r="D883" i="120"/>
  <c r="C883" i="120"/>
  <c r="G922" i="120"/>
  <c r="I922" i="120" s="1"/>
  <c r="J922" i="120" s="1"/>
  <c r="F922" i="120"/>
  <c r="D922" i="120"/>
  <c r="C922" i="120"/>
  <c r="C132" i="120"/>
  <c r="G132" i="120"/>
  <c r="I132" i="120" s="1"/>
  <c r="J132" i="120" s="1"/>
  <c r="F132" i="120"/>
  <c r="D132" i="120"/>
  <c r="G107" i="120"/>
  <c r="I107" i="120" s="1"/>
  <c r="F107" i="120"/>
  <c r="D107" i="120"/>
  <c r="C107" i="120"/>
  <c r="N107" i="120"/>
  <c r="M107" i="120"/>
  <c r="G319" i="120"/>
  <c r="I319" i="120" s="1"/>
  <c r="J319" i="120" s="1"/>
  <c r="F319" i="120"/>
  <c r="D319" i="120"/>
  <c r="C319" i="120"/>
  <c r="D713" i="120"/>
  <c r="C713" i="120"/>
  <c r="G713" i="120"/>
  <c r="I713" i="120" s="1"/>
  <c r="F713" i="120"/>
  <c r="D660" i="12"/>
  <c r="C660" i="12"/>
  <c r="N660" i="12"/>
  <c r="D466" i="12"/>
  <c r="C466" i="12"/>
  <c r="D396" i="12"/>
  <c r="C396" i="12"/>
  <c r="G64" i="120"/>
  <c r="I64" i="120" s="1"/>
  <c r="F64" i="120"/>
  <c r="D64" i="120"/>
  <c r="C64" i="120"/>
  <c r="N64" i="120"/>
  <c r="C72" i="120"/>
  <c r="N72" i="120"/>
  <c r="G72" i="120"/>
  <c r="I72" i="120" s="1"/>
  <c r="F72" i="120"/>
  <c r="D72" i="120"/>
  <c r="N229" i="120"/>
  <c r="G229" i="120"/>
  <c r="I229" i="120" s="1"/>
  <c r="F229" i="120"/>
  <c r="D229" i="120"/>
  <c r="C229" i="120"/>
  <c r="N237" i="120"/>
  <c r="G237" i="120"/>
  <c r="I237" i="120" s="1"/>
  <c r="F237" i="120"/>
  <c r="D237" i="120"/>
  <c r="C237" i="120"/>
  <c r="N254" i="120"/>
  <c r="G254" i="120"/>
  <c r="I254" i="120" s="1"/>
  <c r="F254" i="120"/>
  <c r="D254" i="120"/>
  <c r="C254" i="120"/>
  <c r="C265" i="120"/>
  <c r="N265" i="120"/>
  <c r="F265" i="120"/>
  <c r="D265" i="120"/>
  <c r="G276" i="120"/>
  <c r="I276" i="120" s="1"/>
  <c r="J276" i="120" s="1"/>
  <c r="F276" i="120"/>
  <c r="D276" i="120"/>
  <c r="C276" i="120"/>
  <c r="D283" i="120"/>
  <c r="C283" i="120"/>
  <c r="G283" i="120"/>
  <c r="I283" i="120" s="1"/>
  <c r="J283" i="120" s="1"/>
  <c r="F283" i="120"/>
  <c r="D297" i="120"/>
  <c r="C297" i="120"/>
  <c r="G297" i="120"/>
  <c r="I297" i="120" s="1"/>
  <c r="J297" i="120" s="1"/>
  <c r="F297" i="120"/>
  <c r="G311" i="120"/>
  <c r="I311" i="120" s="1"/>
  <c r="J311" i="120" s="1"/>
  <c r="F311" i="120"/>
  <c r="D311" i="120"/>
  <c r="C311" i="120"/>
  <c r="G337" i="120"/>
  <c r="I337" i="120" s="1"/>
  <c r="F337" i="120"/>
  <c r="C337" i="120"/>
  <c r="D337" i="120"/>
  <c r="G351" i="120"/>
  <c r="I351" i="120" s="1"/>
  <c r="F351" i="120"/>
  <c r="D351" i="120"/>
  <c r="C351" i="120"/>
  <c r="D358" i="120"/>
  <c r="C358" i="120"/>
  <c r="G358" i="120"/>
  <c r="I358" i="120" s="1"/>
  <c r="J358" i="120" s="1"/>
  <c r="F358" i="120"/>
  <c r="D364" i="120"/>
  <c r="C364" i="120"/>
  <c r="G364" i="120"/>
  <c r="I364" i="120" s="1"/>
  <c r="J364" i="120" s="1"/>
  <c r="F364" i="120"/>
  <c r="D370" i="120"/>
  <c r="C370" i="120"/>
  <c r="G370" i="120"/>
  <c r="I370" i="120" s="1"/>
  <c r="J370" i="120" s="1"/>
  <c r="F370" i="120"/>
  <c r="G377" i="120"/>
  <c r="I377" i="120" s="1"/>
  <c r="J377" i="120" s="1"/>
  <c r="F377" i="120"/>
  <c r="D377" i="120"/>
  <c r="C377" i="120"/>
  <c r="G383" i="120"/>
  <c r="I383" i="120" s="1"/>
  <c r="J383" i="120" s="1"/>
  <c r="F383" i="120"/>
  <c r="C383" i="120"/>
  <c r="D383" i="120"/>
  <c r="G419" i="120"/>
  <c r="I419" i="120" s="1"/>
  <c r="J419" i="120" s="1"/>
  <c r="F419" i="120"/>
  <c r="C419" i="120"/>
  <c r="D419" i="120"/>
  <c r="M425" i="120"/>
  <c r="G425" i="120"/>
  <c r="I425" i="120" s="1"/>
  <c r="F425" i="120"/>
  <c r="D425" i="120"/>
  <c r="C425" i="120"/>
  <c r="G431" i="120"/>
  <c r="I431" i="120" s="1"/>
  <c r="F431" i="120"/>
  <c r="D431" i="120"/>
  <c r="C431" i="120"/>
  <c r="G437" i="120"/>
  <c r="I437" i="120" s="1"/>
  <c r="F437" i="120"/>
  <c r="C437" i="120"/>
  <c r="D437" i="120"/>
  <c r="G521" i="120"/>
  <c r="I521" i="120" s="1"/>
  <c r="F521" i="120"/>
  <c r="D521" i="120"/>
  <c r="C521" i="120"/>
  <c r="G527" i="120"/>
  <c r="I527" i="120" s="1"/>
  <c r="F527" i="120"/>
  <c r="C527" i="120"/>
  <c r="D527" i="120"/>
  <c r="G542" i="120"/>
  <c r="I542" i="120" s="1"/>
  <c r="F542" i="120"/>
  <c r="D542" i="120"/>
  <c r="C542" i="120"/>
  <c r="N657" i="120"/>
  <c r="C657" i="120"/>
  <c r="G657" i="120"/>
  <c r="I657" i="120" s="1"/>
  <c r="F657" i="120"/>
  <c r="D657" i="120"/>
  <c r="N664" i="120"/>
  <c r="G664" i="120"/>
  <c r="I664" i="120" s="1"/>
  <c r="F664" i="120"/>
  <c r="D664" i="120"/>
  <c r="C664" i="120"/>
  <c r="G670" i="120"/>
  <c r="I670" i="120" s="1"/>
  <c r="F670" i="120"/>
  <c r="D670" i="120"/>
  <c r="C670" i="120"/>
  <c r="G805" i="120"/>
  <c r="I805" i="120" s="1"/>
  <c r="F805" i="120"/>
  <c r="C805" i="120"/>
  <c r="N805" i="120"/>
  <c r="D805" i="120"/>
  <c r="G820" i="120"/>
  <c r="I820" i="120" s="1"/>
  <c r="J820" i="120" s="1"/>
  <c r="F820" i="120"/>
  <c r="D820" i="120"/>
  <c r="N820" i="120"/>
  <c r="O820" i="120" s="1"/>
  <c r="C820" i="120"/>
  <c r="G832" i="120"/>
  <c r="I832" i="120" s="1"/>
  <c r="F832" i="120"/>
  <c r="D832" i="120"/>
  <c r="C832" i="120"/>
  <c r="M868" i="120"/>
  <c r="G868" i="120"/>
  <c r="I868" i="120" s="1"/>
  <c r="F868" i="120"/>
  <c r="D868" i="120"/>
  <c r="C868" i="120"/>
  <c r="G873" i="120"/>
  <c r="I873" i="120" s="1"/>
  <c r="F873" i="120"/>
  <c r="D873" i="120"/>
  <c r="C873" i="120"/>
  <c r="M873" i="120"/>
  <c r="C894" i="120"/>
  <c r="D894" i="120"/>
  <c r="G894" i="120"/>
  <c r="I894" i="120" s="1"/>
  <c r="J894" i="120" s="1"/>
  <c r="F894" i="120"/>
  <c r="G899" i="120"/>
  <c r="I899" i="120" s="1"/>
  <c r="J899" i="120" s="1"/>
  <c r="F899" i="120"/>
  <c r="D899" i="120"/>
  <c r="C899" i="120"/>
  <c r="G904" i="120"/>
  <c r="I904" i="120" s="1"/>
  <c r="J904" i="120" s="1"/>
  <c r="F904" i="120"/>
  <c r="D904" i="120"/>
  <c r="C904" i="120"/>
  <c r="G913" i="120"/>
  <c r="I913" i="120" s="1"/>
  <c r="J913" i="120" s="1"/>
  <c r="F913" i="120"/>
  <c r="D913" i="120"/>
  <c r="C913" i="120"/>
  <c r="D169" i="12"/>
  <c r="C169" i="12"/>
  <c r="G622" i="120"/>
  <c r="I622" i="120" s="1"/>
  <c r="F622" i="120"/>
  <c r="D622" i="120"/>
  <c r="C622" i="120"/>
  <c r="D334" i="12"/>
  <c r="C334" i="12"/>
  <c r="G167" i="120"/>
  <c r="I167" i="120" s="1"/>
  <c r="J167" i="120" s="1"/>
  <c r="F167" i="120"/>
  <c r="D167" i="120"/>
  <c r="C167" i="120"/>
  <c r="G328" i="120"/>
  <c r="I328" i="120" s="1"/>
  <c r="J328" i="120" s="1"/>
  <c r="F328" i="120"/>
  <c r="C328" i="120"/>
  <c r="D328" i="120"/>
  <c r="D741" i="120"/>
  <c r="C741" i="120"/>
  <c r="G741" i="120"/>
  <c r="I741" i="120" s="1"/>
  <c r="F741" i="120"/>
  <c r="G781" i="120"/>
  <c r="I781" i="120" s="1"/>
  <c r="F781" i="120"/>
  <c r="C781" i="120"/>
  <c r="D781" i="120"/>
  <c r="G867" i="120"/>
  <c r="I867" i="120" s="1"/>
  <c r="J867" i="120" s="1"/>
  <c r="F867" i="120"/>
  <c r="D867" i="120"/>
  <c r="C867" i="120"/>
  <c r="C912" i="120"/>
  <c r="D912" i="120"/>
  <c r="G912" i="120"/>
  <c r="I912" i="120" s="1"/>
  <c r="J912" i="120" s="1"/>
  <c r="F912" i="120"/>
  <c r="G131" i="120"/>
  <c r="I131" i="120" s="1"/>
  <c r="F131" i="120"/>
  <c r="D131" i="120"/>
  <c r="C131" i="120"/>
  <c r="G576" i="120"/>
  <c r="I576" i="120" s="1"/>
  <c r="F576" i="120"/>
  <c r="D576" i="120"/>
  <c r="C576" i="120"/>
  <c r="C460" i="12"/>
  <c r="C765" i="12"/>
  <c r="D765" i="12"/>
  <c r="C540" i="12"/>
  <c r="D540" i="12"/>
  <c r="D397" i="12"/>
  <c r="C397" i="12"/>
  <c r="C102" i="120"/>
  <c r="G102" i="120"/>
  <c r="I102" i="120" s="1"/>
  <c r="F102" i="120"/>
  <c r="D102" i="120"/>
  <c r="M112" i="120"/>
  <c r="G112" i="120"/>
  <c r="I112" i="120" s="1"/>
  <c r="F112" i="120"/>
  <c r="D112" i="120"/>
  <c r="C112" i="120"/>
  <c r="N118" i="120"/>
  <c r="G118" i="120"/>
  <c r="I118" i="120" s="1"/>
  <c r="F118" i="120"/>
  <c r="D118" i="120"/>
  <c r="C118" i="120"/>
  <c r="G127" i="120"/>
  <c r="I127" i="120" s="1"/>
  <c r="F127" i="120"/>
  <c r="D127" i="120"/>
  <c r="C127" i="120"/>
  <c r="G145" i="120"/>
  <c r="I145" i="120" s="1"/>
  <c r="F145" i="120"/>
  <c r="D145" i="120"/>
  <c r="C145" i="120"/>
  <c r="G155" i="120"/>
  <c r="I155" i="120" s="1"/>
  <c r="F155" i="120"/>
  <c r="D155" i="120"/>
  <c r="C155" i="120"/>
  <c r="G163" i="120"/>
  <c r="I163" i="120" s="1"/>
  <c r="F163" i="120"/>
  <c r="D163" i="120"/>
  <c r="C163" i="120"/>
  <c r="G195" i="120"/>
  <c r="I195" i="120" s="1"/>
  <c r="F195" i="120"/>
  <c r="D195" i="120"/>
  <c r="C195" i="120"/>
  <c r="G208" i="120"/>
  <c r="I208" i="120" s="1"/>
  <c r="F208" i="120"/>
  <c r="D208" i="120"/>
  <c r="C208" i="120"/>
  <c r="M208" i="120"/>
  <c r="C221" i="120"/>
  <c r="G221" i="120"/>
  <c r="I221" i="120" s="1"/>
  <c r="F221" i="120"/>
  <c r="D221" i="120"/>
  <c r="N221" i="120"/>
  <c r="G331" i="120"/>
  <c r="I331" i="120" s="1"/>
  <c r="J331" i="120" s="1"/>
  <c r="F331" i="120"/>
  <c r="D331" i="120"/>
  <c r="C331" i="120"/>
  <c r="D352" i="120"/>
  <c r="C352" i="120"/>
  <c r="G352" i="120"/>
  <c r="I352" i="120" s="1"/>
  <c r="F352" i="120"/>
  <c r="G401" i="120"/>
  <c r="I401" i="120" s="1"/>
  <c r="F401" i="120"/>
  <c r="D401" i="120"/>
  <c r="C401" i="120"/>
  <c r="G452" i="120"/>
  <c r="I452" i="120" s="1"/>
  <c r="F452" i="120"/>
  <c r="C452" i="120"/>
  <c r="D452" i="120"/>
  <c r="G459" i="120"/>
  <c r="I459" i="120" s="1"/>
  <c r="F459" i="120"/>
  <c r="D459" i="120"/>
  <c r="C459" i="120"/>
  <c r="D472" i="120"/>
  <c r="C472" i="120"/>
  <c r="G472" i="120"/>
  <c r="I472" i="120" s="1"/>
  <c r="F472" i="120"/>
  <c r="G509" i="120"/>
  <c r="I509" i="120" s="1"/>
  <c r="F509" i="120"/>
  <c r="C509" i="120"/>
  <c r="D509" i="120"/>
  <c r="G583" i="120"/>
  <c r="I583" i="120" s="1"/>
  <c r="F583" i="120"/>
  <c r="D583" i="120"/>
  <c r="C583" i="120"/>
  <c r="G596" i="120"/>
  <c r="I596" i="120" s="1"/>
  <c r="F596" i="120"/>
  <c r="D596" i="120"/>
  <c r="C596" i="120"/>
  <c r="G627" i="120"/>
  <c r="I627" i="120" s="1"/>
  <c r="F627" i="120"/>
  <c r="D627" i="120"/>
  <c r="C627" i="120"/>
  <c r="C651" i="120"/>
  <c r="N651" i="120"/>
  <c r="F651" i="120"/>
  <c r="D651" i="120"/>
  <c r="G651" i="120"/>
  <c r="I651" i="120" s="1"/>
  <c r="G724" i="120"/>
  <c r="I724" i="120" s="1"/>
  <c r="F724" i="120"/>
  <c r="D724" i="120"/>
  <c r="C724" i="120"/>
  <c r="N724" i="120"/>
  <c r="G730" i="120"/>
  <c r="I730" i="120" s="1"/>
  <c r="J730" i="120" s="1"/>
  <c r="F730" i="120"/>
  <c r="D730" i="120"/>
  <c r="C730" i="120"/>
  <c r="G737" i="120"/>
  <c r="I737" i="120" s="1"/>
  <c r="J737" i="120" s="1"/>
  <c r="F737" i="120"/>
  <c r="D737" i="120"/>
  <c r="C737" i="120"/>
  <c r="G743" i="120"/>
  <c r="I743" i="120" s="1"/>
  <c r="F743" i="120"/>
  <c r="D743" i="120"/>
  <c r="C743" i="120"/>
  <c r="G750" i="120"/>
  <c r="I750" i="120" s="1"/>
  <c r="F750" i="120"/>
  <c r="D750" i="120"/>
  <c r="C750" i="120"/>
  <c r="D756" i="120"/>
  <c r="C756" i="120"/>
  <c r="G756" i="120"/>
  <c r="I756" i="120" s="1"/>
  <c r="F756" i="120"/>
  <c r="F771" i="120"/>
  <c r="D771" i="120"/>
  <c r="C771" i="120"/>
  <c r="G771" i="120"/>
  <c r="I771" i="120" s="1"/>
  <c r="J771" i="120" s="1"/>
  <c r="G777" i="120"/>
  <c r="I777" i="120" s="1"/>
  <c r="F777" i="120"/>
  <c r="D777" i="120"/>
  <c r="C777" i="120"/>
  <c r="G783" i="120"/>
  <c r="I783" i="120" s="1"/>
  <c r="F783" i="120"/>
  <c r="D783" i="120"/>
  <c r="C783" i="120"/>
  <c r="N799" i="120"/>
  <c r="G799" i="120"/>
  <c r="I799" i="120" s="1"/>
  <c r="F799" i="120"/>
  <c r="D799" i="120"/>
  <c r="C799" i="120"/>
  <c r="M812" i="120"/>
  <c r="G812" i="120"/>
  <c r="I812" i="120" s="1"/>
  <c r="F812" i="120"/>
  <c r="D812" i="120"/>
  <c r="C812" i="120"/>
  <c r="F854" i="120"/>
  <c r="D854" i="120"/>
  <c r="C854" i="120"/>
  <c r="G854" i="120"/>
  <c r="I854" i="120" s="1"/>
  <c r="F863" i="120"/>
  <c r="D863" i="120"/>
  <c r="C863" i="120"/>
  <c r="M863" i="120"/>
  <c r="G863" i="120"/>
  <c r="I863" i="120" s="1"/>
  <c r="J863" i="120" s="1"/>
  <c r="M879" i="120"/>
  <c r="G879" i="120"/>
  <c r="I879" i="120" s="1"/>
  <c r="J879" i="120" s="1"/>
  <c r="F879" i="120"/>
  <c r="D879" i="120"/>
  <c r="C879" i="120"/>
  <c r="F884" i="120"/>
  <c r="D884" i="120"/>
  <c r="C884" i="120"/>
  <c r="M884" i="120"/>
  <c r="G884" i="120"/>
  <c r="I884" i="120" s="1"/>
  <c r="C909" i="120"/>
  <c r="D909" i="120"/>
  <c r="G909" i="120"/>
  <c r="I909" i="120" s="1"/>
  <c r="J909" i="120" s="1"/>
  <c r="F909" i="120"/>
  <c r="C918" i="120"/>
  <c r="D918" i="120"/>
  <c r="G918" i="120"/>
  <c r="I918" i="120" s="1"/>
  <c r="F918" i="120"/>
  <c r="C655" i="12"/>
  <c r="C535" i="12"/>
  <c r="G38" i="120"/>
  <c r="I38" i="120" s="1"/>
  <c r="F38" i="120"/>
  <c r="D38" i="120"/>
  <c r="C38" i="120"/>
  <c r="G193" i="120"/>
  <c r="I193" i="120" s="1"/>
  <c r="F193" i="120"/>
  <c r="D193" i="120"/>
  <c r="C193" i="120"/>
  <c r="G769" i="120"/>
  <c r="I769" i="120" s="1"/>
  <c r="J769" i="120" s="1"/>
  <c r="C769" i="120"/>
  <c r="F769" i="120"/>
  <c r="D769" i="120"/>
  <c r="F848" i="120"/>
  <c r="D848" i="120"/>
  <c r="C848" i="120"/>
  <c r="G848" i="120"/>
  <c r="I848" i="120" s="1"/>
  <c r="I847" i="120" s="1"/>
  <c r="C168" i="12"/>
  <c r="C532" i="12"/>
  <c r="D541" i="12"/>
  <c r="C541" i="12"/>
  <c r="C399" i="12"/>
  <c r="D399" i="12"/>
  <c r="N66" i="120"/>
  <c r="G66" i="120"/>
  <c r="I66" i="120" s="1"/>
  <c r="F66" i="120"/>
  <c r="D66" i="120"/>
  <c r="C66" i="120"/>
  <c r="C75" i="120"/>
  <c r="G75" i="120"/>
  <c r="I75" i="120" s="1"/>
  <c r="F75" i="120"/>
  <c r="D75" i="120"/>
  <c r="C230" i="120"/>
  <c r="G230" i="120"/>
  <c r="I230" i="120" s="1"/>
  <c r="F230" i="120"/>
  <c r="D230" i="120"/>
  <c r="N230" i="120"/>
  <c r="C239" i="120"/>
  <c r="N239" i="120"/>
  <c r="G239" i="120"/>
  <c r="I239" i="120" s="1"/>
  <c r="F239" i="120"/>
  <c r="D239" i="120"/>
  <c r="C256" i="120"/>
  <c r="G256" i="120"/>
  <c r="I256" i="120" s="1"/>
  <c r="F256" i="120"/>
  <c r="D256" i="120"/>
  <c r="N256" i="120"/>
  <c r="N266" i="120"/>
  <c r="M266" i="120"/>
  <c r="G266" i="120"/>
  <c r="I266" i="120" s="1"/>
  <c r="F266" i="120"/>
  <c r="D266" i="120"/>
  <c r="C266" i="120"/>
  <c r="G278" i="120"/>
  <c r="I278" i="120" s="1"/>
  <c r="J278" i="120" s="1"/>
  <c r="F278" i="120"/>
  <c r="C278" i="120"/>
  <c r="D278" i="120"/>
  <c r="G284" i="120"/>
  <c r="I284" i="120" s="1"/>
  <c r="J284" i="120" s="1"/>
  <c r="F284" i="120"/>
  <c r="D284" i="120"/>
  <c r="C284" i="120"/>
  <c r="G305" i="120"/>
  <c r="I305" i="120" s="1"/>
  <c r="F305" i="120"/>
  <c r="D305" i="120"/>
  <c r="C305" i="120"/>
  <c r="G338" i="120"/>
  <c r="I338" i="120" s="1"/>
  <c r="F338" i="120"/>
  <c r="D338" i="120"/>
  <c r="C338" i="120"/>
  <c r="G353" i="120"/>
  <c r="I353" i="120" s="1"/>
  <c r="J353" i="120" s="1"/>
  <c r="F353" i="120"/>
  <c r="D353" i="120"/>
  <c r="C353" i="120"/>
  <c r="G359" i="120"/>
  <c r="I359" i="120" s="1"/>
  <c r="J359" i="120" s="1"/>
  <c r="F359" i="120"/>
  <c r="D359" i="120"/>
  <c r="C359" i="120"/>
  <c r="G365" i="120"/>
  <c r="I365" i="120" s="1"/>
  <c r="J365" i="120" s="1"/>
  <c r="F365" i="120"/>
  <c r="C365" i="120"/>
  <c r="D365" i="120"/>
  <c r="G371" i="120"/>
  <c r="I371" i="120" s="1"/>
  <c r="J371" i="120" s="1"/>
  <c r="F371" i="120"/>
  <c r="D371" i="120"/>
  <c r="C371" i="120"/>
  <c r="G378" i="120"/>
  <c r="I378" i="120" s="1"/>
  <c r="J378" i="120" s="1"/>
  <c r="F378" i="120"/>
  <c r="D378" i="120"/>
  <c r="C378" i="120"/>
  <c r="G384" i="120"/>
  <c r="I384" i="120" s="1"/>
  <c r="J384" i="120" s="1"/>
  <c r="F384" i="120"/>
  <c r="D384" i="120"/>
  <c r="C384" i="120"/>
  <c r="G393" i="120"/>
  <c r="I393" i="120" s="1"/>
  <c r="J393" i="120" s="1"/>
  <c r="F393" i="120"/>
  <c r="C393" i="120"/>
  <c r="D393" i="120"/>
  <c r="G407" i="120"/>
  <c r="I407" i="120" s="1"/>
  <c r="F407" i="120"/>
  <c r="D407" i="120"/>
  <c r="C407" i="120"/>
  <c r="G414" i="120"/>
  <c r="I414" i="120" s="1"/>
  <c r="F414" i="120"/>
  <c r="I20" i="120" s="1"/>
  <c r="D414" i="120"/>
  <c r="C414" i="120"/>
  <c r="N414" i="120"/>
  <c r="G420" i="120"/>
  <c r="I420" i="120" s="1"/>
  <c r="F420" i="120"/>
  <c r="D420" i="120"/>
  <c r="C420" i="120"/>
  <c r="G426" i="120"/>
  <c r="I426" i="120" s="1"/>
  <c r="F426" i="120"/>
  <c r="D426" i="120"/>
  <c r="C426" i="120"/>
  <c r="G432" i="120"/>
  <c r="I432" i="120" s="1"/>
  <c r="F432" i="120"/>
  <c r="D432" i="120"/>
  <c r="C432" i="120"/>
  <c r="G438" i="120"/>
  <c r="I438" i="120" s="1"/>
  <c r="F438" i="120"/>
  <c r="D438" i="120"/>
  <c r="C438" i="120"/>
  <c r="G516" i="120"/>
  <c r="I516" i="120" s="1"/>
  <c r="J516" i="120" s="1"/>
  <c r="F516" i="120"/>
  <c r="D516" i="120"/>
  <c r="C516" i="120"/>
  <c r="G522" i="120"/>
  <c r="I522" i="120" s="1"/>
  <c r="F522" i="120"/>
  <c r="D522" i="120"/>
  <c r="C522" i="120"/>
  <c r="G528" i="120"/>
  <c r="I528" i="120" s="1"/>
  <c r="F528" i="120"/>
  <c r="D528" i="120"/>
  <c r="C528" i="120"/>
  <c r="D568" i="120"/>
  <c r="C568" i="120"/>
  <c r="G568" i="120"/>
  <c r="I568" i="120" s="1"/>
  <c r="F568" i="120"/>
  <c r="G658" i="120"/>
  <c r="I658" i="120" s="1"/>
  <c r="F658" i="120"/>
  <c r="D658" i="120"/>
  <c r="N658" i="120"/>
  <c r="C658" i="120"/>
  <c r="G665" i="120"/>
  <c r="I665" i="120" s="1"/>
  <c r="F665" i="120"/>
  <c r="N665" i="120"/>
  <c r="D665" i="120"/>
  <c r="C665" i="120"/>
  <c r="G671" i="120"/>
  <c r="I671" i="120" s="1"/>
  <c r="F671" i="120"/>
  <c r="D671" i="120"/>
  <c r="C671" i="120"/>
  <c r="G806" i="120"/>
  <c r="I806" i="120" s="1"/>
  <c r="F806" i="120"/>
  <c r="D806" i="120"/>
  <c r="C806" i="120"/>
  <c r="N806" i="120"/>
  <c r="G821" i="120"/>
  <c r="I821" i="120" s="1"/>
  <c r="J821" i="120" s="1"/>
  <c r="F821" i="120"/>
  <c r="D821" i="120"/>
  <c r="C821" i="120"/>
  <c r="G856" i="120"/>
  <c r="I856" i="120" s="1"/>
  <c r="F856" i="120"/>
  <c r="C856" i="120"/>
  <c r="D856" i="120"/>
  <c r="F869" i="120"/>
  <c r="M869" i="120"/>
  <c r="D869" i="120"/>
  <c r="C869" i="120"/>
  <c r="G869" i="120"/>
  <c r="I869" i="120" s="1"/>
  <c r="J869" i="120" s="1"/>
  <c r="G874" i="120"/>
  <c r="I874" i="120" s="1"/>
  <c r="F874" i="120"/>
  <c r="D874" i="120"/>
  <c r="C874" i="120"/>
  <c r="G895" i="120"/>
  <c r="I895" i="120" s="1"/>
  <c r="J895" i="120" s="1"/>
  <c r="F895" i="120"/>
  <c r="D895" i="120"/>
  <c r="C895" i="120"/>
  <c r="C900" i="120"/>
  <c r="D900" i="120"/>
  <c r="G900" i="120"/>
  <c r="I900" i="120" s="1"/>
  <c r="J900" i="120" s="1"/>
  <c r="F900" i="120"/>
  <c r="G923" i="120"/>
  <c r="I923" i="120" s="1"/>
  <c r="F923" i="120"/>
  <c r="D923" i="120"/>
  <c r="C923" i="120"/>
  <c r="N659" i="12"/>
  <c r="C659" i="12"/>
  <c r="G133" i="120"/>
  <c r="I133" i="120" s="1"/>
  <c r="F133" i="120"/>
  <c r="D133" i="120"/>
  <c r="C133" i="120"/>
  <c r="C200" i="120"/>
  <c r="N200" i="120"/>
  <c r="G200" i="120"/>
  <c r="I200" i="120" s="1"/>
  <c r="F200" i="120"/>
  <c r="D200" i="120"/>
  <c r="G456" i="120"/>
  <c r="I456" i="120" s="1"/>
  <c r="F456" i="120"/>
  <c r="D456" i="120"/>
  <c r="C456" i="120"/>
  <c r="G587" i="120"/>
  <c r="I587" i="120" s="1"/>
  <c r="F587" i="120"/>
  <c r="I23" i="120" s="1"/>
  <c r="D587" i="120"/>
  <c r="C587" i="120"/>
  <c r="G754" i="120"/>
  <c r="I754" i="120" s="1"/>
  <c r="F754" i="120"/>
  <c r="D754" i="120"/>
  <c r="C754" i="120"/>
  <c r="G797" i="120"/>
  <c r="I797" i="120" s="1"/>
  <c r="F797" i="120"/>
  <c r="D797" i="120"/>
  <c r="C797" i="120"/>
  <c r="C903" i="120"/>
  <c r="D903" i="120"/>
  <c r="G903" i="120"/>
  <c r="I903" i="120" s="1"/>
  <c r="J903" i="120" s="1"/>
  <c r="F903" i="120"/>
  <c r="G574" i="120"/>
  <c r="I574" i="120" s="1"/>
  <c r="F574" i="120"/>
  <c r="D574" i="120"/>
  <c r="C574" i="120"/>
  <c r="C811" i="12"/>
  <c r="D633" i="12"/>
  <c r="C633" i="12"/>
  <c r="D403" i="12"/>
  <c r="C403" i="12"/>
  <c r="G103" i="120"/>
  <c r="I103" i="120" s="1"/>
  <c r="F103" i="120"/>
  <c r="D103" i="120"/>
  <c r="C103" i="120"/>
  <c r="N113" i="120"/>
  <c r="G113" i="120"/>
  <c r="I113" i="120" s="1"/>
  <c r="F113" i="120"/>
  <c r="D113" i="120"/>
  <c r="C113" i="120"/>
  <c r="C120" i="120"/>
  <c r="N120" i="120"/>
  <c r="M120" i="120"/>
  <c r="G120" i="120"/>
  <c r="I120" i="120" s="1"/>
  <c r="F120" i="120"/>
  <c r="D120" i="120"/>
  <c r="G128" i="120"/>
  <c r="I128" i="120" s="1"/>
  <c r="F128" i="120"/>
  <c r="D128" i="120"/>
  <c r="C128" i="120"/>
  <c r="C147" i="120"/>
  <c r="M147" i="120"/>
  <c r="G147" i="120"/>
  <c r="I147" i="120" s="1"/>
  <c r="F147" i="120"/>
  <c r="D147" i="120"/>
  <c r="C156" i="120"/>
  <c r="G156" i="120"/>
  <c r="I156" i="120" s="1"/>
  <c r="F156" i="120"/>
  <c r="D156" i="120"/>
  <c r="G164" i="120"/>
  <c r="I164" i="120" s="1"/>
  <c r="F164" i="120"/>
  <c r="D164" i="120"/>
  <c r="C164" i="120"/>
  <c r="G186" i="120"/>
  <c r="I186" i="120" s="1"/>
  <c r="F186" i="120"/>
  <c r="D186" i="120"/>
  <c r="C186" i="120"/>
  <c r="C197" i="120"/>
  <c r="N197" i="120"/>
  <c r="G197" i="120"/>
  <c r="I197" i="120" s="1"/>
  <c r="F197" i="120"/>
  <c r="D197" i="120"/>
  <c r="C209" i="120"/>
  <c r="G209" i="120"/>
  <c r="I209" i="120" s="1"/>
  <c r="F209" i="120"/>
  <c r="D209" i="120"/>
  <c r="M209" i="120"/>
  <c r="C224" i="120"/>
  <c r="N224" i="120"/>
  <c r="G224" i="120"/>
  <c r="I224" i="120" s="1"/>
  <c r="F224" i="120"/>
  <c r="D224" i="120"/>
  <c r="D300" i="120"/>
  <c r="C300" i="120"/>
  <c r="G300" i="120"/>
  <c r="I300" i="120" s="1"/>
  <c r="F300" i="120"/>
  <c r="G316" i="120"/>
  <c r="I316" i="120" s="1"/>
  <c r="F316" i="120"/>
  <c r="D316" i="120"/>
  <c r="C316" i="120"/>
  <c r="D324" i="120"/>
  <c r="C324" i="120"/>
  <c r="G324" i="120"/>
  <c r="I324" i="120" s="1"/>
  <c r="F324" i="120"/>
  <c r="N324" i="120"/>
  <c r="G332" i="120"/>
  <c r="I332" i="120" s="1"/>
  <c r="J332" i="120" s="1"/>
  <c r="F332" i="120"/>
  <c r="D332" i="120"/>
  <c r="C332" i="120"/>
  <c r="G453" i="120"/>
  <c r="I453" i="120" s="1"/>
  <c r="F453" i="120"/>
  <c r="D453" i="120"/>
  <c r="C453" i="120"/>
  <c r="G510" i="120"/>
  <c r="I510" i="120" s="1"/>
  <c r="F510" i="120"/>
  <c r="D510" i="120"/>
  <c r="C510" i="120"/>
  <c r="G584" i="120"/>
  <c r="I584" i="120" s="1"/>
  <c r="F584" i="120"/>
  <c r="D584" i="120"/>
  <c r="C584" i="120"/>
  <c r="G591" i="120"/>
  <c r="I591" i="120" s="1"/>
  <c r="F591" i="120"/>
  <c r="D591" i="120"/>
  <c r="C591" i="120"/>
  <c r="C597" i="120"/>
  <c r="G597" i="120"/>
  <c r="I597" i="120" s="1"/>
  <c r="J597" i="120" s="1"/>
  <c r="D597" i="120"/>
  <c r="F597" i="120"/>
  <c r="G628" i="120"/>
  <c r="I628" i="120" s="1"/>
  <c r="F628" i="120"/>
  <c r="D628" i="120"/>
  <c r="C628" i="120"/>
  <c r="N652" i="120"/>
  <c r="G652" i="120"/>
  <c r="I652" i="120" s="1"/>
  <c r="F652" i="120"/>
  <c r="D652" i="120"/>
  <c r="C652" i="120"/>
  <c r="G725" i="120"/>
  <c r="I725" i="120" s="1"/>
  <c r="F725" i="120"/>
  <c r="D725" i="120"/>
  <c r="C725" i="120"/>
  <c r="N725" i="120"/>
  <c r="D738" i="120"/>
  <c r="C738" i="120"/>
  <c r="G738" i="120"/>
  <c r="I738" i="120" s="1"/>
  <c r="F738" i="120"/>
  <c r="D744" i="120"/>
  <c r="C744" i="120"/>
  <c r="G744" i="120"/>
  <c r="I744" i="120" s="1"/>
  <c r="F744" i="120"/>
  <c r="D759" i="120"/>
  <c r="C759" i="120"/>
  <c r="G759" i="120"/>
  <c r="I759" i="120" s="1"/>
  <c r="F759" i="120"/>
  <c r="I27" i="120" s="1"/>
  <c r="G766" i="120"/>
  <c r="I766" i="120" s="1"/>
  <c r="J766" i="120" s="1"/>
  <c r="F766" i="120"/>
  <c r="D766" i="120"/>
  <c r="C766" i="120"/>
  <c r="G772" i="120"/>
  <c r="I772" i="120" s="1"/>
  <c r="F772" i="120"/>
  <c r="D772" i="120"/>
  <c r="C772" i="120"/>
  <c r="D778" i="120"/>
  <c r="C778" i="120"/>
  <c r="G778" i="120"/>
  <c r="I778" i="120" s="1"/>
  <c r="F778" i="120"/>
  <c r="G784" i="120"/>
  <c r="I784" i="120" s="1"/>
  <c r="F784" i="120"/>
  <c r="D784" i="120"/>
  <c r="C784" i="120"/>
  <c r="N800" i="120"/>
  <c r="G800" i="120"/>
  <c r="I800" i="120" s="1"/>
  <c r="F800" i="120"/>
  <c r="D800" i="120"/>
  <c r="C800" i="120"/>
  <c r="M864" i="120"/>
  <c r="G864" i="120"/>
  <c r="I864" i="120" s="1"/>
  <c r="F864" i="120"/>
  <c r="D864" i="120"/>
  <c r="C864" i="120"/>
  <c r="G885" i="120"/>
  <c r="I885" i="120" s="1"/>
  <c r="F885" i="120"/>
  <c r="D885" i="120"/>
  <c r="C885" i="120"/>
  <c r="M885" i="120"/>
  <c r="G905" i="120"/>
  <c r="I905" i="120" s="1"/>
  <c r="J905" i="120" s="1"/>
  <c r="F905" i="120"/>
  <c r="D905" i="120"/>
  <c r="C905" i="120"/>
  <c r="G910" i="120"/>
  <c r="I910" i="120" s="1"/>
  <c r="J910" i="120" s="1"/>
  <c r="F910" i="120"/>
  <c r="D910" i="120"/>
  <c r="C910" i="120"/>
  <c r="G914" i="120"/>
  <c r="I914" i="120" s="1"/>
  <c r="J914" i="120" s="1"/>
  <c r="F914" i="120"/>
  <c r="D914" i="120"/>
  <c r="C914" i="120"/>
  <c r="G919" i="120"/>
  <c r="I919" i="120" s="1"/>
  <c r="J919" i="120" s="1"/>
  <c r="F919" i="120"/>
  <c r="D919" i="120"/>
  <c r="C919" i="120"/>
  <c r="C236" i="120"/>
  <c r="N236" i="120"/>
  <c r="G236" i="120"/>
  <c r="I236" i="120" s="1"/>
  <c r="F236" i="120"/>
  <c r="D236" i="120"/>
  <c r="D747" i="120"/>
  <c r="C747" i="120"/>
  <c r="G747" i="120"/>
  <c r="I747" i="120" s="1"/>
  <c r="F747" i="120"/>
  <c r="D502" i="120"/>
  <c r="C502" i="120"/>
  <c r="G502" i="120"/>
  <c r="I502" i="120" s="1"/>
  <c r="F502" i="120"/>
  <c r="D646" i="12"/>
  <c r="C646" i="12"/>
  <c r="N646" i="12"/>
  <c r="C813" i="12"/>
  <c r="D673" i="12"/>
  <c r="C673" i="12"/>
  <c r="N67" i="120"/>
  <c r="G67" i="120"/>
  <c r="I67" i="120" s="1"/>
  <c r="F67" i="120"/>
  <c r="D67" i="120"/>
  <c r="C67" i="120"/>
  <c r="G83" i="120"/>
  <c r="I83" i="120" s="1"/>
  <c r="F83" i="120"/>
  <c r="D83" i="120"/>
  <c r="C83" i="120"/>
  <c r="G231" i="120"/>
  <c r="I231" i="120" s="1"/>
  <c r="F231" i="120"/>
  <c r="D231" i="120"/>
  <c r="N231" i="120"/>
  <c r="C231" i="120"/>
  <c r="N241" i="120"/>
  <c r="G241" i="120"/>
  <c r="I241" i="120" s="1"/>
  <c r="F241" i="120"/>
  <c r="D241" i="120"/>
  <c r="C241" i="120"/>
  <c r="G257" i="120"/>
  <c r="I257" i="120" s="1"/>
  <c r="F257" i="120"/>
  <c r="D257" i="120"/>
  <c r="C257" i="120"/>
  <c r="N257" i="120"/>
  <c r="G267" i="120"/>
  <c r="I267" i="120" s="1"/>
  <c r="F267" i="120"/>
  <c r="D267" i="120"/>
  <c r="C267" i="120"/>
  <c r="N267" i="120"/>
  <c r="G279" i="120"/>
  <c r="I279" i="120" s="1"/>
  <c r="J279" i="120" s="1"/>
  <c r="F279" i="120"/>
  <c r="D279" i="120"/>
  <c r="C279" i="120"/>
  <c r="G285" i="120"/>
  <c r="I285" i="120" s="1"/>
  <c r="F285" i="120"/>
  <c r="D285" i="120"/>
  <c r="C285" i="120"/>
  <c r="G307" i="120"/>
  <c r="I307" i="120" s="1"/>
  <c r="F307" i="120"/>
  <c r="D307" i="120"/>
  <c r="C307" i="120"/>
  <c r="D339" i="120"/>
  <c r="C339" i="120"/>
  <c r="G339" i="120"/>
  <c r="I339" i="120" s="1"/>
  <c r="J339" i="120" s="1"/>
  <c r="F339" i="120"/>
  <c r="G354" i="120"/>
  <c r="I354" i="120" s="1"/>
  <c r="J354" i="120" s="1"/>
  <c r="F354" i="120"/>
  <c r="D354" i="120"/>
  <c r="C354" i="120"/>
  <c r="G360" i="120"/>
  <c r="I360" i="120" s="1"/>
  <c r="J360" i="120" s="1"/>
  <c r="F360" i="120"/>
  <c r="D360" i="120"/>
  <c r="C360" i="120"/>
  <c r="G366" i="120"/>
  <c r="I366" i="120" s="1"/>
  <c r="J366" i="120" s="1"/>
  <c r="F366" i="120"/>
  <c r="D366" i="120"/>
  <c r="C366" i="120"/>
  <c r="D373" i="120"/>
  <c r="C373" i="120"/>
  <c r="G373" i="120"/>
  <c r="I373" i="120" s="1"/>
  <c r="J373" i="120" s="1"/>
  <c r="F373" i="120"/>
  <c r="D379" i="120"/>
  <c r="C379" i="120"/>
  <c r="G379" i="120"/>
  <c r="I379" i="120" s="1"/>
  <c r="J379" i="120" s="1"/>
  <c r="F379" i="120"/>
  <c r="D385" i="120"/>
  <c r="C385" i="120"/>
  <c r="G385" i="120"/>
  <c r="I385" i="120" s="1"/>
  <c r="J385" i="120" s="1"/>
  <c r="F385" i="120"/>
  <c r="G394" i="120"/>
  <c r="I394" i="120" s="1"/>
  <c r="J394" i="120" s="1"/>
  <c r="F394" i="120"/>
  <c r="D394" i="120"/>
  <c r="C394" i="120"/>
  <c r="D415" i="120"/>
  <c r="C415" i="120"/>
  <c r="N415" i="120"/>
  <c r="G415" i="120"/>
  <c r="I415" i="120" s="1"/>
  <c r="F415" i="120"/>
  <c r="N421" i="120"/>
  <c r="D421" i="120"/>
  <c r="C421" i="120"/>
  <c r="G421" i="120"/>
  <c r="I421" i="120" s="1"/>
  <c r="F421" i="120"/>
  <c r="D427" i="120"/>
  <c r="C427" i="120"/>
  <c r="G427" i="120"/>
  <c r="I427" i="120" s="1"/>
  <c r="F427" i="120"/>
  <c r="D433" i="120"/>
  <c r="C433" i="120"/>
  <c r="G433" i="120"/>
  <c r="I433" i="120" s="1"/>
  <c r="J433" i="120" s="1"/>
  <c r="F433" i="120"/>
  <c r="G461" i="120"/>
  <c r="I461" i="120" s="1"/>
  <c r="F461" i="120"/>
  <c r="C461" i="120"/>
  <c r="D461" i="120"/>
  <c r="D517" i="120"/>
  <c r="C517" i="120"/>
  <c r="G517" i="120"/>
  <c r="I517" i="120" s="1"/>
  <c r="F517" i="120"/>
  <c r="D523" i="120"/>
  <c r="C523" i="120"/>
  <c r="G523" i="120"/>
  <c r="I523" i="120" s="1"/>
  <c r="J523" i="120" s="1"/>
  <c r="F523" i="120"/>
  <c r="G529" i="120"/>
  <c r="I529" i="120" s="1"/>
  <c r="J529" i="120" s="1"/>
  <c r="F529" i="120"/>
  <c r="D529" i="120"/>
  <c r="C529" i="120"/>
  <c r="G537" i="120"/>
  <c r="I537" i="120" s="1"/>
  <c r="C537" i="120"/>
  <c r="F537" i="120"/>
  <c r="D537" i="120"/>
  <c r="D666" i="120"/>
  <c r="C666" i="120"/>
  <c r="G666" i="120"/>
  <c r="I666" i="120" s="1"/>
  <c r="F666" i="120"/>
  <c r="D672" i="120"/>
  <c r="C672" i="120"/>
  <c r="F672" i="120"/>
  <c r="G672" i="120"/>
  <c r="I672" i="120" s="1"/>
  <c r="D732" i="120"/>
  <c r="C732" i="120"/>
  <c r="G732" i="120"/>
  <c r="I732" i="120" s="1"/>
  <c r="F732" i="120"/>
  <c r="F807" i="120"/>
  <c r="D807" i="120"/>
  <c r="C807" i="120"/>
  <c r="N807" i="120"/>
  <c r="G807" i="120"/>
  <c r="I807" i="120" s="1"/>
  <c r="F822" i="120"/>
  <c r="D822" i="120"/>
  <c r="C822" i="120"/>
  <c r="G822" i="120"/>
  <c r="I822" i="120" s="1"/>
  <c r="F875" i="120"/>
  <c r="D875" i="120"/>
  <c r="C875" i="120"/>
  <c r="M875" i="120"/>
  <c r="G875" i="120"/>
  <c r="I875" i="120" s="1"/>
  <c r="M880" i="120"/>
  <c r="G880" i="120"/>
  <c r="I880" i="120" s="1"/>
  <c r="F880" i="120"/>
  <c r="D880" i="120"/>
  <c r="C880" i="120"/>
  <c r="G896" i="120"/>
  <c r="I896" i="120" s="1"/>
  <c r="J896" i="120" s="1"/>
  <c r="F896" i="120"/>
  <c r="D896" i="120"/>
  <c r="C896" i="120"/>
  <c r="G901" i="120"/>
  <c r="I901" i="120" s="1"/>
  <c r="J901" i="120" s="1"/>
  <c r="F901" i="120"/>
  <c r="D901" i="120"/>
  <c r="C901" i="120"/>
  <c r="C924" i="120"/>
  <c r="D924" i="120"/>
  <c r="F924" i="120"/>
  <c r="G924" i="120"/>
  <c r="I924" i="120" s="1"/>
  <c r="J924" i="120" s="1"/>
  <c r="G226" i="120"/>
  <c r="I226" i="120" s="1"/>
  <c r="F226" i="120"/>
  <c r="N226" i="120"/>
  <c r="D226" i="120"/>
  <c r="C226" i="120"/>
  <c r="G125" i="120"/>
  <c r="I125" i="120" s="1"/>
  <c r="F125" i="120"/>
  <c r="D125" i="120"/>
  <c r="C125" i="120"/>
  <c r="N125" i="120"/>
  <c r="G450" i="120"/>
  <c r="I450" i="120" s="1"/>
  <c r="F450" i="120"/>
  <c r="D450" i="120"/>
  <c r="C450" i="120"/>
  <c r="G625" i="120"/>
  <c r="I625" i="120" s="1"/>
  <c r="F625" i="120"/>
  <c r="D625" i="120"/>
  <c r="C625" i="120"/>
  <c r="G775" i="120"/>
  <c r="I775" i="120" s="1"/>
  <c r="F775" i="120"/>
  <c r="D775" i="120"/>
  <c r="C775" i="120"/>
  <c r="G709" i="120"/>
  <c r="I709" i="120" s="1"/>
  <c r="F709" i="120"/>
  <c r="D709" i="120"/>
  <c r="C709" i="120"/>
  <c r="N722" i="12"/>
  <c r="C722" i="12"/>
  <c r="D814" i="12"/>
  <c r="C814" i="12"/>
  <c r="D674" i="12"/>
  <c r="C674" i="12"/>
  <c r="D347" i="12"/>
  <c r="C347" i="12"/>
  <c r="G104" i="120"/>
  <c r="I104" i="120" s="1"/>
  <c r="F104" i="120"/>
  <c r="I15" i="120" s="1"/>
  <c r="D104" i="120"/>
  <c r="C104" i="120"/>
  <c r="N104" i="120"/>
  <c r="M104" i="120"/>
  <c r="C114" i="120"/>
  <c r="N114" i="120"/>
  <c r="M114" i="120"/>
  <c r="G114" i="120"/>
  <c r="I114" i="120" s="1"/>
  <c r="F114" i="120"/>
  <c r="D114" i="120"/>
  <c r="M122" i="120"/>
  <c r="G122" i="120"/>
  <c r="I122" i="120" s="1"/>
  <c r="F122" i="120"/>
  <c r="D122" i="120"/>
  <c r="C122" i="120"/>
  <c r="C129" i="120"/>
  <c r="G129" i="120"/>
  <c r="I129" i="120" s="1"/>
  <c r="F129" i="120"/>
  <c r="D129" i="120"/>
  <c r="C150" i="120"/>
  <c r="M150" i="120"/>
  <c r="G150" i="120"/>
  <c r="I150" i="120" s="1"/>
  <c r="F150" i="120"/>
  <c r="D150" i="120"/>
  <c r="M157" i="120"/>
  <c r="G157" i="120"/>
  <c r="I157" i="120" s="1"/>
  <c r="F157" i="120"/>
  <c r="D157" i="120"/>
  <c r="C157" i="120"/>
  <c r="C165" i="120"/>
  <c r="G165" i="120"/>
  <c r="I165" i="120" s="1"/>
  <c r="F165" i="120"/>
  <c r="D165" i="120"/>
  <c r="C191" i="120"/>
  <c r="G191" i="120"/>
  <c r="I191" i="120" s="1"/>
  <c r="F191" i="120"/>
  <c r="D191" i="120"/>
  <c r="G198" i="120"/>
  <c r="I198" i="120" s="1"/>
  <c r="F198" i="120"/>
  <c r="N198" i="120"/>
  <c r="D198" i="120"/>
  <c r="C198" i="120"/>
  <c r="C212" i="120"/>
  <c r="M212" i="120"/>
  <c r="G212" i="120"/>
  <c r="I212" i="120" s="1"/>
  <c r="F212" i="120"/>
  <c r="D212" i="120"/>
  <c r="N225" i="120"/>
  <c r="G225" i="120"/>
  <c r="I225" i="120" s="1"/>
  <c r="F225" i="120"/>
  <c r="D225" i="120"/>
  <c r="C225" i="120"/>
  <c r="G302" i="120"/>
  <c r="I302" i="120" s="1"/>
  <c r="J302" i="120" s="1"/>
  <c r="F302" i="120"/>
  <c r="D302" i="120"/>
  <c r="C302" i="120"/>
  <c r="D317" i="120"/>
  <c r="C317" i="120"/>
  <c r="G317" i="120"/>
  <c r="I317" i="120" s="1"/>
  <c r="J317" i="120" s="1"/>
  <c r="F317" i="120"/>
  <c r="G325" i="120"/>
  <c r="I325" i="120" s="1"/>
  <c r="J325" i="120" s="1"/>
  <c r="F325" i="120"/>
  <c r="D325" i="120"/>
  <c r="C325" i="120"/>
  <c r="D333" i="120"/>
  <c r="C333" i="120"/>
  <c r="G333" i="120"/>
  <c r="I333" i="120" s="1"/>
  <c r="J333" i="120" s="1"/>
  <c r="F333" i="120"/>
  <c r="D346" i="120"/>
  <c r="C346" i="120"/>
  <c r="G346" i="120"/>
  <c r="I346" i="120" s="1"/>
  <c r="F346" i="120"/>
  <c r="D454" i="120"/>
  <c r="C454" i="120"/>
  <c r="G454" i="120"/>
  <c r="I454" i="120" s="1"/>
  <c r="F454" i="120"/>
  <c r="D511" i="120"/>
  <c r="C511" i="120"/>
  <c r="G511" i="120"/>
  <c r="I511" i="120" s="1"/>
  <c r="F511" i="120"/>
  <c r="D585" i="120"/>
  <c r="C585" i="120"/>
  <c r="G585" i="120"/>
  <c r="I585" i="120" s="1"/>
  <c r="F585" i="120"/>
  <c r="F592" i="120"/>
  <c r="D592" i="120"/>
  <c r="C592" i="120"/>
  <c r="G598" i="120"/>
  <c r="I598" i="120" s="1"/>
  <c r="F598" i="120"/>
  <c r="D598" i="120"/>
  <c r="C598" i="120"/>
  <c r="C629" i="120"/>
  <c r="G629" i="120"/>
  <c r="I629" i="120" s="1"/>
  <c r="F629" i="120"/>
  <c r="D629" i="120"/>
  <c r="G653" i="120"/>
  <c r="I653" i="120" s="1"/>
  <c r="N653" i="120"/>
  <c r="F653" i="120"/>
  <c r="D653" i="120"/>
  <c r="C653" i="120"/>
  <c r="D726" i="120"/>
  <c r="C726" i="120"/>
  <c r="G726" i="120"/>
  <c r="I726" i="120" s="1"/>
  <c r="F726" i="120"/>
  <c r="N726" i="120"/>
  <c r="G739" i="120"/>
  <c r="I739" i="120" s="1"/>
  <c r="F739" i="120"/>
  <c r="D739" i="120"/>
  <c r="C739" i="120"/>
  <c r="G745" i="120"/>
  <c r="I745" i="120" s="1"/>
  <c r="F745" i="120"/>
  <c r="D745" i="120"/>
  <c r="C745" i="120"/>
  <c r="G760" i="120"/>
  <c r="I760" i="120" s="1"/>
  <c r="F760" i="120"/>
  <c r="D760" i="120"/>
  <c r="C760" i="120"/>
  <c r="G767" i="120"/>
  <c r="I767" i="120" s="1"/>
  <c r="J767" i="120" s="1"/>
  <c r="F767" i="120"/>
  <c r="D767" i="120"/>
  <c r="C767" i="120"/>
  <c r="F773" i="120"/>
  <c r="D773" i="120"/>
  <c r="C773" i="120"/>
  <c r="G779" i="120"/>
  <c r="I779" i="120" s="1"/>
  <c r="F779" i="120"/>
  <c r="D779" i="120"/>
  <c r="C779" i="120"/>
  <c r="G794" i="120"/>
  <c r="I794" i="120" s="1"/>
  <c r="F794" i="120"/>
  <c r="D794" i="120"/>
  <c r="C794" i="120"/>
  <c r="F801" i="120"/>
  <c r="D801" i="120"/>
  <c r="C801" i="120"/>
  <c r="G801" i="120"/>
  <c r="I801" i="120" s="1"/>
  <c r="G815" i="120"/>
  <c r="I815" i="120" s="1"/>
  <c r="F815" i="120"/>
  <c r="D815" i="120"/>
  <c r="C815" i="120"/>
  <c r="G859" i="120"/>
  <c r="I859" i="120" s="1"/>
  <c r="F859" i="120"/>
  <c r="I29" i="120" s="1"/>
  <c r="D859" i="120"/>
  <c r="C859" i="120"/>
  <c r="M859" i="120"/>
  <c r="G865" i="120"/>
  <c r="I865" i="120" s="1"/>
  <c r="M865" i="120"/>
  <c r="F865" i="120"/>
  <c r="D865" i="120"/>
  <c r="C865" i="120"/>
  <c r="M870" i="120"/>
  <c r="G870" i="120"/>
  <c r="I870" i="120" s="1"/>
  <c r="J870" i="120" s="1"/>
  <c r="F870" i="120"/>
  <c r="D870" i="120"/>
  <c r="C870" i="120"/>
  <c r="G886" i="120"/>
  <c r="I886" i="120" s="1"/>
  <c r="F886" i="120"/>
  <c r="D886" i="120"/>
  <c r="C886" i="120"/>
  <c r="M886" i="120"/>
  <c r="C906" i="120"/>
  <c r="D906" i="120"/>
  <c r="F906" i="120"/>
  <c r="G906" i="120"/>
  <c r="I906" i="120" s="1"/>
  <c r="J906" i="120" s="1"/>
  <c r="G458" i="120"/>
  <c r="I458" i="120" s="1"/>
  <c r="F458" i="120"/>
  <c r="D458" i="120"/>
  <c r="C458" i="120"/>
  <c r="G238" i="120"/>
  <c r="I238" i="120" s="1"/>
  <c r="F238" i="120"/>
  <c r="N238" i="120"/>
  <c r="D238" i="120"/>
  <c r="C238" i="120"/>
  <c r="N217" i="120"/>
  <c r="G217" i="120"/>
  <c r="I217" i="120" s="1"/>
  <c r="F217" i="120"/>
  <c r="D217" i="120"/>
  <c r="C217" i="120"/>
  <c r="G498" i="120"/>
  <c r="I498" i="120" s="1"/>
  <c r="F498" i="120"/>
  <c r="D498" i="120"/>
  <c r="C498" i="120"/>
  <c r="C731" i="12"/>
  <c r="C462" i="12"/>
  <c r="C818" i="12"/>
  <c r="N818" i="12"/>
  <c r="O818" i="12" s="1"/>
  <c r="D825" i="12"/>
  <c r="C825" i="12"/>
  <c r="D348" i="12"/>
  <c r="C348" i="12"/>
  <c r="N68" i="120"/>
  <c r="D68" i="120"/>
  <c r="C68" i="120"/>
  <c r="G68" i="120"/>
  <c r="I68" i="120" s="1"/>
  <c r="F68" i="120"/>
  <c r="C87" i="120"/>
  <c r="G87" i="120"/>
  <c r="I87" i="120" s="1"/>
  <c r="F87" i="120"/>
  <c r="D87" i="120"/>
  <c r="G232" i="120"/>
  <c r="I232" i="120" s="1"/>
  <c r="F232" i="120"/>
  <c r="D232" i="120"/>
  <c r="C232" i="120"/>
  <c r="N232" i="120"/>
  <c r="G249" i="120"/>
  <c r="I249" i="120" s="1"/>
  <c r="F249" i="120"/>
  <c r="D249" i="120"/>
  <c r="C249" i="120"/>
  <c r="N249" i="120"/>
  <c r="G258" i="120"/>
  <c r="I258" i="120" s="1"/>
  <c r="F258" i="120"/>
  <c r="D258" i="120"/>
  <c r="C258" i="120"/>
  <c r="N258" i="120"/>
  <c r="D268" i="120"/>
  <c r="C268" i="120"/>
  <c r="G268" i="120"/>
  <c r="I268" i="120" s="1"/>
  <c r="F268" i="120"/>
  <c r="N268" i="120"/>
  <c r="D280" i="120"/>
  <c r="C280" i="120"/>
  <c r="G280" i="120"/>
  <c r="I280" i="120" s="1"/>
  <c r="J280" i="120" s="1"/>
  <c r="F280" i="120"/>
  <c r="D286" i="120"/>
  <c r="C286" i="120"/>
  <c r="G286" i="120"/>
  <c r="I286" i="120" s="1"/>
  <c r="F286" i="120"/>
  <c r="G308" i="120"/>
  <c r="I308" i="120" s="1"/>
  <c r="F308" i="120"/>
  <c r="D308" i="120"/>
  <c r="C308" i="120"/>
  <c r="G340" i="120"/>
  <c r="I340" i="120" s="1"/>
  <c r="J340" i="120" s="1"/>
  <c r="F340" i="120"/>
  <c r="D340" i="120"/>
  <c r="C340" i="120"/>
  <c r="D355" i="120"/>
  <c r="C355" i="120"/>
  <c r="G355" i="120"/>
  <c r="I355" i="120" s="1"/>
  <c r="J355" i="120" s="1"/>
  <c r="F355" i="120"/>
  <c r="D361" i="120"/>
  <c r="C361" i="120"/>
  <c r="G361" i="120"/>
  <c r="I361" i="120" s="1"/>
  <c r="J361" i="120" s="1"/>
  <c r="F361" i="120"/>
  <c r="D367" i="120"/>
  <c r="C367" i="120"/>
  <c r="G367" i="120"/>
  <c r="I367" i="120" s="1"/>
  <c r="J367" i="120" s="1"/>
  <c r="F367" i="120"/>
  <c r="G374" i="120"/>
  <c r="I374" i="120" s="1"/>
  <c r="J374" i="120" s="1"/>
  <c r="F374" i="120"/>
  <c r="C374" i="120"/>
  <c r="D374" i="120"/>
  <c r="G380" i="120"/>
  <c r="I380" i="120" s="1"/>
  <c r="J380" i="120" s="1"/>
  <c r="F380" i="120"/>
  <c r="D380" i="120"/>
  <c r="C380" i="120"/>
  <c r="G387" i="120"/>
  <c r="I387" i="120" s="1"/>
  <c r="J387" i="120" s="1"/>
  <c r="J386" i="120" s="1"/>
  <c r="F387" i="120"/>
  <c r="D387" i="120"/>
  <c r="C387" i="120"/>
  <c r="D395" i="120"/>
  <c r="C395" i="120"/>
  <c r="G395" i="120"/>
  <c r="I395" i="120" s="1"/>
  <c r="J395" i="120" s="1"/>
  <c r="F395" i="120"/>
  <c r="N416" i="120"/>
  <c r="G416" i="120"/>
  <c r="I416" i="120" s="1"/>
  <c r="F416" i="120"/>
  <c r="D416" i="120"/>
  <c r="C416" i="120"/>
  <c r="N422" i="120"/>
  <c r="M422" i="120"/>
  <c r="G422" i="120"/>
  <c r="I422" i="120" s="1"/>
  <c r="F422" i="120"/>
  <c r="D422" i="120"/>
  <c r="C422" i="120"/>
  <c r="M428" i="120"/>
  <c r="G428" i="120"/>
  <c r="I428" i="120" s="1"/>
  <c r="F428" i="120"/>
  <c r="C428" i="120"/>
  <c r="D428" i="120"/>
  <c r="G434" i="120"/>
  <c r="I434" i="120" s="1"/>
  <c r="F434" i="120"/>
  <c r="D434" i="120"/>
  <c r="C434" i="120"/>
  <c r="G518" i="120"/>
  <c r="I518" i="120" s="1"/>
  <c r="F518" i="120"/>
  <c r="C518" i="120"/>
  <c r="D518" i="120"/>
  <c r="G524" i="120"/>
  <c r="I524" i="120" s="1"/>
  <c r="J524" i="120" s="1"/>
  <c r="F524" i="120"/>
  <c r="D524" i="120"/>
  <c r="C524" i="120"/>
  <c r="D530" i="120"/>
  <c r="G530" i="120"/>
  <c r="I530" i="120" s="1"/>
  <c r="F530" i="120"/>
  <c r="C530" i="120"/>
  <c r="G538" i="120"/>
  <c r="I538" i="120" s="1"/>
  <c r="J538" i="120" s="1"/>
  <c r="F538" i="120"/>
  <c r="D538" i="120"/>
  <c r="C538" i="120"/>
  <c r="G661" i="120"/>
  <c r="I661" i="120" s="1"/>
  <c r="F661" i="120"/>
  <c r="D661" i="120"/>
  <c r="N661" i="120"/>
  <c r="C661" i="120"/>
  <c r="G667" i="120"/>
  <c r="I667" i="120" s="1"/>
  <c r="F667" i="120"/>
  <c r="D667" i="120"/>
  <c r="C667" i="120"/>
  <c r="G733" i="120"/>
  <c r="I733" i="120" s="1"/>
  <c r="F733" i="120"/>
  <c r="D733" i="120"/>
  <c r="C733" i="120"/>
  <c r="N808" i="120"/>
  <c r="G808" i="120"/>
  <c r="I808" i="120" s="1"/>
  <c r="F808" i="120"/>
  <c r="D808" i="120"/>
  <c r="C808" i="120"/>
  <c r="G823" i="120"/>
  <c r="I823" i="120" s="1"/>
  <c r="F823" i="120"/>
  <c r="C823" i="120"/>
  <c r="D823" i="120"/>
  <c r="M876" i="120"/>
  <c r="G876" i="120"/>
  <c r="I876" i="120" s="1"/>
  <c r="J876" i="120" s="1"/>
  <c r="F876" i="120"/>
  <c r="C876" i="120"/>
  <c r="D876" i="120"/>
  <c r="F881" i="120"/>
  <c r="D881" i="120"/>
  <c r="M881" i="120"/>
  <c r="C881" i="120"/>
  <c r="G881" i="120"/>
  <c r="I881" i="120" s="1"/>
  <c r="G902" i="120"/>
  <c r="I902" i="120" s="1"/>
  <c r="J902" i="120" s="1"/>
  <c r="F902" i="120"/>
  <c r="D902" i="120"/>
  <c r="C902" i="120"/>
  <c r="G911" i="120"/>
  <c r="I911" i="120" s="1"/>
  <c r="J911" i="120" s="1"/>
  <c r="F911" i="120"/>
  <c r="I31" i="120" s="1"/>
  <c r="D911" i="120"/>
  <c r="C911" i="120"/>
  <c r="C915" i="120"/>
  <c r="D915" i="120"/>
  <c r="G915" i="120"/>
  <c r="I915" i="120" s="1"/>
  <c r="F915" i="120"/>
  <c r="G920" i="120"/>
  <c r="I920" i="120" s="1"/>
  <c r="J920" i="120" s="1"/>
  <c r="F920" i="120"/>
  <c r="D920" i="120"/>
  <c r="C920" i="120"/>
  <c r="C153" i="120"/>
  <c r="G153" i="120"/>
  <c r="I153" i="120" s="1"/>
  <c r="F153" i="120"/>
  <c r="D153" i="120"/>
  <c r="C648" i="120"/>
  <c r="N648" i="120"/>
  <c r="G648" i="120"/>
  <c r="I648" i="120" s="1"/>
  <c r="F648" i="120"/>
  <c r="D648" i="120"/>
  <c r="C242" i="120"/>
  <c r="N242" i="120"/>
  <c r="G242" i="120"/>
  <c r="I242" i="120" s="1"/>
  <c r="F242" i="120"/>
  <c r="D242" i="120"/>
  <c r="G500" i="120"/>
  <c r="I500" i="120" s="1"/>
  <c r="F500" i="120"/>
  <c r="D500" i="120"/>
  <c r="C500" i="120"/>
  <c r="G850" i="120"/>
  <c r="I850" i="120" s="1"/>
  <c r="I849" i="120" s="1"/>
  <c r="F850" i="120"/>
  <c r="D850" i="120"/>
  <c r="C850" i="120"/>
  <c r="G852" i="120"/>
  <c r="I852" i="120" s="1"/>
  <c r="I851" i="120" s="1"/>
  <c r="F852" i="120"/>
  <c r="D852" i="120"/>
  <c r="C852" i="120"/>
  <c r="D736" i="12"/>
  <c r="C736" i="12"/>
  <c r="C536" i="12"/>
  <c r="N819" i="12"/>
  <c r="O819" i="12" s="1"/>
  <c r="C819" i="12"/>
  <c r="D826" i="12"/>
  <c r="C826" i="12"/>
  <c r="D349" i="12"/>
  <c r="C349" i="12"/>
  <c r="G36" i="120"/>
  <c r="I36" i="120" s="1"/>
  <c r="F36" i="120"/>
  <c r="D36" i="120"/>
  <c r="C36" i="120"/>
  <c r="C105" i="120"/>
  <c r="N105" i="120"/>
  <c r="G105" i="120"/>
  <c r="I105" i="120" s="1"/>
  <c r="F105" i="120"/>
  <c r="D105" i="120"/>
  <c r="G115" i="120"/>
  <c r="I115" i="120" s="1"/>
  <c r="F115" i="120"/>
  <c r="D115" i="120"/>
  <c r="N115" i="120"/>
  <c r="C115" i="120"/>
  <c r="N123" i="120"/>
  <c r="C123" i="120"/>
  <c r="G123" i="120"/>
  <c r="I123" i="120" s="1"/>
  <c r="F123" i="120"/>
  <c r="D123" i="120"/>
  <c r="G134" i="120"/>
  <c r="I134" i="120" s="1"/>
  <c r="F134" i="120"/>
  <c r="D134" i="120"/>
  <c r="C134" i="120"/>
  <c r="M134" i="120"/>
  <c r="G152" i="120"/>
  <c r="I152" i="120" s="1"/>
  <c r="M152" i="120"/>
  <c r="F152" i="120"/>
  <c r="D152" i="120"/>
  <c r="C152" i="120"/>
  <c r="G158" i="120"/>
  <c r="I158" i="120" s="1"/>
  <c r="F158" i="120"/>
  <c r="D158" i="120"/>
  <c r="C158" i="120"/>
  <c r="G166" i="120"/>
  <c r="I166" i="120" s="1"/>
  <c r="F166" i="120"/>
  <c r="D166" i="120"/>
  <c r="C166" i="120"/>
  <c r="G192" i="120"/>
  <c r="I192" i="120" s="1"/>
  <c r="F192" i="120"/>
  <c r="D192" i="120"/>
  <c r="C192" i="120"/>
  <c r="G199" i="120"/>
  <c r="I199" i="120" s="1"/>
  <c r="F199" i="120"/>
  <c r="D199" i="120"/>
  <c r="C199" i="120"/>
  <c r="N199" i="120"/>
  <c r="C215" i="120"/>
  <c r="M215" i="120"/>
  <c r="G215" i="120"/>
  <c r="I215" i="120" s="1"/>
  <c r="F215" i="120"/>
  <c r="D215" i="120"/>
  <c r="G318" i="120"/>
  <c r="I318" i="120" s="1"/>
  <c r="J318" i="120" s="1"/>
  <c r="F318" i="120"/>
  <c r="C318" i="120"/>
  <c r="D318" i="120"/>
  <c r="D327" i="120"/>
  <c r="C327" i="120"/>
  <c r="G327" i="120"/>
  <c r="I327" i="120" s="1"/>
  <c r="J327" i="120" s="1"/>
  <c r="F327" i="120"/>
  <c r="G449" i="120"/>
  <c r="I449" i="120" s="1"/>
  <c r="F449" i="120"/>
  <c r="D449" i="120"/>
  <c r="C449" i="120"/>
  <c r="G455" i="120"/>
  <c r="I455" i="120" s="1"/>
  <c r="F455" i="120"/>
  <c r="D455" i="120"/>
  <c r="C455" i="120"/>
  <c r="G512" i="120"/>
  <c r="I512" i="120" s="1"/>
  <c r="F512" i="120"/>
  <c r="D512" i="120"/>
  <c r="C512" i="120"/>
  <c r="G586" i="120"/>
  <c r="I586" i="120" s="1"/>
  <c r="F586" i="120"/>
  <c r="D586" i="120"/>
  <c r="C586" i="120"/>
  <c r="G593" i="120"/>
  <c r="I593" i="120" s="1"/>
  <c r="J593" i="120" s="1"/>
  <c r="F593" i="120"/>
  <c r="D593" i="120"/>
  <c r="C593" i="120"/>
  <c r="G631" i="120"/>
  <c r="I631" i="120" s="1"/>
  <c r="F631" i="120"/>
  <c r="D631" i="120"/>
  <c r="C631" i="120"/>
  <c r="G647" i="120"/>
  <c r="I647" i="120" s="1"/>
  <c r="F647" i="120"/>
  <c r="D647" i="120"/>
  <c r="C647" i="120"/>
  <c r="N647" i="120"/>
  <c r="C654" i="120"/>
  <c r="N654" i="120"/>
  <c r="G654" i="120"/>
  <c r="I654" i="120" s="1"/>
  <c r="F654" i="120"/>
  <c r="D654" i="120"/>
  <c r="G727" i="120"/>
  <c r="I727" i="120" s="1"/>
  <c r="F727" i="120"/>
  <c r="D727" i="120"/>
  <c r="C727" i="120"/>
  <c r="G740" i="120"/>
  <c r="I740" i="120" s="1"/>
  <c r="F740" i="120"/>
  <c r="D740" i="120"/>
  <c r="C740" i="120"/>
  <c r="G746" i="120"/>
  <c r="I746" i="120" s="1"/>
  <c r="F746" i="120"/>
  <c r="D746" i="120"/>
  <c r="C746" i="120"/>
  <c r="D753" i="120"/>
  <c r="C753" i="120"/>
  <c r="F753" i="120"/>
  <c r="G753" i="120"/>
  <c r="I753" i="120" s="1"/>
  <c r="G761" i="120"/>
  <c r="I761" i="120" s="1"/>
  <c r="F761" i="120"/>
  <c r="D761" i="120"/>
  <c r="C761" i="120"/>
  <c r="F768" i="120"/>
  <c r="D768" i="120"/>
  <c r="C768" i="120"/>
  <c r="G768" i="120"/>
  <c r="I768" i="120" s="1"/>
  <c r="G774" i="120"/>
  <c r="I774" i="120" s="1"/>
  <c r="J774" i="120" s="1"/>
  <c r="F774" i="120"/>
  <c r="D774" i="120"/>
  <c r="C774" i="120"/>
  <c r="G780" i="120"/>
  <c r="I780" i="120" s="1"/>
  <c r="F780" i="120"/>
  <c r="D780" i="120"/>
  <c r="C780" i="120"/>
  <c r="G802" i="120"/>
  <c r="I802" i="120" s="1"/>
  <c r="F802" i="120"/>
  <c r="D802" i="120"/>
  <c r="C802" i="120"/>
  <c r="F860" i="120"/>
  <c r="D860" i="120"/>
  <c r="C860" i="120"/>
  <c r="M860" i="120"/>
  <c r="G860" i="120"/>
  <c r="I860" i="120" s="1"/>
  <c r="F866" i="120"/>
  <c r="D866" i="120"/>
  <c r="C866" i="120"/>
  <c r="M866" i="120"/>
  <c r="G866" i="120"/>
  <c r="I866" i="120" s="1"/>
  <c r="G892" i="120"/>
  <c r="I892" i="120" s="1"/>
  <c r="J892" i="120" s="1"/>
  <c r="F892" i="120"/>
  <c r="D892" i="120"/>
  <c r="C892" i="120"/>
  <c r="C897" i="120"/>
  <c r="D897" i="120"/>
  <c r="G897" i="120"/>
  <c r="I897" i="120" s="1"/>
  <c r="J897" i="120" s="1"/>
  <c r="F897" i="120"/>
  <c r="G907" i="120"/>
  <c r="I907" i="120" s="1"/>
  <c r="J907" i="120" s="1"/>
  <c r="F907" i="120"/>
  <c r="D907" i="120"/>
  <c r="C907" i="120"/>
  <c r="G925" i="120"/>
  <c r="I925" i="120" s="1"/>
  <c r="J925" i="120" s="1"/>
  <c r="F925" i="120"/>
  <c r="D925" i="120"/>
  <c r="C925" i="120"/>
  <c r="G757" i="120"/>
  <c r="I757" i="120" s="1"/>
  <c r="F757" i="120"/>
  <c r="D757" i="120"/>
  <c r="C757" i="120"/>
  <c r="G130" i="120"/>
  <c r="I130" i="120" s="1"/>
  <c r="F130" i="120"/>
  <c r="D130" i="120"/>
  <c r="C130" i="120"/>
  <c r="G650" i="120"/>
  <c r="I650" i="120" s="1"/>
  <c r="F650" i="120"/>
  <c r="D650" i="120"/>
  <c r="C650" i="120"/>
  <c r="N650" i="120"/>
  <c r="N240" i="120"/>
  <c r="G240" i="120"/>
  <c r="I240" i="120" s="1"/>
  <c r="F240" i="120"/>
  <c r="D240" i="120"/>
  <c r="C240" i="120"/>
  <c r="D14" i="77"/>
  <c r="H722" i="12"/>
  <c r="H722" i="120" s="1"/>
  <c r="H742" i="12"/>
  <c r="H742" i="120" s="1"/>
  <c r="H724" i="12"/>
  <c r="O724" i="12" s="1"/>
  <c r="H748" i="12"/>
  <c r="H748" i="120" s="1"/>
  <c r="H734" i="12"/>
  <c r="H734" i="120" s="1"/>
  <c r="H732" i="12"/>
  <c r="H732" i="120" s="1"/>
  <c r="H658" i="12"/>
  <c r="H658" i="120" s="1"/>
  <c r="H665" i="12"/>
  <c r="I40" i="118"/>
  <c r="I42" i="118" s="1"/>
  <c r="N26" i="56"/>
  <c r="I578" i="120"/>
  <c r="I89" i="120"/>
  <c r="I281" i="120"/>
  <c r="J281" i="120" s="1"/>
  <c r="B659" i="120"/>
  <c r="E685" i="12"/>
  <c r="E685" i="120" s="1"/>
  <c r="E689" i="12"/>
  <c r="E689" i="120" s="1"/>
  <c r="E838" i="12"/>
  <c r="E838" i="120" s="1"/>
  <c r="E446" i="12"/>
  <c r="E446" i="120" s="1"/>
  <c r="E836" i="12"/>
  <c r="E836" i="120" s="1"/>
  <c r="E478" i="12"/>
  <c r="E478" i="120" s="1"/>
  <c r="E562" i="12"/>
  <c r="E562" i="120" s="1"/>
  <c r="E482" i="12"/>
  <c r="E482" i="120" s="1"/>
  <c r="E411" i="12"/>
  <c r="H411" i="12" s="1"/>
  <c r="H411" i="120" s="1"/>
  <c r="E556" i="12"/>
  <c r="E606" i="12"/>
  <c r="E606" i="120" s="1"/>
  <c r="E637" i="12"/>
  <c r="E637" i="120" s="1"/>
  <c r="E554" i="12"/>
  <c r="E554" i="120" s="1"/>
  <c r="E846" i="12"/>
  <c r="E846" i="120" s="1"/>
  <c r="E476" i="12"/>
  <c r="E476" i="120" s="1"/>
  <c r="E792" i="12"/>
  <c r="E792" i="120" s="1"/>
  <c r="E480" i="12"/>
  <c r="E480" i="120" s="1"/>
  <c r="E552" i="12"/>
  <c r="B552" i="12" s="1"/>
  <c r="E181" i="12"/>
  <c r="E181" i="120" s="1"/>
  <c r="E409" i="12"/>
  <c r="E602" i="12"/>
  <c r="E602" i="120" s="1"/>
  <c r="R95" i="58"/>
  <c r="R96" i="58" s="1"/>
  <c r="R212" i="58" s="1"/>
  <c r="R204" i="58" s="1"/>
  <c r="I539" i="120"/>
  <c r="I662" i="120"/>
  <c r="I592" i="120"/>
  <c r="P95" i="58"/>
  <c r="P96" i="58" s="1"/>
  <c r="P212" i="58" s="1"/>
  <c r="P204" i="58" s="1"/>
  <c r="R145" i="58"/>
  <c r="R126" i="58"/>
  <c r="R127" i="58" s="1"/>
  <c r="R148" i="58" s="1"/>
  <c r="P145" i="58"/>
  <c r="P126" i="58"/>
  <c r="P147" i="58" s="1"/>
  <c r="P201" i="58"/>
  <c r="P215" i="58"/>
  <c r="P200" i="58"/>
  <c r="E1" i="43"/>
  <c r="G16" i="155"/>
  <c r="G17" i="155"/>
  <c r="C17" i="155"/>
  <c r="H17" i="155"/>
  <c r="I17" i="155"/>
  <c r="D17" i="155"/>
  <c r="J17" i="155"/>
  <c r="E17" i="155"/>
  <c r="E13" i="153"/>
  <c r="G13" i="153"/>
  <c r="H13" i="153"/>
  <c r="F13" i="153"/>
  <c r="D13" i="153"/>
  <c r="C13" i="153"/>
  <c r="E3" i="43"/>
  <c r="E23" i="43" s="1"/>
  <c r="G177" i="58" s="1"/>
  <c r="E63" i="43"/>
  <c r="G67" i="59" s="1"/>
  <c r="G66" i="78"/>
  <c r="E69" i="78"/>
  <c r="D52" i="78"/>
  <c r="E52" i="78"/>
  <c r="G75" i="78"/>
  <c r="D89" i="78"/>
  <c r="E53" i="78"/>
  <c r="D53" i="78"/>
  <c r="G84" i="78"/>
  <c r="E70" i="78"/>
  <c r="E57" i="78"/>
  <c r="D81" i="78"/>
  <c r="G20" i="75"/>
  <c r="L85" i="63"/>
  <c r="K54" i="63"/>
  <c r="H588" i="12" s="1"/>
  <c r="H588" i="120" s="1"/>
  <c r="L86" i="63"/>
  <c r="H537" i="12"/>
  <c r="H537" i="120" s="1"/>
  <c r="J71" i="47"/>
  <c r="H527" i="12" s="1"/>
  <c r="H527" i="120" s="1"/>
  <c r="G43" i="63"/>
  <c r="K42" i="63"/>
  <c r="H584" i="12" s="1"/>
  <c r="H584" i="120" s="1"/>
  <c r="K48" i="63"/>
  <c r="H586" i="12" s="1"/>
  <c r="H586" i="120" s="1"/>
  <c r="K4" i="63"/>
  <c r="L4" i="63" s="1"/>
  <c r="J107" i="47"/>
  <c r="K107" i="47" s="1"/>
  <c r="K37" i="47"/>
  <c r="K60" i="63"/>
  <c r="H591" i="12" s="1"/>
  <c r="H591" i="120" s="1"/>
  <c r="G46" i="63"/>
  <c r="H528" i="12"/>
  <c r="H528" i="120" s="1"/>
  <c r="K45" i="63"/>
  <c r="L45" i="63" s="1"/>
  <c r="L42" i="63"/>
  <c r="R215" i="58"/>
  <c r="R200" i="58"/>
  <c r="R201" i="58"/>
  <c r="D65" i="78"/>
  <c r="E17" i="78"/>
  <c r="D17" i="78"/>
  <c r="D51" i="78"/>
  <c r="G50" i="78"/>
  <c r="G21" i="78"/>
  <c r="G83" i="78"/>
  <c r="D33" i="78"/>
  <c r="E84" i="78"/>
  <c r="D82" i="78"/>
  <c r="E27" i="78"/>
  <c r="D63" i="78"/>
  <c r="D21" i="78"/>
  <c r="G87" i="78"/>
  <c r="E26" i="78"/>
  <c r="D35" i="78"/>
  <c r="E63" i="78"/>
  <c r="G25" i="78"/>
  <c r="D14" i="78"/>
  <c r="G63" i="78"/>
  <c r="D27" i="78"/>
  <c r="D50" i="78"/>
  <c r="G27" i="78"/>
  <c r="E83" i="78"/>
  <c r="G17" i="78"/>
  <c r="G35" i="78"/>
  <c r="E50" i="78"/>
  <c r="K7" i="55"/>
  <c r="S133" i="58"/>
  <c r="E635" i="12"/>
  <c r="E635" i="120" s="1"/>
  <c r="E92" i="12"/>
  <c r="E92" i="120" s="1"/>
  <c r="E470" i="12"/>
  <c r="E470" i="120" s="1"/>
  <c r="E830" i="12"/>
  <c r="E830" i="120" s="1"/>
  <c r="E788" i="12"/>
  <c r="E788" i="120" s="1"/>
  <c r="E677" i="12"/>
  <c r="E677" i="120" s="1"/>
  <c r="E832" i="12"/>
  <c r="E832" i="120" s="1"/>
  <c r="E444" i="12"/>
  <c r="E444" i="120" s="1"/>
  <c r="E548" i="12"/>
  <c r="E679" i="12"/>
  <c r="E679" i="120" s="1"/>
  <c r="E171" i="12"/>
  <c r="E171" i="120" s="1"/>
  <c r="E643" i="12"/>
  <c r="E643" i="120" s="1"/>
  <c r="E177" i="12"/>
  <c r="E177" i="120" s="1"/>
  <c r="B4" i="153"/>
  <c r="B4" i="155"/>
  <c r="G241" i="54"/>
  <c r="G252" i="54" s="1"/>
  <c r="G242" i="54"/>
  <c r="G253" i="54" s="1"/>
  <c r="G247" i="54"/>
  <c r="G258" i="54" s="1"/>
  <c r="G245" i="54"/>
  <c r="G256" i="54" s="1"/>
  <c r="I773" i="120"/>
  <c r="J773" i="120" s="1"/>
  <c r="H884" i="12"/>
  <c r="H884" i="120" s="1"/>
  <c r="O203" i="54"/>
  <c r="Q133" i="58"/>
  <c r="O49" i="49"/>
  <c r="O32" i="49"/>
  <c r="O33" i="49" s="1"/>
  <c r="O50" i="49" s="1"/>
  <c r="O35" i="49" s="1"/>
  <c r="E63" i="49"/>
  <c r="E59" i="49"/>
  <c r="E61" i="49" s="1"/>
  <c r="E58" i="49"/>
  <c r="E60" i="49" s="1"/>
  <c r="F49" i="49"/>
  <c r="F32" i="49"/>
  <c r="F54" i="49" s="1"/>
  <c r="K75" i="47"/>
  <c r="H521" i="12"/>
  <c r="H521" i="120" s="1"/>
  <c r="R49" i="49"/>
  <c r="R32" i="49"/>
  <c r="F11" i="87"/>
  <c r="K63" i="132"/>
  <c r="F114" i="62"/>
  <c r="H596" i="12"/>
  <c r="H596" i="120" s="1"/>
  <c r="S58" i="49"/>
  <c r="K76" i="132"/>
  <c r="G70" i="78"/>
  <c r="G30" i="62"/>
  <c r="J94" i="62"/>
  <c r="G39" i="118"/>
  <c r="H598" i="12"/>
  <c r="H598" i="120" s="1"/>
  <c r="K59" i="118"/>
  <c r="L88" i="63"/>
  <c r="P32" i="49"/>
  <c r="P54" i="49" s="1"/>
  <c r="K60" i="132"/>
  <c r="J90" i="62"/>
  <c r="Q32" i="49"/>
  <c r="Q54" i="49" s="1"/>
  <c r="E81" i="78"/>
  <c r="N7" i="55"/>
  <c r="H38" i="12" s="1"/>
  <c r="H38" i="120" s="1"/>
  <c r="K59" i="132"/>
  <c r="J102" i="62"/>
  <c r="J103" i="62" s="1"/>
  <c r="H797" i="12"/>
  <c r="H797" i="120" s="1"/>
  <c r="H420" i="12"/>
  <c r="H420" i="120" s="1"/>
  <c r="H417" i="12"/>
  <c r="H417" i="120" s="1"/>
  <c r="L15" i="68"/>
  <c r="K74" i="132"/>
  <c r="D71" i="78"/>
  <c r="F37" i="87"/>
  <c r="R41" i="49"/>
  <c r="J58" i="47"/>
  <c r="G52" i="87"/>
  <c r="F37" i="62"/>
  <c r="I37" i="62" s="1"/>
  <c r="H426" i="12" s="1"/>
  <c r="H426" i="120" s="1"/>
  <c r="K64" i="118"/>
  <c r="H33" i="49"/>
  <c r="H50" i="49" s="1"/>
  <c r="H35" i="49" s="1"/>
  <c r="L34" i="49"/>
  <c r="E35" i="78"/>
  <c r="G64" i="62"/>
  <c r="G73" i="62" s="1"/>
  <c r="G83" i="62" s="1"/>
  <c r="G55" i="63"/>
  <c r="K55" i="63" s="1"/>
  <c r="L55" i="63" s="1"/>
  <c r="P33" i="49"/>
  <c r="P50" i="49" s="1"/>
  <c r="P35" i="49" s="1"/>
  <c r="G56" i="78"/>
  <c r="G100" i="83"/>
  <c r="M30" i="118"/>
  <c r="F29" i="62"/>
  <c r="F53" i="87"/>
  <c r="K27" i="132"/>
  <c r="G81" i="78"/>
  <c r="G51" i="63"/>
  <c r="I44" i="87"/>
  <c r="D47" i="78"/>
  <c r="D60" i="78"/>
  <c r="G50" i="63"/>
  <c r="J45" i="87"/>
  <c r="H32" i="49"/>
  <c r="H54" i="49" s="1"/>
  <c r="J58" i="49"/>
  <c r="G60" i="78"/>
  <c r="J105" i="62"/>
  <c r="I16" i="62"/>
  <c r="J16" i="62" s="1"/>
  <c r="K48" i="132"/>
  <c r="E71" i="78"/>
  <c r="I49" i="49"/>
  <c r="I33" i="49"/>
  <c r="I32" i="49"/>
  <c r="I54" i="49" s="1"/>
  <c r="G58" i="49"/>
  <c r="G63" i="49"/>
  <c r="G59" i="49"/>
  <c r="G61" i="49" s="1"/>
  <c r="F46" i="87"/>
  <c r="H59" i="49"/>
  <c r="H61" i="49" s="1"/>
  <c r="H63" i="49"/>
  <c r="H58" i="49"/>
  <c r="I58" i="49"/>
  <c r="I59" i="49"/>
  <c r="I61" i="49" s="1"/>
  <c r="I63" i="49"/>
  <c r="I106" i="62"/>
  <c r="F33" i="61" s="1"/>
  <c r="F79" i="61" s="1"/>
  <c r="K58" i="49"/>
  <c r="K59" i="49"/>
  <c r="K61" i="49" s="1"/>
  <c r="K63" i="49"/>
  <c r="L32" i="49"/>
  <c r="L54" i="49" s="1"/>
  <c r="L49" i="49"/>
  <c r="L58" i="49"/>
  <c r="L59" i="49"/>
  <c r="L61" i="49" s="1"/>
  <c r="L63" i="49"/>
  <c r="M49" i="49"/>
  <c r="M32" i="49"/>
  <c r="M54" i="49" s="1"/>
  <c r="M59" i="49"/>
  <c r="M61" i="49" s="1"/>
  <c r="M63" i="49"/>
  <c r="M58" i="49"/>
  <c r="N59" i="49"/>
  <c r="N61" i="49" s="1"/>
  <c r="N63" i="49"/>
  <c r="N58" i="49"/>
  <c r="O59" i="49"/>
  <c r="O61" i="49" s="1"/>
  <c r="O63" i="49"/>
  <c r="J48" i="47"/>
  <c r="H517" i="12" s="1"/>
  <c r="H517" i="120" s="1"/>
  <c r="P63" i="49"/>
  <c r="P59" i="49"/>
  <c r="P61" i="49" s="1"/>
  <c r="Q63" i="49"/>
  <c r="Q59" i="49"/>
  <c r="Q61" i="49" s="1"/>
  <c r="I52" i="87"/>
  <c r="J52" i="87" s="1"/>
  <c r="F23" i="87"/>
  <c r="G12" i="87"/>
  <c r="G11" i="87"/>
  <c r="G46" i="87" s="1"/>
  <c r="I10" i="87"/>
  <c r="J10" i="87" s="1"/>
  <c r="K32" i="49"/>
  <c r="K54" i="49" s="1"/>
  <c r="K49" i="49"/>
  <c r="I51" i="87"/>
  <c r="J51" i="87" s="1"/>
  <c r="I37" i="87"/>
  <c r="S32" i="49"/>
  <c r="S54" i="49" s="1"/>
  <c r="S49" i="49"/>
  <c r="T49" i="49"/>
  <c r="T32" i="49"/>
  <c r="T54" i="49" s="1"/>
  <c r="U49" i="49"/>
  <c r="U32" i="49"/>
  <c r="U54" i="49" s="1"/>
  <c r="H519" i="12"/>
  <c r="H519" i="120" s="1"/>
  <c r="K71" i="47"/>
  <c r="F21" i="61"/>
  <c r="H21" i="61" s="1"/>
  <c r="N49" i="49"/>
  <c r="G13" i="87"/>
  <c r="G16" i="87" s="1"/>
  <c r="G17" i="87" s="1"/>
  <c r="G20" i="87"/>
  <c r="G23" i="87" s="1"/>
  <c r="H36" i="49"/>
  <c r="H316" i="12"/>
  <c r="H316" i="120" s="1"/>
  <c r="K58" i="132"/>
  <c r="G33" i="78"/>
  <c r="J6" i="62"/>
  <c r="F31" i="87"/>
  <c r="Q33" i="49"/>
  <c r="J13" i="132"/>
  <c r="K13" i="132" s="1"/>
  <c r="K73" i="132"/>
  <c r="D18" i="78"/>
  <c r="F77" i="62"/>
  <c r="F120" i="47"/>
  <c r="F136" i="47" s="1"/>
  <c r="J136" i="47" s="1"/>
  <c r="H558" i="12" s="1"/>
  <c r="F12" i="87"/>
  <c r="P34" i="49"/>
  <c r="P58" i="49" s="1"/>
  <c r="P60" i="49" s="1"/>
  <c r="K57" i="132"/>
  <c r="G31" i="78"/>
  <c r="L48" i="63"/>
  <c r="K5" i="118"/>
  <c r="M5" i="118" s="1"/>
  <c r="J5" i="62"/>
  <c r="J40" i="87"/>
  <c r="N33" i="49"/>
  <c r="O54" i="49"/>
  <c r="J63" i="49"/>
  <c r="G114" i="62"/>
  <c r="I56" i="62"/>
  <c r="H432" i="12" s="1"/>
  <c r="H432" i="120" s="1"/>
  <c r="K10" i="118"/>
  <c r="F13" i="87"/>
  <c r="O34" i="49"/>
  <c r="O58" i="49" s="1"/>
  <c r="O60" i="49" s="1"/>
  <c r="K23" i="132"/>
  <c r="K56" i="132"/>
  <c r="G109" i="62"/>
  <c r="I109" i="62" s="1"/>
  <c r="F40" i="61" s="1"/>
  <c r="J115" i="62"/>
  <c r="K19" i="83"/>
  <c r="J42" i="87"/>
  <c r="F49" i="87"/>
  <c r="O36" i="49"/>
  <c r="Q34" i="49"/>
  <c r="Q58" i="49" s="1"/>
  <c r="K47" i="132"/>
  <c r="K83" i="132"/>
  <c r="G108" i="62"/>
  <c r="E407" i="12"/>
  <c r="E472" i="12"/>
  <c r="E472" i="120" s="1"/>
  <c r="J59" i="62"/>
  <c r="G31" i="87"/>
  <c r="G34" i="87" s="1"/>
  <c r="G35" i="87" s="1"/>
  <c r="P36" i="49"/>
  <c r="J7" i="87"/>
  <c r="F28" i="47"/>
  <c r="J28" i="47" s="1"/>
  <c r="H510" i="12" s="1"/>
  <c r="H510" i="120" s="1"/>
  <c r="J76" i="62"/>
  <c r="H526" i="12"/>
  <c r="H526" i="120" s="1"/>
  <c r="K41" i="132"/>
  <c r="K103" i="132"/>
  <c r="G37" i="78"/>
  <c r="L89" i="63"/>
  <c r="F31" i="47"/>
  <c r="J31" i="47" s="1"/>
  <c r="K79" i="132"/>
  <c r="G47" i="78"/>
  <c r="F30" i="62"/>
  <c r="G50" i="49"/>
  <c r="G35" i="49" s="1"/>
  <c r="F31" i="61"/>
  <c r="F72" i="61" s="1"/>
  <c r="F93" i="61" s="1"/>
  <c r="F18" i="61"/>
  <c r="K51" i="132"/>
  <c r="K106" i="132"/>
  <c r="H405" i="12"/>
  <c r="H405" i="120" s="1"/>
  <c r="E14" i="78"/>
  <c r="J32" i="49"/>
  <c r="J54" i="49" s="1"/>
  <c r="K86" i="47"/>
  <c r="G40" i="118"/>
  <c r="D42" i="78"/>
  <c r="E41" i="78"/>
  <c r="G55" i="78"/>
  <c r="E65" i="78"/>
  <c r="AA78" i="134"/>
  <c r="X46" i="134"/>
  <c r="Y46" i="134" s="1"/>
  <c r="AA46" i="134"/>
  <c r="X18" i="134"/>
  <c r="Y18" i="134" s="1"/>
  <c r="D85" i="78"/>
  <c r="E21" i="78"/>
  <c r="G85" i="78"/>
  <c r="G43" i="78"/>
  <c r="D43" i="78"/>
  <c r="G41" i="78"/>
  <c r="G29" i="78"/>
  <c r="E29" i="78"/>
  <c r="G44" i="78"/>
  <c r="E20" i="78"/>
  <c r="G77" i="78"/>
  <c r="D66" i="78"/>
  <c r="E64" i="78"/>
  <c r="D31" i="78"/>
  <c r="E42" i="78"/>
  <c r="E28" i="78"/>
  <c r="D75" i="78"/>
  <c r="D20" i="78"/>
  <c r="E44" i="78"/>
  <c r="E67" i="78"/>
  <c r="D46" i="78"/>
  <c r="D67" i="78"/>
  <c r="E46" i="78"/>
  <c r="G23" i="78"/>
  <c r="E36" i="78"/>
  <c r="E22" i="78"/>
  <c r="G22" i="78"/>
  <c r="D22" i="78"/>
  <c r="M25" i="118"/>
  <c r="X78" i="134"/>
  <c r="Y78" i="134" s="1"/>
  <c r="N140" i="54"/>
  <c r="O140" i="54" s="1"/>
  <c r="A35" i="12"/>
  <c r="A35" i="120" s="1"/>
  <c r="B803" i="120"/>
  <c r="AA18" i="134"/>
  <c r="AA22" i="134"/>
  <c r="X50" i="134"/>
  <c r="Y50" i="134" s="1"/>
  <c r="X82" i="134"/>
  <c r="Y82" i="134" s="1"/>
  <c r="AA50" i="134"/>
  <c r="AA82" i="134"/>
  <c r="X34" i="134"/>
  <c r="Y34" i="134" s="1"/>
  <c r="AA34" i="134"/>
  <c r="X74" i="134"/>
  <c r="Y74" i="134" s="1"/>
  <c r="R73" i="134"/>
  <c r="X62" i="134"/>
  <c r="Y62" i="134" s="1"/>
  <c r="AA26" i="134"/>
  <c r="W25" i="134"/>
  <c r="AA54" i="134"/>
  <c r="V53" i="134"/>
  <c r="AA62" i="134"/>
  <c r="AA58" i="134"/>
  <c r="Q57" i="134"/>
  <c r="X22" i="134"/>
  <c r="Y22" i="134" s="1"/>
  <c r="X10" i="134"/>
  <c r="Y10" i="134" s="1"/>
  <c r="X38" i="134"/>
  <c r="Y38" i="134" s="1"/>
  <c r="AA10" i="134"/>
  <c r="AA38" i="134"/>
  <c r="X70" i="134"/>
  <c r="Y70" i="134" s="1"/>
  <c r="AA70" i="134"/>
  <c r="X66" i="134"/>
  <c r="Y66" i="134" s="1"/>
  <c r="AA66" i="134"/>
  <c r="H352" i="12"/>
  <c r="H352" i="120" s="1"/>
  <c r="D3" i="43"/>
  <c r="AA147" i="58"/>
  <c r="W158" i="58"/>
  <c r="Y146" i="58"/>
  <c r="Y149" i="58"/>
  <c r="P4" i="75"/>
  <c r="D29" i="78"/>
  <c r="D87" i="78"/>
  <c r="D68" i="78"/>
  <c r="D57" i="78"/>
  <c r="G45" i="78"/>
  <c r="D45" i="78"/>
  <c r="E82" i="78"/>
  <c r="G69" i="78"/>
  <c r="D36" i="78"/>
  <c r="G57" i="78"/>
  <c r="D15" i="78"/>
  <c r="D28" i="78"/>
  <c r="G16" i="78"/>
  <c r="G15" i="78"/>
  <c r="G28" i="78"/>
  <c r="D40" i="78"/>
  <c r="E77" i="78"/>
  <c r="E40" i="78"/>
  <c r="E74" i="78"/>
  <c r="E16" i="78"/>
  <c r="D37" i="78"/>
  <c r="G68" i="78"/>
  <c r="D38" i="78"/>
  <c r="G26" i="78"/>
  <c r="D16" i="78"/>
  <c r="E48" i="78"/>
  <c r="E87" i="78"/>
  <c r="E45" i="78"/>
  <c r="G59" i="78"/>
  <c r="E68" i="78"/>
  <c r="G46" i="78"/>
  <c r="E59" i="78"/>
  <c r="G42" i="78"/>
  <c r="G14" i="78"/>
  <c r="E15" i="78"/>
  <c r="E88" i="78"/>
  <c r="D88" i="78"/>
  <c r="G51" i="78"/>
  <c r="D69" i="78"/>
  <c r="D41" i="78"/>
  <c r="G76" i="78"/>
  <c r="E31" i="78"/>
  <c r="D19" i="78"/>
  <c r="D76" i="78"/>
  <c r="E19" i="78"/>
  <c r="G40" i="78"/>
  <c r="G52" i="78"/>
  <c r="D39" i="78"/>
  <c r="D23" i="78"/>
  <c r="D55" i="78"/>
  <c r="G39" i="78"/>
  <c r="G18" i="78"/>
  <c r="AA30" i="134"/>
  <c r="Q29" i="134"/>
  <c r="E856" i="120"/>
  <c r="E618" i="120"/>
  <c r="E852" i="12"/>
  <c r="E713" i="12"/>
  <c r="E713" i="120" s="1"/>
  <c r="E622" i="12"/>
  <c r="E580" i="12"/>
  <c r="H580" i="12" s="1"/>
  <c r="E504" i="12"/>
  <c r="E504" i="120" s="1"/>
  <c r="O199" i="54"/>
  <c r="O201" i="54"/>
  <c r="W21" i="60"/>
  <c r="Y28" i="60"/>
  <c r="Y74" i="58"/>
  <c r="Y150" i="58"/>
  <c r="Y73" i="58"/>
  <c r="Y70" i="58"/>
  <c r="E790" i="12"/>
  <c r="E790" i="120" s="1"/>
  <c r="E61" i="12"/>
  <c r="E552" i="120"/>
  <c r="E468" i="12"/>
  <c r="E468" i="120" s="1"/>
  <c r="E442" i="12"/>
  <c r="E442" i="120" s="1"/>
  <c r="E403" i="12"/>
  <c r="E175" i="12"/>
  <c r="E175" i="120" s="1"/>
  <c r="E401" i="120"/>
  <c r="E544" i="120"/>
  <c r="E828" i="120"/>
  <c r="E568" i="120"/>
  <c r="E854" i="120"/>
  <c r="E612" i="120"/>
  <c r="E842" i="12"/>
  <c r="E484" i="12"/>
  <c r="E484" i="120" s="1"/>
  <c r="E610" i="120"/>
  <c r="E560" i="120"/>
  <c r="E558" i="120"/>
  <c r="E570" i="120"/>
  <c r="E840" i="120"/>
  <c r="E578" i="120"/>
  <c r="E620" i="120"/>
  <c r="E550" i="120"/>
  <c r="E600" i="120"/>
  <c r="E564" i="120"/>
  <c r="E546" i="120"/>
  <c r="E701" i="12"/>
  <c r="E701" i="120" s="1"/>
  <c r="E699" i="12"/>
  <c r="E699" i="120" s="1"/>
  <c r="E566" i="120"/>
  <c r="E834" i="120"/>
  <c r="E697" i="12"/>
  <c r="E697" i="120" s="1"/>
  <c r="E492" i="12"/>
  <c r="E492" i="120" s="1"/>
  <c r="N101" i="54"/>
  <c r="O101" i="54" s="1"/>
  <c r="H777" i="12"/>
  <c r="H777" i="120" s="1"/>
  <c r="N122" i="54"/>
  <c r="O122" i="54" s="1"/>
  <c r="O9" i="37"/>
  <c r="H872" i="12"/>
  <c r="H872" i="120" s="1"/>
  <c r="H885" i="12"/>
  <c r="H885" i="120" s="1"/>
  <c r="O392" i="133"/>
  <c r="H770" i="12"/>
  <c r="H770" i="120" s="1"/>
  <c r="N118" i="54"/>
  <c r="O118" i="54" s="1"/>
  <c r="P53" i="75"/>
  <c r="Q56" i="75"/>
  <c r="Q50" i="75"/>
  <c r="O49" i="37"/>
  <c r="N67" i="37"/>
  <c r="O67" i="37" s="1"/>
  <c r="N64" i="37"/>
  <c r="O90" i="37"/>
  <c r="N76" i="37"/>
  <c r="N51" i="37"/>
  <c r="N75" i="37"/>
  <c r="O40" i="37"/>
  <c r="N84" i="37"/>
  <c r="N4" i="37"/>
  <c r="N5" i="37"/>
  <c r="N70" i="37"/>
  <c r="O70" i="37" s="1"/>
  <c r="O39" i="37"/>
  <c r="O12" i="37"/>
  <c r="M18" i="56"/>
  <c r="M61" i="118" s="1"/>
  <c r="N39" i="56"/>
  <c r="M40" i="56"/>
  <c r="N40" i="56" s="1"/>
  <c r="N67" i="56"/>
  <c r="N3" i="56"/>
  <c r="N71" i="56"/>
  <c r="N32" i="56"/>
  <c r="N3" i="40"/>
  <c r="N1" i="40" s="1"/>
  <c r="B17" i="77"/>
  <c r="B57" i="12"/>
  <c r="H57" i="120"/>
  <c r="H59" i="120" s="1"/>
  <c r="H45" i="12"/>
  <c r="H45" i="120" s="1"/>
  <c r="B169" i="120"/>
  <c r="B655" i="120"/>
  <c r="H707" i="12"/>
  <c r="B466" i="120"/>
  <c r="B630" i="120"/>
  <c r="B633" i="120"/>
  <c r="B674" i="120"/>
  <c r="B736" i="120"/>
  <c r="H498" i="12"/>
  <c r="H498" i="120" s="1"/>
  <c r="B532" i="120"/>
  <c r="H574" i="12"/>
  <c r="B763" i="120"/>
  <c r="O227" i="54"/>
  <c r="N98" i="54"/>
  <c r="O98" i="54" s="1"/>
  <c r="X42" i="134"/>
  <c r="Y42" i="134" s="1"/>
  <c r="AA42" i="134"/>
  <c r="X54" i="134"/>
  <c r="Y54" i="134" s="1"/>
  <c r="AA14" i="134"/>
  <c r="X30" i="134"/>
  <c r="Y30" i="134" s="1"/>
  <c r="AA74" i="134"/>
  <c r="X26" i="134"/>
  <c r="Y26" i="134" s="1"/>
  <c r="H30" i="120"/>
  <c r="C78" i="134" s="1"/>
  <c r="G7" i="74"/>
  <c r="N13" i="12"/>
  <c r="N13" i="120"/>
  <c r="X58" i="134"/>
  <c r="Y58" i="134" s="1"/>
  <c r="X14" i="134"/>
  <c r="Y14" i="134" s="1"/>
  <c r="AA87" i="39"/>
  <c r="E290" i="12"/>
  <c r="E290" i="120" s="1"/>
  <c r="H59" i="12"/>
  <c r="M59" i="12" s="1"/>
  <c r="N103" i="54"/>
  <c r="O103" i="54" s="1"/>
  <c r="N240" i="54"/>
  <c r="O240" i="54" s="1"/>
  <c r="O207" i="54"/>
  <c r="H779" i="12"/>
  <c r="H779" i="120" s="1"/>
  <c r="M790" i="12"/>
  <c r="AF64" i="59"/>
  <c r="H265" i="12"/>
  <c r="J265" i="12" s="1"/>
  <c r="AA74" i="58"/>
  <c r="AA78" i="58"/>
  <c r="Y77" i="58"/>
  <c r="AA152" i="58"/>
  <c r="AA71" i="58"/>
  <c r="Y152" i="58"/>
  <c r="Z77" i="58"/>
  <c r="AA151" i="58"/>
  <c r="Z149" i="58"/>
  <c r="AA150" i="58"/>
  <c r="Z73" i="58"/>
  <c r="Z76" i="58"/>
  <c r="Y151" i="58"/>
  <c r="Z79" i="58"/>
  <c r="Z144" i="58"/>
  <c r="Y71" i="58"/>
  <c r="Y79" i="58"/>
  <c r="Z71" i="58"/>
  <c r="Z148" i="58"/>
  <c r="Z152" i="58"/>
  <c r="AF63" i="59"/>
  <c r="Y147" i="58"/>
  <c r="AA146" i="58"/>
  <c r="AA145" i="58"/>
  <c r="Y75" i="58"/>
  <c r="AA144" i="58"/>
  <c r="Z158" i="58"/>
  <c r="Y144" i="58"/>
  <c r="Y158" i="58"/>
  <c r="AF145" i="59"/>
  <c r="AA153" i="58"/>
  <c r="AF144" i="59"/>
  <c r="Z145" i="58"/>
  <c r="Z153" i="58"/>
  <c r="AF117" i="59"/>
  <c r="Y153" i="58"/>
  <c r="AA75" i="58"/>
  <c r="AF121" i="59"/>
  <c r="AF62" i="59"/>
  <c r="AF110" i="59"/>
  <c r="X166" i="58"/>
  <c r="X167" i="58" s="1"/>
  <c r="H251" i="12"/>
  <c r="H251" i="120" s="1"/>
  <c r="Z178" i="58"/>
  <c r="Z179" i="58" s="1"/>
  <c r="Z180" i="58" s="1"/>
  <c r="Z146" i="58"/>
  <c r="AF99" i="59"/>
  <c r="AF60" i="59"/>
  <c r="Z166" i="58"/>
  <c r="Z168" i="58" s="1"/>
  <c r="AA77" i="58"/>
  <c r="AA76" i="58"/>
  <c r="Y78" i="58"/>
  <c r="AA73" i="58"/>
  <c r="AA149" i="58"/>
  <c r="AA72" i="58"/>
  <c r="Y72" i="58"/>
  <c r="Y76" i="58"/>
  <c r="AA148" i="58"/>
  <c r="AA70" i="58"/>
  <c r="AF105" i="59"/>
  <c r="AF108" i="59"/>
  <c r="Y145" i="58"/>
  <c r="AF116" i="59"/>
  <c r="AD206" i="58"/>
  <c r="AD214" i="58" s="1"/>
  <c r="W177" i="58"/>
  <c r="W179" i="58" s="1"/>
  <c r="W180" i="58" s="1"/>
  <c r="AF112" i="59"/>
  <c r="AF113" i="59"/>
  <c r="K82" i="132"/>
  <c r="K77" i="132"/>
  <c r="K54" i="132"/>
  <c r="K80" i="132"/>
  <c r="K68" i="132"/>
  <c r="K64" i="132"/>
  <c r="K39" i="132"/>
  <c r="K49" i="132"/>
  <c r="F81" i="62"/>
  <c r="I81" i="62" s="1"/>
  <c r="I29" i="62"/>
  <c r="H421" i="12" s="1"/>
  <c r="O421" i="12" s="1"/>
  <c r="F28" i="62"/>
  <c r="F47" i="62"/>
  <c r="F32" i="62"/>
  <c r="I30" i="62"/>
  <c r="H422" i="12" s="1"/>
  <c r="F46" i="62"/>
  <c r="F48" i="62" s="1"/>
  <c r="F35" i="62"/>
  <c r="J34" i="62"/>
  <c r="I77" i="62"/>
  <c r="J77" i="62" s="1"/>
  <c r="F87" i="62"/>
  <c r="J37" i="62"/>
  <c r="G28" i="62"/>
  <c r="G47" i="62"/>
  <c r="G66" i="62" s="1"/>
  <c r="G68" i="62" s="1"/>
  <c r="G78" i="62" s="1"/>
  <c r="G46" i="62"/>
  <c r="G48" i="62" s="1"/>
  <c r="G32" i="62"/>
  <c r="I57" i="62"/>
  <c r="J57" i="62" s="1"/>
  <c r="J26" i="62"/>
  <c r="I33" i="62"/>
  <c r="J33" i="62" s="1"/>
  <c r="I3" i="62"/>
  <c r="F2" i="55"/>
  <c r="F14" i="62"/>
  <c r="F44" i="62"/>
  <c r="J8" i="62"/>
  <c r="I15" i="62"/>
  <c r="J15" i="62" s="1"/>
  <c r="F65" i="62"/>
  <c r="I62" i="62"/>
  <c r="H434" i="12" s="1"/>
  <c r="H434" i="120" s="1"/>
  <c r="J12" i="62"/>
  <c r="F85" i="62"/>
  <c r="I85" i="62" s="1"/>
  <c r="G39" i="62"/>
  <c r="I39" i="62" s="1"/>
  <c r="I75" i="62"/>
  <c r="J75" i="62" s="1"/>
  <c r="G43" i="62"/>
  <c r="J109" i="62"/>
  <c r="I96" i="62"/>
  <c r="F16" i="61" s="1"/>
  <c r="F62" i="61" s="1"/>
  <c r="F84" i="61" s="1"/>
  <c r="I63" i="62"/>
  <c r="H436" i="12" s="1"/>
  <c r="H436" i="120" s="1"/>
  <c r="F64" i="62"/>
  <c r="I31" i="62"/>
  <c r="G110" i="62"/>
  <c r="J71" i="62"/>
  <c r="G111" i="62"/>
  <c r="I111" i="62" s="1"/>
  <c r="F86" i="62"/>
  <c r="L54" i="63"/>
  <c r="F56" i="47"/>
  <c r="J56" i="47" s="1"/>
  <c r="J57" i="47" s="1"/>
  <c r="J111" i="47"/>
  <c r="H536" i="12" s="1"/>
  <c r="H536" i="120" s="1"/>
  <c r="G40" i="63"/>
  <c r="G102" i="63" s="1"/>
  <c r="G122" i="63" s="1"/>
  <c r="J118" i="47"/>
  <c r="K118" i="47" s="1"/>
  <c r="F124" i="47"/>
  <c r="J124" i="47" s="1"/>
  <c r="F94" i="47"/>
  <c r="H585" i="12"/>
  <c r="H585" i="120" s="1"/>
  <c r="H918" i="120"/>
  <c r="H31" i="120" s="1"/>
  <c r="G103" i="63"/>
  <c r="G123" i="63" s="1"/>
  <c r="L60" i="63"/>
  <c r="K39" i="63"/>
  <c r="H583" i="12" s="1"/>
  <c r="H583" i="120" s="1"/>
  <c r="H512" i="12"/>
  <c r="H512" i="120" s="1"/>
  <c r="K43" i="63"/>
  <c r="L43" i="63" s="1"/>
  <c r="K2" i="63"/>
  <c r="G2" i="55" s="1"/>
  <c r="G21" i="55" s="1"/>
  <c r="K46" i="63"/>
  <c r="L46" i="63" s="1"/>
  <c r="H520" i="12"/>
  <c r="H520" i="120" s="1"/>
  <c r="O200" i="54"/>
  <c r="J773" i="12"/>
  <c r="O205" i="54"/>
  <c r="Q7" i="75"/>
  <c r="Q47" i="75"/>
  <c r="Q9" i="75"/>
  <c r="P15" i="75"/>
  <c r="P2" i="75"/>
  <c r="Q2" i="75" s="1"/>
  <c r="Q26" i="75"/>
  <c r="O18" i="37"/>
  <c r="N2" i="37"/>
  <c r="O2" i="37" s="1"/>
  <c r="N27" i="37"/>
  <c r="O23" i="37"/>
  <c r="O22" i="37"/>
  <c r="N25" i="37"/>
  <c r="O25" i="37" s="1"/>
  <c r="O44" i="37"/>
  <c r="O38" i="37"/>
  <c r="N24" i="37"/>
  <c r="O24" i="37" s="1"/>
  <c r="N71" i="37"/>
  <c r="O71" i="37" s="1"/>
  <c r="O20" i="37"/>
  <c r="N74" i="37"/>
  <c r="O72" i="37"/>
  <c r="N73" i="37"/>
  <c r="Q43" i="75"/>
  <c r="P17" i="75"/>
  <c r="Q17" i="75" s="1"/>
  <c r="N8" i="37"/>
  <c r="O8" i="37" s="1"/>
  <c r="O6" i="37"/>
  <c r="N9" i="56"/>
  <c r="Q39" i="75"/>
  <c r="M52" i="56"/>
  <c r="N52" i="56" s="1"/>
  <c r="N54" i="56"/>
  <c r="P51" i="75"/>
  <c r="Q25" i="75"/>
  <c r="P22" i="75"/>
  <c r="Q18" i="75"/>
  <c r="O47" i="37"/>
  <c r="O21" i="37"/>
  <c r="N213" i="54"/>
  <c r="J58" i="118" s="1"/>
  <c r="M58" i="118" s="1"/>
  <c r="N68" i="37"/>
  <c r="N49" i="56"/>
  <c r="P49" i="75"/>
  <c r="O13" i="37"/>
  <c r="M22" i="56"/>
  <c r="M65" i="118" s="1"/>
  <c r="M55" i="56"/>
  <c r="O14" i="37"/>
  <c r="N4" i="56"/>
  <c r="P31" i="75"/>
  <c r="Q31" i="75" s="1"/>
  <c r="P55" i="75"/>
  <c r="H28" i="12"/>
  <c r="I2" i="55"/>
  <c r="O293" i="133"/>
  <c r="H874" i="12"/>
  <c r="H874" i="120" s="1"/>
  <c r="O285" i="133"/>
  <c r="H285" i="12"/>
  <c r="H285" i="120" s="1"/>
  <c r="H310" i="12"/>
  <c r="H310" i="120" s="1"/>
  <c r="AF146" i="59"/>
  <c r="H286" i="12"/>
  <c r="H286" i="120" s="1"/>
  <c r="H287" i="12"/>
  <c r="H287" i="120" s="1"/>
  <c r="H288" i="12"/>
  <c r="H288" i="120" s="1"/>
  <c r="AF148" i="59"/>
  <c r="K65" i="132"/>
  <c r="H330" i="12"/>
  <c r="H330" i="120" s="1"/>
  <c r="H388" i="12"/>
  <c r="H388" i="120" s="1"/>
  <c r="M45" i="56"/>
  <c r="M17" i="56"/>
  <c r="M60" i="118" s="1"/>
  <c r="N61" i="56"/>
  <c r="M20" i="56"/>
  <c r="I63" i="118" s="1"/>
  <c r="M2" i="56"/>
  <c r="M23" i="56"/>
  <c r="I66" i="118" s="1"/>
  <c r="N64" i="56"/>
  <c r="M46" i="56"/>
  <c r="N42" i="56"/>
  <c r="N44" i="56"/>
  <c r="M28" i="56"/>
  <c r="N28" i="56" s="1"/>
  <c r="N51" i="56"/>
  <c r="M30" i="56"/>
  <c r="N30" i="56" s="1"/>
  <c r="M62" i="56"/>
  <c r="N62" i="56" s="1"/>
  <c r="N58" i="56"/>
  <c r="M57" i="56"/>
  <c r="N57" i="56" s="1"/>
  <c r="M47" i="56"/>
  <c r="N47" i="56" s="1"/>
  <c r="M24" i="56"/>
  <c r="I53" i="118" s="1"/>
  <c r="N76" i="56"/>
  <c r="M88" i="56"/>
  <c r="N88" i="56" s="1"/>
  <c r="M72" i="56"/>
  <c r="N72" i="56" s="1"/>
  <c r="B9" i="39"/>
  <c r="Z194" i="58"/>
  <c r="Z196" i="58" s="1"/>
  <c r="Z197" i="58" s="1"/>
  <c r="W194" i="58"/>
  <c r="W196" i="58" s="1"/>
  <c r="W197" i="58" s="1"/>
  <c r="W188" i="58"/>
  <c r="W205" i="58" s="1"/>
  <c r="W213" i="58" s="1"/>
  <c r="B34" i="77"/>
  <c r="C32" i="77"/>
  <c r="H13" i="12"/>
  <c r="D14" i="122" s="1"/>
  <c r="B321" i="12"/>
  <c r="K72" i="132"/>
  <c r="K12" i="132"/>
  <c r="K52" i="132"/>
  <c r="K25" i="132"/>
  <c r="K97" i="132"/>
  <c r="K67" i="132"/>
  <c r="H346" i="12"/>
  <c r="H347" i="12"/>
  <c r="H347" i="120" s="1"/>
  <c r="K28" i="132"/>
  <c r="K75" i="132"/>
  <c r="K18" i="132"/>
  <c r="K55" i="132"/>
  <c r="H350" i="120"/>
  <c r="H31" i="12"/>
  <c r="C14" i="77" s="1"/>
  <c r="H324" i="120"/>
  <c r="E496" i="12"/>
  <c r="E496" i="120" s="1"/>
  <c r="E572" i="12"/>
  <c r="E614" i="12"/>
  <c r="E705" i="12"/>
  <c r="E705" i="120" s="1"/>
  <c r="G33" i="132"/>
  <c r="G107" i="132"/>
  <c r="J107" i="132" s="1"/>
  <c r="H248" i="120"/>
  <c r="O248" i="12"/>
  <c r="H262" i="120"/>
  <c r="O262" i="12"/>
  <c r="H270" i="120"/>
  <c r="O270" i="120" s="1"/>
  <c r="O270" i="12"/>
  <c r="H202" i="120"/>
  <c r="O202" i="120" s="1"/>
  <c r="H245" i="120"/>
  <c r="O245" i="12"/>
  <c r="H267" i="120"/>
  <c r="O267" i="12"/>
  <c r="H271" i="120"/>
  <c r="O271" i="12"/>
  <c r="H263" i="120"/>
  <c r="O263" i="12"/>
  <c r="H250" i="120"/>
  <c r="O250" i="12"/>
  <c r="H247" i="120"/>
  <c r="O247" i="12"/>
  <c r="H264" i="120"/>
  <c r="O264" i="120" s="1"/>
  <c r="O264" i="12"/>
  <c r="O418" i="12"/>
  <c r="H269" i="120"/>
  <c r="O269" i="120" s="1"/>
  <c r="O269" i="12"/>
  <c r="H261" i="120"/>
  <c r="O261" i="120" s="1"/>
  <c r="O261" i="12"/>
  <c r="K91" i="132"/>
  <c r="K19" i="132"/>
  <c r="K66" i="132"/>
  <c r="J31" i="132"/>
  <c r="K31" i="132" s="1"/>
  <c r="K90" i="132"/>
  <c r="K21" i="132"/>
  <c r="K50" i="132"/>
  <c r="K96" i="132"/>
  <c r="K70" i="132"/>
  <c r="K102" i="132"/>
  <c r="J112" i="132"/>
  <c r="K109" i="132"/>
  <c r="K17" i="132"/>
  <c r="O323" i="12"/>
  <c r="N19" i="12" s="1"/>
  <c r="C35" i="39" s="1"/>
  <c r="H323" i="120"/>
  <c r="J104" i="132"/>
  <c r="H401" i="12" s="1"/>
  <c r="G37" i="132"/>
  <c r="G38" i="132"/>
  <c r="F121" i="47"/>
  <c r="F141" i="47" s="1"/>
  <c r="F119" i="47"/>
  <c r="F130" i="47" s="1"/>
  <c r="F115" i="47"/>
  <c r="M8" i="56"/>
  <c r="N8" i="56" s="1"/>
  <c r="N389" i="133"/>
  <c r="H866" i="12" s="1"/>
  <c r="H866" i="120" s="1"/>
  <c r="N362" i="133"/>
  <c r="H861" i="12" s="1"/>
  <c r="H861" i="120" s="1"/>
  <c r="O281" i="133"/>
  <c r="N280" i="133"/>
  <c r="H881" i="12" s="1"/>
  <c r="H881" i="120" s="1"/>
  <c r="N383" i="133"/>
  <c r="H859" i="12" s="1"/>
  <c r="H875" i="120"/>
  <c r="H880" i="12"/>
  <c r="H880" i="120" s="1"/>
  <c r="N348" i="133"/>
  <c r="N290" i="133"/>
  <c r="H883" i="12" s="1"/>
  <c r="H883" i="120" s="1"/>
  <c r="N312" i="133"/>
  <c r="H865" i="12" s="1"/>
  <c r="H865" i="120" s="1"/>
  <c r="O292" i="133"/>
  <c r="H868" i="12"/>
  <c r="H868" i="120" s="1"/>
  <c r="O278" i="133"/>
  <c r="H873" i="12"/>
  <c r="H873" i="120" s="1"/>
  <c r="H871" i="12"/>
  <c r="H871" i="120" s="1"/>
  <c r="O279" i="133"/>
  <c r="H886" i="12"/>
  <c r="H886" i="120" s="1"/>
  <c r="H862" i="12"/>
  <c r="H862" i="120" s="1"/>
  <c r="H864" i="12"/>
  <c r="H864" i="120" s="1"/>
  <c r="K75" i="118"/>
  <c r="G118" i="83"/>
  <c r="G136" i="83" s="1"/>
  <c r="G88" i="83"/>
  <c r="G119" i="83" s="1"/>
  <c r="G137" i="83" s="1"/>
  <c r="G130" i="83"/>
  <c r="G147" i="83" s="1"/>
  <c r="G87" i="83"/>
  <c r="G127" i="83" s="1"/>
  <c r="G144" i="83" s="1"/>
  <c r="G89" i="83"/>
  <c r="G125" i="83" s="1"/>
  <c r="G142" i="83" s="1"/>
  <c r="H805" i="120"/>
  <c r="O805" i="12"/>
  <c r="G69" i="83"/>
  <c r="G72" i="83"/>
  <c r="G122" i="83" s="1"/>
  <c r="G140" i="83" s="1"/>
  <c r="G74" i="83"/>
  <c r="G123" i="83" s="1"/>
  <c r="G71" i="83"/>
  <c r="G115" i="83" s="1"/>
  <c r="G133" i="83" s="1"/>
  <c r="G70" i="83"/>
  <c r="G116" i="83" s="1"/>
  <c r="G134" i="83" s="1"/>
  <c r="G73" i="83"/>
  <c r="G121" i="83" s="1"/>
  <c r="G139" i="83" s="1"/>
  <c r="G52" i="83"/>
  <c r="G99" i="83"/>
  <c r="G117" i="83" s="1"/>
  <c r="G135" i="83" s="1"/>
  <c r="G120" i="83"/>
  <c r="G138" i="83" s="1"/>
  <c r="G78" i="83"/>
  <c r="G128" i="83" s="1"/>
  <c r="G145" i="83" s="1"/>
  <c r="G124" i="83"/>
  <c r="G141" i="83" s="1"/>
  <c r="G129" i="83"/>
  <c r="J82" i="83"/>
  <c r="K82" i="83" s="1"/>
  <c r="J94" i="83"/>
  <c r="H814" i="12" s="1"/>
  <c r="H814" i="120" s="1"/>
  <c r="J14" i="83"/>
  <c r="K14" i="83" s="1"/>
  <c r="G111" i="83"/>
  <c r="G114" i="83"/>
  <c r="J98" i="83"/>
  <c r="H815" i="12" s="1"/>
  <c r="H815" i="120" s="1"/>
  <c r="J112" i="83"/>
  <c r="K112" i="83" s="1"/>
  <c r="G113" i="83"/>
  <c r="J30" i="83"/>
  <c r="H799" i="12" s="1"/>
  <c r="H799" i="120" s="1"/>
  <c r="G31" i="83"/>
  <c r="G32" i="83"/>
  <c r="O798" i="12"/>
  <c r="H798" i="120"/>
  <c r="H808" i="120"/>
  <c r="O808" i="12"/>
  <c r="H809" i="120"/>
  <c r="O809" i="12"/>
  <c r="J43" i="83"/>
  <c r="H800" i="12" s="1"/>
  <c r="H810" i="120"/>
  <c r="O810" i="12"/>
  <c r="J50" i="83"/>
  <c r="H802" i="12" s="1"/>
  <c r="J51" i="83"/>
  <c r="J126" i="83"/>
  <c r="J75" i="83"/>
  <c r="K75" i="83" s="1"/>
  <c r="J100" i="83"/>
  <c r="H816" i="12" s="1"/>
  <c r="H816" i="120" s="1"/>
  <c r="J42" i="83"/>
  <c r="K42" i="83" s="1"/>
  <c r="N5" i="118"/>
  <c r="J110" i="83"/>
  <c r="K37" i="83"/>
  <c r="J67" i="83"/>
  <c r="H804" i="12" s="1"/>
  <c r="J4" i="83"/>
  <c r="K4" i="83" s="1"/>
  <c r="H812" i="12"/>
  <c r="H812" i="120" s="1"/>
  <c r="J36" i="83"/>
  <c r="K36" i="83" s="1"/>
  <c r="K62" i="118"/>
  <c r="J29" i="83"/>
  <c r="K29" i="83" s="1"/>
  <c r="K97" i="83"/>
  <c r="N218" i="54"/>
  <c r="J63" i="118" s="1"/>
  <c r="N55" i="54"/>
  <c r="O55" i="54" s="1"/>
  <c r="N125" i="54"/>
  <c r="O125" i="54" s="1"/>
  <c r="N214" i="54"/>
  <c r="J59" i="118" s="1"/>
  <c r="M59" i="118" s="1"/>
  <c r="N91" i="54"/>
  <c r="O91" i="54" s="1"/>
  <c r="N217" i="54"/>
  <c r="J62" i="118" s="1"/>
  <c r="M62" i="118" s="1"/>
  <c r="N24" i="54"/>
  <c r="O24" i="54" s="1"/>
  <c r="O97" i="54"/>
  <c r="H776" i="120"/>
  <c r="J776" i="120" s="1"/>
  <c r="O209" i="54"/>
  <c r="O198" i="54"/>
  <c r="H768" i="12"/>
  <c r="H768" i="120" s="1"/>
  <c r="J34" i="118"/>
  <c r="M34" i="118" s="1"/>
  <c r="N152" i="54"/>
  <c r="O152" i="54" s="1"/>
  <c r="N180" i="54"/>
  <c r="J54" i="118" s="1"/>
  <c r="M54" i="118" s="1"/>
  <c r="N109" i="54"/>
  <c r="O109" i="54" s="1"/>
  <c r="N40" i="54"/>
  <c r="O40" i="54" s="1"/>
  <c r="N60" i="54"/>
  <c r="O60" i="54" s="1"/>
  <c r="N146" i="54"/>
  <c r="N96" i="54"/>
  <c r="O96" i="54" s="1"/>
  <c r="N104" i="54"/>
  <c r="O104" i="54" s="1"/>
  <c r="N236" i="54"/>
  <c r="H784" i="12" s="1"/>
  <c r="H784" i="120" s="1"/>
  <c r="N47" i="54"/>
  <c r="O47" i="54" s="1"/>
  <c r="N67" i="54"/>
  <c r="O67" i="54" s="1"/>
  <c r="N82" i="54"/>
  <c r="O82" i="54" s="1"/>
  <c r="N131" i="54"/>
  <c r="O131" i="54" s="1"/>
  <c r="N111" i="54"/>
  <c r="O111" i="54" s="1"/>
  <c r="N74" i="54"/>
  <c r="O74" i="54" s="1"/>
  <c r="N90" i="54"/>
  <c r="O90" i="54" s="1"/>
  <c r="N108" i="54"/>
  <c r="O108" i="54" s="1"/>
  <c r="N119" i="54"/>
  <c r="O119" i="54" s="1"/>
  <c r="N69" i="54"/>
  <c r="O69" i="54" s="1"/>
  <c r="N86" i="54"/>
  <c r="O86" i="54" s="1"/>
  <c r="N141" i="54"/>
  <c r="O141" i="54" s="1"/>
  <c r="N95" i="54"/>
  <c r="O95" i="54" s="1"/>
  <c r="O228" i="54"/>
  <c r="N46" i="54"/>
  <c r="O46" i="54" s="1"/>
  <c r="N66" i="54"/>
  <c r="O66" i="54" s="1"/>
  <c r="O110" i="54"/>
  <c r="N61" i="54"/>
  <c r="O61" i="54" s="1"/>
  <c r="N73" i="54"/>
  <c r="O73" i="54" s="1"/>
  <c r="N88" i="54"/>
  <c r="O88" i="54" s="1"/>
  <c r="N147" i="54"/>
  <c r="O147" i="54" s="1"/>
  <c r="N105" i="54"/>
  <c r="O105" i="54" s="1"/>
  <c r="N38" i="54"/>
  <c r="O38" i="54" s="1"/>
  <c r="N48" i="54"/>
  <c r="O48" i="54" s="1"/>
  <c r="N68" i="54"/>
  <c r="O68" i="54" s="1"/>
  <c r="N139" i="54"/>
  <c r="O139" i="54" s="1"/>
  <c r="N94" i="54"/>
  <c r="O94" i="54" s="1"/>
  <c r="N112" i="54"/>
  <c r="O112" i="54" s="1"/>
  <c r="N30" i="54"/>
  <c r="H765" i="12" s="1"/>
  <c r="H765" i="120" s="1"/>
  <c r="N25" i="54"/>
  <c r="N150" i="54"/>
  <c r="O150" i="54" s="1"/>
  <c r="O167" i="54"/>
  <c r="N89" i="54"/>
  <c r="O89" i="54" s="1"/>
  <c r="H772" i="12"/>
  <c r="H772" i="120" s="1"/>
  <c r="O206" i="54"/>
  <c r="J20" i="118"/>
  <c r="M20" i="118" s="1"/>
  <c r="J15" i="118"/>
  <c r="N35" i="54"/>
  <c r="H20" i="75" s="1"/>
  <c r="H63" i="75" s="1"/>
  <c r="H72" i="75" s="1"/>
  <c r="N158" i="54"/>
  <c r="O158" i="54" s="1"/>
  <c r="O144" i="54"/>
  <c r="N176" i="54"/>
  <c r="H755" i="12" s="1"/>
  <c r="H755" i="120" s="1"/>
  <c r="N126" i="54"/>
  <c r="O126" i="54" s="1"/>
  <c r="N211" i="54"/>
  <c r="H778" i="12" s="1"/>
  <c r="H778" i="120" s="1"/>
  <c r="N58" i="54"/>
  <c r="O58" i="54" s="1"/>
  <c r="N83" i="54"/>
  <c r="O83" i="54" s="1"/>
  <c r="N165" i="54"/>
  <c r="O165" i="54" s="1"/>
  <c r="N102" i="54"/>
  <c r="O102" i="54" s="1"/>
  <c r="N51" i="54"/>
  <c r="O51" i="54" s="1"/>
  <c r="N33" i="54"/>
  <c r="O33" i="54" s="1"/>
  <c r="N179" i="54"/>
  <c r="O179" i="54" s="1"/>
  <c r="N223" i="54"/>
  <c r="O223" i="54" s="1"/>
  <c r="N151" i="54"/>
  <c r="O151" i="54" s="1"/>
  <c r="N52" i="54"/>
  <c r="O52" i="54" s="1"/>
  <c r="N123" i="54"/>
  <c r="O123" i="54" s="1"/>
  <c r="N117" i="54"/>
  <c r="O117" i="54" s="1"/>
  <c r="N175" i="54"/>
  <c r="O175" i="54" s="1"/>
  <c r="N116" i="54"/>
  <c r="O116" i="54" s="1"/>
  <c r="O41" i="54"/>
  <c r="N197" i="54"/>
  <c r="J36" i="118" s="1"/>
  <c r="M36" i="118" s="1"/>
  <c r="N36" i="118" s="1"/>
  <c r="N45" i="54"/>
  <c r="O45" i="54" s="1"/>
  <c r="N39" i="54"/>
  <c r="O39" i="54" s="1"/>
  <c r="N20" i="54"/>
  <c r="O20" i="54" s="1"/>
  <c r="N80" i="54"/>
  <c r="O80" i="54" s="1"/>
  <c r="N87" i="54"/>
  <c r="O87" i="54" s="1"/>
  <c r="N124" i="54"/>
  <c r="O124" i="54" s="1"/>
  <c r="N72" i="54"/>
  <c r="O72" i="54" s="1"/>
  <c r="N81" i="54"/>
  <c r="O81" i="54" s="1"/>
  <c r="O225" i="54"/>
  <c r="O53" i="54"/>
  <c r="O75" i="54"/>
  <c r="N65" i="54"/>
  <c r="O65" i="54" s="1"/>
  <c r="N79" i="54"/>
  <c r="O79" i="54" s="1"/>
  <c r="O224" i="54"/>
  <c r="O76" i="54"/>
  <c r="N44" i="54"/>
  <c r="O44" i="54" s="1"/>
  <c r="N29" i="54"/>
  <c r="O29" i="54" s="1"/>
  <c r="O62" i="54"/>
  <c r="N174" i="54"/>
  <c r="O174" i="54" s="1"/>
  <c r="O31" i="54"/>
  <c r="O226" i="54"/>
  <c r="O59" i="54"/>
  <c r="Q23" i="75"/>
  <c r="Q21" i="75"/>
  <c r="P27" i="75"/>
  <c r="N26" i="37"/>
  <c r="O26" i="37" s="1"/>
  <c r="P35" i="75"/>
  <c r="Q35" i="75" s="1"/>
  <c r="P54" i="75"/>
  <c r="P8" i="75"/>
  <c r="Q46" i="75"/>
  <c r="P52" i="75"/>
  <c r="P13" i="75"/>
  <c r="Q13" i="75" s="1"/>
  <c r="Q3" i="75"/>
  <c r="P11" i="75"/>
  <c r="P24" i="75"/>
  <c r="Q24" i="75" s="1"/>
  <c r="T144" i="58"/>
  <c r="U178" i="58"/>
  <c r="U179" i="58" s="1"/>
  <c r="U180" i="58" s="1"/>
  <c r="Y194" i="58"/>
  <c r="Y196" i="58" s="1"/>
  <c r="Y197" i="58" s="1"/>
  <c r="Q206" i="58"/>
  <c r="AF107" i="59"/>
  <c r="F55" i="118"/>
  <c r="M55" i="118" s="1"/>
  <c r="AF111" i="59"/>
  <c r="U194" i="58"/>
  <c r="U196" i="58" s="1"/>
  <c r="U197" i="58" s="1"/>
  <c r="U188" i="58"/>
  <c r="U205" i="58" s="1"/>
  <c r="U213" i="58" s="1"/>
  <c r="T78" i="58"/>
  <c r="U165" i="58"/>
  <c r="U167" i="58" s="1"/>
  <c r="Y188" i="58"/>
  <c r="Y205" i="58" s="1"/>
  <c r="Y213" i="58" s="1"/>
  <c r="AF65" i="59"/>
  <c r="AE20" i="60"/>
  <c r="AF20" i="60" s="1"/>
  <c r="Y166" i="58"/>
  <c r="Y168" i="58" s="1"/>
  <c r="X194" i="58"/>
  <c r="X196" i="58" s="1"/>
  <c r="X197" i="58" s="1"/>
  <c r="AF46" i="59"/>
  <c r="Y177" i="58"/>
  <c r="Y179" i="58" s="1"/>
  <c r="Y180" i="58" s="1"/>
  <c r="T157" i="58"/>
  <c r="AF98" i="59"/>
  <c r="X177" i="58"/>
  <c r="X179" i="58" s="1"/>
  <c r="X180" i="58" s="1"/>
  <c r="AF97" i="59"/>
  <c r="N31" i="37"/>
  <c r="O46" i="37"/>
  <c r="O665" i="12"/>
  <c r="H665" i="120"/>
  <c r="N83" i="37"/>
  <c r="N78" i="37"/>
  <c r="O77" i="37"/>
  <c r="N56" i="56"/>
  <c r="N89" i="37"/>
  <c r="O89" i="37" s="1"/>
  <c r="P34" i="75"/>
  <c r="Q34" i="75" s="1"/>
  <c r="N55" i="37"/>
  <c r="M57" i="118"/>
  <c r="N52" i="37"/>
  <c r="N65" i="37"/>
  <c r="O65" i="37" s="1"/>
  <c r="N77" i="56"/>
  <c r="M64" i="118"/>
  <c r="H595" i="12"/>
  <c r="H595" i="120" s="1"/>
  <c r="K78" i="63"/>
  <c r="G5" i="75" s="1"/>
  <c r="G58" i="63"/>
  <c r="G57" i="63"/>
  <c r="K8" i="63"/>
  <c r="L8" i="63" s="1"/>
  <c r="F64" i="47"/>
  <c r="J63" i="47"/>
  <c r="K63" i="47" s="1"/>
  <c r="F96" i="47"/>
  <c r="K41" i="63"/>
  <c r="L41" i="63" s="1"/>
  <c r="G106" i="63"/>
  <c r="J133" i="47"/>
  <c r="K133" i="47" s="1"/>
  <c r="J88" i="47"/>
  <c r="H530" i="12" s="1"/>
  <c r="H530" i="120" s="1"/>
  <c r="F137" i="47"/>
  <c r="J103" i="47"/>
  <c r="K103" i="47" s="1"/>
  <c r="K47" i="63"/>
  <c r="L47" i="63" s="1"/>
  <c r="J131" i="47"/>
  <c r="K131" i="47" s="1"/>
  <c r="J11" i="47"/>
  <c r="H507" i="12" s="1"/>
  <c r="H507" i="120" s="1"/>
  <c r="G98" i="63"/>
  <c r="K49" i="63"/>
  <c r="K67" i="63"/>
  <c r="K77" i="47"/>
  <c r="H522" i="12"/>
  <c r="H522" i="120" s="1"/>
  <c r="J110" i="47"/>
  <c r="H535" i="12" s="1"/>
  <c r="H535" i="120" s="1"/>
  <c r="J87" i="47"/>
  <c r="H531" i="12" s="1"/>
  <c r="H531" i="120" s="1"/>
  <c r="F123" i="47"/>
  <c r="F128" i="47"/>
  <c r="J93" i="47"/>
  <c r="K93" i="47" s="1"/>
  <c r="J43" i="47"/>
  <c r="K43" i="47" s="1"/>
  <c r="G30" i="63"/>
  <c r="L29" i="63"/>
  <c r="K71" i="63"/>
  <c r="L71" i="63" s="1"/>
  <c r="J61" i="47"/>
  <c r="K61" i="47" s="1"/>
  <c r="F62" i="47"/>
  <c r="F126" i="47"/>
  <c r="G35" i="63"/>
  <c r="L35" i="63" s="1"/>
  <c r="L34" i="63"/>
  <c r="K56" i="63"/>
  <c r="L56" i="63" s="1"/>
  <c r="G100" i="63"/>
  <c r="K63" i="63"/>
  <c r="L63" i="63" s="1"/>
  <c r="J918" i="12"/>
  <c r="G73" i="63"/>
  <c r="F54" i="47"/>
  <c r="F95" i="47"/>
  <c r="G65" i="63"/>
  <c r="G82" i="63"/>
  <c r="F134" i="47"/>
  <c r="J26" i="47"/>
  <c r="K26" i="47" s="1"/>
  <c r="G112" i="63"/>
  <c r="G75" i="63"/>
  <c r="F99" i="47"/>
  <c r="G24" i="63"/>
  <c r="L44" i="63"/>
  <c r="H539" i="12"/>
  <c r="H539" i="120" s="1"/>
  <c r="K84" i="47"/>
  <c r="G114" i="63"/>
  <c r="K117" i="47"/>
  <c r="K31" i="47"/>
  <c r="K59" i="63"/>
  <c r="H590" i="12" s="1"/>
  <c r="H590" i="120" s="1"/>
  <c r="K85" i="47"/>
  <c r="F15" i="47"/>
  <c r="G69" i="63"/>
  <c r="K28" i="47"/>
  <c r="F32" i="47"/>
  <c r="F21" i="47"/>
  <c r="G5" i="63"/>
  <c r="F23" i="47"/>
  <c r="J18" i="47"/>
  <c r="K18" i="47" s="1"/>
  <c r="F132" i="47"/>
  <c r="L68" i="63"/>
  <c r="K61" i="63"/>
  <c r="H592" i="12" s="1"/>
  <c r="H592" i="120" s="1"/>
  <c r="K69" i="47"/>
  <c r="G80" i="63"/>
  <c r="K73" i="47"/>
  <c r="F39" i="47"/>
  <c r="M71" i="118"/>
  <c r="F35" i="47"/>
  <c r="AF106" i="59"/>
  <c r="AF102" i="59"/>
  <c r="H273" i="12"/>
  <c r="H273" i="120" s="1"/>
  <c r="G69" i="118"/>
  <c r="M46" i="118"/>
  <c r="M72" i="118"/>
  <c r="K48" i="118"/>
  <c r="K51" i="118" s="1"/>
  <c r="K52" i="118" s="1"/>
  <c r="K69" i="118" s="1"/>
  <c r="M49" i="118"/>
  <c r="N49" i="118" s="1"/>
  <c r="AF115" i="59"/>
  <c r="AE136" i="59"/>
  <c r="AC7" i="60"/>
  <c r="X188" i="58"/>
  <c r="X205" i="58" s="1"/>
  <c r="X213" i="58" s="1"/>
  <c r="AF119" i="59"/>
  <c r="AF120" i="59"/>
  <c r="AF122" i="59"/>
  <c r="AF101" i="59"/>
  <c r="AF109" i="59"/>
  <c r="AF100" i="59"/>
  <c r="H268" i="120"/>
  <c r="H249" i="120"/>
  <c r="AE189" i="58"/>
  <c r="F28" i="75" s="1"/>
  <c r="P28" i="75" s="1"/>
  <c r="Q28" i="75" s="1"/>
  <c r="AE195" i="58"/>
  <c r="AF195" i="58" s="1"/>
  <c r="AE186" i="58"/>
  <c r="AF186" i="58" s="1"/>
  <c r="AE182" i="58"/>
  <c r="AF182" i="58" s="1"/>
  <c r="AF181" i="58"/>
  <c r="AF192" i="58"/>
  <c r="AF170" i="58"/>
  <c r="AF187" i="58"/>
  <c r="AF164" i="58"/>
  <c r="AF176" i="58"/>
  <c r="AF193" i="58"/>
  <c r="AE190" i="58"/>
  <c r="F29" i="75" s="1"/>
  <c r="V12" i="58"/>
  <c r="AC206" i="58"/>
  <c r="AC214" i="58" s="1"/>
  <c r="U145" i="58"/>
  <c r="U76" i="58"/>
  <c r="T206" i="58"/>
  <c r="T214" i="58" s="1"/>
  <c r="X12" i="58"/>
  <c r="Z188" i="58"/>
  <c r="Z205" i="58" s="1"/>
  <c r="Z213" i="58" s="1"/>
  <c r="V206" i="58"/>
  <c r="V214" i="58" s="1"/>
  <c r="X173" i="58"/>
  <c r="X175" i="58" s="1"/>
  <c r="X206" i="58"/>
  <c r="X214" i="58" s="1"/>
  <c r="Q165" i="58"/>
  <c r="Q167" i="58" s="1"/>
  <c r="T194" i="58"/>
  <c r="T196" i="58" s="1"/>
  <c r="T197" i="58" s="1"/>
  <c r="T153" i="58"/>
  <c r="Y84" i="58"/>
  <c r="T148" i="58"/>
  <c r="Y59" i="58"/>
  <c r="T74" i="58"/>
  <c r="T72" i="58"/>
  <c r="T147" i="58"/>
  <c r="T151" i="58"/>
  <c r="T146" i="58"/>
  <c r="T73" i="58"/>
  <c r="T70" i="58"/>
  <c r="T158" i="58"/>
  <c r="T76" i="58"/>
  <c r="T145" i="58"/>
  <c r="T166" i="58"/>
  <c r="T168" i="58" s="1"/>
  <c r="Q158" i="58"/>
  <c r="T150" i="58"/>
  <c r="T77" i="58"/>
  <c r="T79" i="58"/>
  <c r="T71" i="58"/>
  <c r="T149" i="58"/>
  <c r="T177" i="58"/>
  <c r="T179" i="58" s="1"/>
  <c r="T180" i="58" s="1"/>
  <c r="AB206" i="58"/>
  <c r="AB214" i="58" s="1"/>
  <c r="V165" i="58"/>
  <c r="V167" i="58" s="1"/>
  <c r="S158" i="58"/>
  <c r="V194" i="58"/>
  <c r="V196" i="58" s="1"/>
  <c r="V197" i="58" s="1"/>
  <c r="S188" i="58"/>
  <c r="S205" i="58" s="1"/>
  <c r="S213" i="58" s="1"/>
  <c r="S168" i="58"/>
  <c r="T188" i="58"/>
  <c r="T205" i="58" s="1"/>
  <c r="T213" i="58" s="1"/>
  <c r="X184" i="58"/>
  <c r="X185" i="58" s="1"/>
  <c r="T184" i="58"/>
  <c r="T185" i="58" s="1"/>
  <c r="T173" i="58"/>
  <c r="T175" i="58" s="1"/>
  <c r="Z206" i="58"/>
  <c r="Z214" i="58" s="1"/>
  <c r="Q173" i="58"/>
  <c r="S177" i="58"/>
  <c r="S179" i="58" s="1"/>
  <c r="S180" i="58" s="1"/>
  <c r="W12" i="58"/>
  <c r="S165" i="58"/>
  <c r="S167" i="58" s="1"/>
  <c r="S194" i="58"/>
  <c r="S196" i="58" s="1"/>
  <c r="S197" i="58" s="1"/>
  <c r="AA206" i="58"/>
  <c r="AA214" i="58" s="1"/>
  <c r="AA184" i="58"/>
  <c r="AA185" i="58" s="1"/>
  <c r="X70" i="58"/>
  <c r="V184" i="58"/>
  <c r="V185" i="58" s="1"/>
  <c r="W146" i="58"/>
  <c r="W70" i="58"/>
  <c r="V188" i="58"/>
  <c r="V205" i="58" s="1"/>
  <c r="V213" i="58" s="1"/>
  <c r="Y173" i="58"/>
  <c r="Y175" i="58" s="1"/>
  <c r="U173" i="58"/>
  <c r="U175" i="58" s="1"/>
  <c r="W153" i="58"/>
  <c r="W173" i="58"/>
  <c r="W175" i="58" s="1"/>
  <c r="AA165" i="58"/>
  <c r="AA167" i="58" s="1"/>
  <c r="AA178" i="58"/>
  <c r="AA179" i="58" s="1"/>
  <c r="AA180" i="58" s="1"/>
  <c r="U206" i="58"/>
  <c r="U214" i="58" s="1"/>
  <c r="Q177" i="58"/>
  <c r="Q179" i="58" s="1"/>
  <c r="Q180" i="58" s="1"/>
  <c r="U147" i="58"/>
  <c r="Q194" i="58"/>
  <c r="Y206" i="58"/>
  <c r="Y214" i="58" s="1"/>
  <c r="Q188" i="58"/>
  <c r="U148" i="58"/>
  <c r="X72" i="58"/>
  <c r="X146" i="58"/>
  <c r="X79" i="58"/>
  <c r="U150" i="58"/>
  <c r="U79" i="58"/>
  <c r="U70" i="58"/>
  <c r="U151" i="58"/>
  <c r="X158" i="58"/>
  <c r="X148" i="58"/>
  <c r="X144" i="58"/>
  <c r="X76" i="58"/>
  <c r="AF15" i="58"/>
  <c r="X149" i="58"/>
  <c r="U72" i="58"/>
  <c r="U152" i="58"/>
  <c r="X71" i="58"/>
  <c r="U153" i="58"/>
  <c r="X152" i="58"/>
  <c r="X151" i="58"/>
  <c r="X74" i="58"/>
  <c r="U78" i="58"/>
  <c r="X147" i="58"/>
  <c r="U74" i="58"/>
  <c r="X77" i="58"/>
  <c r="U146" i="58"/>
  <c r="U144" i="58"/>
  <c r="U149" i="58"/>
  <c r="X73" i="58"/>
  <c r="X75" i="58"/>
  <c r="U71" i="58"/>
  <c r="X150" i="58"/>
  <c r="U77" i="58"/>
  <c r="U75" i="58"/>
  <c r="X78" i="58"/>
  <c r="X153" i="58"/>
  <c r="Q157" i="58"/>
  <c r="AE13" i="60"/>
  <c r="AF13" i="60" s="1"/>
  <c r="Z30" i="60"/>
  <c r="F68" i="59"/>
  <c r="D1" i="43"/>
  <c r="V70" i="58"/>
  <c r="V77" i="58"/>
  <c r="V73" i="58"/>
  <c r="V145" i="58"/>
  <c r="V158" i="58"/>
  <c r="V76" i="58"/>
  <c r="V148" i="58"/>
  <c r="V79" i="58"/>
  <c r="V151" i="58"/>
  <c r="V78" i="58"/>
  <c r="V152" i="58"/>
  <c r="V144" i="58"/>
  <c r="V153" i="58"/>
  <c r="F56" i="118"/>
  <c r="M56" i="118" s="1"/>
  <c r="V147" i="58"/>
  <c r="V150" i="58"/>
  <c r="AF13" i="59"/>
  <c r="V75" i="58"/>
  <c r="V146" i="58"/>
  <c r="V157" i="58"/>
  <c r="V71" i="58"/>
  <c r="V149" i="58"/>
  <c r="Y184" i="58"/>
  <c r="Y185" i="58" s="1"/>
  <c r="U184" i="58"/>
  <c r="U185" i="58" s="1"/>
  <c r="Q184" i="58"/>
  <c r="V74" i="58"/>
  <c r="AA158" i="58"/>
  <c r="AA157" i="58"/>
  <c r="W78" i="58"/>
  <c r="W144" i="58"/>
  <c r="W77" i="58"/>
  <c r="W72" i="58"/>
  <c r="W147" i="58"/>
  <c r="W71" i="58"/>
  <c r="W150" i="58"/>
  <c r="Z173" i="58"/>
  <c r="Z175" i="58" s="1"/>
  <c r="W76" i="58"/>
  <c r="W157" i="58"/>
  <c r="W206" i="58"/>
  <c r="W214" i="58" s="1"/>
  <c r="W149" i="58"/>
  <c r="W75" i="58"/>
  <c r="W74" i="58"/>
  <c r="AA12" i="58"/>
  <c r="W145" i="58"/>
  <c r="W152" i="58"/>
  <c r="Z184" i="58"/>
  <c r="Z185" i="58" s="1"/>
  <c r="W151" i="58"/>
  <c r="W148" i="58"/>
  <c r="W79" i="58"/>
  <c r="AE28" i="58"/>
  <c r="W184" i="58"/>
  <c r="W185" i="58" s="1"/>
  <c r="AA173" i="58"/>
  <c r="AA175" i="58" s="1"/>
  <c r="AD171" i="59"/>
  <c r="W168" i="58"/>
  <c r="U158" i="58"/>
  <c r="U157" i="58"/>
  <c r="H226" i="120"/>
  <c r="AE61" i="59"/>
  <c r="H246" i="12" s="1"/>
  <c r="Q168" i="58"/>
  <c r="U161" i="58"/>
  <c r="U163" i="58" s="1"/>
  <c r="U218" i="58" s="1"/>
  <c r="U208" i="58" s="1"/>
  <c r="V177" i="58"/>
  <c r="V179" i="58" s="1"/>
  <c r="V180" i="58" s="1"/>
  <c r="W165" i="58"/>
  <c r="W167" i="58" s="1"/>
  <c r="S173" i="58"/>
  <c r="S175" i="58" s="1"/>
  <c r="U7" i="60"/>
  <c r="Z7" i="60"/>
  <c r="AB171" i="59"/>
  <c r="Y157" i="58"/>
  <c r="X157" i="58"/>
  <c r="AF16" i="58"/>
  <c r="AF14" i="58"/>
  <c r="V12" i="60"/>
  <c r="V10" i="60"/>
  <c r="V11" i="60" s="1"/>
  <c r="R30" i="60"/>
  <c r="X10" i="60"/>
  <c r="X11" i="60" s="1"/>
  <c r="X14" i="60" s="1"/>
  <c r="AE81" i="59"/>
  <c r="H257" i="12" s="1"/>
  <c r="AF9" i="59"/>
  <c r="U30" i="60"/>
  <c r="S206" i="58"/>
  <c r="S214" i="58" s="1"/>
  <c r="U17" i="60"/>
  <c r="U18" i="60" s="1"/>
  <c r="U19" i="60"/>
  <c r="H19" i="61"/>
  <c r="R7" i="60"/>
  <c r="AD150" i="59"/>
  <c r="AB30" i="60"/>
  <c r="S157" i="58"/>
  <c r="AA12" i="60"/>
  <c r="AA15" i="60" s="1"/>
  <c r="AE159" i="59"/>
  <c r="AF159" i="59" s="1"/>
  <c r="Z157" i="58"/>
  <c r="F50" i="118"/>
  <c r="M50" i="118" s="1"/>
  <c r="K5" i="55"/>
  <c r="N5" i="55" s="1"/>
  <c r="M6" i="55"/>
  <c r="K6" i="55"/>
  <c r="T26" i="60"/>
  <c r="T24" i="60"/>
  <c r="T25" i="60" s="1"/>
  <c r="AA161" i="58"/>
  <c r="AA162" i="58"/>
  <c r="Q19" i="60"/>
  <c r="Q17" i="60"/>
  <c r="Q18" i="60" s="1"/>
  <c r="AC19" i="60"/>
  <c r="AC17" i="60"/>
  <c r="AC18" i="60" s="1"/>
  <c r="AD26" i="60"/>
  <c r="AD24" i="60"/>
  <c r="AD25" i="60" s="1"/>
  <c r="V161" i="58"/>
  <c r="V162" i="58"/>
  <c r="Q30" i="60"/>
  <c r="AB147" i="59"/>
  <c r="AC30" i="60"/>
  <c r="R9" i="60"/>
  <c r="Q7" i="60"/>
  <c r="AB7" i="60"/>
  <c r="AA188" i="58"/>
  <c r="AA205" i="58" s="1"/>
  <c r="AA213" i="58" s="1"/>
  <c r="S184" i="58"/>
  <c r="S185" i="58" s="1"/>
  <c r="V173" i="58"/>
  <c r="V175" i="58" s="1"/>
  <c r="T17" i="60"/>
  <c r="T18" i="60" s="1"/>
  <c r="T19" i="60"/>
  <c r="U12" i="60"/>
  <c r="U10" i="60"/>
  <c r="U11" i="60" s="1"/>
  <c r="T12" i="60"/>
  <c r="T10" i="60"/>
  <c r="T11" i="60" s="1"/>
  <c r="T2" i="60"/>
  <c r="T8" i="60" s="1"/>
  <c r="T2" i="58"/>
  <c r="S26" i="60"/>
  <c r="S24" i="60"/>
  <c r="S25" i="60" s="1"/>
  <c r="Q26" i="60"/>
  <c r="Q24" i="60"/>
  <c r="Q25" i="60" s="1"/>
  <c r="AF38" i="58"/>
  <c r="S5" i="58"/>
  <c r="S12" i="58" s="1"/>
  <c r="AC10" i="60"/>
  <c r="AC11" i="60" s="1"/>
  <c r="AC12" i="60"/>
  <c r="AA26" i="60"/>
  <c r="AA24" i="60"/>
  <c r="AA25" i="60" s="1"/>
  <c r="Y17" i="60"/>
  <c r="Y18" i="60" s="1"/>
  <c r="Y19" i="60"/>
  <c r="Y10" i="60"/>
  <c r="Y11" i="60" s="1"/>
  <c r="Y12" i="60"/>
  <c r="T162" i="58"/>
  <c r="T161" i="58"/>
  <c r="V17" i="60"/>
  <c r="V18" i="60" s="1"/>
  <c r="V19" i="60"/>
  <c r="V24" i="60"/>
  <c r="V25" i="60" s="1"/>
  <c r="V26" i="60"/>
  <c r="AC171" i="59"/>
  <c r="AF19" i="58"/>
  <c r="T30" i="60"/>
  <c r="AA17" i="60"/>
  <c r="AA18" i="60" s="1"/>
  <c r="AD147" i="59"/>
  <c r="W30" i="60"/>
  <c r="AC147" i="59"/>
  <c r="V7" i="60"/>
  <c r="V30" i="60"/>
  <c r="AA30" i="60"/>
  <c r="Y26" i="60"/>
  <c r="Y29" i="60" s="1"/>
  <c r="T7" i="60"/>
  <c r="W7" i="60"/>
  <c r="AD7" i="60"/>
  <c r="AB9" i="60"/>
  <c r="Y12" i="58"/>
  <c r="AD30" i="60"/>
  <c r="Y7" i="60"/>
  <c r="Y30" i="60"/>
  <c r="W19" i="60"/>
  <c r="W22" i="60" s="1"/>
  <c r="AA7" i="60"/>
  <c r="R2" i="60"/>
  <c r="R8" i="60" s="1"/>
  <c r="Z2" i="60"/>
  <c r="Z8" i="60" s="1"/>
  <c r="Z2" i="58"/>
  <c r="Z2" i="59"/>
  <c r="X2" i="58"/>
  <c r="X2" i="60"/>
  <c r="X8" i="60" s="1"/>
  <c r="X2" i="59"/>
  <c r="W2" i="60"/>
  <c r="W8" i="60" s="1"/>
  <c r="W2" i="58"/>
  <c r="W2" i="59"/>
  <c r="AA2" i="58"/>
  <c r="AA2" i="59"/>
  <c r="AA2" i="60"/>
  <c r="AA8" i="60" s="1"/>
  <c r="V2" i="60"/>
  <c r="V8" i="60" s="1"/>
  <c r="V2" i="58"/>
  <c r="V2" i="59"/>
  <c r="U5" i="58"/>
  <c r="U12" i="58" s="1"/>
  <c r="U5" i="59"/>
  <c r="Q5" i="58"/>
  <c r="Q12" i="58" s="1"/>
  <c r="Y2" i="60"/>
  <c r="Y8" i="60" s="1"/>
  <c r="Y2" i="58"/>
  <c r="Y2" i="59"/>
  <c r="H266" i="12"/>
  <c r="O266" i="12" s="1"/>
  <c r="AF104" i="59"/>
  <c r="Q2" i="60"/>
  <c r="Q8" i="60" s="1"/>
  <c r="Q2" i="58"/>
  <c r="AB150" i="59"/>
  <c r="AF149" i="59"/>
  <c r="AE143" i="59"/>
  <c r="AE142" i="59"/>
  <c r="AE141" i="59"/>
  <c r="AE140" i="59"/>
  <c r="AE139" i="59"/>
  <c r="AE138" i="59"/>
  <c r="AE135" i="59"/>
  <c r="AE134" i="59"/>
  <c r="AF118" i="59"/>
  <c r="H277" i="12"/>
  <c r="H277" i="120" s="1"/>
  <c r="U2" i="58"/>
  <c r="U2" i="59"/>
  <c r="U2" i="60"/>
  <c r="U8" i="60" s="1"/>
  <c r="S2" i="60"/>
  <c r="S8" i="60" s="1"/>
  <c r="S2" i="58"/>
  <c r="Z198" i="58"/>
  <c r="Z202" i="58" s="1"/>
  <c r="Z84" i="58"/>
  <c r="Z59" i="58"/>
  <c r="Y161" i="58"/>
  <c r="Y162" i="58"/>
  <c r="W162" i="58"/>
  <c r="W163" i="58" s="1"/>
  <c r="X161" i="58"/>
  <c r="X162" i="58"/>
  <c r="AA14" i="60"/>
  <c r="Z26" i="60"/>
  <c r="Z24" i="60"/>
  <c r="Z25" i="60" s="1"/>
  <c r="AD17" i="60"/>
  <c r="AD18" i="60" s="1"/>
  <c r="AD19" i="60"/>
  <c r="X59" i="58"/>
  <c r="X198" i="58"/>
  <c r="X202" i="58" s="1"/>
  <c r="X84" i="58"/>
  <c r="S17" i="60"/>
  <c r="S18" i="60" s="1"/>
  <c r="S19" i="60"/>
  <c r="AB17" i="60"/>
  <c r="AB18" i="60" s="1"/>
  <c r="AB19" i="60"/>
  <c r="R17" i="60"/>
  <c r="R18" i="60" s="1"/>
  <c r="R19" i="60"/>
  <c r="W10" i="60"/>
  <c r="W11" i="60" s="1"/>
  <c r="W12" i="60"/>
  <c r="W198" i="58"/>
  <c r="W202" i="58" s="1"/>
  <c r="W59" i="58"/>
  <c r="W84" i="58"/>
  <c r="X24" i="60"/>
  <c r="X25" i="60" s="1"/>
  <c r="X26" i="60"/>
  <c r="V198" i="58"/>
  <c r="V202" i="58" s="1"/>
  <c r="V84" i="58"/>
  <c r="V59" i="58"/>
  <c r="Z19" i="60"/>
  <c r="Z17" i="60"/>
  <c r="Z18" i="60" s="1"/>
  <c r="AA168" i="58"/>
  <c r="U84" i="58"/>
  <c r="U59" i="58"/>
  <c r="U198" i="58"/>
  <c r="U202" i="58" s="1"/>
  <c r="W24" i="60"/>
  <c r="W25" i="60" s="1"/>
  <c r="W26" i="60"/>
  <c r="AD10" i="60"/>
  <c r="AD11" i="60" s="1"/>
  <c r="AD12" i="60"/>
  <c r="AC150" i="59"/>
  <c r="T84" i="58"/>
  <c r="T59" i="58"/>
  <c r="T198" i="58"/>
  <c r="T202" i="58" s="1"/>
  <c r="S162" i="58"/>
  <c r="S163" i="58" s="1"/>
  <c r="S218" i="58" s="1"/>
  <c r="X16" i="60"/>
  <c r="X7" i="60"/>
  <c r="X30" i="60"/>
  <c r="S84" i="58"/>
  <c r="S59" i="58"/>
  <c r="S198" i="58"/>
  <c r="S202" i="58" s="1"/>
  <c r="AF29" i="58"/>
  <c r="V168" i="58"/>
  <c r="AE36" i="60"/>
  <c r="AE35" i="60"/>
  <c r="S9" i="60"/>
  <c r="S30" i="60"/>
  <c r="S7" i="60"/>
  <c r="U168" i="58"/>
  <c r="Q162" i="58"/>
  <c r="Q161" i="58"/>
  <c r="AA194" i="58"/>
  <c r="AA196" i="58" s="1"/>
  <c r="AA197" i="58" s="1"/>
  <c r="AA84" i="58"/>
  <c r="AA198" i="58"/>
  <c r="AA202" i="58" s="1"/>
  <c r="AA59" i="58"/>
  <c r="AB24" i="60"/>
  <c r="AB25" i="60" s="1"/>
  <c r="AB26" i="60"/>
  <c r="Z10" i="60"/>
  <c r="Z11" i="60" s="1"/>
  <c r="Z12" i="60"/>
  <c r="Q10" i="60"/>
  <c r="Q11" i="60" s="1"/>
  <c r="Q12" i="60"/>
  <c r="Z12" i="58"/>
  <c r="Z160" i="58"/>
  <c r="AC23" i="60"/>
  <c r="R24" i="60"/>
  <c r="R25" i="60" s="1"/>
  <c r="U23" i="60"/>
  <c r="E681" i="120"/>
  <c r="E608" i="120"/>
  <c r="E556" i="120"/>
  <c r="A9" i="39"/>
  <c r="B23" i="77"/>
  <c r="C25" i="122"/>
  <c r="E86" i="78"/>
  <c r="D58" i="78"/>
  <c r="E18" i="78"/>
  <c r="G24" i="78"/>
  <c r="G30" i="78"/>
  <c r="E62" i="78"/>
  <c r="D64" i="78"/>
  <c r="E25" i="78"/>
  <c r="D62" i="78"/>
  <c r="G72" i="78"/>
  <c r="E72" i="78"/>
  <c r="E78" i="78"/>
  <c r="E73" i="78"/>
  <c r="E58" i="78"/>
  <c r="E56" i="78"/>
  <c r="E54" i="78"/>
  <c r="G48" i="78"/>
  <c r="D72" i="78"/>
  <c r="G64" i="78"/>
  <c r="E32" i="78"/>
  <c r="E24" i="78"/>
  <c r="G54" i="78"/>
  <c r="D34" i="78"/>
  <c r="G32" i="78"/>
  <c r="G86" i="78"/>
  <c r="D25" i="78"/>
  <c r="G49" i="78"/>
  <c r="D78" i="78"/>
  <c r="D49" i="78"/>
  <c r="D70" i="78"/>
  <c r="D73" i="78"/>
  <c r="D24" i="78"/>
  <c r="E38" i="78"/>
  <c r="D32" i="78"/>
  <c r="G34" i="78"/>
  <c r="E30" i="78"/>
  <c r="E34" i="78"/>
  <c r="G80" i="78"/>
  <c r="D80" i="78"/>
  <c r="E80" i="78"/>
  <c r="E61" i="78"/>
  <c r="D61" i="78"/>
  <c r="G61" i="78"/>
  <c r="E39" i="78"/>
  <c r="E79" i="78"/>
  <c r="D56" i="78"/>
  <c r="G88" i="78"/>
  <c r="G89" i="78"/>
  <c r="D79" i="78"/>
  <c r="G74" i="78"/>
  <c r="B16" i="77"/>
  <c r="C16" i="122"/>
  <c r="I44" i="120"/>
  <c r="J44" i="120" s="1"/>
  <c r="I55" i="120"/>
  <c r="I210" i="120"/>
  <c r="I216" i="120"/>
  <c r="I222" i="120"/>
  <c r="I271" i="120"/>
  <c r="I277" i="120"/>
  <c r="I292" i="120"/>
  <c r="I326" i="120"/>
  <c r="J326" i="120" s="1"/>
  <c r="B762" i="120"/>
  <c r="B347" i="120"/>
  <c r="I45" i="120"/>
  <c r="I56" i="120"/>
  <c r="I79" i="120"/>
  <c r="I85" i="120"/>
  <c r="I138" i="120"/>
  <c r="I151" i="120"/>
  <c r="I171" i="120"/>
  <c r="I247" i="120"/>
  <c r="I253" i="120"/>
  <c r="I259" i="120"/>
  <c r="I295" i="120"/>
  <c r="B816" i="120"/>
  <c r="B825" i="120"/>
  <c r="B334" i="120"/>
  <c r="B348" i="120"/>
  <c r="I46" i="120"/>
  <c r="J46" i="120" s="1"/>
  <c r="I98" i="120"/>
  <c r="I187" i="120"/>
  <c r="I205" i="120"/>
  <c r="I211" i="120"/>
  <c r="I223" i="120"/>
  <c r="I272" i="120"/>
  <c r="J272" i="120" s="1"/>
  <c r="I301" i="120"/>
  <c r="B535" i="120"/>
  <c r="B540" i="120"/>
  <c r="B826" i="120"/>
  <c r="B349" i="120"/>
  <c r="B390" i="120"/>
  <c r="I35" i="120"/>
  <c r="J35" i="120" s="1"/>
  <c r="I13" i="120"/>
  <c r="C10" i="134" s="1"/>
  <c r="I47" i="120"/>
  <c r="J47" i="120" s="1"/>
  <c r="I73" i="120"/>
  <c r="I80" i="120"/>
  <c r="I86" i="120"/>
  <c r="I111" i="120"/>
  <c r="I139" i="120"/>
  <c r="I146" i="120"/>
  <c r="I248" i="120"/>
  <c r="I260" i="120"/>
  <c r="I296" i="120"/>
  <c r="I306" i="120"/>
  <c r="B589" i="120"/>
  <c r="B515" i="120"/>
  <c r="B541" i="120"/>
  <c r="I48" i="120"/>
  <c r="J48" i="120" s="1"/>
  <c r="I188" i="120"/>
  <c r="I206" i="120"/>
  <c r="I273" i="120"/>
  <c r="I312" i="120"/>
  <c r="B646" i="120"/>
  <c r="B590" i="120"/>
  <c r="B12" i="77"/>
  <c r="B632" i="120"/>
  <c r="I49" i="120"/>
  <c r="I74" i="120"/>
  <c r="I81" i="120"/>
  <c r="I106" i="120"/>
  <c r="I124" i="120"/>
  <c r="I140" i="120"/>
  <c r="I159" i="120"/>
  <c r="I255" i="120"/>
  <c r="I261" i="120"/>
  <c r="B720" i="120"/>
  <c r="B660" i="120"/>
  <c r="I50" i="120"/>
  <c r="I189" i="120"/>
  <c r="I207" i="120"/>
  <c r="I213" i="120"/>
  <c r="I219" i="120"/>
  <c r="I323" i="120"/>
  <c r="I19" i="120"/>
  <c r="I372" i="120"/>
  <c r="J372" i="120" s="1"/>
  <c r="B721" i="120"/>
  <c r="B460" i="120"/>
  <c r="I39" i="120"/>
  <c r="I82" i="120"/>
  <c r="I88" i="120"/>
  <c r="I101" i="120"/>
  <c r="I119" i="120"/>
  <c r="I135" i="120"/>
  <c r="I141" i="120"/>
  <c r="I148" i="120"/>
  <c r="B722" i="120"/>
  <c r="B397" i="120"/>
  <c r="I40" i="120"/>
  <c r="I184" i="120"/>
  <c r="I190" i="120"/>
  <c r="I196" i="120"/>
  <c r="I16" i="120"/>
  <c r="I202" i="120"/>
  <c r="I214" i="120"/>
  <c r="I220" i="120"/>
  <c r="I269" i="120"/>
  <c r="I298" i="120"/>
  <c r="I330" i="120"/>
  <c r="B731" i="120"/>
  <c r="H848" i="12"/>
  <c r="B73" i="39"/>
  <c r="B399" i="120"/>
  <c r="I41" i="120"/>
  <c r="I52" i="120"/>
  <c r="I77" i="120"/>
  <c r="I108" i="120"/>
  <c r="I136" i="120"/>
  <c r="I143" i="120"/>
  <c r="I149" i="120"/>
  <c r="I161" i="120"/>
  <c r="I245" i="120"/>
  <c r="I17" i="120"/>
  <c r="B813" i="120"/>
  <c r="B765" i="120"/>
  <c r="B673" i="120"/>
  <c r="B403" i="120"/>
  <c r="I42" i="120"/>
  <c r="J42" i="120" s="1"/>
  <c r="I53" i="120"/>
  <c r="I185" i="120"/>
  <c r="I203" i="120"/>
  <c r="I270" i="120"/>
  <c r="I18" i="120"/>
  <c r="I299" i="120"/>
  <c r="B168" i="120"/>
  <c r="C28" i="122"/>
  <c r="C32" i="122"/>
  <c r="I43" i="120"/>
  <c r="I54" i="120"/>
  <c r="I65" i="120"/>
  <c r="I71" i="120"/>
  <c r="I78" i="120"/>
  <c r="I84" i="120"/>
  <c r="I90" i="120"/>
  <c r="I109" i="120"/>
  <c r="I121" i="120"/>
  <c r="I234" i="120"/>
  <c r="I246" i="120"/>
  <c r="I252" i="120"/>
  <c r="I264" i="120"/>
  <c r="B77" i="39"/>
  <c r="C24" i="122"/>
  <c r="B49" i="39"/>
  <c r="B14" i="122"/>
  <c r="C21" i="122"/>
  <c r="B30" i="77"/>
  <c r="B25" i="77"/>
  <c r="C17" i="122"/>
  <c r="J764" i="120"/>
  <c r="H775" i="120"/>
  <c r="E844" i="120"/>
  <c r="C33" i="122"/>
  <c r="B81" i="39"/>
  <c r="E604" i="120"/>
  <c r="C13" i="77"/>
  <c r="C78" i="39"/>
  <c r="E616" i="120"/>
  <c r="E709" i="120"/>
  <c r="B14" i="77"/>
  <c r="E794" i="120"/>
  <c r="B13" i="39"/>
  <c r="B29" i="77"/>
  <c r="C15" i="122"/>
  <c r="H19" i="12"/>
  <c r="H415" i="120"/>
  <c r="O415" i="12"/>
  <c r="B33" i="39"/>
  <c r="B20" i="77"/>
  <c r="C20" i="122"/>
  <c r="J920" i="12"/>
  <c r="B65" i="39"/>
  <c r="B32" i="77"/>
  <c r="E409" i="120"/>
  <c r="H416" i="120"/>
  <c r="O416" i="12"/>
  <c r="N20" i="12" s="1"/>
  <c r="H807" i="120"/>
  <c r="C27" i="122"/>
  <c r="O817" i="12"/>
  <c r="O414" i="12"/>
  <c r="H414" i="120"/>
  <c r="O820" i="12"/>
  <c r="B41" i="39"/>
  <c r="C22" i="122"/>
  <c r="B392" i="120"/>
  <c r="B462" i="120"/>
  <c r="B814" i="120"/>
  <c r="B18" i="77"/>
  <c r="C18" i="122"/>
  <c r="B25" i="39"/>
  <c r="B811" i="120"/>
  <c r="C19" i="122"/>
  <c r="B818" i="120"/>
  <c r="B45" i="39"/>
  <c r="B19" i="77"/>
  <c r="B463" i="120"/>
  <c r="C31" i="122"/>
  <c r="I204" i="120"/>
  <c r="B819" i="120"/>
  <c r="C26" i="122"/>
  <c r="B534" i="120"/>
  <c r="B396" i="120"/>
  <c r="B31" i="77"/>
  <c r="C30" i="122"/>
  <c r="B24" i="77"/>
  <c r="B536" i="120"/>
  <c r="M888" i="120"/>
  <c r="B4" i="121"/>
  <c r="F12" i="153"/>
  <c r="M73" i="118"/>
  <c r="D69" i="43" a="1"/>
  <c r="D63" i="43" a="1"/>
  <c r="E411" i="120" l="1"/>
  <c r="AF37" i="58"/>
  <c r="H102" i="78"/>
  <c r="O658" i="12"/>
  <c r="O55" i="37"/>
  <c r="J6" i="75"/>
  <c r="Q214" i="58"/>
  <c r="Q175" i="58"/>
  <c r="Q205" i="58"/>
  <c r="Q196" i="58"/>
  <c r="Q185" i="58"/>
  <c r="Q41" i="58"/>
  <c r="H724" i="120"/>
  <c r="J724" i="120" s="1"/>
  <c r="O722" i="12"/>
  <c r="J734" i="120"/>
  <c r="F819" i="120"/>
  <c r="D819" i="120"/>
  <c r="C819" i="120"/>
  <c r="N819" i="120"/>
  <c r="O819" i="120" s="1"/>
  <c r="G819" i="120"/>
  <c r="G814" i="120"/>
  <c r="F814" i="120"/>
  <c r="D814" i="120"/>
  <c r="C814" i="120"/>
  <c r="G589" i="120"/>
  <c r="I589" i="120" s="1"/>
  <c r="F589" i="120"/>
  <c r="D589" i="120"/>
  <c r="C589" i="120"/>
  <c r="G674" i="120"/>
  <c r="F674" i="120"/>
  <c r="D674" i="120"/>
  <c r="C674" i="120"/>
  <c r="C660" i="120"/>
  <c r="F660" i="120"/>
  <c r="D660" i="120"/>
  <c r="N660" i="120"/>
  <c r="G660" i="120"/>
  <c r="I660" i="120" s="1"/>
  <c r="G390" i="120"/>
  <c r="I390" i="120" s="1"/>
  <c r="J390" i="120" s="1"/>
  <c r="F390" i="120"/>
  <c r="D390" i="120"/>
  <c r="C390" i="120"/>
  <c r="G630" i="120"/>
  <c r="I630" i="120" s="1"/>
  <c r="F630" i="120"/>
  <c r="D630" i="120"/>
  <c r="C630" i="120"/>
  <c r="G659" i="120"/>
  <c r="I659" i="120" s="1"/>
  <c r="F659" i="120"/>
  <c r="D659" i="120"/>
  <c r="C659" i="120"/>
  <c r="N659" i="120"/>
  <c r="G462" i="120"/>
  <c r="I462" i="120" s="1"/>
  <c r="F462" i="120"/>
  <c r="D462" i="120"/>
  <c r="C462" i="120"/>
  <c r="D392" i="120"/>
  <c r="C392" i="120"/>
  <c r="G392" i="120"/>
  <c r="F392" i="120"/>
  <c r="G673" i="120"/>
  <c r="I673" i="120" s="1"/>
  <c r="F673" i="120"/>
  <c r="D673" i="120"/>
  <c r="C673" i="120"/>
  <c r="D463" i="120"/>
  <c r="C463" i="120"/>
  <c r="G463" i="120"/>
  <c r="I463" i="120" s="1"/>
  <c r="F463" i="120"/>
  <c r="F765" i="120"/>
  <c r="D765" i="120"/>
  <c r="C765" i="120"/>
  <c r="G765" i="120"/>
  <c r="G399" i="120"/>
  <c r="I399" i="120" s="1"/>
  <c r="J399" i="120" s="1"/>
  <c r="F399" i="120"/>
  <c r="D399" i="120"/>
  <c r="C399" i="120"/>
  <c r="D720" i="120"/>
  <c r="C720" i="120"/>
  <c r="N720" i="120"/>
  <c r="G720" i="120"/>
  <c r="I720" i="120" s="1"/>
  <c r="F720" i="120"/>
  <c r="I26" i="120" s="1"/>
  <c r="G590" i="120"/>
  <c r="I590" i="120" s="1"/>
  <c r="J590" i="120" s="1"/>
  <c r="F590" i="120"/>
  <c r="D590" i="120"/>
  <c r="C590" i="120"/>
  <c r="D349" i="120"/>
  <c r="C349" i="120"/>
  <c r="G349" i="120"/>
  <c r="I349" i="120" s="1"/>
  <c r="J349" i="120" s="1"/>
  <c r="F349" i="120"/>
  <c r="G348" i="120"/>
  <c r="I348" i="120" s="1"/>
  <c r="J348" i="120" s="1"/>
  <c r="F348" i="120"/>
  <c r="D348" i="120"/>
  <c r="C348" i="120"/>
  <c r="D466" i="120"/>
  <c r="C466" i="120"/>
  <c r="G466" i="120"/>
  <c r="I466" i="120" s="1"/>
  <c r="F466" i="120"/>
  <c r="G826" i="120"/>
  <c r="I826" i="120" s="1"/>
  <c r="F826" i="120"/>
  <c r="D826" i="120"/>
  <c r="C826" i="120"/>
  <c r="D403" i="120"/>
  <c r="C403" i="120"/>
  <c r="G403" i="120"/>
  <c r="I403" i="120" s="1"/>
  <c r="F403" i="120"/>
  <c r="F536" i="120"/>
  <c r="D536" i="120"/>
  <c r="C536" i="120"/>
  <c r="G536" i="120"/>
  <c r="I536" i="120" s="1"/>
  <c r="J536" i="120" s="1"/>
  <c r="C168" i="120"/>
  <c r="G168" i="120"/>
  <c r="I168" i="120" s="1"/>
  <c r="F168" i="120"/>
  <c r="D168" i="120"/>
  <c r="N721" i="120"/>
  <c r="G721" i="120"/>
  <c r="I721" i="120" s="1"/>
  <c r="F721" i="120"/>
  <c r="D721" i="120"/>
  <c r="C721" i="120"/>
  <c r="G540" i="120"/>
  <c r="F540" i="120"/>
  <c r="D540" i="120"/>
  <c r="C540" i="120"/>
  <c r="F825" i="120"/>
  <c r="D825" i="120"/>
  <c r="C825" i="120"/>
  <c r="G825" i="120"/>
  <c r="I825" i="120" s="1"/>
  <c r="G655" i="120"/>
  <c r="I655" i="120" s="1"/>
  <c r="F655" i="120"/>
  <c r="I25" i="120" s="1"/>
  <c r="D655" i="120"/>
  <c r="C655" i="120"/>
  <c r="J732" i="120"/>
  <c r="J748" i="120"/>
  <c r="C632" i="120"/>
  <c r="G632" i="120"/>
  <c r="I632" i="120" s="1"/>
  <c r="F632" i="120"/>
  <c r="D632" i="120"/>
  <c r="F813" i="120"/>
  <c r="D813" i="120"/>
  <c r="C813" i="120"/>
  <c r="G813" i="120"/>
  <c r="I813" i="120" s="1"/>
  <c r="D460" i="120"/>
  <c r="C460" i="120"/>
  <c r="G460" i="120"/>
  <c r="F460" i="120"/>
  <c r="G646" i="120"/>
  <c r="I646" i="120" s="1"/>
  <c r="F646" i="120"/>
  <c r="D646" i="120"/>
  <c r="N646" i="120"/>
  <c r="C646" i="120"/>
  <c r="G334" i="120"/>
  <c r="I334" i="120" s="1"/>
  <c r="J334" i="120" s="1"/>
  <c r="F334" i="120"/>
  <c r="D334" i="120"/>
  <c r="C334" i="120"/>
  <c r="N818" i="120"/>
  <c r="O818" i="120" s="1"/>
  <c r="G818" i="120"/>
  <c r="I818" i="120" s="1"/>
  <c r="J818" i="120" s="1"/>
  <c r="F818" i="120"/>
  <c r="D818" i="120"/>
  <c r="C818" i="120"/>
  <c r="G731" i="120"/>
  <c r="I731" i="120" s="1"/>
  <c r="F731" i="120"/>
  <c r="D731" i="120"/>
  <c r="C731" i="120"/>
  <c r="G397" i="120"/>
  <c r="I397" i="120" s="1"/>
  <c r="J397" i="120" s="1"/>
  <c r="F397" i="120"/>
  <c r="D397" i="120"/>
  <c r="C397" i="120"/>
  <c r="G535" i="120"/>
  <c r="F535" i="120"/>
  <c r="D535" i="120"/>
  <c r="C535" i="120"/>
  <c r="F816" i="120"/>
  <c r="D816" i="120"/>
  <c r="N816" i="120"/>
  <c r="O816" i="120" s="1"/>
  <c r="C816" i="120"/>
  <c r="G816" i="120"/>
  <c r="I816" i="120" s="1"/>
  <c r="J816" i="120" s="1"/>
  <c r="G347" i="120"/>
  <c r="I347" i="120" s="1"/>
  <c r="J347" i="120" s="1"/>
  <c r="F347" i="120"/>
  <c r="C347" i="120"/>
  <c r="D347" i="120"/>
  <c r="G169" i="120"/>
  <c r="I169" i="120" s="1"/>
  <c r="F169" i="120"/>
  <c r="D169" i="120"/>
  <c r="C169" i="120"/>
  <c r="J742" i="120"/>
  <c r="G633" i="120"/>
  <c r="I633" i="120" s="1"/>
  <c r="F633" i="120"/>
  <c r="D633" i="120"/>
  <c r="C633" i="120"/>
  <c r="N722" i="120"/>
  <c r="O722" i="120" s="1"/>
  <c r="G722" i="120"/>
  <c r="I722" i="120" s="1"/>
  <c r="J722" i="120" s="1"/>
  <c r="F722" i="120"/>
  <c r="D722" i="120"/>
  <c r="C722" i="120"/>
  <c r="D762" i="120"/>
  <c r="C762" i="120"/>
  <c r="G762" i="120"/>
  <c r="I762" i="120" s="1"/>
  <c r="F762" i="120"/>
  <c r="C321" i="12"/>
  <c r="D321" i="12"/>
  <c r="G763" i="120"/>
  <c r="I763" i="120" s="1"/>
  <c r="F763" i="120"/>
  <c r="D763" i="120"/>
  <c r="C763" i="120"/>
  <c r="D57" i="12"/>
  <c r="C57" i="12"/>
  <c r="G803" i="120"/>
  <c r="I803" i="120" s="1"/>
  <c r="F803" i="120"/>
  <c r="D803" i="120"/>
  <c r="C803" i="120"/>
  <c r="N803" i="120"/>
  <c r="G811" i="120"/>
  <c r="I811" i="120" s="1"/>
  <c r="F811" i="120"/>
  <c r="D811" i="120"/>
  <c r="C811" i="120"/>
  <c r="G396" i="120"/>
  <c r="I396" i="120" s="1"/>
  <c r="J396" i="120" s="1"/>
  <c r="F396" i="120"/>
  <c r="D396" i="120"/>
  <c r="C396" i="120"/>
  <c r="G532" i="120"/>
  <c r="I532" i="120" s="1"/>
  <c r="F532" i="120"/>
  <c r="I22" i="120" s="1"/>
  <c r="D532" i="120"/>
  <c r="C532" i="120"/>
  <c r="G534" i="120"/>
  <c r="I534" i="120" s="1"/>
  <c r="F534" i="120"/>
  <c r="D534" i="120"/>
  <c r="C534" i="120"/>
  <c r="G541" i="120"/>
  <c r="I541" i="120" s="1"/>
  <c r="F541" i="120"/>
  <c r="D541" i="120"/>
  <c r="C541" i="120"/>
  <c r="B552" i="120"/>
  <c r="C552" i="12"/>
  <c r="D552" i="12"/>
  <c r="G515" i="120"/>
  <c r="I515" i="120" s="1"/>
  <c r="F515" i="120"/>
  <c r="D515" i="120"/>
  <c r="C515" i="120"/>
  <c r="G736" i="120"/>
  <c r="I736" i="120" s="1"/>
  <c r="F736" i="120"/>
  <c r="D736" i="120"/>
  <c r="C736" i="120"/>
  <c r="N54" i="118"/>
  <c r="H73" i="12"/>
  <c r="H726" i="12"/>
  <c r="H735" i="12"/>
  <c r="H735" i="120" s="1"/>
  <c r="J735" i="120" s="1"/>
  <c r="H747" i="12"/>
  <c r="H747" i="120" s="1"/>
  <c r="J747" i="120" s="1"/>
  <c r="H745" i="12"/>
  <c r="H745" i="120" s="1"/>
  <c r="J745" i="120" s="1"/>
  <c r="H744" i="12"/>
  <c r="H744" i="120" s="1"/>
  <c r="J744" i="120" s="1"/>
  <c r="H723" i="12"/>
  <c r="H723" i="120" s="1"/>
  <c r="J723" i="120" s="1"/>
  <c r="H743" i="12"/>
  <c r="H743" i="120" s="1"/>
  <c r="J743" i="120" s="1"/>
  <c r="H746" i="12"/>
  <c r="H746" i="120" s="1"/>
  <c r="J746" i="120" s="1"/>
  <c r="H741" i="12"/>
  <c r="H741" i="120" s="1"/>
  <c r="J741" i="120" s="1"/>
  <c r="H729" i="12"/>
  <c r="H729" i="120" s="1"/>
  <c r="J729" i="120" s="1"/>
  <c r="H653" i="12"/>
  <c r="H653" i="120" s="1"/>
  <c r="O653" i="120" s="1"/>
  <c r="O31" i="37"/>
  <c r="O84" i="37"/>
  <c r="O75" i="37"/>
  <c r="H666" i="12"/>
  <c r="H666" i="120" s="1"/>
  <c r="J666" i="120" s="1"/>
  <c r="H652" i="12"/>
  <c r="O652" i="12" s="1"/>
  <c r="H664" i="12"/>
  <c r="H664" i="120" s="1"/>
  <c r="J664" i="120" s="1"/>
  <c r="H660" i="12"/>
  <c r="H660" i="120" s="1"/>
  <c r="H657" i="12"/>
  <c r="H657" i="120" s="1"/>
  <c r="O657" i="120" s="1"/>
  <c r="O64" i="37"/>
  <c r="H36" i="12"/>
  <c r="A36" i="12" s="1"/>
  <c r="H456" i="12"/>
  <c r="H456" i="120" s="1"/>
  <c r="J456" i="120" s="1"/>
  <c r="H457" i="12"/>
  <c r="H457" i="120" s="1"/>
  <c r="J457" i="120" s="1"/>
  <c r="H102" i="12"/>
  <c r="H102" i="120" s="1"/>
  <c r="J102" i="120" s="1"/>
  <c r="H103" i="12"/>
  <c r="H103" i="120" s="1"/>
  <c r="J103" i="120" s="1"/>
  <c r="N71" i="118"/>
  <c r="H69" i="12"/>
  <c r="O69" i="12" s="1"/>
  <c r="H82" i="12"/>
  <c r="H82" i="120" s="1"/>
  <c r="J82" i="120" s="1"/>
  <c r="H85" i="12"/>
  <c r="H85" i="120" s="1"/>
  <c r="J85" i="120" s="1"/>
  <c r="H74" i="12"/>
  <c r="H74" i="120" s="1"/>
  <c r="J74" i="120" s="1"/>
  <c r="H80" i="12"/>
  <c r="H80" i="120" s="1"/>
  <c r="J80" i="120" s="1"/>
  <c r="H87" i="12"/>
  <c r="H84" i="12"/>
  <c r="H84" i="120" s="1"/>
  <c r="J84" i="120" s="1"/>
  <c r="H79" i="12"/>
  <c r="H79" i="120" s="1"/>
  <c r="J79" i="120" s="1"/>
  <c r="H96" i="12"/>
  <c r="M96" i="12" s="1"/>
  <c r="H89" i="12"/>
  <c r="H89" i="120" s="1"/>
  <c r="J89" i="120" s="1"/>
  <c r="H81" i="12"/>
  <c r="H81" i="120" s="1"/>
  <c r="J81" i="120" s="1"/>
  <c r="H72" i="12"/>
  <c r="O72" i="12" s="1"/>
  <c r="H70" i="12"/>
  <c r="O70" i="12" s="1"/>
  <c r="H78" i="12"/>
  <c r="H78" i="120" s="1"/>
  <c r="J78" i="120" s="1"/>
  <c r="H64" i="12"/>
  <c r="O64" i="12" s="1"/>
  <c r="H77" i="12"/>
  <c r="H77" i="120" s="1"/>
  <c r="J77" i="120" s="1"/>
  <c r="H68" i="12"/>
  <c r="O68" i="12" s="1"/>
  <c r="H67" i="12"/>
  <c r="O67" i="12" s="1"/>
  <c r="I535" i="120"/>
  <c r="J535" i="120" s="1"/>
  <c r="I765" i="120"/>
  <c r="J765" i="120" s="1"/>
  <c r="I674" i="120"/>
  <c r="J674" i="120" s="1"/>
  <c r="I21" i="120"/>
  <c r="I392" i="120"/>
  <c r="J392" i="120" s="1"/>
  <c r="I540" i="120"/>
  <c r="H802" i="120"/>
  <c r="J802" i="120" s="1"/>
  <c r="J591" i="120"/>
  <c r="J586" i="120"/>
  <c r="H832" i="12"/>
  <c r="J426" i="120"/>
  <c r="I460" i="120"/>
  <c r="I814" i="120"/>
  <c r="J814" i="120" s="1"/>
  <c r="J537" i="120"/>
  <c r="G2" i="59"/>
  <c r="E21" i="43"/>
  <c r="G165" i="58" s="1"/>
  <c r="J588" i="120"/>
  <c r="E548" i="120"/>
  <c r="B548" i="12"/>
  <c r="G1" i="58"/>
  <c r="G1" i="59"/>
  <c r="G2" i="60"/>
  <c r="G2" i="58"/>
  <c r="G1" i="60"/>
  <c r="H17" i="12"/>
  <c r="D69" i="43"/>
  <c r="F74" i="59" s="1"/>
  <c r="J584" i="120"/>
  <c r="H860" i="12"/>
  <c r="H860" i="120" s="1"/>
  <c r="J860" i="120" s="1"/>
  <c r="N30" i="118"/>
  <c r="J528" i="120"/>
  <c r="O417" i="12"/>
  <c r="R147" i="58"/>
  <c r="R128" i="58"/>
  <c r="P127" i="58"/>
  <c r="P148" i="58" s="1"/>
  <c r="K17" i="155"/>
  <c r="N5" i="40"/>
  <c r="F17" i="155"/>
  <c r="J527" i="120"/>
  <c r="K124" i="47"/>
  <c r="J510" i="120"/>
  <c r="J38" i="120"/>
  <c r="J884" i="120"/>
  <c r="J420" i="120"/>
  <c r="J598" i="120"/>
  <c r="M405" i="12"/>
  <c r="B405" i="12" s="1"/>
  <c r="J797" i="120"/>
  <c r="J519" i="120"/>
  <c r="J517" i="120"/>
  <c r="J596" i="120"/>
  <c r="J432" i="120"/>
  <c r="I819" i="120"/>
  <c r="J819" i="120" s="1"/>
  <c r="J316" i="120"/>
  <c r="J315" i="120" s="1"/>
  <c r="F2" i="59"/>
  <c r="I6" i="75"/>
  <c r="G15" i="37" s="1"/>
  <c r="N66" i="37"/>
  <c r="F20" i="61"/>
  <c r="J526" i="120"/>
  <c r="J521" i="120"/>
  <c r="Q53" i="75"/>
  <c r="W159" i="58"/>
  <c r="W219" i="58" s="1"/>
  <c r="W209" i="58" s="1"/>
  <c r="G108" i="63"/>
  <c r="G128" i="63" s="1"/>
  <c r="K51" i="63"/>
  <c r="L51" i="63" s="1"/>
  <c r="N91" i="37"/>
  <c r="I53" i="87"/>
  <c r="J53" i="87" s="1"/>
  <c r="K33" i="49"/>
  <c r="F118" i="62"/>
  <c r="F117" i="62"/>
  <c r="F116" i="62"/>
  <c r="F57" i="47"/>
  <c r="J44" i="87"/>
  <c r="J56" i="62"/>
  <c r="R33" i="49"/>
  <c r="R54" i="49"/>
  <c r="P62" i="49"/>
  <c r="P64" i="49" s="1"/>
  <c r="F33" i="49"/>
  <c r="E62" i="49"/>
  <c r="E64" i="49" s="1"/>
  <c r="J119" i="47"/>
  <c r="K119" i="47" s="1"/>
  <c r="K48" i="47"/>
  <c r="H20" i="120"/>
  <c r="C38" i="134" s="1"/>
  <c r="K58" i="47"/>
  <c r="J59" i="47"/>
  <c r="K59" i="47" s="1"/>
  <c r="T33" i="49"/>
  <c r="T36" i="49" s="1"/>
  <c r="H60" i="49"/>
  <c r="G72" i="62"/>
  <c r="G82" i="62" s="1"/>
  <c r="J81" i="62"/>
  <c r="N36" i="49"/>
  <c r="N50" i="49"/>
  <c r="N35" i="49" s="1"/>
  <c r="N60" i="49" s="1"/>
  <c r="N62" i="49" s="1"/>
  <c r="N64" i="49" s="1"/>
  <c r="S33" i="49"/>
  <c r="G29" i="87"/>
  <c r="G30" i="87" s="1"/>
  <c r="G58" i="87" s="1"/>
  <c r="G24" i="87"/>
  <c r="J37" i="87"/>
  <c r="J106" i="62"/>
  <c r="J29" i="62"/>
  <c r="H554" i="12"/>
  <c r="G112" i="62"/>
  <c r="I108" i="62"/>
  <c r="F39" i="61" s="1"/>
  <c r="F82" i="61" s="1"/>
  <c r="F99" i="61" s="1"/>
  <c r="O62" i="49"/>
  <c r="O64" i="49" s="1"/>
  <c r="J33" i="49"/>
  <c r="K36" i="49"/>
  <c r="K50" i="49"/>
  <c r="K35" i="49" s="1"/>
  <c r="K60" i="49" s="1"/>
  <c r="K62" i="49" s="1"/>
  <c r="K64" i="49" s="1"/>
  <c r="H62" i="49"/>
  <c r="H64" i="49" s="1"/>
  <c r="I12" i="87"/>
  <c r="G18" i="87"/>
  <c r="G47" i="87"/>
  <c r="G19" i="87"/>
  <c r="I49" i="87"/>
  <c r="J49" i="87" s="1"/>
  <c r="K87" i="47"/>
  <c r="I46" i="87"/>
  <c r="G97" i="63"/>
  <c r="I11" i="87"/>
  <c r="M33" i="49"/>
  <c r="J20" i="87"/>
  <c r="I23" i="87"/>
  <c r="J23" i="87"/>
  <c r="F24" i="87"/>
  <c r="F29" i="87"/>
  <c r="Q50" i="49"/>
  <c r="Q35" i="49" s="1"/>
  <c r="Q60" i="49" s="1"/>
  <c r="Q62" i="49" s="1"/>
  <c r="Q64" i="49" s="1"/>
  <c r="Q36" i="49"/>
  <c r="G60" i="49"/>
  <c r="G62" i="49" s="1"/>
  <c r="G64" i="49" s="1"/>
  <c r="I110" i="62"/>
  <c r="F42" i="61" s="1"/>
  <c r="F78" i="61" s="1"/>
  <c r="F16" i="87"/>
  <c r="J13" i="87"/>
  <c r="F34" i="87"/>
  <c r="J31" i="87"/>
  <c r="L78" i="63"/>
  <c r="J39" i="62"/>
  <c r="U33" i="49"/>
  <c r="N46" i="118"/>
  <c r="L33" i="49"/>
  <c r="I36" i="49"/>
  <c r="I50" i="49"/>
  <c r="I35" i="49" s="1"/>
  <c r="I60" i="49" s="1"/>
  <c r="G118" i="62"/>
  <c r="I118" i="62" s="1"/>
  <c r="F51" i="61" s="1"/>
  <c r="F76" i="61" s="1"/>
  <c r="F97" i="61" s="1"/>
  <c r="I114" i="62"/>
  <c r="F46" i="61" s="1"/>
  <c r="F83" i="61" s="1"/>
  <c r="F100" i="61" s="1"/>
  <c r="G117" i="62"/>
  <c r="I117" i="62" s="1"/>
  <c r="F50" i="61" s="1"/>
  <c r="F68" i="61" s="1"/>
  <c r="F89" i="61" s="1"/>
  <c r="G116" i="62"/>
  <c r="N25" i="118"/>
  <c r="J45" i="120"/>
  <c r="O665" i="120"/>
  <c r="J885" i="120"/>
  <c r="E842" i="120"/>
  <c r="E852" i="120"/>
  <c r="M411" i="12"/>
  <c r="M411" i="120" s="1"/>
  <c r="J352" i="120"/>
  <c r="H421" i="120"/>
  <c r="O421" i="120" s="1"/>
  <c r="M59" i="120"/>
  <c r="B59" i="12"/>
  <c r="B57" i="120"/>
  <c r="B790" i="12"/>
  <c r="O324" i="120"/>
  <c r="O422" i="12"/>
  <c r="H422" i="120"/>
  <c r="J422" i="120" s="1"/>
  <c r="H435" i="12"/>
  <c r="O816" i="12"/>
  <c r="D63" i="43"/>
  <c r="F67" i="59" s="1"/>
  <c r="J872" i="120"/>
  <c r="O146" i="54"/>
  <c r="O145" i="54"/>
  <c r="H661" i="12"/>
  <c r="H661" i="120" s="1"/>
  <c r="O661" i="120" s="1"/>
  <c r="O76" i="37"/>
  <c r="H655" i="12"/>
  <c r="P48" i="75"/>
  <c r="O265" i="12"/>
  <c r="H265" i="120"/>
  <c r="J265" i="120" s="1"/>
  <c r="J777" i="120"/>
  <c r="H663" i="12"/>
  <c r="N79" i="56"/>
  <c r="J770" i="120"/>
  <c r="J522" i="120"/>
  <c r="C12" i="77"/>
  <c r="AA87" i="134"/>
  <c r="J531" i="120"/>
  <c r="J865" i="120"/>
  <c r="O658" i="120"/>
  <c r="C82" i="134"/>
  <c r="J798" i="120"/>
  <c r="O262" i="120"/>
  <c r="E580" i="120"/>
  <c r="E622" i="120"/>
  <c r="E614" i="120"/>
  <c r="E572" i="120"/>
  <c r="I75" i="118"/>
  <c r="AB28" i="60"/>
  <c r="S28" i="60"/>
  <c r="AC21" i="60"/>
  <c r="W14" i="60"/>
  <c r="Q21" i="60"/>
  <c r="V28" i="60"/>
  <c r="R21" i="60"/>
  <c r="T14" i="60"/>
  <c r="U21" i="60"/>
  <c r="V21" i="60"/>
  <c r="AD14" i="60"/>
  <c r="AB21" i="60"/>
  <c r="U14" i="60"/>
  <c r="T28" i="60"/>
  <c r="W28" i="60"/>
  <c r="S21" i="60"/>
  <c r="Y14" i="60"/>
  <c r="T21" i="60"/>
  <c r="X15" i="60"/>
  <c r="Y21" i="60"/>
  <c r="AA28" i="60"/>
  <c r="V14" i="60"/>
  <c r="Z21" i="60"/>
  <c r="AD21" i="60"/>
  <c r="R28" i="60"/>
  <c r="Z28" i="60"/>
  <c r="AC14" i="60"/>
  <c r="Q28" i="60"/>
  <c r="Q14" i="60"/>
  <c r="X28" i="60"/>
  <c r="AA21" i="60"/>
  <c r="Z14" i="60"/>
  <c r="AD28" i="60"/>
  <c r="Z159" i="58"/>
  <c r="Z219" i="58" s="1"/>
  <c r="Z209" i="58" s="1"/>
  <c r="Z167" i="58"/>
  <c r="Z169" i="58" s="1"/>
  <c r="Z221" i="58" s="1"/>
  <c r="Z211" i="58" s="1"/>
  <c r="H61" i="12"/>
  <c r="M61" i="12" s="1"/>
  <c r="B61" i="12" s="1"/>
  <c r="E61" i="120"/>
  <c r="H61" i="120" s="1"/>
  <c r="E403" i="120"/>
  <c r="M29" i="56"/>
  <c r="I10" i="118" s="1"/>
  <c r="I51" i="118" s="1"/>
  <c r="I52" i="118" s="1"/>
  <c r="I69" i="118" s="1"/>
  <c r="I74" i="118" s="1"/>
  <c r="N50" i="37"/>
  <c r="N86" i="37"/>
  <c r="O86" i="37" s="1"/>
  <c r="N115" i="37"/>
  <c r="J875" i="120"/>
  <c r="Q49" i="75"/>
  <c r="P64" i="75"/>
  <c r="Q64" i="75" s="1"/>
  <c r="N69" i="37"/>
  <c r="O69" i="37" s="1"/>
  <c r="N38" i="56"/>
  <c r="O73" i="37"/>
  <c r="N107" i="37"/>
  <c r="M41" i="56"/>
  <c r="N41" i="56" s="1"/>
  <c r="O74" i="37"/>
  <c r="N46" i="56"/>
  <c r="M66" i="118"/>
  <c r="Y159" i="58"/>
  <c r="Y219" i="58" s="1"/>
  <c r="Y209" i="58" s="1"/>
  <c r="J267" i="120"/>
  <c r="J436" i="120"/>
  <c r="J245" i="120"/>
  <c r="J880" i="120"/>
  <c r="O798" i="120"/>
  <c r="N28" i="120" s="1"/>
  <c r="C71" i="134" s="1"/>
  <c r="H19" i="120"/>
  <c r="C34" i="134" s="1"/>
  <c r="M498" i="12"/>
  <c r="M498" i="120" s="1"/>
  <c r="J861" i="120"/>
  <c r="O417" i="120"/>
  <c r="O805" i="120"/>
  <c r="J784" i="120"/>
  <c r="J262" i="120"/>
  <c r="J512" i="120"/>
  <c r="D33" i="122"/>
  <c r="J873" i="120"/>
  <c r="J868" i="120"/>
  <c r="J810" i="120"/>
  <c r="J862" i="120"/>
  <c r="J779" i="120"/>
  <c r="J520" i="120"/>
  <c r="J330" i="120"/>
  <c r="J883" i="120"/>
  <c r="J886" i="120"/>
  <c r="O267" i="120"/>
  <c r="M790" i="120"/>
  <c r="J434" i="120"/>
  <c r="J583" i="120"/>
  <c r="J658" i="120"/>
  <c r="J918" i="120"/>
  <c r="J595" i="120"/>
  <c r="C82" i="39"/>
  <c r="J874" i="120"/>
  <c r="J755" i="120"/>
  <c r="J269" i="120"/>
  <c r="J585" i="120"/>
  <c r="J264" i="120"/>
  <c r="J881" i="120"/>
  <c r="B321" i="120"/>
  <c r="J805" i="120"/>
  <c r="J350" i="120"/>
  <c r="J864" i="120"/>
  <c r="J871" i="120"/>
  <c r="H754" i="12"/>
  <c r="H754" i="120" s="1"/>
  <c r="J754" i="120" s="1"/>
  <c r="J812" i="120"/>
  <c r="J498" i="120"/>
  <c r="J497" i="120" s="1"/>
  <c r="J768" i="120"/>
  <c r="J815" i="120"/>
  <c r="J388" i="120"/>
  <c r="J324" i="120"/>
  <c r="H758" i="12"/>
  <c r="H792" i="12"/>
  <c r="A69" i="74"/>
  <c r="O27" i="74"/>
  <c r="G7" i="121"/>
  <c r="N20" i="118"/>
  <c r="O263" i="120"/>
  <c r="J263" i="120"/>
  <c r="J248" i="120"/>
  <c r="X168" i="58"/>
  <c r="X169" i="58" s="1"/>
  <c r="X221" i="58" s="1"/>
  <c r="X211" i="58" s="1"/>
  <c r="U22" i="60"/>
  <c r="H92" i="12"/>
  <c r="H92" i="120" s="1"/>
  <c r="J92" i="120" s="1"/>
  <c r="J91" i="120" s="1"/>
  <c r="AE147" i="59"/>
  <c r="AF147" i="59" s="1"/>
  <c r="AF190" i="58"/>
  <c r="O268" i="120"/>
  <c r="J268" i="120"/>
  <c r="O251" i="12"/>
  <c r="J251" i="120"/>
  <c r="O251" i="120"/>
  <c r="V15" i="60"/>
  <c r="Y15" i="60"/>
  <c r="H75" i="12"/>
  <c r="H75" i="120" s="1"/>
  <c r="J75" i="120" s="1"/>
  <c r="N56" i="118"/>
  <c r="AC22" i="60"/>
  <c r="S169" i="58"/>
  <c r="S191" i="58" s="1"/>
  <c r="Q22" i="60"/>
  <c r="V159" i="58"/>
  <c r="V219" i="58" s="1"/>
  <c r="V209" i="58" s="1"/>
  <c r="Q159" i="58"/>
  <c r="F43" i="61"/>
  <c r="F67" i="61" s="1"/>
  <c r="F88" i="61" s="1"/>
  <c r="J111" i="62"/>
  <c r="I64" i="62"/>
  <c r="H437" i="12" s="1"/>
  <c r="F74" i="62"/>
  <c r="I14" i="62"/>
  <c r="J14" i="62" s="1"/>
  <c r="F21" i="55"/>
  <c r="F18" i="55"/>
  <c r="J96" i="62"/>
  <c r="J3" i="62"/>
  <c r="H20" i="12"/>
  <c r="I48" i="62"/>
  <c r="J48" i="62" s="1"/>
  <c r="F49" i="62"/>
  <c r="I35" i="62"/>
  <c r="H425" i="12" s="1"/>
  <c r="I46" i="62"/>
  <c r="J46" i="62" s="1"/>
  <c r="J30" i="62"/>
  <c r="G44" i="62"/>
  <c r="G74" i="62" s="1"/>
  <c r="G84" i="62" s="1"/>
  <c r="I32" i="62"/>
  <c r="H424" i="12" s="1"/>
  <c r="J118" i="62"/>
  <c r="J31" i="62"/>
  <c r="H423" i="12"/>
  <c r="I87" i="62"/>
  <c r="J87" i="62" s="1"/>
  <c r="I65" i="62"/>
  <c r="H438" i="12" s="1"/>
  <c r="J63" i="62"/>
  <c r="I86" i="62"/>
  <c r="J86" i="62" s="1"/>
  <c r="I43" i="62"/>
  <c r="F66" i="62"/>
  <c r="I47" i="62"/>
  <c r="J47" i="62" s="1"/>
  <c r="F73" i="62"/>
  <c r="I28" i="62"/>
  <c r="J28" i="62" s="1"/>
  <c r="F45" i="62"/>
  <c r="F72" i="62"/>
  <c r="J62" i="62"/>
  <c r="G45" i="62"/>
  <c r="G49" i="62" s="1"/>
  <c r="G67" i="62" s="1"/>
  <c r="G69" i="62" s="1"/>
  <c r="G79" i="62" s="1"/>
  <c r="J117" i="62"/>
  <c r="L39" i="63"/>
  <c r="G20" i="55"/>
  <c r="L2" i="63"/>
  <c r="G101" i="63"/>
  <c r="G121" i="63" s="1"/>
  <c r="G18" i="55"/>
  <c r="K111" i="47"/>
  <c r="J592" i="120"/>
  <c r="K40" i="63"/>
  <c r="L40" i="63" s="1"/>
  <c r="K57" i="47"/>
  <c r="K56" i="47"/>
  <c r="K50" i="63"/>
  <c r="L50" i="63" s="1"/>
  <c r="J592" i="12"/>
  <c r="J539" i="120"/>
  <c r="O236" i="54"/>
  <c r="Q55" i="75"/>
  <c r="O27" i="37"/>
  <c r="N114" i="37"/>
  <c r="O114" i="37" s="1"/>
  <c r="M60" i="56"/>
  <c r="M33" i="56"/>
  <c r="N33" i="56" s="1"/>
  <c r="N43" i="56"/>
  <c r="N66" i="56"/>
  <c r="O83" i="37"/>
  <c r="M63" i="118"/>
  <c r="O68" i="37"/>
  <c r="M89" i="56"/>
  <c r="N89" i="56" s="1"/>
  <c r="N231" i="54"/>
  <c r="O231" i="54" s="1"/>
  <c r="N53" i="56"/>
  <c r="H733" i="12"/>
  <c r="Q22" i="75"/>
  <c r="N55" i="56"/>
  <c r="N72" i="118"/>
  <c r="N68" i="56"/>
  <c r="O78" i="37"/>
  <c r="Q51" i="75"/>
  <c r="I21" i="55"/>
  <c r="I18" i="55"/>
  <c r="C31" i="77"/>
  <c r="C70" i="39"/>
  <c r="D30" i="122"/>
  <c r="J288" i="120"/>
  <c r="J310" i="120"/>
  <c r="J287" i="120"/>
  <c r="J285" i="120"/>
  <c r="J286" i="120"/>
  <c r="O807" i="120"/>
  <c r="G108" i="132"/>
  <c r="J108" i="132" s="1"/>
  <c r="H409" i="12" s="1"/>
  <c r="J33" i="132"/>
  <c r="K33" i="132" s="1"/>
  <c r="G36" i="132"/>
  <c r="C15" i="77"/>
  <c r="G11" i="77" s="1"/>
  <c r="E2" i="55"/>
  <c r="N2" i="56"/>
  <c r="N20" i="56"/>
  <c r="M12" i="56"/>
  <c r="N12" i="56" s="1"/>
  <c r="N48" i="56"/>
  <c r="M75" i="56"/>
  <c r="N75" i="56" s="1"/>
  <c r="M34" i="56"/>
  <c r="N34" i="56" s="1"/>
  <c r="J250" i="120"/>
  <c r="J202" i="120"/>
  <c r="O248" i="120"/>
  <c r="O810" i="120"/>
  <c r="J249" i="120"/>
  <c r="O249" i="120"/>
  <c r="O250" i="120"/>
  <c r="J530" i="120"/>
  <c r="T159" i="58"/>
  <c r="T219" i="58" s="1"/>
  <c r="T209" i="58" s="1"/>
  <c r="K107" i="132"/>
  <c r="K104" i="132"/>
  <c r="H344" i="120"/>
  <c r="J344" i="120" s="1"/>
  <c r="H343" i="120"/>
  <c r="J343" i="120" s="1"/>
  <c r="H351" i="12"/>
  <c r="H346" i="120"/>
  <c r="J346" i="120" s="1"/>
  <c r="J345" i="120" s="1"/>
  <c r="O809" i="120"/>
  <c r="J273" i="120"/>
  <c r="J809" i="120"/>
  <c r="J866" i="120"/>
  <c r="J665" i="120"/>
  <c r="H67" i="120"/>
  <c r="O67" i="120" s="1"/>
  <c r="O660" i="12"/>
  <c r="O271" i="120"/>
  <c r="O247" i="120"/>
  <c r="J507" i="120"/>
  <c r="O808" i="120"/>
  <c r="J323" i="120"/>
  <c r="J322" i="120" s="1"/>
  <c r="J808" i="120"/>
  <c r="H257" i="120"/>
  <c r="J257" i="120" s="1"/>
  <c r="O257" i="12"/>
  <c r="H246" i="120"/>
  <c r="O246" i="120" s="1"/>
  <c r="O246" i="12"/>
  <c r="O414" i="120"/>
  <c r="J38" i="132"/>
  <c r="G105" i="132"/>
  <c r="J37" i="132"/>
  <c r="K37" i="132" s="1"/>
  <c r="M13" i="56"/>
  <c r="AF136" i="59"/>
  <c r="H301" i="12"/>
  <c r="H301" i="120" s="1"/>
  <c r="J301" i="120" s="1"/>
  <c r="M10" i="56"/>
  <c r="AF134" i="59"/>
  <c r="H296" i="12"/>
  <c r="H296" i="120" s="1"/>
  <c r="H295" i="12"/>
  <c r="H295" i="120" s="1"/>
  <c r="O245" i="120"/>
  <c r="N17" i="120" s="1"/>
  <c r="C27" i="134" s="1"/>
  <c r="H298" i="12"/>
  <c r="H298" i="120" s="1"/>
  <c r="J298" i="120" s="1"/>
  <c r="O323" i="120"/>
  <c r="N19" i="120" s="1"/>
  <c r="C35" i="134" s="1"/>
  <c r="H305" i="12"/>
  <c r="H305" i="120" s="1"/>
  <c r="J305" i="120" s="1"/>
  <c r="AF139" i="59"/>
  <c r="H307" i="12"/>
  <c r="H307" i="120" s="1"/>
  <c r="J307" i="120" s="1"/>
  <c r="H308" i="12"/>
  <c r="H308" i="120" s="1"/>
  <c r="J308" i="120" s="1"/>
  <c r="M91" i="56"/>
  <c r="N91" i="56" s="1"/>
  <c r="M90" i="56"/>
  <c r="N90" i="56" s="1"/>
  <c r="H309" i="12"/>
  <c r="H309" i="120" s="1"/>
  <c r="J309" i="120" s="1"/>
  <c r="F143" i="47"/>
  <c r="J115" i="47"/>
  <c r="K115" i="47" s="1"/>
  <c r="AF143" i="59"/>
  <c r="M65" i="56"/>
  <c r="N65" i="56" s="1"/>
  <c r="H757" i="12"/>
  <c r="O724" i="120"/>
  <c r="O348" i="133"/>
  <c r="O389" i="133"/>
  <c r="N291" i="133"/>
  <c r="H878" i="12" s="1"/>
  <c r="O312" i="133"/>
  <c r="O290" i="133"/>
  <c r="O383" i="133"/>
  <c r="O280" i="133"/>
  <c r="O362" i="133"/>
  <c r="K100" i="83"/>
  <c r="K50" i="83"/>
  <c r="K67" i="83"/>
  <c r="G131" i="83"/>
  <c r="J113" i="83"/>
  <c r="K113" i="83" s="1"/>
  <c r="K51" i="83"/>
  <c r="K126" i="83"/>
  <c r="K43" i="83"/>
  <c r="K94" i="83"/>
  <c r="J124" i="83"/>
  <c r="K124" i="83" s="1"/>
  <c r="J118" i="83"/>
  <c r="K118" i="83" s="1"/>
  <c r="O799" i="120"/>
  <c r="K110" i="83"/>
  <c r="J99" i="83"/>
  <c r="K99" i="83" s="1"/>
  <c r="H800" i="120"/>
  <c r="O800" i="120" s="1"/>
  <c r="O800" i="12"/>
  <c r="J799" i="120"/>
  <c r="J9" i="83"/>
  <c r="I20" i="55" s="1"/>
  <c r="J120" i="83"/>
  <c r="H856" i="12" s="1"/>
  <c r="J53" i="83"/>
  <c r="K53" i="83" s="1"/>
  <c r="O799" i="12"/>
  <c r="J32" i="83"/>
  <c r="K32" i="83" s="1"/>
  <c r="K98" i="83"/>
  <c r="H804" i="120"/>
  <c r="J804" i="120" s="1"/>
  <c r="O804" i="12"/>
  <c r="K30" i="83"/>
  <c r="G132" i="83"/>
  <c r="J114" i="83"/>
  <c r="H828" i="12" s="1"/>
  <c r="J31" i="83"/>
  <c r="K31" i="83" s="1"/>
  <c r="J111" i="83"/>
  <c r="H826" i="12" s="1"/>
  <c r="H826" i="120" s="1"/>
  <c r="G146" i="83"/>
  <c r="J129" i="83"/>
  <c r="K129" i="83" s="1"/>
  <c r="H70" i="120"/>
  <c r="J70" i="120" s="1"/>
  <c r="N245" i="54"/>
  <c r="O245" i="54" s="1"/>
  <c r="N34" i="118"/>
  <c r="J772" i="120"/>
  <c r="O180" i="54"/>
  <c r="J778" i="120"/>
  <c r="O30" i="54"/>
  <c r="O35" i="54"/>
  <c r="O197" i="54"/>
  <c r="N233" i="54"/>
  <c r="H782" i="12" s="1"/>
  <c r="H782" i="120" s="1"/>
  <c r="J782" i="120" s="1"/>
  <c r="M15" i="118"/>
  <c r="N169" i="54"/>
  <c r="O169" i="54" s="1"/>
  <c r="N235" i="54"/>
  <c r="H783" i="12" s="1"/>
  <c r="N166" i="54"/>
  <c r="O166" i="54" s="1"/>
  <c r="N230" i="54"/>
  <c r="H753" i="12" s="1"/>
  <c r="N168" i="54"/>
  <c r="H763" i="12" s="1"/>
  <c r="H763" i="120" s="1"/>
  <c r="O25" i="54"/>
  <c r="N234" i="54"/>
  <c r="H780" i="12" s="1"/>
  <c r="N160" i="54"/>
  <c r="O160" i="54" s="1"/>
  <c r="N157" i="54"/>
  <c r="O157" i="54" s="1"/>
  <c r="N5" i="54"/>
  <c r="H20" i="55" s="1"/>
  <c r="N149" i="54"/>
  <c r="O149" i="54" s="1"/>
  <c r="N148" i="54"/>
  <c r="O148" i="54" s="1"/>
  <c r="N143" i="54"/>
  <c r="H6" i="75" s="1"/>
  <c r="N3" i="54"/>
  <c r="O176" i="54"/>
  <c r="O52" i="37"/>
  <c r="O51" i="37"/>
  <c r="N238" i="54"/>
  <c r="N229" i="54"/>
  <c r="O229" i="54" s="1"/>
  <c r="O211" i="54"/>
  <c r="Q27" i="75"/>
  <c r="Q52" i="75"/>
  <c r="Q54" i="75"/>
  <c r="Q11" i="75"/>
  <c r="Q8" i="75"/>
  <c r="Q15" i="75"/>
  <c r="H726" i="120"/>
  <c r="O726" i="120" s="1"/>
  <c r="O726" i="12"/>
  <c r="P33" i="75"/>
  <c r="P60" i="75"/>
  <c r="Q60" i="75" s="1"/>
  <c r="P41" i="75"/>
  <c r="P45" i="75"/>
  <c r="P61" i="75"/>
  <c r="Q61" i="75" s="1"/>
  <c r="P65" i="75"/>
  <c r="Q65" i="75" s="1"/>
  <c r="Y167" i="58"/>
  <c r="Y169" i="58" s="1"/>
  <c r="Y221" i="58" s="1"/>
  <c r="Y211" i="58" s="1"/>
  <c r="S159" i="58"/>
  <c r="S219" i="58" s="1"/>
  <c r="S209" i="58" s="1"/>
  <c r="I21" i="61"/>
  <c r="AC15" i="60"/>
  <c r="N82" i="37"/>
  <c r="N79" i="37"/>
  <c r="O79" i="37" s="1"/>
  <c r="N80" i="37"/>
  <c r="O80" i="37" s="1"/>
  <c r="N99" i="37"/>
  <c r="N88" i="37"/>
  <c r="O88" i="37" s="1"/>
  <c r="N111" i="37"/>
  <c r="N53" i="37"/>
  <c r="N73" i="56"/>
  <c r="N31" i="56"/>
  <c r="N13" i="56"/>
  <c r="P37" i="75"/>
  <c r="M113" i="56"/>
  <c r="N113" i="37"/>
  <c r="O113" i="37" s="1"/>
  <c r="N78" i="56"/>
  <c r="N100" i="37"/>
  <c r="N118" i="37"/>
  <c r="O118" i="37" s="1"/>
  <c r="N63" i="56"/>
  <c r="N112" i="37"/>
  <c r="H558" i="120"/>
  <c r="M558" i="12"/>
  <c r="M558" i="120" s="1"/>
  <c r="K75" i="63"/>
  <c r="L75" i="63" s="1"/>
  <c r="J95" i="47"/>
  <c r="K95" i="47" s="1"/>
  <c r="F97" i="47"/>
  <c r="K111" i="63"/>
  <c r="L111" i="63" s="1"/>
  <c r="G134" i="63"/>
  <c r="K114" i="63"/>
  <c r="H616" i="12" s="1"/>
  <c r="H616" i="120" s="1"/>
  <c r="K30" i="63"/>
  <c r="L30" i="63" s="1"/>
  <c r="J21" i="47"/>
  <c r="K21" i="47" s="1"/>
  <c r="K112" i="63"/>
  <c r="L112" i="63" s="1"/>
  <c r="G132" i="63"/>
  <c r="F122" i="47"/>
  <c r="J54" i="47"/>
  <c r="H518" i="12" s="1"/>
  <c r="J32" i="47"/>
  <c r="H511" i="12" s="1"/>
  <c r="K73" i="63"/>
  <c r="L73" i="63" s="1"/>
  <c r="J137" i="47"/>
  <c r="H562" i="12" s="1"/>
  <c r="G117" i="63"/>
  <c r="K97" i="63"/>
  <c r="L97" i="63" s="1"/>
  <c r="F145" i="47"/>
  <c r="J126" i="47"/>
  <c r="H546" i="12" s="1"/>
  <c r="K136" i="47"/>
  <c r="G109" i="63"/>
  <c r="K69" i="63"/>
  <c r="L69" i="63" s="1"/>
  <c r="K108" i="63"/>
  <c r="L108" i="63" s="1"/>
  <c r="K88" i="47"/>
  <c r="K101" i="63"/>
  <c r="L101" i="63" s="1"/>
  <c r="F148" i="47"/>
  <c r="J128" i="47"/>
  <c r="H568" i="12" s="1"/>
  <c r="K98" i="63"/>
  <c r="H600" i="12" s="1"/>
  <c r="G118" i="63"/>
  <c r="J134" i="47"/>
  <c r="H556" i="12" s="1"/>
  <c r="J123" i="47"/>
  <c r="H542" i="12" s="1"/>
  <c r="J96" i="47"/>
  <c r="K96" i="47" s="1"/>
  <c r="J35" i="47"/>
  <c r="K35" i="47" s="1"/>
  <c r="F36" i="47"/>
  <c r="F127" i="47"/>
  <c r="J132" i="47"/>
  <c r="H552" i="12" s="1"/>
  <c r="J15" i="47"/>
  <c r="H508" i="12" s="1"/>
  <c r="F109" i="47"/>
  <c r="F125" i="47"/>
  <c r="K82" i="63"/>
  <c r="G10" i="75" s="1"/>
  <c r="J62" i="47"/>
  <c r="K62" i="47" s="1"/>
  <c r="K24" i="63"/>
  <c r="L24" i="63" s="1"/>
  <c r="K65" i="63"/>
  <c r="L65" i="63" s="1"/>
  <c r="G105" i="63"/>
  <c r="K100" i="63"/>
  <c r="G120" i="63"/>
  <c r="K11" i="47"/>
  <c r="J120" i="47"/>
  <c r="K120" i="47" s="1"/>
  <c r="J19" i="47"/>
  <c r="H509" i="12" s="1"/>
  <c r="J64" i="47"/>
  <c r="K64" i="47" s="1"/>
  <c r="F65" i="47"/>
  <c r="F40" i="47"/>
  <c r="J39" i="47"/>
  <c r="K39" i="47" s="1"/>
  <c r="J23" i="47"/>
  <c r="K23" i="47" s="1"/>
  <c r="J539" i="12"/>
  <c r="L61" i="63"/>
  <c r="J121" i="47"/>
  <c r="K121" i="47" s="1"/>
  <c r="G76" i="63"/>
  <c r="K110" i="47"/>
  <c r="K5" i="63"/>
  <c r="L5" i="63" s="1"/>
  <c r="J94" i="47"/>
  <c r="K94" i="47" s="1"/>
  <c r="J141" i="47"/>
  <c r="H578" i="12" s="1"/>
  <c r="J130" i="47"/>
  <c r="H564" i="12" s="1"/>
  <c r="K80" i="63"/>
  <c r="G6" i="75" s="1"/>
  <c r="L59" i="63"/>
  <c r="K57" i="63"/>
  <c r="L57" i="63" s="1"/>
  <c r="G52" i="63"/>
  <c r="G96" i="63"/>
  <c r="J99" i="47"/>
  <c r="K99" i="47" s="1"/>
  <c r="F101" i="47"/>
  <c r="K106" i="63"/>
  <c r="G126" i="63"/>
  <c r="G113" i="63"/>
  <c r="G66" i="63"/>
  <c r="G64" i="63"/>
  <c r="G62" i="63"/>
  <c r="K58" i="63"/>
  <c r="H589" i="12" s="1"/>
  <c r="H589" i="120" s="1"/>
  <c r="H61" i="61"/>
  <c r="F1" i="59"/>
  <c r="F2" i="58"/>
  <c r="F1" i="58"/>
  <c r="K74" i="118"/>
  <c r="K70" i="118"/>
  <c r="N55" i="118"/>
  <c r="M48" i="118"/>
  <c r="N48" i="118" s="1"/>
  <c r="H72" i="120"/>
  <c r="O72" i="120" s="1"/>
  <c r="G70" i="118"/>
  <c r="G74" i="118"/>
  <c r="AF61" i="59"/>
  <c r="AF189" i="58"/>
  <c r="J261" i="120"/>
  <c r="J226" i="120"/>
  <c r="O226" i="120"/>
  <c r="H266" i="120"/>
  <c r="O266" i="120" s="1"/>
  <c r="F2" i="60"/>
  <c r="F41" i="60" s="1"/>
  <c r="F1" i="60"/>
  <c r="AF183" i="58"/>
  <c r="AE173" i="58"/>
  <c r="AF173" i="58" s="1"/>
  <c r="AE171" i="58"/>
  <c r="AF171" i="58" s="1"/>
  <c r="AA159" i="58"/>
  <c r="AA219" i="58" s="1"/>
  <c r="AA209" i="58" s="1"/>
  <c r="X159" i="58"/>
  <c r="X219" i="58" s="1"/>
  <c r="X209" i="58" s="1"/>
  <c r="U220" i="58"/>
  <c r="U210" i="58" s="1"/>
  <c r="T167" i="58"/>
  <c r="T169" i="58" s="1"/>
  <c r="T221" i="58" s="1"/>
  <c r="T211" i="58" s="1"/>
  <c r="Q169" i="58"/>
  <c r="Q221" i="58" s="1"/>
  <c r="Q211" i="58" s="1"/>
  <c r="U159" i="58"/>
  <c r="U219" i="58" s="1"/>
  <c r="U209" i="58" s="1"/>
  <c r="W169" i="58"/>
  <c r="W191" i="58" s="1"/>
  <c r="U217" i="58"/>
  <c r="U207" i="58" s="1"/>
  <c r="S29" i="60"/>
  <c r="AD29" i="60"/>
  <c r="V22" i="60"/>
  <c r="J277" i="120"/>
  <c r="AF36" i="60"/>
  <c r="AA29" i="60"/>
  <c r="I19" i="61"/>
  <c r="AF194" i="58"/>
  <c r="T22" i="60"/>
  <c r="H77" i="61"/>
  <c r="I77" i="61" s="1"/>
  <c r="AF35" i="60"/>
  <c r="AF81" i="59"/>
  <c r="N6" i="55"/>
  <c r="AF138" i="59"/>
  <c r="AA163" i="58"/>
  <c r="AA218" i="58" s="1"/>
  <c r="AA208" i="58" s="1"/>
  <c r="V163" i="58"/>
  <c r="V40" i="58" s="1"/>
  <c r="T29" i="60"/>
  <c r="T163" i="58"/>
  <c r="N73" i="118"/>
  <c r="R10" i="60"/>
  <c r="R11" i="60" s="1"/>
  <c r="R12" i="60"/>
  <c r="R29" i="60"/>
  <c r="AB10" i="60"/>
  <c r="AB11" i="60" s="1"/>
  <c r="AB12" i="60"/>
  <c r="AE11" i="59"/>
  <c r="AF11" i="59" s="1"/>
  <c r="W15" i="60"/>
  <c r="Q29" i="60"/>
  <c r="R22" i="60"/>
  <c r="AD22" i="60"/>
  <c r="T8" i="58"/>
  <c r="T9" i="58" s="1"/>
  <c r="T10" i="58" s="1"/>
  <c r="T82" i="58"/>
  <c r="Q163" i="58"/>
  <c r="AA22" i="60"/>
  <c r="Z29" i="60"/>
  <c r="V29" i="60"/>
  <c r="T15" i="60"/>
  <c r="AD15" i="60"/>
  <c r="Y22" i="60"/>
  <c r="W29" i="60"/>
  <c r="AF135" i="59"/>
  <c r="AE36" i="59"/>
  <c r="H217" i="12" s="1"/>
  <c r="O217" i="12" s="1"/>
  <c r="U15" i="60"/>
  <c r="AB22" i="60"/>
  <c r="AF140" i="59"/>
  <c r="S10" i="60"/>
  <c r="S11" i="60" s="1"/>
  <c r="S12" i="60"/>
  <c r="U24" i="60"/>
  <c r="U25" i="60" s="1"/>
  <c r="U26" i="60"/>
  <c r="V169" i="58"/>
  <c r="AE38" i="59"/>
  <c r="AF38" i="59" s="1"/>
  <c r="U82" i="58"/>
  <c r="U8" i="58"/>
  <c r="AA82" i="58"/>
  <c r="AA8" i="58"/>
  <c r="Q15" i="60"/>
  <c r="X19" i="60"/>
  <c r="AF19" i="60" s="1"/>
  <c r="X17" i="60"/>
  <c r="X18" i="60" s="1"/>
  <c r="X29" i="60"/>
  <c r="AF141" i="59"/>
  <c r="AE188" i="58"/>
  <c r="H168" i="12" s="1"/>
  <c r="H168" i="120" s="1"/>
  <c r="AF16" i="60"/>
  <c r="AF7" i="60"/>
  <c r="Z15" i="60"/>
  <c r="S22" i="60"/>
  <c r="X163" i="58"/>
  <c r="AF142" i="59"/>
  <c r="X82" i="58"/>
  <c r="X8" i="58"/>
  <c r="AF9" i="60"/>
  <c r="S208" i="58"/>
  <c r="S220" i="58"/>
  <c r="S210" i="58" s="1"/>
  <c r="S217" i="58"/>
  <c r="S207" i="58" s="1"/>
  <c r="S40" i="58"/>
  <c r="W218" i="58"/>
  <c r="W208" i="58" s="1"/>
  <c r="W220" i="58"/>
  <c r="W210" i="58" s="1"/>
  <c r="W217" i="58"/>
  <c r="W207" i="58" s="1"/>
  <c r="W40" i="58"/>
  <c r="AE10" i="59"/>
  <c r="AF10" i="59" s="1"/>
  <c r="AC26" i="60"/>
  <c r="AC24" i="60"/>
  <c r="AC25" i="60" s="1"/>
  <c r="AB29" i="60"/>
  <c r="U169" i="58"/>
  <c r="U40" i="58"/>
  <c r="Y163" i="58"/>
  <c r="Y82" i="58"/>
  <c r="Y8" i="58"/>
  <c r="Z82" i="58"/>
  <c r="Z8" i="58"/>
  <c r="S82" i="58"/>
  <c r="S8" i="58"/>
  <c r="AE132" i="59"/>
  <c r="H306" i="12" s="1"/>
  <c r="H306" i="120" s="1"/>
  <c r="AE150" i="59"/>
  <c r="AF150" i="59" s="1"/>
  <c r="AE133" i="59"/>
  <c r="H312" i="12" s="1"/>
  <c r="H312" i="120" s="1"/>
  <c r="AA169" i="58"/>
  <c r="Q8" i="58"/>
  <c r="Q82" i="58"/>
  <c r="W82" i="58"/>
  <c r="W8" i="58"/>
  <c r="AE184" i="58"/>
  <c r="H143" i="12" s="1"/>
  <c r="H143" i="120" s="1"/>
  <c r="Z162" i="58"/>
  <c r="Z161" i="58"/>
  <c r="P29" i="75"/>
  <c r="Q29" i="75" s="1"/>
  <c r="Z22" i="60"/>
  <c r="V8" i="58"/>
  <c r="V82" i="58"/>
  <c r="O415" i="120"/>
  <c r="O416" i="120"/>
  <c r="N20" i="120" s="1"/>
  <c r="J414" i="120"/>
  <c r="J271" i="120"/>
  <c r="J415" i="120"/>
  <c r="J807" i="120"/>
  <c r="J270" i="120"/>
  <c r="M707" i="12"/>
  <c r="M707" i="120" s="1"/>
  <c r="H707" i="120"/>
  <c r="J707" i="120" s="1"/>
  <c r="J706" i="120" s="1"/>
  <c r="M848" i="12"/>
  <c r="M848" i="120" s="1"/>
  <c r="H848" i="120"/>
  <c r="J848" i="120" s="1"/>
  <c r="J847" i="120" s="1"/>
  <c r="M574" i="12"/>
  <c r="M574" i="120" s="1"/>
  <c r="H574" i="120"/>
  <c r="J574" i="120" s="1"/>
  <c r="J573" i="120" s="1"/>
  <c r="J775" i="120"/>
  <c r="J417" i="120"/>
  <c r="J247" i="120"/>
  <c r="J416" i="120"/>
  <c r="H15" i="120"/>
  <c r="C18" i="134" s="1"/>
  <c r="C20" i="77"/>
  <c r="D20" i="122"/>
  <c r="N763" i="120"/>
  <c r="N762" i="120"/>
  <c r="N50" i="118"/>
  <c r="H36" i="120" l="1"/>
  <c r="J36" i="120" s="1"/>
  <c r="H96" i="78"/>
  <c r="H97" i="78"/>
  <c r="H101" i="78"/>
  <c r="H95" i="78"/>
  <c r="H98" i="78"/>
  <c r="H100" i="78"/>
  <c r="H94" i="78"/>
  <c r="H99" i="78"/>
  <c r="H68" i="120"/>
  <c r="J68" i="120" s="1"/>
  <c r="G37" i="60"/>
  <c r="G38" i="60" s="1"/>
  <c r="G39" i="60" s="1"/>
  <c r="G41" i="60"/>
  <c r="G40" i="60"/>
  <c r="F37" i="60"/>
  <c r="F38" i="60" s="1"/>
  <c r="F39" i="60" s="1"/>
  <c r="F40" i="60"/>
  <c r="H91" i="78"/>
  <c r="H93" i="78"/>
  <c r="H92" i="78"/>
  <c r="H15" i="37"/>
  <c r="H16" i="37" s="1"/>
  <c r="H17" i="37" s="1"/>
  <c r="H10" i="37"/>
  <c r="H11" i="37" s="1"/>
  <c r="H41" i="37"/>
  <c r="H42" i="37" s="1"/>
  <c r="H43" i="37" s="1"/>
  <c r="J57" i="75"/>
  <c r="J66" i="75" s="1"/>
  <c r="J58" i="75"/>
  <c r="J67" i="75" s="1"/>
  <c r="J59" i="75"/>
  <c r="J68" i="75" s="1"/>
  <c r="Q219" i="58"/>
  <c r="Q59" i="58"/>
  <c r="Q84" i="58"/>
  <c r="Q198" i="58"/>
  <c r="AE198" i="58" s="1"/>
  <c r="AF198" i="58" s="1"/>
  <c r="AE41" i="58"/>
  <c r="Q197" i="58"/>
  <c r="Q213" i="58"/>
  <c r="O723" i="120"/>
  <c r="H69" i="120"/>
  <c r="J69" i="120" s="1"/>
  <c r="O723" i="12"/>
  <c r="O664" i="12"/>
  <c r="O664" i="120"/>
  <c r="J657" i="120"/>
  <c r="O657" i="12"/>
  <c r="O653" i="12"/>
  <c r="J660" i="120"/>
  <c r="D790" i="12"/>
  <c r="C790" i="12"/>
  <c r="D61" i="12"/>
  <c r="C61" i="12"/>
  <c r="G57" i="120"/>
  <c r="I57" i="120" s="1"/>
  <c r="J57" i="120" s="1"/>
  <c r="F57" i="120"/>
  <c r="D57" i="120"/>
  <c r="C57" i="120"/>
  <c r="C59" i="12"/>
  <c r="D59" i="12"/>
  <c r="D548" i="12"/>
  <c r="C548" i="12"/>
  <c r="G321" i="120"/>
  <c r="I321" i="120" s="1"/>
  <c r="J321" i="120" s="1"/>
  <c r="F321" i="120"/>
  <c r="D321" i="120"/>
  <c r="C321" i="120"/>
  <c r="D405" i="12"/>
  <c r="C405" i="12"/>
  <c r="G552" i="120"/>
  <c r="I552" i="120" s="1"/>
  <c r="F552" i="120"/>
  <c r="D552" i="120"/>
  <c r="C552" i="120"/>
  <c r="O660" i="120"/>
  <c r="H96" i="120"/>
  <c r="Q41" i="75"/>
  <c r="H727" i="12"/>
  <c r="H727" i="120" s="1"/>
  <c r="J727" i="120" s="1"/>
  <c r="H728" i="12"/>
  <c r="H728" i="120" s="1"/>
  <c r="J728" i="120" s="1"/>
  <c r="H739" i="12"/>
  <c r="H739" i="120" s="1"/>
  <c r="J739" i="120" s="1"/>
  <c r="H740" i="12"/>
  <c r="H740" i="120" s="1"/>
  <c r="J740" i="120" s="1"/>
  <c r="H699" i="12"/>
  <c r="H699" i="120" s="1"/>
  <c r="H689" i="12"/>
  <c r="H689" i="120" s="1"/>
  <c r="H651" i="12"/>
  <c r="O651" i="12" s="1"/>
  <c r="H656" i="12"/>
  <c r="H656" i="120" s="1"/>
  <c r="J656" i="120" s="1"/>
  <c r="H717" i="12"/>
  <c r="H717" i="120" s="1"/>
  <c r="J717" i="120" s="1"/>
  <c r="J716" i="120" s="1"/>
  <c r="H701" i="12"/>
  <c r="H701" i="120" s="1"/>
  <c r="H662" i="12"/>
  <c r="H662" i="120" s="1"/>
  <c r="O662" i="120" s="1"/>
  <c r="H659" i="12"/>
  <c r="H659" i="120" s="1"/>
  <c r="O659" i="120" s="1"/>
  <c r="H652" i="120"/>
  <c r="J652" i="120" s="1"/>
  <c r="H654" i="12"/>
  <c r="H654" i="120" s="1"/>
  <c r="H37" i="12"/>
  <c r="A37" i="12" s="1"/>
  <c r="H472" i="12"/>
  <c r="H87" i="120"/>
  <c r="J87" i="120" s="1"/>
  <c r="H66" i="12"/>
  <c r="O66" i="12" s="1"/>
  <c r="H86" i="12"/>
  <c r="H86" i="120" s="1"/>
  <c r="J86" i="120" s="1"/>
  <c r="H83" i="12"/>
  <c r="H83" i="120" s="1"/>
  <c r="J83" i="120" s="1"/>
  <c r="H64" i="120"/>
  <c r="J64" i="120" s="1"/>
  <c r="H832" i="120"/>
  <c r="J832" i="120" s="1"/>
  <c r="J831" i="120" s="1"/>
  <c r="B411" i="12"/>
  <c r="O68" i="120"/>
  <c r="G8" i="60"/>
  <c r="B548" i="120"/>
  <c r="G82" i="58"/>
  <c r="H58" i="75"/>
  <c r="H67" i="75" s="1"/>
  <c r="H57" i="75"/>
  <c r="H66" i="75" s="1"/>
  <c r="H59" i="75"/>
  <c r="H68" i="75" s="1"/>
  <c r="G10" i="37"/>
  <c r="G41" i="37"/>
  <c r="H25" i="12"/>
  <c r="D26" i="122" s="1"/>
  <c r="R149" i="58"/>
  <c r="R129" i="58"/>
  <c r="P128" i="58"/>
  <c r="P129" i="58" s="1"/>
  <c r="M405" i="120"/>
  <c r="O66" i="37"/>
  <c r="O422" i="120"/>
  <c r="M616" i="12"/>
  <c r="B616" i="12" s="1"/>
  <c r="I59" i="75"/>
  <c r="I68" i="75" s="1"/>
  <c r="I58" i="75"/>
  <c r="I67" i="75" s="1"/>
  <c r="I57" i="75"/>
  <c r="I66" i="75" s="1"/>
  <c r="O91" i="37"/>
  <c r="W31" i="60"/>
  <c r="O265" i="120"/>
  <c r="T31" i="60"/>
  <c r="N94" i="37"/>
  <c r="O94" i="37" s="1"/>
  <c r="B790" i="120"/>
  <c r="J35" i="62"/>
  <c r="J108" i="62"/>
  <c r="F36" i="49"/>
  <c r="F50" i="49"/>
  <c r="F35" i="49" s="1"/>
  <c r="F60" i="49" s="1"/>
  <c r="F62" i="49" s="1"/>
  <c r="F64" i="49" s="1"/>
  <c r="R36" i="49"/>
  <c r="R50" i="49"/>
  <c r="R35" i="49" s="1"/>
  <c r="R60" i="49" s="1"/>
  <c r="R62" i="49" s="1"/>
  <c r="R64" i="49" s="1"/>
  <c r="I62" i="49"/>
  <c r="I64" i="49" s="1"/>
  <c r="T50" i="49"/>
  <c r="T35" i="49" s="1"/>
  <c r="T60" i="49" s="1"/>
  <c r="T62" i="49" s="1"/>
  <c r="T64" i="49" s="1"/>
  <c r="K15" i="47"/>
  <c r="I112" i="62"/>
  <c r="F44" i="61" s="1"/>
  <c r="F75" i="61" s="1"/>
  <c r="F96" i="61" s="1"/>
  <c r="J112" i="62"/>
  <c r="J32" i="62"/>
  <c r="I34" i="87"/>
  <c r="F35" i="87"/>
  <c r="G25" i="87"/>
  <c r="G54" i="87" s="1"/>
  <c r="G36" i="87"/>
  <c r="G48" i="87" s="1"/>
  <c r="F17" i="87"/>
  <c r="I16" i="87"/>
  <c r="J16" i="87"/>
  <c r="G50" i="87"/>
  <c r="J110" i="62"/>
  <c r="J12" i="87"/>
  <c r="S36" i="49"/>
  <c r="S50" i="49"/>
  <c r="S35" i="49" s="1"/>
  <c r="S60" i="49" s="1"/>
  <c r="S62" i="49" s="1"/>
  <c r="S64" i="49" s="1"/>
  <c r="F30" i="87"/>
  <c r="I29" i="87"/>
  <c r="I116" i="62"/>
  <c r="F49" i="61" s="1"/>
  <c r="F81" i="61" s="1"/>
  <c r="F36" i="87"/>
  <c r="I24" i="87"/>
  <c r="F25" i="87"/>
  <c r="H604" i="12"/>
  <c r="M604" i="12" s="1"/>
  <c r="M604" i="120" s="1"/>
  <c r="J36" i="49"/>
  <c r="J50" i="49"/>
  <c r="J35" i="49" s="1"/>
  <c r="J60" i="49" s="1"/>
  <c r="J62" i="49" s="1"/>
  <c r="J64" i="49" s="1"/>
  <c r="J114" i="62"/>
  <c r="M36" i="49"/>
  <c r="M50" i="49"/>
  <c r="M35" i="49" s="1"/>
  <c r="M60" i="49" s="1"/>
  <c r="M62" i="49" s="1"/>
  <c r="M64" i="49" s="1"/>
  <c r="J65" i="62"/>
  <c r="L36" i="49"/>
  <c r="L50" i="49"/>
  <c r="L35" i="49" s="1"/>
  <c r="L60" i="49" s="1"/>
  <c r="J11" i="87"/>
  <c r="I44" i="62"/>
  <c r="J44" i="62" s="1"/>
  <c r="U50" i="49"/>
  <c r="U35" i="49" s="1"/>
  <c r="U60" i="49" s="1"/>
  <c r="U36" i="49"/>
  <c r="J46" i="87"/>
  <c r="H90" i="78"/>
  <c r="J421" i="120"/>
  <c r="H655" i="120"/>
  <c r="H25" i="120" s="1"/>
  <c r="C58" i="134" s="1"/>
  <c r="Q48" i="75"/>
  <c r="J763" i="120"/>
  <c r="J661" i="120"/>
  <c r="H435" i="120"/>
  <c r="J435" i="120" s="1"/>
  <c r="A69" i="121"/>
  <c r="O661" i="12"/>
  <c r="Z191" i="58"/>
  <c r="H29" i="12"/>
  <c r="H663" i="120"/>
  <c r="O663" i="120" s="1"/>
  <c r="O663" i="12"/>
  <c r="N60" i="56"/>
  <c r="Y31" i="60"/>
  <c r="V31" i="60"/>
  <c r="AA31" i="60"/>
  <c r="Q31" i="60"/>
  <c r="AD31" i="60"/>
  <c r="Z31" i="60"/>
  <c r="H859" i="120"/>
  <c r="P62" i="75"/>
  <c r="P19" i="75"/>
  <c r="Q19" i="75" s="1"/>
  <c r="M75" i="118"/>
  <c r="N93" i="37"/>
  <c r="O93" i="37" s="1"/>
  <c r="O50" i="37"/>
  <c r="U28" i="60"/>
  <c r="U31" i="60" s="1"/>
  <c r="S14" i="60"/>
  <c r="S31" i="60" s="1"/>
  <c r="AC28" i="60"/>
  <c r="AC31" i="60" s="1"/>
  <c r="AB14" i="60"/>
  <c r="AB31" i="60" s="1"/>
  <c r="R14" i="60"/>
  <c r="R31" i="60" s="1"/>
  <c r="X21" i="60"/>
  <c r="X31" i="60" s="1"/>
  <c r="M61" i="120"/>
  <c r="N32" i="37"/>
  <c r="O32" i="37" s="1"/>
  <c r="H709" i="12"/>
  <c r="H711" i="12"/>
  <c r="H711" i="120" s="1"/>
  <c r="J711" i="120" s="1"/>
  <c r="J710" i="120" s="1"/>
  <c r="H299" i="12"/>
  <c r="H299" i="120" s="1"/>
  <c r="B558" i="12"/>
  <c r="O257" i="120"/>
  <c r="B59" i="120"/>
  <c r="H758" i="120"/>
  <c r="J758" i="120" s="1"/>
  <c r="H788" i="12"/>
  <c r="M788" i="12" s="1"/>
  <c r="H466" i="12"/>
  <c r="H22" i="121"/>
  <c r="G11" i="74"/>
  <c r="H27" i="121"/>
  <c r="G14" i="74"/>
  <c r="H23" i="121"/>
  <c r="H28" i="121"/>
  <c r="G15" i="74"/>
  <c r="H25" i="121"/>
  <c r="H29" i="121"/>
  <c r="H26" i="121"/>
  <c r="H30" i="121"/>
  <c r="H13" i="121"/>
  <c r="H24" i="121"/>
  <c r="H21" i="121"/>
  <c r="H31" i="121"/>
  <c r="Y32" i="60"/>
  <c r="H300" i="12"/>
  <c r="Y191" i="58"/>
  <c r="S221" i="58"/>
  <c r="S211" i="58" s="1"/>
  <c r="Z32" i="60"/>
  <c r="D18" i="122"/>
  <c r="C18" i="77"/>
  <c r="X191" i="58"/>
  <c r="W221" i="58"/>
  <c r="W211" i="58" s="1"/>
  <c r="H425" i="120"/>
  <c r="J425" i="120" s="1"/>
  <c r="F67" i="62"/>
  <c r="I49" i="62"/>
  <c r="J49" i="62" s="1"/>
  <c r="H438" i="120"/>
  <c r="J438" i="120" s="1"/>
  <c r="C30" i="77"/>
  <c r="D21" i="122"/>
  <c r="H423" i="120"/>
  <c r="O423" i="12"/>
  <c r="G70" i="62"/>
  <c r="G80" i="62" s="1"/>
  <c r="G50" i="62"/>
  <c r="F82" i="62"/>
  <c r="I72" i="62"/>
  <c r="J72" i="62" s="1"/>
  <c r="H424" i="120"/>
  <c r="J424" i="120" s="1"/>
  <c r="I45" i="62"/>
  <c r="H428" i="12" s="1"/>
  <c r="F70" i="62"/>
  <c r="F50" i="62"/>
  <c r="F52" i="62"/>
  <c r="I74" i="62"/>
  <c r="H446" i="12" s="1"/>
  <c r="F84" i="62"/>
  <c r="I84" i="62" s="1"/>
  <c r="G52" i="62"/>
  <c r="I73" i="62"/>
  <c r="J73" i="62" s="1"/>
  <c r="F83" i="62"/>
  <c r="J64" i="62"/>
  <c r="H437" i="120"/>
  <c r="J437" i="120" s="1"/>
  <c r="H427" i="12"/>
  <c r="J43" i="62"/>
  <c r="I66" i="62"/>
  <c r="J66" i="62" s="1"/>
  <c r="F68" i="62"/>
  <c r="K141" i="47"/>
  <c r="K19" i="47"/>
  <c r="K123" i="47"/>
  <c r="K137" i="47"/>
  <c r="L100" i="63"/>
  <c r="K54" i="47"/>
  <c r="L58" i="63"/>
  <c r="K103" i="63"/>
  <c r="H608" i="12" s="1"/>
  <c r="K102" i="63"/>
  <c r="H606" i="12" s="1"/>
  <c r="M36" i="56"/>
  <c r="N36" i="56" s="1"/>
  <c r="M114" i="56"/>
  <c r="O100" i="37"/>
  <c r="O112" i="37"/>
  <c r="Q45" i="75"/>
  <c r="M70" i="56"/>
  <c r="N70" i="56" s="1"/>
  <c r="N92" i="37"/>
  <c r="O92" i="37" s="1"/>
  <c r="H733" i="120"/>
  <c r="J733" i="120" s="1"/>
  <c r="O235" i="54"/>
  <c r="N120" i="37"/>
  <c r="N87" i="37"/>
  <c r="O87" i="37" s="1"/>
  <c r="N119" i="37"/>
  <c r="H916" i="120"/>
  <c r="J916" i="120" s="1"/>
  <c r="J916" i="12"/>
  <c r="T191" i="58"/>
  <c r="V32" i="60"/>
  <c r="J36" i="132"/>
  <c r="H407" i="12" s="1"/>
  <c r="H335" i="12"/>
  <c r="K38" i="132"/>
  <c r="H338" i="12"/>
  <c r="E18" i="55"/>
  <c r="E20" i="55"/>
  <c r="E21" i="55"/>
  <c r="M35" i="56"/>
  <c r="N35" i="56" s="1"/>
  <c r="M103" i="56"/>
  <c r="M50" i="56"/>
  <c r="N50" i="56" s="1"/>
  <c r="J67" i="120"/>
  <c r="T40" i="58"/>
  <c r="T218" i="58"/>
  <c r="T208" i="58" s="1"/>
  <c r="Q218" i="58"/>
  <c r="O763" i="120"/>
  <c r="J826" i="120"/>
  <c r="H923" i="120"/>
  <c r="J923" i="120" s="1"/>
  <c r="H401" i="120"/>
  <c r="J401" i="120" s="1"/>
  <c r="J400" i="120" s="1"/>
  <c r="H351" i="120"/>
  <c r="J351" i="120" s="1"/>
  <c r="J589" i="120"/>
  <c r="J726" i="120"/>
  <c r="H337" i="12"/>
  <c r="J800" i="120"/>
  <c r="J266" i="120"/>
  <c r="J246" i="120"/>
  <c r="O70" i="120"/>
  <c r="F8" i="60"/>
  <c r="K108" i="132"/>
  <c r="M409" i="12"/>
  <c r="H409" i="120"/>
  <c r="J105" i="132"/>
  <c r="H403" i="12" s="1"/>
  <c r="J143" i="47"/>
  <c r="H570" i="12" s="1"/>
  <c r="F155" i="47"/>
  <c r="M93" i="56"/>
  <c r="N93" i="56" s="1"/>
  <c r="M92" i="56"/>
  <c r="N92" i="56" s="1"/>
  <c r="H757" i="120"/>
  <c r="J757" i="120" s="1"/>
  <c r="H878" i="120"/>
  <c r="J878" i="120" s="1"/>
  <c r="O291" i="133"/>
  <c r="K76" i="83"/>
  <c r="J77" i="83"/>
  <c r="H811" i="12" s="1"/>
  <c r="K111" i="83"/>
  <c r="H828" i="120"/>
  <c r="M828" i="12"/>
  <c r="K114" i="83"/>
  <c r="J52" i="83"/>
  <c r="H803" i="12" s="1"/>
  <c r="J56" i="83"/>
  <c r="K56" i="83" s="1"/>
  <c r="J117" i="83"/>
  <c r="H844" i="12" s="1"/>
  <c r="H825" i="12"/>
  <c r="K120" i="83"/>
  <c r="K9" i="83"/>
  <c r="O804" i="120"/>
  <c r="H856" i="120"/>
  <c r="J856" i="120" s="1"/>
  <c r="J855" i="120" s="1"/>
  <c r="O143" i="54"/>
  <c r="N15" i="118"/>
  <c r="M792" i="12"/>
  <c r="H792" i="120"/>
  <c r="O233" i="54"/>
  <c r="O238" i="54"/>
  <c r="N247" i="54"/>
  <c r="O247" i="54" s="1"/>
  <c r="H2" i="55"/>
  <c r="O3" i="54"/>
  <c r="N182" i="54"/>
  <c r="O182" i="54" s="1"/>
  <c r="N244" i="54"/>
  <c r="O244" i="54" s="1"/>
  <c r="N232" i="54"/>
  <c r="H756" i="12" s="1"/>
  <c r="H780" i="120"/>
  <c r="J780" i="120" s="1"/>
  <c r="H781" i="12"/>
  <c r="N156" i="54"/>
  <c r="H760" i="12" s="1"/>
  <c r="O234" i="54"/>
  <c r="H783" i="120"/>
  <c r="J783" i="120" s="1"/>
  <c r="N159" i="54"/>
  <c r="O159" i="54" s="1"/>
  <c r="O230" i="54"/>
  <c r="O5" i="54"/>
  <c r="H753" i="120"/>
  <c r="J753" i="120" s="1"/>
  <c r="N237" i="54"/>
  <c r="H786" i="12" s="1"/>
  <c r="O168" i="54"/>
  <c r="Q33" i="75"/>
  <c r="Q37" i="75"/>
  <c r="H738" i="12"/>
  <c r="H736" i="12"/>
  <c r="AF10" i="60"/>
  <c r="Q191" i="58"/>
  <c r="O115" i="37"/>
  <c r="N116" i="37"/>
  <c r="O107" i="37"/>
  <c r="O53" i="37"/>
  <c r="O111" i="37"/>
  <c r="N85" i="37"/>
  <c r="O85" i="37" s="1"/>
  <c r="O99" i="37"/>
  <c r="O82" i="37"/>
  <c r="N102" i="37"/>
  <c r="N117" i="37"/>
  <c r="O117" i="37" s="1"/>
  <c r="N109" i="37"/>
  <c r="N29" i="56"/>
  <c r="H625" i="12"/>
  <c r="H625" i="120" s="1"/>
  <c r="J625" i="120" s="1"/>
  <c r="N10" i="56"/>
  <c r="I70" i="118"/>
  <c r="M94" i="56"/>
  <c r="N94" i="56" s="1"/>
  <c r="M110" i="56"/>
  <c r="N113" i="56"/>
  <c r="J653" i="120"/>
  <c r="P20" i="75"/>
  <c r="M112" i="56"/>
  <c r="P63" i="75"/>
  <c r="Q63" i="75" s="1"/>
  <c r="N58" i="37"/>
  <c r="O58" i="37" s="1"/>
  <c r="H568" i="120"/>
  <c r="J568" i="120" s="1"/>
  <c r="J567" i="120" s="1"/>
  <c r="K52" i="63"/>
  <c r="H587" i="12" s="1"/>
  <c r="G53" i="63"/>
  <c r="H511" i="120"/>
  <c r="J511" i="120" s="1"/>
  <c r="H509" i="120"/>
  <c r="J509" i="120" s="1"/>
  <c r="K32" i="47"/>
  <c r="L114" i="63"/>
  <c r="K109" i="63"/>
  <c r="H620" i="12" s="1"/>
  <c r="G129" i="63"/>
  <c r="L82" i="63"/>
  <c r="K62" i="63"/>
  <c r="L62" i="63" s="1"/>
  <c r="G99" i="63"/>
  <c r="L80" i="63"/>
  <c r="K76" i="63"/>
  <c r="H10" i="118" s="1"/>
  <c r="G95" i="63"/>
  <c r="F144" i="47"/>
  <c r="J125" i="47"/>
  <c r="H544" i="12" s="1"/>
  <c r="H542" i="120"/>
  <c r="J542" i="120" s="1"/>
  <c r="K64" i="63"/>
  <c r="G104" i="63"/>
  <c r="H556" i="120"/>
  <c r="M556" i="12"/>
  <c r="H546" i="120"/>
  <c r="M546" i="12"/>
  <c r="H518" i="120"/>
  <c r="J518" i="120" s="1"/>
  <c r="G110" i="63"/>
  <c r="K66" i="63"/>
  <c r="F108" i="47"/>
  <c r="F114" i="47"/>
  <c r="J109" i="47"/>
  <c r="H534" i="12" s="1"/>
  <c r="F113" i="47"/>
  <c r="F112" i="47"/>
  <c r="K134" i="47"/>
  <c r="K126" i="47"/>
  <c r="J122" i="47"/>
  <c r="K122" i="47" s="1"/>
  <c r="G133" i="63"/>
  <c r="K113" i="63"/>
  <c r="H614" i="12" s="1"/>
  <c r="H508" i="120"/>
  <c r="J508" i="120" s="1"/>
  <c r="F98" i="47"/>
  <c r="J97" i="47"/>
  <c r="H532" i="12" s="1"/>
  <c r="H564" i="120"/>
  <c r="M564" i="12"/>
  <c r="H552" i="120"/>
  <c r="H554" i="120"/>
  <c r="M554" i="12"/>
  <c r="L106" i="63"/>
  <c r="H578" i="120"/>
  <c r="J578" i="120" s="1"/>
  <c r="J577" i="120" s="1"/>
  <c r="M578" i="12"/>
  <c r="M578" i="120" s="1"/>
  <c r="G125" i="63"/>
  <c r="K105" i="63"/>
  <c r="H612" i="12" s="1"/>
  <c r="K132" i="47"/>
  <c r="H550" i="120"/>
  <c r="M550" i="12"/>
  <c r="J101" i="47"/>
  <c r="H533" i="12" s="1"/>
  <c r="F102" i="47"/>
  <c r="J127" i="47"/>
  <c r="F146" i="47"/>
  <c r="J40" i="47"/>
  <c r="K40" i="47" s="1"/>
  <c r="J36" i="47"/>
  <c r="H515" i="12" s="1"/>
  <c r="M600" i="12"/>
  <c r="H600" i="120"/>
  <c r="K130" i="47"/>
  <c r="L98" i="63"/>
  <c r="H562" i="120"/>
  <c r="M562" i="12"/>
  <c r="G116" i="63"/>
  <c r="K96" i="63"/>
  <c r="L96" i="63" s="1"/>
  <c r="J65" i="47"/>
  <c r="K65" i="47" s="1"/>
  <c r="F66" i="47"/>
  <c r="K128" i="47"/>
  <c r="I61" i="61"/>
  <c r="H17" i="120"/>
  <c r="C26" i="134" s="1"/>
  <c r="F82" i="58"/>
  <c r="J72" i="120"/>
  <c r="AD32" i="60"/>
  <c r="AF172" i="58"/>
  <c r="AA40" i="58"/>
  <c r="AA32" i="60"/>
  <c r="Q220" i="58"/>
  <c r="Q217" i="58"/>
  <c r="Q40" i="58"/>
  <c r="Q32" i="60"/>
  <c r="AB15" i="60"/>
  <c r="AB32" i="60" s="1"/>
  <c r="AA220" i="58"/>
  <c r="AA210" i="58" s="1"/>
  <c r="AA217" i="58"/>
  <c r="AA207" i="58" s="1"/>
  <c r="T32" i="60"/>
  <c r="R15" i="60"/>
  <c r="R32" i="60" s="1"/>
  <c r="W32" i="60"/>
  <c r="J168" i="120"/>
  <c r="T217" i="58"/>
  <c r="T207" i="58" s="1"/>
  <c r="T220" i="58"/>
  <c r="T210" i="58" s="1"/>
  <c r="V218" i="58"/>
  <c r="V208" i="58" s="1"/>
  <c r="V220" i="58"/>
  <c r="V210" i="58" s="1"/>
  <c r="V217" i="58"/>
  <c r="V207" i="58" s="1"/>
  <c r="U29" i="60"/>
  <c r="U32" i="60" s="1"/>
  <c r="Z163" i="58"/>
  <c r="Z217" i="58" s="1"/>
  <c r="Z207" i="58" s="1"/>
  <c r="AC29" i="60"/>
  <c r="AC32" i="60" s="1"/>
  <c r="AF36" i="59"/>
  <c r="H208" i="12"/>
  <c r="H217" i="120"/>
  <c r="T5" i="58"/>
  <c r="T12" i="58" s="1"/>
  <c r="J296" i="120"/>
  <c r="Y217" i="58"/>
  <c r="Y207" i="58" s="1"/>
  <c r="Y220" i="58"/>
  <c r="Y210" i="58" s="1"/>
  <c r="Y218" i="58"/>
  <c r="Y208" i="58" s="1"/>
  <c r="Y40" i="58"/>
  <c r="X9" i="58"/>
  <c r="X10" i="58" s="1"/>
  <c r="X11" i="58" s="1"/>
  <c r="W9" i="58"/>
  <c r="W10" i="58" s="1"/>
  <c r="W11" i="58" s="1"/>
  <c r="X22" i="60"/>
  <c r="X32" i="60" s="1"/>
  <c r="AF11" i="60"/>
  <c r="U191" i="58"/>
  <c r="U221" i="58"/>
  <c r="U211" i="58" s="1"/>
  <c r="AA9" i="58"/>
  <c r="AA10" i="58" s="1"/>
  <c r="AA11" i="58" s="1"/>
  <c r="J306" i="120"/>
  <c r="AF12" i="60"/>
  <c r="AF132" i="59"/>
  <c r="V221" i="58"/>
  <c r="V211" i="58" s="1"/>
  <c r="V191" i="58"/>
  <c r="AF17" i="60"/>
  <c r="X218" i="58"/>
  <c r="X208" i="58" s="1"/>
  <c r="X217" i="58"/>
  <c r="X207" i="58" s="1"/>
  <c r="X220" i="58"/>
  <c r="X210" i="58" s="1"/>
  <c r="X40" i="58"/>
  <c r="S9" i="58"/>
  <c r="S10" i="58" s="1"/>
  <c r="S11" i="58" s="1"/>
  <c r="AF18" i="60"/>
  <c r="S15" i="60"/>
  <c r="AA191" i="58"/>
  <c r="AA221" i="58"/>
  <c r="AA211" i="58" s="1"/>
  <c r="J312" i="120"/>
  <c r="J143" i="120"/>
  <c r="AF133" i="59"/>
  <c r="Z9" i="58"/>
  <c r="Z10" i="58" s="1"/>
  <c r="Z11" i="58" s="1"/>
  <c r="H184" i="12"/>
  <c r="H184" i="120" s="1"/>
  <c r="H196" i="12"/>
  <c r="Q9" i="58"/>
  <c r="Q10" i="58" s="1"/>
  <c r="Q11" i="58" s="1"/>
  <c r="V9" i="58"/>
  <c r="V10" i="58" s="1"/>
  <c r="V11" i="58" s="1"/>
  <c r="AF184" i="58"/>
  <c r="AF188" i="58"/>
  <c r="AE185" i="58"/>
  <c r="AF185" i="58" s="1"/>
  <c r="Y9" i="58"/>
  <c r="Y10" i="58" s="1"/>
  <c r="Y11" i="58" s="1"/>
  <c r="U9" i="58"/>
  <c r="U10" i="58" s="1"/>
  <c r="U11" i="58" s="1"/>
  <c r="AE175" i="58"/>
  <c r="AF175" i="58" s="1"/>
  <c r="J295" i="120"/>
  <c r="H61" i="78"/>
  <c r="H89" i="78"/>
  <c r="H74" i="78"/>
  <c r="H80" i="78"/>
  <c r="H88" i="78"/>
  <c r="H41" i="78"/>
  <c r="H69" i="78"/>
  <c r="H28" i="78"/>
  <c r="H25" i="78"/>
  <c r="H84" i="78"/>
  <c r="H54" i="78"/>
  <c r="H87" i="78"/>
  <c r="H63" i="78"/>
  <c r="H86" i="78"/>
  <c r="H78" i="78"/>
  <c r="H81" i="78"/>
  <c r="H51" i="78"/>
  <c r="H29" i="78"/>
  <c r="H33" i="78"/>
  <c r="H43" i="78"/>
  <c r="H53" i="78"/>
  <c r="H64" i="78"/>
  <c r="H60" i="78"/>
  <c r="H59" i="78"/>
  <c r="H82" i="78"/>
  <c r="H23" i="78"/>
  <c r="H85" i="78"/>
  <c r="H55" i="78"/>
  <c r="H75" i="78"/>
  <c r="H76" i="78"/>
  <c r="H17" i="78"/>
  <c r="H44" i="78"/>
  <c r="H62" i="78"/>
  <c r="H16" i="78"/>
  <c r="H27" i="78"/>
  <c r="H31" i="78"/>
  <c r="H37" i="78"/>
  <c r="H70" i="78"/>
  <c r="H30" i="78"/>
  <c r="H46" i="78"/>
  <c r="H35" i="78"/>
  <c r="H26" i="78"/>
  <c r="H36" i="78"/>
  <c r="H15" i="78"/>
  <c r="H68" i="78"/>
  <c r="H48" i="78"/>
  <c r="H22" i="78"/>
  <c r="H34" i="78"/>
  <c r="H38" i="78"/>
  <c r="H56" i="78"/>
  <c r="H19" i="78"/>
  <c r="H66" i="78"/>
  <c r="H32" i="78"/>
  <c r="H50" i="78"/>
  <c r="H45" i="78"/>
  <c r="H52" i="78"/>
  <c r="H57" i="78"/>
  <c r="H72" i="78"/>
  <c r="H73" i="78"/>
  <c r="H77" i="78"/>
  <c r="H67" i="78"/>
  <c r="H20" i="78"/>
  <c r="H49" i="78"/>
  <c r="H83" i="78"/>
  <c r="H71" i="78"/>
  <c r="H65" i="78"/>
  <c r="H14" i="78"/>
  <c r="I14" i="78" s="1"/>
  <c r="H24" i="78"/>
  <c r="H79" i="78"/>
  <c r="H39" i="78"/>
  <c r="H47" i="78"/>
  <c r="H18" i="78"/>
  <c r="H42" i="78"/>
  <c r="H58" i="78"/>
  <c r="H40" i="78"/>
  <c r="H21" i="78"/>
  <c r="B405" i="120"/>
  <c r="A36" i="120"/>
  <c r="M96" i="120"/>
  <c r="B96" i="12"/>
  <c r="AE197" i="58" l="1"/>
  <c r="AF197" i="58" s="1"/>
  <c r="J552" i="120"/>
  <c r="J551" i="120" s="1"/>
  <c r="O69" i="120"/>
  <c r="H56" i="37"/>
  <c r="H59" i="37"/>
  <c r="H63" i="37"/>
  <c r="H96" i="37" s="1"/>
  <c r="H62" i="37"/>
  <c r="H61" i="37"/>
  <c r="H60" i="37"/>
  <c r="H33" i="37"/>
  <c r="H34" i="37"/>
  <c r="H28" i="37"/>
  <c r="H35" i="37"/>
  <c r="H126" i="37" s="1"/>
  <c r="H37" i="37"/>
  <c r="H36" i="37"/>
  <c r="Q207" i="58"/>
  <c r="Q210" i="58"/>
  <c r="Q202" i="58"/>
  <c r="AE84" i="58"/>
  <c r="AF84" i="58" s="1"/>
  <c r="AE59" i="58"/>
  <c r="Q208" i="58"/>
  <c r="Q209" i="58"/>
  <c r="H37" i="120"/>
  <c r="J37" i="120" s="1"/>
  <c r="H66" i="120"/>
  <c r="J66" i="120" s="1"/>
  <c r="O662" i="12"/>
  <c r="J662" i="12"/>
  <c r="O654" i="12"/>
  <c r="M699" i="12"/>
  <c r="M699" i="120" s="1"/>
  <c r="C558" i="12"/>
  <c r="D558" i="12"/>
  <c r="C411" i="12"/>
  <c r="D411" i="12"/>
  <c r="D790" i="120"/>
  <c r="C790" i="120"/>
  <c r="G790" i="120"/>
  <c r="I790" i="120" s="1"/>
  <c r="F790" i="120"/>
  <c r="G405" i="120"/>
  <c r="I405" i="120" s="1"/>
  <c r="J405" i="120" s="1"/>
  <c r="J404" i="120" s="1"/>
  <c r="F405" i="120"/>
  <c r="C405" i="120"/>
  <c r="D405" i="120"/>
  <c r="D616" i="12"/>
  <c r="D96" i="12"/>
  <c r="C96" i="12"/>
  <c r="M689" i="12"/>
  <c r="M689" i="120" s="1"/>
  <c r="G548" i="120"/>
  <c r="I548" i="120" s="1"/>
  <c r="F548" i="120"/>
  <c r="D548" i="120"/>
  <c r="C548" i="120"/>
  <c r="D59" i="120"/>
  <c r="C59" i="120"/>
  <c r="G59" i="120"/>
  <c r="I59" i="120" s="1"/>
  <c r="J59" i="120" s="1"/>
  <c r="J58" i="120" s="1"/>
  <c r="F59" i="120"/>
  <c r="O652" i="120"/>
  <c r="J662" i="120"/>
  <c r="H731" i="12"/>
  <c r="H731" i="120" s="1"/>
  <c r="J731" i="120" s="1"/>
  <c r="H750" i="12"/>
  <c r="H750" i="120" s="1"/>
  <c r="J750" i="120" s="1"/>
  <c r="J749" i="120" s="1"/>
  <c r="H691" i="12"/>
  <c r="M691" i="12" s="1"/>
  <c r="H651" i="120"/>
  <c r="J651" i="120" s="1"/>
  <c r="H695" i="12"/>
  <c r="H695" i="120" s="1"/>
  <c r="M701" i="12"/>
  <c r="B701" i="12" s="1"/>
  <c r="H703" i="12"/>
  <c r="H637" i="12"/>
  <c r="H627" i="12"/>
  <c r="H639" i="12"/>
  <c r="H639" i="120" s="1"/>
  <c r="N75" i="118"/>
  <c r="O64" i="120"/>
  <c r="B411" i="120"/>
  <c r="J659" i="120"/>
  <c r="C24" i="77"/>
  <c r="C28" i="77" s="1"/>
  <c r="I11" i="77" s="1"/>
  <c r="R150" i="58"/>
  <c r="R130" i="58"/>
  <c r="P130" i="58"/>
  <c r="P150" i="58"/>
  <c r="P149" i="58"/>
  <c r="I26" i="155"/>
  <c r="D31" i="122"/>
  <c r="M616" i="120"/>
  <c r="B604" i="12"/>
  <c r="J45" i="62"/>
  <c r="J116" i="62"/>
  <c r="J655" i="120"/>
  <c r="K143" i="47"/>
  <c r="H604" i="120"/>
  <c r="F18" i="87"/>
  <c r="F47" i="87"/>
  <c r="I17" i="87"/>
  <c r="J17" i="87"/>
  <c r="F19" i="87"/>
  <c r="F54" i="87"/>
  <c r="I25" i="87"/>
  <c r="J25" i="87"/>
  <c r="J26" i="87" s="1"/>
  <c r="I35" i="87"/>
  <c r="J35" i="87" s="1"/>
  <c r="J24" i="87"/>
  <c r="J34" i="87"/>
  <c r="U62" i="49"/>
  <c r="U64" i="49" s="1"/>
  <c r="F48" i="87"/>
  <c r="I36" i="87"/>
  <c r="J74" i="62"/>
  <c r="J29" i="87"/>
  <c r="K127" i="47"/>
  <c r="H548" i="12"/>
  <c r="L62" i="49"/>
  <c r="L64" i="49" s="1"/>
  <c r="F58" i="87"/>
  <c r="I30" i="87"/>
  <c r="J30" i="87" s="1"/>
  <c r="J663" i="120"/>
  <c r="B558" i="120"/>
  <c r="C27" i="77"/>
  <c r="H788" i="120"/>
  <c r="P58" i="75"/>
  <c r="Q58" i="75" s="1"/>
  <c r="H29" i="120"/>
  <c r="J859" i="120"/>
  <c r="J858" i="120" s="1"/>
  <c r="H98" i="12"/>
  <c r="H98" i="120" s="1"/>
  <c r="J98" i="120" s="1"/>
  <c r="J97" i="120" s="1"/>
  <c r="H90" i="12"/>
  <c r="H90" i="120" s="1"/>
  <c r="J90" i="120" s="1"/>
  <c r="N98" i="37"/>
  <c r="B61" i="120"/>
  <c r="P59" i="75"/>
  <c r="Q59" i="75" s="1"/>
  <c r="M711" i="12"/>
  <c r="M711" i="120" s="1"/>
  <c r="H713" i="12"/>
  <c r="P57" i="75"/>
  <c r="Q57" i="75" s="1"/>
  <c r="H705" i="12"/>
  <c r="H709" i="120"/>
  <c r="J709" i="120" s="1"/>
  <c r="J708" i="120" s="1"/>
  <c r="M709" i="12"/>
  <c r="M709" i="120" s="1"/>
  <c r="M788" i="120"/>
  <c r="B788" i="12"/>
  <c r="H15" i="121"/>
  <c r="H15" i="74"/>
  <c r="H12" i="121"/>
  <c r="H14" i="121"/>
  <c r="H14" i="74"/>
  <c r="G11" i="121"/>
  <c r="H11" i="121" s="1"/>
  <c r="H64" i="121"/>
  <c r="H300" i="120"/>
  <c r="J300" i="120" s="1"/>
  <c r="H18" i="12"/>
  <c r="Z40" i="58"/>
  <c r="Z220" i="58"/>
  <c r="Z210" i="58" s="1"/>
  <c r="J923" i="12"/>
  <c r="H428" i="120"/>
  <c r="J428" i="120" s="1"/>
  <c r="F78" i="62"/>
  <c r="I78" i="62" s="1"/>
  <c r="I68" i="62"/>
  <c r="H440" i="12" s="1"/>
  <c r="J68" i="62"/>
  <c r="I82" i="62"/>
  <c r="J82" i="62" s="1"/>
  <c r="H427" i="120"/>
  <c r="J427" i="120" s="1"/>
  <c r="N21" i="12"/>
  <c r="C39" i="39"/>
  <c r="J423" i="120"/>
  <c r="O423" i="120"/>
  <c r="I83" i="62"/>
  <c r="J83" i="62" s="1"/>
  <c r="M446" i="12"/>
  <c r="H446" i="120"/>
  <c r="I67" i="62"/>
  <c r="J67" i="62" s="1"/>
  <c r="F69" i="62"/>
  <c r="F80" i="62"/>
  <c r="I80" i="62" s="1"/>
  <c r="I70" i="62"/>
  <c r="H444" i="12" s="1"/>
  <c r="I52" i="62"/>
  <c r="H431" i="12" s="1"/>
  <c r="I50" i="62"/>
  <c r="H430" i="12" s="1"/>
  <c r="K125" i="47"/>
  <c r="L52" i="63"/>
  <c r="K97" i="47"/>
  <c r="K101" i="47"/>
  <c r="L102" i="63"/>
  <c r="L103" i="63"/>
  <c r="M109" i="56"/>
  <c r="O120" i="37"/>
  <c r="O109" i="37"/>
  <c r="O119" i="37"/>
  <c r="H338" i="120"/>
  <c r="J338" i="120" s="1"/>
  <c r="H335" i="120"/>
  <c r="J335" i="120" s="1"/>
  <c r="E407" i="120"/>
  <c r="K36" i="132"/>
  <c r="H629" i="12"/>
  <c r="H629" i="120" s="1"/>
  <c r="J629" i="120" s="1"/>
  <c r="H337" i="120"/>
  <c r="J337" i="120" s="1"/>
  <c r="H196" i="120"/>
  <c r="O196" i="120" s="1"/>
  <c r="O196" i="12"/>
  <c r="K105" i="132"/>
  <c r="H403" i="120"/>
  <c r="J403" i="120" s="1"/>
  <c r="J402" i="120" s="1"/>
  <c r="B409" i="12"/>
  <c r="M409" i="120"/>
  <c r="H570" i="120"/>
  <c r="M570" i="12"/>
  <c r="H811" i="120"/>
  <c r="J811" i="120" s="1"/>
  <c r="M828" i="120"/>
  <c r="B828" i="12"/>
  <c r="K77" i="83"/>
  <c r="J84" i="83"/>
  <c r="K84" i="83" s="1"/>
  <c r="J78" i="83"/>
  <c r="K78" i="83" s="1"/>
  <c r="H825" i="120"/>
  <c r="J825" i="120" s="1"/>
  <c r="M844" i="12"/>
  <c r="H844" i="120"/>
  <c r="K117" i="83"/>
  <c r="K52" i="83"/>
  <c r="H803" i="120"/>
  <c r="O803" i="12"/>
  <c r="J69" i="83"/>
  <c r="H806" i="12" s="1"/>
  <c r="J57" i="83"/>
  <c r="K57" i="83" s="1"/>
  <c r="M792" i="120"/>
  <c r="B792" i="12"/>
  <c r="O161" i="54"/>
  <c r="N153" i="54"/>
  <c r="O153" i="54" s="1"/>
  <c r="O156" i="54"/>
  <c r="H760" i="120"/>
  <c r="H781" i="120"/>
  <c r="J781" i="120" s="1"/>
  <c r="H18" i="55"/>
  <c r="H21" i="55"/>
  <c r="N239" i="54"/>
  <c r="H794" i="12" s="1"/>
  <c r="H915" i="120"/>
  <c r="J915" i="120" s="1"/>
  <c r="J891" i="120" s="1"/>
  <c r="J915" i="12"/>
  <c r="O237" i="54"/>
  <c r="H756" i="120"/>
  <c r="J756" i="120" s="1"/>
  <c r="O232" i="54"/>
  <c r="N183" i="54"/>
  <c r="O183" i="54" s="1"/>
  <c r="Q20" i="75"/>
  <c r="H736" i="120"/>
  <c r="J736" i="120" s="1"/>
  <c r="H738" i="120"/>
  <c r="J738" i="120" s="1"/>
  <c r="Z218" i="58"/>
  <c r="Z208" i="58" s="1"/>
  <c r="N108" i="37"/>
  <c r="O102" i="37"/>
  <c r="N101" i="37"/>
  <c r="N103" i="56"/>
  <c r="O116" i="37"/>
  <c r="N114" i="56"/>
  <c r="J654" i="120"/>
  <c r="O654" i="120"/>
  <c r="N110" i="56"/>
  <c r="N57" i="37"/>
  <c r="M107" i="56"/>
  <c r="L109" i="63"/>
  <c r="L113" i="63"/>
  <c r="G124" i="63"/>
  <c r="K104" i="63"/>
  <c r="H610" i="12" s="1"/>
  <c r="J102" i="47"/>
  <c r="K102" i="47" s="1"/>
  <c r="F140" i="47"/>
  <c r="J112" i="47"/>
  <c r="K112" i="47" s="1"/>
  <c r="F129" i="47"/>
  <c r="H533" i="120"/>
  <c r="J533" i="120" s="1"/>
  <c r="B564" i="12"/>
  <c r="M564" i="120"/>
  <c r="J113" i="47"/>
  <c r="K113" i="47" s="1"/>
  <c r="F135" i="47"/>
  <c r="B562" i="12"/>
  <c r="M562" i="120"/>
  <c r="B550" i="12"/>
  <c r="M550" i="120"/>
  <c r="H534" i="120"/>
  <c r="J534" i="120" s="1"/>
  <c r="H620" i="120"/>
  <c r="J620" i="120" s="1"/>
  <c r="J619" i="120" s="1"/>
  <c r="M620" i="12"/>
  <c r="M620" i="120" s="1"/>
  <c r="J114" i="47"/>
  <c r="K114" i="47" s="1"/>
  <c r="F142" i="47"/>
  <c r="J108" i="47"/>
  <c r="K108" i="47" s="1"/>
  <c r="M544" i="12"/>
  <c r="H544" i="120"/>
  <c r="H612" i="120"/>
  <c r="M612" i="12"/>
  <c r="H22" i="12"/>
  <c r="H532" i="120"/>
  <c r="K109" i="47"/>
  <c r="F139" i="47"/>
  <c r="J98" i="47"/>
  <c r="K98" i="47" s="1"/>
  <c r="B600" i="12"/>
  <c r="M600" i="120"/>
  <c r="L105" i="63"/>
  <c r="G130" i="63"/>
  <c r="K110" i="63"/>
  <c r="H622" i="12" s="1"/>
  <c r="H515" i="120"/>
  <c r="J515" i="120" s="1"/>
  <c r="G94" i="63"/>
  <c r="G115" i="63"/>
  <c r="K95" i="63"/>
  <c r="L95" i="63" s="1"/>
  <c r="K36" i="47"/>
  <c r="H51" i="118"/>
  <c r="H52" i="118" s="1"/>
  <c r="H69" i="118" s="1"/>
  <c r="H614" i="120"/>
  <c r="M614" i="12"/>
  <c r="L76" i="63"/>
  <c r="J66" i="47"/>
  <c r="J67" i="47" s="1"/>
  <c r="F67" i="47"/>
  <c r="M546" i="120"/>
  <c r="B546" i="12"/>
  <c r="G107" i="63"/>
  <c r="K53" i="63"/>
  <c r="L53" i="63" s="1"/>
  <c r="M554" i="120"/>
  <c r="B554" i="12"/>
  <c r="H540" i="12"/>
  <c r="H541" i="12"/>
  <c r="K99" i="63"/>
  <c r="H602" i="12" s="1"/>
  <c r="G119" i="63"/>
  <c r="H23" i="12"/>
  <c r="H587" i="120"/>
  <c r="M556" i="120"/>
  <c r="B556" i="12"/>
  <c r="H514" i="12"/>
  <c r="AE196" i="58"/>
  <c r="AF196" i="58" s="1"/>
  <c r="AE174" i="58"/>
  <c r="AF174" i="58" s="1"/>
  <c r="AE22" i="60"/>
  <c r="AF22" i="60" s="1"/>
  <c r="O217" i="120"/>
  <c r="J217" i="120"/>
  <c r="T11" i="58"/>
  <c r="H208" i="120"/>
  <c r="J208" i="120" s="1"/>
  <c r="Q113" i="58"/>
  <c r="Q88" i="58"/>
  <c r="Q87" i="58" s="1"/>
  <c r="Q13" i="58"/>
  <c r="Q20" i="58" s="1"/>
  <c r="Q31" i="58"/>
  <c r="Q17" i="58"/>
  <c r="Q18" i="58" s="1"/>
  <c r="Q24" i="58" s="1"/>
  <c r="X113" i="58"/>
  <c r="X88" i="58"/>
  <c r="X87" i="58" s="1"/>
  <c r="X13" i="58"/>
  <c r="X20" i="58" s="1"/>
  <c r="X31" i="58"/>
  <c r="X17" i="58"/>
  <c r="X18" i="58" s="1"/>
  <c r="X24" i="58" s="1"/>
  <c r="AA13" i="58"/>
  <c r="AA20" i="58" s="1"/>
  <c r="AA31" i="58"/>
  <c r="AA17" i="58"/>
  <c r="AA18" i="58" s="1"/>
  <c r="AA24" i="58" s="1"/>
  <c r="AA113" i="58"/>
  <c r="Y31" i="58"/>
  <c r="Y17" i="58"/>
  <c r="Y18" i="58" s="1"/>
  <c r="Y24" i="58" s="1"/>
  <c r="Y113" i="58"/>
  <c r="Y88" i="58"/>
  <c r="Y87" i="58" s="1"/>
  <c r="Y13" i="58"/>
  <c r="Y20" i="58" s="1"/>
  <c r="V113" i="58"/>
  <c r="V31" i="58"/>
  <c r="V88" i="58"/>
  <c r="V87" i="58" s="1"/>
  <c r="V13" i="58"/>
  <c r="V20" i="58" s="1"/>
  <c r="V17" i="58"/>
  <c r="V18" i="58" s="1"/>
  <c r="V24" i="58" s="1"/>
  <c r="I9" i="61"/>
  <c r="S32" i="60"/>
  <c r="AE15" i="60"/>
  <c r="AF15" i="60" s="1"/>
  <c r="AE21" i="60"/>
  <c r="AF21" i="60" s="1"/>
  <c r="J299" i="120"/>
  <c r="AE14" i="60"/>
  <c r="AF14" i="60" s="1"/>
  <c r="W13" i="58"/>
  <c r="W20" i="58" s="1"/>
  <c r="W31" i="58"/>
  <c r="W17" i="58"/>
  <c r="W18" i="58" s="1"/>
  <c r="W24" i="58" s="1"/>
  <c r="W113" i="58"/>
  <c r="W88" i="58"/>
  <c r="W87" i="58" s="1"/>
  <c r="I6" i="61"/>
  <c r="U31" i="58"/>
  <c r="U13" i="58"/>
  <c r="U20" i="58" s="1"/>
  <c r="U113" i="58"/>
  <c r="U17" i="58"/>
  <c r="U18" i="58" s="1"/>
  <c r="U24" i="58" s="1"/>
  <c r="S88" i="58"/>
  <c r="S87" i="58" s="1"/>
  <c r="S13" i="58"/>
  <c r="S20" i="58" s="1"/>
  <c r="S31" i="58"/>
  <c r="S113" i="58"/>
  <c r="S17" i="58"/>
  <c r="S18" i="58" s="1"/>
  <c r="S24" i="58" s="1"/>
  <c r="J184" i="120"/>
  <c r="Z31" i="58"/>
  <c r="Z113" i="58"/>
  <c r="Z13" i="58"/>
  <c r="Z20" i="58" s="1"/>
  <c r="Z17" i="58"/>
  <c r="Z18" i="58" s="1"/>
  <c r="Z24" i="58" s="1"/>
  <c r="J14" i="78"/>
  <c r="I15" i="78"/>
  <c r="B616" i="120"/>
  <c r="B96" i="120"/>
  <c r="A38" i="12"/>
  <c r="A38" i="120" s="1"/>
  <c r="A37" i="120"/>
  <c r="O66" i="120" l="1"/>
  <c r="H106" i="37"/>
  <c r="H127" i="37"/>
  <c r="H131" i="37"/>
  <c r="H128" i="37"/>
  <c r="H104" i="37"/>
  <c r="H103" i="37"/>
  <c r="H105" i="37"/>
  <c r="H97" i="37"/>
  <c r="H121" i="37" s="1"/>
  <c r="H125" i="12"/>
  <c r="AF59" i="58"/>
  <c r="AE202" i="58"/>
  <c r="B699" i="12"/>
  <c r="C699" i="12" s="1"/>
  <c r="H691" i="120"/>
  <c r="B689" i="12"/>
  <c r="B689" i="120" s="1"/>
  <c r="M639" i="12"/>
  <c r="B639" i="12" s="1"/>
  <c r="D546" i="12"/>
  <c r="C546" i="12"/>
  <c r="D550" i="12"/>
  <c r="C550" i="12"/>
  <c r="G558" i="120"/>
  <c r="I558" i="120" s="1"/>
  <c r="J558" i="120" s="1"/>
  <c r="J557" i="120" s="1"/>
  <c r="F558" i="120"/>
  <c r="D558" i="120"/>
  <c r="C558" i="120"/>
  <c r="D556" i="12"/>
  <c r="C556" i="12"/>
  <c r="C562" i="12"/>
  <c r="D562" i="12"/>
  <c r="D792" i="12"/>
  <c r="C792" i="12"/>
  <c r="D409" i="12"/>
  <c r="C409" i="12"/>
  <c r="G61" i="120"/>
  <c r="I61" i="120" s="1"/>
  <c r="J61" i="120" s="1"/>
  <c r="J60" i="120" s="1"/>
  <c r="F61" i="120"/>
  <c r="D61" i="120"/>
  <c r="C61" i="120"/>
  <c r="D604" i="12"/>
  <c r="C96" i="120"/>
  <c r="G96" i="120"/>
  <c r="I96" i="120" s="1"/>
  <c r="J96" i="120" s="1"/>
  <c r="F96" i="120"/>
  <c r="D96" i="120"/>
  <c r="G616" i="120"/>
  <c r="I616" i="120" s="1"/>
  <c r="J616" i="120" s="1"/>
  <c r="J615" i="120" s="1"/>
  <c r="F616" i="120"/>
  <c r="D616" i="120"/>
  <c r="C616" i="120"/>
  <c r="D600" i="12"/>
  <c r="M701" i="120"/>
  <c r="D788" i="12"/>
  <c r="C788" i="12"/>
  <c r="D554" i="12"/>
  <c r="C554" i="12"/>
  <c r="D564" i="12"/>
  <c r="C564" i="12"/>
  <c r="C828" i="12"/>
  <c r="D828" i="12"/>
  <c r="G411" i="120"/>
  <c r="I411" i="120" s="1"/>
  <c r="J411" i="120" s="1"/>
  <c r="J410" i="120" s="1"/>
  <c r="F411" i="120"/>
  <c r="D411" i="120"/>
  <c r="C411" i="120"/>
  <c r="C701" i="12"/>
  <c r="D701" i="12"/>
  <c r="M695" i="12"/>
  <c r="M695" i="120" s="1"/>
  <c r="H627" i="120"/>
  <c r="J627" i="120" s="1"/>
  <c r="O651" i="120"/>
  <c r="H697" i="12"/>
  <c r="H697" i="120" s="1"/>
  <c r="H693" i="12"/>
  <c r="H693" i="120" s="1"/>
  <c r="H715" i="12"/>
  <c r="H633" i="12"/>
  <c r="H633" i="120" s="1"/>
  <c r="J633" i="120" s="1"/>
  <c r="B604" i="120"/>
  <c r="H705" i="120"/>
  <c r="J26" i="155"/>
  <c r="K26" i="155" s="1"/>
  <c r="R131" i="58"/>
  <c r="R151" i="58"/>
  <c r="P151" i="58"/>
  <c r="P131" i="58"/>
  <c r="C47" i="155"/>
  <c r="B69" i="155"/>
  <c r="E69" i="155" s="1"/>
  <c r="G69" i="155" s="1"/>
  <c r="H69" i="155" s="1"/>
  <c r="I789" i="120"/>
  <c r="J790" i="120"/>
  <c r="J789" i="120" s="1"/>
  <c r="J36" i="87"/>
  <c r="I58" i="87"/>
  <c r="I54" i="87"/>
  <c r="I19" i="87"/>
  <c r="J19" i="87" s="1"/>
  <c r="I47" i="87"/>
  <c r="J47" i="87"/>
  <c r="F50" i="87"/>
  <c r="I18" i="87"/>
  <c r="J18" i="87"/>
  <c r="I48" i="87"/>
  <c r="B788" i="120"/>
  <c r="C12" i="153"/>
  <c r="H17" i="121"/>
  <c r="H65" i="121" s="1"/>
  <c r="H66" i="121" s="1"/>
  <c r="H68" i="121" s="1"/>
  <c r="H69" i="121" s="1"/>
  <c r="G889" i="120" s="1"/>
  <c r="I889" i="120" s="1"/>
  <c r="J889" i="120" s="1"/>
  <c r="O98" i="37"/>
  <c r="L875" i="120"/>
  <c r="L861" i="120"/>
  <c r="L886" i="120"/>
  <c r="L865" i="120"/>
  <c r="L858" i="120"/>
  <c r="L885" i="120"/>
  <c r="L878" i="120"/>
  <c r="L873" i="120"/>
  <c r="L869" i="120"/>
  <c r="L884" i="120"/>
  <c r="L859" i="120"/>
  <c r="L876" i="120"/>
  <c r="L881" i="120"/>
  <c r="L868" i="120"/>
  <c r="L877" i="120"/>
  <c r="L872" i="120"/>
  <c r="L870" i="120"/>
  <c r="L867" i="120"/>
  <c r="L864" i="120"/>
  <c r="J29" i="120"/>
  <c r="D74" i="134" s="1"/>
  <c r="M75" i="134" s="1"/>
  <c r="M76" i="134" s="1"/>
  <c r="L862" i="120"/>
  <c r="L871" i="120"/>
  <c r="L883" i="120"/>
  <c r="L879" i="120"/>
  <c r="L860" i="120"/>
  <c r="J887" i="120"/>
  <c r="L866" i="120"/>
  <c r="L874" i="120"/>
  <c r="L880" i="120"/>
  <c r="L863" i="120"/>
  <c r="L882" i="120"/>
  <c r="C19" i="77"/>
  <c r="D19" i="122"/>
  <c r="M705" i="12"/>
  <c r="M705" i="120" s="1"/>
  <c r="H18" i="120"/>
  <c r="C30" i="134" s="1"/>
  <c r="J294" i="120"/>
  <c r="O57" i="37"/>
  <c r="H650" i="12"/>
  <c r="N109" i="56"/>
  <c r="J891" i="12"/>
  <c r="L923" i="12" s="1"/>
  <c r="M446" i="120"/>
  <c r="B446" i="12"/>
  <c r="N21" i="120"/>
  <c r="C39" i="134"/>
  <c r="H429" i="12"/>
  <c r="H430" i="120"/>
  <c r="J430" i="120" s="1"/>
  <c r="J50" i="62"/>
  <c r="M440" i="12"/>
  <c r="H440" i="120"/>
  <c r="F79" i="62"/>
  <c r="I69" i="62"/>
  <c r="H442" i="12" s="1"/>
  <c r="H431" i="120"/>
  <c r="J431" i="120" s="1"/>
  <c r="J52" i="62"/>
  <c r="H444" i="120"/>
  <c r="M444" i="12"/>
  <c r="J70" i="62"/>
  <c r="L104" i="63"/>
  <c r="M608" i="12"/>
  <c r="H608" i="120"/>
  <c r="H606" i="120"/>
  <c r="M606" i="12"/>
  <c r="N104" i="56"/>
  <c r="O108" i="37"/>
  <c r="O101" i="37"/>
  <c r="H703" i="120"/>
  <c r="M703" i="12"/>
  <c r="Q97" i="58"/>
  <c r="Q98" i="58" s="1"/>
  <c r="AA97" i="58"/>
  <c r="AA104" i="58" s="1"/>
  <c r="AA109" i="58" s="1"/>
  <c r="AA110" i="58" s="1"/>
  <c r="AA112" i="58" s="1"/>
  <c r="Z97" i="58"/>
  <c r="Z99" i="58" s="1"/>
  <c r="V97" i="58"/>
  <c r="V98" i="58" s="1"/>
  <c r="S97" i="58"/>
  <c r="S98" i="58" s="1"/>
  <c r="Y97" i="58"/>
  <c r="Y98" i="58" s="1"/>
  <c r="H407" i="120"/>
  <c r="J407" i="120" s="1"/>
  <c r="J406" i="120" s="1"/>
  <c r="M407" i="12"/>
  <c r="M407" i="120" s="1"/>
  <c r="B409" i="120"/>
  <c r="B570" i="12"/>
  <c r="M570" i="120"/>
  <c r="J74" i="83"/>
  <c r="H824" i="12" s="1"/>
  <c r="J803" i="120"/>
  <c r="O803" i="120"/>
  <c r="J73" i="83"/>
  <c r="H823" i="12" s="1"/>
  <c r="J128" i="83"/>
  <c r="H850" i="12" s="1"/>
  <c r="B844" i="12"/>
  <c r="M844" i="120"/>
  <c r="J85" i="83"/>
  <c r="H813" i="12" s="1"/>
  <c r="J70" i="83"/>
  <c r="K70" i="83" s="1"/>
  <c r="B828" i="120"/>
  <c r="H806" i="120"/>
  <c r="O806" i="12"/>
  <c r="N28" i="12" s="1"/>
  <c r="C71" i="39" s="1"/>
  <c r="J71" i="83"/>
  <c r="K71" i="83" s="1"/>
  <c r="J72" i="83"/>
  <c r="H822" i="12" s="1"/>
  <c r="J929" i="120"/>
  <c r="L891" i="120"/>
  <c r="L920" i="120"/>
  <c r="L921" i="120"/>
  <c r="L915" i="120"/>
  <c r="L904" i="120"/>
  <c r="L923" i="120"/>
  <c r="L895" i="120"/>
  <c r="L906" i="120"/>
  <c r="L900" i="120"/>
  <c r="L896" i="120"/>
  <c r="B792" i="120"/>
  <c r="N188" i="54"/>
  <c r="J10" i="118" s="1"/>
  <c r="L913" i="120"/>
  <c r="L918" i="120"/>
  <c r="N155" i="54"/>
  <c r="H761" i="12" s="1"/>
  <c r="L908" i="120"/>
  <c r="L901" i="120"/>
  <c r="L927" i="120"/>
  <c r="H794" i="120"/>
  <c r="J794" i="120" s="1"/>
  <c r="J793" i="120" s="1"/>
  <c r="L919" i="120"/>
  <c r="L907" i="120"/>
  <c r="L893" i="120"/>
  <c r="O239" i="54"/>
  <c r="L928" i="120"/>
  <c r="L926" i="120"/>
  <c r="L924" i="120"/>
  <c r="L911" i="120"/>
  <c r="L905" i="120"/>
  <c r="L902" i="120"/>
  <c r="L909" i="120"/>
  <c r="M786" i="12"/>
  <c r="H786" i="120"/>
  <c r="O760" i="120"/>
  <c r="J760" i="120"/>
  <c r="L914" i="120"/>
  <c r="L892" i="120"/>
  <c r="L903" i="120"/>
  <c r="L910" i="120"/>
  <c r="L899" i="120"/>
  <c r="L922" i="120"/>
  <c r="L912" i="120"/>
  <c r="L898" i="120"/>
  <c r="L894" i="120"/>
  <c r="L925" i="120"/>
  <c r="L916" i="120"/>
  <c r="J31" i="120"/>
  <c r="D82" i="134" s="1"/>
  <c r="L917" i="120"/>
  <c r="L897" i="120"/>
  <c r="N112" i="56"/>
  <c r="N162" i="54"/>
  <c r="O162" i="54" s="1"/>
  <c r="H713" i="120"/>
  <c r="J713" i="120" s="1"/>
  <c r="J712" i="120" s="1"/>
  <c r="M713" i="12"/>
  <c r="M713" i="120" s="1"/>
  <c r="B701" i="120"/>
  <c r="M691" i="120"/>
  <c r="B691" i="12"/>
  <c r="M637" i="12"/>
  <c r="H637" i="120"/>
  <c r="M95" i="56"/>
  <c r="N95" i="56" s="1"/>
  <c r="H630" i="12"/>
  <c r="H630" i="120" s="1"/>
  <c r="J630" i="120" s="1"/>
  <c r="L99" i="63"/>
  <c r="H602" i="120"/>
  <c r="M602" i="12"/>
  <c r="M622" i="12"/>
  <c r="M622" i="120" s="1"/>
  <c r="H622" i="120"/>
  <c r="J622" i="120" s="1"/>
  <c r="J621" i="120" s="1"/>
  <c r="M544" i="120"/>
  <c r="B544" i="12"/>
  <c r="J135" i="47"/>
  <c r="H560" i="12" s="1"/>
  <c r="F147" i="47"/>
  <c r="H541" i="120"/>
  <c r="J541" i="120" s="1"/>
  <c r="L110" i="63"/>
  <c r="H540" i="120"/>
  <c r="J540" i="120" s="1"/>
  <c r="H70" i="118"/>
  <c r="H74" i="118"/>
  <c r="F154" i="47"/>
  <c r="J142" i="47"/>
  <c r="B554" i="120"/>
  <c r="B564" i="120"/>
  <c r="B600" i="120"/>
  <c r="J138" i="47"/>
  <c r="K138" i="47" s="1"/>
  <c r="F151" i="47"/>
  <c r="F149" i="47"/>
  <c r="J129" i="47"/>
  <c r="H566" i="12" s="1"/>
  <c r="H548" i="120"/>
  <c r="J548" i="120" s="1"/>
  <c r="J547" i="120" s="1"/>
  <c r="K107" i="63"/>
  <c r="H618" i="12" s="1"/>
  <c r="G127" i="63"/>
  <c r="K94" i="63"/>
  <c r="L94" i="63" s="1"/>
  <c r="F152" i="47"/>
  <c r="J139" i="47"/>
  <c r="H514" i="120"/>
  <c r="J514" i="120" s="1"/>
  <c r="H513" i="12"/>
  <c r="B546" i="120"/>
  <c r="B556" i="120"/>
  <c r="F153" i="47"/>
  <c r="J140" i="47"/>
  <c r="K66" i="47"/>
  <c r="H22" i="120"/>
  <c r="J532" i="120"/>
  <c r="H23" i="120"/>
  <c r="J587" i="120"/>
  <c r="K67" i="47"/>
  <c r="C34" i="77"/>
  <c r="D23" i="122"/>
  <c r="B612" i="12"/>
  <c r="M612" i="120"/>
  <c r="B550" i="120"/>
  <c r="C35" i="77"/>
  <c r="C36" i="77" s="1"/>
  <c r="C51" i="39"/>
  <c r="D24" i="122"/>
  <c r="H610" i="120"/>
  <c r="M610" i="12"/>
  <c r="M614" i="120"/>
  <c r="B614" i="12"/>
  <c r="B562" i="120"/>
  <c r="T13" i="58"/>
  <c r="T20" i="58" s="1"/>
  <c r="T31" i="58"/>
  <c r="T113" i="58"/>
  <c r="T17" i="58"/>
  <c r="T18" i="58" s="1"/>
  <c r="T24" i="58" s="1"/>
  <c r="Y25" i="58"/>
  <c r="Y26" i="58" s="1"/>
  <c r="Y27" i="58" s="1"/>
  <c r="U25" i="58"/>
  <c r="U26" i="58" s="1"/>
  <c r="Q25" i="58"/>
  <c r="Q26" i="58" s="1"/>
  <c r="V25" i="58"/>
  <c r="V26" i="58" s="1"/>
  <c r="AA114" i="58"/>
  <c r="AA115" i="58"/>
  <c r="V57" i="58"/>
  <c r="V69" i="58" s="1"/>
  <c r="V21" i="58"/>
  <c r="V22" i="58" s="1"/>
  <c r="V42" i="58"/>
  <c r="V56" i="58"/>
  <c r="V68" i="58" s="1"/>
  <c r="Y32" i="58"/>
  <c r="Y34" i="58" s="1"/>
  <c r="Y33" i="58"/>
  <c r="AA25" i="58"/>
  <c r="AA26" i="58" s="1"/>
  <c r="U115" i="58"/>
  <c r="U114" i="58"/>
  <c r="V32" i="58"/>
  <c r="V34" i="58" s="1"/>
  <c r="V33" i="58"/>
  <c r="X115" i="58"/>
  <c r="X114" i="58"/>
  <c r="W115" i="58"/>
  <c r="W114" i="58"/>
  <c r="H8" i="61"/>
  <c r="I8" i="61" s="1"/>
  <c r="AA33" i="58"/>
  <c r="AA32" i="58"/>
  <c r="AA34" i="58" s="1"/>
  <c r="W97" i="58"/>
  <c r="V115" i="58"/>
  <c r="V114" i="58"/>
  <c r="AA21" i="58"/>
  <c r="AA22" i="58" s="1"/>
  <c r="AA57" i="58"/>
  <c r="AA69" i="58" s="1"/>
  <c r="AA42" i="58"/>
  <c r="AA56" i="58"/>
  <c r="AA68" i="58" s="1"/>
  <c r="Z57" i="58"/>
  <c r="Z69" i="58" s="1"/>
  <c r="Z42" i="58"/>
  <c r="Z21" i="58"/>
  <c r="Z22" i="58" s="1"/>
  <c r="Z23" i="58" s="1"/>
  <c r="Z56" i="58"/>
  <c r="Z68" i="58" s="1"/>
  <c r="J196" i="120"/>
  <c r="S25" i="58"/>
  <c r="S26" i="58" s="1"/>
  <c r="S27" i="58" s="1"/>
  <c r="W25" i="58"/>
  <c r="W26" i="58" s="1"/>
  <c r="Q32" i="58"/>
  <c r="Q34" i="58" s="1"/>
  <c r="Q33" i="58"/>
  <c r="Z114" i="58"/>
  <c r="Z115" i="58"/>
  <c r="S115" i="58"/>
  <c r="S114" i="58"/>
  <c r="U42" i="58"/>
  <c r="U21" i="58"/>
  <c r="U57" i="58"/>
  <c r="U69" i="58" s="1"/>
  <c r="U56" i="58"/>
  <c r="U68" i="58" s="1"/>
  <c r="Z25" i="58"/>
  <c r="Z26" i="58" s="1"/>
  <c r="Z27" i="58" s="1"/>
  <c r="S32" i="58"/>
  <c r="S34" i="58" s="1"/>
  <c r="S33" i="58"/>
  <c r="W33" i="58"/>
  <c r="W32" i="58"/>
  <c r="W34" i="58" s="1"/>
  <c r="Y57" i="58"/>
  <c r="Y69" i="58" s="1"/>
  <c r="Y42" i="58"/>
  <c r="Y21" i="58"/>
  <c r="Y22" i="58" s="1"/>
  <c r="Y56" i="58"/>
  <c r="Y68" i="58" s="1"/>
  <c r="S21" i="58"/>
  <c r="S56" i="58"/>
  <c r="S57" i="58"/>
  <c r="S42" i="58"/>
  <c r="U97" i="58"/>
  <c r="W42" i="58"/>
  <c r="W21" i="58"/>
  <c r="W22" i="58" s="1"/>
  <c r="W56" i="58"/>
  <c r="W68" i="58" s="1"/>
  <c r="W57" i="58"/>
  <c r="W69" i="58" s="1"/>
  <c r="X25" i="58"/>
  <c r="X26" i="58" s="1"/>
  <c r="X27" i="58" s="1"/>
  <c r="U33" i="58"/>
  <c r="U32" i="58"/>
  <c r="U34" i="58" s="1"/>
  <c r="Q56" i="58"/>
  <c r="Q21" i="58"/>
  <c r="Q22" i="58" s="1"/>
  <c r="Q57" i="58"/>
  <c r="Q42" i="58"/>
  <c r="X33" i="58"/>
  <c r="X32" i="58"/>
  <c r="X34" i="58" s="1"/>
  <c r="Z32" i="58"/>
  <c r="Z34" i="58" s="1"/>
  <c r="Z33" i="58"/>
  <c r="H11" i="61"/>
  <c r="I11" i="61" s="1"/>
  <c r="X57" i="58"/>
  <c r="X69" i="58" s="1"/>
  <c r="X42" i="58"/>
  <c r="X21" i="58"/>
  <c r="X22" i="58" s="1"/>
  <c r="X23" i="58" s="1"/>
  <c r="X56" i="58"/>
  <c r="X68" i="58" s="1"/>
  <c r="Y115" i="58"/>
  <c r="Y114" i="58"/>
  <c r="X97" i="58"/>
  <c r="Q114" i="58"/>
  <c r="Q115" i="58"/>
  <c r="J15" i="78"/>
  <c r="I16" i="78"/>
  <c r="B699" i="120" l="1"/>
  <c r="D699" i="12"/>
  <c r="H173" i="12"/>
  <c r="AF202" i="58"/>
  <c r="O125" i="12"/>
  <c r="H125" i="120"/>
  <c r="M639" i="120"/>
  <c r="C689" i="12"/>
  <c r="D689" i="12"/>
  <c r="B695" i="12"/>
  <c r="B695" i="120" s="1"/>
  <c r="M697" i="12"/>
  <c r="G600" i="120"/>
  <c r="I600" i="120" s="1"/>
  <c r="J600" i="120" s="1"/>
  <c r="J599" i="120" s="1"/>
  <c r="F600" i="120"/>
  <c r="D600" i="120"/>
  <c r="C600" i="120"/>
  <c r="G699" i="120"/>
  <c r="I699" i="120" s="1"/>
  <c r="J699" i="120" s="1"/>
  <c r="J698" i="120" s="1"/>
  <c r="F699" i="120"/>
  <c r="D699" i="120"/>
  <c r="C699" i="120"/>
  <c r="D701" i="120"/>
  <c r="C701" i="120"/>
  <c r="G701" i="120"/>
  <c r="I701" i="120" s="1"/>
  <c r="J701" i="120" s="1"/>
  <c r="J700" i="120" s="1"/>
  <c r="F701" i="120"/>
  <c r="G554" i="120"/>
  <c r="I554" i="120" s="1"/>
  <c r="J554" i="120" s="1"/>
  <c r="J553" i="120" s="1"/>
  <c r="F554" i="120"/>
  <c r="D554" i="120"/>
  <c r="C554" i="120"/>
  <c r="C544" i="12"/>
  <c r="D544" i="12"/>
  <c r="G828" i="120"/>
  <c r="I828" i="120" s="1"/>
  <c r="F828" i="120"/>
  <c r="D828" i="120"/>
  <c r="C828" i="120"/>
  <c r="D409" i="120"/>
  <c r="C409" i="120"/>
  <c r="G409" i="120"/>
  <c r="I409" i="120" s="1"/>
  <c r="J409" i="120" s="1"/>
  <c r="J408" i="120" s="1"/>
  <c r="J314" i="120" s="1"/>
  <c r="F409" i="120"/>
  <c r="G788" i="120"/>
  <c r="I788" i="120" s="1"/>
  <c r="I787" i="120" s="1"/>
  <c r="F788" i="120"/>
  <c r="D788" i="120"/>
  <c r="C788" i="120"/>
  <c r="D446" i="12"/>
  <c r="C446" i="12"/>
  <c r="G604" i="120"/>
  <c r="I604" i="120" s="1"/>
  <c r="J604" i="120" s="1"/>
  <c r="J603" i="120" s="1"/>
  <c r="F604" i="120"/>
  <c r="D604" i="120"/>
  <c r="C604" i="120"/>
  <c r="D639" i="12"/>
  <c r="C639" i="12"/>
  <c r="D550" i="120"/>
  <c r="C550" i="120"/>
  <c r="G550" i="120"/>
  <c r="I550" i="120" s="1"/>
  <c r="J550" i="120" s="1"/>
  <c r="J549" i="120" s="1"/>
  <c r="F550" i="120"/>
  <c r="D844" i="12"/>
  <c r="C844" i="12"/>
  <c r="C614" i="12"/>
  <c r="D614" i="12"/>
  <c r="G564" i="120"/>
  <c r="I564" i="120" s="1"/>
  <c r="J564" i="120" s="1"/>
  <c r="J563" i="120" s="1"/>
  <c r="F564" i="120"/>
  <c r="D564" i="120"/>
  <c r="C564" i="120"/>
  <c r="D570" i="12"/>
  <c r="C570" i="12"/>
  <c r="D689" i="120"/>
  <c r="C689" i="120"/>
  <c r="G689" i="120"/>
  <c r="I689" i="120" s="1"/>
  <c r="J689" i="120" s="1"/>
  <c r="J688" i="120" s="1"/>
  <c r="F689" i="120"/>
  <c r="D612" i="12"/>
  <c r="D691" i="12"/>
  <c r="C691" i="12"/>
  <c r="G556" i="120"/>
  <c r="I556" i="120" s="1"/>
  <c r="J556" i="120" s="1"/>
  <c r="J555" i="120" s="1"/>
  <c r="F556" i="120"/>
  <c r="C556" i="120"/>
  <c r="D556" i="120"/>
  <c r="G562" i="120"/>
  <c r="I562" i="120" s="1"/>
  <c r="J562" i="120" s="1"/>
  <c r="J561" i="120" s="1"/>
  <c r="F562" i="120"/>
  <c r="D562" i="120"/>
  <c r="C562" i="120"/>
  <c r="G546" i="120"/>
  <c r="I546" i="120" s="1"/>
  <c r="J546" i="120" s="1"/>
  <c r="J545" i="120" s="1"/>
  <c r="F546" i="120"/>
  <c r="D546" i="120"/>
  <c r="C546" i="120"/>
  <c r="G792" i="120"/>
  <c r="I792" i="120" s="1"/>
  <c r="F792" i="120"/>
  <c r="D792" i="120"/>
  <c r="C792" i="120"/>
  <c r="M693" i="12"/>
  <c r="B693" i="12" s="1"/>
  <c r="H715" i="120"/>
  <c r="J715" i="120" s="1"/>
  <c r="J714" i="120" s="1"/>
  <c r="Z39" i="58"/>
  <c r="X39" i="58"/>
  <c r="W39" i="58"/>
  <c r="AA39" i="58"/>
  <c r="S39" i="58"/>
  <c r="S99" i="58" s="1"/>
  <c r="S100" i="58" s="1"/>
  <c r="U39" i="58"/>
  <c r="Q39" i="58"/>
  <c r="Q99" i="58" s="1"/>
  <c r="Y39" i="58"/>
  <c r="V39" i="58"/>
  <c r="R152" i="58"/>
  <c r="R132" i="58"/>
  <c r="P152" i="58"/>
  <c r="P132" i="58"/>
  <c r="P153" i="58" s="1"/>
  <c r="I47" i="155"/>
  <c r="D47" i="155"/>
  <c r="L47" i="155"/>
  <c r="E47" i="155"/>
  <c r="H47" i="155"/>
  <c r="F47" i="155"/>
  <c r="G47" i="155"/>
  <c r="J47" i="155"/>
  <c r="K47" i="155"/>
  <c r="S69" i="58"/>
  <c r="S79" i="58"/>
  <c r="S68" i="58"/>
  <c r="S78" i="58"/>
  <c r="Q68" i="58"/>
  <c r="Q78" i="58"/>
  <c r="Q69" i="58"/>
  <c r="Q79" i="58"/>
  <c r="J48" i="87"/>
  <c r="J58" i="87"/>
  <c r="H572" i="12"/>
  <c r="I50" i="87"/>
  <c r="K139" i="47"/>
  <c r="H576" i="12"/>
  <c r="J54" i="87"/>
  <c r="F22" i="59"/>
  <c r="F41" i="59"/>
  <c r="F27" i="59"/>
  <c r="F51" i="59"/>
  <c r="F32" i="59"/>
  <c r="F17" i="59"/>
  <c r="C46" i="134"/>
  <c r="J313" i="120"/>
  <c r="F34" i="59"/>
  <c r="F24" i="59"/>
  <c r="F54" i="59"/>
  <c r="F44" i="59"/>
  <c r="F29" i="59"/>
  <c r="F19" i="59"/>
  <c r="L29" i="120"/>
  <c r="T75" i="134"/>
  <c r="T76" i="134" s="1"/>
  <c r="V75" i="134"/>
  <c r="V76" i="134" s="1"/>
  <c r="K75" i="134"/>
  <c r="K76" i="134" s="1"/>
  <c r="N75" i="134"/>
  <c r="N76" i="134" s="1"/>
  <c r="P75" i="134"/>
  <c r="P76" i="134" s="1"/>
  <c r="U75" i="134"/>
  <c r="U76" i="134" s="1"/>
  <c r="I75" i="134"/>
  <c r="I76" i="134" s="1"/>
  <c r="O75" i="134"/>
  <c r="O76" i="134" s="1"/>
  <c r="R75" i="134"/>
  <c r="R76" i="134" s="1"/>
  <c r="W75" i="134"/>
  <c r="W76" i="134" s="1"/>
  <c r="H75" i="134"/>
  <c r="H76" i="134" s="1"/>
  <c r="G31" i="122"/>
  <c r="L75" i="134"/>
  <c r="L76" i="134" s="1"/>
  <c r="J75" i="134"/>
  <c r="J76" i="134" s="1"/>
  <c r="Q75" i="134"/>
  <c r="Q76" i="134" s="1"/>
  <c r="S75" i="134"/>
  <c r="S76" i="134" s="1"/>
  <c r="F75" i="134"/>
  <c r="F76" i="134" s="1"/>
  <c r="G75" i="134"/>
  <c r="G76" i="134" s="1"/>
  <c r="B705" i="12"/>
  <c r="Z104" i="58"/>
  <c r="Z109" i="58" s="1"/>
  <c r="Z110" i="58" s="1"/>
  <c r="Z112" i="58" s="1"/>
  <c r="Z98" i="58"/>
  <c r="Z103" i="58" s="1"/>
  <c r="L904" i="12"/>
  <c r="AA99" i="58"/>
  <c r="L302" i="120"/>
  <c r="L300" i="120"/>
  <c r="L307" i="120"/>
  <c r="L308" i="120"/>
  <c r="L305" i="120"/>
  <c r="L311" i="120"/>
  <c r="L294" i="120"/>
  <c r="L299" i="120"/>
  <c r="L295" i="120"/>
  <c r="L312" i="120"/>
  <c r="L296" i="120"/>
  <c r="L310" i="120"/>
  <c r="L309" i="120"/>
  <c r="L306" i="120"/>
  <c r="J18" i="120"/>
  <c r="L18" i="120" s="1"/>
  <c r="L298" i="120"/>
  <c r="L301" i="120"/>
  <c r="L303" i="120"/>
  <c r="L304" i="120"/>
  <c r="L297" i="120"/>
  <c r="L898" i="12"/>
  <c r="L905" i="12"/>
  <c r="L896" i="12"/>
  <c r="L911" i="12"/>
  <c r="L902" i="12"/>
  <c r="L906" i="12"/>
  <c r="L910" i="12"/>
  <c r="L915" i="12"/>
  <c r="L928" i="12"/>
  <c r="L912" i="12"/>
  <c r="L892" i="12"/>
  <c r="J929" i="12"/>
  <c r="L927" i="12"/>
  <c r="L893" i="12"/>
  <c r="L921" i="12"/>
  <c r="L922" i="12"/>
  <c r="L925" i="12"/>
  <c r="L916" i="12"/>
  <c r="L901" i="12"/>
  <c r="L903" i="12"/>
  <c r="L895" i="12"/>
  <c r="L926" i="12"/>
  <c r="L913" i="12"/>
  <c r="L900" i="12"/>
  <c r="L924" i="12"/>
  <c r="L917" i="12"/>
  <c r="L899" i="12"/>
  <c r="L897" i="12"/>
  <c r="L919" i="12"/>
  <c r="L894" i="12"/>
  <c r="L891" i="12"/>
  <c r="L914" i="12"/>
  <c r="L907" i="12"/>
  <c r="Q104" i="58"/>
  <c r="Q109" i="58" s="1"/>
  <c r="Q110" i="58" s="1"/>
  <c r="Q112" i="58" s="1"/>
  <c r="J888" i="120"/>
  <c r="L889" i="120" s="1"/>
  <c r="AA98" i="58"/>
  <c r="V104" i="58"/>
  <c r="V109" i="58" s="1"/>
  <c r="V110" i="58" s="1"/>
  <c r="V112" i="58" s="1"/>
  <c r="V99" i="58"/>
  <c r="V101" i="58" s="1"/>
  <c r="Y99" i="58"/>
  <c r="Y100" i="58" s="1"/>
  <c r="Y104" i="58"/>
  <c r="Y109" i="58" s="1"/>
  <c r="Y110" i="58" s="1"/>
  <c r="Y112" i="58" s="1"/>
  <c r="L909" i="12"/>
  <c r="J31" i="12"/>
  <c r="D82" i="39" s="1"/>
  <c r="L918" i="12"/>
  <c r="L920" i="12"/>
  <c r="L908" i="12"/>
  <c r="S104" i="58"/>
  <c r="S109" i="58" s="1"/>
  <c r="S110" i="58" s="1"/>
  <c r="S112" i="58" s="1"/>
  <c r="M444" i="120"/>
  <c r="B444" i="12"/>
  <c r="M442" i="12"/>
  <c r="H442" i="120"/>
  <c r="I79" i="62"/>
  <c r="J78" i="62" s="1"/>
  <c r="J69" i="62"/>
  <c r="M440" i="120"/>
  <c r="B440" i="12"/>
  <c r="H429" i="120"/>
  <c r="J429" i="120" s="1"/>
  <c r="B446" i="120"/>
  <c r="B606" i="12"/>
  <c r="M606" i="120"/>
  <c r="M608" i="120"/>
  <c r="B608" i="12"/>
  <c r="O188" i="54"/>
  <c r="B703" i="12"/>
  <c r="M703" i="120"/>
  <c r="M82" i="56"/>
  <c r="N82" i="56" s="1"/>
  <c r="B570" i="120"/>
  <c r="K135" i="47"/>
  <c r="J121" i="83"/>
  <c r="H834" i="12" s="1"/>
  <c r="H822" i="120"/>
  <c r="J822" i="120" s="1"/>
  <c r="J116" i="83"/>
  <c r="H854" i="12" s="1"/>
  <c r="H823" i="120"/>
  <c r="J823" i="120" s="1"/>
  <c r="H801" i="12"/>
  <c r="K72" i="83"/>
  <c r="K85" i="83"/>
  <c r="J122" i="83"/>
  <c r="H836" i="12" s="1"/>
  <c r="H813" i="120"/>
  <c r="J813" i="120" s="1"/>
  <c r="J86" i="83"/>
  <c r="K86" i="83" s="1"/>
  <c r="H824" i="120"/>
  <c r="J824" i="120" s="1"/>
  <c r="J115" i="83"/>
  <c r="H830" i="12" s="1"/>
  <c r="B844" i="120"/>
  <c r="K74" i="83"/>
  <c r="H850" i="120"/>
  <c r="J850" i="120" s="1"/>
  <c r="J849" i="120" s="1"/>
  <c r="M850" i="12"/>
  <c r="M850" i="120" s="1"/>
  <c r="J123" i="83"/>
  <c r="H838" i="12" s="1"/>
  <c r="K128" i="83"/>
  <c r="O806" i="120"/>
  <c r="J806" i="120"/>
  <c r="K73" i="83"/>
  <c r="G33" i="122"/>
  <c r="L31" i="120"/>
  <c r="B786" i="12"/>
  <c r="M786" i="120"/>
  <c r="N164" i="54"/>
  <c r="H762" i="12" s="1"/>
  <c r="N170" i="54"/>
  <c r="H759" i="12" s="1"/>
  <c r="H761" i="120"/>
  <c r="O155" i="54"/>
  <c r="J51" i="118"/>
  <c r="J52" i="118" s="1"/>
  <c r="M10" i="118"/>
  <c r="B697" i="12"/>
  <c r="M697" i="120"/>
  <c r="B691" i="120"/>
  <c r="N107" i="56"/>
  <c r="B637" i="12"/>
  <c r="M637" i="120"/>
  <c r="H650" i="120"/>
  <c r="O650" i="12"/>
  <c r="B639" i="120"/>
  <c r="L107" i="63"/>
  <c r="B614" i="120"/>
  <c r="M566" i="12"/>
  <c r="H566" i="120"/>
  <c r="M560" i="12"/>
  <c r="H560" i="120"/>
  <c r="C51" i="134"/>
  <c r="C50" i="134"/>
  <c r="K129" i="47"/>
  <c r="B610" i="12"/>
  <c r="M610" i="120"/>
  <c r="H513" i="120"/>
  <c r="J513" i="120" s="1"/>
  <c r="K140" i="47"/>
  <c r="K142" i="47"/>
  <c r="B544" i="120"/>
  <c r="M602" i="120"/>
  <c r="B602" i="12"/>
  <c r="B612" i="120"/>
  <c r="M618" i="12"/>
  <c r="M618" i="120" s="1"/>
  <c r="H618" i="120"/>
  <c r="J618" i="120" s="1"/>
  <c r="J617" i="120" s="1"/>
  <c r="Q27" i="58"/>
  <c r="Q23" i="58"/>
  <c r="T25" i="58"/>
  <c r="T26" i="58" s="1"/>
  <c r="T27" i="58" s="1"/>
  <c r="T114" i="58"/>
  <c r="T115" i="58"/>
  <c r="T33" i="58"/>
  <c r="T32" i="58"/>
  <c r="T34" i="58" s="1"/>
  <c r="T56" i="58"/>
  <c r="T68" i="58" s="1"/>
  <c r="T57" i="58"/>
  <c r="T69" i="58" s="1"/>
  <c r="T21" i="58"/>
  <c r="T42" i="58"/>
  <c r="T97" i="58"/>
  <c r="V27" i="58"/>
  <c r="U27" i="58"/>
  <c r="V51" i="58"/>
  <c r="V63" i="58" s="1"/>
  <c r="V44" i="58"/>
  <c r="V52" i="58"/>
  <c r="V64" i="58" s="1"/>
  <c r="V53" i="58"/>
  <c r="V65" i="58" s="1"/>
  <c r="W51" i="58"/>
  <c r="W63" i="58" s="1"/>
  <c r="W53" i="58"/>
  <c r="W65" i="58" s="1"/>
  <c r="W44" i="58"/>
  <c r="W52" i="58"/>
  <c r="W64" i="58" s="1"/>
  <c r="Y54" i="58"/>
  <c r="Y66" i="58" s="1"/>
  <c r="Y55" i="58"/>
  <c r="Y67" i="58" s="1"/>
  <c r="Y43" i="58"/>
  <c r="Y51" i="58"/>
  <c r="Y63" i="58" s="1"/>
  <c r="Y53" i="58"/>
  <c r="Y65" i="58" s="1"/>
  <c r="Y52" i="58"/>
  <c r="Y64" i="58" s="1"/>
  <c r="Y44" i="58"/>
  <c r="V43" i="58"/>
  <c r="V54" i="58"/>
  <c r="V66" i="58" s="1"/>
  <c r="V55" i="58"/>
  <c r="V67" i="58" s="1"/>
  <c r="W55" i="58"/>
  <c r="W67" i="58" s="1"/>
  <c r="W43" i="58"/>
  <c r="W54" i="58"/>
  <c r="W66" i="58" s="1"/>
  <c r="Z116" i="58"/>
  <c r="Z117" i="58"/>
  <c r="Q119" i="58"/>
  <c r="Q35" i="58"/>
  <c r="Q118" i="58"/>
  <c r="X53" i="58"/>
  <c r="X65" i="58" s="1"/>
  <c r="X51" i="58"/>
  <c r="X63" i="58" s="1"/>
  <c r="X52" i="58"/>
  <c r="X64" i="58" s="1"/>
  <c r="X44" i="58"/>
  <c r="Z53" i="58"/>
  <c r="Z65" i="58" s="1"/>
  <c r="Z51" i="58"/>
  <c r="Z63" i="58" s="1"/>
  <c r="Z52" i="58"/>
  <c r="Z64" i="58" s="1"/>
  <c r="Z44" i="58"/>
  <c r="AA116" i="58"/>
  <c r="AA117" i="58"/>
  <c r="Q51" i="58"/>
  <c r="Q44" i="58"/>
  <c r="Q53" i="58"/>
  <c r="Q52" i="58"/>
  <c r="K83" i="134"/>
  <c r="K84" i="134" s="1"/>
  <c r="M83" i="134"/>
  <c r="M84" i="134" s="1"/>
  <c r="W83" i="134"/>
  <c r="W84" i="134" s="1"/>
  <c r="N83" i="134"/>
  <c r="N84" i="134" s="1"/>
  <c r="V83" i="134"/>
  <c r="V84" i="134" s="1"/>
  <c r="S83" i="134"/>
  <c r="S84" i="134" s="1"/>
  <c r="U83" i="134"/>
  <c r="U84" i="134" s="1"/>
  <c r="F83" i="134"/>
  <c r="J83" i="134"/>
  <c r="J84" i="134" s="1"/>
  <c r="P83" i="134"/>
  <c r="P84" i="134" s="1"/>
  <c r="G83" i="134"/>
  <c r="G84" i="134" s="1"/>
  <c r="H83" i="134"/>
  <c r="H84" i="134" s="1"/>
  <c r="I83" i="134"/>
  <c r="I84" i="134" s="1"/>
  <c r="O83" i="134"/>
  <c r="O84" i="134" s="1"/>
  <c r="T83" i="134"/>
  <c r="T84" i="134" s="1"/>
  <c r="Q83" i="134"/>
  <c r="Q84" i="134" s="1"/>
  <c r="R83" i="134"/>
  <c r="R84" i="134" s="1"/>
  <c r="L83" i="134"/>
  <c r="L84" i="134" s="1"/>
  <c r="W35" i="58"/>
  <c r="W118" i="58"/>
  <c r="W119" i="58"/>
  <c r="U54" i="58"/>
  <c r="U66" i="58" s="1"/>
  <c r="U43" i="58"/>
  <c r="U55" i="58"/>
  <c r="U67" i="58" s="1"/>
  <c r="Z43" i="58"/>
  <c r="Z54" i="58"/>
  <c r="Z66" i="58" s="1"/>
  <c r="Z55" i="58"/>
  <c r="Z67" i="58" s="1"/>
  <c r="AA44" i="58"/>
  <c r="AA52" i="58"/>
  <c r="AA64" i="58" s="1"/>
  <c r="AA51" i="58"/>
  <c r="AA63" i="58" s="1"/>
  <c r="AA53" i="58"/>
  <c r="AA65" i="58" s="1"/>
  <c r="Q43" i="58"/>
  <c r="Q55" i="58"/>
  <c r="Q54" i="58"/>
  <c r="U118" i="58"/>
  <c r="U119" i="58"/>
  <c r="U35" i="58"/>
  <c r="U22" i="58"/>
  <c r="AA43" i="58"/>
  <c r="AA54" i="58"/>
  <c r="AA66" i="58" s="1"/>
  <c r="AA55" i="58"/>
  <c r="AA67" i="58" s="1"/>
  <c r="AA23" i="58"/>
  <c r="AA118" i="58"/>
  <c r="AA35" i="58"/>
  <c r="AA119" i="58"/>
  <c r="AA105" i="58"/>
  <c r="AA106" i="58"/>
  <c r="AA27" i="58"/>
  <c r="U98" i="58"/>
  <c r="U104" i="58"/>
  <c r="U109" i="58" s="1"/>
  <c r="U110" i="58" s="1"/>
  <c r="U112" i="58" s="1"/>
  <c r="U99" i="58"/>
  <c r="S119" i="58"/>
  <c r="S118" i="58"/>
  <c r="S35" i="58"/>
  <c r="W27" i="58"/>
  <c r="S117" i="58"/>
  <c r="S116" i="58"/>
  <c r="Q117" i="58"/>
  <c r="Q116" i="58"/>
  <c r="W98" i="58"/>
  <c r="W99" i="58"/>
  <c r="W104" i="58"/>
  <c r="W109" i="58" s="1"/>
  <c r="W110" i="58" s="1"/>
  <c r="W112" i="58" s="1"/>
  <c r="X117" i="58"/>
  <c r="X116" i="58"/>
  <c r="X104" i="58"/>
  <c r="X109" i="58" s="1"/>
  <c r="X110" i="58" s="1"/>
  <c r="X112" i="58" s="1"/>
  <c r="X98" i="58"/>
  <c r="X99" i="58"/>
  <c r="V116" i="58"/>
  <c r="V117" i="58"/>
  <c r="U116" i="58"/>
  <c r="U117" i="58"/>
  <c r="S55" i="58"/>
  <c r="S43" i="58"/>
  <c r="S54" i="58"/>
  <c r="Y35" i="58"/>
  <c r="Y119" i="58"/>
  <c r="Y118" i="58"/>
  <c r="Y116" i="58"/>
  <c r="Y117" i="58"/>
  <c r="Z35" i="58"/>
  <c r="Z118" i="58"/>
  <c r="Z119" i="58"/>
  <c r="V35" i="58"/>
  <c r="V119" i="58"/>
  <c r="V118" i="58"/>
  <c r="X35" i="58"/>
  <c r="X118" i="58"/>
  <c r="X119" i="58"/>
  <c r="S22" i="58"/>
  <c r="V23" i="58"/>
  <c r="W23" i="58"/>
  <c r="W116" i="58"/>
  <c r="W117" i="58"/>
  <c r="X55" i="58"/>
  <c r="X67" i="58" s="1"/>
  <c r="X43" i="58"/>
  <c r="X54" i="58"/>
  <c r="X66" i="58" s="1"/>
  <c r="Y23" i="58"/>
  <c r="N16" i="120"/>
  <c r="C23" i="134"/>
  <c r="J16" i="78"/>
  <c r="I17" i="78"/>
  <c r="J95" i="120"/>
  <c r="O125" i="120" l="1"/>
  <c r="J125" i="120"/>
  <c r="M173" i="12"/>
  <c r="B173" i="12" s="1"/>
  <c r="H173" i="120"/>
  <c r="M173" i="120" s="1"/>
  <c r="D695" i="12"/>
  <c r="C695" i="12"/>
  <c r="D703" i="12"/>
  <c r="C703" i="12"/>
  <c r="D705" i="12"/>
  <c r="C705" i="12"/>
  <c r="C614" i="120"/>
  <c r="G614" i="120"/>
  <c r="I614" i="120" s="1"/>
  <c r="J614" i="120" s="1"/>
  <c r="J613" i="120" s="1"/>
  <c r="F614" i="120"/>
  <c r="D614" i="120"/>
  <c r="G844" i="120"/>
  <c r="I844" i="120" s="1"/>
  <c r="F844" i="120"/>
  <c r="D844" i="120"/>
  <c r="C844" i="120"/>
  <c r="D608" i="12"/>
  <c r="G639" i="120"/>
  <c r="I639" i="120" s="1"/>
  <c r="J639" i="120" s="1"/>
  <c r="J638" i="120" s="1"/>
  <c r="F639" i="120"/>
  <c r="D639" i="120"/>
  <c r="C639" i="120"/>
  <c r="C444" i="12"/>
  <c r="D444" i="12"/>
  <c r="G691" i="120"/>
  <c r="I691" i="120" s="1"/>
  <c r="J691" i="120" s="1"/>
  <c r="J690" i="120" s="1"/>
  <c r="F691" i="120"/>
  <c r="D691" i="120"/>
  <c r="C691" i="120"/>
  <c r="D697" i="12"/>
  <c r="C697" i="12"/>
  <c r="D610" i="12"/>
  <c r="D606" i="12"/>
  <c r="D446" i="120"/>
  <c r="C446" i="120"/>
  <c r="G446" i="120"/>
  <c r="I446" i="120" s="1"/>
  <c r="J446" i="120" s="1"/>
  <c r="J445" i="120" s="1"/>
  <c r="F446" i="120"/>
  <c r="G612" i="120"/>
  <c r="I612" i="120" s="1"/>
  <c r="J612" i="120" s="1"/>
  <c r="J611" i="120" s="1"/>
  <c r="F612" i="120"/>
  <c r="D612" i="120"/>
  <c r="C612" i="120"/>
  <c r="C637" i="12"/>
  <c r="D637" i="12"/>
  <c r="G570" i="120"/>
  <c r="I570" i="120" s="1"/>
  <c r="J570" i="120" s="1"/>
  <c r="J569" i="120" s="1"/>
  <c r="F570" i="120"/>
  <c r="D570" i="120"/>
  <c r="C570" i="120"/>
  <c r="D440" i="12"/>
  <c r="C440" i="12"/>
  <c r="C693" i="12"/>
  <c r="D693" i="12"/>
  <c r="D602" i="12"/>
  <c r="G544" i="120"/>
  <c r="I544" i="120" s="1"/>
  <c r="J544" i="120" s="1"/>
  <c r="J543" i="120" s="1"/>
  <c r="F544" i="120"/>
  <c r="D544" i="120"/>
  <c r="C544" i="120"/>
  <c r="D695" i="120"/>
  <c r="C695" i="120"/>
  <c r="G695" i="120"/>
  <c r="I695" i="120" s="1"/>
  <c r="J695" i="120" s="1"/>
  <c r="J694" i="120" s="1"/>
  <c r="F695" i="120"/>
  <c r="D786" i="12"/>
  <c r="C786" i="12"/>
  <c r="M693" i="120"/>
  <c r="T39" i="58"/>
  <c r="P121" i="58"/>
  <c r="R153" i="58"/>
  <c r="R121" i="58" s="1"/>
  <c r="S66" i="58"/>
  <c r="S76" i="58"/>
  <c r="S67" i="58"/>
  <c r="S77" i="58"/>
  <c r="Q63" i="58"/>
  <c r="Q73" i="58"/>
  <c r="Q65" i="58"/>
  <c r="Q75" i="58"/>
  <c r="Q66" i="58"/>
  <c r="Q76" i="58"/>
  <c r="Q67" i="58"/>
  <c r="Q77" i="58"/>
  <c r="Q64" i="58"/>
  <c r="Q74" i="58"/>
  <c r="M576" i="12"/>
  <c r="M576" i="120" s="1"/>
  <c r="J50" i="87"/>
  <c r="B705" i="120"/>
  <c r="J788" i="120"/>
  <c r="J787" i="120" s="1"/>
  <c r="Z105" i="58"/>
  <c r="S101" i="58"/>
  <c r="S103" i="58"/>
  <c r="S102" i="58"/>
  <c r="X76" i="134"/>
  <c r="Y76" i="134" s="1"/>
  <c r="X75" i="134"/>
  <c r="Y75" i="134" s="1"/>
  <c r="G19" i="122"/>
  <c r="D30" i="134"/>
  <c r="P31" i="134" s="1"/>
  <c r="P32" i="134" s="1"/>
  <c r="Z100" i="58"/>
  <c r="Z102" i="58"/>
  <c r="Z101" i="58"/>
  <c r="Q105" i="58"/>
  <c r="Q106" i="58"/>
  <c r="Z106" i="58"/>
  <c r="S105" i="58"/>
  <c r="V105" i="58"/>
  <c r="Y105" i="58"/>
  <c r="Y106" i="58"/>
  <c r="V100" i="58"/>
  <c r="V103" i="58"/>
  <c r="V102" i="58"/>
  <c r="AA103" i="58"/>
  <c r="S106" i="58"/>
  <c r="AA100" i="58"/>
  <c r="AA101" i="58"/>
  <c r="AA102" i="58"/>
  <c r="V106" i="58"/>
  <c r="Y102" i="58"/>
  <c r="Y101" i="58"/>
  <c r="Y103" i="58"/>
  <c r="Q100" i="58"/>
  <c r="Q102" i="58"/>
  <c r="Q103" i="58"/>
  <c r="Q101" i="58"/>
  <c r="J890" i="120"/>
  <c r="L888" i="120"/>
  <c r="J30" i="120"/>
  <c r="H576" i="120"/>
  <c r="J576" i="120" s="1"/>
  <c r="J575" i="120" s="1"/>
  <c r="E14" i="77"/>
  <c r="F33" i="122"/>
  <c r="H33" i="122" s="1"/>
  <c r="L31" i="12"/>
  <c r="B440" i="120"/>
  <c r="M442" i="120"/>
  <c r="B442" i="12"/>
  <c r="B444" i="120"/>
  <c r="B608" i="120"/>
  <c r="B606" i="120"/>
  <c r="B703" i="120"/>
  <c r="L343" i="120"/>
  <c r="L344" i="120"/>
  <c r="L352" i="120"/>
  <c r="L351" i="120"/>
  <c r="L375" i="120"/>
  <c r="L391" i="120"/>
  <c r="L321" i="120"/>
  <c r="L370" i="120"/>
  <c r="L401" i="120"/>
  <c r="L366" i="120"/>
  <c r="L390" i="120"/>
  <c r="L361" i="120"/>
  <c r="L349" i="120"/>
  <c r="L360" i="120"/>
  <c r="L327" i="120"/>
  <c r="L324" i="120"/>
  <c r="L365" i="120"/>
  <c r="L329" i="120"/>
  <c r="L395" i="120"/>
  <c r="L409" i="120"/>
  <c r="L394" i="120"/>
  <c r="L340" i="120"/>
  <c r="L397" i="120"/>
  <c r="L323" i="120"/>
  <c r="L314" i="120"/>
  <c r="L392" i="120"/>
  <c r="L320" i="120"/>
  <c r="L331" i="120"/>
  <c r="L369" i="120"/>
  <c r="L353" i="120"/>
  <c r="L348" i="120"/>
  <c r="L399" i="120"/>
  <c r="L376" i="120"/>
  <c r="L368" i="120"/>
  <c r="L381" i="120"/>
  <c r="L326" i="120"/>
  <c r="L342" i="120"/>
  <c r="L396" i="120"/>
  <c r="L354" i="120"/>
  <c r="L358" i="120"/>
  <c r="L372" i="120"/>
  <c r="L371" i="120"/>
  <c r="L325" i="120"/>
  <c r="L335" i="120"/>
  <c r="L364" i="120"/>
  <c r="L330" i="120"/>
  <c r="L337" i="120"/>
  <c r="L388" i="120"/>
  <c r="L339" i="120"/>
  <c r="L411" i="120"/>
  <c r="L384" i="120"/>
  <c r="L382" i="120"/>
  <c r="L380" i="120"/>
  <c r="L387" i="120"/>
  <c r="L346" i="120"/>
  <c r="L316" i="120"/>
  <c r="L383" i="120"/>
  <c r="L379" i="120"/>
  <c r="L334" i="120"/>
  <c r="L403" i="120"/>
  <c r="L333" i="120"/>
  <c r="L374" i="120"/>
  <c r="L378" i="120"/>
  <c r="L385" i="120"/>
  <c r="L318" i="120"/>
  <c r="L359" i="120"/>
  <c r="L373" i="120"/>
  <c r="L407" i="120"/>
  <c r="L347" i="120"/>
  <c r="L350" i="120"/>
  <c r="L317" i="120"/>
  <c r="L338" i="120"/>
  <c r="L367" i="120"/>
  <c r="L357" i="120"/>
  <c r="L341" i="120"/>
  <c r="L332" i="120"/>
  <c r="L328" i="120"/>
  <c r="L393" i="120"/>
  <c r="L319" i="120"/>
  <c r="J19" i="120"/>
  <c r="D34" i="134" s="1"/>
  <c r="T35" i="134" s="1"/>
  <c r="T36" i="134" s="1"/>
  <c r="L355" i="120"/>
  <c r="L362" i="120"/>
  <c r="L398" i="120"/>
  <c r="L405" i="120"/>
  <c r="L336" i="120"/>
  <c r="L389" i="120"/>
  <c r="J412" i="120"/>
  <c r="L356" i="120"/>
  <c r="L363" i="120"/>
  <c r="L377" i="120"/>
  <c r="K123" i="83"/>
  <c r="K122" i="83"/>
  <c r="J89" i="83"/>
  <c r="K89" i="83" s="1"/>
  <c r="J87" i="83"/>
  <c r="K87" i="83" s="1"/>
  <c r="J88" i="83"/>
  <c r="K88" i="83" s="1"/>
  <c r="J130" i="83"/>
  <c r="H846" i="12" s="1"/>
  <c r="M830" i="12"/>
  <c r="H830" i="120"/>
  <c r="K115" i="83"/>
  <c r="M836" i="12"/>
  <c r="H836" i="120"/>
  <c r="I827" i="120"/>
  <c r="J828" i="120"/>
  <c r="J827" i="120" s="1"/>
  <c r="H834" i="120"/>
  <c r="M834" i="12"/>
  <c r="H801" i="120"/>
  <c r="J801" i="120" s="1"/>
  <c r="K121" i="83"/>
  <c r="H838" i="120"/>
  <c r="M838" i="12"/>
  <c r="H854" i="120"/>
  <c r="J854" i="120" s="1"/>
  <c r="J853" i="120" s="1"/>
  <c r="K116" i="83"/>
  <c r="J792" i="120"/>
  <c r="J791" i="120" s="1"/>
  <c r="I791" i="120"/>
  <c r="H65" i="12"/>
  <c r="N10" i="118"/>
  <c r="J69" i="118"/>
  <c r="O761" i="120"/>
  <c r="J761" i="120"/>
  <c r="O170" i="54"/>
  <c r="H27" i="12"/>
  <c r="H759" i="120"/>
  <c r="O759" i="12"/>
  <c r="N27" i="12" s="1"/>
  <c r="C67" i="39" s="1"/>
  <c r="H762" i="120"/>
  <c r="O164" i="54"/>
  <c r="N241" i="54"/>
  <c r="O241" i="54" s="1"/>
  <c r="N246" i="54"/>
  <c r="O246" i="54" s="1"/>
  <c r="N243" i="54"/>
  <c r="O243" i="54" s="1"/>
  <c r="N242" i="54"/>
  <c r="O242" i="54" s="1"/>
  <c r="B786" i="120"/>
  <c r="B697" i="120"/>
  <c r="B693" i="120"/>
  <c r="O650" i="120"/>
  <c r="J650" i="120"/>
  <c r="B637" i="120"/>
  <c r="M572" i="12"/>
  <c r="H572" i="120"/>
  <c r="H580" i="120"/>
  <c r="J580" i="120" s="1"/>
  <c r="J579" i="120" s="1"/>
  <c r="M580" i="12"/>
  <c r="M580" i="120" s="1"/>
  <c r="B602" i="120"/>
  <c r="M560" i="120"/>
  <c r="B560" i="12"/>
  <c r="M566" i="120"/>
  <c r="B566" i="12"/>
  <c r="B610" i="120"/>
  <c r="Q45" i="58"/>
  <c r="Q50" i="58" s="1"/>
  <c r="T116" i="58"/>
  <c r="T117" i="58"/>
  <c r="T55" i="58"/>
  <c r="T67" i="58" s="1"/>
  <c r="T43" i="58"/>
  <c r="T54" i="58"/>
  <c r="T66" i="58" s="1"/>
  <c r="Q48" i="58"/>
  <c r="T98" i="58"/>
  <c r="T104" i="58"/>
  <c r="T109" i="58" s="1"/>
  <c r="T110" i="58" s="1"/>
  <c r="T112" i="58" s="1"/>
  <c r="T99" i="58"/>
  <c r="T22" i="58"/>
  <c r="T35" i="58"/>
  <c r="T119" i="58"/>
  <c r="T118" i="58"/>
  <c r="W101" i="58"/>
  <c r="W100" i="58"/>
  <c r="W103" i="58"/>
  <c r="W102" i="58"/>
  <c r="X83" i="58"/>
  <c r="X123" i="58"/>
  <c r="X125" i="58"/>
  <c r="X136" i="58" s="1"/>
  <c r="Z83" i="58"/>
  <c r="Z123" i="58"/>
  <c r="Z125" i="58"/>
  <c r="Z136" i="58" s="1"/>
  <c r="W83" i="39"/>
  <c r="W84" i="39" s="1"/>
  <c r="S83" i="39"/>
  <c r="S84" i="39" s="1"/>
  <c r="V83" i="39"/>
  <c r="V84" i="39" s="1"/>
  <c r="H83" i="39"/>
  <c r="H84" i="39" s="1"/>
  <c r="M83" i="39"/>
  <c r="M84" i="39" s="1"/>
  <c r="K83" i="39"/>
  <c r="K84" i="39" s="1"/>
  <c r="R83" i="39"/>
  <c r="R84" i="39" s="1"/>
  <c r="P83" i="39"/>
  <c r="P84" i="39" s="1"/>
  <c r="N83" i="39"/>
  <c r="N84" i="39" s="1"/>
  <c r="G83" i="39"/>
  <c r="G84" i="39" s="1"/>
  <c r="J83" i="39"/>
  <c r="J84" i="39" s="1"/>
  <c r="L83" i="39"/>
  <c r="L84" i="39" s="1"/>
  <c r="F83" i="39"/>
  <c r="O83" i="39"/>
  <c r="O84" i="39" s="1"/>
  <c r="U83" i="39"/>
  <c r="U84" i="39" s="1"/>
  <c r="Q83" i="39"/>
  <c r="Q84" i="39" s="1"/>
  <c r="I83" i="39"/>
  <c r="I84" i="39" s="1"/>
  <c r="T83" i="39"/>
  <c r="T84" i="39" s="1"/>
  <c r="U44" i="58"/>
  <c r="U52" i="58"/>
  <c r="U64" i="58" s="1"/>
  <c r="U51" i="58"/>
  <c r="U63" i="58" s="1"/>
  <c r="U53" i="58"/>
  <c r="U65" i="58" s="1"/>
  <c r="U23" i="58"/>
  <c r="U105" i="58"/>
  <c r="U106" i="58"/>
  <c r="Z45" i="58"/>
  <c r="Z46" i="58" s="1"/>
  <c r="X100" i="58"/>
  <c r="X103" i="58"/>
  <c r="X101" i="58"/>
  <c r="X102" i="58"/>
  <c r="U101" i="58"/>
  <c r="U103" i="58"/>
  <c r="U100" i="58"/>
  <c r="U102" i="58"/>
  <c r="AA108" i="58"/>
  <c r="AA107" i="58"/>
  <c r="Z48" i="58"/>
  <c r="X50" i="58"/>
  <c r="V83" i="58"/>
  <c r="V125" i="58"/>
  <c r="V136" i="58" s="1"/>
  <c r="V123" i="58"/>
  <c r="X106" i="58"/>
  <c r="X105" i="58"/>
  <c r="AA83" i="58"/>
  <c r="AA125" i="58"/>
  <c r="AA136" i="58" s="1"/>
  <c r="AA123" i="58"/>
  <c r="U83" i="58"/>
  <c r="U123" i="58"/>
  <c r="U125" i="58"/>
  <c r="U136" i="58" s="1"/>
  <c r="Z50" i="58"/>
  <c r="X48" i="58"/>
  <c r="X45" i="58"/>
  <c r="X46" i="58" s="1"/>
  <c r="W48" i="58"/>
  <c r="W45" i="58"/>
  <c r="W46" i="58" s="1"/>
  <c r="W50" i="58"/>
  <c r="W62" i="58" s="1"/>
  <c r="Q83" i="58"/>
  <c r="Q203" i="58" s="1"/>
  <c r="Q123" i="58"/>
  <c r="Q144" i="58" s="1"/>
  <c r="V50" i="58"/>
  <c r="V62" i="58" s="1"/>
  <c r="V48" i="58"/>
  <c r="V45" i="58"/>
  <c r="V46" i="58" s="1"/>
  <c r="Y83" i="58"/>
  <c r="Y125" i="58"/>
  <c r="Y136" i="58" s="1"/>
  <c r="Y123" i="58"/>
  <c r="F84" i="134"/>
  <c r="X84" i="134" s="1"/>
  <c r="X83" i="134"/>
  <c r="AA50" i="58"/>
  <c r="AA62" i="58" s="1"/>
  <c r="AA48" i="58"/>
  <c r="AA45" i="58"/>
  <c r="AA46" i="58" s="1"/>
  <c r="W83" i="58"/>
  <c r="W123" i="58"/>
  <c r="W125" i="58"/>
  <c r="W136" i="58" s="1"/>
  <c r="S51" i="58"/>
  <c r="S44" i="58"/>
  <c r="S53" i="58" s="1"/>
  <c r="S75" i="58" s="1"/>
  <c r="S23" i="58"/>
  <c r="Y50" i="58"/>
  <c r="Y62" i="58" s="1"/>
  <c r="Y45" i="58"/>
  <c r="Y46" i="58" s="1"/>
  <c r="Y48" i="58"/>
  <c r="W105" i="58"/>
  <c r="W106" i="58"/>
  <c r="S83" i="58"/>
  <c r="S203" i="58" s="1"/>
  <c r="S123" i="58"/>
  <c r="S144" i="58" s="1"/>
  <c r="S125" i="58"/>
  <c r="J17" i="78"/>
  <c r="I18" i="78"/>
  <c r="D173" i="12" l="1"/>
  <c r="C173" i="12"/>
  <c r="B173" i="120"/>
  <c r="G606" i="120"/>
  <c r="I606" i="120" s="1"/>
  <c r="J606" i="120" s="1"/>
  <c r="J605" i="120" s="1"/>
  <c r="F606" i="120"/>
  <c r="D606" i="120"/>
  <c r="C606" i="120"/>
  <c r="C608" i="120"/>
  <c r="F608" i="120"/>
  <c r="D608" i="120"/>
  <c r="G608" i="120"/>
  <c r="I608" i="120" s="1"/>
  <c r="J608" i="120" s="1"/>
  <c r="J607" i="120" s="1"/>
  <c r="G444" i="120"/>
  <c r="I444" i="120" s="1"/>
  <c r="J444" i="120" s="1"/>
  <c r="J443" i="120" s="1"/>
  <c r="F444" i="120"/>
  <c r="D444" i="120"/>
  <c r="C444" i="120"/>
  <c r="D442" i="12"/>
  <c r="C442" i="12"/>
  <c r="G610" i="120"/>
  <c r="I610" i="120" s="1"/>
  <c r="J610" i="120" s="1"/>
  <c r="F610" i="120"/>
  <c r="D610" i="120"/>
  <c r="C610" i="120"/>
  <c r="C637" i="120"/>
  <c r="F637" i="120"/>
  <c r="D637" i="120"/>
  <c r="G637" i="120"/>
  <c r="I637" i="120" s="1"/>
  <c r="J637" i="120" s="1"/>
  <c r="D566" i="12"/>
  <c r="C566" i="12"/>
  <c r="D440" i="120"/>
  <c r="C440" i="120"/>
  <c r="G440" i="120"/>
  <c r="I440" i="120" s="1"/>
  <c r="J440" i="120" s="1"/>
  <c r="J439" i="120" s="1"/>
  <c r="F440" i="120"/>
  <c r="G693" i="120"/>
  <c r="I693" i="120" s="1"/>
  <c r="J693" i="120" s="1"/>
  <c r="F693" i="120"/>
  <c r="D693" i="120"/>
  <c r="C693" i="120"/>
  <c r="D560" i="12"/>
  <c r="C560" i="12"/>
  <c r="G697" i="120"/>
  <c r="I697" i="120" s="1"/>
  <c r="J697" i="120" s="1"/>
  <c r="F697" i="120"/>
  <c r="D697" i="120"/>
  <c r="C697" i="120"/>
  <c r="G786" i="120"/>
  <c r="I786" i="120" s="1"/>
  <c r="F786" i="120"/>
  <c r="D786" i="120"/>
  <c r="C786" i="120"/>
  <c r="C602" i="120"/>
  <c r="G602" i="120"/>
  <c r="I602" i="120" s="1"/>
  <c r="J602" i="120" s="1"/>
  <c r="F602" i="120"/>
  <c r="D602" i="120"/>
  <c r="G703" i="120"/>
  <c r="I703" i="120" s="1"/>
  <c r="J703" i="120" s="1"/>
  <c r="J702" i="120" s="1"/>
  <c r="F703" i="120"/>
  <c r="D703" i="120"/>
  <c r="C703" i="120"/>
  <c r="G705" i="120"/>
  <c r="I705" i="120" s="1"/>
  <c r="J705" i="120" s="1"/>
  <c r="J704" i="120" s="1"/>
  <c r="F705" i="120"/>
  <c r="D705" i="120"/>
  <c r="C705" i="120"/>
  <c r="S136" i="58"/>
  <c r="S146" i="58"/>
  <c r="S63" i="58"/>
  <c r="S73" i="58"/>
  <c r="Q60" i="58"/>
  <c r="Q70" i="58"/>
  <c r="Q62" i="58"/>
  <c r="Q72" i="58"/>
  <c r="N31" i="134"/>
  <c r="N32" i="134" s="1"/>
  <c r="I31" i="134"/>
  <c r="I32" i="134" s="1"/>
  <c r="R31" i="134"/>
  <c r="R32" i="134" s="1"/>
  <c r="T31" i="134"/>
  <c r="T32" i="134" s="1"/>
  <c r="Z107" i="58"/>
  <c r="Q107" i="58"/>
  <c r="U31" i="134"/>
  <c r="U32" i="134" s="1"/>
  <c r="K31" i="134"/>
  <c r="K32" i="134" s="1"/>
  <c r="W31" i="134"/>
  <c r="W32" i="134" s="1"/>
  <c r="O31" i="134"/>
  <c r="O32" i="134" s="1"/>
  <c r="V31" i="134"/>
  <c r="V32" i="134" s="1"/>
  <c r="Q31" i="134"/>
  <c r="Q32" i="134" s="1"/>
  <c r="J31" i="134"/>
  <c r="J32" i="134" s="1"/>
  <c r="F31" i="134"/>
  <c r="F32" i="134" s="1"/>
  <c r="M31" i="134"/>
  <c r="M32" i="134" s="1"/>
  <c r="H31" i="134"/>
  <c r="H32" i="134" s="1"/>
  <c r="S31" i="134"/>
  <c r="S32" i="134" s="1"/>
  <c r="Q108" i="58"/>
  <c r="Z75" i="134"/>
  <c r="Y73" i="134"/>
  <c r="V107" i="58"/>
  <c r="Y107" i="58"/>
  <c r="S65" i="58"/>
  <c r="S52" i="58"/>
  <c r="Y108" i="58"/>
  <c r="Z108" i="58"/>
  <c r="L31" i="134"/>
  <c r="L32" i="134" s="1"/>
  <c r="G31" i="134"/>
  <c r="G32" i="134" s="1"/>
  <c r="S108" i="58"/>
  <c r="S107" i="58"/>
  <c r="V108" i="58"/>
  <c r="L30" i="120"/>
  <c r="D78" i="134"/>
  <c r="G32" i="122"/>
  <c r="B442" i="120"/>
  <c r="M97" i="56"/>
  <c r="N97" i="56" s="1"/>
  <c r="V35" i="134"/>
  <c r="V36" i="134" s="1"/>
  <c r="N35" i="134"/>
  <c r="N36" i="134" s="1"/>
  <c r="G20" i="122"/>
  <c r="U35" i="134"/>
  <c r="U36" i="134" s="1"/>
  <c r="R35" i="134"/>
  <c r="R36" i="134" s="1"/>
  <c r="I35" i="134"/>
  <c r="I36" i="134" s="1"/>
  <c r="W35" i="134"/>
  <c r="W36" i="134" s="1"/>
  <c r="Q35" i="134"/>
  <c r="Q36" i="134" s="1"/>
  <c r="P35" i="134"/>
  <c r="P36" i="134" s="1"/>
  <c r="M35" i="134"/>
  <c r="M36" i="134" s="1"/>
  <c r="K35" i="134"/>
  <c r="K36" i="134" s="1"/>
  <c r="O35" i="134"/>
  <c r="O36" i="134" s="1"/>
  <c r="J35" i="134"/>
  <c r="J36" i="134" s="1"/>
  <c r="G35" i="134"/>
  <c r="G36" i="134" s="1"/>
  <c r="S35" i="134"/>
  <c r="S36" i="134" s="1"/>
  <c r="F35" i="134"/>
  <c r="F36" i="134" s="1"/>
  <c r="H35" i="134"/>
  <c r="H36" i="134" s="1"/>
  <c r="L35" i="134"/>
  <c r="L36" i="134" s="1"/>
  <c r="L19" i="120"/>
  <c r="H65" i="120"/>
  <c r="O65" i="120" s="1"/>
  <c r="O65" i="12"/>
  <c r="K130" i="83"/>
  <c r="M834" i="120"/>
  <c r="B834" i="12"/>
  <c r="J119" i="83"/>
  <c r="H842" i="12" s="1"/>
  <c r="J127" i="83"/>
  <c r="H852" i="12" s="1"/>
  <c r="M836" i="120"/>
  <c r="B836" i="12"/>
  <c r="I843" i="120"/>
  <c r="J844" i="120"/>
  <c r="J843" i="120" s="1"/>
  <c r="M838" i="120"/>
  <c r="B838" i="12"/>
  <c r="M830" i="120"/>
  <c r="B830" i="12"/>
  <c r="M846" i="12"/>
  <c r="H846" i="120"/>
  <c r="J125" i="83"/>
  <c r="H840" i="12" s="1"/>
  <c r="J762" i="120"/>
  <c r="O762" i="120"/>
  <c r="H27" i="120"/>
  <c r="C66" i="134" s="1"/>
  <c r="O759" i="120"/>
  <c r="N27" i="120" s="1"/>
  <c r="C67" i="134" s="1"/>
  <c r="J759" i="120"/>
  <c r="D28" i="122"/>
  <c r="C26" i="77"/>
  <c r="J70" i="118"/>
  <c r="J74" i="118"/>
  <c r="B560" i="120"/>
  <c r="B566" i="120"/>
  <c r="M572" i="120"/>
  <c r="B572" i="12"/>
  <c r="Q46" i="58"/>
  <c r="Q49" i="58"/>
  <c r="W49" i="58"/>
  <c r="W61" i="58" s="1"/>
  <c r="T23" i="58"/>
  <c r="T51" i="58"/>
  <c r="T63" i="58" s="1"/>
  <c r="T53" i="58"/>
  <c r="T65" i="58" s="1"/>
  <c r="T44" i="58"/>
  <c r="T52" i="58"/>
  <c r="T64" i="58" s="1"/>
  <c r="T106" i="58"/>
  <c r="T105" i="58"/>
  <c r="X83" i="39"/>
  <c r="Y83" i="39" s="1"/>
  <c r="T101" i="58"/>
  <c r="T102" i="58"/>
  <c r="T103" i="58"/>
  <c r="T100" i="58"/>
  <c r="T83" i="58"/>
  <c r="T123" i="58"/>
  <c r="T125" i="58"/>
  <c r="T136" i="58" s="1"/>
  <c r="AA199" i="58"/>
  <c r="AA120" i="58"/>
  <c r="X120" i="58"/>
  <c r="X199" i="58"/>
  <c r="W85" i="58"/>
  <c r="W93" i="58"/>
  <c r="Y81" i="134"/>
  <c r="Y84" i="134"/>
  <c r="Z83" i="134"/>
  <c r="Y83" i="134"/>
  <c r="V134" i="58"/>
  <c r="U108" i="58"/>
  <c r="U107" i="58"/>
  <c r="AA49" i="58"/>
  <c r="AA61" i="58" s="1"/>
  <c r="Q134" i="58"/>
  <c r="S48" i="58"/>
  <c r="S70" i="58" s="1"/>
  <c r="S50" i="58"/>
  <c r="S45" i="58"/>
  <c r="S46" i="58" s="1"/>
  <c r="AA60" i="58"/>
  <c r="Y134" i="58"/>
  <c r="Q93" i="58"/>
  <c r="W199" i="58"/>
  <c r="W120" i="58"/>
  <c r="X60" i="58"/>
  <c r="V85" i="58"/>
  <c r="V93" i="58"/>
  <c r="Y60" i="58"/>
  <c r="W60" i="58"/>
  <c r="Z62" i="58"/>
  <c r="Z49" i="58"/>
  <c r="Z61" i="58" s="1"/>
  <c r="U45" i="58"/>
  <c r="U46" i="58" s="1"/>
  <c r="U50" i="58"/>
  <c r="U62" i="58" s="1"/>
  <c r="U48" i="58"/>
  <c r="Y120" i="58"/>
  <c r="Y199" i="58"/>
  <c r="Y49" i="58"/>
  <c r="Y61" i="58" s="1"/>
  <c r="Y85" i="58"/>
  <c r="Y93" i="58"/>
  <c r="Z134" i="58"/>
  <c r="U134" i="58"/>
  <c r="Z93" i="58"/>
  <c r="Z85" i="58"/>
  <c r="U93" i="58"/>
  <c r="S134" i="58"/>
  <c r="AA134" i="58"/>
  <c r="X134" i="58"/>
  <c r="S93" i="58"/>
  <c r="V120" i="58"/>
  <c r="V199" i="58"/>
  <c r="V49" i="58"/>
  <c r="V61" i="58" s="1"/>
  <c r="F84" i="39"/>
  <c r="X84" i="39" s="1"/>
  <c r="X85" i="58"/>
  <c r="X93" i="58"/>
  <c r="V60" i="58"/>
  <c r="AA93" i="58"/>
  <c r="AA85" i="58"/>
  <c r="X62" i="58"/>
  <c r="X49" i="58"/>
  <c r="X61" i="58" s="1"/>
  <c r="W108" i="58"/>
  <c r="W107" i="58"/>
  <c r="Z60" i="58"/>
  <c r="Z199" i="58"/>
  <c r="Z120" i="58"/>
  <c r="X107" i="58"/>
  <c r="X108" i="58"/>
  <c r="W134" i="58"/>
  <c r="I19" i="78"/>
  <c r="J18" i="78"/>
  <c r="D173" i="120" l="1"/>
  <c r="C173" i="120"/>
  <c r="G173" i="120"/>
  <c r="I173" i="120" s="1"/>
  <c r="J173" i="120" s="1"/>
  <c r="J172" i="120" s="1"/>
  <c r="F173" i="120"/>
  <c r="G566" i="120"/>
  <c r="I566" i="120" s="1"/>
  <c r="J566" i="120" s="1"/>
  <c r="F566" i="120"/>
  <c r="D566" i="120"/>
  <c r="C566" i="120"/>
  <c r="G560" i="120"/>
  <c r="I560" i="120" s="1"/>
  <c r="J560" i="120" s="1"/>
  <c r="F560" i="120"/>
  <c r="D560" i="120"/>
  <c r="C560" i="120"/>
  <c r="D836" i="12"/>
  <c r="C836" i="12"/>
  <c r="D572" i="12"/>
  <c r="C572" i="12"/>
  <c r="C834" i="12"/>
  <c r="D834" i="12"/>
  <c r="G442" i="120"/>
  <c r="I442" i="120" s="1"/>
  <c r="J442" i="120" s="1"/>
  <c r="F442" i="120"/>
  <c r="D442" i="120"/>
  <c r="C442" i="120"/>
  <c r="D838" i="12"/>
  <c r="C838" i="12"/>
  <c r="D830" i="12"/>
  <c r="C830" i="12"/>
  <c r="S62" i="58"/>
  <c r="S72" i="58"/>
  <c r="S64" i="58"/>
  <c r="S74" i="58"/>
  <c r="Q61" i="58"/>
  <c r="Q71" i="58"/>
  <c r="Q85" i="58"/>
  <c r="Q86" i="58" s="1"/>
  <c r="X31" i="134"/>
  <c r="Z31" i="134" s="1"/>
  <c r="X32" i="134"/>
  <c r="H79" i="134"/>
  <c r="H80" i="134" s="1"/>
  <c r="G79" i="134"/>
  <c r="G80" i="134" s="1"/>
  <c r="I79" i="134"/>
  <c r="I80" i="134" s="1"/>
  <c r="K79" i="134"/>
  <c r="K80" i="134" s="1"/>
  <c r="O79" i="134"/>
  <c r="O80" i="134" s="1"/>
  <c r="P79" i="134"/>
  <c r="P80" i="134" s="1"/>
  <c r="T79" i="134"/>
  <c r="T80" i="134" s="1"/>
  <c r="L79" i="134"/>
  <c r="L80" i="134" s="1"/>
  <c r="M79" i="134"/>
  <c r="M80" i="134" s="1"/>
  <c r="W79" i="134"/>
  <c r="W80" i="134" s="1"/>
  <c r="Q79" i="134"/>
  <c r="Q80" i="134" s="1"/>
  <c r="N79" i="134"/>
  <c r="N80" i="134" s="1"/>
  <c r="J79" i="134"/>
  <c r="J80" i="134" s="1"/>
  <c r="R79" i="134"/>
  <c r="R80" i="134" s="1"/>
  <c r="S79" i="134"/>
  <c r="S80" i="134" s="1"/>
  <c r="U79" i="134"/>
  <c r="U80" i="134" s="1"/>
  <c r="F79" i="134"/>
  <c r="V79" i="134"/>
  <c r="V80" i="134" s="1"/>
  <c r="M116" i="56"/>
  <c r="M102" i="56"/>
  <c r="N102" i="56" s="1"/>
  <c r="Q120" i="58"/>
  <c r="Q89" i="58" s="1"/>
  <c r="Q90" i="58" s="1"/>
  <c r="Q91" i="58" s="1"/>
  <c r="Z80" i="58"/>
  <c r="Z81" i="58" s="1"/>
  <c r="S85" i="58"/>
  <c r="S86" i="58" s="1"/>
  <c r="X36" i="134"/>
  <c r="X35" i="134"/>
  <c r="Y35" i="134" s="1"/>
  <c r="G12" i="153"/>
  <c r="K127" i="83"/>
  <c r="K125" i="83"/>
  <c r="B836" i="120"/>
  <c r="H840" i="120"/>
  <c r="M840" i="12"/>
  <c r="M852" i="12"/>
  <c r="M852" i="120" s="1"/>
  <c r="H852" i="120"/>
  <c r="J852" i="120" s="1"/>
  <c r="B846" i="12"/>
  <c r="M846" i="120"/>
  <c r="B830" i="120"/>
  <c r="M842" i="12"/>
  <c r="H842" i="120"/>
  <c r="K119" i="83"/>
  <c r="B838" i="120"/>
  <c r="B834" i="120"/>
  <c r="J65" i="120"/>
  <c r="J786" i="120"/>
  <c r="I785" i="120"/>
  <c r="J696" i="120"/>
  <c r="J692" i="120"/>
  <c r="J636" i="120"/>
  <c r="J609" i="120"/>
  <c r="B572" i="120"/>
  <c r="J601" i="120"/>
  <c r="Z83" i="39"/>
  <c r="Y84" i="39"/>
  <c r="Q80" i="58"/>
  <c r="Q81" i="58" s="1"/>
  <c r="S49" i="58"/>
  <c r="X80" i="58"/>
  <c r="X81" i="58" s="1"/>
  <c r="T50" i="58"/>
  <c r="T62" i="58" s="1"/>
  <c r="T48" i="58"/>
  <c r="T134" i="58"/>
  <c r="T93" i="58"/>
  <c r="T45" i="58"/>
  <c r="T46" i="58" s="1"/>
  <c r="T199" i="58" s="1"/>
  <c r="AA80" i="58"/>
  <c r="AA81" i="58" s="1"/>
  <c r="W80" i="58"/>
  <c r="W81" i="58" s="1"/>
  <c r="T108" i="58"/>
  <c r="T107" i="58"/>
  <c r="U120" i="58"/>
  <c r="U199" i="58"/>
  <c r="U85" i="58"/>
  <c r="Y86" i="58"/>
  <c r="Y216" i="58"/>
  <c r="Y80" i="58"/>
  <c r="Y81" i="58" s="1"/>
  <c r="X94" i="58"/>
  <c r="X92" i="58"/>
  <c r="U94" i="58"/>
  <c r="U92" i="58"/>
  <c r="Y47" i="58"/>
  <c r="Y58" i="58"/>
  <c r="X86" i="58"/>
  <c r="X216" i="58"/>
  <c r="V94" i="58"/>
  <c r="V92" i="58"/>
  <c r="V86" i="58"/>
  <c r="V216" i="58"/>
  <c r="AA47" i="58"/>
  <c r="AA58" i="58"/>
  <c r="Y89" i="58"/>
  <c r="Y124" i="58"/>
  <c r="X47" i="58"/>
  <c r="X58" i="58"/>
  <c r="U60" i="58"/>
  <c r="W89" i="58"/>
  <c r="W124" i="58"/>
  <c r="S120" i="58"/>
  <c r="S199" i="58" s="1"/>
  <c r="U49" i="58"/>
  <c r="U61" i="58" s="1"/>
  <c r="Y81" i="39"/>
  <c r="Z89" i="58"/>
  <c r="Z124" i="58"/>
  <c r="V89" i="58"/>
  <c r="V124" i="58"/>
  <c r="Z216" i="58"/>
  <c r="Z86" i="58"/>
  <c r="S60" i="58"/>
  <c r="Z92" i="58"/>
  <c r="Z94" i="58"/>
  <c r="Z58" i="58"/>
  <c r="Z47" i="58"/>
  <c r="S94" i="58"/>
  <c r="S92" i="58"/>
  <c r="Q92" i="58"/>
  <c r="Q94" i="58"/>
  <c r="W94" i="58"/>
  <c r="W92" i="58"/>
  <c r="W86" i="58"/>
  <c r="W216" i="58"/>
  <c r="AA216" i="58"/>
  <c r="AA86" i="58"/>
  <c r="AA92" i="58"/>
  <c r="AA94" i="58"/>
  <c r="W58" i="58"/>
  <c r="W47" i="58"/>
  <c r="X89" i="58"/>
  <c r="X124" i="58"/>
  <c r="V80" i="58"/>
  <c r="V81" i="58" s="1"/>
  <c r="AA89" i="58"/>
  <c r="AA124" i="58"/>
  <c r="V58" i="58"/>
  <c r="V47" i="58"/>
  <c r="Y92" i="58"/>
  <c r="Y94" i="58"/>
  <c r="J19" i="78"/>
  <c r="I20" i="78"/>
  <c r="F830" i="120" l="1"/>
  <c r="D830" i="120"/>
  <c r="C830" i="120"/>
  <c r="G830" i="120"/>
  <c r="I830" i="120" s="1"/>
  <c r="G834" i="120"/>
  <c r="I834" i="120" s="1"/>
  <c r="F834" i="120"/>
  <c r="D834" i="120"/>
  <c r="C834" i="120"/>
  <c r="G838" i="120"/>
  <c r="I838" i="120" s="1"/>
  <c r="F838" i="120"/>
  <c r="D838" i="120"/>
  <c r="C838" i="120"/>
  <c r="F836" i="120"/>
  <c r="D836" i="120"/>
  <c r="C836" i="120"/>
  <c r="G836" i="120"/>
  <c r="I836" i="120" s="1"/>
  <c r="G572" i="120"/>
  <c r="I572" i="120" s="1"/>
  <c r="J572" i="120" s="1"/>
  <c r="F572" i="120"/>
  <c r="D572" i="120"/>
  <c r="C572" i="120"/>
  <c r="C846" i="12"/>
  <c r="D846" i="12"/>
  <c r="Q58" i="58"/>
  <c r="J441" i="120"/>
  <c r="J413" i="120" s="1"/>
  <c r="L442" i="120" s="1"/>
  <c r="N116" i="56"/>
  <c r="H635" i="12"/>
  <c r="S61" i="58"/>
  <c r="S71" i="58"/>
  <c r="Q47" i="58"/>
  <c r="F70" i="58"/>
  <c r="F73" i="58"/>
  <c r="F75" i="58"/>
  <c r="Q199" i="58"/>
  <c r="Q216" i="58"/>
  <c r="Y31" i="134"/>
  <c r="Y29" i="134"/>
  <c r="Y32" i="134"/>
  <c r="F80" i="134"/>
  <c r="X80" i="134" s="1"/>
  <c r="X79" i="134"/>
  <c r="Y36" i="134"/>
  <c r="Q125" i="58"/>
  <c r="Q124" i="58"/>
  <c r="H12" i="153"/>
  <c r="S216" i="58"/>
  <c r="M111" i="56"/>
  <c r="M108" i="56"/>
  <c r="Q201" i="58"/>
  <c r="Z35" i="134"/>
  <c r="Y33" i="134"/>
  <c r="J582" i="120"/>
  <c r="L602" i="120" s="1"/>
  <c r="B846" i="120"/>
  <c r="J851" i="120"/>
  <c r="B840" i="12"/>
  <c r="M840" i="120"/>
  <c r="B842" i="12"/>
  <c r="M842" i="120"/>
  <c r="J785" i="120"/>
  <c r="J752" i="120" s="1"/>
  <c r="J565" i="120"/>
  <c r="J559" i="120"/>
  <c r="V95" i="58"/>
  <c r="V96" i="58" s="1"/>
  <c r="V212" i="58" s="1"/>
  <c r="V204" i="58" s="1"/>
  <c r="S80" i="58"/>
  <c r="S81" i="58" s="1"/>
  <c r="X95" i="58"/>
  <c r="X96" i="58" s="1"/>
  <c r="X212" i="58" s="1"/>
  <c r="X204" i="58" s="1"/>
  <c r="W95" i="58"/>
  <c r="W96" i="58" s="1"/>
  <c r="W212" i="58" s="1"/>
  <c r="W204" i="58" s="1"/>
  <c r="Y95" i="58"/>
  <c r="Y96" i="58" s="1"/>
  <c r="Y212" i="58" s="1"/>
  <c r="Y204" i="58" s="1"/>
  <c r="AA95" i="58"/>
  <c r="AA96" i="58" s="1"/>
  <c r="AA212" i="58" s="1"/>
  <c r="AA204" i="58" s="1"/>
  <c r="T120" i="58"/>
  <c r="T85" i="58"/>
  <c r="U95" i="58"/>
  <c r="U96" i="58" s="1"/>
  <c r="U212" i="58" s="1"/>
  <c r="U204" i="58" s="1"/>
  <c r="T94" i="58"/>
  <c r="T92" i="58"/>
  <c r="T49" i="58"/>
  <c r="T61" i="58" s="1"/>
  <c r="Z95" i="58"/>
  <c r="Z96" i="58" s="1"/>
  <c r="Z212" i="58" s="1"/>
  <c r="Z204" i="58" s="1"/>
  <c r="T60" i="58"/>
  <c r="U80" i="58"/>
  <c r="U81" i="58" s="1"/>
  <c r="Q95" i="58"/>
  <c r="Q96" i="58" s="1"/>
  <c r="Q212" i="58" s="1"/>
  <c r="Q204" i="58" s="1"/>
  <c r="AA135" i="58"/>
  <c r="AA126" i="58"/>
  <c r="AA127" i="58" s="1"/>
  <c r="AA138" i="58" s="1"/>
  <c r="W90" i="58"/>
  <c r="W91" i="58" s="1"/>
  <c r="V135" i="58"/>
  <c r="V126" i="58"/>
  <c r="V137" i="58" s="1"/>
  <c r="Y90" i="58"/>
  <c r="Y91" i="58" s="1"/>
  <c r="AA90" i="58"/>
  <c r="AA91" i="58" s="1"/>
  <c r="AA201" i="58" s="1"/>
  <c r="V90" i="58"/>
  <c r="V91" i="58" s="1"/>
  <c r="U47" i="58"/>
  <c r="U58" i="58"/>
  <c r="Q215" i="58"/>
  <c r="Q200" i="58"/>
  <c r="Z135" i="58"/>
  <c r="Z126" i="58"/>
  <c r="Z137" i="58" s="1"/>
  <c r="Y203" i="58"/>
  <c r="X135" i="58"/>
  <c r="X126" i="58"/>
  <c r="X127" i="58" s="1"/>
  <c r="Z90" i="58"/>
  <c r="Z91" i="58" s="1"/>
  <c r="X90" i="58"/>
  <c r="X91" i="58" s="1"/>
  <c r="X201" i="58" s="1"/>
  <c r="W203" i="58"/>
  <c r="AA203" i="58"/>
  <c r="V203" i="58"/>
  <c r="Z203" i="58"/>
  <c r="U86" i="58"/>
  <c r="U216" i="58"/>
  <c r="X203" i="58"/>
  <c r="S89" i="58"/>
  <c r="S124" i="58"/>
  <c r="S145" i="58" s="1"/>
  <c r="S95" i="58"/>
  <c r="S96" i="58" s="1"/>
  <c r="S212" i="58" s="1"/>
  <c r="S204" i="58" s="1"/>
  <c r="W135" i="58"/>
  <c r="W126" i="58"/>
  <c r="W127" i="58" s="1"/>
  <c r="W138" i="58" s="1"/>
  <c r="Y135" i="58"/>
  <c r="Y126" i="58"/>
  <c r="U89" i="58"/>
  <c r="U203" i="58" s="1"/>
  <c r="U124" i="58"/>
  <c r="J20" i="78"/>
  <c r="I21" i="78"/>
  <c r="G846" i="120" l="1"/>
  <c r="F846" i="120"/>
  <c r="D846" i="120"/>
  <c r="C846" i="120"/>
  <c r="D842" i="12"/>
  <c r="C842" i="12"/>
  <c r="C840" i="12"/>
  <c r="D840" i="12"/>
  <c r="I846" i="120"/>
  <c r="J20" i="120"/>
  <c r="L419" i="120"/>
  <c r="L415" i="120"/>
  <c r="L432" i="120"/>
  <c r="L422" i="120"/>
  <c r="J447" i="120"/>
  <c r="L413" i="120"/>
  <c r="L420" i="120"/>
  <c r="L438" i="120"/>
  <c r="L417" i="120"/>
  <c r="L435" i="120"/>
  <c r="L428" i="120"/>
  <c r="L421" i="120"/>
  <c r="L414" i="120"/>
  <c r="L424" i="120"/>
  <c r="L418" i="120"/>
  <c r="L434" i="120"/>
  <c r="L425" i="120"/>
  <c r="L427" i="120"/>
  <c r="L437" i="120"/>
  <c r="L436" i="120"/>
  <c r="L444" i="120"/>
  <c r="L416" i="120"/>
  <c r="L433" i="120"/>
  <c r="L431" i="120"/>
  <c r="L446" i="120"/>
  <c r="L440" i="120"/>
  <c r="L430" i="120"/>
  <c r="L423" i="120"/>
  <c r="L429" i="120"/>
  <c r="L426" i="120"/>
  <c r="S58" i="58"/>
  <c r="S47" i="58"/>
  <c r="H631" i="12"/>
  <c r="H631" i="120" s="1"/>
  <c r="J631" i="120" s="1"/>
  <c r="H628" i="12"/>
  <c r="L786" i="120"/>
  <c r="Q135" i="58"/>
  <c r="Q145" i="58"/>
  <c r="Q136" i="58"/>
  <c r="Q146" i="58"/>
  <c r="F72" i="58"/>
  <c r="F78" i="58"/>
  <c r="F76" i="58"/>
  <c r="F74" i="58"/>
  <c r="N111" i="56"/>
  <c r="N108" i="56"/>
  <c r="Q126" i="58"/>
  <c r="Y79" i="134"/>
  <c r="Z79" i="134"/>
  <c r="Y80" i="134"/>
  <c r="Y77" i="134"/>
  <c r="L592" i="120"/>
  <c r="J623" i="120"/>
  <c r="L594" i="120"/>
  <c r="J23" i="120"/>
  <c r="D50" i="134" s="1"/>
  <c r="L600" i="120"/>
  <c r="M117" i="56"/>
  <c r="H632" i="12"/>
  <c r="L596" i="120"/>
  <c r="L591" i="120"/>
  <c r="L595" i="120"/>
  <c r="L614" i="120"/>
  <c r="L608" i="120"/>
  <c r="L620" i="120"/>
  <c r="L612" i="120"/>
  <c r="L593" i="120"/>
  <c r="L616" i="120"/>
  <c r="L606" i="120"/>
  <c r="L598" i="120"/>
  <c r="L622" i="120"/>
  <c r="L618" i="120"/>
  <c r="L584" i="120"/>
  <c r="L610" i="120"/>
  <c r="L604" i="120"/>
  <c r="L590" i="120"/>
  <c r="L586" i="120"/>
  <c r="L585" i="120"/>
  <c r="L583" i="120"/>
  <c r="L589" i="120"/>
  <c r="L597" i="120"/>
  <c r="L588" i="120"/>
  <c r="L582" i="120"/>
  <c r="L587" i="120"/>
  <c r="B842" i="120"/>
  <c r="B840" i="120"/>
  <c r="I833" i="120"/>
  <c r="J834" i="120"/>
  <c r="I837" i="120"/>
  <c r="J838" i="120"/>
  <c r="I829" i="120"/>
  <c r="J830" i="120"/>
  <c r="I835" i="120"/>
  <c r="J836" i="120"/>
  <c r="L752" i="120"/>
  <c r="L753" i="120"/>
  <c r="L771" i="120"/>
  <c r="L765" i="120"/>
  <c r="L764" i="120"/>
  <c r="L758" i="120"/>
  <c r="L763" i="120"/>
  <c r="L769" i="120"/>
  <c r="L772" i="120"/>
  <c r="L782" i="120"/>
  <c r="L780" i="120"/>
  <c r="L776" i="120"/>
  <c r="L773" i="120"/>
  <c r="L777" i="120"/>
  <c r="L767" i="120"/>
  <c r="L761" i="120"/>
  <c r="L784" i="120"/>
  <c r="L790" i="120"/>
  <c r="L792" i="120"/>
  <c r="L768" i="120"/>
  <c r="L781" i="120"/>
  <c r="L754" i="120"/>
  <c r="L757" i="120"/>
  <c r="J27" i="120"/>
  <c r="L788" i="120"/>
  <c r="L774" i="120"/>
  <c r="L778" i="120"/>
  <c r="L794" i="120"/>
  <c r="L766" i="120"/>
  <c r="L770" i="120"/>
  <c r="L783" i="120"/>
  <c r="J795" i="120"/>
  <c r="L756" i="120"/>
  <c r="L775" i="120"/>
  <c r="L779" i="120"/>
  <c r="L760" i="120"/>
  <c r="L755" i="120"/>
  <c r="L759" i="120"/>
  <c r="L762" i="120"/>
  <c r="T95" i="58"/>
  <c r="T96" i="58" s="1"/>
  <c r="T212" i="58" s="1"/>
  <c r="T204" i="58" s="1"/>
  <c r="J571" i="120"/>
  <c r="T80" i="58"/>
  <c r="T81" i="58" s="1"/>
  <c r="T58" i="58"/>
  <c r="T47" i="58"/>
  <c r="T86" i="58"/>
  <c r="T216" i="58"/>
  <c r="T89" i="58"/>
  <c r="T124" i="58"/>
  <c r="X138" i="58"/>
  <c r="X128" i="58"/>
  <c r="X139" i="58" s="1"/>
  <c r="Y137" i="58"/>
  <c r="V200" i="58"/>
  <c r="V215" i="58"/>
  <c r="S135" i="58"/>
  <c r="S126" i="58"/>
  <c r="W200" i="58"/>
  <c r="W215" i="58"/>
  <c r="Z200" i="58"/>
  <c r="Z215" i="58"/>
  <c r="W201" i="58"/>
  <c r="S90" i="58"/>
  <c r="S91" i="58" s="1"/>
  <c r="S201" i="58" s="1"/>
  <c r="Z201" i="58"/>
  <c r="AA200" i="58"/>
  <c r="AA215" i="58"/>
  <c r="AA128" i="58"/>
  <c r="AA139" i="58" s="1"/>
  <c r="Z127" i="58"/>
  <c r="Y200" i="58"/>
  <c r="Y215" i="58"/>
  <c r="AA137" i="58"/>
  <c r="Y201" i="58"/>
  <c r="X137" i="58"/>
  <c r="U135" i="58"/>
  <c r="U126" i="58"/>
  <c r="U137" i="58" s="1"/>
  <c r="W137" i="58"/>
  <c r="X200" i="58"/>
  <c r="X215" i="58"/>
  <c r="W128" i="58"/>
  <c r="U90" i="58"/>
  <c r="U91" i="58" s="1"/>
  <c r="U201" i="58" s="1"/>
  <c r="Y127" i="58"/>
  <c r="Y128" i="58" s="1"/>
  <c r="V201" i="58"/>
  <c r="V127" i="58"/>
  <c r="J21" i="78"/>
  <c r="I22" i="78"/>
  <c r="G840" i="120" l="1"/>
  <c r="I840" i="120" s="1"/>
  <c r="F840" i="120"/>
  <c r="D840" i="120"/>
  <c r="C840" i="120"/>
  <c r="F842" i="120"/>
  <c r="D842" i="120"/>
  <c r="C842" i="120"/>
  <c r="G842" i="120"/>
  <c r="I842" i="120" s="1"/>
  <c r="H643" i="12"/>
  <c r="M643" i="12" s="1"/>
  <c r="L20" i="120"/>
  <c r="G21" i="122"/>
  <c r="D38" i="134"/>
  <c r="H628" i="120"/>
  <c r="J628" i="120" s="1"/>
  <c r="S137" i="58"/>
  <c r="S147" i="58"/>
  <c r="Q137" i="58"/>
  <c r="Q147" i="58"/>
  <c r="F71" i="58"/>
  <c r="L23" i="120"/>
  <c r="Q127" i="58"/>
  <c r="G24" i="122"/>
  <c r="N117" i="56"/>
  <c r="H632" i="120"/>
  <c r="J632" i="120" s="1"/>
  <c r="H635" i="120"/>
  <c r="J635" i="120" s="1"/>
  <c r="J634" i="120" s="1"/>
  <c r="J835" i="120"/>
  <c r="I845" i="120"/>
  <c r="J846" i="120"/>
  <c r="J837" i="120"/>
  <c r="J829" i="120"/>
  <c r="J833" i="120"/>
  <c r="L27" i="120"/>
  <c r="G28" i="122"/>
  <c r="D66" i="134"/>
  <c r="V51" i="134"/>
  <c r="V52" i="134" s="1"/>
  <c r="U51" i="134"/>
  <c r="U52" i="134" s="1"/>
  <c r="M51" i="134"/>
  <c r="M52" i="134" s="1"/>
  <c r="F51" i="134"/>
  <c r="K51" i="134"/>
  <c r="K52" i="134" s="1"/>
  <c r="J51" i="134"/>
  <c r="J52" i="134" s="1"/>
  <c r="Q51" i="134"/>
  <c r="Q52" i="134" s="1"/>
  <c r="G51" i="134"/>
  <c r="G52" i="134" s="1"/>
  <c r="P51" i="134"/>
  <c r="P52" i="134" s="1"/>
  <c r="O51" i="134"/>
  <c r="O52" i="134" s="1"/>
  <c r="H51" i="134"/>
  <c r="H52" i="134" s="1"/>
  <c r="R51" i="134"/>
  <c r="R52" i="134" s="1"/>
  <c r="T51" i="134"/>
  <c r="T52" i="134" s="1"/>
  <c r="I51" i="134"/>
  <c r="I52" i="134" s="1"/>
  <c r="W51" i="134"/>
  <c r="W52" i="134" s="1"/>
  <c r="N51" i="134"/>
  <c r="N52" i="134" s="1"/>
  <c r="S51" i="134"/>
  <c r="S52" i="134" s="1"/>
  <c r="L51" i="134"/>
  <c r="L52" i="134" s="1"/>
  <c r="J506" i="120"/>
  <c r="U127" i="58"/>
  <c r="U138" i="58" s="1"/>
  <c r="T135" i="58"/>
  <c r="T126" i="58"/>
  <c r="T137" i="58" s="1"/>
  <c r="T203" i="58"/>
  <c r="T90" i="58"/>
  <c r="T91" i="58" s="1"/>
  <c r="T201" i="58" s="1"/>
  <c r="Y139" i="58"/>
  <c r="U200" i="58"/>
  <c r="U215" i="58"/>
  <c r="V138" i="58"/>
  <c r="V128" i="58"/>
  <c r="V139" i="58" s="1"/>
  <c r="W139" i="58"/>
  <c r="W129" i="58"/>
  <c r="W140" i="58" s="1"/>
  <c r="Z138" i="58"/>
  <c r="Y138" i="58"/>
  <c r="Y129" i="58"/>
  <c r="Y140" i="58" s="1"/>
  <c r="AA129" i="58"/>
  <c r="AA130" i="58" s="1"/>
  <c r="AA141" i="58" s="1"/>
  <c r="Z128" i="58"/>
  <c r="Z139" i="58" s="1"/>
  <c r="S127" i="58"/>
  <c r="X129" i="58"/>
  <c r="X130" i="58" s="1"/>
  <c r="X141" i="58" s="1"/>
  <c r="S200" i="58"/>
  <c r="S215" i="58"/>
  <c r="J22" i="78"/>
  <c r="I23" i="78"/>
  <c r="H643" i="120" l="1"/>
  <c r="L39" i="134"/>
  <c r="L40" i="134" s="1"/>
  <c r="N39" i="134"/>
  <c r="N40" i="134" s="1"/>
  <c r="G39" i="134"/>
  <c r="G40" i="134" s="1"/>
  <c r="U39" i="134"/>
  <c r="U40" i="134" s="1"/>
  <c r="S39" i="134"/>
  <c r="S40" i="134" s="1"/>
  <c r="M39" i="134"/>
  <c r="M40" i="134" s="1"/>
  <c r="R39" i="134"/>
  <c r="R40" i="134" s="1"/>
  <c r="P39" i="134"/>
  <c r="P40" i="134" s="1"/>
  <c r="J39" i="134"/>
  <c r="J40" i="134" s="1"/>
  <c r="I39" i="134"/>
  <c r="I40" i="134" s="1"/>
  <c r="H39" i="134"/>
  <c r="H40" i="134" s="1"/>
  <c r="K39" i="134"/>
  <c r="K40" i="134" s="1"/>
  <c r="F39" i="134"/>
  <c r="V39" i="134"/>
  <c r="V40" i="134" s="1"/>
  <c r="T39" i="134"/>
  <c r="T40" i="134" s="1"/>
  <c r="Q39" i="134"/>
  <c r="Q40" i="134" s="1"/>
  <c r="O39" i="134"/>
  <c r="O40" i="134" s="1"/>
  <c r="W39" i="134"/>
  <c r="W40" i="134" s="1"/>
  <c r="S138" i="58"/>
  <c r="S148" i="58"/>
  <c r="Q128" i="58"/>
  <c r="Q139" i="58" s="1"/>
  <c r="Q148" i="58"/>
  <c r="F144" i="58"/>
  <c r="F145" i="58"/>
  <c r="F146" i="58"/>
  <c r="Q138" i="58"/>
  <c r="M643" i="120"/>
  <c r="B643" i="12"/>
  <c r="J845" i="120"/>
  <c r="I841" i="120"/>
  <c r="J842" i="120"/>
  <c r="I839" i="120"/>
  <c r="J840" i="120"/>
  <c r="O67" i="134"/>
  <c r="O68" i="134" s="1"/>
  <c r="F67" i="134"/>
  <c r="F68" i="134" s="1"/>
  <c r="T67" i="134"/>
  <c r="T68" i="134" s="1"/>
  <c r="R67" i="134"/>
  <c r="R68" i="134" s="1"/>
  <c r="J67" i="134"/>
  <c r="J68" i="134" s="1"/>
  <c r="G67" i="134"/>
  <c r="G68" i="134" s="1"/>
  <c r="M67" i="134"/>
  <c r="M68" i="134" s="1"/>
  <c r="Q67" i="134"/>
  <c r="Q68" i="134" s="1"/>
  <c r="U67" i="134"/>
  <c r="U68" i="134" s="1"/>
  <c r="P67" i="134"/>
  <c r="P68" i="134" s="1"/>
  <c r="V67" i="134"/>
  <c r="V68" i="134" s="1"/>
  <c r="H67" i="134"/>
  <c r="H68" i="134" s="1"/>
  <c r="L67" i="134"/>
  <c r="L68" i="134" s="1"/>
  <c r="K67" i="134"/>
  <c r="K68" i="134" s="1"/>
  <c r="N67" i="134"/>
  <c r="N68" i="134" s="1"/>
  <c r="W67" i="134"/>
  <c r="W68" i="134" s="1"/>
  <c r="S67" i="134"/>
  <c r="S68" i="134" s="1"/>
  <c r="I67" i="134"/>
  <c r="I68" i="134" s="1"/>
  <c r="L580" i="120"/>
  <c r="L556" i="120"/>
  <c r="L518" i="120"/>
  <c r="L520" i="120"/>
  <c r="L530" i="120"/>
  <c r="L540" i="120"/>
  <c r="L506" i="120"/>
  <c r="L558" i="120"/>
  <c r="L512" i="120"/>
  <c r="L562" i="120"/>
  <c r="L529" i="120"/>
  <c r="L513" i="120"/>
  <c r="L534" i="120"/>
  <c r="L550" i="120"/>
  <c r="L537" i="120"/>
  <c r="L531" i="120"/>
  <c r="L544" i="120"/>
  <c r="L539" i="120"/>
  <c r="L523" i="120"/>
  <c r="L574" i="120"/>
  <c r="L509" i="120"/>
  <c r="L522" i="120"/>
  <c r="L578" i="120"/>
  <c r="L508" i="120"/>
  <c r="L568" i="120"/>
  <c r="J581" i="120"/>
  <c r="L519" i="120"/>
  <c r="L532" i="120"/>
  <c r="J22" i="120"/>
  <c r="L546" i="120"/>
  <c r="L525" i="120"/>
  <c r="L542" i="120"/>
  <c r="L576" i="120"/>
  <c r="L517" i="120"/>
  <c r="L548" i="120"/>
  <c r="L528" i="120"/>
  <c r="L538" i="120"/>
  <c r="L552" i="120"/>
  <c r="L527" i="120"/>
  <c r="L521" i="120"/>
  <c r="L507" i="120"/>
  <c r="L541" i="120"/>
  <c r="L516" i="120"/>
  <c r="L515" i="120"/>
  <c r="L510" i="120"/>
  <c r="L536" i="120"/>
  <c r="L535" i="120"/>
  <c r="L564" i="120"/>
  <c r="L526" i="120"/>
  <c r="L554" i="120"/>
  <c r="L570" i="120"/>
  <c r="L533" i="120"/>
  <c r="L524" i="120"/>
  <c r="L514" i="120"/>
  <c r="L511" i="120"/>
  <c r="L566" i="120"/>
  <c r="L560" i="120"/>
  <c r="L572" i="120"/>
  <c r="X51" i="134"/>
  <c r="F52" i="134"/>
  <c r="X52" i="134" s="1"/>
  <c r="AF172" i="59"/>
  <c r="W130" i="58"/>
  <c r="W141" i="58" s="1"/>
  <c r="U128" i="58"/>
  <c r="U139" i="58" s="1"/>
  <c r="V129" i="58"/>
  <c r="V140" i="58" s="1"/>
  <c r="T200" i="58"/>
  <c r="T215" i="58"/>
  <c r="T127" i="58"/>
  <c r="AA140" i="58"/>
  <c r="AA131" i="58"/>
  <c r="AA142" i="58" s="1"/>
  <c r="Z129" i="58"/>
  <c r="Z140" i="58" s="1"/>
  <c r="S128" i="58"/>
  <c r="X140" i="58"/>
  <c r="X131" i="58"/>
  <c r="X142" i="58" s="1"/>
  <c r="Y130" i="58"/>
  <c r="J23" i="78"/>
  <c r="I24" i="78"/>
  <c r="D643" i="12" l="1"/>
  <c r="C643" i="12"/>
  <c r="F40" i="134"/>
  <c r="X40" i="134" s="1"/>
  <c r="X39" i="134"/>
  <c r="S139" i="58"/>
  <c r="S149" i="58"/>
  <c r="Q129" i="58"/>
  <c r="Q149" i="58"/>
  <c r="F147" i="58"/>
  <c r="B643" i="120"/>
  <c r="J839" i="120"/>
  <c r="J841" i="120"/>
  <c r="X68" i="134"/>
  <c r="X67" i="134"/>
  <c r="G23" i="122"/>
  <c r="D46" i="134"/>
  <c r="L22" i="120"/>
  <c r="Z51" i="134"/>
  <c r="Y51" i="134"/>
  <c r="Y49" i="134"/>
  <c r="Y52" i="134"/>
  <c r="AE122" i="58"/>
  <c r="AF154" i="58"/>
  <c r="W131" i="58"/>
  <c r="U129" i="58"/>
  <c r="V130" i="58"/>
  <c r="V141" i="58" s="1"/>
  <c r="S129" i="58"/>
  <c r="T138" i="58"/>
  <c r="T128" i="58"/>
  <c r="T139" i="58" s="1"/>
  <c r="X132" i="58"/>
  <c r="X143" i="58" s="1"/>
  <c r="X121" i="58" s="1"/>
  <c r="Z130" i="58"/>
  <c r="Y141" i="58"/>
  <c r="Y131" i="58"/>
  <c r="Y142" i="58" s="1"/>
  <c r="AA132" i="58"/>
  <c r="J24" i="78"/>
  <c r="I25" i="78"/>
  <c r="C643" i="120" l="1"/>
  <c r="G643" i="120"/>
  <c r="I643" i="120" s="1"/>
  <c r="J643" i="120" s="1"/>
  <c r="D643" i="120"/>
  <c r="F643" i="120"/>
  <c r="Z39" i="134"/>
  <c r="Y39" i="134"/>
  <c r="Y40" i="134"/>
  <c r="Y37" i="134"/>
  <c r="S140" i="58"/>
  <c r="S150" i="58"/>
  <c r="Q140" i="58"/>
  <c r="Q150" i="58"/>
  <c r="Q130" i="58"/>
  <c r="Q141" i="58" s="1"/>
  <c r="F148" i="58"/>
  <c r="D12" i="153"/>
  <c r="J796" i="120"/>
  <c r="Y67" i="134"/>
  <c r="Z67" i="134"/>
  <c r="Y68" i="134"/>
  <c r="Y65" i="134"/>
  <c r="O47" i="134"/>
  <c r="O48" i="134" s="1"/>
  <c r="N47" i="134"/>
  <c r="N48" i="134" s="1"/>
  <c r="F47" i="134"/>
  <c r="F48" i="134" s="1"/>
  <c r="M47" i="134"/>
  <c r="M48" i="134" s="1"/>
  <c r="L47" i="134"/>
  <c r="L48" i="134" s="1"/>
  <c r="S47" i="134"/>
  <c r="S48" i="134" s="1"/>
  <c r="J47" i="134"/>
  <c r="J48" i="134" s="1"/>
  <c r="K47" i="134"/>
  <c r="K48" i="134" s="1"/>
  <c r="T47" i="134"/>
  <c r="T48" i="134" s="1"/>
  <c r="V47" i="134"/>
  <c r="V48" i="134" s="1"/>
  <c r="P47" i="134"/>
  <c r="P48" i="134" s="1"/>
  <c r="H47" i="134"/>
  <c r="H48" i="134" s="1"/>
  <c r="U47" i="134"/>
  <c r="U48" i="134" s="1"/>
  <c r="W47" i="134"/>
  <c r="W48" i="134" s="1"/>
  <c r="R47" i="134"/>
  <c r="R48" i="134" s="1"/>
  <c r="G47" i="134"/>
  <c r="G48" i="134" s="1"/>
  <c r="Q47" i="134"/>
  <c r="Q48" i="134" s="1"/>
  <c r="I47" i="134"/>
  <c r="I48" i="134" s="1"/>
  <c r="W142" i="58"/>
  <c r="W132" i="58"/>
  <c r="U140" i="58"/>
  <c r="U130" i="58"/>
  <c r="V131" i="58"/>
  <c r="V132" i="58" s="1"/>
  <c r="V143" i="58" s="1"/>
  <c r="S130" i="58"/>
  <c r="T129" i="58"/>
  <c r="T140" i="58" s="1"/>
  <c r="Y132" i="58"/>
  <c r="Y143" i="58" s="1"/>
  <c r="Y121" i="58" s="1"/>
  <c r="AA143" i="58"/>
  <c r="AA121" i="58" s="1"/>
  <c r="Z141" i="58"/>
  <c r="Z131" i="58"/>
  <c r="J25" i="78"/>
  <c r="I26" i="78"/>
  <c r="S141" i="58" l="1"/>
  <c r="S151" i="58"/>
  <c r="Q131" i="58"/>
  <c r="Q132" i="58" s="1"/>
  <c r="Q151" i="58"/>
  <c r="F149" i="58"/>
  <c r="J642" i="120"/>
  <c r="L844" i="120"/>
  <c r="L804" i="120"/>
  <c r="L820" i="120"/>
  <c r="L801" i="120"/>
  <c r="L805" i="120"/>
  <c r="L819" i="120"/>
  <c r="J857" i="120"/>
  <c r="L815" i="120"/>
  <c r="L822" i="120"/>
  <c r="L824" i="120"/>
  <c r="L817" i="120"/>
  <c r="L799" i="120"/>
  <c r="L814" i="120"/>
  <c r="L823" i="120"/>
  <c r="L808" i="120"/>
  <c r="L856" i="120"/>
  <c r="L854" i="120"/>
  <c r="L803" i="120"/>
  <c r="L848" i="120"/>
  <c r="L821" i="120"/>
  <c r="L806" i="120"/>
  <c r="L832" i="120"/>
  <c r="L798" i="120"/>
  <c r="L825" i="120"/>
  <c r="J28" i="120"/>
  <c r="L797" i="120"/>
  <c r="L813" i="120"/>
  <c r="L810" i="120"/>
  <c r="L809" i="120"/>
  <c r="L850" i="120"/>
  <c r="L800" i="120"/>
  <c r="L802" i="120"/>
  <c r="L816" i="120"/>
  <c r="L828" i="120"/>
  <c r="L818" i="120"/>
  <c r="L826" i="120"/>
  <c r="L812" i="120"/>
  <c r="L807" i="120"/>
  <c r="L796" i="120"/>
  <c r="L811" i="120"/>
  <c r="L852" i="120"/>
  <c r="L830" i="120"/>
  <c r="L836" i="120"/>
  <c r="L834" i="120"/>
  <c r="L838" i="120"/>
  <c r="L846" i="120"/>
  <c r="L840" i="120"/>
  <c r="L842" i="120"/>
  <c r="X48" i="134"/>
  <c r="X47" i="134"/>
  <c r="V142" i="58"/>
  <c r="V121" i="58" s="1"/>
  <c r="W143" i="58"/>
  <c r="W121" i="58" s="1"/>
  <c r="U141" i="58"/>
  <c r="U131" i="58"/>
  <c r="S131" i="58"/>
  <c r="T130" i="58"/>
  <c r="T131" i="58" s="1"/>
  <c r="T142" i="58" s="1"/>
  <c r="Z142" i="58"/>
  <c r="Z132" i="58"/>
  <c r="Z143" i="58" s="1"/>
  <c r="J26" i="78"/>
  <c r="I27" i="78"/>
  <c r="S132" i="58" l="1"/>
  <c r="S152" i="58"/>
  <c r="Q143" i="58"/>
  <c r="Q153" i="58"/>
  <c r="Q142" i="58"/>
  <c r="Q152" i="58"/>
  <c r="Q121" i="58" s="1"/>
  <c r="F150" i="58"/>
  <c r="Z121" i="58"/>
  <c r="S142" i="58"/>
  <c r="D70" i="134"/>
  <c r="G30" i="122"/>
  <c r="L28" i="120"/>
  <c r="Y47" i="134"/>
  <c r="Z47" i="134"/>
  <c r="Y45" i="134"/>
  <c r="Y48" i="134"/>
  <c r="U142" i="58"/>
  <c r="U132" i="58"/>
  <c r="U143" i="58" s="1"/>
  <c r="T141" i="58"/>
  <c r="T132" i="58"/>
  <c r="T143" i="58" s="1"/>
  <c r="J27" i="78"/>
  <c r="I28" i="78"/>
  <c r="S143" i="58" l="1"/>
  <c r="S153" i="58"/>
  <c r="F151" i="58"/>
  <c r="U121" i="58"/>
  <c r="E12" i="153"/>
  <c r="U71" i="134"/>
  <c r="U72" i="134" s="1"/>
  <c r="W71" i="134"/>
  <c r="W72" i="134" s="1"/>
  <c r="O71" i="134"/>
  <c r="O72" i="134" s="1"/>
  <c r="I71" i="134"/>
  <c r="I72" i="134" s="1"/>
  <c r="R71" i="134"/>
  <c r="R72" i="134" s="1"/>
  <c r="H71" i="134"/>
  <c r="H72" i="134" s="1"/>
  <c r="J71" i="134"/>
  <c r="J72" i="134" s="1"/>
  <c r="Q71" i="134"/>
  <c r="Q72" i="134" s="1"/>
  <c r="G71" i="134"/>
  <c r="G72" i="134" s="1"/>
  <c r="M71" i="134"/>
  <c r="M72" i="134" s="1"/>
  <c r="L71" i="134"/>
  <c r="L72" i="134" s="1"/>
  <c r="N71" i="134"/>
  <c r="N72" i="134" s="1"/>
  <c r="F71" i="134"/>
  <c r="V71" i="134"/>
  <c r="V72" i="134" s="1"/>
  <c r="S71" i="134"/>
  <c r="S72" i="134" s="1"/>
  <c r="K71" i="134"/>
  <c r="K72" i="134" s="1"/>
  <c r="P71" i="134"/>
  <c r="P72" i="134" s="1"/>
  <c r="T71" i="134"/>
  <c r="T72" i="134" s="1"/>
  <c r="AE133" i="58"/>
  <c r="H164" i="12" s="1"/>
  <c r="T121" i="58"/>
  <c r="I29" i="78"/>
  <c r="J28" i="78"/>
  <c r="S121" i="58" l="1"/>
  <c r="F152" i="58"/>
  <c r="F72" i="134"/>
  <c r="X72" i="134" s="1"/>
  <c r="Y72" i="134" s="1"/>
  <c r="X71" i="134"/>
  <c r="H166" i="12"/>
  <c r="H164" i="120"/>
  <c r="J164" i="120" s="1"/>
  <c r="AF133" i="58"/>
  <c r="AE206" i="58"/>
  <c r="AF206" i="58" s="1"/>
  <c r="I30" i="78"/>
  <c r="J29" i="78"/>
  <c r="F153" i="58" l="1"/>
  <c r="Y71" i="134"/>
  <c r="Z71" i="134"/>
  <c r="Y69" i="134"/>
  <c r="H166" i="120"/>
  <c r="J166" i="120" s="1"/>
  <c r="AE205" i="58"/>
  <c r="AF205" i="58" s="1"/>
  <c r="J30" i="78"/>
  <c r="I31" i="78"/>
  <c r="I32" i="78" l="1"/>
  <c r="J31" i="78"/>
  <c r="I33" i="78" l="1"/>
  <c r="J32" i="78"/>
  <c r="I34" i="78" l="1"/>
  <c r="J33" i="78"/>
  <c r="J34" i="78" l="1"/>
  <c r="I35" i="78"/>
  <c r="J35" i="78" l="1"/>
  <c r="I36" i="78"/>
  <c r="J36" i="78" l="1"/>
  <c r="I37" i="78"/>
  <c r="J37" i="78" l="1"/>
  <c r="I38" i="78"/>
  <c r="I39" i="78" l="1"/>
  <c r="J38" i="78"/>
  <c r="I40" i="78" l="1"/>
  <c r="J39" i="78"/>
  <c r="I41" i="78" l="1"/>
  <c r="J40" i="78"/>
  <c r="I42" i="78" l="1"/>
  <c r="J41" i="78"/>
  <c r="J42" i="78" l="1"/>
  <c r="I43" i="78"/>
  <c r="J43" i="78" l="1"/>
  <c r="I44" i="78"/>
  <c r="J44" i="78" l="1"/>
  <c r="I45" i="78"/>
  <c r="I46" i="78" l="1"/>
  <c r="J45" i="78"/>
  <c r="J46" i="78" l="1"/>
  <c r="I47" i="78"/>
  <c r="J47" i="78" l="1"/>
  <c r="I48" i="78"/>
  <c r="I49" i="78" l="1"/>
  <c r="J48" i="78"/>
  <c r="J49" i="78" l="1"/>
  <c r="I50" i="78"/>
  <c r="J50" i="78" l="1"/>
  <c r="I51" i="78"/>
  <c r="I52" i="78" l="1"/>
  <c r="J51" i="78"/>
  <c r="I53" i="78" l="1"/>
  <c r="J52" i="78"/>
  <c r="J53" i="78" l="1"/>
  <c r="I54" i="78"/>
  <c r="J54" i="78" l="1"/>
  <c r="I55" i="78"/>
  <c r="J55" i="78" l="1"/>
  <c r="I56" i="78"/>
  <c r="I57" i="78" l="1"/>
  <c r="J56" i="78"/>
  <c r="I58" i="78" l="1"/>
  <c r="J57" i="78"/>
  <c r="J58" i="78" l="1"/>
  <c r="I59" i="78"/>
  <c r="I60" i="78" l="1"/>
  <c r="J59" i="78"/>
  <c r="J60" i="78" l="1"/>
  <c r="I61" i="78"/>
  <c r="J61" i="78" l="1"/>
  <c r="I62" i="78"/>
  <c r="J62" i="78" l="1"/>
  <c r="I63" i="78"/>
  <c r="I64" i="78" l="1"/>
  <c r="J63" i="78"/>
  <c r="J64" i="78" l="1"/>
  <c r="I65" i="78"/>
  <c r="J65" i="78" l="1"/>
  <c r="I66" i="78"/>
  <c r="I67" i="78" l="1"/>
  <c r="J66" i="78"/>
  <c r="I68" i="78" l="1"/>
  <c r="J67" i="78"/>
  <c r="I69" i="78" l="1"/>
  <c r="J68" i="78"/>
  <c r="I70" i="78" l="1"/>
  <c r="J69" i="78"/>
  <c r="J70" i="78" l="1"/>
  <c r="I71" i="78"/>
  <c r="I72" i="78" l="1"/>
  <c r="J71" i="78"/>
  <c r="I73" i="78" l="1"/>
  <c r="J72" i="78"/>
  <c r="J73" i="78" l="1"/>
  <c r="I74" i="78"/>
  <c r="J74" i="78" l="1"/>
  <c r="I75" i="78"/>
  <c r="I76" i="78" l="1"/>
  <c r="J75" i="78"/>
  <c r="J76" i="78" l="1"/>
  <c r="I77" i="78"/>
  <c r="I78" i="78" l="1"/>
  <c r="J77" i="78"/>
  <c r="J78" i="78" l="1"/>
  <c r="I79" i="78"/>
  <c r="J79" i="78" l="1"/>
  <c r="I80" i="78"/>
  <c r="J80" i="78" l="1"/>
  <c r="I81" i="78"/>
  <c r="I82" i="78" l="1"/>
  <c r="J81" i="78"/>
  <c r="J82" i="78" l="1"/>
  <c r="I83" i="78"/>
  <c r="J83" i="78" l="1"/>
  <c r="I84" i="78"/>
  <c r="J84" i="78" l="1"/>
  <c r="I85" i="78"/>
  <c r="J85" i="78" l="1"/>
  <c r="I86" i="78"/>
  <c r="I87" i="78" l="1"/>
  <c r="J86" i="78"/>
  <c r="I88" i="78" l="1"/>
  <c r="J87" i="78"/>
  <c r="J88" i="78" l="1"/>
  <c r="I89" i="78"/>
  <c r="I90" i="78" s="1"/>
  <c r="I91" i="78" s="1"/>
  <c r="J91" i="78" l="1"/>
  <c r="I92" i="78"/>
  <c r="J90" i="78"/>
  <c r="J89" i="78"/>
  <c r="J92" i="78" l="1"/>
  <c r="I93" i="78"/>
  <c r="AE80" i="59"/>
  <c r="H256" i="12" s="1"/>
  <c r="H13" i="61"/>
  <c r="F39" i="118" s="1"/>
  <c r="N39" i="118" s="1"/>
  <c r="J93" i="78" l="1"/>
  <c r="I94" i="78"/>
  <c r="AF80" i="59"/>
  <c r="H256" i="120"/>
  <c r="O256" i="12"/>
  <c r="I13" i="61"/>
  <c r="AE30" i="60"/>
  <c r="AE27" i="60"/>
  <c r="AF27" i="60" s="1"/>
  <c r="J94" i="78" l="1"/>
  <c r="I95" i="78"/>
  <c r="O256" i="120"/>
  <c r="J256" i="120"/>
  <c r="F53" i="118"/>
  <c r="AF30" i="60"/>
  <c r="I96" i="78" l="1"/>
  <c r="J95" i="78"/>
  <c r="M53" i="118"/>
  <c r="J96" i="78" l="1"/>
  <c r="I97" i="78"/>
  <c r="H14" i="12"/>
  <c r="N53" i="118"/>
  <c r="I98" i="78" l="1"/>
  <c r="J97" i="78"/>
  <c r="O73" i="12"/>
  <c r="H73" i="120"/>
  <c r="O73" i="120" s="1"/>
  <c r="C29" i="77"/>
  <c r="D15" i="122"/>
  <c r="I99" i="78" l="1"/>
  <c r="J98" i="78"/>
  <c r="J73" i="120"/>
  <c r="H14" i="120"/>
  <c r="C14" i="134" s="1"/>
  <c r="I100" i="78" l="1"/>
  <c r="J99" i="78"/>
  <c r="H458" i="120"/>
  <c r="J458" i="120" s="1"/>
  <c r="J100" i="78" l="1"/>
  <c r="I101" i="78"/>
  <c r="I102" i="78" s="1"/>
  <c r="J102" i="78" s="1"/>
  <c r="G16" i="37"/>
  <c r="G11" i="37"/>
  <c r="G42" i="37"/>
  <c r="G43" i="37" s="1"/>
  <c r="H472" i="120"/>
  <c r="J472" i="120" s="1"/>
  <c r="H466" i="120"/>
  <c r="J466" i="120" s="1"/>
  <c r="J101" i="78" l="1"/>
  <c r="G56" i="37"/>
  <c r="G62" i="37"/>
  <c r="G61" i="37"/>
  <c r="G60" i="37"/>
  <c r="G59" i="37"/>
  <c r="G63" i="37"/>
  <c r="G96" i="37" s="1"/>
  <c r="G17" i="37"/>
  <c r="J469" i="120"/>
  <c r="G29" i="37" l="1"/>
  <c r="G28" i="37"/>
  <c r="N29" i="37"/>
  <c r="N16" i="37"/>
  <c r="O16" i="37" s="1"/>
  <c r="G30" i="37"/>
  <c r="G37" i="37"/>
  <c r="G36" i="37"/>
  <c r="G35" i="37"/>
  <c r="G34" i="37"/>
  <c r="G33" i="37"/>
  <c r="G97" i="37" s="1"/>
  <c r="G121" i="37" s="1"/>
  <c r="N17" i="37"/>
  <c r="O17" i="37" s="1"/>
  <c r="AE155" i="58"/>
  <c r="AF155" i="58" s="1"/>
  <c r="O29" i="37" l="1"/>
  <c r="N95" i="37"/>
  <c r="O95" i="37" s="1"/>
  <c r="G131" i="37"/>
  <c r="N28" i="37"/>
  <c r="N33" i="37"/>
  <c r="G128" i="37"/>
  <c r="G104" i="37"/>
  <c r="N34" i="37"/>
  <c r="G126" i="37"/>
  <c r="G103" i="37"/>
  <c r="N35" i="37"/>
  <c r="O35" i="37" s="1"/>
  <c r="G105" i="37"/>
  <c r="N36" i="37"/>
  <c r="G127" i="37"/>
  <c r="G106" i="37"/>
  <c r="N37" i="37"/>
  <c r="N30" i="37"/>
  <c r="N54" i="37"/>
  <c r="H648" i="12" l="1"/>
  <c r="O30" i="37"/>
  <c r="O28" i="37"/>
  <c r="O33" i="37"/>
  <c r="O36" i="37"/>
  <c r="O34" i="37"/>
  <c r="O37" i="37"/>
  <c r="H648" i="120"/>
  <c r="J648" i="120" s="1"/>
  <c r="O648" i="12"/>
  <c r="H669" i="12"/>
  <c r="H669" i="120" s="1"/>
  <c r="J669" i="120" s="1"/>
  <c r="N80" i="56"/>
  <c r="O54" i="37"/>
  <c r="N110" i="37"/>
  <c r="O110" i="37" l="1"/>
  <c r="H647" i="120"/>
  <c r="O647" i="120" s="1"/>
  <c r="O647" i="12"/>
  <c r="O648" i="120"/>
  <c r="M87" i="56"/>
  <c r="N87" i="56" s="1"/>
  <c r="M81" i="56"/>
  <c r="N81" i="56" s="1"/>
  <c r="H679" i="12"/>
  <c r="J647" i="120" l="1"/>
  <c r="M106" i="56"/>
  <c r="M83" i="56"/>
  <c r="M86" i="56" s="1"/>
  <c r="H679" i="120"/>
  <c r="J679" i="120" s="1"/>
  <c r="H626" i="12" l="1"/>
  <c r="H24" i="12" s="1"/>
  <c r="N106" i="56"/>
  <c r="N86" i="56"/>
  <c r="M115" i="56"/>
  <c r="N83" i="56"/>
  <c r="J676" i="120"/>
  <c r="AF156" i="58"/>
  <c r="H626" i="120" l="1"/>
  <c r="H24" i="120" s="1"/>
  <c r="C54" i="134" s="1"/>
  <c r="O626" i="12"/>
  <c r="N24" i="12" s="1"/>
  <c r="C55" i="39" s="1"/>
  <c r="H641" i="12"/>
  <c r="H641" i="120" s="1"/>
  <c r="N115" i="56"/>
  <c r="D25" i="122"/>
  <c r="C23" i="77"/>
  <c r="AE158" i="58"/>
  <c r="H141" i="12" s="1"/>
  <c r="H141" i="120" s="1"/>
  <c r="AE157" i="58"/>
  <c r="O626" i="120" l="1"/>
  <c r="N24" i="120" s="1"/>
  <c r="C55" i="134" s="1"/>
  <c r="J626" i="120"/>
  <c r="M641" i="12"/>
  <c r="M641" i="120" s="1"/>
  <c r="AF158" i="58"/>
  <c r="H140" i="12"/>
  <c r="H140" i="120" s="1"/>
  <c r="AF157" i="58"/>
  <c r="J141" i="120"/>
  <c r="AE209" i="58"/>
  <c r="H179" i="12" s="1"/>
  <c r="AE159" i="58"/>
  <c r="AF159" i="58" s="1"/>
  <c r="B641" i="12" l="1"/>
  <c r="H179" i="120"/>
  <c r="AF209" i="58"/>
  <c r="J140" i="120"/>
  <c r="C641" i="12" l="1"/>
  <c r="D641" i="12"/>
  <c r="B641" i="120"/>
  <c r="G641" i="120"/>
  <c r="I641" i="120" s="1"/>
  <c r="J641" i="120" s="1"/>
  <c r="F641" i="120"/>
  <c r="D641" i="120"/>
  <c r="C641" i="120"/>
  <c r="M179" i="12"/>
  <c r="M179" i="120" s="1"/>
  <c r="J640" i="120" l="1"/>
  <c r="B179" i="12"/>
  <c r="D179" i="12" l="1"/>
  <c r="C179" i="12"/>
  <c r="J624" i="120"/>
  <c r="B179" i="120"/>
  <c r="G179" i="120" l="1"/>
  <c r="I179" i="120" s="1"/>
  <c r="J179" i="120" s="1"/>
  <c r="F179" i="120"/>
  <c r="D179" i="120"/>
  <c r="C179" i="120"/>
  <c r="L639" i="120"/>
  <c r="L632" i="120"/>
  <c r="L624" i="120"/>
  <c r="L643" i="120"/>
  <c r="L630" i="120"/>
  <c r="L637" i="120"/>
  <c r="L633" i="120"/>
  <c r="J24" i="120"/>
  <c r="L629" i="120"/>
  <c r="L625" i="120"/>
  <c r="L628" i="120"/>
  <c r="L631" i="120"/>
  <c r="L635" i="120"/>
  <c r="L627" i="120"/>
  <c r="J644" i="120"/>
  <c r="L626" i="120"/>
  <c r="L641" i="120"/>
  <c r="D54" i="134" l="1"/>
  <c r="G25" i="122"/>
  <c r="L24" i="120"/>
  <c r="J178" i="120"/>
  <c r="S55" i="134" l="1"/>
  <c r="S56" i="134" s="1"/>
  <c r="R55" i="134"/>
  <c r="R56" i="134" s="1"/>
  <c r="K55" i="134"/>
  <c r="K56" i="134" s="1"/>
  <c r="V55" i="134"/>
  <c r="V56" i="134" s="1"/>
  <c r="O55" i="134"/>
  <c r="O56" i="134" s="1"/>
  <c r="T55" i="134"/>
  <c r="T56" i="134" s="1"/>
  <c r="H55" i="134"/>
  <c r="H56" i="134" s="1"/>
  <c r="L55" i="134"/>
  <c r="L56" i="134" s="1"/>
  <c r="W55" i="134"/>
  <c r="W56" i="134" s="1"/>
  <c r="N55" i="134"/>
  <c r="N56" i="134" s="1"/>
  <c r="J55" i="134"/>
  <c r="J56" i="134" s="1"/>
  <c r="G55" i="134"/>
  <c r="G56" i="134" s="1"/>
  <c r="U55" i="134"/>
  <c r="U56" i="134" s="1"/>
  <c r="P55" i="134"/>
  <c r="P56" i="134" s="1"/>
  <c r="M55" i="134"/>
  <c r="M56" i="134" s="1"/>
  <c r="F55" i="134"/>
  <c r="I55" i="134"/>
  <c r="I56" i="134" s="1"/>
  <c r="Q55" i="134"/>
  <c r="Q56" i="134" s="1"/>
  <c r="F56" i="134" l="1"/>
  <c r="X56" i="134" s="1"/>
  <c r="X55" i="134"/>
  <c r="Z55" i="134" l="1"/>
  <c r="Y55" i="134"/>
  <c r="Y56" i="134"/>
  <c r="Y53" i="134"/>
  <c r="AE78" i="59" l="1"/>
  <c r="H254" i="12" s="1"/>
  <c r="O254" i="12" s="1"/>
  <c r="H254" i="120" l="1"/>
  <c r="AF78" i="59"/>
  <c r="O254" i="120" l="1"/>
  <c r="J254" i="120"/>
  <c r="AE177" i="58" l="1"/>
  <c r="AF177" i="58" s="1"/>
  <c r="AE165" i="58"/>
  <c r="AF165" i="58" s="1"/>
  <c r="AE79" i="59" l="1"/>
  <c r="H255" i="12" s="1"/>
  <c r="AF79" i="59" l="1"/>
  <c r="O255" i="12"/>
  <c r="H255" i="120"/>
  <c r="O255" i="120" l="1"/>
  <c r="J255" i="120"/>
  <c r="AF4" i="58"/>
  <c r="AF4" i="59"/>
  <c r="AF3" i="58"/>
  <c r="AF3" i="59"/>
  <c r="AF5" i="60"/>
  <c r="AF4" i="60"/>
  <c r="AF3" i="60"/>
  <c r="AF6" i="59"/>
  <c r="AF67" i="59"/>
  <c r="N184" i="120"/>
  <c r="N184" i="12"/>
  <c r="AD3" i="43"/>
  <c r="AF7" i="58" l="1"/>
  <c r="AE40" i="59"/>
  <c r="AE52" i="59"/>
  <c r="AE50" i="59"/>
  <c r="AE47" i="59"/>
  <c r="AE37" i="59"/>
  <c r="AE42" i="59"/>
  <c r="AF6" i="58"/>
  <c r="AE57" i="59"/>
  <c r="AE56" i="59"/>
  <c r="AE59" i="59"/>
  <c r="AE58" i="59"/>
  <c r="AG2" i="59"/>
  <c r="AE2" i="59"/>
  <c r="AF2" i="59" s="1"/>
  <c r="AE2" i="60"/>
  <c r="AF2" i="60" s="1"/>
  <c r="H220" i="12" l="1"/>
  <c r="O220" i="12" s="1"/>
  <c r="H218" i="12"/>
  <c r="O218" i="12" s="1"/>
  <c r="H227" i="12"/>
  <c r="H227" i="120" s="1"/>
  <c r="O227" i="120" s="1"/>
  <c r="H231" i="12"/>
  <c r="O231" i="12" s="1"/>
  <c r="H237" i="12"/>
  <c r="H239" i="12"/>
  <c r="O239" i="12" s="1"/>
  <c r="H229" i="12"/>
  <c r="O229" i="12" s="1"/>
  <c r="H241" i="12"/>
  <c r="H242" i="12" s="1"/>
  <c r="H235" i="12"/>
  <c r="H236" i="12" s="1"/>
  <c r="AF47" i="59"/>
  <c r="AF50" i="59"/>
  <c r="AF52" i="59"/>
  <c r="AF37" i="59"/>
  <c r="H222" i="12"/>
  <c r="AF42" i="59"/>
  <c r="AF40" i="59"/>
  <c r="AE161" i="58"/>
  <c r="AF161" i="58" s="1"/>
  <c r="AF56" i="59"/>
  <c r="AF57" i="59"/>
  <c r="AF59" i="59"/>
  <c r="AE84" i="59"/>
  <c r="AF160" i="58"/>
  <c r="AF7" i="59"/>
  <c r="AF58" i="59"/>
  <c r="AE2" i="58"/>
  <c r="AF2" i="58" s="1"/>
  <c r="AE40" i="60"/>
  <c r="D22" i="55" s="1"/>
  <c r="N22" i="55" s="1"/>
  <c r="AE8" i="60"/>
  <c r="D20" i="55" s="1"/>
  <c r="AE41" i="60"/>
  <c r="D23" i="55" s="1"/>
  <c r="AE37" i="60"/>
  <c r="AF37" i="60" s="1"/>
  <c r="H54" i="12" l="1"/>
  <c r="H54" i="120" s="1"/>
  <c r="J54" i="120" s="1"/>
  <c r="H218" i="120"/>
  <c r="J218" i="120" s="1"/>
  <c r="H209" i="12"/>
  <c r="H209" i="120" s="1"/>
  <c r="J209" i="120" s="1"/>
  <c r="H211" i="12"/>
  <c r="H211" i="120" s="1"/>
  <c r="J211" i="120" s="1"/>
  <c r="H239" i="120"/>
  <c r="J239" i="120" s="1"/>
  <c r="H240" i="12"/>
  <c r="H235" i="120"/>
  <c r="O235" i="120" s="1"/>
  <c r="O235" i="12"/>
  <c r="H238" i="12"/>
  <c r="H241" i="120"/>
  <c r="O241" i="120" s="1"/>
  <c r="H237" i="120"/>
  <c r="O237" i="120" s="1"/>
  <c r="O241" i="12"/>
  <c r="O237" i="12"/>
  <c r="J227" i="120"/>
  <c r="H229" i="120"/>
  <c r="J229" i="120" s="1"/>
  <c r="O227" i="12"/>
  <c r="H260" i="12"/>
  <c r="O260" i="12" s="1"/>
  <c r="H220" i="120"/>
  <c r="J220" i="120" s="1"/>
  <c r="H231" i="120"/>
  <c r="O231" i="120" s="1"/>
  <c r="N23" i="55"/>
  <c r="O222" i="12"/>
  <c r="H213" i="12"/>
  <c r="H222" i="120"/>
  <c r="AE163" i="58"/>
  <c r="AF162" i="58"/>
  <c r="O236" i="12"/>
  <c r="H236" i="120"/>
  <c r="AF84" i="59"/>
  <c r="O242" i="12"/>
  <c r="H242" i="120"/>
  <c r="AE82" i="58"/>
  <c r="AF82" i="58" s="1"/>
  <c r="AF40" i="60"/>
  <c r="AF41" i="60"/>
  <c r="AF8" i="60"/>
  <c r="N20" i="55"/>
  <c r="D19" i="55"/>
  <c r="N19" i="55" s="1"/>
  <c r="AF38" i="60"/>
  <c r="H55" i="12" l="1"/>
  <c r="H55" i="120" s="1"/>
  <c r="J55" i="120" s="1"/>
  <c r="O218" i="120"/>
  <c r="N187" i="12"/>
  <c r="O239" i="120"/>
  <c r="H240" i="120"/>
  <c r="J240" i="120" s="1"/>
  <c r="O240" i="12"/>
  <c r="J241" i="120"/>
  <c r="J235" i="120"/>
  <c r="J237" i="120"/>
  <c r="H238" i="120"/>
  <c r="O238" i="12"/>
  <c r="O220" i="120"/>
  <c r="J231" i="120"/>
  <c r="O229" i="120"/>
  <c r="H52" i="12"/>
  <c r="H142" i="12"/>
  <c r="H260" i="120"/>
  <c r="J260" i="120" s="1"/>
  <c r="H50" i="12"/>
  <c r="J222" i="120"/>
  <c r="O222" i="120"/>
  <c r="H213" i="120"/>
  <c r="J213" i="120" s="1"/>
  <c r="AE208" i="58"/>
  <c r="AF208" i="58" s="1"/>
  <c r="AE210" i="58"/>
  <c r="AF210" i="58" s="1"/>
  <c r="AE207" i="58"/>
  <c r="AF207" i="58" s="1"/>
  <c r="AF163" i="58"/>
  <c r="J236" i="120"/>
  <c r="O236" i="120"/>
  <c r="AF68" i="59"/>
  <c r="AE160" i="59"/>
  <c r="AF160" i="59" s="1"/>
  <c r="O242" i="120"/>
  <c r="J242" i="120"/>
  <c r="AE39" i="60"/>
  <c r="D24" i="55" s="1"/>
  <c r="N24" i="55" s="1"/>
  <c r="H56" i="12" l="1"/>
  <c r="H56" i="120" s="1"/>
  <c r="J56" i="120" s="1"/>
  <c r="O240" i="120"/>
  <c r="N187" i="120"/>
  <c r="O238" i="120"/>
  <c r="J238" i="120"/>
  <c r="H52" i="120"/>
  <c r="J52" i="120" s="1"/>
  <c r="O260" i="120"/>
  <c r="H50" i="120"/>
  <c r="J50" i="120" s="1"/>
  <c r="H142" i="120"/>
  <c r="J142" i="120" s="1"/>
  <c r="AF39" i="60"/>
  <c r="H25" i="153" l="1"/>
  <c r="C25" i="153"/>
  <c r="C26" i="153" s="1"/>
  <c r="G25" i="153"/>
  <c r="G26" i="153" s="1"/>
  <c r="E25" i="153"/>
  <c r="K18" i="153" s="1"/>
  <c r="D25" i="153"/>
  <c r="K17" i="153" l="1"/>
  <c r="E26" i="153"/>
  <c r="C36" i="153"/>
  <c r="H26" i="153"/>
  <c r="B58" i="153" s="1"/>
  <c r="E58" i="153" s="1"/>
  <c r="G58" i="153" s="1"/>
  <c r="H58" i="153" s="1"/>
  <c r="D26" i="153"/>
  <c r="M58" i="153" s="1"/>
  <c r="D40" i="153" l="1"/>
  <c r="H36" i="153"/>
  <c r="C40" i="153"/>
  <c r="G36" i="153"/>
  <c r="I36" i="153"/>
  <c r="F36" i="153"/>
  <c r="E36" i="153"/>
  <c r="K36" i="153"/>
  <c r="D36" i="153"/>
  <c r="J36" i="153"/>
  <c r="F40" i="153"/>
  <c r="L40" i="153"/>
  <c r="E40" i="153"/>
  <c r="K40" i="153"/>
  <c r="G40" i="153"/>
  <c r="J40" i="153"/>
  <c r="I40" i="153"/>
  <c r="H40" i="153"/>
  <c r="L36" i="153"/>
  <c r="G41" i="153" l="1"/>
  <c r="G42" i="153"/>
  <c r="F41" i="153"/>
  <c r="F42" i="153"/>
  <c r="J41" i="153"/>
  <c r="J42" i="153"/>
  <c r="E41" i="153"/>
  <c r="E42" i="153"/>
  <c r="C41" i="153"/>
  <c r="C42" i="153"/>
  <c r="L42" i="153"/>
  <c r="L41" i="153"/>
  <c r="H41" i="153"/>
  <c r="H42" i="153"/>
  <c r="K41" i="153"/>
  <c r="K42" i="153"/>
  <c r="I41" i="153"/>
  <c r="I42" i="153"/>
  <c r="D41" i="153"/>
  <c r="D42" i="153"/>
  <c r="AE76" i="58" l="1"/>
  <c r="H120" i="12" s="1"/>
  <c r="AE144" i="58" l="1"/>
  <c r="H154" i="12" s="1"/>
  <c r="AF76" i="58"/>
  <c r="AE70" i="58"/>
  <c r="H114" i="12" s="1"/>
  <c r="AE73" i="58"/>
  <c r="H117" i="12" s="1"/>
  <c r="H120" i="120"/>
  <c r="O120" i="12"/>
  <c r="AF144" i="58" l="1"/>
  <c r="AE72" i="58"/>
  <c r="H116" i="12" s="1"/>
  <c r="O116" i="12" s="1"/>
  <c r="AE75" i="58"/>
  <c r="H119" i="12" s="1"/>
  <c r="H154" i="120"/>
  <c r="J154" i="120" s="1"/>
  <c r="AE71" i="58"/>
  <c r="H115" i="12" s="1"/>
  <c r="AF70" i="58"/>
  <c r="AF73" i="58"/>
  <c r="H117" i="120"/>
  <c r="O117" i="12"/>
  <c r="J120" i="120"/>
  <c r="O120" i="120"/>
  <c r="O114" i="12"/>
  <c r="H114" i="120"/>
  <c r="AF71" i="58" l="1"/>
  <c r="AF75" i="58"/>
  <c r="AF72" i="58"/>
  <c r="H116" i="120"/>
  <c r="J116" i="120" s="1"/>
  <c r="H115" i="120"/>
  <c r="O115" i="120" s="1"/>
  <c r="H119" i="120"/>
  <c r="J119" i="120" s="1"/>
  <c r="O115" i="12"/>
  <c r="O119" i="12"/>
  <c r="AE78" i="58"/>
  <c r="H122" i="12" s="1"/>
  <c r="J114" i="120"/>
  <c r="O114" i="120"/>
  <c r="O117" i="120"/>
  <c r="J117" i="120"/>
  <c r="O116" i="120" l="1"/>
  <c r="O119" i="120"/>
  <c r="J115" i="120"/>
  <c r="AE74" i="58"/>
  <c r="H118" i="12" s="1"/>
  <c r="AE145" i="58"/>
  <c r="H155" i="12" s="1"/>
  <c r="H122" i="120"/>
  <c r="O122" i="12"/>
  <c r="AF78" i="58"/>
  <c r="AF74" i="58" l="1"/>
  <c r="AF145" i="58"/>
  <c r="AE146" i="58"/>
  <c r="H156" i="12" s="1"/>
  <c r="O118" i="12"/>
  <c r="H118" i="120"/>
  <c r="H155" i="120"/>
  <c r="J155" i="120" s="1"/>
  <c r="AE147" i="58"/>
  <c r="H157" i="12" s="1"/>
  <c r="O122" i="120"/>
  <c r="J122" i="120"/>
  <c r="AF147" i="58" l="1"/>
  <c r="H156" i="120"/>
  <c r="J156" i="120" s="1"/>
  <c r="AF146" i="58"/>
  <c r="O118" i="120"/>
  <c r="J118" i="120"/>
  <c r="H157" i="120"/>
  <c r="J157" i="120" s="1"/>
  <c r="AE148" i="58"/>
  <c r="H158" i="12" s="1"/>
  <c r="AF148" i="58" l="1"/>
  <c r="AE149" i="58"/>
  <c r="H159" i="12" s="1"/>
  <c r="AE150" i="58"/>
  <c r="H158" i="120"/>
  <c r="J158" i="120" s="1"/>
  <c r="H160" i="120" l="1"/>
  <c r="J160" i="120" s="1"/>
  <c r="AE151" i="58"/>
  <c r="H159" i="120"/>
  <c r="J159" i="120" s="1"/>
  <c r="AF150" i="58"/>
  <c r="AF149" i="58"/>
  <c r="AF151" i="58" l="1"/>
  <c r="H161" i="120"/>
  <c r="J161" i="120" s="1"/>
  <c r="AE152" i="58"/>
  <c r="H162" i="12" s="1"/>
  <c r="AE153" i="58"/>
  <c r="H163" i="12" s="1"/>
  <c r="AF152" i="58" l="1"/>
  <c r="H163" i="120"/>
  <c r="J163" i="120" s="1"/>
  <c r="AF153" i="58"/>
  <c r="H162" i="120"/>
  <c r="J162" i="120" s="1"/>
  <c r="N12" i="55"/>
  <c r="H43" i="12" s="1"/>
  <c r="F79" i="58"/>
  <c r="F77" i="58"/>
  <c r="H43" i="120" l="1"/>
  <c r="J43" i="120" s="1"/>
  <c r="AE77" i="58"/>
  <c r="H121" i="12" s="1"/>
  <c r="AE79" i="58"/>
  <c r="H123" i="12" s="1"/>
  <c r="D68" i="43" a="1"/>
  <c r="AF77" i="58" l="1"/>
  <c r="AF79" i="58"/>
  <c r="O123" i="12"/>
  <c r="H123" i="120"/>
  <c r="H121" i="120"/>
  <c r="O121" i="12"/>
  <c r="D68" i="43"/>
  <c r="F73" i="59" s="1"/>
  <c r="J121" i="120" l="1"/>
  <c r="O121" i="120"/>
  <c r="J123" i="120"/>
  <c r="O123" i="120"/>
  <c r="E69" i="43" a="1"/>
  <c r="E69" i="43" l="1"/>
  <c r="G74" i="59" s="1"/>
  <c r="AF74" i="59" l="1"/>
  <c r="C16" i="155" l="1"/>
  <c r="C23" i="155" s="1"/>
  <c r="C26" i="155" s="1"/>
  <c r="D11" i="43" l="1"/>
  <c r="D10" i="43"/>
  <c r="D65" i="43" a="1"/>
  <c r="D66" i="43" a="1"/>
  <c r="D67" i="43" a="1"/>
  <c r="D65" i="43" l="1"/>
  <c r="F69" i="59" s="1"/>
  <c r="D67" i="43"/>
  <c r="F72" i="59" s="1"/>
  <c r="D66" i="43"/>
  <c r="F71" i="59" s="1"/>
  <c r="F8" i="58"/>
  <c r="D12" i="43"/>
  <c r="D9" i="43" s="1"/>
  <c r="E68" i="43" a="1"/>
  <c r="E68" i="43" l="1"/>
  <c r="G73" i="59" s="1"/>
  <c r="F5" i="58"/>
  <c r="F5" i="59"/>
  <c r="F9" i="58"/>
  <c r="F70" i="59"/>
  <c r="D70" i="43" a="1"/>
  <c r="D71" i="43" a="1"/>
  <c r="D72" i="43" a="1"/>
  <c r="F43" i="59" l="1"/>
  <c r="F28" i="59"/>
  <c r="F33" i="59"/>
  <c r="F18" i="59"/>
  <c r="F53" i="59"/>
  <c r="F23" i="59"/>
  <c r="D71" i="43"/>
  <c r="F76" i="59" s="1"/>
  <c r="D72" i="43"/>
  <c r="F82" i="59" s="1"/>
  <c r="D70" i="43"/>
  <c r="F75" i="59" s="1"/>
  <c r="F39" i="59"/>
  <c r="F16" i="59"/>
  <c r="F21" i="59"/>
  <c r="F31" i="59"/>
  <c r="F15" i="59"/>
  <c r="F49" i="59"/>
  <c r="F26" i="59"/>
  <c r="F12" i="59"/>
  <c r="F8" i="59"/>
  <c r="F10" i="58"/>
  <c r="F12" i="58"/>
  <c r="D73" i="43" a="1"/>
  <c r="D73" i="43" l="1"/>
  <c r="F83" i="59" s="1"/>
  <c r="F163" i="59" s="1"/>
  <c r="F153" i="59" s="1"/>
  <c r="F11" i="58"/>
  <c r="F113" i="58" s="1"/>
  <c r="F171" i="59"/>
  <c r="F161" i="59" s="1"/>
  <c r="F164" i="59"/>
  <c r="F154" i="59" s="1"/>
  <c r="F167" i="59"/>
  <c r="F157" i="59" s="1"/>
  <c r="F165" i="59" l="1"/>
  <c r="F155" i="59" s="1"/>
  <c r="F162" i="59"/>
  <c r="F152" i="59" s="1"/>
  <c r="F31" i="58"/>
  <c r="F13" i="58"/>
  <c r="F88" i="58"/>
  <c r="F17" i="58"/>
  <c r="F168" i="59"/>
  <c r="F158" i="59" s="1"/>
  <c r="F166" i="59"/>
  <c r="F156" i="59" s="1"/>
  <c r="F18" i="58" l="1"/>
  <c r="F20" i="58"/>
  <c r="F87" i="58"/>
  <c r="F115" i="58"/>
  <c r="F114" i="58"/>
  <c r="F97" i="58"/>
  <c r="F32" i="58"/>
  <c r="F33" i="58"/>
  <c r="F34" i="58" l="1"/>
  <c r="F24" i="58"/>
  <c r="F25" i="58" s="1"/>
  <c r="F117" i="58"/>
  <c r="F116" i="58"/>
  <c r="F99" i="58"/>
  <c r="F98" i="58"/>
  <c r="F104" i="58"/>
  <c r="F21" i="58"/>
  <c r="F36" i="58" l="1"/>
  <c r="F35" i="58"/>
  <c r="F118" i="58"/>
  <c r="F119" i="58"/>
  <c r="F39" i="58"/>
  <c r="F123" i="58"/>
  <c r="F42" i="58"/>
  <c r="F23" i="60"/>
  <c r="F43" i="58"/>
  <c r="F26" i="58"/>
  <c r="F100" i="58"/>
  <c r="F101" i="58"/>
  <c r="F103" i="58"/>
  <c r="F102" i="58"/>
  <c r="F22" i="58"/>
  <c r="F106" i="58"/>
  <c r="F105" i="58"/>
  <c r="F109" i="58"/>
  <c r="F57" i="58" l="1"/>
  <c r="F69" i="58" s="1"/>
  <c r="F134" i="58"/>
  <c r="F23" i="58"/>
  <c r="F55" i="58"/>
  <c r="F83" i="58"/>
  <c r="F203" i="58" s="1"/>
  <c r="F56" i="58"/>
  <c r="F48" i="58"/>
  <c r="F45" i="58"/>
  <c r="F27" i="58"/>
  <c r="D16" i="155"/>
  <c r="D23" i="155" s="1"/>
  <c r="F26" i="60"/>
  <c r="F24" i="60"/>
  <c r="F44" i="58"/>
  <c r="F51" i="58"/>
  <c r="F110" i="58"/>
  <c r="F107" i="58"/>
  <c r="F108" i="58"/>
  <c r="F67" i="58" l="1"/>
  <c r="F50" i="58"/>
  <c r="F60" i="58"/>
  <c r="F93" i="58"/>
  <c r="F94" i="58" s="1"/>
  <c r="F111" i="58"/>
  <c r="F53" i="58"/>
  <c r="F54" i="58"/>
  <c r="F49" i="58"/>
  <c r="F112" i="58"/>
  <c r="F46" i="58"/>
  <c r="F68" i="58"/>
  <c r="F25" i="60"/>
  <c r="F92" i="58"/>
  <c r="C37" i="155"/>
  <c r="D26" i="155"/>
  <c r="M69" i="155" s="1"/>
  <c r="F63" i="58"/>
  <c r="F62" i="58" l="1"/>
  <c r="F66" i="58"/>
  <c r="F65" i="58"/>
  <c r="F52" i="58"/>
  <c r="F61" i="58"/>
  <c r="F85" i="58"/>
  <c r="F120" i="58"/>
  <c r="E16" i="155"/>
  <c r="E23" i="155" s="1"/>
  <c r="L41" i="155" s="1"/>
  <c r="J16" i="155"/>
  <c r="F28" i="60"/>
  <c r="L37" i="155"/>
  <c r="D37" i="155"/>
  <c r="F37" i="155"/>
  <c r="I37" i="155"/>
  <c r="H37" i="155"/>
  <c r="G37" i="155"/>
  <c r="E37" i="155"/>
  <c r="J37" i="155"/>
  <c r="K37" i="155"/>
  <c r="F95" i="58"/>
  <c r="F29" i="60"/>
  <c r="F64" i="58" l="1"/>
  <c r="F80" i="58"/>
  <c r="F125" i="58"/>
  <c r="F124" i="58"/>
  <c r="F41" i="155"/>
  <c r="F43" i="155" s="1"/>
  <c r="D41" i="155"/>
  <c r="D43" i="155" s="1"/>
  <c r="F89" i="58"/>
  <c r="F199" i="58"/>
  <c r="F86" i="58"/>
  <c r="F216" i="58"/>
  <c r="C41" i="155"/>
  <c r="C42" i="155" s="1"/>
  <c r="I41" i="155"/>
  <c r="I43" i="155" s="1"/>
  <c r="K41" i="155"/>
  <c r="K43" i="155" s="1"/>
  <c r="L42" i="155"/>
  <c r="L43" i="155"/>
  <c r="F96" i="58"/>
  <c r="F16" i="155"/>
  <c r="E26" i="155"/>
  <c r="C51" i="155"/>
  <c r="F51" i="155"/>
  <c r="I51" i="155"/>
  <c r="K51" i="155"/>
  <c r="H51" i="155"/>
  <c r="E51" i="155"/>
  <c r="D51" i="155"/>
  <c r="J51" i="155"/>
  <c r="L51" i="155"/>
  <c r="G51" i="155"/>
  <c r="F32" i="60"/>
  <c r="H41" i="155"/>
  <c r="F31" i="60"/>
  <c r="G41" i="155"/>
  <c r="I12" i="61"/>
  <c r="E41" i="155"/>
  <c r="J41" i="155"/>
  <c r="F58" i="58" l="1"/>
  <c r="F135" i="58"/>
  <c r="F81" i="58"/>
  <c r="F136" i="58"/>
  <c r="F47" i="58"/>
  <c r="F126" i="58"/>
  <c r="F42" i="155"/>
  <c r="D42" i="155"/>
  <c r="C43" i="155"/>
  <c r="K42" i="155"/>
  <c r="I42" i="155"/>
  <c r="F90" i="58"/>
  <c r="E11" i="43"/>
  <c r="K53" i="155"/>
  <c r="K52" i="155"/>
  <c r="F53" i="155"/>
  <c r="F52" i="155"/>
  <c r="H14" i="61"/>
  <c r="I14" i="61" s="1"/>
  <c r="C53" i="155"/>
  <c r="C52" i="155"/>
  <c r="H47" i="61"/>
  <c r="H52" i="155"/>
  <c r="H53" i="155"/>
  <c r="G43" i="155"/>
  <c r="G42" i="155"/>
  <c r="H48" i="61"/>
  <c r="F212" i="58"/>
  <c r="I52" i="155"/>
  <c r="I53" i="155"/>
  <c r="G53" i="155"/>
  <c r="G52" i="155"/>
  <c r="L52" i="155"/>
  <c r="L53" i="155"/>
  <c r="J43" i="155"/>
  <c r="J42" i="155"/>
  <c r="J53" i="155"/>
  <c r="J52" i="155"/>
  <c r="E10" i="43"/>
  <c r="G8" i="58" s="1"/>
  <c r="H42" i="155"/>
  <c r="H43" i="155"/>
  <c r="E42" i="155"/>
  <c r="E43" i="155"/>
  <c r="D52" i="155"/>
  <c r="D53" i="155"/>
  <c r="E52" i="155"/>
  <c r="E53" i="155"/>
  <c r="E65" i="43" a="1"/>
  <c r="E67" i="43" a="1"/>
  <c r="E66" i="43" a="1"/>
  <c r="F137" i="58" l="1"/>
  <c r="F204" i="58"/>
  <c r="F127" i="58"/>
  <c r="F128" i="58" s="1"/>
  <c r="H464" i="12"/>
  <c r="H464" i="120" s="1"/>
  <c r="J464" i="120" s="1"/>
  <c r="H465" i="12"/>
  <c r="H465" i="120" s="1"/>
  <c r="J465" i="120" s="1"/>
  <c r="G9" i="58"/>
  <c r="I47" i="61"/>
  <c r="I48" i="61"/>
  <c r="F91" i="58"/>
  <c r="E66" i="43"/>
  <c r="G71" i="59" s="1"/>
  <c r="E65" i="43"/>
  <c r="G69" i="59" s="1"/>
  <c r="E67" i="43"/>
  <c r="G72" i="59" s="1"/>
  <c r="H51" i="61"/>
  <c r="I51" i="61" s="1"/>
  <c r="H49" i="61"/>
  <c r="I49" i="61" s="1"/>
  <c r="H32" i="61"/>
  <c r="I4" i="61"/>
  <c r="I5" i="61"/>
  <c r="I3" i="61"/>
  <c r="H50" i="61"/>
  <c r="I50" i="61" s="1"/>
  <c r="E12" i="43"/>
  <c r="F68" i="43" a="1"/>
  <c r="F65" i="43" a="1"/>
  <c r="F67" i="43" a="1"/>
  <c r="F138" i="58" l="1"/>
  <c r="G10" i="58"/>
  <c r="F67" i="43"/>
  <c r="H72" i="59" s="1"/>
  <c r="F68" i="43"/>
  <c r="H73" i="59" s="1"/>
  <c r="F65" i="43"/>
  <c r="H69" i="59" s="1"/>
  <c r="F10" i="43"/>
  <c r="H8" i="58" s="1"/>
  <c r="F139" i="58"/>
  <c r="F129" i="58"/>
  <c r="H460" i="12"/>
  <c r="H460" i="120" s="1"/>
  <c r="G70" i="59"/>
  <c r="G5" i="58"/>
  <c r="G5" i="59"/>
  <c r="G8" i="59"/>
  <c r="F11" i="43"/>
  <c r="H41" i="61"/>
  <c r="F200" i="58"/>
  <c r="F215" i="58"/>
  <c r="F201" i="58"/>
  <c r="I32" i="61"/>
  <c r="H76" i="61"/>
  <c r="H46" i="61"/>
  <c r="I46" i="61" s="1"/>
  <c r="H33" i="61"/>
  <c r="I33" i="61" s="1"/>
  <c r="H81" i="61"/>
  <c r="I15" i="61"/>
  <c r="I38" i="61"/>
  <c r="H68" i="61"/>
  <c r="H2" i="61"/>
  <c r="I2" i="61" s="1"/>
  <c r="H18" i="61"/>
  <c r="I18" i="61" s="1"/>
  <c r="F66" i="43" a="1"/>
  <c r="E71" i="43" a="1"/>
  <c r="E72" i="43" a="1"/>
  <c r="E70" i="43" a="1"/>
  <c r="G12" i="58" l="1"/>
  <c r="H70" i="59"/>
  <c r="H9" i="58"/>
  <c r="H21" i="12"/>
  <c r="D22" i="122" s="1"/>
  <c r="F66" i="43"/>
  <c r="H71" i="59" s="1"/>
  <c r="F12" i="43"/>
  <c r="G26" i="59"/>
  <c r="G39" i="59"/>
  <c r="G15" i="59"/>
  <c r="G12" i="59"/>
  <c r="G31" i="59"/>
  <c r="G16" i="59"/>
  <c r="G21" i="59"/>
  <c r="G49" i="59"/>
  <c r="F130" i="58"/>
  <c r="F140" i="58"/>
  <c r="H463" i="12"/>
  <c r="H463" i="120" s="1"/>
  <c r="J463" i="120" s="1"/>
  <c r="H490" i="12"/>
  <c r="H490" i="120" s="1"/>
  <c r="H502" i="12"/>
  <c r="M502" i="12" s="1"/>
  <c r="M502" i="120" s="1"/>
  <c r="H484" i="12"/>
  <c r="M484" i="12" s="1"/>
  <c r="G43" i="59"/>
  <c r="G53" i="59"/>
  <c r="G33" i="59"/>
  <c r="AE33" i="59" s="1"/>
  <c r="AF33" i="59" s="1"/>
  <c r="G23" i="59"/>
  <c r="G28" i="59"/>
  <c r="G18" i="59"/>
  <c r="I81" i="61"/>
  <c r="I76" i="61"/>
  <c r="I41" i="61"/>
  <c r="I68" i="61"/>
  <c r="E72" i="43"/>
  <c r="G82" i="59" s="1"/>
  <c r="E70" i="43"/>
  <c r="G75" i="59" s="1"/>
  <c r="E71" i="43"/>
  <c r="G76" i="59" s="1"/>
  <c r="H30" i="61"/>
  <c r="H39" i="61"/>
  <c r="I39" i="61" s="1"/>
  <c r="H31" i="61"/>
  <c r="H36" i="61"/>
  <c r="I36" i="61" s="1"/>
  <c r="H40" i="61"/>
  <c r="H27" i="61"/>
  <c r="H35" i="61"/>
  <c r="I35" i="61" s="1"/>
  <c r="H28" i="61"/>
  <c r="H53" i="61"/>
  <c r="F5" i="75" s="1"/>
  <c r="H16" i="61"/>
  <c r="H79" i="61"/>
  <c r="H29" i="61"/>
  <c r="H83" i="61"/>
  <c r="H20" i="61"/>
  <c r="H55" i="61"/>
  <c r="F6" i="75" s="1"/>
  <c r="H21" i="120"/>
  <c r="C42" i="134" s="1"/>
  <c r="J460" i="120"/>
  <c r="H57" i="61"/>
  <c r="F10" i="75" s="1"/>
  <c r="C21" i="77"/>
  <c r="G65" i="43" a="1"/>
  <c r="G67" i="43" a="1"/>
  <c r="E73" i="43" a="1"/>
  <c r="G68" i="43" a="1"/>
  <c r="H10" i="58" l="1"/>
  <c r="F131" i="58"/>
  <c r="G11" i="58"/>
  <c r="G113" i="58" s="1"/>
  <c r="H5" i="58"/>
  <c r="H5" i="59"/>
  <c r="H8" i="59"/>
  <c r="G67" i="43"/>
  <c r="I72" i="59" s="1"/>
  <c r="G65" i="43"/>
  <c r="I69" i="59" s="1"/>
  <c r="G68" i="43"/>
  <c r="I73" i="59" s="1"/>
  <c r="G10" i="43"/>
  <c r="I8" i="58" s="1"/>
  <c r="H502" i="120"/>
  <c r="J502" i="120" s="1"/>
  <c r="J501" i="120" s="1"/>
  <c r="M490" i="12"/>
  <c r="B490" i="12" s="1"/>
  <c r="F141" i="58"/>
  <c r="H484" i="120"/>
  <c r="H455" i="12"/>
  <c r="H455" i="120" s="1"/>
  <c r="J455" i="120" s="1"/>
  <c r="H453" i="12"/>
  <c r="H453" i="120" s="1"/>
  <c r="J453" i="120" s="1"/>
  <c r="H452" i="12"/>
  <c r="H452" i="120" s="1"/>
  <c r="J452" i="120" s="1"/>
  <c r="H451" i="12"/>
  <c r="H449" i="12"/>
  <c r="H449" i="120" s="1"/>
  <c r="J449" i="120" s="1"/>
  <c r="H462" i="12"/>
  <c r="H462" i="120" s="1"/>
  <c r="J462" i="120" s="1"/>
  <c r="I79" i="61"/>
  <c r="H459" i="12"/>
  <c r="H459" i="120" s="1"/>
  <c r="J459" i="120" s="1"/>
  <c r="H494" i="12"/>
  <c r="M494" i="12" s="1"/>
  <c r="H454" i="12"/>
  <c r="H454" i="120" s="1"/>
  <c r="J454" i="120" s="1"/>
  <c r="G164" i="59"/>
  <c r="G154" i="59" s="1"/>
  <c r="G171" i="59"/>
  <c r="G161" i="59" s="1"/>
  <c r="G167" i="59"/>
  <c r="G157" i="59" s="1"/>
  <c r="AE29" i="59"/>
  <c r="AE34" i="59"/>
  <c r="AF34" i="59" s="1"/>
  <c r="AE53" i="59"/>
  <c r="AE18" i="59"/>
  <c r="AE23" i="59"/>
  <c r="AE43" i="59"/>
  <c r="AE28" i="59"/>
  <c r="G11" i="43"/>
  <c r="I29" i="61"/>
  <c r="I16" i="61"/>
  <c r="I30" i="61"/>
  <c r="I55" i="61"/>
  <c r="I53" i="61"/>
  <c r="I28" i="61"/>
  <c r="I31" i="61"/>
  <c r="I83" i="61"/>
  <c r="I27" i="61"/>
  <c r="I57" i="61"/>
  <c r="I40" i="61"/>
  <c r="I20" i="61"/>
  <c r="E73" i="43"/>
  <c r="G83" i="59" s="1"/>
  <c r="H42" i="61"/>
  <c r="I42" i="61" s="1"/>
  <c r="H44" i="61"/>
  <c r="I44" i="61" s="1"/>
  <c r="H66" i="61"/>
  <c r="H82" i="61"/>
  <c r="H43" i="61"/>
  <c r="I43" i="61" s="1"/>
  <c r="H63" i="61"/>
  <c r="H62" i="61"/>
  <c r="H71" i="61"/>
  <c r="I16" i="155"/>
  <c r="H16" i="155"/>
  <c r="H60" i="61"/>
  <c r="I60" i="61" s="1"/>
  <c r="H73" i="61"/>
  <c r="P5" i="75"/>
  <c r="H59" i="61"/>
  <c r="I59" i="61" s="1"/>
  <c r="H37" i="61"/>
  <c r="I37" i="61" s="1"/>
  <c r="H58" i="61"/>
  <c r="I58" i="61" s="1"/>
  <c r="H34" i="61"/>
  <c r="P10" i="75"/>
  <c r="H69" i="61"/>
  <c r="M484" i="120"/>
  <c r="B484" i="12"/>
  <c r="H70" i="61"/>
  <c r="H72" i="61"/>
  <c r="P6" i="75"/>
  <c r="F70" i="43" a="1"/>
  <c r="F71" i="43" a="1"/>
  <c r="G66" i="43" a="1"/>
  <c r="H12" i="58" l="1"/>
  <c r="G88" i="58"/>
  <c r="G13" i="58"/>
  <c r="G17" i="58"/>
  <c r="G31" i="58"/>
  <c r="F132" i="58"/>
  <c r="F142" i="58"/>
  <c r="I70" i="59"/>
  <c r="H12" i="59"/>
  <c r="H21" i="59"/>
  <c r="H16" i="59"/>
  <c r="H26" i="59"/>
  <c r="H31" i="59"/>
  <c r="H49" i="59"/>
  <c r="H15" i="59"/>
  <c r="H39" i="59"/>
  <c r="I9" i="58"/>
  <c r="F70" i="43"/>
  <c r="H75" i="59" s="1"/>
  <c r="F71" i="43"/>
  <c r="H76" i="59" s="1"/>
  <c r="G66" i="43"/>
  <c r="I71" i="59" s="1"/>
  <c r="G12" i="43"/>
  <c r="G9" i="43" s="1"/>
  <c r="I5" i="59" s="1"/>
  <c r="M490" i="120"/>
  <c r="H450" i="12"/>
  <c r="H450" i="120" s="1"/>
  <c r="J450" i="120" s="1"/>
  <c r="H10" i="43"/>
  <c r="J8" i="58" s="1"/>
  <c r="D490" i="12"/>
  <c r="C490" i="12"/>
  <c r="D484" i="12"/>
  <c r="C484" i="12"/>
  <c r="H451" i="120"/>
  <c r="J451" i="120" s="1"/>
  <c r="H494" i="120"/>
  <c r="H496" i="12"/>
  <c r="M496" i="12" s="1"/>
  <c r="H488" i="12"/>
  <c r="M488" i="12" s="1"/>
  <c r="H468" i="12"/>
  <c r="M468" i="12" s="1"/>
  <c r="H470" i="12"/>
  <c r="M470" i="12" s="1"/>
  <c r="H482" i="12"/>
  <c r="M482" i="12" s="1"/>
  <c r="H474" i="12"/>
  <c r="H474" i="120" s="1"/>
  <c r="H478" i="12"/>
  <c r="M478" i="12" s="1"/>
  <c r="H480" i="12"/>
  <c r="H480" i="120" s="1"/>
  <c r="H461" i="12"/>
  <c r="H461" i="120" s="1"/>
  <c r="J461" i="120" s="1"/>
  <c r="H476" i="12"/>
  <c r="H476" i="120" s="1"/>
  <c r="H193" i="12"/>
  <c r="H193" i="120" s="1"/>
  <c r="J193" i="120" s="1"/>
  <c r="H205" i="12"/>
  <c r="AF18" i="59"/>
  <c r="H725" i="12"/>
  <c r="H232" i="12"/>
  <c r="H232" i="120" s="1"/>
  <c r="H223" i="12"/>
  <c r="H223" i="120" s="1"/>
  <c r="H721" i="12"/>
  <c r="H721" i="120" s="1"/>
  <c r="H720" i="12"/>
  <c r="G178" i="58"/>
  <c r="G166" i="58"/>
  <c r="G163" i="59"/>
  <c r="G153" i="59" s="1"/>
  <c r="G166" i="59"/>
  <c r="G156" i="59" s="1"/>
  <c r="G162" i="59"/>
  <c r="G152" i="59" s="1"/>
  <c r="G168" i="59"/>
  <c r="G158" i="59" s="1"/>
  <c r="G165" i="59"/>
  <c r="G155" i="59" s="1"/>
  <c r="AF23" i="59"/>
  <c r="AF28" i="59"/>
  <c r="AF43" i="59"/>
  <c r="H199" i="12"/>
  <c r="H188" i="12"/>
  <c r="AF53" i="59"/>
  <c r="AE44" i="59"/>
  <c r="AE24" i="59"/>
  <c r="AE19" i="59"/>
  <c r="AE54" i="59"/>
  <c r="AF29" i="59"/>
  <c r="H194" i="12"/>
  <c r="I66" i="61"/>
  <c r="I34" i="61"/>
  <c r="I62" i="61"/>
  <c r="I63" i="61"/>
  <c r="Q6" i="75"/>
  <c r="I71" i="61"/>
  <c r="I82" i="61"/>
  <c r="I72" i="61"/>
  <c r="Q5" i="75"/>
  <c r="I69" i="61"/>
  <c r="I73" i="61"/>
  <c r="Q10" i="75"/>
  <c r="I70" i="61"/>
  <c r="B484" i="120"/>
  <c r="H64" i="61"/>
  <c r="I64" i="61" s="1"/>
  <c r="H78" i="61"/>
  <c r="H74" i="61"/>
  <c r="I74" i="61" s="1"/>
  <c r="H23" i="155"/>
  <c r="K16" i="155"/>
  <c r="B494" i="12"/>
  <c r="M494" i="120"/>
  <c r="H67" i="61"/>
  <c r="H80" i="61"/>
  <c r="B490" i="120"/>
  <c r="H65" i="61"/>
  <c r="I65" i="61" s="1"/>
  <c r="H75" i="61"/>
  <c r="G71" i="43" a="1"/>
  <c r="H67" i="43" a="1"/>
  <c r="H68" i="43" a="1"/>
  <c r="F72" i="43" a="1"/>
  <c r="H65" i="43" a="1"/>
  <c r="G179" i="58" l="1"/>
  <c r="F143" i="58"/>
  <c r="I10" i="58"/>
  <c r="G33" i="58"/>
  <c r="G32" i="58"/>
  <c r="G97" i="58"/>
  <c r="G115" i="58"/>
  <c r="G114" i="58"/>
  <c r="G18" i="58"/>
  <c r="G20" i="58"/>
  <c r="G87" i="58"/>
  <c r="H11" i="58"/>
  <c r="H113" i="58" s="1"/>
  <c r="H164" i="59"/>
  <c r="H154" i="59" s="1"/>
  <c r="I32" i="59"/>
  <c r="I41" i="59"/>
  <c r="I17" i="59"/>
  <c r="I51" i="59"/>
  <c r="I27" i="59"/>
  <c r="I22" i="59"/>
  <c r="H171" i="59"/>
  <c r="H161" i="59" s="1"/>
  <c r="I8" i="59"/>
  <c r="I5" i="58"/>
  <c r="H488" i="120"/>
  <c r="H67" i="43"/>
  <c r="J72" i="59" s="1"/>
  <c r="F72" i="43"/>
  <c r="H82" i="59" s="1"/>
  <c r="H167" i="59" s="1"/>
  <c r="H157" i="59" s="1"/>
  <c r="H65" i="43"/>
  <c r="J69" i="59" s="1"/>
  <c r="H68" i="43"/>
  <c r="J73" i="59" s="1"/>
  <c r="G71" i="43"/>
  <c r="I76" i="59" s="1"/>
  <c r="H496" i="120"/>
  <c r="N42" i="37"/>
  <c r="O42" i="37" s="1"/>
  <c r="N43" i="37"/>
  <c r="O43" i="37" s="1"/>
  <c r="O10" i="37"/>
  <c r="N11" i="37"/>
  <c r="H646" i="12" s="1"/>
  <c r="H11" i="43"/>
  <c r="H12" i="43" s="1"/>
  <c r="H9" i="43" s="1"/>
  <c r="G123" i="58"/>
  <c r="M474" i="12"/>
  <c r="B474" i="12" s="1"/>
  <c r="H468" i="120"/>
  <c r="H478" i="120"/>
  <c r="H470" i="120"/>
  <c r="M480" i="12"/>
  <c r="M480" i="120" s="1"/>
  <c r="D490" i="120"/>
  <c r="C490" i="120"/>
  <c r="G490" i="120"/>
  <c r="I490" i="120" s="1"/>
  <c r="J490" i="120" s="1"/>
  <c r="F490" i="120"/>
  <c r="D484" i="120"/>
  <c r="C484" i="120"/>
  <c r="G484" i="120"/>
  <c r="I484" i="120" s="1"/>
  <c r="J484" i="120" s="1"/>
  <c r="F484" i="120"/>
  <c r="D494" i="12"/>
  <c r="C494" i="12"/>
  <c r="H482" i="120"/>
  <c r="M476" i="12"/>
  <c r="B476" i="12" s="1"/>
  <c r="H500" i="12"/>
  <c r="M500" i="12" s="1"/>
  <c r="M500" i="120" s="1"/>
  <c r="H492" i="12"/>
  <c r="M492" i="12" s="1"/>
  <c r="H486" i="12"/>
  <c r="H486" i="120" s="1"/>
  <c r="H504" i="12"/>
  <c r="M504" i="12" s="1"/>
  <c r="M504" i="120" s="1"/>
  <c r="H205" i="120"/>
  <c r="O205" i="120" s="1"/>
  <c r="H720" i="120"/>
  <c r="O720" i="120" s="1"/>
  <c r="O720" i="12"/>
  <c r="O721" i="12"/>
  <c r="O223" i="12"/>
  <c r="H26" i="12"/>
  <c r="H214" i="12"/>
  <c r="H214" i="120" s="1"/>
  <c r="J214" i="120" s="1"/>
  <c r="O232" i="12"/>
  <c r="O725" i="12"/>
  <c r="H725" i="120"/>
  <c r="J725" i="120" s="1"/>
  <c r="H233" i="12"/>
  <c r="AF19" i="59"/>
  <c r="H224" i="12"/>
  <c r="H224" i="120" s="1"/>
  <c r="H206" i="12"/>
  <c r="H206" i="120" s="1"/>
  <c r="G168" i="58"/>
  <c r="G167" i="58"/>
  <c r="AE20" i="59"/>
  <c r="AE35" i="59"/>
  <c r="AF35" i="59" s="1"/>
  <c r="AF54" i="59"/>
  <c r="AF44" i="59"/>
  <c r="H200" i="12"/>
  <c r="H189" i="12"/>
  <c r="AF24" i="59"/>
  <c r="O232" i="120"/>
  <c r="J232" i="120"/>
  <c r="H188" i="120"/>
  <c r="J188" i="120" s="1"/>
  <c r="O199" i="12"/>
  <c r="H199" i="120"/>
  <c r="J223" i="120"/>
  <c r="O223" i="120"/>
  <c r="H194" i="120"/>
  <c r="J194" i="120" s="1"/>
  <c r="I80" i="61"/>
  <c r="I67" i="61"/>
  <c r="I75" i="61"/>
  <c r="I78" i="61"/>
  <c r="M496" i="120"/>
  <c r="B496" i="12"/>
  <c r="B494" i="120"/>
  <c r="B488" i="12"/>
  <c r="M488" i="120"/>
  <c r="M478" i="120"/>
  <c r="B478" i="12"/>
  <c r="O721" i="120"/>
  <c r="J721" i="120"/>
  <c r="M468" i="120"/>
  <c r="B468" i="12"/>
  <c r="M470" i="120"/>
  <c r="B470" i="12"/>
  <c r="B482" i="12"/>
  <c r="M482" i="120"/>
  <c r="G70" i="43" a="1"/>
  <c r="F73" i="43" a="1"/>
  <c r="H66" i="43" a="1"/>
  <c r="G42" i="58" l="1"/>
  <c r="G180" i="58"/>
  <c r="I12" i="58"/>
  <c r="I11" i="58" s="1"/>
  <c r="I113" i="58" s="1"/>
  <c r="H124" i="58"/>
  <c r="H135" i="58" s="1"/>
  <c r="H13" i="58"/>
  <c r="H88" i="58"/>
  <c r="H17" i="58"/>
  <c r="H97" i="58"/>
  <c r="H125" i="58"/>
  <c r="H136" i="58" s="1"/>
  <c r="H31" i="58"/>
  <c r="H123" i="58"/>
  <c r="H134" i="58" s="1"/>
  <c r="G134" i="58"/>
  <c r="G21" i="58"/>
  <c r="G24" i="58"/>
  <c r="G116" i="58"/>
  <c r="G117" i="58"/>
  <c r="G104" i="58"/>
  <c r="G98" i="58"/>
  <c r="G34" i="58"/>
  <c r="F121" i="58"/>
  <c r="J5" i="58"/>
  <c r="J12" i="58" s="1"/>
  <c r="J5" i="59"/>
  <c r="J70" i="59"/>
  <c r="I171" i="59"/>
  <c r="I161" i="59" s="1"/>
  <c r="J9" i="58"/>
  <c r="F73" i="43"/>
  <c r="H83" i="59" s="1"/>
  <c r="B480" i="12"/>
  <c r="D480" i="12" s="1"/>
  <c r="H66" i="43"/>
  <c r="J71" i="59" s="1"/>
  <c r="G70" i="43"/>
  <c r="I75" i="59" s="1"/>
  <c r="I164" i="59" s="1"/>
  <c r="I154" i="59" s="1"/>
  <c r="M474" i="120"/>
  <c r="N63" i="37"/>
  <c r="H672" i="12" s="1"/>
  <c r="H672" i="120" s="1"/>
  <c r="J672" i="120" s="1"/>
  <c r="N62" i="37"/>
  <c r="H671" i="12" s="1"/>
  <c r="H671" i="120" s="1"/>
  <c r="J671" i="120" s="1"/>
  <c r="N59" i="37"/>
  <c r="H668" i="12" s="1"/>
  <c r="N60" i="37"/>
  <c r="H670" i="12" s="1"/>
  <c r="H670" i="120" s="1"/>
  <c r="J670" i="120" s="1"/>
  <c r="N61" i="37"/>
  <c r="O61" i="37" s="1"/>
  <c r="N56" i="37"/>
  <c r="H649" i="12" s="1"/>
  <c r="O11" i="37"/>
  <c r="H646" i="120"/>
  <c r="O646" i="12"/>
  <c r="N25" i="12" s="1"/>
  <c r="C59" i="39" s="1"/>
  <c r="I10" i="43"/>
  <c r="K8" i="58" s="1"/>
  <c r="H500" i="120"/>
  <c r="J500" i="120" s="1"/>
  <c r="J499" i="120" s="1"/>
  <c r="M476" i="120"/>
  <c r="H492" i="120"/>
  <c r="M486" i="12"/>
  <c r="B486" i="12" s="1"/>
  <c r="D470" i="12"/>
  <c r="C470" i="12"/>
  <c r="G494" i="120"/>
  <c r="I494" i="120" s="1"/>
  <c r="J494" i="120" s="1"/>
  <c r="F494" i="120"/>
  <c r="D494" i="120"/>
  <c r="C494" i="120"/>
  <c r="D496" i="12"/>
  <c r="C496" i="12"/>
  <c r="D468" i="12"/>
  <c r="C468" i="12"/>
  <c r="D476" i="12"/>
  <c r="C476" i="12"/>
  <c r="D488" i="12"/>
  <c r="C488" i="12"/>
  <c r="D482" i="12"/>
  <c r="C482" i="12"/>
  <c r="D474" i="12"/>
  <c r="C474" i="12"/>
  <c r="C478" i="12"/>
  <c r="D478" i="12"/>
  <c r="H504" i="120"/>
  <c r="J504" i="120" s="1"/>
  <c r="J503" i="120" s="1"/>
  <c r="J720" i="120"/>
  <c r="J719" i="120" s="1"/>
  <c r="L721" i="120" s="1"/>
  <c r="N26" i="12"/>
  <c r="C25" i="77"/>
  <c r="D27" i="122"/>
  <c r="C63" i="39"/>
  <c r="J205" i="120"/>
  <c r="H233" i="120"/>
  <c r="J233" i="120" s="1"/>
  <c r="O233" i="12"/>
  <c r="O725" i="120"/>
  <c r="N26" i="120" s="1"/>
  <c r="H26" i="120"/>
  <c r="C62" i="134" s="1"/>
  <c r="H215" i="12"/>
  <c r="O224" i="12"/>
  <c r="G169" i="58"/>
  <c r="G40" i="58"/>
  <c r="AE77" i="59"/>
  <c r="O224" i="120"/>
  <c r="J224" i="120"/>
  <c r="AE55" i="59"/>
  <c r="AE25" i="59"/>
  <c r="AF20" i="59"/>
  <c r="AE45" i="59"/>
  <c r="AE30" i="59"/>
  <c r="O206" i="120"/>
  <c r="J206" i="120"/>
  <c r="H189" i="120"/>
  <c r="J189" i="120" s="1"/>
  <c r="H200" i="120"/>
  <c r="O200" i="12"/>
  <c r="J199" i="120"/>
  <c r="O199" i="120"/>
  <c r="M492" i="120"/>
  <c r="B492" i="12"/>
  <c r="B476" i="120"/>
  <c r="J483" i="120"/>
  <c r="B496" i="120"/>
  <c r="J489" i="120"/>
  <c r="B488" i="120"/>
  <c r="B482" i="120"/>
  <c r="B468" i="120"/>
  <c r="B474" i="120"/>
  <c r="B478" i="120"/>
  <c r="B470" i="120"/>
  <c r="I68" i="43" a="1"/>
  <c r="I65" i="43" a="1"/>
  <c r="G73" i="43" a="1"/>
  <c r="I67" i="43" a="1"/>
  <c r="G72" i="43" a="1"/>
  <c r="G35" i="58" l="1"/>
  <c r="G119" i="58"/>
  <c r="G118" i="58"/>
  <c r="G25" i="58"/>
  <c r="H33" i="58"/>
  <c r="H32" i="58"/>
  <c r="H98" i="58"/>
  <c r="H104" i="58"/>
  <c r="H18" i="58"/>
  <c r="G55" i="58"/>
  <c r="H87" i="58"/>
  <c r="H20" i="58"/>
  <c r="G22" i="58"/>
  <c r="G43" i="58"/>
  <c r="G36" i="58"/>
  <c r="H114" i="58"/>
  <c r="H115" i="58"/>
  <c r="G105" i="58"/>
  <c r="G109" i="58"/>
  <c r="G106" i="58"/>
  <c r="J10" i="58"/>
  <c r="J8" i="59"/>
  <c r="J32" i="59"/>
  <c r="J41" i="59"/>
  <c r="J17" i="59"/>
  <c r="J27" i="59"/>
  <c r="J22" i="59"/>
  <c r="J51" i="59"/>
  <c r="H166" i="59"/>
  <c r="H156" i="59" s="1"/>
  <c r="H162" i="59"/>
  <c r="H152" i="59" s="1"/>
  <c r="H168" i="59"/>
  <c r="H158" i="59" s="1"/>
  <c r="H163" i="59"/>
  <c r="H153" i="59" s="1"/>
  <c r="H165" i="59"/>
  <c r="H155" i="59" s="1"/>
  <c r="B480" i="120"/>
  <c r="G480" i="120" s="1"/>
  <c r="I480" i="120" s="1"/>
  <c r="J480" i="120" s="1"/>
  <c r="I97" i="58"/>
  <c r="I123" i="58"/>
  <c r="I88" i="58"/>
  <c r="I87" i="58" s="1"/>
  <c r="I125" i="58"/>
  <c r="I136" i="58" s="1"/>
  <c r="I13" i="58"/>
  <c r="I20" i="58" s="1"/>
  <c r="I124" i="58"/>
  <c r="I135" i="58" s="1"/>
  <c r="I31" i="58"/>
  <c r="I17" i="58"/>
  <c r="I18" i="58" s="1"/>
  <c r="I24" i="58" s="1"/>
  <c r="C480" i="12"/>
  <c r="G73" i="43"/>
  <c r="I83" i="59" s="1"/>
  <c r="I68" i="43"/>
  <c r="K73" i="59" s="1"/>
  <c r="I67" i="43"/>
  <c r="K72" i="59" s="1"/>
  <c r="I65" i="43"/>
  <c r="K69" i="59" s="1"/>
  <c r="M486" i="120"/>
  <c r="G72" i="43"/>
  <c r="I82" i="59" s="1"/>
  <c r="I167" i="59" s="1"/>
  <c r="I157" i="59" s="1"/>
  <c r="O59" i="37"/>
  <c r="O56" i="37"/>
  <c r="O62" i="37"/>
  <c r="O649" i="12"/>
  <c r="H649" i="120"/>
  <c r="N103" i="37"/>
  <c r="H681" i="12" s="1"/>
  <c r="O60" i="37"/>
  <c r="N104" i="37"/>
  <c r="H683" i="12" s="1"/>
  <c r="H668" i="120"/>
  <c r="J668" i="120" s="1"/>
  <c r="H667" i="12"/>
  <c r="H667" i="120" s="1"/>
  <c r="J667" i="120" s="1"/>
  <c r="N97" i="37"/>
  <c r="H677" i="12" s="1"/>
  <c r="N105" i="37"/>
  <c r="H685" i="12" s="1"/>
  <c r="O63" i="37"/>
  <c r="N106" i="37"/>
  <c r="O106" i="37" s="1"/>
  <c r="N96" i="37"/>
  <c r="O96" i="37" s="1"/>
  <c r="O646" i="120"/>
  <c r="N25" i="120" s="1"/>
  <c r="C59" i="134" s="1"/>
  <c r="J646" i="120"/>
  <c r="G54" i="58"/>
  <c r="I11" i="43"/>
  <c r="I12" i="43" s="1"/>
  <c r="I9" i="43" s="1"/>
  <c r="G57" i="58"/>
  <c r="G56" i="58"/>
  <c r="D496" i="120"/>
  <c r="C496" i="120"/>
  <c r="G496" i="120"/>
  <c r="I496" i="120" s="1"/>
  <c r="J496" i="120" s="1"/>
  <c r="F496" i="120"/>
  <c r="G474" i="120"/>
  <c r="I474" i="120" s="1"/>
  <c r="J474" i="120" s="1"/>
  <c r="F474" i="120"/>
  <c r="C474" i="120"/>
  <c r="D474" i="120"/>
  <c r="G476" i="120"/>
  <c r="I476" i="120" s="1"/>
  <c r="J476" i="120" s="1"/>
  <c r="F476" i="120"/>
  <c r="D476" i="120"/>
  <c r="C476" i="120"/>
  <c r="D492" i="12"/>
  <c r="C492" i="12"/>
  <c r="G468" i="120"/>
  <c r="I468" i="120" s="1"/>
  <c r="J468" i="120" s="1"/>
  <c r="F468" i="120"/>
  <c r="D468" i="120"/>
  <c r="C468" i="120"/>
  <c r="G470" i="120"/>
  <c r="I470" i="120" s="1"/>
  <c r="J470" i="120" s="1"/>
  <c r="F470" i="120"/>
  <c r="D470" i="120"/>
  <c r="C470" i="120"/>
  <c r="G482" i="120"/>
  <c r="I482" i="120" s="1"/>
  <c r="J482" i="120" s="1"/>
  <c r="F482" i="120"/>
  <c r="D482" i="120"/>
  <c r="C482" i="120"/>
  <c r="D486" i="12"/>
  <c r="C486" i="12"/>
  <c r="G488" i="120"/>
  <c r="I488" i="120" s="1"/>
  <c r="J488" i="120" s="1"/>
  <c r="F488" i="120"/>
  <c r="D488" i="120"/>
  <c r="C488" i="120"/>
  <c r="D478" i="120"/>
  <c r="C478" i="120"/>
  <c r="G478" i="120"/>
  <c r="I478" i="120" s="1"/>
  <c r="J478" i="120" s="1"/>
  <c r="F478" i="120"/>
  <c r="O233" i="120"/>
  <c r="C63" i="134"/>
  <c r="H215" i="120"/>
  <c r="J215" i="120" s="1"/>
  <c r="H253" i="12"/>
  <c r="O253" i="12" s="1"/>
  <c r="H225" i="12"/>
  <c r="H225" i="120" s="1"/>
  <c r="H195" i="12"/>
  <c r="H207" i="12"/>
  <c r="H207" i="120" s="1"/>
  <c r="H234" i="12"/>
  <c r="G221" i="58"/>
  <c r="AF77" i="59"/>
  <c r="AF55" i="59"/>
  <c r="H190" i="12"/>
  <c r="AF25" i="59"/>
  <c r="AF30" i="59"/>
  <c r="O200" i="120"/>
  <c r="J200" i="120"/>
  <c r="AF45" i="59"/>
  <c r="H201" i="12"/>
  <c r="L720" i="120"/>
  <c r="B486" i="120"/>
  <c r="B492" i="120"/>
  <c r="L745" i="120"/>
  <c r="J751" i="120"/>
  <c r="L748" i="120"/>
  <c r="L740" i="120"/>
  <c r="L728" i="120"/>
  <c r="L741" i="120"/>
  <c r="L744" i="120"/>
  <c r="L723" i="120"/>
  <c r="L737" i="120"/>
  <c r="L738" i="120"/>
  <c r="L750" i="120"/>
  <c r="L726" i="120"/>
  <c r="L734" i="120"/>
  <c r="L732" i="120"/>
  <c r="L739" i="120"/>
  <c r="L730" i="120"/>
  <c r="L733" i="120"/>
  <c r="L736" i="120"/>
  <c r="L724" i="120"/>
  <c r="J26" i="120"/>
  <c r="L743" i="120"/>
  <c r="L735" i="120"/>
  <c r="L742" i="120"/>
  <c r="L747" i="120"/>
  <c r="L729" i="120"/>
  <c r="L746" i="120"/>
  <c r="L727" i="120"/>
  <c r="L719" i="120"/>
  <c r="L722" i="120"/>
  <c r="L731" i="120"/>
  <c r="L725" i="120"/>
  <c r="J493" i="120"/>
  <c r="I66" i="43" a="1"/>
  <c r="H70" i="43" a="1"/>
  <c r="H71" i="43" a="1"/>
  <c r="G67" i="58" l="1"/>
  <c r="G211" i="58"/>
  <c r="C480" i="120"/>
  <c r="D480" i="120"/>
  <c r="F480" i="120"/>
  <c r="G108" i="58"/>
  <c r="G107" i="58"/>
  <c r="H24" i="58"/>
  <c r="H109" i="58"/>
  <c r="H110" i="58" s="1"/>
  <c r="H106" i="58"/>
  <c r="H105" i="58"/>
  <c r="H34" i="58"/>
  <c r="H117" i="58"/>
  <c r="H116" i="58"/>
  <c r="G39" i="58"/>
  <c r="G99" i="58" s="1"/>
  <c r="G66" i="58"/>
  <c r="G26" i="58"/>
  <c r="G68" i="58"/>
  <c r="J11" i="58"/>
  <c r="J113" i="58" s="1"/>
  <c r="G23" i="58"/>
  <c r="G49" i="58" s="1"/>
  <c r="G112" i="58"/>
  <c r="G69" i="58"/>
  <c r="G110" i="58"/>
  <c r="H57" i="58"/>
  <c r="H69" i="58" s="1"/>
  <c r="H21" i="58"/>
  <c r="H22" i="58" s="1"/>
  <c r="H56" i="58"/>
  <c r="H68" i="58" s="1"/>
  <c r="H42" i="58"/>
  <c r="K5" i="58"/>
  <c r="K5" i="59"/>
  <c r="K70" i="59"/>
  <c r="J171" i="59"/>
  <c r="J161" i="59" s="1"/>
  <c r="I162" i="59"/>
  <c r="I152" i="59" s="1"/>
  <c r="I168" i="59"/>
  <c r="I158" i="59" s="1"/>
  <c r="I166" i="59"/>
  <c r="I156" i="59" s="1"/>
  <c r="I163" i="59"/>
  <c r="I153" i="59" s="1"/>
  <c r="I165" i="59"/>
  <c r="I155" i="59" s="1"/>
  <c r="I25" i="58"/>
  <c r="I26" i="58" s="1"/>
  <c r="I27" i="58" s="1"/>
  <c r="I33" i="58"/>
  <c r="I32" i="58"/>
  <c r="I34" i="58" s="1"/>
  <c r="I99" i="58"/>
  <c r="I98" i="58"/>
  <c r="I104" i="58"/>
  <c r="I57" i="58"/>
  <c r="I69" i="58" s="1"/>
  <c r="I21" i="58"/>
  <c r="I56" i="58"/>
  <c r="I68" i="58" s="1"/>
  <c r="I42" i="58"/>
  <c r="I126" i="58"/>
  <c r="I137" i="58" s="1"/>
  <c r="I134" i="58"/>
  <c r="I115" i="58"/>
  <c r="I114" i="58"/>
  <c r="K9" i="58"/>
  <c r="I66" i="43"/>
  <c r="K71" i="59" s="1"/>
  <c r="AF72" i="59"/>
  <c r="H70" i="43"/>
  <c r="J75" i="59" s="1"/>
  <c r="H71" i="43"/>
  <c r="J76" i="59" s="1"/>
  <c r="O105" i="37"/>
  <c r="O104" i="37"/>
  <c r="O103" i="37"/>
  <c r="H687" i="12"/>
  <c r="H673" i="12"/>
  <c r="H673" i="120" s="1"/>
  <c r="J673" i="120" s="1"/>
  <c r="M685" i="12"/>
  <c r="H685" i="120"/>
  <c r="O97" i="37"/>
  <c r="M677" i="12"/>
  <c r="H677" i="120"/>
  <c r="H683" i="120"/>
  <c r="M683" i="12"/>
  <c r="M681" i="12"/>
  <c r="H681" i="120"/>
  <c r="J649" i="120"/>
  <c r="O649" i="120"/>
  <c r="G492" i="120"/>
  <c r="I492" i="120" s="1"/>
  <c r="J492" i="120" s="1"/>
  <c r="F492" i="120"/>
  <c r="C492" i="120"/>
  <c r="D492" i="120"/>
  <c r="G486" i="120"/>
  <c r="I486" i="120" s="1"/>
  <c r="J486" i="120" s="1"/>
  <c r="F486" i="120"/>
  <c r="D486" i="120"/>
  <c r="C486" i="120"/>
  <c r="H195" i="120"/>
  <c r="J195" i="120" s="1"/>
  <c r="H253" i="120"/>
  <c r="J253" i="120" s="1"/>
  <c r="H234" i="120"/>
  <c r="J234" i="120" s="1"/>
  <c r="O225" i="12"/>
  <c r="H216" i="12"/>
  <c r="H216" i="120" s="1"/>
  <c r="J216" i="120" s="1"/>
  <c r="O234" i="12"/>
  <c r="AE167" i="58"/>
  <c r="H190" i="120"/>
  <c r="J190" i="120" s="1"/>
  <c r="O207" i="120"/>
  <c r="J207" i="120"/>
  <c r="O201" i="12"/>
  <c r="H201" i="120"/>
  <c r="J225" i="120"/>
  <c r="O225" i="120"/>
  <c r="AE12" i="59"/>
  <c r="AE49" i="59"/>
  <c r="AE31" i="59"/>
  <c r="AF31" i="59" s="1"/>
  <c r="AE26" i="59"/>
  <c r="AE16" i="59"/>
  <c r="AE15" i="59"/>
  <c r="AE21" i="59"/>
  <c r="AF21" i="59" s="1"/>
  <c r="AE39" i="59"/>
  <c r="J477" i="120"/>
  <c r="J467" i="120"/>
  <c r="J471" i="120"/>
  <c r="D62" i="134"/>
  <c r="G27" i="122"/>
  <c r="L26" i="120"/>
  <c r="J473" i="120"/>
  <c r="J481" i="120"/>
  <c r="J479" i="120"/>
  <c r="J487" i="120"/>
  <c r="J475" i="120"/>
  <c r="J495" i="120"/>
  <c r="H72" i="43" a="1"/>
  <c r="I70" i="43" a="1"/>
  <c r="H119" i="58" l="1"/>
  <c r="G103" i="58"/>
  <c r="G100" i="58"/>
  <c r="G101" i="58"/>
  <c r="G102" i="58"/>
  <c r="H35" i="58"/>
  <c r="H118" i="58"/>
  <c r="G61" i="58"/>
  <c r="J17" i="58"/>
  <c r="J123" i="58"/>
  <c r="J125" i="58"/>
  <c r="J136" i="58" s="1"/>
  <c r="J124" i="58"/>
  <c r="J135" i="58" s="1"/>
  <c r="J13" i="58"/>
  <c r="J31" i="58"/>
  <c r="J88" i="58"/>
  <c r="H108" i="58"/>
  <c r="H107" i="58"/>
  <c r="H23" i="58"/>
  <c r="H112" i="58"/>
  <c r="H111" i="58"/>
  <c r="K12" i="58"/>
  <c r="G48" i="58"/>
  <c r="G83" i="58"/>
  <c r="H54" i="58"/>
  <c r="H55" i="58"/>
  <c r="H43" i="58"/>
  <c r="G27" i="58"/>
  <c r="H25" i="58"/>
  <c r="K8" i="59"/>
  <c r="G45" i="58"/>
  <c r="G50" i="58"/>
  <c r="G111" i="58"/>
  <c r="G51" i="58"/>
  <c r="G44" i="58"/>
  <c r="H36" i="58"/>
  <c r="J164" i="59"/>
  <c r="J154" i="59" s="1"/>
  <c r="K41" i="59"/>
  <c r="K17" i="59"/>
  <c r="K51" i="59"/>
  <c r="K27" i="59"/>
  <c r="K22" i="59"/>
  <c r="K32" i="59"/>
  <c r="I127" i="58"/>
  <c r="I138" i="58" s="1"/>
  <c r="I106" i="58"/>
  <c r="I105" i="58"/>
  <c r="I102" i="58"/>
  <c r="I101" i="58"/>
  <c r="I100" i="58"/>
  <c r="I103" i="58"/>
  <c r="I36" i="58"/>
  <c r="I39" i="58" s="1"/>
  <c r="I83" i="58" s="1"/>
  <c r="I35" i="58"/>
  <c r="I118" i="58"/>
  <c r="I119" i="58"/>
  <c r="K10" i="58"/>
  <c r="AF8" i="58"/>
  <c r="I116" i="58"/>
  <c r="I117" i="58"/>
  <c r="I22" i="58"/>
  <c r="I109" i="58"/>
  <c r="I110" i="58" s="1"/>
  <c r="I70" i="43"/>
  <c r="K75" i="59" s="1"/>
  <c r="AF73" i="59"/>
  <c r="H72" i="43"/>
  <c r="J82" i="59" s="1"/>
  <c r="M681" i="120"/>
  <c r="B681" i="12"/>
  <c r="M683" i="120"/>
  <c r="B683" i="12"/>
  <c r="B677" i="12"/>
  <c r="M677" i="120"/>
  <c r="M685" i="120"/>
  <c r="B685" i="12"/>
  <c r="M687" i="12"/>
  <c r="H687" i="120"/>
  <c r="G125" i="58"/>
  <c r="O253" i="120"/>
  <c r="O234" i="120"/>
  <c r="AF15" i="59"/>
  <c r="AF16" i="59"/>
  <c r="H138" i="12"/>
  <c r="H228" i="12"/>
  <c r="O228" i="12" s="1"/>
  <c r="AF12" i="59"/>
  <c r="H219" i="12"/>
  <c r="O219" i="12" s="1"/>
  <c r="AF166" i="58"/>
  <c r="AE168" i="58"/>
  <c r="AF178" i="58"/>
  <c r="AF167" i="58"/>
  <c r="G191" i="58"/>
  <c r="H191" i="12"/>
  <c r="H191" i="120" s="1"/>
  <c r="J191" i="120" s="1"/>
  <c r="AF26" i="59"/>
  <c r="AF49" i="59"/>
  <c r="O201" i="120"/>
  <c r="J201" i="120"/>
  <c r="AF39" i="59"/>
  <c r="H203" i="12"/>
  <c r="H186" i="12"/>
  <c r="H197" i="12"/>
  <c r="H185" i="12"/>
  <c r="J491" i="120"/>
  <c r="J485" i="120"/>
  <c r="U63" i="134"/>
  <c r="U64" i="134" s="1"/>
  <c r="L63" i="134"/>
  <c r="L64" i="134" s="1"/>
  <c r="R63" i="134"/>
  <c r="R64" i="134" s="1"/>
  <c r="G63" i="134"/>
  <c r="G64" i="134" s="1"/>
  <c r="M63" i="134"/>
  <c r="M64" i="134" s="1"/>
  <c r="N63" i="134"/>
  <c r="N64" i="134" s="1"/>
  <c r="O63" i="134"/>
  <c r="O64" i="134" s="1"/>
  <c r="T63" i="134"/>
  <c r="T64" i="134" s="1"/>
  <c r="P63" i="134"/>
  <c r="P64" i="134" s="1"/>
  <c r="K63" i="134"/>
  <c r="K64" i="134" s="1"/>
  <c r="F63" i="134"/>
  <c r="H63" i="134"/>
  <c r="H64" i="134" s="1"/>
  <c r="Q63" i="134"/>
  <c r="Q64" i="134" s="1"/>
  <c r="I63" i="134"/>
  <c r="I64" i="134" s="1"/>
  <c r="S63" i="134"/>
  <c r="S64" i="134" s="1"/>
  <c r="W63" i="134"/>
  <c r="W64" i="134" s="1"/>
  <c r="V63" i="134"/>
  <c r="V64" i="134" s="1"/>
  <c r="J63" i="134"/>
  <c r="J64" i="134" s="1"/>
  <c r="I71" i="43" a="1"/>
  <c r="I72" i="43" a="1"/>
  <c r="H73" i="43" a="1"/>
  <c r="G53" i="58" l="1"/>
  <c r="G52" i="58" s="1"/>
  <c r="G63" i="58"/>
  <c r="H45" i="58"/>
  <c r="H50" i="58"/>
  <c r="H62" i="58" s="1"/>
  <c r="H48" i="58"/>
  <c r="H49" i="58"/>
  <c r="H26" i="58"/>
  <c r="J87" i="58"/>
  <c r="J32" i="58"/>
  <c r="J33" i="58"/>
  <c r="J20" i="58"/>
  <c r="H66" i="58"/>
  <c r="J114" i="58"/>
  <c r="J115" i="58"/>
  <c r="H67" i="58"/>
  <c r="G203" i="58"/>
  <c r="G93" i="58"/>
  <c r="J134" i="58"/>
  <c r="J126" i="58"/>
  <c r="J137" i="58" s="1"/>
  <c r="J18" i="58"/>
  <c r="G62" i="58"/>
  <c r="G60" i="58"/>
  <c r="J97" i="58"/>
  <c r="H39" i="58"/>
  <c r="H99" i="58" s="1"/>
  <c r="G46" i="58"/>
  <c r="K171" i="59"/>
  <c r="K161" i="59" s="1"/>
  <c r="J167" i="59"/>
  <c r="J157" i="59" s="1"/>
  <c r="AF70" i="59"/>
  <c r="AF69" i="59"/>
  <c r="I128" i="58"/>
  <c r="I129" i="58" s="1"/>
  <c r="K11" i="58"/>
  <c r="K113" i="58" s="1"/>
  <c r="I51" i="58"/>
  <c r="I63" i="58" s="1"/>
  <c r="I44" i="58"/>
  <c r="I53" i="58"/>
  <c r="I65" i="58" s="1"/>
  <c r="I52" i="58"/>
  <c r="I64" i="58" s="1"/>
  <c r="I93" i="58"/>
  <c r="I203" i="58"/>
  <c r="I23" i="58"/>
  <c r="I43" i="58"/>
  <c r="I55" i="58" s="1"/>
  <c r="I108" i="58"/>
  <c r="I107" i="58"/>
  <c r="I112" i="58"/>
  <c r="I111" i="58"/>
  <c r="H73" i="43"/>
  <c r="J83" i="59" s="1"/>
  <c r="AF71" i="59"/>
  <c r="I71" i="43"/>
  <c r="K76" i="59" s="1"/>
  <c r="I72" i="43"/>
  <c r="K82" i="59" s="1"/>
  <c r="M687" i="120"/>
  <c r="B687" i="12"/>
  <c r="D685" i="12"/>
  <c r="C685" i="12"/>
  <c r="B685" i="120"/>
  <c r="C677" i="12"/>
  <c r="B677" i="120"/>
  <c r="D677" i="12"/>
  <c r="D683" i="12"/>
  <c r="B683" i="120"/>
  <c r="C683" i="12"/>
  <c r="C681" i="12"/>
  <c r="D681" i="12"/>
  <c r="B681" i="120"/>
  <c r="G136" i="58"/>
  <c r="H228" i="120"/>
  <c r="O228" i="120" s="1"/>
  <c r="H219" i="120"/>
  <c r="J219" i="120" s="1"/>
  <c r="H210" i="12"/>
  <c r="H139" i="12"/>
  <c r="H139" i="120" s="1"/>
  <c r="J139" i="120" s="1"/>
  <c r="H138" i="120"/>
  <c r="J138" i="120" s="1"/>
  <c r="AF168" i="58"/>
  <c r="AE169" i="58"/>
  <c r="AF169" i="58" s="1"/>
  <c r="AE180" i="58"/>
  <c r="AF180" i="58" s="1"/>
  <c r="AE179" i="58"/>
  <c r="AF179" i="58" s="1"/>
  <c r="H185" i="120"/>
  <c r="J185" i="120" s="1"/>
  <c r="H197" i="120"/>
  <c r="O197" i="12"/>
  <c r="H186" i="120"/>
  <c r="J186" i="120" s="1"/>
  <c r="H203" i="120"/>
  <c r="J448" i="120"/>
  <c r="L453" i="120" s="1"/>
  <c r="X63" i="134"/>
  <c r="F64" i="134"/>
  <c r="X64" i="134" s="1"/>
  <c r="I73" i="43" a="1"/>
  <c r="G65" i="58" l="1"/>
  <c r="G85" i="58"/>
  <c r="G86" i="58" s="1"/>
  <c r="H101" i="58"/>
  <c r="H100" i="58"/>
  <c r="H102" i="58"/>
  <c r="H103" i="58"/>
  <c r="J34" i="58"/>
  <c r="J118" i="58" s="1"/>
  <c r="G216" i="58"/>
  <c r="H60" i="58"/>
  <c r="J24" i="58"/>
  <c r="G120" i="58"/>
  <c r="G199" i="58" s="1"/>
  <c r="G64" i="58"/>
  <c r="H27" i="58"/>
  <c r="G80" i="58"/>
  <c r="G92" i="58"/>
  <c r="G94" i="58"/>
  <c r="H61" i="58"/>
  <c r="AF8" i="59"/>
  <c r="J99" i="58"/>
  <c r="J98" i="58"/>
  <c r="J104" i="58"/>
  <c r="J116" i="58"/>
  <c r="J117" i="58"/>
  <c r="AE5" i="58"/>
  <c r="AF5" i="58" s="1"/>
  <c r="J56" i="58"/>
  <c r="J42" i="58"/>
  <c r="J57" i="58"/>
  <c r="J21" i="58"/>
  <c r="J22" i="58" s="1"/>
  <c r="J127" i="58"/>
  <c r="J138" i="58" s="1"/>
  <c r="H83" i="58"/>
  <c r="H126" i="58"/>
  <c r="H44" i="58"/>
  <c r="H51" i="58"/>
  <c r="K167" i="59"/>
  <c r="K157" i="59" s="1"/>
  <c r="I139" i="58"/>
  <c r="K164" i="59"/>
  <c r="K154" i="59" s="1"/>
  <c r="AE32" i="59"/>
  <c r="AF32" i="59" s="1"/>
  <c r="AE5" i="59"/>
  <c r="AF5" i="59" s="1"/>
  <c r="J162" i="59"/>
  <c r="J152" i="59" s="1"/>
  <c r="J166" i="59"/>
  <c r="J156" i="59" s="1"/>
  <c r="J168" i="59"/>
  <c r="J158" i="59" s="1"/>
  <c r="J163" i="59"/>
  <c r="J153" i="59" s="1"/>
  <c r="J165" i="59"/>
  <c r="J155" i="59" s="1"/>
  <c r="I67" i="58"/>
  <c r="I54" i="58"/>
  <c r="I48" i="58"/>
  <c r="I50" i="58"/>
  <c r="I49" i="58"/>
  <c r="I61" i="58" s="1"/>
  <c r="I45" i="58"/>
  <c r="I46" i="58" s="1"/>
  <c r="I140" i="58"/>
  <c r="AF9" i="58"/>
  <c r="I92" i="58"/>
  <c r="I94" i="58"/>
  <c r="K123" i="58"/>
  <c r="K88" i="58"/>
  <c r="K125" i="58"/>
  <c r="K124" i="58"/>
  <c r="K135" i="58" s="1"/>
  <c r="K13" i="58"/>
  <c r="K31" i="58"/>
  <c r="K17" i="58"/>
  <c r="I73" i="43"/>
  <c r="K83" i="59" s="1"/>
  <c r="AE75" i="59"/>
  <c r="AF75" i="59" s="1"/>
  <c r="F681" i="120"/>
  <c r="G681" i="120"/>
  <c r="I681" i="120" s="1"/>
  <c r="J681" i="120" s="1"/>
  <c r="D681" i="120"/>
  <c r="C681" i="120"/>
  <c r="G683" i="120"/>
  <c r="I683" i="120" s="1"/>
  <c r="J683" i="120" s="1"/>
  <c r="D683" i="120"/>
  <c r="C683" i="120"/>
  <c r="F683" i="120"/>
  <c r="F677" i="120"/>
  <c r="D677" i="120"/>
  <c r="C677" i="120"/>
  <c r="G677" i="120"/>
  <c r="I677" i="120" s="1"/>
  <c r="J677" i="120" s="1"/>
  <c r="F685" i="120"/>
  <c r="C685" i="120"/>
  <c r="G685" i="120"/>
  <c r="I685" i="120" s="1"/>
  <c r="J685" i="120" s="1"/>
  <c r="D685" i="120"/>
  <c r="C687" i="12"/>
  <c r="D687" i="12"/>
  <c r="B687" i="120"/>
  <c r="AE40" i="58"/>
  <c r="H210" i="120"/>
  <c r="J210" i="120" s="1"/>
  <c r="O219" i="120"/>
  <c r="J228" i="120"/>
  <c r="AE211" i="58"/>
  <c r="L470" i="120"/>
  <c r="L480" i="120"/>
  <c r="L476" i="120"/>
  <c r="L496" i="120"/>
  <c r="L482" i="120"/>
  <c r="L494" i="120"/>
  <c r="L452" i="120"/>
  <c r="L449" i="120"/>
  <c r="L451" i="120"/>
  <c r="L490" i="120"/>
  <c r="L459" i="120"/>
  <c r="L448" i="120"/>
  <c r="L462" i="120"/>
  <c r="L461" i="120"/>
  <c r="L457" i="120"/>
  <c r="L455" i="120"/>
  <c r="O203" i="120"/>
  <c r="J203" i="120"/>
  <c r="L502" i="120"/>
  <c r="L460" i="120"/>
  <c r="L458" i="120"/>
  <c r="L464" i="120"/>
  <c r="J505" i="120"/>
  <c r="L486" i="120"/>
  <c r="L465" i="120"/>
  <c r="L492" i="120"/>
  <c r="L463" i="120"/>
  <c r="L474" i="120"/>
  <c r="L456" i="120"/>
  <c r="L468" i="120"/>
  <c r="L498" i="120"/>
  <c r="J197" i="120"/>
  <c r="O197" i="120"/>
  <c r="L478" i="120"/>
  <c r="L466" i="120"/>
  <c r="L488" i="120"/>
  <c r="J21" i="120"/>
  <c r="D42" i="134" s="1"/>
  <c r="L504" i="120"/>
  <c r="L484" i="120"/>
  <c r="L500" i="120"/>
  <c r="L450" i="120"/>
  <c r="L454" i="120"/>
  <c r="Y61" i="134"/>
  <c r="Y64" i="134"/>
  <c r="L472" i="120"/>
  <c r="Z63" i="134"/>
  <c r="Y63" i="134"/>
  <c r="J119" i="58" l="1"/>
  <c r="H53" i="58"/>
  <c r="H52" i="58" s="1"/>
  <c r="J128" i="58"/>
  <c r="J139" i="58" s="1"/>
  <c r="AF12" i="58"/>
  <c r="H63" i="58"/>
  <c r="J106" i="58"/>
  <c r="J105" i="58"/>
  <c r="J109" i="58"/>
  <c r="J100" i="58"/>
  <c r="J102" i="58"/>
  <c r="J101" i="58"/>
  <c r="J103" i="58"/>
  <c r="G124" i="58"/>
  <c r="G89" i="58"/>
  <c r="H46" i="58"/>
  <c r="H137" i="58"/>
  <c r="H93" i="58"/>
  <c r="H203" i="58"/>
  <c r="J25" i="58"/>
  <c r="G95" i="58"/>
  <c r="J52" i="58"/>
  <c r="J64" i="58" s="1"/>
  <c r="J51" i="58"/>
  <c r="J63" i="58" s="1"/>
  <c r="J44" i="58"/>
  <c r="J53" i="58"/>
  <c r="J65" i="58" s="1"/>
  <c r="J23" i="58"/>
  <c r="G47" i="58"/>
  <c r="J69" i="58"/>
  <c r="J68" i="58"/>
  <c r="G58" i="58"/>
  <c r="G81" i="58"/>
  <c r="K136" i="58"/>
  <c r="H65" i="58"/>
  <c r="I66" i="58"/>
  <c r="J35" i="58"/>
  <c r="I62" i="58"/>
  <c r="J36" i="58"/>
  <c r="AE22" i="59"/>
  <c r="H204" i="12" s="1"/>
  <c r="H204" i="120" s="1"/>
  <c r="AE17" i="59"/>
  <c r="AE27" i="59"/>
  <c r="H192" i="12" s="1"/>
  <c r="H192" i="120" s="1"/>
  <c r="J192" i="120" s="1"/>
  <c r="AE41" i="59"/>
  <c r="H221" i="12" s="1"/>
  <c r="AE51" i="59"/>
  <c r="H230" i="12" s="1"/>
  <c r="K162" i="59"/>
  <c r="K152" i="59" s="1"/>
  <c r="K163" i="59"/>
  <c r="K153" i="59" s="1"/>
  <c r="K166" i="59"/>
  <c r="K156" i="59" s="1"/>
  <c r="K168" i="59"/>
  <c r="K158" i="59" s="1"/>
  <c r="K165" i="59"/>
  <c r="K155" i="59" s="1"/>
  <c r="I95" i="58"/>
  <c r="I96" i="58" s="1"/>
  <c r="I212" i="58" s="1"/>
  <c r="I204" i="58" s="1"/>
  <c r="AF10" i="58"/>
  <c r="I120" i="58"/>
  <c r="I199" i="58" s="1"/>
  <c r="I85" i="58"/>
  <c r="K115" i="58"/>
  <c r="K114" i="58"/>
  <c r="K33" i="58"/>
  <c r="K32" i="58"/>
  <c r="K20" i="58"/>
  <c r="I80" i="58"/>
  <c r="I81" i="58" s="1"/>
  <c r="I60" i="58"/>
  <c r="K97" i="58"/>
  <c r="K87" i="58"/>
  <c r="K18" i="58"/>
  <c r="K126" i="58"/>
  <c r="K137" i="58" s="1"/>
  <c r="K134" i="58"/>
  <c r="G687" i="120"/>
  <c r="I687" i="120" s="1"/>
  <c r="J687" i="120" s="1"/>
  <c r="F687" i="120"/>
  <c r="D687" i="120"/>
  <c r="C687" i="120"/>
  <c r="J684" i="120"/>
  <c r="J678" i="120"/>
  <c r="J682" i="120"/>
  <c r="J680" i="120"/>
  <c r="H181" i="12"/>
  <c r="M181" i="12" s="1"/>
  <c r="AF211" i="58"/>
  <c r="L21" i="120"/>
  <c r="G22" i="122"/>
  <c r="U43" i="134"/>
  <c r="U44" i="134" s="1"/>
  <c r="K43" i="134"/>
  <c r="K44" i="134" s="1"/>
  <c r="R43" i="134"/>
  <c r="R44" i="134" s="1"/>
  <c r="H43" i="134"/>
  <c r="H44" i="134" s="1"/>
  <c r="J43" i="134"/>
  <c r="J44" i="134" s="1"/>
  <c r="W43" i="134"/>
  <c r="W44" i="134" s="1"/>
  <c r="P43" i="134"/>
  <c r="P44" i="134" s="1"/>
  <c r="Q43" i="134"/>
  <c r="Q44" i="134" s="1"/>
  <c r="F43" i="134"/>
  <c r="F44" i="134" s="1"/>
  <c r="I43" i="134"/>
  <c r="I44" i="134" s="1"/>
  <c r="G43" i="134"/>
  <c r="G44" i="134" s="1"/>
  <c r="M43" i="134"/>
  <c r="M44" i="134" s="1"/>
  <c r="V43" i="134"/>
  <c r="V44" i="134" s="1"/>
  <c r="O43" i="134"/>
  <c r="O44" i="134" s="1"/>
  <c r="T43" i="134"/>
  <c r="T44" i="134" s="1"/>
  <c r="S43" i="134"/>
  <c r="S44" i="134" s="1"/>
  <c r="L43" i="134"/>
  <c r="L44" i="134" s="1"/>
  <c r="N43" i="134"/>
  <c r="N44" i="134" s="1"/>
  <c r="H80" i="58" l="1"/>
  <c r="H81" i="58" s="1"/>
  <c r="G90" i="58"/>
  <c r="G135" i="58"/>
  <c r="G126" i="58"/>
  <c r="G127" i="58" s="1"/>
  <c r="G96" i="58"/>
  <c r="J110" i="58"/>
  <c r="J111" i="58" s="1"/>
  <c r="J108" i="58"/>
  <c r="J107" i="58"/>
  <c r="J112" i="58"/>
  <c r="H64" i="58"/>
  <c r="H92" i="58"/>
  <c r="H94" i="58"/>
  <c r="J49" i="58"/>
  <c r="J50" i="58"/>
  <c r="J45" i="58"/>
  <c r="J48" i="58"/>
  <c r="J39" i="58"/>
  <c r="J43" i="58" s="1"/>
  <c r="K34" i="58"/>
  <c r="H85" i="58"/>
  <c r="H120" i="58"/>
  <c r="J26" i="58"/>
  <c r="AF51" i="59"/>
  <c r="O186" i="12"/>
  <c r="AF41" i="59"/>
  <c r="AF27" i="59"/>
  <c r="D2" i="55"/>
  <c r="AH2" i="59"/>
  <c r="AH1" i="59" s="1"/>
  <c r="AF17" i="59"/>
  <c r="AF22" i="59"/>
  <c r="O230" i="12"/>
  <c r="H230" i="120"/>
  <c r="H221" i="120"/>
  <c r="O221" i="12"/>
  <c r="H212" i="12"/>
  <c r="H198" i="12"/>
  <c r="H187" i="12"/>
  <c r="AE161" i="59"/>
  <c r="H292" i="12" s="1"/>
  <c r="H292" i="120" s="1"/>
  <c r="J292" i="120" s="1"/>
  <c r="J291" i="120" s="1"/>
  <c r="J204" i="120"/>
  <c r="O204" i="120"/>
  <c r="AE157" i="59"/>
  <c r="AF157" i="59" s="1"/>
  <c r="AE82" i="59"/>
  <c r="H258" i="12" s="1"/>
  <c r="AE76" i="59"/>
  <c r="H252" i="12" s="1"/>
  <c r="K127" i="58"/>
  <c r="K138" i="58" s="1"/>
  <c r="K99" i="58"/>
  <c r="K98" i="58"/>
  <c r="K104" i="58"/>
  <c r="I47" i="58"/>
  <c r="I58" i="58"/>
  <c r="K57" i="58"/>
  <c r="K21" i="58"/>
  <c r="K56" i="58"/>
  <c r="K42" i="58"/>
  <c r="K116" i="58"/>
  <c r="K117" i="58"/>
  <c r="I216" i="58"/>
  <c r="I86" i="58"/>
  <c r="I89" i="58"/>
  <c r="I130" i="58"/>
  <c r="K24" i="58"/>
  <c r="AF11" i="58"/>
  <c r="J686" i="120"/>
  <c r="J645" i="120" s="1"/>
  <c r="H181" i="120"/>
  <c r="AE191" i="58"/>
  <c r="B181" i="12"/>
  <c r="M181" i="120"/>
  <c r="X44" i="134"/>
  <c r="X43" i="134"/>
  <c r="K118" i="58" l="1"/>
  <c r="K119" i="58"/>
  <c r="K35" i="58"/>
  <c r="K36" i="58"/>
  <c r="K39" i="58" s="1"/>
  <c r="K83" i="58" s="1"/>
  <c r="J55" i="58"/>
  <c r="G128" i="58"/>
  <c r="G129" i="58" s="1"/>
  <c r="G138" i="58"/>
  <c r="G212" i="58"/>
  <c r="H95" i="58"/>
  <c r="J60" i="58"/>
  <c r="J62" i="58"/>
  <c r="J61" i="58"/>
  <c r="H127" i="58"/>
  <c r="H89" i="58"/>
  <c r="H199" i="58"/>
  <c r="AF17" i="58"/>
  <c r="H86" i="58"/>
  <c r="H216" i="58"/>
  <c r="G137" i="58"/>
  <c r="J46" i="58"/>
  <c r="G91" i="58"/>
  <c r="J83" i="58"/>
  <c r="J129" i="58"/>
  <c r="J27" i="58"/>
  <c r="H47" i="58"/>
  <c r="H58" i="58"/>
  <c r="O186" i="120"/>
  <c r="AF76" i="59"/>
  <c r="AF82" i="59"/>
  <c r="AF161" i="59"/>
  <c r="H187" i="120"/>
  <c r="N185" i="12"/>
  <c r="N183" i="12"/>
  <c r="H16" i="12"/>
  <c r="C22" i="77"/>
  <c r="H11" i="77" s="1"/>
  <c r="H212" i="120"/>
  <c r="N186" i="12"/>
  <c r="J9" i="55"/>
  <c r="N9" i="55" s="1"/>
  <c r="H40" i="12" s="1"/>
  <c r="J8" i="55"/>
  <c r="N8" i="55" s="1"/>
  <c r="H39" i="12" s="1"/>
  <c r="D18" i="55"/>
  <c r="J18" i="55" s="1"/>
  <c r="N18" i="55" s="1"/>
  <c r="H49" i="12" s="1"/>
  <c r="H49" i="120" s="1"/>
  <c r="J49" i="120" s="1"/>
  <c r="D21" i="55"/>
  <c r="N21" i="55" s="1"/>
  <c r="H53" i="12" s="1"/>
  <c r="H53" i="120" s="1"/>
  <c r="J53" i="120" s="1"/>
  <c r="N2" i="55"/>
  <c r="J10" i="55"/>
  <c r="N10" i="55" s="1"/>
  <c r="H41" i="12" s="1"/>
  <c r="H41" i="120" s="1"/>
  <c r="J41" i="120" s="1"/>
  <c r="Z8" i="134" s="1"/>
  <c r="H252" i="120"/>
  <c r="O252" i="12"/>
  <c r="AE154" i="59"/>
  <c r="H290" i="12" s="1"/>
  <c r="H258" i="120"/>
  <c r="O258" i="12"/>
  <c r="K128" i="58"/>
  <c r="K139" i="58" s="1"/>
  <c r="AE158" i="59"/>
  <c r="AF158" i="59" s="1"/>
  <c r="AE153" i="59"/>
  <c r="AF153" i="59" s="1"/>
  <c r="AE156" i="59"/>
  <c r="AF156" i="59" s="1"/>
  <c r="AE155" i="59"/>
  <c r="AF155" i="59" s="1"/>
  <c r="AE83" i="59"/>
  <c r="H259" i="12" s="1"/>
  <c r="H198" i="120"/>
  <c r="O198" i="12"/>
  <c r="J221" i="120"/>
  <c r="O221" i="120"/>
  <c r="O230" i="120"/>
  <c r="J230" i="120"/>
  <c r="AF88" i="58"/>
  <c r="AE113" i="58"/>
  <c r="AF113" i="58" s="1"/>
  <c r="AF13" i="58"/>
  <c r="K25" i="58"/>
  <c r="K68" i="58"/>
  <c r="I141" i="58"/>
  <c r="I131" i="58"/>
  <c r="I132" i="58" s="1"/>
  <c r="I143" i="58" s="1"/>
  <c r="K69" i="58"/>
  <c r="K22" i="58"/>
  <c r="I90" i="58"/>
  <c r="I91" i="58" s="1"/>
  <c r="I201" i="58" s="1"/>
  <c r="K106" i="58"/>
  <c r="K105" i="58"/>
  <c r="K109" i="58"/>
  <c r="K102" i="58"/>
  <c r="K101" i="58"/>
  <c r="K100" i="58"/>
  <c r="K103" i="58"/>
  <c r="L646" i="120"/>
  <c r="L654" i="120"/>
  <c r="L649" i="120"/>
  <c r="L665" i="120"/>
  <c r="L674" i="120"/>
  <c r="L657" i="120"/>
  <c r="L651" i="120"/>
  <c r="L695" i="120"/>
  <c r="L673" i="120"/>
  <c r="L715" i="120"/>
  <c r="L656" i="120"/>
  <c r="L689" i="120"/>
  <c r="L650" i="120"/>
  <c r="L662" i="120"/>
  <c r="L653" i="120"/>
  <c r="L709" i="120"/>
  <c r="L707" i="120"/>
  <c r="L675" i="120"/>
  <c r="L717" i="120"/>
  <c r="L672" i="120"/>
  <c r="L713" i="120"/>
  <c r="L703" i="120"/>
  <c r="L693" i="120"/>
  <c r="L671" i="120"/>
  <c r="L679" i="120"/>
  <c r="L659" i="120"/>
  <c r="L648" i="120"/>
  <c r="J718" i="120"/>
  <c r="L669" i="120"/>
  <c r="L701" i="120"/>
  <c r="L697" i="120"/>
  <c r="L647" i="120"/>
  <c r="L663" i="120"/>
  <c r="L668" i="120"/>
  <c r="L658" i="120"/>
  <c r="L661" i="120"/>
  <c r="L699" i="120"/>
  <c r="L660" i="120"/>
  <c r="L670" i="120"/>
  <c r="L691" i="120"/>
  <c r="L655" i="120"/>
  <c r="L711" i="120"/>
  <c r="L645" i="120"/>
  <c r="J25" i="120"/>
  <c r="L666" i="120"/>
  <c r="L705" i="120"/>
  <c r="L664" i="120"/>
  <c r="L652" i="120"/>
  <c r="L667" i="120"/>
  <c r="L685" i="120"/>
  <c r="L677" i="120"/>
  <c r="L683" i="120"/>
  <c r="L681" i="120"/>
  <c r="L687" i="120"/>
  <c r="D181" i="12"/>
  <c r="C181" i="12"/>
  <c r="H101" i="12"/>
  <c r="H101" i="120" s="1"/>
  <c r="J101" i="120" s="1"/>
  <c r="AF191" i="58"/>
  <c r="B181" i="120"/>
  <c r="Y43" i="134"/>
  <c r="Z43" i="134"/>
  <c r="Y44" i="134"/>
  <c r="Y41" i="134"/>
  <c r="K43" i="58" l="1"/>
  <c r="G201" i="58"/>
  <c r="G215" i="58"/>
  <c r="G200" i="58"/>
  <c r="J120" i="58"/>
  <c r="J130" i="58" s="1"/>
  <c r="H96" i="58"/>
  <c r="G204" i="58"/>
  <c r="G140" i="58"/>
  <c r="G130" i="58"/>
  <c r="J140" i="58"/>
  <c r="AF115" i="58"/>
  <c r="AF87" i="58"/>
  <c r="G139" i="58"/>
  <c r="J93" i="58"/>
  <c r="J203" i="58"/>
  <c r="J85" i="58"/>
  <c r="H90" i="58"/>
  <c r="H138" i="58"/>
  <c r="H128" i="58"/>
  <c r="H139" i="58" s="1"/>
  <c r="J67" i="58"/>
  <c r="J54" i="58"/>
  <c r="H16" i="120"/>
  <c r="C22" i="134" s="1"/>
  <c r="K129" i="58"/>
  <c r="K140" i="58" s="1"/>
  <c r="N16" i="12"/>
  <c r="C23" i="39"/>
  <c r="AF83" i="59"/>
  <c r="H39" i="120"/>
  <c r="J39" i="120" s="1"/>
  <c r="A39" i="12"/>
  <c r="A39" i="120" s="1"/>
  <c r="H40" i="120"/>
  <c r="J40" i="120" s="1"/>
  <c r="J212" i="120"/>
  <c r="N186" i="120"/>
  <c r="D17" i="122"/>
  <c r="C17" i="77"/>
  <c r="AF154" i="59"/>
  <c r="J187" i="120"/>
  <c r="N185" i="120"/>
  <c r="N183" i="120"/>
  <c r="O198" i="120"/>
  <c r="J198" i="120"/>
  <c r="H259" i="120"/>
  <c r="O259" i="12"/>
  <c r="N17" i="12" s="1"/>
  <c r="C27" i="39" s="1"/>
  <c r="AE152" i="59"/>
  <c r="AF152" i="59" s="1"/>
  <c r="AE162" i="59"/>
  <c r="O258" i="120"/>
  <c r="J258" i="120"/>
  <c r="H290" i="120"/>
  <c r="M290" i="12"/>
  <c r="B290" i="12" s="1"/>
  <c r="O252" i="120"/>
  <c r="J252" i="120"/>
  <c r="AF18" i="58"/>
  <c r="I142" i="58"/>
  <c r="I121" i="58" s="1"/>
  <c r="AE97" i="58"/>
  <c r="AF97" i="58" s="1"/>
  <c r="K110" i="58"/>
  <c r="K108" i="58"/>
  <c r="K107" i="58"/>
  <c r="K112" i="58"/>
  <c r="K26" i="58"/>
  <c r="AF33" i="58"/>
  <c r="K93" i="58"/>
  <c r="K203" i="58"/>
  <c r="AF114" i="58"/>
  <c r="K51" i="58"/>
  <c r="K44" i="58"/>
  <c r="K53" i="58"/>
  <c r="K52" i="58"/>
  <c r="I215" i="58"/>
  <c r="I200" i="58"/>
  <c r="AF20" i="58"/>
  <c r="K23" i="58"/>
  <c r="G26" i="122"/>
  <c r="D58" i="134"/>
  <c r="L25" i="120"/>
  <c r="G181" i="120"/>
  <c r="I181" i="120" s="1"/>
  <c r="J181" i="120" s="1"/>
  <c r="J180" i="120" s="1"/>
  <c r="F181" i="120"/>
  <c r="D181" i="120"/>
  <c r="C181" i="120"/>
  <c r="K55" i="58" l="1"/>
  <c r="AE116" i="58"/>
  <c r="H134" i="12" s="1"/>
  <c r="H134" i="120" s="1"/>
  <c r="J134" i="120" s="1"/>
  <c r="H129" i="58"/>
  <c r="H140" i="58" s="1"/>
  <c r="AF35" i="58"/>
  <c r="H212" i="58"/>
  <c r="AF34" i="58"/>
  <c r="AF36" i="58"/>
  <c r="J141" i="58"/>
  <c r="J131" i="58"/>
  <c r="J199" i="58"/>
  <c r="J89" i="58"/>
  <c r="H130" i="58"/>
  <c r="H131" i="58" s="1"/>
  <c r="H142" i="58" s="1"/>
  <c r="J94" i="58"/>
  <c r="J92" i="58"/>
  <c r="G141" i="58"/>
  <c r="G131" i="58"/>
  <c r="AF99" i="58"/>
  <c r="H91" i="58"/>
  <c r="J66" i="58"/>
  <c r="J80" i="58"/>
  <c r="J86" i="58"/>
  <c r="J216" i="58"/>
  <c r="A40" i="12"/>
  <c r="A41" i="12" s="1"/>
  <c r="J183" i="120"/>
  <c r="L212" i="120" s="1"/>
  <c r="J34" i="120"/>
  <c r="L39" i="120" s="1"/>
  <c r="C290" i="12"/>
  <c r="B290" i="120"/>
  <c r="D290" i="12"/>
  <c r="J259" i="120"/>
  <c r="O259" i="120"/>
  <c r="AF24" i="58"/>
  <c r="AE117" i="58"/>
  <c r="H135" i="12" s="1"/>
  <c r="H135" i="120" s="1"/>
  <c r="J135" i="120" s="1"/>
  <c r="AF21" i="58"/>
  <c r="AE119" i="58"/>
  <c r="H137" i="12" s="1"/>
  <c r="H137" i="120" s="1"/>
  <c r="J137" i="120" s="1"/>
  <c r="AE57" i="58"/>
  <c r="AE56" i="58"/>
  <c r="K92" i="58"/>
  <c r="K94" i="58"/>
  <c r="AE42" i="58"/>
  <c r="K27" i="58"/>
  <c r="K50" i="58"/>
  <c r="K49" i="58"/>
  <c r="K45" i="58"/>
  <c r="K48" i="58"/>
  <c r="K111" i="58"/>
  <c r="K64" i="58"/>
  <c r="K65" i="58"/>
  <c r="AE104" i="58"/>
  <c r="AF104" i="58" s="1"/>
  <c r="AF98" i="58"/>
  <c r="K63" i="58"/>
  <c r="U59" i="134"/>
  <c r="U60" i="134" s="1"/>
  <c r="H59" i="134"/>
  <c r="H60" i="134" s="1"/>
  <c r="I59" i="134"/>
  <c r="I60" i="134" s="1"/>
  <c r="G59" i="134"/>
  <c r="G60" i="134" s="1"/>
  <c r="N59" i="134"/>
  <c r="N60" i="134" s="1"/>
  <c r="V59" i="134"/>
  <c r="V60" i="134" s="1"/>
  <c r="K59" i="134"/>
  <c r="K60" i="134" s="1"/>
  <c r="T59" i="134"/>
  <c r="T60" i="134" s="1"/>
  <c r="P59" i="134"/>
  <c r="P60" i="134" s="1"/>
  <c r="J59" i="134"/>
  <c r="J60" i="134" s="1"/>
  <c r="L59" i="134"/>
  <c r="L60" i="134" s="1"/>
  <c r="S59" i="134"/>
  <c r="S60" i="134" s="1"/>
  <c r="W59" i="134"/>
  <c r="W60" i="134" s="1"/>
  <c r="R59" i="134"/>
  <c r="R60" i="134" s="1"/>
  <c r="Q59" i="134"/>
  <c r="Q60" i="134" s="1"/>
  <c r="F59" i="134"/>
  <c r="O59" i="134"/>
  <c r="O60" i="134" s="1"/>
  <c r="M59" i="134"/>
  <c r="M60" i="134" s="1"/>
  <c r="K54" i="58" l="1"/>
  <c r="K80" i="58" s="1"/>
  <c r="K67" i="58"/>
  <c r="AF23" i="60"/>
  <c r="AE118" i="58"/>
  <c r="H136" i="12" s="1"/>
  <c r="H136" i="120" s="1"/>
  <c r="J136" i="120" s="1"/>
  <c r="AF116" i="58"/>
  <c r="A40" i="120"/>
  <c r="L258" i="120"/>
  <c r="L252" i="120"/>
  <c r="H132" i="58"/>
  <c r="H143" i="58" s="1"/>
  <c r="AE64" i="58"/>
  <c r="H108" i="12" s="1"/>
  <c r="J95" i="58"/>
  <c r="H201" i="58"/>
  <c r="H215" i="58"/>
  <c r="H200" i="58"/>
  <c r="AF39" i="58"/>
  <c r="AE53" i="58"/>
  <c r="J90" i="58"/>
  <c r="H204" i="58"/>
  <c r="H141" i="58"/>
  <c r="J58" i="58"/>
  <c r="J47" i="58"/>
  <c r="J142" i="58"/>
  <c r="J132" i="58"/>
  <c r="AF22" i="58"/>
  <c r="J81" i="58"/>
  <c r="G142" i="58"/>
  <c r="G132" i="58"/>
  <c r="AE48" i="58"/>
  <c r="AF25" i="58"/>
  <c r="K46" i="58"/>
  <c r="L41" i="120"/>
  <c r="L61" i="120"/>
  <c r="L43" i="120"/>
  <c r="L59" i="120"/>
  <c r="L37" i="120"/>
  <c r="L47" i="120"/>
  <c r="J13" i="120"/>
  <c r="L55" i="120"/>
  <c r="L35" i="120"/>
  <c r="L42" i="120"/>
  <c r="L54" i="120"/>
  <c r="L49" i="120"/>
  <c r="L44" i="120"/>
  <c r="L45" i="120"/>
  <c r="L50" i="120"/>
  <c r="L53" i="120"/>
  <c r="L56" i="120"/>
  <c r="L57" i="120"/>
  <c r="L38" i="120"/>
  <c r="L48" i="120"/>
  <c r="L52" i="120"/>
  <c r="J62" i="120"/>
  <c r="L34" i="120"/>
  <c r="L51" i="120"/>
  <c r="L46" i="120"/>
  <c r="L36" i="120"/>
  <c r="L40" i="120"/>
  <c r="A42" i="12"/>
  <c r="A41" i="120"/>
  <c r="L218" i="120"/>
  <c r="L207" i="120"/>
  <c r="L268" i="120"/>
  <c r="L194" i="120"/>
  <c r="L232" i="120"/>
  <c r="L271" i="120"/>
  <c r="L245" i="120"/>
  <c r="L228" i="120"/>
  <c r="L191" i="120"/>
  <c r="L236" i="120"/>
  <c r="L225" i="120"/>
  <c r="L246" i="120"/>
  <c r="L222" i="120"/>
  <c r="L285" i="120"/>
  <c r="L211" i="120"/>
  <c r="L280" i="120"/>
  <c r="L216" i="120"/>
  <c r="L223" i="120"/>
  <c r="L208" i="120"/>
  <c r="L274" i="120"/>
  <c r="L184" i="120"/>
  <c r="L215" i="120"/>
  <c r="L188" i="120"/>
  <c r="L277" i="120"/>
  <c r="L256" i="120"/>
  <c r="J16" i="120"/>
  <c r="L254" i="120"/>
  <c r="L233" i="120"/>
  <c r="L281" i="120"/>
  <c r="L190" i="120"/>
  <c r="L189" i="120"/>
  <c r="L241" i="120"/>
  <c r="L242" i="120"/>
  <c r="L270" i="120"/>
  <c r="L186" i="120"/>
  <c r="L251" i="120"/>
  <c r="L248" i="120"/>
  <c r="L266" i="120"/>
  <c r="L196" i="120"/>
  <c r="L247" i="120"/>
  <c r="L286" i="120"/>
  <c r="L279" i="120"/>
  <c r="L183" i="120"/>
  <c r="L231" i="120"/>
  <c r="L253" i="120"/>
  <c r="L229" i="120"/>
  <c r="L202" i="120"/>
  <c r="L237" i="120"/>
  <c r="L185" i="120"/>
  <c r="L195" i="120"/>
  <c r="L275" i="120"/>
  <c r="L206" i="120"/>
  <c r="L288" i="120"/>
  <c r="L249" i="120"/>
  <c r="L238" i="120"/>
  <c r="L273" i="120"/>
  <c r="L235" i="120"/>
  <c r="L278" i="120"/>
  <c r="L201" i="120"/>
  <c r="L239" i="120"/>
  <c r="L292" i="120"/>
  <c r="L205" i="120"/>
  <c r="L264" i="120"/>
  <c r="L287" i="120"/>
  <c r="L262" i="120"/>
  <c r="L224" i="120"/>
  <c r="L272" i="120"/>
  <c r="L263" i="120"/>
  <c r="L257" i="120"/>
  <c r="L193" i="120"/>
  <c r="L219" i="120"/>
  <c r="L209" i="120"/>
  <c r="L234" i="120"/>
  <c r="L210" i="120"/>
  <c r="L214" i="120"/>
  <c r="L255" i="120"/>
  <c r="L220" i="120"/>
  <c r="L276" i="120"/>
  <c r="L240" i="120"/>
  <c r="L260" i="120"/>
  <c r="L192" i="120"/>
  <c r="L265" i="120"/>
  <c r="L203" i="120"/>
  <c r="L200" i="120"/>
  <c r="L226" i="120"/>
  <c r="L197" i="120"/>
  <c r="L250" i="120"/>
  <c r="L284" i="120"/>
  <c r="L227" i="120"/>
  <c r="L267" i="120"/>
  <c r="L204" i="120"/>
  <c r="L199" i="120"/>
  <c r="L261" i="120"/>
  <c r="J293" i="120"/>
  <c r="L282" i="120"/>
  <c r="L217" i="120"/>
  <c r="L269" i="120"/>
  <c r="L283" i="120"/>
  <c r="L213" i="120"/>
  <c r="J243" i="120"/>
  <c r="L230" i="120"/>
  <c r="L221" i="120"/>
  <c r="L187" i="120"/>
  <c r="L198" i="120"/>
  <c r="L259" i="120"/>
  <c r="F290" i="120"/>
  <c r="D290" i="120"/>
  <c r="C290" i="120"/>
  <c r="G290" i="120"/>
  <c r="I290" i="120" s="1"/>
  <c r="J290" i="120" s="1"/>
  <c r="AF119" i="58"/>
  <c r="AF117" i="58"/>
  <c r="AE52" i="58"/>
  <c r="AF105" i="58"/>
  <c r="K95" i="58"/>
  <c r="AE68" i="58"/>
  <c r="H112" i="12" s="1"/>
  <c r="AE69" i="58"/>
  <c r="H113" i="12" s="1"/>
  <c r="K61" i="58"/>
  <c r="AE103" i="58"/>
  <c r="H129" i="12" s="1"/>
  <c r="H129" i="120" s="1"/>
  <c r="J129" i="120" s="1"/>
  <c r="K60" i="58"/>
  <c r="AE100" i="58"/>
  <c r="H126" i="12" s="1"/>
  <c r="H126" i="120" s="1"/>
  <c r="J126" i="120" s="1"/>
  <c r="AE102" i="58"/>
  <c r="H128" i="12" s="1"/>
  <c r="H128" i="120" s="1"/>
  <c r="J128" i="120" s="1"/>
  <c r="AE101" i="58"/>
  <c r="H127" i="12" s="1"/>
  <c r="H127" i="120" s="1"/>
  <c r="J127" i="120" s="1"/>
  <c r="AE109" i="58"/>
  <c r="AF109" i="58" s="1"/>
  <c r="K62" i="58"/>
  <c r="AF106" i="58"/>
  <c r="X59" i="134"/>
  <c r="Z59" i="134" s="1"/>
  <c r="F60" i="134"/>
  <c r="X60" i="134" s="1"/>
  <c r="Y60" i="134" s="1"/>
  <c r="AF118" i="58" l="1"/>
  <c r="K66" i="58"/>
  <c r="K85" i="58"/>
  <c r="AE85" i="58" s="1"/>
  <c r="AF85" i="58" s="1"/>
  <c r="AE124" i="58"/>
  <c r="AE125" i="58"/>
  <c r="H121" i="58"/>
  <c r="AF26" i="60"/>
  <c r="AF24" i="60"/>
  <c r="AE61" i="58"/>
  <c r="H105" i="12" s="1"/>
  <c r="AE83" i="58"/>
  <c r="AF83" i="58" s="1"/>
  <c r="Y59" i="134"/>
  <c r="AE203" i="58"/>
  <c r="H175" i="12" s="1"/>
  <c r="AF23" i="58"/>
  <c r="J91" i="58"/>
  <c r="G143" i="58"/>
  <c r="AF110" i="58"/>
  <c r="K120" i="58"/>
  <c r="K89" i="58" s="1"/>
  <c r="J143" i="58"/>
  <c r="J121" i="58" s="1"/>
  <c r="AE51" i="58"/>
  <c r="AE43" i="58"/>
  <c r="J96" i="58"/>
  <c r="L13" i="120"/>
  <c r="AE44" i="58"/>
  <c r="D22" i="134"/>
  <c r="L16" i="120"/>
  <c r="G17" i="122"/>
  <c r="G14" i="122"/>
  <c r="D10" i="134"/>
  <c r="A43" i="12"/>
  <c r="A42" i="120"/>
  <c r="AE55" i="58"/>
  <c r="J289" i="120"/>
  <c r="J244" i="120" s="1"/>
  <c r="J17" i="120" s="1"/>
  <c r="L290" i="120"/>
  <c r="AF101" i="58"/>
  <c r="AF64" i="58"/>
  <c r="AF69" i="58"/>
  <c r="AF68" i="58"/>
  <c r="AF100" i="58"/>
  <c r="AF103" i="58"/>
  <c r="AF102" i="58"/>
  <c r="AF26" i="58"/>
  <c r="H112" i="120"/>
  <c r="O112" i="12"/>
  <c r="K86" i="58"/>
  <c r="K216" i="58"/>
  <c r="K47" i="58"/>
  <c r="K58" i="58"/>
  <c r="K81" i="58"/>
  <c r="AE112" i="58"/>
  <c r="H133" i="12" s="1"/>
  <c r="H133" i="120" s="1"/>
  <c r="J133" i="120" s="1"/>
  <c r="K96" i="58"/>
  <c r="H113" i="120"/>
  <c r="O113" i="12"/>
  <c r="H108" i="120"/>
  <c r="O108" i="12"/>
  <c r="AE107" i="58"/>
  <c r="H130" i="12" s="1"/>
  <c r="H130" i="120" s="1"/>
  <c r="J130" i="120" s="1"/>
  <c r="AE108" i="58"/>
  <c r="H131" i="12" s="1"/>
  <c r="H131" i="120" s="1"/>
  <c r="J131" i="120" s="1"/>
  <c r="Y57" i="134"/>
  <c r="AE62" i="58" l="1"/>
  <c r="H106" i="12" s="1"/>
  <c r="AE136" i="58"/>
  <c r="H146" i="12" s="1"/>
  <c r="H146" i="120" s="1"/>
  <c r="J146" i="120" s="1"/>
  <c r="AE50" i="58"/>
  <c r="AE135" i="58"/>
  <c r="H145" i="12" s="1"/>
  <c r="H145" i="120" s="1"/>
  <c r="J145" i="120" s="1"/>
  <c r="AE46" i="58"/>
  <c r="AE49" i="58"/>
  <c r="AE45" i="58"/>
  <c r="AF25" i="60"/>
  <c r="AE93" i="58"/>
  <c r="AF93" i="58" s="1"/>
  <c r="K130" i="58"/>
  <c r="K141" i="58" s="1"/>
  <c r="AE63" i="58"/>
  <c r="H107" i="12" s="1"/>
  <c r="AE65" i="58"/>
  <c r="AE54" i="58"/>
  <c r="J212" i="58"/>
  <c r="G121" i="58"/>
  <c r="J201" i="58"/>
  <c r="J200" i="58"/>
  <c r="J215" i="58"/>
  <c r="AE80" i="58"/>
  <c r="AF80" i="58" s="1"/>
  <c r="AF27" i="58"/>
  <c r="AE67" i="58"/>
  <c r="H111" i="12" s="1"/>
  <c r="H111" i="120" s="1"/>
  <c r="K199" i="58"/>
  <c r="L244" i="120"/>
  <c r="A43" i="120"/>
  <c r="A44" i="12"/>
  <c r="O11" i="134"/>
  <c r="N11" i="134"/>
  <c r="M11" i="134"/>
  <c r="W11" i="134"/>
  <c r="T11" i="134"/>
  <c r="K11" i="134"/>
  <c r="V11" i="134"/>
  <c r="I11" i="134"/>
  <c r="AB8" i="134"/>
  <c r="G11" i="134"/>
  <c r="P11" i="134"/>
  <c r="S11" i="134"/>
  <c r="Q11" i="134"/>
  <c r="U11" i="134"/>
  <c r="R11" i="134"/>
  <c r="F11" i="134"/>
  <c r="L11" i="134"/>
  <c r="H11" i="134"/>
  <c r="J11" i="134"/>
  <c r="I23" i="134"/>
  <c r="I24" i="134" s="1"/>
  <c r="K23" i="134"/>
  <c r="K24" i="134" s="1"/>
  <c r="S23" i="134"/>
  <c r="S24" i="134" s="1"/>
  <c r="O23" i="134"/>
  <c r="O24" i="134" s="1"/>
  <c r="V23" i="134"/>
  <c r="V24" i="134" s="1"/>
  <c r="G23" i="134"/>
  <c r="G24" i="134" s="1"/>
  <c r="M23" i="134"/>
  <c r="M24" i="134" s="1"/>
  <c r="J23" i="134"/>
  <c r="J24" i="134" s="1"/>
  <c r="N23" i="134"/>
  <c r="N24" i="134" s="1"/>
  <c r="U23" i="134"/>
  <c r="U24" i="134" s="1"/>
  <c r="F23" i="134"/>
  <c r="F24" i="134" s="1"/>
  <c r="P23" i="134"/>
  <c r="P24" i="134" s="1"/>
  <c r="H23" i="134"/>
  <c r="H24" i="134" s="1"/>
  <c r="T23" i="134"/>
  <c r="T24" i="134" s="1"/>
  <c r="Q23" i="134"/>
  <c r="Q24" i="134" s="1"/>
  <c r="W23" i="134"/>
  <c r="W24" i="134" s="1"/>
  <c r="R23" i="134"/>
  <c r="R24" i="134" s="1"/>
  <c r="L23" i="134"/>
  <c r="L24" i="134" s="1"/>
  <c r="G18" i="122"/>
  <c r="D26" i="134"/>
  <c r="L17" i="120"/>
  <c r="AF203" i="58"/>
  <c r="AF61" i="58"/>
  <c r="AF62" i="58"/>
  <c r="AF112" i="58"/>
  <c r="AE86" i="58"/>
  <c r="AF86" i="58" s="1"/>
  <c r="AF108" i="58"/>
  <c r="AF107" i="58"/>
  <c r="H106" i="120"/>
  <c r="O106" i="12"/>
  <c r="J108" i="120"/>
  <c r="O108" i="120"/>
  <c r="J113" i="120"/>
  <c r="O113" i="120"/>
  <c r="AE60" i="58"/>
  <c r="H104" i="12" s="1"/>
  <c r="H105" i="120"/>
  <c r="O105" i="12"/>
  <c r="K90" i="58"/>
  <c r="K212" i="58"/>
  <c r="K204" i="58" s="1"/>
  <c r="J112" i="120"/>
  <c r="O112" i="120"/>
  <c r="H175" i="120"/>
  <c r="M175" i="12"/>
  <c r="AF136" i="58" l="1"/>
  <c r="AF135" i="58"/>
  <c r="Q12" i="134"/>
  <c r="U12" i="134"/>
  <c r="S12" i="134"/>
  <c r="P12" i="134"/>
  <c r="G12" i="134"/>
  <c r="I12" i="134"/>
  <c r="V12" i="134"/>
  <c r="K12" i="134"/>
  <c r="T12" i="134"/>
  <c r="W12" i="134"/>
  <c r="N12" i="134"/>
  <c r="O12" i="134"/>
  <c r="M12" i="134"/>
  <c r="J12" i="134"/>
  <c r="H12" i="134"/>
  <c r="L12" i="134"/>
  <c r="R12" i="134"/>
  <c r="AE92" i="58"/>
  <c r="AF92" i="58" s="1"/>
  <c r="AE89" i="58"/>
  <c r="AF89" i="58" s="1"/>
  <c r="AE120" i="58"/>
  <c r="AE94" i="58"/>
  <c r="AF94" i="58" s="1"/>
  <c r="K131" i="58"/>
  <c r="K132" i="58" s="1"/>
  <c r="AE29" i="60"/>
  <c r="AF29" i="60" s="1"/>
  <c r="AE28" i="60"/>
  <c r="AF28" i="60" s="1"/>
  <c r="AF63" i="58"/>
  <c r="AF67" i="58"/>
  <c r="AE199" i="58"/>
  <c r="AF199" i="58" s="1"/>
  <c r="AE66" i="58"/>
  <c r="H110" i="12" s="1"/>
  <c r="O110" i="12" s="1"/>
  <c r="O111" i="12"/>
  <c r="J204" i="58"/>
  <c r="H109" i="12"/>
  <c r="AF65" i="58"/>
  <c r="O107" i="12"/>
  <c r="H107" i="120"/>
  <c r="F12" i="134"/>
  <c r="X11" i="134"/>
  <c r="X24" i="134"/>
  <c r="A45" i="12"/>
  <c r="A44" i="120"/>
  <c r="X23" i="134"/>
  <c r="AF60" i="58"/>
  <c r="U27" i="134"/>
  <c r="U28" i="134" s="1"/>
  <c r="L27" i="134"/>
  <c r="L28" i="134" s="1"/>
  <c r="M27" i="134"/>
  <c r="M28" i="134" s="1"/>
  <c r="N27" i="134"/>
  <c r="N28" i="134" s="1"/>
  <c r="R27" i="134"/>
  <c r="R28" i="134" s="1"/>
  <c r="Q27" i="134"/>
  <c r="Q28" i="134" s="1"/>
  <c r="S27" i="134"/>
  <c r="S28" i="134" s="1"/>
  <c r="J27" i="134"/>
  <c r="J28" i="134" s="1"/>
  <c r="F27" i="134"/>
  <c r="V27" i="134"/>
  <c r="V28" i="134" s="1"/>
  <c r="T27" i="134"/>
  <c r="T28" i="134" s="1"/>
  <c r="K27" i="134"/>
  <c r="K28" i="134" s="1"/>
  <c r="I27" i="134"/>
  <c r="I28" i="134" s="1"/>
  <c r="O27" i="134"/>
  <c r="O28" i="134" s="1"/>
  <c r="P27" i="134"/>
  <c r="P28" i="134" s="1"/>
  <c r="W27" i="134"/>
  <c r="W28" i="134" s="1"/>
  <c r="H27" i="134"/>
  <c r="H28" i="134" s="1"/>
  <c r="G27" i="134"/>
  <c r="G28" i="134" s="1"/>
  <c r="H104" i="120"/>
  <c r="O104" i="12"/>
  <c r="J105" i="120"/>
  <c r="O105" i="120"/>
  <c r="B175" i="12"/>
  <c r="M175" i="120"/>
  <c r="O111" i="120"/>
  <c r="J111" i="120"/>
  <c r="K91" i="58"/>
  <c r="O106" i="120"/>
  <c r="J106" i="120"/>
  <c r="AE123" i="58" l="1"/>
  <c r="X12" i="134"/>
  <c r="Y12" i="134" s="1"/>
  <c r="K142" i="58"/>
  <c r="AE95" i="58"/>
  <c r="AF95" i="58" s="1"/>
  <c r="AE31" i="60"/>
  <c r="F40" i="118" s="1"/>
  <c r="AE32" i="60"/>
  <c r="F42" i="118" s="1"/>
  <c r="AF66" i="58"/>
  <c r="H15" i="12"/>
  <c r="D16" i="122" s="1"/>
  <c r="H110" i="120"/>
  <c r="J110" i="120" s="1"/>
  <c r="J107" i="120"/>
  <c r="O107" i="120"/>
  <c r="H109" i="120"/>
  <c r="O109" i="12"/>
  <c r="N15" i="12" s="1"/>
  <c r="AE81" i="58"/>
  <c r="A46" i="12"/>
  <c r="A45" i="120"/>
  <c r="Z23" i="134"/>
  <c r="Y23" i="134"/>
  <c r="Y24" i="134"/>
  <c r="Y21" i="134"/>
  <c r="Z11" i="134"/>
  <c r="Y11" i="134"/>
  <c r="F28" i="134"/>
  <c r="X28" i="134" s="1"/>
  <c r="X27" i="134"/>
  <c r="K143" i="58"/>
  <c r="K215" i="58"/>
  <c r="K200" i="58"/>
  <c r="K201" i="58"/>
  <c r="O104" i="120"/>
  <c r="J104" i="120"/>
  <c r="B175" i="120"/>
  <c r="C175" i="12"/>
  <c r="D175" i="12"/>
  <c r="AE90" i="58"/>
  <c r="AF90" i="58" s="1"/>
  <c r="AE128" i="58" l="1"/>
  <c r="AE127" i="58"/>
  <c r="AE134" i="58"/>
  <c r="H144" i="12" s="1"/>
  <c r="H144" i="120" s="1"/>
  <c r="J144" i="120" s="1"/>
  <c r="AE126" i="58"/>
  <c r="Y9" i="134"/>
  <c r="AE91" i="58"/>
  <c r="AF91" i="58" s="1"/>
  <c r="AE96" i="58"/>
  <c r="AF96" i="58" s="1"/>
  <c r="AF31" i="60"/>
  <c r="AF32" i="60"/>
  <c r="M42" i="118"/>
  <c r="N42" i="118" s="1"/>
  <c r="F51" i="118"/>
  <c r="M40" i="118"/>
  <c r="H71" i="12" s="1"/>
  <c r="O110" i="120"/>
  <c r="C16" i="77"/>
  <c r="C19" i="39"/>
  <c r="H124" i="12"/>
  <c r="H124" i="120" s="1"/>
  <c r="J124" i="120" s="1"/>
  <c r="AF81" i="58"/>
  <c r="J109" i="120"/>
  <c r="O109" i="120"/>
  <c r="K121" i="58"/>
  <c r="A47" i="12"/>
  <c r="A46" i="120"/>
  <c r="Y27" i="134"/>
  <c r="Z27" i="134"/>
  <c r="Y28" i="134"/>
  <c r="Y25" i="134"/>
  <c r="AE201" i="58"/>
  <c r="H171" i="12" s="1"/>
  <c r="H171" i="120" s="1"/>
  <c r="J171" i="120" s="1"/>
  <c r="J170" i="120" s="1"/>
  <c r="AE200" i="58"/>
  <c r="H169" i="12" s="1"/>
  <c r="H169" i="120" s="1"/>
  <c r="J169" i="120" s="1"/>
  <c r="F175" i="120"/>
  <c r="G175" i="120"/>
  <c r="I175" i="120" s="1"/>
  <c r="J175" i="120" s="1"/>
  <c r="J174" i="120" s="1"/>
  <c r="D175" i="120"/>
  <c r="C175" i="120"/>
  <c r="AF134" i="58" l="1"/>
  <c r="AE137" i="58"/>
  <c r="H147" i="12" s="1"/>
  <c r="H147" i="120" s="1"/>
  <c r="J147" i="120" s="1"/>
  <c r="AE141" i="58"/>
  <c r="AE130" i="58"/>
  <c r="AE138" i="58"/>
  <c r="H148" i="12" s="1"/>
  <c r="H148" i="120" s="1"/>
  <c r="J148" i="120" s="1"/>
  <c r="AE129" i="58"/>
  <c r="AE139" i="58"/>
  <c r="H149" i="12" s="1"/>
  <c r="H149" i="120" s="1"/>
  <c r="J149" i="120" s="1"/>
  <c r="C19" i="134"/>
  <c r="N40" i="118"/>
  <c r="N15" i="120"/>
  <c r="O71" i="12"/>
  <c r="H71" i="120"/>
  <c r="M51" i="118"/>
  <c r="N51" i="118" s="1"/>
  <c r="F52" i="118"/>
  <c r="A47" i="120"/>
  <c r="A48" i="12"/>
  <c r="AF200" i="58"/>
  <c r="AF201" i="58"/>
  <c r="AF138" i="58" l="1"/>
  <c r="AF137" i="58"/>
  <c r="AF139" i="58"/>
  <c r="AF141" i="58"/>
  <c r="AE131" i="58"/>
  <c r="AE140" i="58"/>
  <c r="AE204" i="58"/>
  <c r="AF204" i="58" s="1"/>
  <c r="M52" i="118"/>
  <c r="H88" i="12" s="1"/>
  <c r="H88" i="120" s="1"/>
  <c r="J88" i="120" s="1"/>
  <c r="F69" i="118"/>
  <c r="O71" i="120"/>
  <c r="J71" i="120"/>
  <c r="N14" i="12"/>
  <c r="C15" i="39"/>
  <c r="A49" i="12"/>
  <c r="A48" i="120"/>
  <c r="H152" i="120"/>
  <c r="J152" i="120" s="1"/>
  <c r="H153" i="120"/>
  <c r="J153" i="120" s="1"/>
  <c r="N52" i="118" l="1"/>
  <c r="H177" i="12"/>
  <c r="M177" i="12" s="1"/>
  <c r="H165" i="12"/>
  <c r="H165" i="120" s="1"/>
  <c r="J165" i="120" s="1"/>
  <c r="AE132" i="58"/>
  <c r="AE121" i="58" s="1"/>
  <c r="AE142" i="58"/>
  <c r="H150" i="12" s="1"/>
  <c r="H150" i="120" s="1"/>
  <c r="J150" i="120" s="1"/>
  <c r="AF140" i="58"/>
  <c r="H177" i="120"/>
  <c r="N14" i="120"/>
  <c r="C15" i="134"/>
  <c r="F70" i="118"/>
  <c r="F74" i="118"/>
  <c r="M74" i="118" s="1"/>
  <c r="N74" i="118" s="1"/>
  <c r="M69" i="118"/>
  <c r="N69" i="118" s="1"/>
  <c r="A49" i="120"/>
  <c r="A50" i="12"/>
  <c r="B177" i="12"/>
  <c r="M177" i="120"/>
  <c r="AF142" i="58" l="1"/>
  <c r="AE143" i="58"/>
  <c r="H151" i="12" s="1"/>
  <c r="H151" i="120" s="1"/>
  <c r="J151" i="120" s="1"/>
  <c r="M70" i="118"/>
  <c r="H94" i="12" s="1"/>
  <c r="A50" i="120"/>
  <c r="A51" i="12"/>
  <c r="C177" i="12"/>
  <c r="D177" i="12"/>
  <c r="B177" i="120"/>
  <c r="AF143" i="58" l="1"/>
  <c r="N70" i="118"/>
  <c r="H94" i="120"/>
  <c r="M94" i="12"/>
  <c r="A52" i="12"/>
  <c r="A51" i="120"/>
  <c r="D177" i="120"/>
  <c r="G177" i="120"/>
  <c r="I177" i="120" s="1"/>
  <c r="J177" i="120" s="1"/>
  <c r="F177" i="120"/>
  <c r="C177" i="120"/>
  <c r="B94" i="12" l="1"/>
  <c r="M94" i="120"/>
  <c r="A52" i="120"/>
  <c r="A53" i="12"/>
  <c r="J176" i="120"/>
  <c r="J100" i="120" s="1"/>
  <c r="C94" i="12" l="1"/>
  <c r="D94" i="12"/>
  <c r="B94" i="120"/>
  <c r="L151" i="120"/>
  <c r="L109" i="120"/>
  <c r="L113" i="120"/>
  <c r="J182" i="120"/>
  <c r="L155" i="120"/>
  <c r="L165" i="120"/>
  <c r="L162" i="120"/>
  <c r="L110" i="120"/>
  <c r="J15" i="120"/>
  <c r="L106" i="120"/>
  <c r="L148" i="120"/>
  <c r="L171" i="120"/>
  <c r="L133" i="120"/>
  <c r="L118" i="120"/>
  <c r="L104" i="120"/>
  <c r="L103" i="120"/>
  <c r="L132" i="120"/>
  <c r="L145" i="120"/>
  <c r="L102" i="120"/>
  <c r="L129" i="120"/>
  <c r="L126" i="120"/>
  <c r="L153" i="120"/>
  <c r="L137" i="120"/>
  <c r="L143" i="120"/>
  <c r="L159" i="120"/>
  <c r="L138" i="120"/>
  <c r="L157" i="120"/>
  <c r="L123" i="120"/>
  <c r="L114" i="120"/>
  <c r="L156" i="120"/>
  <c r="L108" i="120"/>
  <c r="L168" i="120"/>
  <c r="L117" i="120"/>
  <c r="L161" i="120"/>
  <c r="L134" i="120"/>
  <c r="L144" i="120"/>
  <c r="L136" i="120"/>
  <c r="L128" i="120"/>
  <c r="L175" i="120"/>
  <c r="L100" i="120"/>
  <c r="L107" i="120"/>
  <c r="L101" i="120"/>
  <c r="L154" i="120"/>
  <c r="L105" i="120"/>
  <c r="L119" i="120"/>
  <c r="L166" i="120"/>
  <c r="L131" i="120"/>
  <c r="L121" i="120"/>
  <c r="L169" i="120"/>
  <c r="L152" i="120"/>
  <c r="L130" i="120"/>
  <c r="L147" i="120"/>
  <c r="L139" i="120"/>
  <c r="L163" i="120"/>
  <c r="L122" i="120"/>
  <c r="L173" i="120"/>
  <c r="L181" i="120"/>
  <c r="L111" i="120"/>
  <c r="L167" i="120"/>
  <c r="L146" i="120"/>
  <c r="L125" i="120"/>
  <c r="L149" i="120"/>
  <c r="L135" i="120"/>
  <c r="L179" i="120"/>
  <c r="L120" i="120"/>
  <c r="L116" i="120"/>
  <c r="L112" i="120"/>
  <c r="L158" i="120"/>
  <c r="L160" i="120"/>
  <c r="L124" i="120"/>
  <c r="L150" i="120"/>
  <c r="L141" i="120"/>
  <c r="L115" i="120"/>
  <c r="L142" i="120"/>
  <c r="L164" i="120"/>
  <c r="L140" i="120"/>
  <c r="L127" i="120"/>
  <c r="L177" i="120"/>
  <c r="A54" i="12"/>
  <c r="A53" i="120"/>
  <c r="C94" i="120" l="1"/>
  <c r="G94" i="120"/>
  <c r="I94" i="120" s="1"/>
  <c r="J94" i="120" s="1"/>
  <c r="F94" i="120"/>
  <c r="D94" i="120"/>
  <c r="D18" i="134"/>
  <c r="L15" i="120"/>
  <c r="G16" i="122"/>
  <c r="A54" i="120"/>
  <c r="A55" i="12"/>
  <c r="J93" i="120" l="1"/>
  <c r="G19" i="134"/>
  <c r="M19" i="134"/>
  <c r="M20" i="134" s="1"/>
  <c r="S19" i="134"/>
  <c r="Q19" i="134"/>
  <c r="Q20" i="134" s="1"/>
  <c r="K19" i="134"/>
  <c r="K20" i="134" s="1"/>
  <c r="N19" i="134"/>
  <c r="T19" i="134"/>
  <c r="V19" i="134"/>
  <c r="F19" i="134"/>
  <c r="U19" i="134"/>
  <c r="O19" i="134"/>
  <c r="L19" i="134"/>
  <c r="I19" i="134"/>
  <c r="R19" i="134"/>
  <c r="H19" i="134"/>
  <c r="P19" i="134"/>
  <c r="J19" i="134"/>
  <c r="W19" i="134"/>
  <c r="G20" i="134"/>
  <c r="A56" i="12"/>
  <c r="A55" i="120"/>
  <c r="U20" i="134" l="1"/>
  <c r="R20" i="134"/>
  <c r="V20" i="134"/>
  <c r="I20" i="134"/>
  <c r="T20" i="134"/>
  <c r="W20" i="134"/>
  <c r="H20" i="134"/>
  <c r="O20" i="134"/>
  <c r="S20" i="134"/>
  <c r="P20" i="134"/>
  <c r="L20" i="134"/>
  <c r="J20" i="134"/>
  <c r="N20" i="134"/>
  <c r="J63" i="120"/>
  <c r="X19" i="134"/>
  <c r="F20" i="134"/>
  <c r="A57" i="12"/>
  <c r="A56" i="120"/>
  <c r="X20" i="134" l="1"/>
  <c r="Y17" i="134" s="1"/>
  <c r="L76" i="120"/>
  <c r="L64" i="120"/>
  <c r="L84" i="120"/>
  <c r="J99" i="120"/>
  <c r="L72" i="120"/>
  <c r="L98" i="120"/>
  <c r="L63" i="120"/>
  <c r="L65" i="120"/>
  <c r="L90" i="120"/>
  <c r="L87" i="120"/>
  <c r="L82" i="120"/>
  <c r="J14" i="120"/>
  <c r="L78" i="120"/>
  <c r="L89" i="120"/>
  <c r="L79" i="120"/>
  <c r="L86" i="120"/>
  <c r="L77" i="120"/>
  <c r="L68" i="120"/>
  <c r="L80" i="120"/>
  <c r="L74" i="120"/>
  <c r="L83" i="120"/>
  <c r="L96" i="120"/>
  <c r="L81" i="120"/>
  <c r="L85" i="120"/>
  <c r="L73" i="120"/>
  <c r="L75" i="120"/>
  <c r="L66" i="120"/>
  <c r="L92" i="120"/>
  <c r="L69" i="120"/>
  <c r="L70" i="120"/>
  <c r="L67" i="120"/>
  <c r="L71" i="120"/>
  <c r="L88" i="120"/>
  <c r="L94" i="120"/>
  <c r="Y19" i="134"/>
  <c r="Z19" i="134"/>
  <c r="A57" i="120"/>
  <c r="A59" i="12"/>
  <c r="Y20" i="134" l="1"/>
  <c r="G15" i="122"/>
  <c r="D14" i="134"/>
  <c r="L14" i="120"/>
  <c r="A59" i="120"/>
  <c r="A63" i="120" s="1"/>
  <c r="A61" i="12"/>
  <c r="A61" i="120" l="1"/>
  <c r="F15" i="134"/>
  <c r="F87" i="134" s="1"/>
  <c r="K15" i="134"/>
  <c r="I15" i="134"/>
  <c r="U15" i="134"/>
  <c r="S15" i="134"/>
  <c r="Q15" i="134"/>
  <c r="N15" i="134"/>
  <c r="P15" i="134"/>
  <c r="J15" i="134"/>
  <c r="M15" i="134"/>
  <c r="T15" i="134"/>
  <c r="L15" i="134"/>
  <c r="O15" i="134"/>
  <c r="W15" i="134"/>
  <c r="H15" i="134"/>
  <c r="G15" i="134"/>
  <c r="R15" i="134"/>
  <c r="V15" i="134"/>
  <c r="I63" i="120"/>
  <c r="B14" i="120"/>
  <c r="A13" i="134" s="1"/>
  <c r="V16" i="134" l="1"/>
  <c r="V89" i="134" s="1"/>
  <c r="V87" i="134"/>
  <c r="O16" i="134"/>
  <c r="O89" i="134" s="1"/>
  <c r="O87" i="134"/>
  <c r="J16" i="134"/>
  <c r="J89" i="134" s="1"/>
  <c r="J87" i="134"/>
  <c r="N16" i="134"/>
  <c r="N89" i="134" s="1"/>
  <c r="N87" i="134"/>
  <c r="S16" i="134"/>
  <c r="S89" i="134" s="1"/>
  <c r="S87" i="134"/>
  <c r="U16" i="134"/>
  <c r="U89" i="134" s="1"/>
  <c r="U87" i="134"/>
  <c r="G16" i="134"/>
  <c r="G89" i="134" s="1"/>
  <c r="G87" i="134"/>
  <c r="L16" i="134"/>
  <c r="L89" i="134" s="1"/>
  <c r="L87" i="134"/>
  <c r="I16" i="134"/>
  <c r="I89" i="134" s="1"/>
  <c r="I87" i="134"/>
  <c r="R16" i="134"/>
  <c r="R89" i="134" s="1"/>
  <c r="R87" i="134"/>
  <c r="T16" i="134"/>
  <c r="T89" i="134" s="1"/>
  <c r="T87" i="134"/>
  <c r="H16" i="134"/>
  <c r="H89" i="134" s="1"/>
  <c r="H87" i="134"/>
  <c r="W16" i="134"/>
  <c r="W89" i="134" s="1"/>
  <c r="W87" i="134"/>
  <c r="M16" i="134"/>
  <c r="M89" i="134" s="1"/>
  <c r="M87" i="134"/>
  <c r="P16" i="134"/>
  <c r="P89" i="134" s="1"/>
  <c r="P87" i="134"/>
  <c r="Q16" i="134"/>
  <c r="Q89" i="134" s="1"/>
  <c r="Q87" i="134"/>
  <c r="K16" i="134"/>
  <c r="K89" i="134" s="1"/>
  <c r="K87" i="134"/>
  <c r="F16" i="134"/>
  <c r="X15" i="134"/>
  <c r="X16" i="134" l="1"/>
  <c r="F89" i="134"/>
  <c r="Y15" i="134"/>
  <c r="Z15" i="134"/>
  <c r="Y13" i="134"/>
  <c r="Y16" i="134"/>
  <c r="J930" i="120"/>
  <c r="K759" i="120" l="1"/>
  <c r="K894" i="120"/>
  <c r="K574" i="120"/>
  <c r="K641" i="120"/>
  <c r="K836" i="120"/>
  <c r="K39" i="120"/>
  <c r="K616" i="120"/>
  <c r="K353" i="120"/>
  <c r="K206" i="120"/>
  <c r="K610" i="120"/>
  <c r="K339" i="120"/>
  <c r="K550" i="120"/>
  <c r="K104" i="120"/>
  <c r="K208" i="120"/>
  <c r="K626" i="120"/>
  <c r="K265" i="120"/>
  <c r="K389" i="120"/>
  <c r="K914" i="120"/>
  <c r="K277" i="120"/>
  <c r="K286" i="120"/>
  <c r="K797" i="120"/>
  <c r="K114" i="120"/>
  <c r="K523" i="120"/>
  <c r="K525" i="120"/>
  <c r="K916" i="120"/>
  <c r="K647" i="120"/>
  <c r="K190" i="120"/>
  <c r="K234" i="120"/>
  <c r="K299" i="120"/>
  <c r="K596" i="120"/>
  <c r="K305" i="120"/>
  <c r="K602" i="120"/>
  <c r="K288" i="120"/>
  <c r="K895" i="120"/>
  <c r="K144" i="120"/>
  <c r="K267" i="120"/>
  <c r="K516" i="120"/>
  <c r="K329" i="120"/>
  <c r="K393" i="120"/>
  <c r="K242" i="120"/>
  <c r="K899" i="120"/>
  <c r="K158" i="120"/>
  <c r="K70" i="120"/>
  <c r="K361" i="120"/>
  <c r="K204" i="120"/>
  <c r="K632" i="120"/>
  <c r="K564" i="120"/>
  <c r="K256" i="120"/>
  <c r="K101" i="120"/>
  <c r="K462" i="120"/>
  <c r="K689" i="120"/>
  <c r="K107" i="120"/>
  <c r="K294" i="120"/>
  <c r="K18" i="120" s="1"/>
  <c r="M18" i="120" s="1"/>
  <c r="K259" i="120"/>
  <c r="K800" i="120"/>
  <c r="K56" i="120"/>
  <c r="K764" i="120"/>
  <c r="K310" i="120"/>
  <c r="K258" i="120"/>
  <c r="K378" i="120"/>
  <c r="K80" i="120"/>
  <c r="K892" i="120"/>
  <c r="K66" i="120"/>
  <c r="K590" i="120"/>
  <c r="K249" i="120"/>
  <c r="K507" i="120"/>
  <c r="K858" i="120"/>
  <c r="K29" i="120" s="1"/>
  <c r="M29" i="120" s="1"/>
  <c r="K355" i="120"/>
  <c r="K461" i="120"/>
  <c r="K705" i="120"/>
  <c r="K674" i="120"/>
  <c r="K271" i="120"/>
  <c r="K854" i="120"/>
  <c r="K808" i="120"/>
  <c r="K587" i="120"/>
  <c r="K130" i="120"/>
  <c r="K75" i="120"/>
  <c r="K911" i="120"/>
  <c r="K540" i="120"/>
  <c r="K498" i="120"/>
  <c r="K730" i="120"/>
  <c r="K123" i="120"/>
  <c r="K362" i="120"/>
  <c r="K740" i="120"/>
  <c r="K84" i="120"/>
  <c r="K131" i="120"/>
  <c r="K76" i="120"/>
  <c r="K263" i="120"/>
  <c r="K635" i="120"/>
  <c r="K775" i="120"/>
  <c r="K816" i="120"/>
  <c r="K431" i="120"/>
  <c r="K312" i="120"/>
  <c r="K282" i="120"/>
  <c r="K37" i="120"/>
  <c r="K809" i="120"/>
  <c r="K722" i="120"/>
  <c r="K43" i="120"/>
  <c r="K633" i="120"/>
  <c r="K494" i="120"/>
  <c r="K812" i="120"/>
  <c r="K90" i="120"/>
  <c r="K828" i="120"/>
  <c r="K691" i="120"/>
  <c r="K370" i="120"/>
  <c r="K645" i="120"/>
  <c r="K25" i="120" s="1"/>
  <c r="M25" i="120" s="1"/>
  <c r="K49" i="120"/>
  <c r="K754" i="120"/>
  <c r="K762" i="120"/>
  <c r="K465" i="120"/>
  <c r="K147" i="120"/>
  <c r="K236" i="120"/>
  <c r="K394" i="120"/>
  <c r="K512" i="120"/>
  <c r="K922" i="120"/>
  <c r="K454" i="120"/>
  <c r="K251" i="120"/>
  <c r="K330" i="120"/>
  <c r="K216" i="120"/>
  <c r="K341" i="120"/>
  <c r="K254" i="120"/>
  <c r="K663" i="120"/>
  <c r="K87" i="120"/>
  <c r="K138" i="120"/>
  <c r="K628" i="120"/>
  <c r="K68" i="120"/>
  <c r="K349" i="120"/>
  <c r="K777" i="120"/>
  <c r="K161" i="120"/>
  <c r="K63" i="120"/>
  <c r="K14" i="120" s="1"/>
  <c r="M14" i="120" s="1"/>
  <c r="K778" i="120"/>
  <c r="K671" i="120"/>
  <c r="K89" i="120"/>
  <c r="K810" i="120"/>
  <c r="K414" i="120"/>
  <c r="K42" i="120"/>
  <c r="K401" i="120"/>
  <c r="K637" i="120"/>
  <c r="K578" i="120"/>
  <c r="K238" i="120"/>
  <c r="K128" i="120"/>
  <c r="K205" i="120"/>
  <c r="K425" i="120"/>
  <c r="K217" i="120"/>
  <c r="K656" i="120"/>
  <c r="K275" i="120"/>
  <c r="K742" i="120"/>
  <c r="K522" i="120"/>
  <c r="K379" i="120"/>
  <c r="K822" i="120"/>
  <c r="K476" i="120"/>
  <c r="K371" i="120"/>
  <c r="K369" i="120"/>
  <c r="K83" i="120"/>
  <c r="K548" i="120"/>
  <c r="K905" i="120"/>
  <c r="K781" i="120"/>
  <c r="K368" i="120"/>
  <c r="K142" i="120"/>
  <c r="K919" i="120"/>
  <c r="K94" i="120"/>
  <c r="K752" i="120"/>
  <c r="K27" i="120" s="1"/>
  <c r="M27" i="120" s="1"/>
  <c r="K456" i="120"/>
  <c r="K798" i="120"/>
  <c r="K586" i="120"/>
  <c r="K900" i="120"/>
  <c r="K55" i="120"/>
  <c r="K109" i="120"/>
  <c r="K231" i="120"/>
  <c r="K655" i="120"/>
  <c r="K350" i="120"/>
  <c r="K813" i="120"/>
  <c r="K823" i="120"/>
  <c r="K35" i="120"/>
  <c r="K484" i="120"/>
  <c r="K806" i="120"/>
  <c r="K440" i="120"/>
  <c r="K817" i="120"/>
  <c r="K266" i="120"/>
  <c r="K757" i="120"/>
  <c r="K318" i="120"/>
  <c r="K891" i="120"/>
  <c r="K31" i="120" s="1"/>
  <c r="M31" i="120" s="1"/>
  <c r="K927" i="120"/>
  <c r="K460" i="120"/>
  <c r="K281" i="120"/>
  <c r="K82" i="120"/>
  <c r="K652" i="120"/>
  <c r="K562" i="120"/>
  <c r="K924" i="120"/>
  <c r="K802" i="120"/>
  <c r="K530" i="120"/>
  <c r="K105" i="120"/>
  <c r="K340" i="120"/>
  <c r="K834" i="120"/>
  <c r="K381" i="120"/>
  <c r="K356" i="120"/>
  <c r="K852" i="120"/>
  <c r="K321" i="120"/>
  <c r="K344" i="120"/>
  <c r="K380" i="120"/>
  <c r="K819" i="120"/>
  <c r="K546" i="120"/>
  <c r="K728" i="120"/>
  <c r="K110" i="120"/>
  <c r="K297" i="120"/>
  <c r="K826" i="120"/>
  <c r="K659" i="120"/>
  <c r="K358" i="120"/>
  <c r="K146" i="120"/>
  <c r="K157" i="120"/>
  <c r="K416" i="120"/>
  <c r="K582" i="120"/>
  <c r="K23" i="120" s="1"/>
  <c r="M23" i="120" s="1"/>
  <c r="K662" i="120"/>
  <c r="K420" i="120"/>
  <c r="K211" i="120"/>
  <c r="K175" i="120"/>
  <c r="K222" i="120"/>
  <c r="K164" i="120"/>
  <c r="K558" i="120"/>
  <c r="K360" i="120"/>
  <c r="K377" i="120"/>
  <c r="K606" i="120"/>
  <c r="K427" i="120"/>
  <c r="K792" i="120"/>
  <c r="K539" i="120"/>
  <c r="K913" i="120"/>
  <c r="K669" i="120"/>
  <c r="K734" i="120"/>
  <c r="K54" i="120"/>
  <c r="K928" i="120"/>
  <c r="K631" i="120"/>
  <c r="K214" i="120"/>
  <c r="K41" i="120"/>
  <c r="K422" i="120"/>
  <c r="K326" i="120"/>
  <c r="K382" i="120"/>
  <c r="K448" i="120"/>
  <c r="K21" i="120" s="1"/>
  <c r="M21" i="120" s="1"/>
  <c r="K468" i="120"/>
  <c r="K770" i="120"/>
  <c r="K459" i="120"/>
  <c r="K347" i="120"/>
  <c r="K760" i="120"/>
  <c r="K474" i="120"/>
  <c r="K490" i="120"/>
  <c r="K618" i="120"/>
  <c r="K646" i="120"/>
  <c r="K78" i="120"/>
  <c r="K532" i="120"/>
  <c r="K737" i="120"/>
  <c r="K782" i="120"/>
  <c r="K850" i="120"/>
  <c r="K411" i="120"/>
  <c r="K247" i="120"/>
  <c r="K435" i="120"/>
  <c r="K38" i="120"/>
  <c r="K395" i="120"/>
  <c r="K449" i="120"/>
  <c r="K307" i="120"/>
  <c r="K848" i="120"/>
  <c r="K583" i="120"/>
  <c r="K472" i="120"/>
  <c r="K96" i="120"/>
  <c r="K572" i="120"/>
  <c r="K366" i="120"/>
  <c r="K594" i="120"/>
  <c r="K667" i="120"/>
  <c r="K824" i="120"/>
  <c r="K830" i="120"/>
  <c r="K763" i="120"/>
  <c r="K336" i="120"/>
  <c r="K113" i="120"/>
  <c r="K218" i="120"/>
  <c r="K424" i="120"/>
  <c r="K156" i="120"/>
  <c r="K112" i="120"/>
  <c r="K433" i="120"/>
  <c r="K74" i="120"/>
  <c r="K219" i="120"/>
  <c r="K372" i="120"/>
  <c r="K268" i="120"/>
  <c r="K314" i="120"/>
  <c r="K19" i="120" s="1"/>
  <c r="M19" i="120" s="1"/>
  <c r="K920" i="120"/>
  <c r="K436" i="120"/>
  <c r="K61" i="120"/>
  <c r="K657" i="120"/>
  <c r="K223" i="120"/>
  <c r="K337" i="120"/>
  <c r="K683" i="120"/>
  <c r="K124" i="120"/>
  <c r="K317" i="120"/>
  <c r="K838" i="120"/>
  <c r="K92" i="120"/>
  <c r="K215" i="120"/>
  <c r="K756" i="120"/>
  <c r="K151" i="120"/>
  <c r="K805" i="120"/>
  <c r="K568" i="120"/>
  <c r="K246" i="120"/>
  <c r="K786" i="120"/>
  <c r="K608" i="120"/>
  <c r="K803" i="120"/>
  <c r="K364" i="120"/>
  <c r="K651" i="120"/>
  <c r="K534" i="120"/>
  <c r="K743" i="120"/>
  <c r="K519" i="120"/>
  <c r="K825" i="120"/>
  <c r="K709" i="120"/>
  <c r="K794" i="120"/>
  <c r="K252" i="120"/>
  <c r="K840" i="120"/>
  <c r="K452" i="120"/>
  <c r="K649" i="120"/>
  <c r="K139" i="120"/>
  <c r="K665" i="120"/>
  <c r="K450" i="120"/>
  <c r="K304" i="120"/>
  <c r="K320" i="120"/>
  <c r="K925" i="120"/>
  <c r="K629" i="120"/>
  <c r="K627" i="120"/>
  <c r="K768" i="120"/>
  <c r="K896" i="120"/>
  <c r="K697" i="120"/>
  <c r="K279" i="120"/>
  <c r="K300" i="120"/>
  <c r="K169" i="120"/>
  <c r="K419" i="120"/>
  <c r="K917" i="120"/>
  <c r="K672" i="120"/>
  <c r="K295" i="120"/>
  <c r="K908" i="120"/>
  <c r="K189" i="120"/>
  <c r="K729" i="120"/>
  <c r="K492" i="120"/>
  <c r="K776" i="120"/>
  <c r="K536" i="120"/>
  <c r="K150" i="120"/>
  <c r="K311" i="120"/>
  <c r="K556" i="120"/>
  <c r="K48" i="120"/>
  <c r="K375" i="120"/>
  <c r="K212" i="120"/>
  <c r="K434" i="120"/>
  <c r="K533" i="120"/>
  <c r="K357" i="120"/>
  <c r="K648" i="120"/>
  <c r="K625" i="120"/>
  <c r="K285" i="120"/>
  <c r="K232" i="120"/>
  <c r="K384" i="120"/>
  <c r="K902" i="120"/>
  <c r="K661" i="120"/>
  <c r="K188" i="120"/>
  <c r="K488" i="120"/>
  <c r="K744" i="120"/>
  <c r="K224" i="120"/>
  <c r="K129" i="120"/>
  <c r="K736" i="120"/>
  <c r="K502" i="120"/>
  <c r="K145" i="120"/>
  <c r="K210" i="120"/>
  <c r="K292" i="120"/>
  <c r="K888" i="120"/>
  <c r="K30" i="120" s="1"/>
  <c r="M30" i="120" s="1"/>
  <c r="K521" i="120"/>
  <c r="K417" i="120"/>
  <c r="K308" i="120"/>
  <c r="K889" i="120"/>
  <c r="J19" i="121" s="1"/>
  <c r="K893" i="120"/>
  <c r="K117" i="120"/>
  <c r="K796" i="120"/>
  <c r="K28" i="120" s="1"/>
  <c r="M28" i="120" s="1"/>
  <c r="K257" i="120"/>
  <c r="K306" i="120"/>
  <c r="K482" i="120"/>
  <c r="K122" i="120"/>
  <c r="K731" i="120"/>
  <c r="K81" i="120"/>
  <c r="K761" i="120"/>
  <c r="K173" i="120"/>
  <c r="K163" i="120"/>
  <c r="K40" i="120"/>
  <c r="K351" i="120"/>
  <c r="K392" i="120"/>
  <c r="K438" i="120"/>
  <c r="K537" i="120"/>
  <c r="K658" i="120"/>
  <c r="K186" i="120"/>
  <c r="K332" i="120"/>
  <c r="K703" i="120"/>
  <c r="K758" i="120"/>
  <c r="K331" i="120"/>
  <c r="K788" i="120"/>
  <c r="K390" i="120"/>
  <c r="K290" i="120"/>
  <c r="K280" i="120"/>
  <c r="K560" i="120"/>
  <c r="K679" i="120"/>
  <c r="K250" i="120"/>
  <c r="K639" i="120"/>
  <c r="K597" i="120"/>
  <c r="K302" i="120"/>
  <c r="K780" i="120"/>
  <c r="K233" i="120"/>
  <c r="K77" i="120"/>
  <c r="K725" i="120"/>
  <c r="K748" i="120"/>
  <c r="K670" i="120"/>
  <c r="K554" i="120"/>
  <c r="K769" i="120"/>
  <c r="K287" i="120"/>
  <c r="K184" i="120"/>
  <c r="K52" i="120"/>
  <c r="K196" i="120"/>
  <c r="K774" i="120"/>
  <c r="K595" i="120"/>
  <c r="K240" i="120"/>
  <c r="K387" i="120"/>
  <c r="K115" i="120"/>
  <c r="K64" i="120"/>
  <c r="K137" i="120"/>
  <c r="K552" i="120"/>
  <c r="K85" i="120"/>
  <c r="K46" i="120"/>
  <c r="K221" i="120"/>
  <c r="K229" i="120"/>
  <c r="K273" i="120"/>
  <c r="K767" i="120"/>
  <c r="K612" i="120"/>
  <c r="K732" i="120"/>
  <c r="K801" i="120"/>
  <c r="K407" i="120"/>
  <c r="K765" i="120"/>
  <c r="K750" i="120"/>
  <c r="K202" i="120"/>
  <c r="K154" i="120"/>
  <c r="K374" i="120"/>
  <c r="K274" i="120"/>
  <c r="K323" i="120"/>
  <c r="K446" i="120"/>
  <c r="K531" i="120"/>
  <c r="K910" i="120"/>
  <c r="K527" i="120"/>
  <c r="K149" i="120"/>
  <c r="K51" i="120"/>
  <c r="K430" i="120"/>
  <c r="K227" i="120"/>
  <c r="K413" i="120"/>
  <c r="K20" i="120" s="1"/>
  <c r="M20" i="120" s="1"/>
  <c r="K53" i="120"/>
  <c r="K47" i="120"/>
  <c r="K715" i="120"/>
  <c r="K721" i="120"/>
  <c r="K766" i="120"/>
  <c r="K388" i="120"/>
  <c r="K148" i="120"/>
  <c r="K171" i="120"/>
  <c r="K733" i="120"/>
  <c r="K262" i="120"/>
  <c r="K194" i="120"/>
  <c r="K514" i="120"/>
  <c r="K127" i="120"/>
  <c r="K165" i="120"/>
  <c r="K518" i="120"/>
  <c r="K842" i="120"/>
  <c r="K383" i="120"/>
  <c r="K470" i="120"/>
  <c r="K296" i="120"/>
  <c r="K160" i="120"/>
  <c r="K207" i="120"/>
  <c r="K209" i="120"/>
  <c r="K177" i="120"/>
  <c r="K442" i="120"/>
  <c r="K166" i="120"/>
  <c r="K140" i="120"/>
  <c r="K98" i="120"/>
  <c r="K67" i="120"/>
  <c r="K45" i="120"/>
  <c r="K591" i="120"/>
  <c r="K261" i="120"/>
  <c r="K135" i="120"/>
  <c r="K907" i="120"/>
  <c r="K509" i="120"/>
  <c r="K926" i="120"/>
  <c r="K814" i="120"/>
  <c r="K303" i="120"/>
  <c r="K500" i="120"/>
  <c r="K132" i="120"/>
  <c r="K713" i="120"/>
  <c r="K199" i="120"/>
  <c r="K901" i="120"/>
  <c r="K409" i="120"/>
  <c r="K711" i="120"/>
  <c r="K930" i="120"/>
  <c r="K143" i="120"/>
  <c r="K566" i="120"/>
  <c r="K466" i="120"/>
  <c r="K677" i="120"/>
  <c r="K181" i="120"/>
  <c r="K726" i="120"/>
  <c r="K201" i="120"/>
  <c r="K739" i="120"/>
  <c r="K155" i="120"/>
  <c r="K108" i="120"/>
  <c r="K906" i="120"/>
  <c r="K526" i="120"/>
  <c r="K701" i="120"/>
  <c r="K342" i="120"/>
  <c r="K753" i="120"/>
  <c r="K367" i="120"/>
  <c r="K773" i="120"/>
  <c r="K338" i="120"/>
  <c r="K191" i="120"/>
  <c r="K245" i="120"/>
  <c r="K544" i="120"/>
  <c r="K228" i="120"/>
  <c r="K673" i="120"/>
  <c r="K335" i="120"/>
  <c r="K455" i="120"/>
  <c r="K529" i="120"/>
  <c r="K668" i="120"/>
  <c r="K720" i="120"/>
  <c r="K600" i="120"/>
  <c r="K136" i="120"/>
  <c r="K724" i="120"/>
  <c r="K193" i="120"/>
  <c r="K59" i="120"/>
  <c r="K359" i="120"/>
  <c r="K103" i="120"/>
  <c r="K844" i="120"/>
  <c r="K34" i="120"/>
  <c r="K13" i="120" s="1"/>
  <c r="K159" i="120"/>
  <c r="K915" i="120"/>
  <c r="K102" i="120"/>
  <c r="K804" i="120"/>
  <c r="K727" i="120"/>
  <c r="K738" i="120"/>
  <c r="K426" i="120"/>
  <c r="K660" i="120"/>
  <c r="K784" i="120"/>
  <c r="K755" i="120"/>
  <c r="K912" i="120"/>
  <c r="K125" i="120"/>
  <c r="K153" i="120"/>
  <c r="K699" i="120"/>
  <c r="K152" i="120"/>
  <c r="K717" i="120"/>
  <c r="K592" i="120"/>
  <c r="K65" i="120"/>
  <c r="K815" i="120"/>
  <c r="K478" i="120"/>
  <c r="K126" i="120"/>
  <c r="K741" i="120"/>
  <c r="K643" i="120"/>
  <c r="K904" i="120"/>
  <c r="K693" i="120"/>
  <c r="K200" i="120"/>
  <c r="K771" i="120"/>
  <c r="K746" i="120"/>
  <c r="K44" i="120"/>
  <c r="K167" i="120"/>
  <c r="K405" i="120"/>
  <c r="K432" i="120"/>
  <c r="K675" i="120"/>
  <c r="K451" i="120"/>
  <c r="K198" i="120"/>
  <c r="K510" i="120"/>
  <c r="K614" i="120"/>
  <c r="K707" i="120"/>
  <c r="K179" i="120"/>
  <c r="K664" i="120"/>
  <c r="K352" i="120"/>
  <c r="K685" i="120"/>
  <c r="K538" i="120"/>
  <c r="K735" i="120"/>
  <c r="K398" i="120"/>
  <c r="K506" i="120"/>
  <c r="K22" i="120" s="1"/>
  <c r="M22" i="120" s="1"/>
  <c r="K598" i="120"/>
  <c r="K396" i="120"/>
  <c r="K585" i="120"/>
  <c r="K695" i="120"/>
  <c r="K334" i="120"/>
  <c r="K428" i="120"/>
  <c r="K622" i="120"/>
  <c r="K570" i="120"/>
  <c r="K418" i="120"/>
  <c r="K168" i="120"/>
  <c r="K588" i="120"/>
  <c r="K225" i="120"/>
  <c r="K480" i="120"/>
  <c r="K654" i="120"/>
  <c r="K298" i="120"/>
  <c r="K719" i="120"/>
  <c r="K26" i="120" s="1"/>
  <c r="M26" i="120" s="1"/>
  <c r="K528" i="120"/>
  <c r="K397" i="120"/>
  <c r="K898" i="120"/>
  <c r="K162" i="120"/>
  <c r="K354" i="120"/>
  <c r="K923" i="120"/>
  <c r="K589" i="120"/>
  <c r="K650" i="120"/>
  <c r="K88" i="120"/>
  <c r="K241" i="120"/>
  <c r="K253" i="120"/>
  <c r="K403" i="120"/>
  <c r="K687" i="120"/>
  <c r="K36" i="120"/>
  <c r="K118" i="120"/>
  <c r="K71" i="120"/>
  <c r="K897" i="120"/>
  <c r="K832" i="120"/>
  <c r="K244" i="120"/>
  <c r="K17" i="120" s="1"/>
  <c r="M17" i="120" s="1"/>
  <c r="K57" i="120"/>
  <c r="K458" i="120"/>
  <c r="K272" i="120"/>
  <c r="K576" i="120"/>
  <c r="K437" i="120"/>
  <c r="K133" i="120"/>
  <c r="K542" i="120"/>
  <c r="K301" i="120"/>
  <c r="K790" i="120"/>
  <c r="K535" i="120"/>
  <c r="K818" i="120"/>
  <c r="K620" i="120"/>
  <c r="K745" i="120"/>
  <c r="K69" i="120"/>
  <c r="K269" i="120"/>
  <c r="K365" i="120"/>
  <c r="K346" i="120"/>
  <c r="K226" i="120"/>
  <c r="K276" i="120"/>
  <c r="K921" i="120"/>
  <c r="K116" i="120"/>
  <c r="K515" i="120"/>
  <c r="K111" i="120"/>
  <c r="K593" i="120"/>
  <c r="K429" i="120"/>
  <c r="K100" i="120"/>
  <c r="K15" i="120" s="1"/>
  <c r="M15" i="120" s="1"/>
  <c r="K235" i="120"/>
  <c r="K783" i="120"/>
  <c r="K316" i="120"/>
  <c r="K508" i="120"/>
  <c r="K343" i="120"/>
  <c r="K723" i="120"/>
  <c r="K918" i="120"/>
  <c r="K624" i="120"/>
  <c r="K24" i="120" s="1"/>
  <c r="M24" i="120" s="1"/>
  <c r="K119" i="120"/>
  <c r="K79" i="120"/>
  <c r="K524" i="120"/>
  <c r="K903" i="120"/>
  <c r="K541" i="120"/>
  <c r="K681" i="120"/>
  <c r="K121" i="120"/>
  <c r="K584" i="120"/>
  <c r="K213" i="120"/>
  <c r="K415" i="120"/>
  <c r="K195" i="120"/>
  <c r="K185" i="120"/>
  <c r="K248" i="120"/>
  <c r="K325" i="120"/>
  <c r="K73" i="120"/>
  <c r="K811" i="120"/>
  <c r="K463" i="120"/>
  <c r="K72" i="120"/>
  <c r="K348" i="120"/>
  <c r="K284" i="120"/>
  <c r="K653" i="120"/>
  <c r="K799" i="120"/>
  <c r="K604" i="120"/>
  <c r="K363" i="120"/>
  <c r="K141" i="120"/>
  <c r="K856" i="120"/>
  <c r="K187" i="120"/>
  <c r="K391" i="120"/>
  <c r="K630" i="120"/>
  <c r="K520" i="120"/>
  <c r="K457" i="120"/>
  <c r="K399" i="120"/>
  <c r="K444" i="120"/>
  <c r="K183" i="120"/>
  <c r="K16" i="120" s="1"/>
  <c r="M16" i="120" s="1"/>
  <c r="K327" i="120"/>
  <c r="K453" i="120"/>
  <c r="K807" i="120"/>
  <c r="K260" i="120"/>
  <c r="K486" i="120"/>
  <c r="K270" i="120"/>
  <c r="K376" i="120"/>
  <c r="K421" i="120"/>
  <c r="K239" i="120"/>
  <c r="K580" i="120"/>
  <c r="K134" i="120"/>
  <c r="K319" i="120"/>
  <c r="K496" i="120"/>
  <c r="K423" i="120"/>
  <c r="K197" i="120"/>
  <c r="K373" i="120"/>
  <c r="K255" i="120"/>
  <c r="K820" i="120"/>
  <c r="K747" i="120"/>
  <c r="K120" i="120"/>
  <c r="K779" i="120"/>
  <c r="K237" i="120"/>
  <c r="K278" i="120"/>
  <c r="K264" i="120"/>
  <c r="K666" i="120"/>
  <c r="K203" i="120"/>
  <c r="K324" i="120"/>
  <c r="K821" i="120"/>
  <c r="K513" i="120"/>
  <c r="K50" i="120"/>
  <c r="K464" i="120"/>
  <c r="K106" i="120"/>
  <c r="K511" i="120"/>
  <c r="K333" i="120"/>
  <c r="K192" i="120"/>
  <c r="K772" i="120"/>
  <c r="K86" i="120"/>
  <c r="K309" i="120"/>
  <c r="K846" i="120"/>
  <c r="K504" i="120"/>
  <c r="K220" i="120"/>
  <c r="K328" i="120"/>
  <c r="K385" i="120"/>
  <c r="K283" i="120"/>
  <c r="K230" i="120"/>
  <c r="K909" i="120"/>
  <c r="K517" i="120"/>
  <c r="G29" i="122"/>
  <c r="J12" i="120"/>
  <c r="O90" i="134" l="1"/>
  <c r="D85" i="134"/>
  <c r="M2" i="120"/>
  <c r="K861" i="120"/>
  <c r="K885" i="120"/>
  <c r="K867" i="120"/>
  <c r="K874" i="120"/>
  <c r="K883" i="120"/>
  <c r="K873" i="120"/>
  <c r="K878" i="120"/>
  <c r="K871" i="120"/>
  <c r="K864" i="120"/>
  <c r="K884" i="120"/>
  <c r="K886" i="120"/>
  <c r="D96" i="134"/>
  <c r="K863" i="120"/>
  <c r="K872" i="120"/>
  <c r="K868" i="120"/>
  <c r="K880" i="120"/>
  <c r="K865" i="120"/>
  <c r="K879" i="120"/>
  <c r="K881" i="120"/>
  <c r="K875" i="120"/>
  <c r="K860" i="120"/>
  <c r="K877" i="120"/>
  <c r="K869" i="120"/>
  <c r="K866" i="120"/>
  <c r="K862" i="120"/>
  <c r="K882" i="120"/>
  <c r="K870" i="120"/>
  <c r="K876" i="120"/>
  <c r="K859" i="120"/>
  <c r="G34" i="122"/>
  <c r="M13" i="120"/>
  <c r="K12" i="120"/>
  <c r="I90" i="134" l="1"/>
  <c r="S90" i="134"/>
  <c r="J90" i="134"/>
  <c r="U90" i="134"/>
  <c r="K90" i="134"/>
  <c r="M90" i="134"/>
  <c r="G90" i="134"/>
  <c r="P90" i="134"/>
  <c r="N90" i="134"/>
  <c r="W90" i="134"/>
  <c r="R90" i="134"/>
  <c r="L90" i="134"/>
  <c r="D87" i="134"/>
  <c r="U88" i="134" s="1"/>
  <c r="Q90" i="134"/>
  <c r="H90" i="134"/>
  <c r="O85" i="134"/>
  <c r="V90" i="134"/>
  <c r="T90" i="134"/>
  <c r="S85" i="134" l="1"/>
  <c r="S91" i="134" s="1"/>
  <c r="S92" i="134" s="1"/>
  <c r="I85" i="134"/>
  <c r="I86" i="134" s="1"/>
  <c r="M85" i="134"/>
  <c r="M91" i="134" s="1"/>
  <c r="M92" i="134" s="1"/>
  <c r="U85" i="134"/>
  <c r="U86" i="134" s="1"/>
  <c r="J85" i="134"/>
  <c r="J91" i="134" s="1"/>
  <c r="J92" i="134" s="1"/>
  <c r="K85" i="134"/>
  <c r="K86" i="134" s="1"/>
  <c r="P85" i="134"/>
  <c r="P86" i="134" s="1"/>
  <c r="D89" i="134"/>
  <c r="J88" i="134"/>
  <c r="H88" i="134"/>
  <c r="Q85" i="134"/>
  <c r="H85" i="134"/>
  <c r="R85" i="134"/>
  <c r="X87" i="134"/>
  <c r="F88" i="134"/>
  <c r="F85" i="134"/>
  <c r="F90" i="134"/>
  <c r="X90" i="134" s="1"/>
  <c r="X89" i="134"/>
  <c r="L88" i="134"/>
  <c r="Q88" i="134"/>
  <c r="L85" i="134"/>
  <c r="V88" i="134"/>
  <c r="M88" i="134"/>
  <c r="W88" i="134"/>
  <c r="T88" i="134"/>
  <c r="W85" i="134"/>
  <c r="T85" i="134"/>
  <c r="O91" i="134"/>
  <c r="O92" i="134" s="1"/>
  <c r="O86" i="134"/>
  <c r="K88" i="134"/>
  <c r="M86" i="134"/>
  <c r="G88" i="134"/>
  <c r="V85" i="134"/>
  <c r="G85" i="134"/>
  <c r="N88" i="134"/>
  <c r="N85" i="134"/>
  <c r="S88" i="134"/>
  <c r="I88" i="134"/>
  <c r="O88" i="134"/>
  <c r="P88" i="134"/>
  <c r="R88" i="134"/>
  <c r="U91" i="134" l="1"/>
  <c r="U92" i="134" s="1"/>
  <c r="S86" i="134"/>
  <c r="I91" i="134"/>
  <c r="I92" i="134" s="1"/>
  <c r="K91" i="134"/>
  <c r="K92" i="134" s="1"/>
  <c r="J86" i="134"/>
  <c r="P91" i="134"/>
  <c r="P92" i="134" s="1"/>
  <c r="X85" i="134"/>
  <c r="Y85" i="134" s="1"/>
  <c r="F91" i="134"/>
  <c r="F92" i="134" s="1"/>
  <c r="F86" i="134"/>
  <c r="Y87" i="134"/>
  <c r="Z88" i="134" s="1"/>
  <c r="G91" i="134"/>
  <c r="G92" i="134" s="1"/>
  <c r="G86" i="134"/>
  <c r="Q91" i="134"/>
  <c r="Q92" i="134" s="1"/>
  <c r="Q86" i="134"/>
  <c r="X88" i="134"/>
  <c r="N91" i="134"/>
  <c r="N92" i="134" s="1"/>
  <c r="N86" i="134"/>
  <c r="R91" i="134"/>
  <c r="R92" i="134" s="1"/>
  <c r="R86" i="134"/>
  <c r="W86" i="134"/>
  <c r="W91" i="134"/>
  <c r="W92" i="134" s="1"/>
  <c r="H91" i="134"/>
  <c r="H92" i="134" s="1"/>
  <c r="H86" i="134"/>
  <c r="Y89" i="134"/>
  <c r="V91" i="134"/>
  <c r="V92" i="134" s="1"/>
  <c r="V86" i="134"/>
  <c r="L86" i="134"/>
  <c r="L91" i="134"/>
  <c r="L92" i="134" s="1"/>
  <c r="T86" i="134"/>
  <c r="T91" i="134"/>
  <c r="T92" i="134" s="1"/>
  <c r="Y91" i="134" l="1"/>
  <c r="Z87" i="134"/>
  <c r="X86" i="134"/>
  <c r="D378" i="12" l="1"/>
  <c r="F378" i="12"/>
  <c r="D76" i="12" l="1"/>
  <c r="F76" i="12"/>
  <c r="D586" i="12" l="1"/>
  <c r="D461" i="12"/>
  <c r="D657" i="12"/>
  <c r="G76" i="12"/>
  <c r="I76" i="12" s="1"/>
  <c r="J76" i="12" s="1"/>
  <c r="F461" i="12"/>
  <c r="F657" i="12"/>
  <c r="F586" i="12"/>
  <c r="G238" i="12" l="1"/>
  <c r="I238" i="12" s="1"/>
  <c r="J238" i="12" s="1"/>
  <c r="F238" i="12"/>
  <c r="G236" i="12"/>
  <c r="I236" i="12" s="1"/>
  <c r="J236" i="12" s="1"/>
  <c r="F236" i="12"/>
  <c r="G240" i="12"/>
  <c r="I240" i="12" s="1"/>
  <c r="J240" i="12" s="1"/>
  <c r="F240" i="12"/>
  <c r="G242" i="12"/>
  <c r="I242" i="12" s="1"/>
  <c r="J242" i="12" s="1"/>
  <c r="F242" i="12"/>
  <c r="D235" i="12" l="1"/>
  <c r="D241" i="12"/>
  <c r="F237" i="12"/>
  <c r="F235" i="12"/>
  <c r="F241" i="12"/>
  <c r="D239" i="12"/>
  <c r="F239" i="12"/>
  <c r="D237" i="12"/>
  <c r="G340" i="12" l="1"/>
  <c r="I340" i="12" s="1"/>
  <c r="J340" i="12" s="1"/>
  <c r="G426" i="12"/>
  <c r="I426" i="12" s="1"/>
  <c r="J426" i="12" s="1"/>
  <c r="F340" i="12"/>
  <c r="F426" i="12"/>
  <c r="F458" i="12" l="1"/>
  <c r="F650" i="12"/>
  <c r="D650" i="12"/>
  <c r="D458" i="12"/>
  <c r="D729" i="12" l="1"/>
  <c r="D391" i="12"/>
  <c r="F391" i="12"/>
  <c r="F729" i="12"/>
  <c r="G458" i="12"/>
  <c r="I458" i="12" s="1"/>
  <c r="J458" i="12" s="1"/>
  <c r="G650" i="12"/>
  <c r="I650" i="12" s="1"/>
  <c r="J650" i="12" s="1"/>
  <c r="D460" i="12" l="1"/>
  <c r="D655" i="12"/>
  <c r="D811" i="12"/>
  <c r="D532" i="12"/>
  <c r="F264" i="12" l="1"/>
  <c r="D264" i="12"/>
  <c r="E13" i="74" l="1"/>
  <c r="B13" i="74"/>
  <c r="E12" i="74" l="1"/>
  <c r="B12" i="74"/>
  <c r="E11" i="74"/>
  <c r="B11" i="74"/>
  <c r="F12" i="74" l="1"/>
  <c r="H12" i="74" s="1"/>
  <c r="F13" i="74" l="1"/>
  <c r="H13" i="74" s="1"/>
  <c r="G729" i="12" l="1"/>
  <c r="I729" i="12" s="1"/>
  <c r="J729" i="12" s="1"/>
  <c r="G391" i="12"/>
  <c r="I391" i="12" s="1"/>
  <c r="J391" i="12" s="1"/>
  <c r="F11" i="74" l="1"/>
  <c r="H11" i="74" s="1"/>
  <c r="H17" i="74" s="1"/>
  <c r="D217" i="12" l="1"/>
  <c r="D226" i="12"/>
  <c r="D227" i="12"/>
  <c r="D218" i="12"/>
  <c r="D220" i="12"/>
  <c r="D230" i="12"/>
  <c r="F31" i="74" l="1"/>
  <c r="H31" i="74" s="1"/>
  <c r="E31" i="74"/>
  <c r="F27" i="74"/>
  <c r="H27" i="74" s="1"/>
  <c r="E27" i="74"/>
  <c r="F26" i="74"/>
  <c r="H26" i="74" s="1"/>
  <c r="E26" i="74"/>
  <c r="F28" i="74"/>
  <c r="H28" i="74" s="1"/>
  <c r="E28" i="74"/>
  <c r="F25" i="74"/>
  <c r="H25" i="74" s="1"/>
  <c r="E25" i="74"/>
  <c r="F21" i="74"/>
  <c r="H21" i="74" s="1"/>
  <c r="E21" i="74"/>
  <c r="F22" i="74"/>
  <c r="H22" i="74" s="1"/>
  <c r="E22" i="74"/>
  <c r="F29" i="74"/>
  <c r="H29" i="74" s="1"/>
  <c r="E29" i="74"/>
  <c r="F30" i="74"/>
  <c r="H30" i="74" s="1"/>
  <c r="E30" i="74"/>
  <c r="F24" i="74"/>
  <c r="H24" i="74" s="1"/>
  <c r="E24" i="74"/>
  <c r="F23" i="74"/>
  <c r="H23" i="74" s="1"/>
  <c r="E23" i="74"/>
  <c r="H64" i="74" l="1"/>
  <c r="H65" i="74" s="1"/>
  <c r="H66" i="74" s="1"/>
  <c r="H68" i="74" s="1"/>
  <c r="H69" i="74" s="1"/>
  <c r="G889" i="12" s="1"/>
  <c r="I889" i="12" s="1"/>
  <c r="J889" i="12" s="1"/>
  <c r="U888" i="12" s="1"/>
  <c r="G884" i="12"/>
  <c r="I884" i="12" s="1"/>
  <c r="J884" i="12" s="1"/>
  <c r="F884" i="12"/>
  <c r="G388" i="12"/>
  <c r="I388" i="12" s="1"/>
  <c r="J388" i="12" s="1"/>
  <c r="F388" i="12"/>
  <c r="G733" i="12"/>
  <c r="I733" i="12" s="1"/>
  <c r="J733" i="12" s="1"/>
  <c r="F733" i="12"/>
  <c r="G776" i="12"/>
  <c r="I776" i="12" s="1"/>
  <c r="J776" i="12" s="1"/>
  <c r="F776" i="12"/>
  <c r="G772" i="12"/>
  <c r="I772" i="12" s="1"/>
  <c r="J772" i="12" s="1"/>
  <c r="F772" i="12"/>
  <c r="G771" i="12"/>
  <c r="I771" i="12" s="1"/>
  <c r="J771" i="12" s="1"/>
  <c r="F771" i="12"/>
  <c r="G775" i="12"/>
  <c r="I775" i="12" s="1"/>
  <c r="J775" i="12" s="1"/>
  <c r="F775" i="12"/>
  <c r="G390" i="12"/>
  <c r="I390" i="12" s="1"/>
  <c r="J390" i="12" s="1"/>
  <c r="F390" i="12"/>
  <c r="G730" i="12"/>
  <c r="I730" i="12" s="1"/>
  <c r="J730" i="12" s="1"/>
  <c r="F730" i="12"/>
  <c r="G815" i="12"/>
  <c r="I815" i="12" s="1"/>
  <c r="J815" i="12" s="1"/>
  <c r="F815" i="12"/>
  <c r="G520" i="12"/>
  <c r="I520" i="12" s="1"/>
  <c r="J520" i="12" s="1"/>
  <c r="F520" i="12"/>
  <c r="G515" i="12"/>
  <c r="I515" i="12" s="1"/>
  <c r="J515" i="12" s="1"/>
  <c r="F515" i="12"/>
  <c r="G629" i="12"/>
  <c r="I629" i="12" s="1"/>
  <c r="J629" i="12" s="1"/>
  <c r="F629" i="12"/>
  <c r="G323" i="12"/>
  <c r="I323" i="12" s="1"/>
  <c r="J323" i="12" s="1"/>
  <c r="F323" i="12"/>
  <c r="I19" i="12" s="1"/>
  <c r="G531" i="12"/>
  <c r="I531" i="12" s="1"/>
  <c r="J531" i="12" s="1"/>
  <c r="F531" i="12"/>
  <c r="G516" i="12"/>
  <c r="I516" i="12" s="1"/>
  <c r="J516" i="12" s="1"/>
  <c r="F516" i="12"/>
  <c r="G526" i="12"/>
  <c r="I526" i="12" s="1"/>
  <c r="J526" i="12" s="1"/>
  <c r="F526" i="12"/>
  <c r="G383" i="12"/>
  <c r="I383" i="12" s="1"/>
  <c r="J383" i="12" s="1"/>
  <c r="F383" i="12"/>
  <c r="G382" i="12"/>
  <c r="I382" i="12" s="1"/>
  <c r="J382" i="12" s="1"/>
  <c r="F382" i="12"/>
  <c r="G381" i="12"/>
  <c r="I381" i="12" s="1"/>
  <c r="J381" i="12" s="1"/>
  <c r="F381" i="12"/>
  <c r="G380" i="12"/>
  <c r="I380" i="12" s="1"/>
  <c r="J380" i="12" s="1"/>
  <c r="F380" i="12"/>
  <c r="G377" i="12"/>
  <c r="I377" i="12" s="1"/>
  <c r="J377" i="12" s="1"/>
  <c r="F377" i="12"/>
  <c r="G375" i="12"/>
  <c r="I375" i="12" s="1"/>
  <c r="J375" i="12" s="1"/>
  <c r="F375" i="12"/>
  <c r="G369" i="12"/>
  <c r="I369" i="12" s="1"/>
  <c r="J369" i="12" s="1"/>
  <c r="F369" i="12"/>
  <c r="G368" i="12"/>
  <c r="I368" i="12" s="1"/>
  <c r="J368" i="12" s="1"/>
  <c r="F368" i="12"/>
  <c r="G367" i="12"/>
  <c r="I367" i="12" s="1"/>
  <c r="J367" i="12" s="1"/>
  <c r="F367" i="12"/>
  <c r="G357" i="12"/>
  <c r="I357" i="12" s="1"/>
  <c r="J357" i="12" s="1"/>
  <c r="F357" i="12"/>
  <c r="G356" i="12"/>
  <c r="I356" i="12" s="1"/>
  <c r="J356" i="12" s="1"/>
  <c r="F356" i="12"/>
  <c r="G355" i="12"/>
  <c r="I355" i="12" s="1"/>
  <c r="J355" i="12" s="1"/>
  <c r="F355" i="12"/>
  <c r="G354" i="12"/>
  <c r="I354" i="12" s="1"/>
  <c r="J354" i="12" s="1"/>
  <c r="F354" i="12"/>
  <c r="G298" i="12"/>
  <c r="I298" i="12" s="1"/>
  <c r="J298" i="12" s="1"/>
  <c r="F298" i="12"/>
  <c r="G349" i="12"/>
  <c r="I349" i="12" s="1"/>
  <c r="J349" i="12" s="1"/>
  <c r="F349" i="12"/>
  <c r="F265" i="12"/>
  <c r="G259" i="12"/>
  <c r="I259" i="12" s="1"/>
  <c r="J259" i="12" s="1"/>
  <c r="F259" i="12"/>
  <c r="G201" i="12"/>
  <c r="I201" i="12" s="1"/>
  <c r="J201" i="12" s="1"/>
  <c r="F201" i="12"/>
  <c r="G200" i="12"/>
  <c r="I200" i="12" s="1"/>
  <c r="J200" i="12" s="1"/>
  <c r="F200" i="12"/>
  <c r="G199" i="12"/>
  <c r="I199" i="12" s="1"/>
  <c r="J199" i="12" s="1"/>
  <c r="F199" i="12"/>
  <c r="G198" i="12"/>
  <c r="I198" i="12" s="1"/>
  <c r="J198" i="12" s="1"/>
  <c r="F198" i="12"/>
  <c r="G197" i="12"/>
  <c r="I197" i="12" s="1"/>
  <c r="J197" i="12" s="1"/>
  <c r="F197" i="12"/>
  <c r="G196" i="12"/>
  <c r="I196" i="12" s="1"/>
  <c r="J196" i="12" s="1"/>
  <c r="F196" i="12"/>
  <c r="I16" i="12" s="1"/>
  <c r="G207" i="12"/>
  <c r="I207" i="12" s="1"/>
  <c r="J207" i="12" s="1"/>
  <c r="F207" i="12"/>
  <c r="G206" i="12"/>
  <c r="I206" i="12" s="1"/>
  <c r="J206" i="12" s="1"/>
  <c r="F206" i="12"/>
  <c r="G205" i="12"/>
  <c r="I205" i="12" s="1"/>
  <c r="J205" i="12" s="1"/>
  <c r="F205" i="12"/>
  <c r="G204" i="12"/>
  <c r="I204" i="12" s="1"/>
  <c r="J204" i="12" s="1"/>
  <c r="F204" i="12"/>
  <c r="G203" i="12"/>
  <c r="I203" i="12" s="1"/>
  <c r="J203" i="12" s="1"/>
  <c r="F203" i="12"/>
  <c r="G202" i="12"/>
  <c r="I202" i="12" s="1"/>
  <c r="J202" i="12" s="1"/>
  <c r="F202" i="12"/>
  <c r="G195" i="12"/>
  <c r="I195" i="12" s="1"/>
  <c r="J195" i="12" s="1"/>
  <c r="F195" i="12"/>
  <c r="G194" i="12"/>
  <c r="I194" i="12" s="1"/>
  <c r="J194" i="12" s="1"/>
  <c r="F194" i="12"/>
  <c r="G193" i="12"/>
  <c r="I193" i="12" s="1"/>
  <c r="J193" i="12" s="1"/>
  <c r="F193" i="12"/>
  <c r="G192" i="12"/>
  <c r="I192" i="12" s="1"/>
  <c r="J192" i="12" s="1"/>
  <c r="F192" i="12"/>
  <c r="G191" i="12"/>
  <c r="I191" i="12" s="1"/>
  <c r="J191" i="12" s="1"/>
  <c r="F191" i="12"/>
  <c r="G190" i="12"/>
  <c r="I190" i="12" s="1"/>
  <c r="J190" i="12" s="1"/>
  <c r="F190" i="12"/>
  <c r="G189" i="12"/>
  <c r="I189" i="12" s="1"/>
  <c r="J189" i="12" s="1"/>
  <c r="F189" i="12"/>
  <c r="G188" i="12"/>
  <c r="I188" i="12" s="1"/>
  <c r="J188" i="12" s="1"/>
  <c r="F188" i="12"/>
  <c r="G187" i="12"/>
  <c r="I187" i="12" s="1"/>
  <c r="J187" i="12" s="1"/>
  <c r="F187" i="12"/>
  <c r="G186" i="12"/>
  <c r="I186" i="12" s="1"/>
  <c r="J186" i="12" s="1"/>
  <c r="F186" i="12"/>
  <c r="G185" i="12"/>
  <c r="I185" i="12" s="1"/>
  <c r="J185" i="12" s="1"/>
  <c r="F185" i="12"/>
  <c r="G184" i="12"/>
  <c r="I184" i="12" s="1"/>
  <c r="J184" i="12" s="1"/>
  <c r="F184" i="12"/>
  <c r="G337" i="12"/>
  <c r="I337" i="12" s="1"/>
  <c r="J337" i="12" s="1"/>
  <c r="F337" i="12"/>
  <c r="G149" i="12"/>
  <c r="I149" i="12" s="1"/>
  <c r="J149" i="12" s="1"/>
  <c r="F149" i="12"/>
  <c r="G148" i="12"/>
  <c r="I148" i="12" s="1"/>
  <c r="J148" i="12" s="1"/>
  <c r="F148" i="12"/>
  <c r="G147" i="12"/>
  <c r="I147" i="12" s="1"/>
  <c r="J147" i="12" s="1"/>
  <c r="F147" i="12"/>
  <c r="G146" i="12"/>
  <c r="I146" i="12" s="1"/>
  <c r="J146" i="12" s="1"/>
  <c r="F146" i="12"/>
  <c r="G145" i="12"/>
  <c r="I145" i="12" s="1"/>
  <c r="J145" i="12" s="1"/>
  <c r="F145" i="12"/>
  <c r="G162" i="12"/>
  <c r="I162" i="12" s="1"/>
  <c r="J162" i="12" s="1"/>
  <c r="F162" i="12"/>
  <c r="G158" i="12"/>
  <c r="I158" i="12" s="1"/>
  <c r="J158" i="12" s="1"/>
  <c r="F158" i="12"/>
  <c r="G157" i="12"/>
  <c r="I157" i="12" s="1"/>
  <c r="J157" i="12" s="1"/>
  <c r="F157" i="12"/>
  <c r="G155" i="12"/>
  <c r="I155" i="12" s="1"/>
  <c r="J155" i="12" s="1"/>
  <c r="F155" i="12"/>
  <c r="G154" i="12"/>
  <c r="I154" i="12" s="1"/>
  <c r="J154" i="12" s="1"/>
  <c r="F154" i="12"/>
  <c r="G424" i="12"/>
  <c r="I424" i="12" s="1"/>
  <c r="J424" i="12" s="1"/>
  <c r="F424" i="12"/>
  <c r="G164" i="12"/>
  <c r="I164" i="12" s="1"/>
  <c r="J164" i="12" s="1"/>
  <c r="F164" i="12"/>
  <c r="G166" i="12"/>
  <c r="I166" i="12" s="1"/>
  <c r="J166" i="12" s="1"/>
  <c r="F166" i="12"/>
  <c r="G142" i="12"/>
  <c r="I142" i="12" s="1"/>
  <c r="J142" i="12" s="1"/>
  <c r="F142" i="12"/>
  <c r="G141" i="12"/>
  <c r="I141" i="12" s="1"/>
  <c r="J141" i="12" s="1"/>
  <c r="F141" i="12"/>
  <c r="G140" i="12"/>
  <c r="I140" i="12" s="1"/>
  <c r="J140" i="12" s="1"/>
  <c r="F140" i="12"/>
  <c r="G138" i="12"/>
  <c r="I138" i="12" s="1"/>
  <c r="J138" i="12" s="1"/>
  <c r="F138" i="12"/>
  <c r="G136" i="12"/>
  <c r="I136" i="12" s="1"/>
  <c r="J136" i="12" s="1"/>
  <c r="F136" i="12"/>
  <c r="G113" i="12"/>
  <c r="I113" i="12" s="1"/>
  <c r="J113" i="12" s="1"/>
  <c r="F113" i="12"/>
  <c r="G112" i="12"/>
  <c r="I112" i="12" s="1"/>
  <c r="J112" i="12" s="1"/>
  <c r="F112" i="12"/>
  <c r="G111" i="12"/>
  <c r="I111" i="12" s="1"/>
  <c r="J111" i="12" s="1"/>
  <c r="F111" i="12"/>
  <c r="G110" i="12"/>
  <c r="I110" i="12" s="1"/>
  <c r="J110" i="12" s="1"/>
  <c r="F110" i="12"/>
  <c r="G109" i="12"/>
  <c r="I109" i="12" s="1"/>
  <c r="J109" i="12" s="1"/>
  <c r="F109" i="12"/>
  <c r="G108" i="12"/>
  <c r="I108" i="12" s="1"/>
  <c r="J108" i="12" s="1"/>
  <c r="F108" i="12"/>
  <c r="G107" i="12"/>
  <c r="I107" i="12" s="1"/>
  <c r="J107" i="12" s="1"/>
  <c r="F107" i="12"/>
  <c r="G106" i="12"/>
  <c r="I106" i="12" s="1"/>
  <c r="J106" i="12" s="1"/>
  <c r="F106" i="12"/>
  <c r="G105" i="12"/>
  <c r="I105" i="12" s="1"/>
  <c r="J105" i="12" s="1"/>
  <c r="F105" i="12"/>
  <c r="G123" i="12"/>
  <c r="I123" i="12" s="1"/>
  <c r="J123" i="12" s="1"/>
  <c r="F123" i="12"/>
  <c r="G122" i="12"/>
  <c r="I122" i="12" s="1"/>
  <c r="J122" i="12" s="1"/>
  <c r="F122" i="12"/>
  <c r="G121" i="12"/>
  <c r="I121" i="12" s="1"/>
  <c r="J121" i="12" s="1"/>
  <c r="F121" i="12"/>
  <c r="G120" i="12"/>
  <c r="I120" i="12" s="1"/>
  <c r="J120" i="12" s="1"/>
  <c r="F120" i="12"/>
  <c r="G119" i="12"/>
  <c r="I119" i="12" s="1"/>
  <c r="J119" i="12" s="1"/>
  <c r="F119" i="12"/>
  <c r="G118" i="12"/>
  <c r="I118" i="12" s="1"/>
  <c r="J118" i="12" s="1"/>
  <c r="F118" i="12"/>
  <c r="G117" i="12"/>
  <c r="I117" i="12" s="1"/>
  <c r="J117" i="12" s="1"/>
  <c r="F117" i="12"/>
  <c r="G116" i="12"/>
  <c r="I116" i="12" s="1"/>
  <c r="J116" i="12" s="1"/>
  <c r="F116" i="12"/>
  <c r="G115" i="12"/>
  <c r="I115" i="12" s="1"/>
  <c r="J115" i="12" s="1"/>
  <c r="F115" i="12"/>
  <c r="G133" i="12"/>
  <c r="I133" i="12" s="1"/>
  <c r="J133" i="12" s="1"/>
  <c r="F133" i="12"/>
  <c r="G132" i="12"/>
  <c r="I132" i="12" s="1"/>
  <c r="J132" i="12" s="1"/>
  <c r="F132" i="12"/>
  <c r="G131" i="12"/>
  <c r="I131" i="12" s="1"/>
  <c r="J131" i="12" s="1"/>
  <c r="F131" i="12"/>
  <c r="G130" i="12"/>
  <c r="I130" i="12" s="1"/>
  <c r="J130" i="12" s="1"/>
  <c r="F130" i="12"/>
  <c r="G129" i="12"/>
  <c r="I129" i="12" s="1"/>
  <c r="J129" i="12" s="1"/>
  <c r="F129" i="12"/>
  <c r="G128" i="12"/>
  <c r="I128" i="12" s="1"/>
  <c r="J128" i="12" s="1"/>
  <c r="F128" i="12"/>
  <c r="G127" i="12"/>
  <c r="I127" i="12" s="1"/>
  <c r="J127" i="12" s="1"/>
  <c r="F127" i="12"/>
  <c r="G292" i="12"/>
  <c r="I292" i="12" s="1"/>
  <c r="J292" i="12" s="1"/>
  <c r="F292" i="12"/>
  <c r="G794" i="12"/>
  <c r="I794" i="12" s="1"/>
  <c r="J794" i="12" s="1"/>
  <c r="F794" i="12"/>
  <c r="G758" i="12"/>
  <c r="I758" i="12" s="1"/>
  <c r="J758" i="12" s="1"/>
  <c r="F758" i="12"/>
  <c r="G71" i="12"/>
  <c r="I71" i="12" s="1"/>
  <c r="J71" i="12" s="1"/>
  <c r="F71" i="12"/>
  <c r="G68" i="12"/>
  <c r="I68" i="12" s="1"/>
  <c r="J68" i="12" s="1"/>
  <c r="F68" i="12"/>
  <c r="G86" i="12"/>
  <c r="I86" i="12" s="1"/>
  <c r="J86" i="12" s="1"/>
  <c r="F86" i="12"/>
  <c r="G85" i="12"/>
  <c r="I85" i="12" s="1"/>
  <c r="J85" i="12" s="1"/>
  <c r="F85" i="12"/>
  <c r="G84" i="12"/>
  <c r="I84" i="12" s="1"/>
  <c r="J84" i="12" s="1"/>
  <c r="F84" i="12"/>
  <c r="G83" i="12"/>
  <c r="I83" i="12" s="1"/>
  <c r="J83" i="12" s="1"/>
  <c r="F83" i="12"/>
  <c r="G82" i="12"/>
  <c r="I82" i="12" s="1"/>
  <c r="J82" i="12" s="1"/>
  <c r="F82" i="12"/>
  <c r="G81" i="12"/>
  <c r="I81" i="12" s="1"/>
  <c r="J81" i="12" s="1"/>
  <c r="F81" i="12"/>
  <c r="G80" i="12"/>
  <c r="I80" i="12" s="1"/>
  <c r="J80" i="12" s="1"/>
  <c r="F80" i="12"/>
  <c r="G79" i="12"/>
  <c r="I79" i="12" s="1"/>
  <c r="J79" i="12" s="1"/>
  <c r="F79" i="12"/>
  <c r="G78" i="12"/>
  <c r="I78" i="12" s="1"/>
  <c r="J78" i="12" s="1"/>
  <c r="F78" i="12"/>
  <c r="G77" i="12"/>
  <c r="I77" i="12" s="1"/>
  <c r="J77" i="12" s="1"/>
  <c r="F77" i="12"/>
  <c r="G757" i="12"/>
  <c r="I757" i="12" s="1"/>
  <c r="J757" i="12" s="1"/>
  <c r="F757" i="12"/>
  <c r="G44" i="12"/>
  <c r="I44" i="12" s="1"/>
  <c r="J44" i="12" s="1"/>
  <c r="F44" i="12"/>
  <c r="G51" i="12"/>
  <c r="I51" i="12" s="1"/>
  <c r="J51" i="12" s="1"/>
  <c r="F51" i="12"/>
  <c r="G41" i="12"/>
  <c r="I41" i="12" s="1"/>
  <c r="J41" i="12" s="1"/>
  <c r="F41" i="12"/>
  <c r="G40" i="12"/>
  <c r="I40" i="12" s="1"/>
  <c r="J40" i="12" s="1"/>
  <c r="F40" i="12"/>
  <c r="G39" i="12"/>
  <c r="I39" i="12" s="1"/>
  <c r="J39" i="12" s="1"/>
  <c r="F39" i="12"/>
  <c r="G42" i="12"/>
  <c r="I42" i="12" s="1"/>
  <c r="J42" i="12" s="1"/>
  <c r="F42" i="12"/>
  <c r="G37" i="12"/>
  <c r="I37" i="12" s="1"/>
  <c r="J37" i="12" s="1"/>
  <c r="F37" i="12"/>
  <c r="G38" i="12"/>
  <c r="I38" i="12" s="1"/>
  <c r="J38" i="12" s="1"/>
  <c r="F38" i="12"/>
  <c r="G36" i="12"/>
  <c r="I36" i="12" s="1"/>
  <c r="J36" i="12" s="1"/>
  <c r="F36" i="12"/>
  <c r="F303" i="12" l="1"/>
  <c r="F782" i="12"/>
  <c r="F654" i="12"/>
  <c r="F810" i="12"/>
  <c r="G654" i="12"/>
  <c r="I654" i="12" s="1"/>
  <c r="J654" i="12" s="1"/>
  <c r="G810" i="12"/>
  <c r="I810" i="12" s="1"/>
  <c r="J810" i="12" s="1"/>
  <c r="F625" i="12"/>
  <c r="F797" i="12"/>
  <c r="F316" i="12"/>
  <c r="F45" i="12"/>
  <c r="F171" i="12"/>
  <c r="F679" i="12"/>
  <c r="F407" i="12"/>
  <c r="F635" i="12"/>
  <c r="F327" i="12"/>
  <c r="F137" i="12"/>
  <c r="F156" i="12"/>
  <c r="F330" i="12"/>
  <c r="F223" i="12"/>
  <c r="F232" i="12"/>
  <c r="G739" i="12"/>
  <c r="I739" i="12" s="1"/>
  <c r="J739" i="12" s="1"/>
  <c r="G348" i="12"/>
  <c r="I348" i="12" s="1"/>
  <c r="J348" i="12" s="1"/>
  <c r="G359" i="12"/>
  <c r="I359" i="12" s="1"/>
  <c r="J359" i="12" s="1"/>
  <c r="G302" i="12"/>
  <c r="I302" i="12" s="1"/>
  <c r="J302" i="12" s="1"/>
  <c r="G364" i="12"/>
  <c r="I364" i="12" s="1"/>
  <c r="J364" i="12" s="1"/>
  <c r="G743" i="12"/>
  <c r="I743" i="12" s="1"/>
  <c r="J743" i="12" s="1"/>
  <c r="G307" i="12"/>
  <c r="I307" i="12" s="1"/>
  <c r="J307" i="12" s="1"/>
  <c r="G370" i="12"/>
  <c r="I370" i="12" s="1"/>
  <c r="J370" i="12" s="1"/>
  <c r="G310" i="12"/>
  <c r="I310" i="12" s="1"/>
  <c r="J310" i="12" s="1"/>
  <c r="G783" i="12"/>
  <c r="I783" i="12" s="1"/>
  <c r="J783" i="12" s="1"/>
  <c r="G438" i="12"/>
  <c r="I438" i="12" s="1"/>
  <c r="J438" i="12" s="1"/>
  <c r="G778" i="12"/>
  <c r="I778" i="12" s="1"/>
  <c r="J778" i="12" s="1"/>
  <c r="J322" i="12"/>
  <c r="G628" i="12"/>
  <c r="I628" i="12" s="1"/>
  <c r="J628" i="12" s="1"/>
  <c r="G801" i="12"/>
  <c r="I801" i="12" s="1"/>
  <c r="J801" i="12" s="1"/>
  <c r="G754" i="12"/>
  <c r="I754" i="12" s="1"/>
  <c r="J754" i="12" s="1"/>
  <c r="G513" i="12"/>
  <c r="I513" i="12" s="1"/>
  <c r="J513" i="12" s="1"/>
  <c r="G450" i="12"/>
  <c r="I450" i="12" s="1"/>
  <c r="J450" i="12" s="1"/>
  <c r="G798" i="12"/>
  <c r="I798" i="12" s="1"/>
  <c r="J798" i="12" s="1"/>
  <c r="G667" i="12"/>
  <c r="I667" i="12" s="1"/>
  <c r="J667" i="12" s="1"/>
  <c r="G165" i="12"/>
  <c r="I165" i="12" s="1"/>
  <c r="J165" i="12" s="1"/>
  <c r="G335" i="12"/>
  <c r="I335" i="12" s="1"/>
  <c r="J335" i="12" s="1"/>
  <c r="G429" i="12"/>
  <c r="I429" i="12" s="1"/>
  <c r="J429" i="12" s="1"/>
  <c r="G528" i="12"/>
  <c r="I528" i="12" s="1"/>
  <c r="J528" i="12" s="1"/>
  <c r="G454" i="12"/>
  <c r="I454" i="12" s="1"/>
  <c r="J454" i="12" s="1"/>
  <c r="G824" i="12"/>
  <c r="I824" i="12" s="1"/>
  <c r="J824" i="12" s="1"/>
  <c r="G671" i="12"/>
  <c r="I671" i="12" s="1"/>
  <c r="J671" i="12" s="1"/>
  <c r="G809" i="12"/>
  <c r="I809" i="12" s="1"/>
  <c r="J809" i="12" s="1"/>
  <c r="G653" i="12"/>
  <c r="I653" i="12" s="1"/>
  <c r="J653" i="12" s="1"/>
  <c r="G398" i="12"/>
  <c r="I398" i="12" s="1"/>
  <c r="J398" i="12" s="1"/>
  <c r="G756" i="12"/>
  <c r="I756" i="12" s="1"/>
  <c r="J756" i="12" s="1"/>
  <c r="G330" i="12"/>
  <c r="I330" i="12" s="1"/>
  <c r="J330" i="12" s="1"/>
  <c r="G156" i="12"/>
  <c r="I156" i="12" s="1"/>
  <c r="J156" i="12" s="1"/>
  <c r="E17" i="122"/>
  <c r="D17" i="77"/>
  <c r="D22" i="77" s="1"/>
  <c r="D15" i="77" s="1"/>
  <c r="C22" i="39"/>
  <c r="G744" i="12"/>
  <c r="I744" i="12" s="1"/>
  <c r="J744" i="12" s="1"/>
  <c r="G365" i="12"/>
  <c r="I365" i="12" s="1"/>
  <c r="J365" i="12" s="1"/>
  <c r="G308" i="12"/>
  <c r="I308" i="12" s="1"/>
  <c r="J308" i="12" s="1"/>
  <c r="G802" i="12"/>
  <c r="I802" i="12" s="1"/>
  <c r="J802" i="12" s="1"/>
  <c r="G630" i="12"/>
  <c r="I630" i="12" s="1"/>
  <c r="J630" i="12" s="1"/>
  <c r="G334" i="12"/>
  <c r="I334" i="12" s="1"/>
  <c r="J334" i="12" s="1"/>
  <c r="G727" i="12"/>
  <c r="I727" i="12" s="1"/>
  <c r="J727" i="12" s="1"/>
  <c r="G759" i="12"/>
  <c r="I759" i="12" s="1"/>
  <c r="J759" i="12" s="1"/>
  <c r="G705" i="12"/>
  <c r="I705" i="12" s="1"/>
  <c r="J705" i="12" s="1"/>
  <c r="G496" i="12"/>
  <c r="I496" i="12" s="1"/>
  <c r="J496" i="12" s="1"/>
  <c r="G715" i="12"/>
  <c r="I715" i="12" s="1"/>
  <c r="J715" i="12" s="1"/>
  <c r="G856" i="12"/>
  <c r="I856" i="12" s="1"/>
  <c r="J856" i="12" s="1"/>
  <c r="G854" i="12"/>
  <c r="I854" i="12" s="1"/>
  <c r="J854" i="12" s="1"/>
  <c r="G750" i="12"/>
  <c r="I750" i="12" s="1"/>
  <c r="J750" i="12" s="1"/>
  <c r="G98" i="12"/>
  <c r="I98" i="12" s="1"/>
  <c r="J98" i="12" s="1"/>
  <c r="G717" i="12"/>
  <c r="I717" i="12" s="1"/>
  <c r="J717" i="12" s="1"/>
  <c r="G568" i="12"/>
  <c r="I568" i="12" s="1"/>
  <c r="J568" i="12" s="1"/>
  <c r="G430" i="12"/>
  <c r="I430" i="12" s="1"/>
  <c r="J430" i="12" s="1"/>
  <c r="G336" i="12"/>
  <c r="I336" i="12" s="1"/>
  <c r="J336" i="12" s="1"/>
  <c r="G167" i="12"/>
  <c r="I167" i="12" s="1"/>
  <c r="J167" i="12" s="1"/>
  <c r="G631" i="12"/>
  <c r="I631" i="12" s="1"/>
  <c r="J631" i="12" s="1"/>
  <c r="G821" i="12"/>
  <c r="I821" i="12" s="1"/>
  <c r="J821" i="12" s="1"/>
  <c r="G668" i="12"/>
  <c r="I668" i="12" s="1"/>
  <c r="J668" i="12" s="1"/>
  <c r="G451" i="12"/>
  <c r="I451" i="12" s="1"/>
  <c r="J451" i="12" s="1"/>
  <c r="G755" i="12"/>
  <c r="I755" i="12" s="1"/>
  <c r="J755" i="12" s="1"/>
  <c r="G514" i="12"/>
  <c r="I514" i="12" s="1"/>
  <c r="J514" i="12" s="1"/>
  <c r="G163" i="12"/>
  <c r="I163" i="12" s="1"/>
  <c r="J163" i="12" s="1"/>
  <c r="G333" i="12"/>
  <c r="I333" i="12" s="1"/>
  <c r="J333" i="12" s="1"/>
  <c r="G233" i="12"/>
  <c r="I233" i="12" s="1"/>
  <c r="J233" i="12" s="1"/>
  <c r="G224" i="12"/>
  <c r="I224" i="12" s="1"/>
  <c r="J224" i="12" s="1"/>
  <c r="F300" i="12"/>
  <c r="F353" i="12"/>
  <c r="F740" i="12"/>
  <c r="F360" i="12"/>
  <c r="F304" i="12"/>
  <c r="F309" i="12"/>
  <c r="F366" i="12"/>
  <c r="F312" i="12"/>
  <c r="F361" i="12"/>
  <c r="F660" i="12"/>
  <c r="F590" i="12"/>
  <c r="F326" i="12"/>
  <c r="F56" i="12"/>
  <c r="F728" i="12"/>
  <c r="F765" i="12"/>
  <c r="F399" i="12"/>
  <c r="F762" i="12"/>
  <c r="F396" i="12"/>
  <c r="F814" i="12"/>
  <c r="J291" i="12"/>
  <c r="F311" i="12"/>
  <c r="F371" i="12"/>
  <c r="G782" i="12"/>
  <c r="I782" i="12" s="1"/>
  <c r="J782" i="12" s="1"/>
  <c r="G303" i="12"/>
  <c r="I303" i="12" s="1"/>
  <c r="J303" i="12" s="1"/>
  <c r="G393" i="12"/>
  <c r="I393" i="12" s="1"/>
  <c r="J393" i="12" s="1"/>
  <c r="G737" i="12"/>
  <c r="I737" i="12" s="1"/>
  <c r="J737" i="12" s="1"/>
  <c r="F53" i="12"/>
  <c r="F320" i="12"/>
  <c r="F89" i="12"/>
  <c r="F88" i="12"/>
  <c r="F403" i="12"/>
  <c r="F552" i="12"/>
  <c r="F790" i="12"/>
  <c r="F405" i="12"/>
  <c r="F548" i="12"/>
  <c r="F411" i="12"/>
  <c r="F558" i="12"/>
  <c r="F616" i="12"/>
  <c r="F96" i="12"/>
  <c r="F604" i="12"/>
  <c r="F600" i="12"/>
  <c r="F792" i="12"/>
  <c r="F788" i="12"/>
  <c r="F828" i="12"/>
  <c r="F554" i="12"/>
  <c r="F173" i="12"/>
  <c r="F550" i="12"/>
  <c r="F689" i="12"/>
  <c r="F556" i="12"/>
  <c r="F409" i="12"/>
  <c r="F564" i="12"/>
  <c r="F699" i="12"/>
  <c r="F562" i="12"/>
  <c r="F701" i="12"/>
  <c r="F446" i="12"/>
  <c r="F612" i="12"/>
  <c r="F695" i="12"/>
  <c r="F844" i="12"/>
  <c r="F691" i="12"/>
  <c r="F570" i="12"/>
  <c r="F544" i="12"/>
  <c r="F703" i="12"/>
  <c r="F444" i="12"/>
  <c r="F610" i="12"/>
  <c r="F693" i="12"/>
  <c r="F606" i="12"/>
  <c r="F608" i="12"/>
  <c r="F786" i="12"/>
  <c r="F602" i="12"/>
  <c r="F697" i="12"/>
  <c r="F440" i="12"/>
  <c r="F566" i="12"/>
  <c r="F560" i="12"/>
  <c r="F442" i="12"/>
  <c r="F830" i="12"/>
  <c r="F834" i="12"/>
  <c r="F838" i="12"/>
  <c r="F836" i="12"/>
  <c r="F842" i="12"/>
  <c r="F840" i="12"/>
  <c r="F683" i="12"/>
  <c r="F677" i="12"/>
  <c r="F687" i="12"/>
  <c r="F179" i="12"/>
  <c r="F490" i="12"/>
  <c r="F484" i="12"/>
  <c r="F494" i="12"/>
  <c r="F476" i="12"/>
  <c r="F474" i="12"/>
  <c r="F480" i="12"/>
  <c r="F488" i="12"/>
  <c r="F470" i="12"/>
  <c r="F482" i="12"/>
  <c r="F492" i="12"/>
  <c r="F486" i="12"/>
  <c r="F177" i="12"/>
  <c r="F620" i="12"/>
  <c r="F850" i="12"/>
  <c r="F711" i="12"/>
  <c r="F578" i="12"/>
  <c r="F498" i="12"/>
  <c r="F852" i="12"/>
  <c r="F576" i="12"/>
  <c r="F707" i="12"/>
  <c r="F574" i="12"/>
  <c r="F848" i="12"/>
  <c r="F502" i="12"/>
  <c r="F580" i="12"/>
  <c r="F425" i="12"/>
  <c r="F126" i="12"/>
  <c r="F144" i="12"/>
  <c r="F428" i="12"/>
  <c r="F234" i="12"/>
  <c r="F225" i="12"/>
  <c r="G353" i="12"/>
  <c r="I353" i="12" s="1"/>
  <c r="J353" i="12" s="1"/>
  <c r="G300" i="12"/>
  <c r="I300" i="12" s="1"/>
  <c r="J300" i="12" s="1"/>
  <c r="G740" i="12"/>
  <c r="I740" i="12" s="1"/>
  <c r="J740" i="12" s="1"/>
  <c r="G360" i="12"/>
  <c r="I360" i="12" s="1"/>
  <c r="J360" i="12" s="1"/>
  <c r="G304" i="12"/>
  <c r="I304" i="12" s="1"/>
  <c r="J304" i="12" s="1"/>
  <c r="G366" i="12"/>
  <c r="I366" i="12" s="1"/>
  <c r="J366" i="12" s="1"/>
  <c r="G309" i="12"/>
  <c r="I309" i="12" s="1"/>
  <c r="J309" i="12" s="1"/>
  <c r="G361" i="12"/>
  <c r="I361" i="12" s="1"/>
  <c r="J361" i="12" s="1"/>
  <c r="G312" i="12"/>
  <c r="I312" i="12" s="1"/>
  <c r="J312" i="12" s="1"/>
  <c r="G590" i="12"/>
  <c r="I590" i="12" s="1"/>
  <c r="J590" i="12" s="1"/>
  <c r="G660" i="12"/>
  <c r="I660" i="12" s="1"/>
  <c r="J660" i="12" s="1"/>
  <c r="G326" i="12"/>
  <c r="I326" i="12" s="1"/>
  <c r="J326" i="12" s="1"/>
  <c r="G728" i="12"/>
  <c r="I728" i="12" s="1"/>
  <c r="J728" i="12" s="1"/>
  <c r="G56" i="12"/>
  <c r="I56" i="12" s="1"/>
  <c r="J56" i="12" s="1"/>
  <c r="G399" i="12"/>
  <c r="I399" i="12" s="1"/>
  <c r="J399" i="12" s="1"/>
  <c r="G765" i="12"/>
  <c r="I765" i="12" s="1"/>
  <c r="J765" i="12" s="1"/>
  <c r="G762" i="12"/>
  <c r="I762" i="12" s="1"/>
  <c r="J762" i="12" s="1"/>
  <c r="G814" i="12"/>
  <c r="I814" i="12" s="1"/>
  <c r="J814" i="12" s="1"/>
  <c r="G396" i="12"/>
  <c r="I396" i="12" s="1"/>
  <c r="J396" i="12" s="1"/>
  <c r="F744" i="12"/>
  <c r="F308" i="12"/>
  <c r="F365" i="12"/>
  <c r="F333" i="12"/>
  <c r="F163" i="12"/>
  <c r="G403" i="12"/>
  <c r="I403" i="12" s="1"/>
  <c r="J403" i="12" s="1"/>
  <c r="G552" i="12"/>
  <c r="I552" i="12" s="1"/>
  <c r="J552" i="12" s="1"/>
  <c r="G548" i="12"/>
  <c r="I548" i="12" s="1"/>
  <c r="J548" i="12" s="1"/>
  <c r="G405" i="12"/>
  <c r="I405" i="12" s="1"/>
  <c r="J405" i="12" s="1"/>
  <c r="G790" i="12"/>
  <c r="I790" i="12" s="1"/>
  <c r="J790" i="12" s="1"/>
  <c r="G411" i="12"/>
  <c r="I411" i="12" s="1"/>
  <c r="J411" i="12" s="1"/>
  <c r="G616" i="12"/>
  <c r="I616" i="12" s="1"/>
  <c r="J616" i="12" s="1"/>
  <c r="G96" i="12"/>
  <c r="I96" i="12" s="1"/>
  <c r="J96" i="12" s="1"/>
  <c r="G558" i="12"/>
  <c r="I558" i="12" s="1"/>
  <c r="J558" i="12" s="1"/>
  <c r="G600" i="12"/>
  <c r="I600" i="12" s="1"/>
  <c r="J600" i="12" s="1"/>
  <c r="G562" i="12"/>
  <c r="I562" i="12" s="1"/>
  <c r="J562" i="12" s="1"/>
  <c r="G788" i="12"/>
  <c r="I788" i="12" s="1"/>
  <c r="G828" i="12"/>
  <c r="I828" i="12" s="1"/>
  <c r="G564" i="12"/>
  <c r="I564" i="12" s="1"/>
  <c r="J564" i="12" s="1"/>
  <c r="G792" i="12"/>
  <c r="I792" i="12" s="1"/>
  <c r="G604" i="12"/>
  <c r="I604" i="12" s="1"/>
  <c r="J604" i="12" s="1"/>
  <c r="G699" i="12"/>
  <c r="I699" i="12" s="1"/>
  <c r="J699" i="12" s="1"/>
  <c r="G556" i="12"/>
  <c r="I556" i="12" s="1"/>
  <c r="J556" i="12" s="1"/>
  <c r="G409" i="12"/>
  <c r="I409" i="12" s="1"/>
  <c r="J409" i="12" s="1"/>
  <c r="G689" i="12"/>
  <c r="I689" i="12" s="1"/>
  <c r="J689" i="12" s="1"/>
  <c r="G173" i="12"/>
  <c r="I173" i="12" s="1"/>
  <c r="J173" i="12" s="1"/>
  <c r="G554" i="12"/>
  <c r="I554" i="12" s="1"/>
  <c r="J554" i="12" s="1"/>
  <c r="G701" i="12"/>
  <c r="I701" i="12" s="1"/>
  <c r="J701" i="12" s="1"/>
  <c r="G550" i="12"/>
  <c r="I550" i="12" s="1"/>
  <c r="J550" i="12" s="1"/>
  <c r="G544" i="12"/>
  <c r="I544" i="12" s="1"/>
  <c r="J544" i="12" s="1"/>
  <c r="G695" i="12"/>
  <c r="I695" i="12" s="1"/>
  <c r="J695" i="12" s="1"/>
  <c r="G446" i="12"/>
  <c r="I446" i="12" s="1"/>
  <c r="J446" i="12" s="1"/>
  <c r="G612" i="12"/>
  <c r="I612" i="12" s="1"/>
  <c r="J612" i="12" s="1"/>
  <c r="G691" i="12"/>
  <c r="I691" i="12" s="1"/>
  <c r="J691" i="12" s="1"/>
  <c r="G570" i="12"/>
  <c r="I570" i="12" s="1"/>
  <c r="J570" i="12" s="1"/>
  <c r="G844" i="12"/>
  <c r="I844" i="12" s="1"/>
  <c r="G703" i="12"/>
  <c r="I703" i="12" s="1"/>
  <c r="J703" i="12" s="1"/>
  <c r="G444" i="12"/>
  <c r="I444" i="12" s="1"/>
  <c r="J444" i="12" s="1"/>
  <c r="G610" i="12"/>
  <c r="I610" i="12" s="1"/>
  <c r="J610" i="12" s="1"/>
  <c r="G693" i="12"/>
  <c r="I693" i="12" s="1"/>
  <c r="J693" i="12" s="1"/>
  <c r="G608" i="12"/>
  <c r="I608" i="12" s="1"/>
  <c r="J608" i="12" s="1"/>
  <c r="G606" i="12"/>
  <c r="I606" i="12" s="1"/>
  <c r="J606" i="12" s="1"/>
  <c r="G786" i="12"/>
  <c r="I786" i="12" s="1"/>
  <c r="G602" i="12"/>
  <c r="I602" i="12" s="1"/>
  <c r="J602" i="12" s="1"/>
  <c r="G697" i="12"/>
  <c r="I697" i="12" s="1"/>
  <c r="J697" i="12" s="1"/>
  <c r="G440" i="12"/>
  <c r="I440" i="12" s="1"/>
  <c r="J440" i="12" s="1"/>
  <c r="G560" i="12"/>
  <c r="I560" i="12" s="1"/>
  <c r="J560" i="12" s="1"/>
  <c r="G442" i="12"/>
  <c r="I442" i="12" s="1"/>
  <c r="J442" i="12" s="1"/>
  <c r="G566" i="12"/>
  <c r="I566" i="12" s="1"/>
  <c r="J566" i="12" s="1"/>
  <c r="G834" i="12"/>
  <c r="I834" i="12" s="1"/>
  <c r="G838" i="12"/>
  <c r="I838" i="12" s="1"/>
  <c r="G830" i="12"/>
  <c r="I830" i="12" s="1"/>
  <c r="G836" i="12"/>
  <c r="I836" i="12" s="1"/>
  <c r="G842" i="12"/>
  <c r="I842" i="12" s="1"/>
  <c r="G840" i="12"/>
  <c r="I840" i="12" s="1"/>
  <c r="G683" i="12"/>
  <c r="I683" i="12" s="1"/>
  <c r="J683" i="12" s="1"/>
  <c r="G677" i="12"/>
  <c r="I677" i="12" s="1"/>
  <c r="J677" i="12" s="1"/>
  <c r="J676" i="12" s="1"/>
  <c r="G687" i="12"/>
  <c r="I687" i="12" s="1"/>
  <c r="J687" i="12" s="1"/>
  <c r="G179" i="12"/>
  <c r="I179" i="12" s="1"/>
  <c r="J179" i="12" s="1"/>
  <c r="G490" i="12"/>
  <c r="I490" i="12" s="1"/>
  <c r="J490" i="12" s="1"/>
  <c r="G484" i="12"/>
  <c r="I484" i="12" s="1"/>
  <c r="J484" i="12" s="1"/>
  <c r="G494" i="12"/>
  <c r="I494" i="12" s="1"/>
  <c r="J494" i="12" s="1"/>
  <c r="G474" i="12"/>
  <c r="I474" i="12" s="1"/>
  <c r="J474" i="12" s="1"/>
  <c r="G476" i="12"/>
  <c r="I476" i="12" s="1"/>
  <c r="J476" i="12" s="1"/>
  <c r="G488" i="12"/>
  <c r="I488" i="12" s="1"/>
  <c r="J488" i="12" s="1"/>
  <c r="G470" i="12"/>
  <c r="I470" i="12" s="1"/>
  <c r="J470" i="12" s="1"/>
  <c r="G482" i="12"/>
  <c r="I482" i="12" s="1"/>
  <c r="J482" i="12" s="1"/>
  <c r="G480" i="12"/>
  <c r="I480" i="12" s="1"/>
  <c r="J480" i="12" s="1"/>
  <c r="G486" i="12"/>
  <c r="I486" i="12" s="1"/>
  <c r="J486" i="12" s="1"/>
  <c r="G492" i="12"/>
  <c r="I492" i="12" s="1"/>
  <c r="J492" i="12" s="1"/>
  <c r="G177" i="12"/>
  <c r="I177" i="12" s="1"/>
  <c r="J177" i="12" s="1"/>
  <c r="G498" i="12"/>
  <c r="I498" i="12" s="1"/>
  <c r="J498" i="12" s="1"/>
  <c r="G852" i="12"/>
  <c r="I852" i="12" s="1"/>
  <c r="G502" i="12"/>
  <c r="I502" i="12" s="1"/>
  <c r="J502" i="12" s="1"/>
  <c r="G580" i="12"/>
  <c r="I580" i="12" s="1"/>
  <c r="J580" i="12" s="1"/>
  <c r="G848" i="12"/>
  <c r="I848" i="12" s="1"/>
  <c r="G576" i="12"/>
  <c r="I576" i="12" s="1"/>
  <c r="J576" i="12" s="1"/>
  <c r="G711" i="12"/>
  <c r="I711" i="12" s="1"/>
  <c r="J711" i="12" s="1"/>
  <c r="G574" i="12"/>
  <c r="I574" i="12" s="1"/>
  <c r="J574" i="12" s="1"/>
  <c r="G850" i="12"/>
  <c r="I850" i="12" s="1"/>
  <c r="G620" i="12"/>
  <c r="I620" i="12" s="1"/>
  <c r="J620" i="12" s="1"/>
  <c r="G707" i="12"/>
  <c r="I707" i="12" s="1"/>
  <c r="J707" i="12" s="1"/>
  <c r="G578" i="12"/>
  <c r="I578" i="12" s="1"/>
  <c r="J578" i="12" s="1"/>
  <c r="J793" i="12"/>
  <c r="G425" i="12"/>
  <c r="I425" i="12" s="1"/>
  <c r="J425" i="12" s="1"/>
  <c r="G126" i="12"/>
  <c r="I126" i="12" s="1"/>
  <c r="J126" i="12" s="1"/>
  <c r="G428" i="12"/>
  <c r="I428" i="12" s="1"/>
  <c r="J428" i="12" s="1"/>
  <c r="G144" i="12"/>
  <c r="I144" i="12" s="1"/>
  <c r="J144" i="12" s="1"/>
  <c r="G234" i="12"/>
  <c r="I234" i="12" s="1"/>
  <c r="J234" i="12" s="1"/>
  <c r="G225" i="12"/>
  <c r="I225" i="12" s="1"/>
  <c r="J225" i="12" s="1"/>
  <c r="F761" i="12"/>
  <c r="F346" i="12"/>
  <c r="F295" i="12"/>
  <c r="F395" i="12"/>
  <c r="F777" i="12"/>
  <c r="F437" i="12"/>
  <c r="F647" i="12"/>
  <c r="F804" i="12"/>
  <c r="F456" i="12"/>
  <c r="F665" i="12"/>
  <c r="F663" i="12"/>
  <c r="F397" i="12"/>
  <c r="F763" i="12"/>
  <c r="G635" i="12"/>
  <c r="I635" i="12" s="1"/>
  <c r="J635" i="12" s="1"/>
  <c r="G171" i="12"/>
  <c r="I171" i="12" s="1"/>
  <c r="J171" i="12" s="1"/>
  <c r="G679" i="12"/>
  <c r="I679" i="12" s="1"/>
  <c r="J679" i="12" s="1"/>
  <c r="J678" i="12" s="1"/>
  <c r="G407" i="12"/>
  <c r="I407" i="12" s="1"/>
  <c r="J407" i="12" s="1"/>
  <c r="G232" i="12"/>
  <c r="I232" i="12" s="1"/>
  <c r="J232" i="12" s="1"/>
  <c r="G223" i="12"/>
  <c r="I223" i="12" s="1"/>
  <c r="J223" i="12" s="1"/>
  <c r="F727" i="12"/>
  <c r="F759" i="12"/>
  <c r="I27" i="12" s="1"/>
  <c r="F673" i="12"/>
  <c r="F825" i="12"/>
  <c r="F466" i="12"/>
  <c r="F540" i="12"/>
  <c r="F321" i="12"/>
  <c r="F618" i="12"/>
  <c r="F504" i="12"/>
  <c r="F709" i="12"/>
  <c r="F713" i="12"/>
  <c r="F500" i="12"/>
  <c r="F622" i="12"/>
  <c r="F124" i="12"/>
  <c r="F338" i="12"/>
  <c r="F422" i="12"/>
  <c r="F753" i="12"/>
  <c r="F104" i="12"/>
  <c r="I15" i="12" s="1"/>
  <c r="F159" i="12"/>
  <c r="F331" i="12"/>
  <c r="F228" i="12"/>
  <c r="F219" i="12"/>
  <c r="G346" i="12"/>
  <c r="I346" i="12" s="1"/>
  <c r="J346" i="12" s="1"/>
  <c r="G295" i="12"/>
  <c r="I295" i="12" s="1"/>
  <c r="J295" i="12" s="1"/>
  <c r="G761" i="12"/>
  <c r="I761" i="12" s="1"/>
  <c r="J761" i="12" s="1"/>
  <c r="G395" i="12"/>
  <c r="I395" i="12" s="1"/>
  <c r="J395" i="12" s="1"/>
  <c r="G437" i="12"/>
  <c r="I437" i="12" s="1"/>
  <c r="J437" i="12" s="1"/>
  <c r="G777" i="12"/>
  <c r="I777" i="12" s="1"/>
  <c r="J777" i="12" s="1"/>
  <c r="G804" i="12"/>
  <c r="I804" i="12" s="1"/>
  <c r="J804" i="12" s="1"/>
  <c r="G456" i="12"/>
  <c r="I456" i="12" s="1"/>
  <c r="J456" i="12" s="1"/>
  <c r="G647" i="12"/>
  <c r="I647" i="12" s="1"/>
  <c r="J647" i="12" s="1"/>
  <c r="G665" i="12"/>
  <c r="I665" i="12" s="1"/>
  <c r="J665" i="12" s="1"/>
  <c r="G663" i="12"/>
  <c r="I663" i="12" s="1"/>
  <c r="J663" i="12" s="1"/>
  <c r="G763" i="12"/>
  <c r="I763" i="12" s="1"/>
  <c r="J763" i="12" s="1"/>
  <c r="G397" i="12"/>
  <c r="I397" i="12" s="1"/>
  <c r="J397" i="12" s="1"/>
  <c r="F780" i="12"/>
  <c r="F350" i="12"/>
  <c r="G53" i="12"/>
  <c r="I53" i="12" s="1"/>
  <c r="J53" i="12" s="1"/>
  <c r="G320" i="12"/>
  <c r="I320" i="12" s="1"/>
  <c r="J320" i="12" s="1"/>
  <c r="G89" i="12"/>
  <c r="I89" i="12" s="1"/>
  <c r="J89" i="12" s="1"/>
  <c r="G88" i="12"/>
  <c r="I88" i="12" s="1"/>
  <c r="J88" i="12" s="1"/>
  <c r="G825" i="12"/>
  <c r="I825" i="12" s="1"/>
  <c r="J825" i="12" s="1"/>
  <c r="G466" i="12"/>
  <c r="I466" i="12" s="1"/>
  <c r="J466" i="12" s="1"/>
  <c r="G540" i="12"/>
  <c r="I540" i="12" s="1"/>
  <c r="J540" i="12" s="1"/>
  <c r="G673" i="12"/>
  <c r="I673" i="12" s="1"/>
  <c r="J673" i="12" s="1"/>
  <c r="G321" i="12"/>
  <c r="I321" i="12" s="1"/>
  <c r="J321" i="12" s="1"/>
  <c r="G504" i="12"/>
  <c r="I504" i="12" s="1"/>
  <c r="J504" i="12" s="1"/>
  <c r="G618" i="12"/>
  <c r="I618" i="12" s="1"/>
  <c r="J618" i="12" s="1"/>
  <c r="G713" i="12"/>
  <c r="I713" i="12" s="1"/>
  <c r="J713" i="12" s="1"/>
  <c r="G622" i="12"/>
  <c r="I622" i="12" s="1"/>
  <c r="J622" i="12" s="1"/>
  <c r="G500" i="12"/>
  <c r="I500" i="12" s="1"/>
  <c r="J500" i="12" s="1"/>
  <c r="G709" i="12"/>
  <c r="I709" i="12" s="1"/>
  <c r="J709" i="12" s="1"/>
  <c r="G124" i="12"/>
  <c r="I124" i="12" s="1"/>
  <c r="J124" i="12" s="1"/>
  <c r="G338" i="12"/>
  <c r="I338" i="12" s="1"/>
  <c r="J338" i="12" s="1"/>
  <c r="G104" i="12"/>
  <c r="I104" i="12" s="1"/>
  <c r="J104" i="12" s="1"/>
  <c r="G422" i="12"/>
  <c r="I422" i="12" s="1"/>
  <c r="J422" i="12" s="1"/>
  <c r="G753" i="12"/>
  <c r="I753" i="12" s="1"/>
  <c r="J753" i="12" s="1"/>
  <c r="G331" i="12"/>
  <c r="I331" i="12" s="1"/>
  <c r="J331" i="12" s="1"/>
  <c r="G159" i="12"/>
  <c r="I159" i="12" s="1"/>
  <c r="J159" i="12" s="1"/>
  <c r="G219" i="12"/>
  <c r="I219" i="12" s="1"/>
  <c r="J219" i="12" s="1"/>
  <c r="G228" i="12"/>
  <c r="I228" i="12" s="1"/>
  <c r="J228" i="12" s="1"/>
  <c r="F779" i="12"/>
  <c r="F434" i="12"/>
  <c r="F738" i="12"/>
  <c r="F435" i="12"/>
  <c r="F781" i="12"/>
  <c r="F351" i="12"/>
  <c r="F296" i="12"/>
  <c r="F358" i="12"/>
  <c r="F301" i="12"/>
  <c r="F305" i="12"/>
  <c r="F362" i="12"/>
  <c r="F741" i="12"/>
  <c r="F455" i="12"/>
  <c r="F529" i="12"/>
  <c r="F672" i="12"/>
  <c r="F807" i="12"/>
  <c r="F651" i="12"/>
  <c r="F664" i="12"/>
  <c r="F666" i="12"/>
  <c r="F802" i="12"/>
  <c r="F630" i="12"/>
  <c r="F334" i="12"/>
  <c r="F821" i="12"/>
  <c r="F451" i="12"/>
  <c r="F167" i="12"/>
  <c r="F668" i="12"/>
  <c r="F336" i="12"/>
  <c r="F514" i="12"/>
  <c r="F755" i="12"/>
  <c r="F430" i="12"/>
  <c r="F631" i="12"/>
  <c r="F632" i="12"/>
  <c r="F826" i="12"/>
  <c r="F541" i="12"/>
  <c r="F169" i="12"/>
  <c r="F674" i="12"/>
  <c r="F633" i="12"/>
  <c r="F57" i="12"/>
  <c r="F832" i="12"/>
  <c r="F472" i="12"/>
  <c r="F92" i="12"/>
  <c r="F401" i="12"/>
  <c r="F61" i="12"/>
  <c r="F59" i="12"/>
  <c r="F639" i="12"/>
  <c r="F637" i="12"/>
  <c r="F643" i="12"/>
  <c r="F685" i="12"/>
  <c r="F681" i="12"/>
  <c r="F641" i="12"/>
  <c r="F468" i="12"/>
  <c r="F478" i="12"/>
  <c r="F94" i="12"/>
  <c r="F290" i="12"/>
  <c r="F181" i="12"/>
  <c r="F175" i="12"/>
  <c r="F510" i="12"/>
  <c r="F339" i="12"/>
  <c r="F449" i="12"/>
  <c r="F114" i="12"/>
  <c r="F328" i="12"/>
  <c r="F139" i="12"/>
  <c r="F150" i="12"/>
  <c r="F160" i="12"/>
  <c r="F152" i="12"/>
  <c r="F221" i="12"/>
  <c r="F229" i="12"/>
  <c r="G779" i="12"/>
  <c r="I779" i="12" s="1"/>
  <c r="J779" i="12" s="1"/>
  <c r="G738" i="12"/>
  <c r="I738" i="12" s="1"/>
  <c r="J738" i="12" s="1"/>
  <c r="G434" i="12"/>
  <c r="I434" i="12" s="1"/>
  <c r="J434" i="12" s="1"/>
  <c r="G781" i="12"/>
  <c r="I781" i="12" s="1"/>
  <c r="J781" i="12" s="1"/>
  <c r="G435" i="12"/>
  <c r="I435" i="12" s="1"/>
  <c r="J435" i="12" s="1"/>
  <c r="G351" i="12"/>
  <c r="I351" i="12" s="1"/>
  <c r="J351" i="12" s="1"/>
  <c r="G296" i="12"/>
  <c r="I296" i="12" s="1"/>
  <c r="J296" i="12" s="1"/>
  <c r="G358" i="12"/>
  <c r="I358" i="12" s="1"/>
  <c r="J358" i="12" s="1"/>
  <c r="G301" i="12"/>
  <c r="I301" i="12" s="1"/>
  <c r="J301" i="12" s="1"/>
  <c r="G741" i="12"/>
  <c r="I741" i="12" s="1"/>
  <c r="J741" i="12" s="1"/>
  <c r="G362" i="12"/>
  <c r="I362" i="12" s="1"/>
  <c r="J362" i="12" s="1"/>
  <c r="G305" i="12"/>
  <c r="I305" i="12" s="1"/>
  <c r="J305" i="12" s="1"/>
  <c r="G455" i="12"/>
  <c r="I455" i="12" s="1"/>
  <c r="J455" i="12" s="1"/>
  <c r="G529" i="12"/>
  <c r="I529" i="12" s="1"/>
  <c r="J529" i="12" s="1"/>
  <c r="G672" i="12"/>
  <c r="I672" i="12" s="1"/>
  <c r="J672" i="12" s="1"/>
  <c r="G651" i="12"/>
  <c r="I651" i="12" s="1"/>
  <c r="J651" i="12" s="1"/>
  <c r="G807" i="12"/>
  <c r="I807" i="12" s="1"/>
  <c r="J807" i="12" s="1"/>
  <c r="G664" i="12"/>
  <c r="I664" i="12" s="1"/>
  <c r="J664" i="12" s="1"/>
  <c r="G666" i="12"/>
  <c r="I666" i="12" s="1"/>
  <c r="J666" i="12" s="1"/>
  <c r="F646" i="12"/>
  <c r="F803" i="12"/>
  <c r="F393" i="12"/>
  <c r="F737" i="12"/>
  <c r="F705" i="12"/>
  <c r="F496" i="12"/>
  <c r="F233" i="12"/>
  <c r="F224" i="12"/>
  <c r="G632" i="12"/>
  <c r="I632" i="12" s="1"/>
  <c r="J632" i="12" s="1"/>
  <c r="G169" i="12"/>
  <c r="I169" i="12" s="1"/>
  <c r="J169" i="12" s="1"/>
  <c r="G674" i="12"/>
  <c r="I674" i="12" s="1"/>
  <c r="J674" i="12" s="1"/>
  <c r="G826" i="12"/>
  <c r="I826" i="12" s="1"/>
  <c r="J826" i="12" s="1"/>
  <c r="G541" i="12"/>
  <c r="I541" i="12" s="1"/>
  <c r="J541" i="12" s="1"/>
  <c r="G633" i="12"/>
  <c r="I633" i="12" s="1"/>
  <c r="J633" i="12" s="1"/>
  <c r="G57" i="12"/>
  <c r="I57" i="12" s="1"/>
  <c r="J57" i="12" s="1"/>
  <c r="G832" i="12"/>
  <c r="I832" i="12" s="1"/>
  <c r="J832" i="12" s="1"/>
  <c r="G472" i="12"/>
  <c r="I472" i="12" s="1"/>
  <c r="J472" i="12" s="1"/>
  <c r="G92" i="12"/>
  <c r="I92" i="12" s="1"/>
  <c r="J92" i="12" s="1"/>
  <c r="G401" i="12"/>
  <c r="I401" i="12" s="1"/>
  <c r="J401" i="12" s="1"/>
  <c r="G61" i="12"/>
  <c r="I61" i="12" s="1"/>
  <c r="J61" i="12" s="1"/>
  <c r="G59" i="12"/>
  <c r="I59" i="12" s="1"/>
  <c r="J59" i="12" s="1"/>
  <c r="G639" i="12"/>
  <c r="I639" i="12" s="1"/>
  <c r="J639" i="12" s="1"/>
  <c r="G637" i="12"/>
  <c r="I637" i="12" s="1"/>
  <c r="J637" i="12" s="1"/>
  <c r="G643" i="12"/>
  <c r="I643" i="12" s="1"/>
  <c r="J643" i="12" s="1"/>
  <c r="G685" i="12"/>
  <c r="I685" i="12" s="1"/>
  <c r="J685" i="12" s="1"/>
  <c r="G681" i="12"/>
  <c r="I681" i="12" s="1"/>
  <c r="J681" i="12" s="1"/>
  <c r="G641" i="12"/>
  <c r="I641" i="12" s="1"/>
  <c r="J641" i="12" s="1"/>
  <c r="G478" i="12"/>
  <c r="I478" i="12" s="1"/>
  <c r="J478" i="12" s="1"/>
  <c r="G468" i="12"/>
  <c r="I468" i="12" s="1"/>
  <c r="J468" i="12" s="1"/>
  <c r="G94" i="12"/>
  <c r="I94" i="12" s="1"/>
  <c r="J94" i="12" s="1"/>
  <c r="G290" i="12"/>
  <c r="I290" i="12" s="1"/>
  <c r="J290" i="12" s="1"/>
  <c r="G181" i="12"/>
  <c r="I181" i="12" s="1"/>
  <c r="J181" i="12" s="1"/>
  <c r="G175" i="12"/>
  <c r="I175" i="12" s="1"/>
  <c r="J175" i="12" s="1"/>
  <c r="G449" i="12"/>
  <c r="I449" i="12" s="1"/>
  <c r="J449" i="12" s="1"/>
  <c r="G339" i="12"/>
  <c r="I339" i="12" s="1"/>
  <c r="J339" i="12" s="1"/>
  <c r="G510" i="12"/>
  <c r="I510" i="12" s="1"/>
  <c r="J510" i="12" s="1"/>
  <c r="G114" i="12"/>
  <c r="I114" i="12" s="1"/>
  <c r="J114" i="12" s="1"/>
  <c r="G139" i="12"/>
  <c r="I139" i="12" s="1"/>
  <c r="J139" i="12" s="1"/>
  <c r="G328" i="12"/>
  <c r="I328" i="12" s="1"/>
  <c r="J328" i="12" s="1"/>
  <c r="G160" i="12"/>
  <c r="I160" i="12" s="1"/>
  <c r="J160" i="12" s="1"/>
  <c r="G152" i="12"/>
  <c r="I152" i="12" s="1"/>
  <c r="J152" i="12" s="1"/>
  <c r="G150" i="12"/>
  <c r="I150" i="12" s="1"/>
  <c r="J150" i="12" s="1"/>
  <c r="G221" i="12"/>
  <c r="I221" i="12" s="1"/>
  <c r="J221" i="12" s="1"/>
  <c r="G229" i="12"/>
  <c r="I229" i="12" s="1"/>
  <c r="J229" i="12" s="1"/>
  <c r="F297" i="12"/>
  <c r="F347" i="12"/>
  <c r="F352" i="12"/>
  <c r="F299" i="12"/>
  <c r="I18" i="12" s="1"/>
  <c r="F306" i="12"/>
  <c r="F363" i="12"/>
  <c r="F742" i="12"/>
  <c r="F670" i="12"/>
  <c r="F530" i="12"/>
  <c r="F822" i="12"/>
  <c r="F452" i="12"/>
  <c r="F527" i="12"/>
  <c r="F823" i="12"/>
  <c r="F669" i="12"/>
  <c r="F453" i="12"/>
  <c r="F808" i="12"/>
  <c r="F652" i="12"/>
  <c r="F736" i="12"/>
  <c r="F392" i="12"/>
  <c r="G137" i="12"/>
  <c r="I137" i="12" s="1"/>
  <c r="J137" i="12" s="1"/>
  <c r="G327" i="12"/>
  <c r="I327" i="12" s="1"/>
  <c r="J327" i="12" s="1"/>
  <c r="G350" i="12"/>
  <c r="I350" i="12" s="1"/>
  <c r="J350" i="12" s="1"/>
  <c r="G780" i="12"/>
  <c r="I780" i="12" s="1"/>
  <c r="J780" i="12" s="1"/>
  <c r="G371" i="12"/>
  <c r="I371" i="12" s="1"/>
  <c r="J371" i="12" s="1"/>
  <c r="G311" i="12"/>
  <c r="I311" i="12" s="1"/>
  <c r="J311" i="12" s="1"/>
  <c r="G646" i="12"/>
  <c r="I646" i="12" s="1"/>
  <c r="J646" i="12" s="1"/>
  <c r="G803" i="12"/>
  <c r="I803" i="12" s="1"/>
  <c r="J803" i="12" s="1"/>
  <c r="F546" i="12"/>
  <c r="F614" i="12"/>
  <c r="F572" i="12"/>
  <c r="F846" i="12"/>
  <c r="F153" i="12"/>
  <c r="F161" i="12"/>
  <c r="F332" i="12"/>
  <c r="F151" i="12"/>
  <c r="F231" i="12"/>
  <c r="F222" i="12"/>
  <c r="G297" i="12"/>
  <c r="I297" i="12" s="1"/>
  <c r="J297" i="12" s="1"/>
  <c r="G347" i="12"/>
  <c r="I347" i="12" s="1"/>
  <c r="J347" i="12" s="1"/>
  <c r="G352" i="12"/>
  <c r="I352" i="12" s="1"/>
  <c r="J352" i="12" s="1"/>
  <c r="G299" i="12"/>
  <c r="I299" i="12" s="1"/>
  <c r="J299" i="12" s="1"/>
  <c r="G363" i="12"/>
  <c r="I363" i="12" s="1"/>
  <c r="J363" i="12" s="1"/>
  <c r="G306" i="12"/>
  <c r="I306" i="12" s="1"/>
  <c r="J306" i="12" s="1"/>
  <c r="G742" i="12"/>
  <c r="I742" i="12" s="1"/>
  <c r="J742" i="12" s="1"/>
  <c r="G452" i="12"/>
  <c r="I452" i="12" s="1"/>
  <c r="J452" i="12" s="1"/>
  <c r="G530" i="12"/>
  <c r="I530" i="12" s="1"/>
  <c r="J530" i="12" s="1"/>
  <c r="G670" i="12"/>
  <c r="I670" i="12" s="1"/>
  <c r="J670" i="12" s="1"/>
  <c r="G822" i="12"/>
  <c r="I822" i="12" s="1"/>
  <c r="J822" i="12" s="1"/>
  <c r="G527" i="12"/>
  <c r="I527" i="12" s="1"/>
  <c r="J527" i="12" s="1"/>
  <c r="G823" i="12"/>
  <c r="I823" i="12" s="1"/>
  <c r="J823" i="12" s="1"/>
  <c r="G669" i="12"/>
  <c r="I669" i="12" s="1"/>
  <c r="J669" i="12" s="1"/>
  <c r="G453" i="12"/>
  <c r="I453" i="12" s="1"/>
  <c r="J453" i="12" s="1"/>
  <c r="G652" i="12"/>
  <c r="I652" i="12" s="1"/>
  <c r="J652" i="12" s="1"/>
  <c r="G808" i="12"/>
  <c r="I808" i="12" s="1"/>
  <c r="J808" i="12" s="1"/>
  <c r="G392" i="12"/>
  <c r="I392" i="12" s="1"/>
  <c r="J392" i="12" s="1"/>
  <c r="G736" i="12"/>
  <c r="I736" i="12" s="1"/>
  <c r="J736" i="12" s="1"/>
  <c r="F856" i="12"/>
  <c r="F717" i="12"/>
  <c r="F568" i="12"/>
  <c r="F715" i="12"/>
  <c r="F854" i="12"/>
  <c r="F750" i="12"/>
  <c r="F98" i="12"/>
  <c r="G625" i="12"/>
  <c r="I625" i="12" s="1"/>
  <c r="J625" i="12" s="1"/>
  <c r="G797" i="12"/>
  <c r="I797" i="12" s="1"/>
  <c r="J797" i="12" s="1"/>
  <c r="G316" i="12"/>
  <c r="I316" i="12" s="1"/>
  <c r="J316" i="12" s="1"/>
  <c r="G45" i="12"/>
  <c r="I45" i="12" s="1"/>
  <c r="J45" i="12" s="1"/>
  <c r="G546" i="12"/>
  <c r="I546" i="12" s="1"/>
  <c r="J546" i="12" s="1"/>
  <c r="G614" i="12"/>
  <c r="I614" i="12" s="1"/>
  <c r="J614" i="12" s="1"/>
  <c r="G572" i="12"/>
  <c r="I572" i="12" s="1"/>
  <c r="J572" i="12" s="1"/>
  <c r="G846" i="12"/>
  <c r="I846" i="12" s="1"/>
  <c r="G332" i="12"/>
  <c r="I332" i="12" s="1"/>
  <c r="J332" i="12" s="1"/>
  <c r="G161" i="12"/>
  <c r="I161" i="12" s="1"/>
  <c r="J161" i="12" s="1"/>
  <c r="G153" i="12"/>
  <c r="I153" i="12" s="1"/>
  <c r="J153" i="12" s="1"/>
  <c r="G151" i="12"/>
  <c r="I151" i="12" s="1"/>
  <c r="J151" i="12" s="1"/>
  <c r="G231" i="12"/>
  <c r="I231" i="12" s="1"/>
  <c r="J231" i="12" s="1"/>
  <c r="G222" i="12"/>
  <c r="I222" i="12" s="1"/>
  <c r="J222" i="12" s="1"/>
  <c r="F739" i="12"/>
  <c r="F348" i="12"/>
  <c r="F302" i="12"/>
  <c r="F359" i="12"/>
  <c r="F743" i="12"/>
  <c r="F364" i="12"/>
  <c r="F307" i="12"/>
  <c r="F370" i="12"/>
  <c r="F310" i="12"/>
  <c r="F783" i="12"/>
  <c r="F778" i="12"/>
  <c r="F438" i="12"/>
  <c r="E20" i="122"/>
  <c r="D20" i="77"/>
  <c r="C34" i="39"/>
  <c r="F165" i="12"/>
  <c r="F667" i="12"/>
  <c r="F513" i="12"/>
  <c r="F798" i="12"/>
  <c r="F801" i="12"/>
  <c r="F429" i="12"/>
  <c r="F754" i="12"/>
  <c r="F628" i="12"/>
  <c r="F335" i="12"/>
  <c r="F450" i="12"/>
  <c r="F824" i="12"/>
  <c r="F454" i="12"/>
  <c r="F671" i="12"/>
  <c r="F528" i="12"/>
  <c r="F809" i="12"/>
  <c r="F653" i="12"/>
  <c r="F756" i="12"/>
  <c r="F398" i="12"/>
  <c r="J888" i="12"/>
  <c r="L889" i="12" s="1"/>
  <c r="J406" i="12" l="1"/>
  <c r="I851" i="12"/>
  <c r="J852" i="12"/>
  <c r="J483" i="12"/>
  <c r="J834" i="12"/>
  <c r="I833" i="12"/>
  <c r="J443" i="12"/>
  <c r="J172" i="12"/>
  <c r="J557" i="12"/>
  <c r="J855" i="12"/>
  <c r="J571" i="12"/>
  <c r="J636" i="12"/>
  <c r="J831" i="12"/>
  <c r="J170" i="12"/>
  <c r="J577" i="12"/>
  <c r="J497" i="12"/>
  <c r="J489" i="12"/>
  <c r="J565" i="12"/>
  <c r="J702" i="12"/>
  <c r="J688" i="12"/>
  <c r="J95" i="12"/>
  <c r="J714" i="12"/>
  <c r="J408" i="12"/>
  <c r="J495" i="12"/>
  <c r="J501" i="12"/>
  <c r="I845" i="12"/>
  <c r="J846" i="12"/>
  <c r="J619" i="12"/>
  <c r="J491" i="12"/>
  <c r="J686" i="12"/>
  <c r="J559" i="12"/>
  <c r="J569" i="12"/>
  <c r="J555" i="12"/>
  <c r="J615" i="12"/>
  <c r="J704" i="12"/>
  <c r="J176" i="12"/>
  <c r="I849" i="12"/>
  <c r="J850" i="12"/>
  <c r="J485" i="12"/>
  <c r="J439" i="12"/>
  <c r="J690" i="12"/>
  <c r="J698" i="12"/>
  <c r="J410" i="12"/>
  <c r="J469" i="12"/>
  <c r="E16" i="122"/>
  <c r="D16" i="77"/>
  <c r="C18" i="39"/>
  <c r="J599" i="12"/>
  <c r="J30" i="12"/>
  <c r="J890" i="12"/>
  <c r="L888" i="12"/>
  <c r="J638" i="12"/>
  <c r="J178" i="12"/>
  <c r="J545" i="12"/>
  <c r="J289" i="12"/>
  <c r="J60" i="12"/>
  <c r="J708" i="12"/>
  <c r="J573" i="12"/>
  <c r="J479" i="12"/>
  <c r="J682" i="12"/>
  <c r="J696" i="12"/>
  <c r="J611" i="12"/>
  <c r="J603" i="12"/>
  <c r="J789" i="12"/>
  <c r="J567" i="12"/>
  <c r="J609" i="12"/>
  <c r="J642" i="12"/>
  <c r="J58" i="12"/>
  <c r="J93" i="12"/>
  <c r="J499" i="12"/>
  <c r="J345" i="12"/>
  <c r="J710" i="12"/>
  <c r="J481" i="12"/>
  <c r="J840" i="12"/>
  <c r="I839" i="12"/>
  <c r="J601" i="12"/>
  <c r="J445" i="12"/>
  <c r="J792" i="12"/>
  <c r="I791" i="12"/>
  <c r="J404" i="12"/>
  <c r="J716" i="12"/>
  <c r="J493" i="12"/>
  <c r="I843" i="12"/>
  <c r="J844" i="12"/>
  <c r="J174" i="12"/>
  <c r="J315" i="12"/>
  <c r="J467" i="12"/>
  <c r="J400" i="12"/>
  <c r="J621" i="12"/>
  <c r="E28" i="122"/>
  <c r="D26" i="77"/>
  <c r="C66" i="39"/>
  <c r="J471" i="12"/>
  <c r="I841" i="12"/>
  <c r="J842" i="12"/>
  <c r="J786" i="12"/>
  <c r="I785" i="12"/>
  <c r="J694" i="12"/>
  <c r="J563" i="12"/>
  <c r="J547" i="12"/>
  <c r="J97" i="12"/>
  <c r="J838" i="12"/>
  <c r="I837" i="12"/>
  <c r="J634" i="12"/>
  <c r="D19" i="77"/>
  <c r="E19" i="122"/>
  <c r="C30" i="39"/>
  <c r="J477" i="12"/>
  <c r="J712" i="12"/>
  <c r="J575" i="12"/>
  <c r="J487" i="12"/>
  <c r="J605" i="12"/>
  <c r="J543" i="12"/>
  <c r="J828" i="12"/>
  <c r="I827" i="12"/>
  <c r="J551" i="12"/>
  <c r="J441" i="12"/>
  <c r="J294" i="12"/>
  <c r="L295" i="12" s="1"/>
  <c r="J640" i="12"/>
  <c r="J91" i="12"/>
  <c r="J617" i="12"/>
  <c r="I847" i="12"/>
  <c r="J848" i="12"/>
  <c r="J475" i="12"/>
  <c r="I835" i="12"/>
  <c r="J836" i="12"/>
  <c r="J607" i="12"/>
  <c r="J549" i="12"/>
  <c r="J788" i="12"/>
  <c r="I787" i="12"/>
  <c r="J402" i="12"/>
  <c r="J749" i="12"/>
  <c r="J684" i="12"/>
  <c r="J553" i="12"/>
  <c r="J613" i="12"/>
  <c r="J706" i="12"/>
  <c r="J180" i="12"/>
  <c r="F460" i="12"/>
  <c r="I21" i="12" s="1"/>
  <c r="F655" i="12"/>
  <c r="I25" i="12" s="1"/>
  <c r="F811" i="12"/>
  <c r="F532" i="12"/>
  <c r="I22" i="12" s="1"/>
  <c r="J680" i="12"/>
  <c r="J503" i="12"/>
  <c r="J579" i="12"/>
  <c r="J473" i="12"/>
  <c r="I829" i="12"/>
  <c r="J830" i="12"/>
  <c r="J692" i="12"/>
  <c r="J700" i="12"/>
  <c r="J561" i="12"/>
  <c r="J853" i="12"/>
  <c r="L311" i="12" l="1"/>
  <c r="L302" i="12"/>
  <c r="L308" i="12"/>
  <c r="L310" i="12"/>
  <c r="J313" i="12"/>
  <c r="J18" i="12"/>
  <c r="L294" i="12"/>
  <c r="L298" i="12"/>
  <c r="L305" i="12"/>
  <c r="J785" i="12"/>
  <c r="J791" i="12"/>
  <c r="L304" i="12"/>
  <c r="J843" i="12"/>
  <c r="J829" i="12"/>
  <c r="L296" i="12"/>
  <c r="J851" i="12"/>
  <c r="L300" i="12"/>
  <c r="E23" i="122"/>
  <c r="D34" i="77"/>
  <c r="C46" i="39"/>
  <c r="J827" i="12"/>
  <c r="J837" i="12"/>
  <c r="L297" i="12"/>
  <c r="L306" i="12"/>
  <c r="L312" i="12"/>
  <c r="J787" i="12"/>
  <c r="J847" i="12"/>
  <c r="J841" i="12"/>
  <c r="J839" i="12"/>
  <c r="J845" i="12"/>
  <c r="L303" i="12"/>
  <c r="L301" i="12"/>
  <c r="D24" i="77"/>
  <c r="E26" i="122"/>
  <c r="C58" i="39"/>
  <c r="E22" i="122"/>
  <c r="D21" i="77"/>
  <c r="C42" i="39"/>
  <c r="J849" i="12"/>
  <c r="L309" i="12"/>
  <c r="J835" i="12"/>
  <c r="L307" i="12"/>
  <c r="L30" i="12"/>
  <c r="F32" i="122"/>
  <c r="H32" i="122" s="1"/>
  <c r="D78" i="39"/>
  <c r="E13" i="77"/>
  <c r="L299" i="12"/>
  <c r="J833" i="12"/>
  <c r="F79" i="39" l="1"/>
  <c r="V79" i="39"/>
  <c r="V80" i="39" s="1"/>
  <c r="L79" i="39"/>
  <c r="L80" i="39" s="1"/>
  <c r="I79" i="39"/>
  <c r="I80" i="39" s="1"/>
  <c r="S79" i="39"/>
  <c r="S80" i="39" s="1"/>
  <c r="W79" i="39"/>
  <c r="W80" i="39" s="1"/>
  <c r="R79" i="39"/>
  <c r="R80" i="39" s="1"/>
  <c r="T79" i="39"/>
  <c r="T80" i="39" s="1"/>
  <c r="H79" i="39"/>
  <c r="H80" i="39" s="1"/>
  <c r="K79" i="39"/>
  <c r="K80" i="39" s="1"/>
  <c r="O79" i="39"/>
  <c r="O80" i="39" s="1"/>
  <c r="G79" i="39"/>
  <c r="G80" i="39" s="1"/>
  <c r="P79" i="39"/>
  <c r="P80" i="39" s="1"/>
  <c r="N79" i="39"/>
  <c r="N80" i="39" s="1"/>
  <c r="M79" i="39"/>
  <c r="M80" i="39" s="1"/>
  <c r="U79" i="39"/>
  <c r="U80" i="39" s="1"/>
  <c r="J79" i="39"/>
  <c r="J80" i="39" s="1"/>
  <c r="Q79" i="39"/>
  <c r="Q80" i="39" s="1"/>
  <c r="D30" i="39"/>
  <c r="L18" i="12"/>
  <c r="E19" i="77"/>
  <c r="F19" i="122"/>
  <c r="H19" i="122" s="1"/>
  <c r="X79" i="39" l="1"/>
  <c r="V31" i="39"/>
  <c r="V32" i="39" s="1"/>
  <c r="K31" i="39"/>
  <c r="K32" i="39" s="1"/>
  <c r="W31" i="39"/>
  <c r="W32" i="39" s="1"/>
  <c r="Q31" i="39"/>
  <c r="Q32" i="39" s="1"/>
  <c r="O31" i="39"/>
  <c r="O32" i="39" s="1"/>
  <c r="H31" i="39"/>
  <c r="H32" i="39" s="1"/>
  <c r="L31" i="39"/>
  <c r="L32" i="39" s="1"/>
  <c r="N31" i="39"/>
  <c r="N32" i="39" s="1"/>
  <c r="M31" i="39"/>
  <c r="M32" i="39" s="1"/>
  <c r="R31" i="39"/>
  <c r="R32" i="39" s="1"/>
  <c r="S31" i="39"/>
  <c r="S32" i="39" s="1"/>
  <c r="U31" i="39"/>
  <c r="U32" i="39" s="1"/>
  <c r="P31" i="39"/>
  <c r="P32" i="39" s="1"/>
  <c r="G31" i="39"/>
  <c r="G32" i="39" s="1"/>
  <c r="F31" i="39"/>
  <c r="F32" i="39" s="1"/>
  <c r="J31" i="39"/>
  <c r="J32" i="39" s="1"/>
  <c r="T31" i="39"/>
  <c r="T32" i="39" s="1"/>
  <c r="I31" i="39"/>
  <c r="I32" i="39" s="1"/>
  <c r="F80" i="39"/>
  <c r="X80" i="39" s="1"/>
  <c r="X32" i="39" l="1"/>
  <c r="Y79" i="39"/>
  <c r="Z79" i="39"/>
  <c r="Y77" i="39"/>
  <c r="Y80" i="39"/>
  <c r="X31" i="39"/>
  <c r="Y31" i="39" l="1"/>
  <c r="Z31" i="39"/>
  <c r="Y32" i="39"/>
  <c r="Y29" i="39"/>
  <c r="F208" i="12" l="1"/>
  <c r="F209" i="12"/>
  <c r="F210" i="12"/>
  <c r="F211" i="12"/>
  <c r="F212" i="12"/>
  <c r="F213" i="12"/>
  <c r="F214" i="12"/>
  <c r="F215" i="12"/>
  <c r="F216" i="12"/>
  <c r="G216" i="12" l="1"/>
  <c r="I216" i="12" s="1"/>
  <c r="J216" i="12" s="1"/>
  <c r="G215" i="12"/>
  <c r="I215" i="12" s="1"/>
  <c r="J215" i="12" s="1"/>
  <c r="G214" i="12"/>
  <c r="I214" i="12" s="1"/>
  <c r="J214" i="12" s="1"/>
  <c r="G213" i="12"/>
  <c r="I213" i="12" s="1"/>
  <c r="J213" i="12" s="1"/>
  <c r="G212" i="12"/>
  <c r="I212" i="12" s="1"/>
  <c r="J212" i="12" s="1"/>
  <c r="G211" i="12"/>
  <c r="I211" i="12" s="1"/>
  <c r="J211" i="12" s="1"/>
  <c r="G210" i="12"/>
  <c r="I210" i="12" s="1"/>
  <c r="J210" i="12" s="1"/>
  <c r="G209" i="12"/>
  <c r="I209" i="12" s="1"/>
  <c r="J209" i="12" s="1"/>
  <c r="G208" i="12"/>
  <c r="I208" i="12" s="1"/>
  <c r="J208" i="12" s="1"/>
  <c r="D75" i="12" l="1"/>
  <c r="F882" i="12"/>
  <c r="D276" i="12"/>
  <c r="D282" i="12"/>
  <c r="D69" i="12"/>
  <c r="F868" i="12"/>
  <c r="F885" i="12"/>
  <c r="D379" i="12"/>
  <c r="D416" i="12"/>
  <c r="D267" i="12"/>
  <c r="D245" i="12"/>
  <c r="F66" i="12"/>
  <c r="F726" i="12"/>
  <c r="F277" i="12"/>
  <c r="F416" i="12"/>
  <c r="D880" i="12"/>
  <c r="F415" i="12"/>
  <c r="F872" i="12"/>
  <c r="F764" i="12"/>
  <c r="D523" i="12"/>
  <c r="F74" i="12"/>
  <c r="D394" i="12"/>
  <c r="D436" i="12"/>
  <c r="F784" i="12"/>
  <c r="F273" i="12"/>
  <c r="D263" i="12"/>
  <c r="D274" i="12"/>
  <c r="F269" i="12"/>
  <c r="D861" i="12"/>
  <c r="D868" i="12"/>
  <c r="F879" i="12"/>
  <c r="D261" i="12"/>
  <c r="D509" i="12"/>
  <c r="F245" i="12"/>
  <c r="I17" i="12" s="1"/>
  <c r="F271" i="12"/>
  <c r="F73" i="12"/>
  <c r="I14" i="12" s="1"/>
  <c r="D881" i="12"/>
  <c r="D864" i="12"/>
  <c r="D774" i="12"/>
  <c r="F69" i="12"/>
  <c r="F103" i="12"/>
  <c r="D769" i="12"/>
  <c r="D879" i="12"/>
  <c r="F871" i="12"/>
  <c r="D280" i="12"/>
  <c r="F723" i="12"/>
  <c r="F267" i="12"/>
  <c r="D248" i="12"/>
  <c r="F517" i="12"/>
  <c r="F768" i="12"/>
  <c r="F250" i="12"/>
  <c r="D256" i="12"/>
  <c r="F279" i="12"/>
  <c r="F525" i="12"/>
  <c r="F258" i="12"/>
  <c r="D723" i="12"/>
  <c r="D268" i="12"/>
  <c r="D374" i="12"/>
  <c r="F266" i="12"/>
  <c r="D272" i="12"/>
  <c r="F766" i="12"/>
  <c r="F276" i="12"/>
  <c r="F247" i="12"/>
  <c r="F255" i="12"/>
  <c r="F75" i="12"/>
  <c r="D343" i="12"/>
  <c r="D134" i="12"/>
  <c r="D875" i="12"/>
  <c r="D866" i="12"/>
  <c r="D583" i="12"/>
  <c r="D518" i="12"/>
  <c r="F881" i="12"/>
  <c r="F135" i="12"/>
  <c r="F35" i="12"/>
  <c r="I13" i="12" s="1"/>
  <c r="F863" i="12"/>
  <c r="F270" i="12"/>
  <c r="D819" i="12"/>
  <c r="F373" i="12"/>
  <c r="F436" i="12"/>
  <c r="D249" i="12"/>
  <c r="G882" i="12"/>
  <c r="I882" i="12" s="1"/>
  <c r="J882" i="12" s="1"/>
  <c r="F249" i="12"/>
  <c r="D257" i="12"/>
  <c r="F523" i="12"/>
  <c r="D876" i="12"/>
  <c r="D253" i="12"/>
  <c r="F344" i="12"/>
  <c r="F773" i="12"/>
  <c r="D863" i="12"/>
  <c r="F376" i="12"/>
  <c r="D883" i="12"/>
  <c r="F278" i="12"/>
  <c r="D281" i="12"/>
  <c r="F284" i="12"/>
  <c r="D135" i="12"/>
  <c r="D726" i="12"/>
  <c r="D54" i="12"/>
  <c r="D277" i="12"/>
  <c r="F874" i="12"/>
  <c r="F861" i="12"/>
  <c r="F748" i="12"/>
  <c r="D597" i="12"/>
  <c r="D598" i="12"/>
  <c r="F866" i="12"/>
  <c r="F414" i="12"/>
  <c r="I20" i="12" s="1"/>
  <c r="D420" i="12"/>
  <c r="F597" i="12"/>
  <c r="F584" i="12"/>
  <c r="F509" i="12"/>
  <c r="F275" i="12"/>
  <c r="D773" i="12"/>
  <c r="D87" i="12"/>
  <c r="G87" i="12"/>
  <c r="I87" i="12" s="1"/>
  <c r="J87" i="12" s="1"/>
  <c r="F417" i="12"/>
  <c r="F374" i="12"/>
  <c r="D524" i="12"/>
  <c r="F747" i="12"/>
  <c r="D72" i="12"/>
  <c r="D507" i="12"/>
  <c r="D764" i="12"/>
  <c r="F774" i="12"/>
  <c r="F65" i="12"/>
  <c r="D35" i="12"/>
  <c r="F282" i="12"/>
  <c r="D882" i="12"/>
  <c r="D103" i="12"/>
  <c r="D74" i="12"/>
  <c r="D254" i="12"/>
  <c r="D584" i="12"/>
  <c r="D266" i="12"/>
  <c r="D273" i="12"/>
  <c r="D768" i="12"/>
  <c r="D766" i="12"/>
  <c r="D867" i="12"/>
  <c r="F283" i="12"/>
  <c r="D585" i="12"/>
  <c r="D517" i="12"/>
  <c r="F281" i="12"/>
  <c r="F262" i="12"/>
  <c r="F770" i="12"/>
  <c r="D278" i="12"/>
  <c r="D376" i="12"/>
  <c r="D279" i="12"/>
  <c r="D252" i="12"/>
  <c r="D284" i="12"/>
  <c r="D760" i="12"/>
  <c r="D873" i="12"/>
  <c r="F524" i="12"/>
  <c r="F585" i="12"/>
  <c r="F418" i="12"/>
  <c r="F64" i="12"/>
  <c r="D417" i="12"/>
  <c r="F254" i="12"/>
  <c r="F372" i="12"/>
  <c r="F72" i="12"/>
  <c r="F54" i="12"/>
  <c r="D878" i="12"/>
  <c r="F865" i="12"/>
  <c r="F760" i="12"/>
  <c r="F873" i="12"/>
  <c r="D246" i="12"/>
  <c r="D43" i="12"/>
  <c r="D747" i="12"/>
  <c r="D283" i="12"/>
  <c r="F877" i="12"/>
  <c r="F102" i="12"/>
  <c r="D415" i="12"/>
  <c r="D102" i="12"/>
  <c r="D870" i="12"/>
  <c r="F272" i="12"/>
  <c r="F67" i="12"/>
  <c r="F721" i="12"/>
  <c r="F880" i="12"/>
  <c r="F260" i="12"/>
  <c r="F261" i="12"/>
  <c r="G325" i="12"/>
  <c r="I325" i="12" s="1"/>
  <c r="J325" i="12" s="1"/>
  <c r="D73" i="12"/>
  <c r="F43" i="12"/>
  <c r="D247" i="12"/>
  <c r="D414" i="12"/>
  <c r="D262" i="12"/>
  <c r="F875" i="12"/>
  <c r="D372" i="12"/>
  <c r="D55" i="12"/>
  <c r="F274" i="12"/>
  <c r="D872" i="12"/>
  <c r="D877" i="12"/>
  <c r="D862" i="12"/>
  <c r="D748" i="12"/>
  <c r="F518" i="12"/>
  <c r="D886" i="12"/>
  <c r="D275" i="12"/>
  <c r="D423" i="12"/>
  <c r="F248" i="12"/>
  <c r="D271" i="12"/>
  <c r="F268" i="12"/>
  <c r="F819" i="12"/>
  <c r="F864" i="12"/>
  <c r="D770" i="12"/>
  <c r="F379" i="12"/>
  <c r="F767" i="12"/>
  <c r="F507" i="12"/>
  <c r="F598" i="12"/>
  <c r="D65" i="12"/>
  <c r="D258" i="12"/>
  <c r="F423" i="12"/>
  <c r="F519" i="12"/>
  <c r="F583" i="12"/>
  <c r="F878" i="12"/>
  <c r="F508" i="12"/>
  <c r="F886" i="12"/>
  <c r="D255" i="12"/>
  <c r="F325" i="12"/>
  <c r="D525" i="12"/>
  <c r="D869" i="12"/>
  <c r="D860" i="12"/>
  <c r="F257" i="12"/>
  <c r="F50" i="12"/>
  <c r="D721" i="12"/>
  <c r="D767" i="12"/>
  <c r="D64" i="12"/>
  <c r="F420" i="12"/>
  <c r="D871" i="12"/>
  <c r="D269" i="12"/>
  <c r="D373" i="12"/>
  <c r="D270" i="12"/>
  <c r="F870" i="12"/>
  <c r="D67" i="12"/>
  <c r="F253" i="12"/>
  <c r="F394" i="12"/>
  <c r="F55" i="12"/>
  <c r="F280" i="12"/>
  <c r="F246" i="12"/>
  <c r="F134" i="12"/>
  <c r="F876" i="12"/>
  <c r="F343" i="12"/>
  <c r="F862" i="12"/>
  <c r="F87" i="12"/>
  <c r="D508" i="12"/>
  <c r="F769" i="12"/>
  <c r="F867" i="12"/>
  <c r="D70" i="12"/>
  <c r="F869" i="12"/>
  <c r="F252" i="12"/>
  <c r="F859" i="12"/>
  <c r="I29" i="12" s="1"/>
  <c r="D50" i="12"/>
  <c r="D344" i="12"/>
  <c r="F883" i="12"/>
  <c r="F263" i="12"/>
  <c r="D250" i="12"/>
  <c r="F70" i="12"/>
  <c r="D418" i="12"/>
  <c r="D260" i="12"/>
  <c r="D66" i="12"/>
  <c r="F860" i="12"/>
  <c r="D885" i="12"/>
  <c r="D784" i="12"/>
  <c r="D865" i="12"/>
  <c r="D325" i="12"/>
  <c r="D519" i="12"/>
  <c r="D859" i="12"/>
  <c r="D874" i="12"/>
  <c r="F256" i="12"/>
  <c r="F52" i="12" l="1"/>
  <c r="F319" i="12"/>
  <c r="D596" i="12"/>
  <c r="D288" i="12"/>
  <c r="F329" i="12"/>
  <c r="F432" i="12"/>
  <c r="F512" i="12"/>
  <c r="F143" i="12"/>
  <c r="D656" i="12"/>
  <c r="D587" i="12"/>
  <c r="D812" i="12"/>
  <c r="D533" i="12"/>
  <c r="F595" i="12"/>
  <c r="F287" i="12"/>
  <c r="D661" i="12"/>
  <c r="D591" i="12"/>
  <c r="F724" i="12"/>
  <c r="F817" i="12"/>
  <c r="D286" i="12"/>
  <c r="D594" i="12"/>
  <c r="E14" i="122"/>
  <c r="D12" i="77"/>
  <c r="C10" i="39"/>
  <c r="F592" i="12"/>
  <c r="F539" i="12"/>
  <c r="F662" i="12"/>
  <c r="D720" i="12"/>
  <c r="D818" i="12"/>
  <c r="F658" i="12"/>
  <c r="F588" i="12"/>
  <c r="D341" i="12"/>
  <c r="D427" i="12"/>
  <c r="F387" i="12"/>
  <c r="F734" i="12"/>
  <c r="E15" i="122"/>
  <c r="D29" i="77"/>
  <c r="C14" i="39"/>
  <c r="F732" i="12"/>
  <c r="F47" i="12"/>
  <c r="E21" i="122"/>
  <c r="D30" i="77"/>
  <c r="C38" i="39"/>
  <c r="F227" i="12"/>
  <c r="F218" i="12"/>
  <c r="D589" i="12"/>
  <c r="D659" i="12"/>
  <c r="D536" i="12"/>
  <c r="D813" i="12"/>
  <c r="D542" i="12"/>
  <c r="D90" i="12"/>
  <c r="F288" i="12"/>
  <c r="F596" i="12"/>
  <c r="D816" i="12"/>
  <c r="D722" i="12"/>
  <c r="D27" i="77"/>
  <c r="E31" i="122"/>
  <c r="D318" i="12"/>
  <c r="D49" i="12"/>
  <c r="F385" i="12"/>
  <c r="F746" i="12"/>
  <c r="F431" i="12"/>
  <c r="F101" i="12"/>
  <c r="D317" i="12"/>
  <c r="D46" i="12"/>
  <c r="D820" i="12"/>
  <c r="D725" i="12"/>
  <c r="F799" i="12"/>
  <c r="F627" i="12"/>
  <c r="F511" i="12"/>
  <c r="D658" i="12"/>
  <c r="D588" i="12"/>
  <c r="F419" i="12"/>
  <c r="F342" i="12"/>
  <c r="F286" i="12"/>
  <c r="F594" i="12"/>
  <c r="F820" i="12"/>
  <c r="F725" i="12"/>
  <c r="D287" i="12"/>
  <c r="D595" i="12"/>
  <c r="D649" i="12"/>
  <c r="D459" i="12"/>
  <c r="D522" i="12"/>
  <c r="D324" i="12"/>
  <c r="D421" i="12"/>
  <c r="D125" i="12"/>
  <c r="F251" i="12"/>
  <c r="F433" i="12"/>
  <c r="F459" i="12"/>
  <c r="F522" i="12"/>
  <c r="F649" i="12"/>
  <c r="F226" i="12"/>
  <c r="F217" i="12"/>
  <c r="D593" i="12"/>
  <c r="D285" i="12"/>
  <c r="D724" i="12"/>
  <c r="D817" i="12"/>
  <c r="D464" i="12"/>
  <c r="D537" i="12"/>
  <c r="F731" i="12"/>
  <c r="F168" i="12"/>
  <c r="F462" i="12"/>
  <c r="F534" i="12"/>
  <c r="D746" i="12"/>
  <c r="D385" i="12"/>
  <c r="F421" i="12"/>
  <c r="F324" i="12"/>
  <c r="F125" i="12"/>
  <c r="D732" i="12"/>
  <c r="D47" i="12"/>
  <c r="D735" i="12"/>
  <c r="D48" i="12"/>
  <c r="D389" i="12"/>
  <c r="D626" i="12"/>
  <c r="D800" i="12"/>
  <c r="D433" i="12"/>
  <c r="D251" i="12"/>
  <c r="F230" i="12"/>
  <c r="F220" i="12"/>
  <c r="F661" i="12"/>
  <c r="F591" i="12"/>
  <c r="D734" i="12"/>
  <c r="D387" i="12"/>
  <c r="F720" i="12"/>
  <c r="I26" i="12" s="1"/>
  <c r="F818" i="12"/>
  <c r="F593" i="12"/>
  <c r="F285" i="12"/>
  <c r="F318" i="12"/>
  <c r="F49" i="12"/>
  <c r="F816" i="12"/>
  <c r="F722" i="12"/>
  <c r="F341" i="12"/>
  <c r="F427" i="12"/>
  <c r="D592" i="12"/>
  <c r="D662" i="12"/>
  <c r="D539" i="12"/>
  <c r="D431" i="12"/>
  <c r="D101" i="12"/>
  <c r="D384" i="12"/>
  <c r="D745" i="12"/>
  <c r="F521" i="12"/>
  <c r="F806" i="12"/>
  <c r="F457" i="12"/>
  <c r="F805" i="12"/>
  <c r="F648" i="12"/>
  <c r="G226" i="12"/>
  <c r="I226" i="12" s="1"/>
  <c r="J226" i="12" s="1"/>
  <c r="G217" i="12"/>
  <c r="I217" i="12" s="1"/>
  <c r="J217" i="12" s="1"/>
  <c r="D465" i="12"/>
  <c r="D538" i="12"/>
  <c r="D462" i="12"/>
  <c r="D534" i="12"/>
  <c r="F384" i="12"/>
  <c r="F745" i="12"/>
  <c r="E18" i="122"/>
  <c r="D18" i="77"/>
  <c r="C26" i="39"/>
  <c r="F463" i="12"/>
  <c r="F535" i="12"/>
  <c r="F538" i="12"/>
  <c r="F465" i="12"/>
  <c r="F537" i="12"/>
  <c r="F464" i="12"/>
  <c r="D168" i="12"/>
  <c r="D731" i="12"/>
  <c r="D432" i="12"/>
  <c r="D329" i="12"/>
  <c r="D512" i="12"/>
  <c r="D143" i="12"/>
  <c r="D806" i="12"/>
  <c r="D805" i="12"/>
  <c r="D521" i="12"/>
  <c r="D457" i="12"/>
  <c r="D648" i="12"/>
  <c r="F659" i="12"/>
  <c r="F536" i="12"/>
  <c r="F813" i="12"/>
  <c r="F589" i="12"/>
  <c r="D419" i="12"/>
  <c r="D342" i="12"/>
  <c r="G317" i="12"/>
  <c r="I317" i="12" s="1"/>
  <c r="J317" i="12" s="1"/>
  <c r="G46" i="12"/>
  <c r="I46" i="12" s="1"/>
  <c r="J46" i="12" s="1"/>
  <c r="D463" i="12"/>
  <c r="D535" i="12"/>
  <c r="F90" i="12"/>
  <c r="F542" i="12"/>
  <c r="D319" i="12"/>
  <c r="D52" i="12"/>
  <c r="D799" i="12"/>
  <c r="D627" i="12"/>
  <c r="D511" i="12"/>
  <c r="F800" i="12"/>
  <c r="F626" i="12"/>
  <c r="I24" i="12" s="1"/>
  <c r="F587" i="12"/>
  <c r="I23" i="12" s="1"/>
  <c r="F812" i="12"/>
  <c r="F533" i="12"/>
  <c r="F656" i="12"/>
  <c r="F317" i="12"/>
  <c r="F46" i="12"/>
  <c r="F735" i="12"/>
  <c r="F389" i="12"/>
  <c r="F48" i="12"/>
  <c r="E24" i="122" l="1"/>
  <c r="D35" i="77"/>
  <c r="D36" i="77" s="1"/>
  <c r="C50" i="39"/>
  <c r="E25" i="122"/>
  <c r="D23" i="77"/>
  <c r="C54" i="39"/>
  <c r="D25" i="77"/>
  <c r="E27" i="122"/>
  <c r="C62" i="39"/>
  <c r="G436" i="12" l="1"/>
  <c r="I436" i="12" s="1"/>
  <c r="J436" i="12" s="1"/>
  <c r="G376" i="12" l="1"/>
  <c r="I376" i="12" s="1"/>
  <c r="J376" i="12" s="1"/>
  <c r="G457" i="12" l="1"/>
  <c r="I457" i="12" s="1"/>
  <c r="J457" i="12" s="1"/>
  <c r="G648" i="12"/>
  <c r="I648" i="12" s="1"/>
  <c r="J648" i="12" s="1"/>
  <c r="G806" i="12"/>
  <c r="I806" i="12" s="1"/>
  <c r="J806" i="12" s="1"/>
  <c r="G805" i="12"/>
  <c r="I805" i="12" s="1"/>
  <c r="J805" i="12" s="1"/>
  <c r="G521" i="12"/>
  <c r="I521" i="12" s="1"/>
  <c r="J521" i="12" s="1"/>
  <c r="G767" i="12" l="1"/>
  <c r="I767" i="12" s="1"/>
  <c r="J767" i="12" s="1"/>
  <c r="G770" i="12"/>
  <c r="I770" i="12" s="1"/>
  <c r="J770" i="12" s="1"/>
  <c r="G769" i="12"/>
  <c r="I769" i="12" s="1"/>
  <c r="J769" i="12" s="1"/>
  <c r="G768" i="12"/>
  <c r="I768" i="12" s="1"/>
  <c r="J768" i="12" s="1"/>
  <c r="G766" i="12" l="1"/>
  <c r="I766" i="12" s="1"/>
  <c r="J766" i="12" s="1"/>
  <c r="G784" i="12" l="1"/>
  <c r="I784" i="12" s="1"/>
  <c r="J784" i="12" s="1"/>
  <c r="G420" i="12" l="1"/>
  <c r="I420" i="12" s="1"/>
  <c r="J420" i="12" s="1"/>
  <c r="G342" i="12" l="1"/>
  <c r="I342" i="12" s="1"/>
  <c r="J342" i="12" s="1"/>
  <c r="G419" i="12"/>
  <c r="I419" i="12" s="1"/>
  <c r="J419" i="12" s="1"/>
  <c r="G427" i="12"/>
  <c r="I427" i="12" s="1"/>
  <c r="J427" i="12" s="1"/>
  <c r="G341" i="12"/>
  <c r="I341" i="12" s="1"/>
  <c r="J341" i="12" s="1"/>
  <c r="G50" i="12" l="1"/>
  <c r="I50" i="12" s="1"/>
  <c r="J50" i="12" s="1"/>
  <c r="G343" i="12" l="1"/>
  <c r="I343" i="12" s="1"/>
  <c r="J343" i="12" s="1"/>
  <c r="G35" i="12"/>
  <c r="I35" i="12" s="1"/>
  <c r="J35" i="12" s="1"/>
  <c r="G731" i="12" l="1"/>
  <c r="I731" i="12" s="1"/>
  <c r="J731" i="12" s="1"/>
  <c r="G168" i="12"/>
  <c r="I168" i="12" s="1"/>
  <c r="J168" i="12" s="1"/>
  <c r="G512" i="12" l="1"/>
  <c r="I512" i="12" s="1"/>
  <c r="J512" i="12" s="1"/>
  <c r="G329" i="12"/>
  <c r="I329" i="12" s="1"/>
  <c r="J329" i="12" s="1"/>
  <c r="G432" i="12"/>
  <c r="I432" i="12" s="1"/>
  <c r="J432" i="12" s="1"/>
  <c r="G143" i="12"/>
  <c r="I143" i="12" s="1"/>
  <c r="J143" i="12" s="1"/>
  <c r="G774" i="12"/>
  <c r="I774" i="12" s="1"/>
  <c r="J774" i="12" s="1"/>
  <c r="G461" i="12" l="1"/>
  <c r="I461" i="12" s="1"/>
  <c r="J461" i="12" s="1"/>
  <c r="G586" i="12"/>
  <c r="I586" i="12" s="1"/>
  <c r="J586" i="12" s="1"/>
  <c r="G657" i="12"/>
  <c r="I657" i="12" s="1"/>
  <c r="J657" i="12" s="1"/>
  <c r="G861" i="12" l="1"/>
  <c r="I861" i="12" s="1"/>
  <c r="J861" i="12" s="1"/>
  <c r="G867" i="12"/>
  <c r="I867" i="12" s="1"/>
  <c r="J867" i="12" s="1"/>
  <c r="G418" i="12" l="1"/>
  <c r="I418" i="12" s="1"/>
  <c r="J418" i="12" s="1"/>
  <c r="G423" i="12" l="1"/>
  <c r="I423" i="12" s="1"/>
  <c r="J423" i="12" s="1"/>
  <c r="G385" i="12" l="1"/>
  <c r="I385" i="12" s="1"/>
  <c r="J385" i="12" s="1"/>
  <c r="G746" i="12"/>
  <c r="I746" i="12" s="1"/>
  <c r="J746" i="12" s="1"/>
  <c r="G816" i="12" l="1"/>
  <c r="I816" i="12" s="1"/>
  <c r="J816" i="12" s="1"/>
  <c r="G722" i="12"/>
  <c r="I722" i="12" s="1"/>
  <c r="J722" i="12" s="1"/>
  <c r="G760" i="12" l="1"/>
  <c r="I760" i="12" s="1"/>
  <c r="J760" i="12" s="1"/>
  <c r="U752" i="12" s="1"/>
  <c r="J752" i="12" l="1"/>
  <c r="J27" i="12" l="1"/>
  <c r="L764" i="12"/>
  <c r="L773" i="12"/>
  <c r="L752" i="12"/>
  <c r="J795" i="12"/>
  <c r="L758" i="12"/>
  <c r="L771" i="12"/>
  <c r="L757" i="12"/>
  <c r="L775" i="12"/>
  <c r="L772" i="12"/>
  <c r="L776" i="12"/>
  <c r="L794" i="12"/>
  <c r="L779" i="12"/>
  <c r="L778" i="12"/>
  <c r="L781" i="12"/>
  <c r="L762" i="12"/>
  <c r="L754" i="12"/>
  <c r="L782" i="12"/>
  <c r="L755" i="12"/>
  <c r="L783" i="12"/>
  <c r="L763" i="12"/>
  <c r="L756" i="12"/>
  <c r="L780" i="12"/>
  <c r="L761" i="12"/>
  <c r="L777" i="12"/>
  <c r="L759" i="12"/>
  <c r="L753" i="12"/>
  <c r="L765" i="12"/>
  <c r="L788" i="12"/>
  <c r="L786" i="12"/>
  <c r="L792" i="12"/>
  <c r="L767" i="12"/>
  <c r="L769" i="12"/>
  <c r="L770" i="12"/>
  <c r="L768" i="12"/>
  <c r="L766" i="12"/>
  <c r="L784" i="12"/>
  <c r="L774" i="12"/>
  <c r="L760" i="12"/>
  <c r="L27" i="12" l="1"/>
  <c r="F28" i="122"/>
  <c r="H28" i="122" s="1"/>
  <c r="E26" i="77"/>
  <c r="D66" i="39"/>
  <c r="W67" i="39" l="1"/>
  <c r="W68" i="39" s="1"/>
  <c r="O67" i="39"/>
  <c r="O68" i="39" s="1"/>
  <c r="S67" i="39"/>
  <c r="S68" i="39" s="1"/>
  <c r="R67" i="39"/>
  <c r="R68" i="39" s="1"/>
  <c r="T67" i="39"/>
  <c r="T68" i="39" s="1"/>
  <c r="M67" i="39"/>
  <c r="M68" i="39" s="1"/>
  <c r="J67" i="39"/>
  <c r="J68" i="39" s="1"/>
  <c r="N67" i="39"/>
  <c r="N68" i="39" s="1"/>
  <c r="L67" i="39"/>
  <c r="L68" i="39" s="1"/>
  <c r="V67" i="39"/>
  <c r="V68" i="39" s="1"/>
  <c r="P67" i="39"/>
  <c r="P68" i="39" s="1"/>
  <c r="U67" i="39"/>
  <c r="U68" i="39" s="1"/>
  <c r="K67" i="39"/>
  <c r="K68" i="39" s="1"/>
  <c r="G67" i="39"/>
  <c r="G68" i="39" s="1"/>
  <c r="Q67" i="39"/>
  <c r="Q68" i="39" s="1"/>
  <c r="F67" i="39"/>
  <c r="F68" i="39" s="1"/>
  <c r="I67" i="39"/>
  <c r="I68" i="39" s="1"/>
  <c r="H67" i="39"/>
  <c r="H68" i="39" s="1"/>
  <c r="G26" i="77"/>
  <c r="I26" i="77"/>
  <c r="G656" i="12" l="1"/>
  <c r="I656" i="12" s="1"/>
  <c r="J656" i="12" s="1"/>
  <c r="G587" i="12"/>
  <c r="I587" i="12" s="1"/>
  <c r="J587" i="12" s="1"/>
  <c r="G812" i="12"/>
  <c r="I812" i="12" s="1"/>
  <c r="J812" i="12" s="1"/>
  <c r="G533" i="12"/>
  <c r="I533" i="12" s="1"/>
  <c r="J533" i="12" s="1"/>
  <c r="X68" i="39"/>
  <c r="X67" i="39"/>
  <c r="G509" i="12"/>
  <c r="I509" i="12" s="1"/>
  <c r="J509" i="12" s="1"/>
  <c r="Y67" i="39" l="1"/>
  <c r="Z67" i="39"/>
  <c r="Y68" i="39"/>
  <c r="Y65" i="39"/>
  <c r="G135" i="12" l="1"/>
  <c r="I135" i="12" s="1"/>
  <c r="J135" i="12" s="1"/>
  <c r="G431" i="12" l="1"/>
  <c r="I431" i="12" s="1"/>
  <c r="J431" i="12" s="1"/>
  <c r="G101" i="12"/>
  <c r="I101" i="12" s="1"/>
  <c r="J101" i="12" s="1"/>
  <c r="G134" i="12" l="1"/>
  <c r="I134" i="12" s="1"/>
  <c r="J134" i="12" s="1"/>
  <c r="U100" i="12" s="1"/>
  <c r="G90" i="12" l="1"/>
  <c r="I90" i="12" s="1"/>
  <c r="J90" i="12" s="1"/>
  <c r="G542" i="12"/>
  <c r="I542" i="12" s="1"/>
  <c r="J542" i="12" s="1"/>
  <c r="G518" i="12"/>
  <c r="I518" i="12" s="1"/>
  <c r="J518" i="12" s="1"/>
  <c r="G72" i="12" l="1"/>
  <c r="I72" i="12" s="1"/>
  <c r="J72" i="12" s="1"/>
  <c r="G69" i="12"/>
  <c r="I69" i="12" s="1"/>
  <c r="J69" i="12" s="1"/>
  <c r="G70" i="12"/>
  <c r="I70" i="12" s="1"/>
  <c r="J70" i="12" s="1"/>
  <c r="G66" i="12" l="1"/>
  <c r="I66" i="12" s="1"/>
  <c r="J66" i="12" s="1"/>
  <c r="G65" i="12" l="1"/>
  <c r="I65" i="12" s="1"/>
  <c r="J65" i="12" s="1"/>
  <c r="G319" i="12" l="1"/>
  <c r="I319" i="12" s="1"/>
  <c r="J319" i="12" s="1"/>
  <c r="G52" i="12"/>
  <c r="I52" i="12" s="1"/>
  <c r="J52" i="12" s="1"/>
  <c r="G254" i="12" l="1"/>
  <c r="I254" i="12" s="1"/>
  <c r="J254" i="12" s="1"/>
  <c r="G253" i="12" l="1"/>
  <c r="I253" i="12" s="1"/>
  <c r="J253" i="12" s="1"/>
  <c r="G255" i="12"/>
  <c r="I255" i="12" s="1"/>
  <c r="J255" i="12" s="1"/>
  <c r="G257" i="12"/>
  <c r="I257" i="12" s="1"/>
  <c r="J257" i="12" s="1"/>
  <c r="G258" i="12"/>
  <c r="I258" i="12" s="1"/>
  <c r="J258" i="12" s="1"/>
  <c r="G256" i="12"/>
  <c r="I256" i="12" s="1"/>
  <c r="J256" i="12" s="1"/>
  <c r="G252" i="12" l="1"/>
  <c r="I252" i="12" s="1"/>
  <c r="J252" i="12" s="1"/>
  <c r="G389" i="12" l="1"/>
  <c r="I389" i="12" s="1"/>
  <c r="J389" i="12" s="1"/>
  <c r="G48" i="12"/>
  <c r="I48" i="12" s="1"/>
  <c r="J48" i="12" s="1"/>
  <c r="G735" i="12"/>
  <c r="I735" i="12" s="1"/>
  <c r="J735" i="12" s="1"/>
  <c r="G384" i="12" l="1"/>
  <c r="I384" i="12" s="1"/>
  <c r="J384" i="12" s="1"/>
  <c r="G745" i="12"/>
  <c r="I745" i="12" s="1"/>
  <c r="J745" i="12" s="1"/>
  <c r="G886" i="12"/>
  <c r="I886" i="12" s="1"/>
  <c r="J886" i="12" s="1"/>
  <c r="G414" i="12"/>
  <c r="I414" i="12" s="1"/>
  <c r="J414" i="12" s="1"/>
  <c r="G67" i="12" l="1"/>
  <c r="I67" i="12" s="1"/>
  <c r="J67" i="12" s="1"/>
  <c r="G864" i="12" l="1"/>
  <c r="I864" i="12" s="1"/>
  <c r="J864" i="12" s="1"/>
  <c r="G866" i="12"/>
  <c r="I866" i="12" s="1"/>
  <c r="J866" i="12" s="1"/>
  <c r="G865" i="12"/>
  <c r="I865" i="12" s="1"/>
  <c r="J865" i="12" s="1"/>
  <c r="G883" i="12" l="1"/>
  <c r="I883" i="12" s="1"/>
  <c r="J883" i="12" s="1"/>
  <c r="G863" i="12" l="1"/>
  <c r="I863" i="12" s="1"/>
  <c r="J863" i="12" s="1"/>
  <c r="G862" i="12"/>
  <c r="I862" i="12" s="1"/>
  <c r="J862" i="12" s="1"/>
  <c r="G860" i="12"/>
  <c r="I860" i="12" s="1"/>
  <c r="J860" i="12" s="1"/>
  <c r="G868" i="12"/>
  <c r="I868" i="12" s="1"/>
  <c r="J868" i="12" s="1"/>
  <c r="G859" i="12"/>
  <c r="I859" i="12" s="1"/>
  <c r="J859" i="12" s="1"/>
  <c r="G55" i="12" l="1"/>
  <c r="I55" i="12" s="1"/>
  <c r="J55" i="12" s="1"/>
  <c r="G54" i="12" l="1"/>
  <c r="I54" i="12" s="1"/>
  <c r="J54" i="12" s="1"/>
  <c r="G344" i="12" l="1"/>
  <c r="I344" i="12" s="1"/>
  <c r="J344" i="12" s="1"/>
  <c r="G655" i="12" l="1"/>
  <c r="I655" i="12" s="1"/>
  <c r="J655" i="12" s="1"/>
  <c r="G532" i="12"/>
  <c r="I532" i="12" s="1"/>
  <c r="J532" i="12" s="1"/>
  <c r="G811" i="12"/>
  <c r="I811" i="12" s="1"/>
  <c r="J811" i="12" s="1"/>
  <c r="G460" i="12"/>
  <c r="I460" i="12" s="1"/>
  <c r="J460" i="12" s="1"/>
  <c r="G415" i="12" l="1"/>
  <c r="I415" i="12" s="1"/>
  <c r="J415" i="12" s="1"/>
  <c r="G416" i="12" l="1"/>
  <c r="I416" i="12" s="1"/>
  <c r="J416" i="12" s="1"/>
  <c r="G64" i="12" l="1"/>
  <c r="I64" i="12" s="1"/>
  <c r="J64" i="12" s="1"/>
  <c r="G819" i="12" l="1"/>
  <c r="I819" i="12" s="1"/>
  <c r="J819" i="12" s="1"/>
  <c r="G525" i="12"/>
  <c r="I525" i="12" s="1"/>
  <c r="J525" i="12" s="1"/>
  <c r="G372" i="12" l="1"/>
  <c r="I372" i="12" s="1"/>
  <c r="J372" i="12" s="1"/>
  <c r="G373" i="12"/>
  <c r="I373" i="12" s="1"/>
  <c r="J373" i="12" s="1"/>
  <c r="G374" i="12" l="1"/>
  <c r="I374" i="12" s="1"/>
  <c r="J374" i="12" s="1"/>
  <c r="G517" i="12" l="1"/>
  <c r="I517" i="12" s="1"/>
  <c r="J517" i="12" s="1"/>
  <c r="G538" i="12" l="1"/>
  <c r="I538" i="12" s="1"/>
  <c r="J538" i="12" s="1"/>
  <c r="G465" i="12"/>
  <c r="I465" i="12" s="1"/>
  <c r="J465" i="12" s="1"/>
  <c r="G659" i="12" l="1"/>
  <c r="I659" i="12" s="1"/>
  <c r="J659" i="12" s="1"/>
  <c r="G536" i="12"/>
  <c r="I536" i="12" s="1"/>
  <c r="J536" i="12" s="1"/>
  <c r="G813" i="12"/>
  <c r="I813" i="12" s="1"/>
  <c r="J813" i="12" s="1"/>
  <c r="G589" i="12"/>
  <c r="I589" i="12" s="1"/>
  <c r="J589" i="12" s="1"/>
  <c r="G524" i="12" l="1"/>
  <c r="I524" i="12" s="1"/>
  <c r="J524" i="12" s="1"/>
  <c r="G75" i="12"/>
  <c r="I75" i="12" s="1"/>
  <c r="J75" i="12" s="1"/>
  <c r="G74" i="12" l="1"/>
  <c r="I74" i="12" s="1"/>
  <c r="J74" i="12" s="1"/>
  <c r="G523" i="12" l="1"/>
  <c r="I523" i="12" s="1"/>
  <c r="J523" i="12" s="1"/>
  <c r="G464" i="12" l="1"/>
  <c r="I464" i="12" s="1"/>
  <c r="J464" i="12" s="1"/>
  <c r="G537" i="12"/>
  <c r="I537" i="12" s="1"/>
  <c r="J537" i="12" s="1"/>
  <c r="G421" i="12" l="1"/>
  <c r="I421" i="12" s="1"/>
  <c r="J421" i="12" s="1"/>
  <c r="G324" i="12"/>
  <c r="I324" i="12" s="1"/>
  <c r="J324" i="12" s="1"/>
  <c r="G125" i="12"/>
  <c r="I125" i="12" s="1"/>
  <c r="J125" i="12" s="1"/>
  <c r="G230" i="12" l="1"/>
  <c r="I230" i="12" s="1"/>
  <c r="J230" i="12" s="1"/>
  <c r="G220" i="12"/>
  <c r="I220" i="12" s="1"/>
  <c r="J220" i="12" s="1"/>
  <c r="G227" i="12" l="1"/>
  <c r="I227" i="12" s="1"/>
  <c r="J227" i="12" s="1"/>
  <c r="G218" i="12"/>
  <c r="I218" i="12" s="1"/>
  <c r="J218" i="12" s="1"/>
  <c r="G43" i="12" l="1"/>
  <c r="I43" i="12" s="1"/>
  <c r="J43" i="12" s="1"/>
  <c r="Z8" i="39" l="1"/>
  <c r="G379" i="12" l="1"/>
  <c r="I379" i="12" s="1"/>
  <c r="J379" i="12" s="1"/>
  <c r="G378" i="12" l="1"/>
  <c r="I378" i="12" s="1"/>
  <c r="J378" i="12" s="1"/>
  <c r="G508" i="12" l="1"/>
  <c r="I508" i="12" s="1"/>
  <c r="J508" i="12" s="1"/>
  <c r="G871" i="12" l="1"/>
  <c r="I871" i="12" s="1"/>
  <c r="J871" i="12" s="1"/>
  <c r="G872" i="12"/>
  <c r="I872" i="12" s="1"/>
  <c r="J872" i="12" s="1"/>
  <c r="G874" i="12"/>
  <c r="I874" i="12" s="1"/>
  <c r="J874" i="12" s="1"/>
  <c r="G873" i="12"/>
  <c r="I873" i="12" s="1"/>
  <c r="J873" i="12" s="1"/>
  <c r="G869" i="12" l="1"/>
  <c r="I869" i="12" s="1"/>
  <c r="J869" i="12" s="1"/>
  <c r="G879" i="12"/>
  <c r="I879" i="12" s="1"/>
  <c r="J879" i="12" s="1"/>
  <c r="G880" i="12"/>
  <c r="I880" i="12" s="1"/>
  <c r="J880" i="12" s="1"/>
  <c r="G881" i="12"/>
  <c r="I881" i="12" s="1"/>
  <c r="J881" i="12" s="1"/>
  <c r="G870" i="12"/>
  <c r="I870" i="12" s="1"/>
  <c r="J870" i="12" s="1"/>
  <c r="G878" i="12"/>
  <c r="I878" i="12" s="1"/>
  <c r="J878" i="12" s="1"/>
  <c r="U858" i="12" l="1"/>
  <c r="G877" i="12"/>
  <c r="I877" i="12" s="1"/>
  <c r="J877" i="12" s="1"/>
  <c r="G876" i="12"/>
  <c r="I876" i="12" s="1"/>
  <c r="J876" i="12" s="1"/>
  <c r="G875" i="12"/>
  <c r="I875" i="12" s="1"/>
  <c r="J875" i="12" s="1"/>
  <c r="G748" i="12" l="1"/>
  <c r="I748" i="12" s="1"/>
  <c r="J748" i="12" s="1"/>
  <c r="G747" i="12"/>
  <c r="I747" i="12" s="1"/>
  <c r="J747" i="12" s="1"/>
  <c r="G732" i="12" l="1"/>
  <c r="I732" i="12" s="1"/>
  <c r="J732" i="12" s="1"/>
  <c r="G47" i="12"/>
  <c r="I47" i="12" s="1"/>
  <c r="J47" i="12" s="1"/>
  <c r="G522" i="12"/>
  <c r="I522" i="12" s="1"/>
  <c r="J522" i="12" s="1"/>
  <c r="G649" i="12"/>
  <c r="I649" i="12" s="1"/>
  <c r="J649" i="12" s="1"/>
  <c r="U645" i="12" s="1"/>
  <c r="G459" i="12"/>
  <c r="I459" i="12" s="1"/>
  <c r="J459" i="12" s="1"/>
  <c r="G734" i="12" l="1"/>
  <c r="I734" i="12" s="1"/>
  <c r="J734" i="12" s="1"/>
  <c r="G387" i="12"/>
  <c r="I387" i="12" s="1"/>
  <c r="J387" i="12" s="1"/>
  <c r="G394" i="12"/>
  <c r="I394" i="12" s="1"/>
  <c r="J394" i="12" s="1"/>
  <c r="J386" i="12" l="1"/>
  <c r="G584" i="12" l="1"/>
  <c r="I584" i="12" s="1"/>
  <c r="J584" i="12" s="1"/>
  <c r="G585" i="12"/>
  <c r="I585" i="12" s="1"/>
  <c r="J585" i="12" s="1"/>
  <c r="G583" i="12"/>
  <c r="I583" i="12" s="1"/>
  <c r="J583" i="12" s="1"/>
  <c r="G799" i="12" l="1"/>
  <c r="I799" i="12" s="1"/>
  <c r="J799" i="12" s="1"/>
  <c r="G511" i="12"/>
  <c r="I511" i="12" s="1"/>
  <c r="J511" i="12" s="1"/>
  <c r="G627" i="12"/>
  <c r="I627" i="12" s="1"/>
  <c r="J627" i="12" s="1"/>
  <c r="G626" i="12" l="1"/>
  <c r="I626" i="12" s="1"/>
  <c r="J626" i="12" s="1"/>
  <c r="U624" i="12" s="1"/>
  <c r="G800" i="12"/>
  <c r="I800" i="12" s="1"/>
  <c r="J800" i="12" s="1"/>
  <c r="J624" i="12" l="1"/>
  <c r="J644" i="12" l="1"/>
  <c r="J24" i="12"/>
  <c r="L624" i="12"/>
  <c r="L629" i="12"/>
  <c r="L625" i="12"/>
  <c r="L628" i="12"/>
  <c r="L790" i="12"/>
  <c r="L633" i="12"/>
  <c r="L635" i="12"/>
  <c r="L643" i="12"/>
  <c r="L637" i="12"/>
  <c r="L631" i="12"/>
  <c r="L639" i="12"/>
  <c r="L632" i="12"/>
  <c r="L641" i="12"/>
  <c r="L630" i="12"/>
  <c r="L627" i="12"/>
  <c r="L626" i="12"/>
  <c r="G519" i="12"/>
  <c r="I519" i="12" s="1"/>
  <c r="J519" i="12" s="1"/>
  <c r="L24" i="12" l="1"/>
  <c r="E23" i="77"/>
  <c r="D54" i="39"/>
  <c r="F25" i="122"/>
  <c r="H25" i="122" s="1"/>
  <c r="G507" i="12"/>
  <c r="I507" i="12" s="1"/>
  <c r="J507" i="12" s="1"/>
  <c r="J55" i="39" l="1"/>
  <c r="J56" i="39" s="1"/>
  <c r="R55" i="39"/>
  <c r="R56" i="39" s="1"/>
  <c r="S55" i="39"/>
  <c r="S56" i="39" s="1"/>
  <c r="Q55" i="39"/>
  <c r="Q56" i="39" s="1"/>
  <c r="G55" i="39"/>
  <c r="G56" i="39" s="1"/>
  <c r="V55" i="39"/>
  <c r="V56" i="39" s="1"/>
  <c r="N55" i="39"/>
  <c r="N56" i="39" s="1"/>
  <c r="U55" i="39"/>
  <c r="U56" i="39" s="1"/>
  <c r="F55" i="39"/>
  <c r="F56" i="39" s="1"/>
  <c r="P55" i="39"/>
  <c r="P56" i="39" s="1"/>
  <c r="O55" i="39"/>
  <c r="O56" i="39" s="1"/>
  <c r="W55" i="39"/>
  <c r="W56" i="39" s="1"/>
  <c r="K55" i="39"/>
  <c r="K56" i="39" s="1"/>
  <c r="T55" i="39"/>
  <c r="T56" i="39" s="1"/>
  <c r="L55" i="39"/>
  <c r="L56" i="39" s="1"/>
  <c r="M55" i="39"/>
  <c r="M56" i="39" s="1"/>
  <c r="H55" i="39"/>
  <c r="H56" i="39" s="1"/>
  <c r="I55" i="39"/>
  <c r="I56" i="39" s="1"/>
  <c r="X56" i="39" l="1"/>
  <c r="X55" i="39"/>
  <c r="Y55" i="39" l="1"/>
  <c r="Z55" i="39"/>
  <c r="Y53" i="39"/>
  <c r="Y56" i="39"/>
  <c r="F29" i="122" l="1"/>
  <c r="H29" i="122" s="1"/>
  <c r="E32" i="77"/>
  <c r="G273" i="12" l="1"/>
  <c r="I273" i="12" s="1"/>
  <c r="J273" i="12" s="1"/>
  <c r="G277" i="12"/>
  <c r="I277" i="12" s="1"/>
  <c r="J277" i="12" s="1"/>
  <c r="G274" i="12"/>
  <c r="I274" i="12" s="1"/>
  <c r="J274" i="12" s="1"/>
  <c r="G275" i="12"/>
  <c r="I275" i="12" s="1"/>
  <c r="J275" i="12" s="1"/>
  <c r="G272" i="12"/>
  <c r="I272" i="12" s="1"/>
  <c r="J272" i="12" s="1"/>
  <c r="G276" i="12"/>
  <c r="I276" i="12" s="1"/>
  <c r="J276" i="12" s="1"/>
  <c r="G278" i="12" l="1"/>
  <c r="I278" i="12" s="1"/>
  <c r="J278" i="12" s="1"/>
  <c r="G281" i="12"/>
  <c r="I281" i="12" s="1"/>
  <c r="J281" i="12" s="1"/>
  <c r="G280" i="12"/>
  <c r="I280" i="12" s="1"/>
  <c r="J280" i="12" s="1"/>
  <c r="G279" i="12"/>
  <c r="I279" i="12" s="1"/>
  <c r="J279" i="12" s="1"/>
  <c r="G268" i="12" l="1"/>
  <c r="I268" i="12" s="1"/>
  <c r="J268" i="12" s="1"/>
  <c r="G267" i="12"/>
  <c r="I267" i="12" s="1"/>
  <c r="J267" i="12" s="1"/>
  <c r="G264" i="12" l="1"/>
  <c r="I264" i="12" s="1"/>
  <c r="J264" i="12" s="1"/>
  <c r="G266" i="12"/>
  <c r="I266" i="12" s="1"/>
  <c r="J266" i="12" s="1"/>
  <c r="G237" i="12" l="1"/>
  <c r="I237" i="12" s="1"/>
  <c r="J237" i="12" s="1"/>
  <c r="G239" i="12"/>
  <c r="I239" i="12" s="1"/>
  <c r="J239" i="12" s="1"/>
  <c r="G102" i="12"/>
  <c r="I102" i="12" s="1"/>
  <c r="J102" i="12" s="1"/>
  <c r="G318" i="12" l="1"/>
  <c r="I318" i="12" s="1"/>
  <c r="J318" i="12" s="1"/>
  <c r="G49" i="12"/>
  <c r="I49" i="12" s="1"/>
  <c r="J49" i="12" s="1"/>
  <c r="U34" i="12" s="1"/>
  <c r="G73" i="12"/>
  <c r="I73" i="12" s="1"/>
  <c r="J73" i="12" s="1"/>
  <c r="U63" i="12" l="1"/>
  <c r="J63" i="12"/>
  <c r="A63" i="12" s="1"/>
  <c r="J34" i="12"/>
  <c r="J314" i="12"/>
  <c r="L318" i="12" s="1"/>
  <c r="G260" i="12"/>
  <c r="I260" i="12" s="1"/>
  <c r="J260" i="12" s="1"/>
  <c r="G597" i="12"/>
  <c r="I597" i="12" s="1"/>
  <c r="J597" i="12" s="1"/>
  <c r="L392" i="12" l="1"/>
  <c r="J19" i="12"/>
  <c r="J412" i="12"/>
  <c r="L314" i="12"/>
  <c r="L340" i="12"/>
  <c r="L391" i="12"/>
  <c r="L356" i="12"/>
  <c r="L377" i="12"/>
  <c r="L380" i="12"/>
  <c r="L382" i="12"/>
  <c r="L369" i="12"/>
  <c r="L367" i="12"/>
  <c r="L337" i="12"/>
  <c r="L323" i="12"/>
  <c r="L381" i="12"/>
  <c r="L349" i="12"/>
  <c r="L375" i="12"/>
  <c r="L383" i="12"/>
  <c r="L388" i="12"/>
  <c r="L354" i="12"/>
  <c r="L355" i="12"/>
  <c r="L357" i="12"/>
  <c r="L368" i="12"/>
  <c r="L390" i="12"/>
  <c r="L359" i="12"/>
  <c r="L326" i="12"/>
  <c r="L358" i="12"/>
  <c r="L364" i="12"/>
  <c r="L361" i="12"/>
  <c r="L338" i="12"/>
  <c r="L370" i="12"/>
  <c r="L330" i="12"/>
  <c r="L405" i="12"/>
  <c r="L316" i="12"/>
  <c r="L327" i="12"/>
  <c r="L362" i="12"/>
  <c r="L397" i="12"/>
  <c r="L393" i="12"/>
  <c r="L407" i="12"/>
  <c r="L353" i="12"/>
  <c r="L334" i="12"/>
  <c r="L395" i="12"/>
  <c r="L360" i="12"/>
  <c r="L336" i="12"/>
  <c r="L339" i="12"/>
  <c r="L335" i="12"/>
  <c r="L366" i="12"/>
  <c r="L346" i="12"/>
  <c r="L350" i="12"/>
  <c r="L399" i="12"/>
  <c r="L348" i="12"/>
  <c r="L347" i="12"/>
  <c r="L363" i="12"/>
  <c r="L401" i="12"/>
  <c r="L331" i="12"/>
  <c r="L333" i="12"/>
  <c r="L396" i="12"/>
  <c r="L398" i="12"/>
  <c r="L409" i="12"/>
  <c r="L351" i="12"/>
  <c r="L411" i="12"/>
  <c r="L371" i="12"/>
  <c r="L365" i="12"/>
  <c r="L352" i="12"/>
  <c r="L403" i="12"/>
  <c r="L321" i="12"/>
  <c r="L320" i="12"/>
  <c r="L328" i="12"/>
  <c r="L332" i="12"/>
  <c r="L325" i="12"/>
  <c r="L317" i="12"/>
  <c r="L376" i="12"/>
  <c r="L341" i="12"/>
  <c r="L342" i="12"/>
  <c r="L343" i="12"/>
  <c r="L329" i="12"/>
  <c r="L385" i="12"/>
  <c r="L319" i="12"/>
  <c r="L389" i="12"/>
  <c r="L384" i="12"/>
  <c r="L344" i="12"/>
  <c r="L373" i="12"/>
  <c r="L372" i="12"/>
  <c r="L374" i="12"/>
  <c r="L324" i="12"/>
  <c r="L379" i="12"/>
  <c r="L378" i="12"/>
  <c r="L394" i="12"/>
  <c r="L387" i="12"/>
  <c r="L49" i="12"/>
  <c r="J13" i="12"/>
  <c r="L34" i="12"/>
  <c r="J62" i="12"/>
  <c r="L44" i="12"/>
  <c r="L40" i="12"/>
  <c r="L36" i="12"/>
  <c r="L38" i="12"/>
  <c r="L37" i="12"/>
  <c r="L51" i="12"/>
  <c r="L41" i="12"/>
  <c r="L39" i="12"/>
  <c r="L42" i="12"/>
  <c r="L45" i="12"/>
  <c r="L61" i="12"/>
  <c r="L57" i="12"/>
  <c r="L53" i="12"/>
  <c r="L59" i="12"/>
  <c r="L56" i="12"/>
  <c r="L46" i="12"/>
  <c r="L50" i="12"/>
  <c r="L35" i="12"/>
  <c r="L52" i="12"/>
  <c r="L48" i="12"/>
  <c r="L55" i="12"/>
  <c r="L54" i="12"/>
  <c r="L43" i="12"/>
  <c r="L47" i="12"/>
  <c r="G596" i="12"/>
  <c r="I596" i="12" s="1"/>
  <c r="J596" i="12" s="1"/>
  <c r="G288" i="12"/>
  <c r="I288" i="12" s="1"/>
  <c r="J288" i="12" s="1"/>
  <c r="L76" i="12"/>
  <c r="J99" i="12"/>
  <c r="J14" i="12"/>
  <c r="L63" i="12"/>
  <c r="L86" i="12"/>
  <c r="L82" i="12"/>
  <c r="L77" i="12"/>
  <c r="L79" i="12"/>
  <c r="L81" i="12"/>
  <c r="L83" i="12"/>
  <c r="L85" i="12"/>
  <c r="L68" i="12"/>
  <c r="L71" i="12"/>
  <c r="L84" i="12"/>
  <c r="L78" i="12"/>
  <c r="L80" i="12"/>
  <c r="L94" i="12"/>
  <c r="L88" i="12"/>
  <c r="L92" i="12"/>
  <c r="L98" i="12"/>
  <c r="L96" i="12"/>
  <c r="L89" i="12"/>
  <c r="L87" i="12"/>
  <c r="L90" i="12"/>
  <c r="L70" i="12"/>
  <c r="L72" i="12"/>
  <c r="L69" i="12"/>
  <c r="L66" i="12"/>
  <c r="L65" i="12"/>
  <c r="L67" i="12"/>
  <c r="L64" i="12"/>
  <c r="L75" i="12"/>
  <c r="L74" i="12"/>
  <c r="L73" i="12"/>
  <c r="F14" i="122" l="1"/>
  <c r="H14" i="122" s="1"/>
  <c r="L13" i="12"/>
  <c r="D10" i="39"/>
  <c r="E12" i="77"/>
  <c r="E15" i="77" s="1"/>
  <c r="A64" i="12"/>
  <c r="I63" i="12"/>
  <c r="B14" i="12"/>
  <c r="D14" i="39"/>
  <c r="E29" i="77"/>
  <c r="F15" i="122"/>
  <c r="H15" i="122" s="1"/>
  <c r="L14" i="12"/>
  <c r="E20" i="77"/>
  <c r="L19" i="12"/>
  <c r="D34" i="39"/>
  <c r="F20" i="122"/>
  <c r="H20" i="122" s="1"/>
  <c r="V15" i="39" l="1"/>
  <c r="V16" i="39" s="1"/>
  <c r="W15" i="39"/>
  <c r="W16" i="39" s="1"/>
  <c r="H15" i="39"/>
  <c r="H16" i="39" s="1"/>
  <c r="G15" i="39"/>
  <c r="G16" i="39" s="1"/>
  <c r="R15" i="39"/>
  <c r="R16" i="39" s="1"/>
  <c r="Q15" i="39"/>
  <c r="Q16" i="39" s="1"/>
  <c r="F15" i="39"/>
  <c r="F16" i="39" s="1"/>
  <c r="O15" i="39"/>
  <c r="O16" i="39" s="1"/>
  <c r="T15" i="39"/>
  <c r="T16" i="39" s="1"/>
  <c r="U15" i="39"/>
  <c r="U16" i="39" s="1"/>
  <c r="S15" i="39"/>
  <c r="S16" i="39" s="1"/>
  <c r="K15" i="39"/>
  <c r="K16" i="39" s="1"/>
  <c r="N15" i="39"/>
  <c r="N16" i="39" s="1"/>
  <c r="P15" i="39"/>
  <c r="P16" i="39" s="1"/>
  <c r="I15" i="39"/>
  <c r="I16" i="39" s="1"/>
  <c r="M15" i="39"/>
  <c r="M16" i="39" s="1"/>
  <c r="J15" i="39"/>
  <c r="J16" i="39" s="1"/>
  <c r="L15" i="39"/>
  <c r="L16" i="39" s="1"/>
  <c r="A13" i="39"/>
  <c r="B15" i="122"/>
  <c r="A29" i="77"/>
  <c r="A65" i="12"/>
  <c r="A64" i="120"/>
  <c r="G15" i="77"/>
  <c r="I15" i="77"/>
  <c r="I35" i="39"/>
  <c r="I36" i="39" s="1"/>
  <c r="R35" i="39"/>
  <c r="R36" i="39" s="1"/>
  <c r="U35" i="39"/>
  <c r="U36" i="39" s="1"/>
  <c r="T35" i="39"/>
  <c r="T36" i="39" s="1"/>
  <c r="H35" i="39"/>
  <c r="H36" i="39" s="1"/>
  <c r="J35" i="39"/>
  <c r="J36" i="39" s="1"/>
  <c r="M35" i="39"/>
  <c r="M36" i="39" s="1"/>
  <c r="P35" i="39"/>
  <c r="P36" i="39" s="1"/>
  <c r="O35" i="39"/>
  <c r="O36" i="39" s="1"/>
  <c r="V35" i="39"/>
  <c r="V36" i="39" s="1"/>
  <c r="K35" i="39"/>
  <c r="K36" i="39" s="1"/>
  <c r="G35" i="39"/>
  <c r="G36" i="39" s="1"/>
  <c r="S35" i="39"/>
  <c r="S36" i="39" s="1"/>
  <c r="Q35" i="39"/>
  <c r="Q36" i="39" s="1"/>
  <c r="L35" i="39"/>
  <c r="L36" i="39" s="1"/>
  <c r="F35" i="39"/>
  <c r="N35" i="39"/>
  <c r="N36" i="39" s="1"/>
  <c r="W35" i="39"/>
  <c r="W36" i="39" s="1"/>
  <c r="M11" i="39"/>
  <c r="W11" i="39"/>
  <c r="G11" i="39"/>
  <c r="G12" i="39" s="1"/>
  <c r="P11" i="39"/>
  <c r="O11" i="39"/>
  <c r="S11" i="39"/>
  <c r="N11" i="39"/>
  <c r="V11" i="39"/>
  <c r="Q11" i="39"/>
  <c r="L11" i="39"/>
  <c r="I11" i="39"/>
  <c r="I12" i="39" s="1"/>
  <c r="J11" i="39"/>
  <c r="J12" i="39" s="1"/>
  <c r="K11" i="39"/>
  <c r="K12" i="39" s="1"/>
  <c r="R11" i="39"/>
  <c r="H11" i="39"/>
  <c r="H12" i="39" s="1"/>
  <c r="F11" i="39"/>
  <c r="F12" i="39" s="1"/>
  <c r="U11" i="39"/>
  <c r="T11" i="39"/>
  <c r="AB8" i="39"/>
  <c r="G598" i="12"/>
  <c r="I598" i="12" s="1"/>
  <c r="J598" i="12" s="1"/>
  <c r="O12" i="39" l="1"/>
  <c r="M12" i="39"/>
  <c r="L12" i="39"/>
  <c r="Q12" i="39"/>
  <c r="T12" i="39"/>
  <c r="R12" i="39"/>
  <c r="V12" i="39"/>
  <c r="W12" i="39"/>
  <c r="N12" i="39"/>
  <c r="P12" i="39"/>
  <c r="U12" i="39"/>
  <c r="S12" i="39"/>
  <c r="F36" i="39"/>
  <c r="X36" i="39" s="1"/>
  <c r="X35" i="39"/>
  <c r="X16" i="39"/>
  <c r="X15" i="39"/>
  <c r="X11" i="39"/>
  <c r="A65" i="120"/>
  <c r="A66" i="12"/>
  <c r="X12" i="39" l="1"/>
  <c r="Y9" i="39" s="1"/>
  <c r="Z11" i="39"/>
  <c r="Y11" i="39"/>
  <c r="Y15" i="39"/>
  <c r="Z15" i="39"/>
  <c r="Y13" i="39"/>
  <c r="Y16" i="39"/>
  <c r="Z35" i="39"/>
  <c r="Y35" i="39"/>
  <c r="Y36" i="39"/>
  <c r="Y33" i="39"/>
  <c r="A67" i="12"/>
  <c r="A66" i="120"/>
  <c r="G103" i="12"/>
  <c r="I103" i="12" s="1"/>
  <c r="J103" i="12" s="1"/>
  <c r="Y12" i="39" l="1"/>
  <c r="J100" i="12"/>
  <c r="A68" i="12"/>
  <c r="A67" i="120"/>
  <c r="G417" i="12"/>
  <c r="I417" i="12" s="1"/>
  <c r="J417" i="12" s="1"/>
  <c r="A69" i="12" l="1"/>
  <c r="A68" i="120"/>
  <c r="J182" i="12"/>
  <c r="J15" i="12"/>
  <c r="L100" i="12"/>
  <c r="L112" i="12"/>
  <c r="L140" i="12"/>
  <c r="L118" i="12"/>
  <c r="L154" i="12"/>
  <c r="L148" i="12"/>
  <c r="L133" i="12"/>
  <c r="L166" i="12"/>
  <c r="L110" i="12"/>
  <c r="L136" i="12"/>
  <c r="L164" i="12"/>
  <c r="L106" i="12"/>
  <c r="L128" i="12"/>
  <c r="L105" i="12"/>
  <c r="L130" i="12"/>
  <c r="L158" i="12"/>
  <c r="L145" i="12"/>
  <c r="L115" i="12"/>
  <c r="L155" i="12"/>
  <c r="L121" i="12"/>
  <c r="L119" i="12"/>
  <c r="L157" i="12"/>
  <c r="L116" i="12"/>
  <c r="L149" i="12"/>
  <c r="L117" i="12"/>
  <c r="L109" i="12"/>
  <c r="L146" i="12"/>
  <c r="L120" i="12"/>
  <c r="L122" i="12"/>
  <c r="L127" i="12"/>
  <c r="L123" i="12"/>
  <c r="L138" i="12"/>
  <c r="L131" i="12"/>
  <c r="L107" i="12"/>
  <c r="L108" i="12"/>
  <c r="L142" i="12"/>
  <c r="L111" i="12"/>
  <c r="L147" i="12"/>
  <c r="L113" i="12"/>
  <c r="L162" i="12"/>
  <c r="L132" i="12"/>
  <c r="L141" i="12"/>
  <c r="L129" i="12"/>
  <c r="L171" i="12"/>
  <c r="L114" i="12"/>
  <c r="L126" i="12"/>
  <c r="L163" i="12"/>
  <c r="L153" i="12"/>
  <c r="L137" i="12"/>
  <c r="L156" i="12"/>
  <c r="L175" i="12"/>
  <c r="L290" i="12"/>
  <c r="L161" i="12"/>
  <c r="L177" i="12"/>
  <c r="L159" i="12"/>
  <c r="L124" i="12"/>
  <c r="L151" i="12"/>
  <c r="L167" i="12"/>
  <c r="L160" i="12"/>
  <c r="L104" i="12"/>
  <c r="L152" i="12"/>
  <c r="L173" i="12"/>
  <c r="L169" i="12"/>
  <c r="L139" i="12"/>
  <c r="L150" i="12"/>
  <c r="L179" i="12"/>
  <c r="L181" i="12"/>
  <c r="L144" i="12"/>
  <c r="L165" i="12"/>
  <c r="L168" i="12"/>
  <c r="L143" i="12"/>
  <c r="L135" i="12"/>
  <c r="L101" i="12"/>
  <c r="L134" i="12"/>
  <c r="L125" i="12"/>
  <c r="L102" i="12"/>
  <c r="L103" i="12"/>
  <c r="G885" i="12"/>
  <c r="I885" i="12" s="1"/>
  <c r="J885" i="12" s="1"/>
  <c r="G721" i="12"/>
  <c r="I721" i="12" s="1"/>
  <c r="J721" i="12" s="1"/>
  <c r="G723" i="12"/>
  <c r="I723" i="12" s="1"/>
  <c r="J723" i="12" s="1"/>
  <c r="G726" i="12"/>
  <c r="I726" i="12" s="1"/>
  <c r="J726" i="12" s="1"/>
  <c r="G271" i="12"/>
  <c r="I271" i="12" s="1"/>
  <c r="J271" i="12" s="1"/>
  <c r="G269" i="12"/>
  <c r="I269" i="12" s="1"/>
  <c r="J269" i="12" s="1"/>
  <c r="G270" i="12"/>
  <c r="I270" i="12" s="1"/>
  <c r="J270" i="12" s="1"/>
  <c r="J858" i="12" l="1"/>
  <c r="F16" i="122"/>
  <c r="D18" i="39"/>
  <c r="E16" i="77"/>
  <c r="L15" i="12"/>
  <c r="G286" i="12"/>
  <c r="I286" i="12" s="1"/>
  <c r="J286" i="12" s="1"/>
  <c r="G594" i="12"/>
  <c r="I594" i="12" s="1"/>
  <c r="J594" i="12" s="1"/>
  <c r="G720" i="12"/>
  <c r="I720" i="12" s="1"/>
  <c r="J720" i="12" s="1"/>
  <c r="U719" i="12" s="1"/>
  <c r="G818" i="12"/>
  <c r="I818" i="12" s="1"/>
  <c r="J818" i="12" s="1"/>
  <c r="G817" i="12"/>
  <c r="I817" i="12" s="1"/>
  <c r="J817" i="12" s="1"/>
  <c r="G724" i="12"/>
  <c r="I724" i="12" s="1"/>
  <c r="J724" i="12" s="1"/>
  <c r="A69" i="120"/>
  <c r="A70" i="12"/>
  <c r="G820" i="12"/>
  <c r="I820" i="12" s="1"/>
  <c r="J820" i="12" s="1"/>
  <c r="G725" i="12"/>
  <c r="I725" i="12" s="1"/>
  <c r="J725" i="12" s="1"/>
  <c r="L877" i="12" l="1"/>
  <c r="L858" i="12"/>
  <c r="J887" i="12"/>
  <c r="J29" i="12"/>
  <c r="L884" i="12"/>
  <c r="L882" i="12"/>
  <c r="L867" i="12"/>
  <c r="L861" i="12"/>
  <c r="L886" i="12"/>
  <c r="L864" i="12"/>
  <c r="L866" i="12"/>
  <c r="L865" i="12"/>
  <c r="L883" i="12"/>
  <c r="L859" i="12"/>
  <c r="L860" i="12"/>
  <c r="L862" i="12"/>
  <c r="L863" i="12"/>
  <c r="L868" i="12"/>
  <c r="L873" i="12"/>
  <c r="L874" i="12"/>
  <c r="L871" i="12"/>
  <c r="L872" i="12"/>
  <c r="L878" i="12"/>
  <c r="L880" i="12"/>
  <c r="L870" i="12"/>
  <c r="L881" i="12"/>
  <c r="L869" i="12"/>
  <c r="L879" i="12"/>
  <c r="L875" i="12"/>
  <c r="L876" i="12"/>
  <c r="A71" i="12"/>
  <c r="A70" i="120"/>
  <c r="L885" i="12"/>
  <c r="G19" i="39"/>
  <c r="S19" i="39"/>
  <c r="J19" i="39"/>
  <c r="V19" i="39"/>
  <c r="Q19" i="39"/>
  <c r="W19" i="39"/>
  <c r="T19" i="39"/>
  <c r="L19" i="39"/>
  <c r="F19" i="39"/>
  <c r="M19" i="39"/>
  <c r="K19" i="39"/>
  <c r="I19" i="39"/>
  <c r="O19" i="39"/>
  <c r="H19" i="39"/>
  <c r="N19" i="39"/>
  <c r="U19" i="39"/>
  <c r="P19" i="39"/>
  <c r="R19" i="39"/>
  <c r="J796" i="12"/>
  <c r="L820" i="12" s="1"/>
  <c r="H16" i="122"/>
  <c r="J719" i="12"/>
  <c r="L725" i="12" s="1"/>
  <c r="S20" i="39" l="1"/>
  <c r="Q20" i="39"/>
  <c r="H20" i="39"/>
  <c r="L20" i="39"/>
  <c r="T20" i="39"/>
  <c r="R20" i="39"/>
  <c r="N20" i="39"/>
  <c r="J20" i="39"/>
  <c r="P20" i="39"/>
  <c r="V20" i="39"/>
  <c r="U20" i="39"/>
  <c r="F20" i="39"/>
  <c r="L724" i="12"/>
  <c r="X19" i="39"/>
  <c r="A71" i="120"/>
  <c r="A72" i="12"/>
  <c r="J857" i="12"/>
  <c r="J28" i="12"/>
  <c r="L796" i="12"/>
  <c r="L815" i="12"/>
  <c r="L825" i="12"/>
  <c r="L807" i="12"/>
  <c r="L822" i="12"/>
  <c r="L821" i="12"/>
  <c r="L809" i="12"/>
  <c r="L797" i="12"/>
  <c r="L854" i="12"/>
  <c r="L802" i="12"/>
  <c r="L810" i="12"/>
  <c r="L798" i="12"/>
  <c r="L823" i="12"/>
  <c r="L856" i="12"/>
  <c r="L814" i="12"/>
  <c r="L803" i="12"/>
  <c r="L826" i="12"/>
  <c r="L808" i="12"/>
  <c r="L804" i="12"/>
  <c r="L832" i="12"/>
  <c r="L824" i="12"/>
  <c r="L801" i="12"/>
  <c r="L842" i="12"/>
  <c r="L844" i="12"/>
  <c r="L850" i="12"/>
  <c r="L838" i="12"/>
  <c r="L830" i="12"/>
  <c r="L828" i="12"/>
  <c r="L846" i="12"/>
  <c r="L836" i="12"/>
  <c r="L840" i="12"/>
  <c r="L834" i="12"/>
  <c r="L848" i="12"/>
  <c r="L852" i="12"/>
  <c r="L805" i="12"/>
  <c r="L806" i="12"/>
  <c r="L816" i="12"/>
  <c r="L812" i="12"/>
  <c r="L811" i="12"/>
  <c r="L819" i="12"/>
  <c r="L813" i="12"/>
  <c r="L799" i="12"/>
  <c r="L800" i="12"/>
  <c r="W20" i="39"/>
  <c r="O20" i="39"/>
  <c r="L817" i="12"/>
  <c r="L720" i="12"/>
  <c r="J26" i="12"/>
  <c r="J751" i="12"/>
  <c r="L719" i="12"/>
  <c r="L729" i="12"/>
  <c r="L730" i="12"/>
  <c r="L733" i="12"/>
  <c r="L727" i="12"/>
  <c r="L743" i="12"/>
  <c r="L738" i="12"/>
  <c r="L740" i="12"/>
  <c r="L750" i="12"/>
  <c r="L742" i="12"/>
  <c r="L736" i="12"/>
  <c r="L744" i="12"/>
  <c r="L739" i="12"/>
  <c r="L728" i="12"/>
  <c r="L737" i="12"/>
  <c r="L741" i="12"/>
  <c r="L731" i="12"/>
  <c r="L746" i="12"/>
  <c r="L722" i="12"/>
  <c r="L735" i="12"/>
  <c r="L745" i="12"/>
  <c r="L747" i="12"/>
  <c r="L748" i="12"/>
  <c r="L732" i="12"/>
  <c r="L734" i="12"/>
  <c r="L721" i="12"/>
  <c r="L723" i="12"/>
  <c r="L726" i="12"/>
  <c r="G20" i="39"/>
  <c r="K20" i="39"/>
  <c r="I20" i="39"/>
  <c r="L818" i="12"/>
  <c r="M20" i="39"/>
  <c r="D74" i="39"/>
  <c r="L29" i="12"/>
  <c r="F31" i="122"/>
  <c r="H31" i="122" s="1"/>
  <c r="E27" i="77"/>
  <c r="Z19" i="39" l="1"/>
  <c r="Y19" i="39"/>
  <c r="E31" i="77"/>
  <c r="L28" i="12"/>
  <c r="F30" i="122"/>
  <c r="H30" i="122" s="1"/>
  <c r="D70" i="39"/>
  <c r="E25" i="77"/>
  <c r="D62" i="39"/>
  <c r="L26" i="12"/>
  <c r="F27" i="122"/>
  <c r="H27" i="122" s="1"/>
  <c r="I27" i="77"/>
  <c r="G27" i="77"/>
  <c r="A73" i="12"/>
  <c r="A72" i="120"/>
  <c r="W75" i="39"/>
  <c r="W76" i="39" s="1"/>
  <c r="M75" i="39"/>
  <c r="M76" i="39" s="1"/>
  <c r="O75" i="39"/>
  <c r="O76" i="39" s="1"/>
  <c r="S75" i="39"/>
  <c r="S76" i="39" s="1"/>
  <c r="T75" i="39"/>
  <c r="T76" i="39" s="1"/>
  <c r="I75" i="39"/>
  <c r="I76" i="39" s="1"/>
  <c r="F75" i="39"/>
  <c r="P75" i="39"/>
  <c r="P76" i="39" s="1"/>
  <c r="U75" i="39"/>
  <c r="U76" i="39" s="1"/>
  <c r="K75" i="39"/>
  <c r="K76" i="39" s="1"/>
  <c r="R75" i="39"/>
  <c r="R76" i="39" s="1"/>
  <c r="N75" i="39"/>
  <c r="N76" i="39" s="1"/>
  <c r="J75" i="39"/>
  <c r="J76" i="39" s="1"/>
  <c r="V75" i="39"/>
  <c r="V76" i="39" s="1"/>
  <c r="G75" i="39"/>
  <c r="G76" i="39" s="1"/>
  <c r="Q75" i="39"/>
  <c r="Q76" i="39" s="1"/>
  <c r="L75" i="39"/>
  <c r="L76" i="39" s="1"/>
  <c r="H75" i="39"/>
  <c r="H76" i="39" s="1"/>
  <c r="X20" i="39"/>
  <c r="Y20" i="39" s="1"/>
  <c r="G241" i="12"/>
  <c r="I241" i="12" s="1"/>
  <c r="J241" i="12" s="1"/>
  <c r="A73" i="120" l="1"/>
  <c r="A74" i="12"/>
  <c r="Y17" i="39"/>
  <c r="F76" i="39"/>
  <c r="X76" i="39" s="1"/>
  <c r="Y76" i="39" s="1"/>
  <c r="X75" i="39"/>
  <c r="M71" i="39"/>
  <c r="M72" i="39" s="1"/>
  <c r="J71" i="39"/>
  <c r="J72" i="39" s="1"/>
  <c r="W71" i="39"/>
  <c r="W72" i="39" s="1"/>
  <c r="H71" i="39"/>
  <c r="H72" i="39" s="1"/>
  <c r="F71" i="39"/>
  <c r="F72" i="39" s="1"/>
  <c r="S71" i="39"/>
  <c r="S72" i="39" s="1"/>
  <c r="I71" i="39"/>
  <c r="I72" i="39" s="1"/>
  <c r="K71" i="39"/>
  <c r="K72" i="39" s="1"/>
  <c r="L71" i="39"/>
  <c r="L72" i="39" s="1"/>
  <c r="G71" i="39"/>
  <c r="G72" i="39" s="1"/>
  <c r="O71" i="39"/>
  <c r="O72" i="39" s="1"/>
  <c r="T71" i="39"/>
  <c r="T72" i="39" s="1"/>
  <c r="R71" i="39"/>
  <c r="R72" i="39" s="1"/>
  <c r="V71" i="39"/>
  <c r="V72" i="39" s="1"/>
  <c r="U71" i="39"/>
  <c r="U72" i="39" s="1"/>
  <c r="Q71" i="39"/>
  <c r="Q72" i="39" s="1"/>
  <c r="N71" i="39"/>
  <c r="N72" i="39" s="1"/>
  <c r="P71" i="39"/>
  <c r="P72" i="39" s="1"/>
  <c r="K63" i="39"/>
  <c r="K64" i="39" s="1"/>
  <c r="V63" i="39"/>
  <c r="V64" i="39" s="1"/>
  <c r="I63" i="39"/>
  <c r="I64" i="39" s="1"/>
  <c r="R63" i="39"/>
  <c r="R64" i="39" s="1"/>
  <c r="G63" i="39"/>
  <c r="G64" i="39" s="1"/>
  <c r="P63" i="39"/>
  <c r="P64" i="39" s="1"/>
  <c r="W63" i="39"/>
  <c r="W64" i="39" s="1"/>
  <c r="U63" i="39"/>
  <c r="U64" i="39" s="1"/>
  <c r="J63" i="39"/>
  <c r="J64" i="39" s="1"/>
  <c r="S63" i="39"/>
  <c r="S64" i="39" s="1"/>
  <c r="T63" i="39"/>
  <c r="T64" i="39" s="1"/>
  <c r="H63" i="39"/>
  <c r="H64" i="39" s="1"/>
  <c r="F63" i="39"/>
  <c r="F64" i="39" s="1"/>
  <c r="L63" i="39"/>
  <c r="L64" i="39" s="1"/>
  <c r="O63" i="39"/>
  <c r="O64" i="39" s="1"/>
  <c r="M63" i="39"/>
  <c r="M64" i="39" s="1"/>
  <c r="N63" i="39"/>
  <c r="N64" i="39" s="1"/>
  <c r="Q63" i="39"/>
  <c r="Q64" i="39" s="1"/>
  <c r="X64" i="39" l="1"/>
  <c r="Z75" i="39"/>
  <c r="Y75" i="39"/>
  <c r="Y73" i="39"/>
  <c r="X72" i="39"/>
  <c r="Y72" i="39" s="1"/>
  <c r="X71" i="39"/>
  <c r="A75" i="12"/>
  <c r="A74" i="120"/>
  <c r="X63" i="39"/>
  <c r="Z63" i="39" l="1"/>
  <c r="Y63" i="39"/>
  <c r="Y61" i="39"/>
  <c r="Y64" i="39"/>
  <c r="Y71" i="39"/>
  <c r="Z71" i="39"/>
  <c r="Y69" i="39"/>
  <c r="A76" i="12"/>
  <c r="A75" i="120"/>
  <c r="G593" i="12"/>
  <c r="I593" i="12" s="1"/>
  <c r="J593" i="12" s="1"/>
  <c r="G285" i="12"/>
  <c r="I285" i="12" s="1"/>
  <c r="J285" i="12" s="1"/>
  <c r="A76" i="120" l="1"/>
  <c r="A77" i="12"/>
  <c r="G433" i="12"/>
  <c r="I433" i="12" s="1"/>
  <c r="J433" i="12" s="1"/>
  <c r="G251" i="12"/>
  <c r="I251" i="12" s="1"/>
  <c r="J251" i="12" s="1"/>
  <c r="J413" i="12" l="1"/>
  <c r="L433" i="12" s="1"/>
  <c r="A78" i="12"/>
  <c r="A77" i="120"/>
  <c r="A78" i="120" l="1"/>
  <c r="A79" i="12"/>
  <c r="L427" i="12"/>
  <c r="J447" i="12"/>
  <c r="J20" i="12"/>
  <c r="L413" i="12"/>
  <c r="L426" i="12"/>
  <c r="L424" i="12"/>
  <c r="L442" i="12"/>
  <c r="L425" i="12"/>
  <c r="L430" i="12"/>
  <c r="L444" i="12"/>
  <c r="L435" i="12"/>
  <c r="L422" i="12"/>
  <c r="L434" i="12"/>
  <c r="L438" i="12"/>
  <c r="L428" i="12"/>
  <c r="L440" i="12"/>
  <c r="L437" i="12"/>
  <c r="L429" i="12"/>
  <c r="L446" i="12"/>
  <c r="L436" i="12"/>
  <c r="L420" i="12"/>
  <c r="L419" i="12"/>
  <c r="L432" i="12"/>
  <c r="L418" i="12"/>
  <c r="L423" i="12"/>
  <c r="L431" i="12"/>
  <c r="L414" i="12"/>
  <c r="L415" i="12"/>
  <c r="L416" i="12"/>
  <c r="L421" i="12"/>
  <c r="L417" i="12"/>
  <c r="E30" i="77" l="1"/>
  <c r="L20" i="12"/>
  <c r="D38" i="39"/>
  <c r="F21" i="122"/>
  <c r="H21" i="122" s="1"/>
  <c r="A80" i="12"/>
  <c r="A79" i="120"/>
  <c r="G235" i="12"/>
  <c r="I235" i="12" s="1"/>
  <c r="J235" i="12" s="1"/>
  <c r="I39" i="39" l="1"/>
  <c r="I40" i="39" s="1"/>
  <c r="K39" i="39"/>
  <c r="K40" i="39" s="1"/>
  <c r="S39" i="39"/>
  <c r="S40" i="39" s="1"/>
  <c r="Q39" i="39"/>
  <c r="Q40" i="39" s="1"/>
  <c r="H39" i="39"/>
  <c r="H40" i="39" s="1"/>
  <c r="T39" i="39"/>
  <c r="T40" i="39" s="1"/>
  <c r="P39" i="39"/>
  <c r="P40" i="39" s="1"/>
  <c r="V39" i="39"/>
  <c r="V40" i="39" s="1"/>
  <c r="G39" i="39"/>
  <c r="G40" i="39" s="1"/>
  <c r="R39" i="39"/>
  <c r="R40" i="39" s="1"/>
  <c r="W39" i="39"/>
  <c r="W40" i="39" s="1"/>
  <c r="L39" i="39"/>
  <c r="L40" i="39" s="1"/>
  <c r="F39" i="39"/>
  <c r="J39" i="39"/>
  <c r="J40" i="39" s="1"/>
  <c r="M39" i="39"/>
  <c r="M40" i="39" s="1"/>
  <c r="O39" i="39"/>
  <c r="O40" i="39" s="1"/>
  <c r="U39" i="39"/>
  <c r="U40" i="39" s="1"/>
  <c r="N39" i="39"/>
  <c r="N40" i="39" s="1"/>
  <c r="J183" i="12"/>
  <c r="L235" i="12" s="1"/>
  <c r="A81" i="12"/>
  <c r="A80" i="120"/>
  <c r="G595" i="12" l="1"/>
  <c r="I595" i="12" s="1"/>
  <c r="J595" i="12" s="1"/>
  <c r="G287" i="12"/>
  <c r="I287" i="12" s="1"/>
  <c r="J287" i="12" s="1"/>
  <c r="F40" i="39"/>
  <c r="X40" i="39" s="1"/>
  <c r="X39" i="39"/>
  <c r="A81" i="120"/>
  <c r="A82" i="12"/>
  <c r="L204" i="12"/>
  <c r="L183" i="12"/>
  <c r="J16" i="12"/>
  <c r="L265" i="12"/>
  <c r="J293" i="12"/>
  <c r="J243" i="12"/>
  <c r="L240" i="12"/>
  <c r="L242" i="12"/>
  <c r="L236" i="12"/>
  <c r="L238" i="12"/>
  <c r="L195" i="12"/>
  <c r="L185" i="12"/>
  <c r="L196" i="12"/>
  <c r="L197" i="12"/>
  <c r="L198" i="12"/>
  <c r="L205" i="12"/>
  <c r="L292" i="12"/>
  <c r="L193" i="12"/>
  <c r="L199" i="12"/>
  <c r="L206" i="12"/>
  <c r="L201" i="12"/>
  <c r="L202" i="12"/>
  <c r="L190" i="12"/>
  <c r="L207" i="12"/>
  <c r="L184" i="12"/>
  <c r="L188" i="12"/>
  <c r="L259" i="12"/>
  <c r="L200" i="12"/>
  <c r="L194" i="12"/>
  <c r="L186" i="12"/>
  <c r="L187" i="12"/>
  <c r="L191" i="12"/>
  <c r="L192" i="12"/>
  <c r="L189" i="12"/>
  <c r="L203" i="12"/>
  <c r="L221" i="12"/>
  <c r="L233" i="12"/>
  <c r="L219" i="12"/>
  <c r="L234" i="12"/>
  <c r="L228" i="12"/>
  <c r="L231" i="12"/>
  <c r="L232" i="12"/>
  <c r="L222" i="12"/>
  <c r="L229" i="12"/>
  <c r="L224" i="12"/>
  <c r="L225" i="12"/>
  <c r="L223" i="12"/>
  <c r="L216" i="12"/>
  <c r="L213" i="12"/>
  <c r="L208" i="12"/>
  <c r="L214" i="12"/>
  <c r="L209" i="12"/>
  <c r="L215" i="12"/>
  <c r="L210" i="12"/>
  <c r="L211" i="12"/>
  <c r="L212" i="12"/>
  <c r="L217" i="12"/>
  <c r="L226" i="12"/>
  <c r="L254" i="12"/>
  <c r="L258" i="12"/>
  <c r="L257" i="12"/>
  <c r="L255" i="12"/>
  <c r="L256" i="12"/>
  <c r="L253" i="12"/>
  <c r="L252" i="12"/>
  <c r="L220" i="12"/>
  <c r="L230" i="12"/>
  <c r="L218" i="12"/>
  <c r="L227" i="12"/>
  <c r="L272" i="12"/>
  <c r="L276" i="12"/>
  <c r="L275" i="12"/>
  <c r="L274" i="12"/>
  <c r="L273" i="12"/>
  <c r="L277" i="12"/>
  <c r="L280" i="12"/>
  <c r="L281" i="12"/>
  <c r="L279" i="12"/>
  <c r="L278" i="12"/>
  <c r="L267" i="12"/>
  <c r="L268" i="12"/>
  <c r="L266" i="12"/>
  <c r="L264" i="12"/>
  <c r="L239" i="12"/>
  <c r="L237" i="12"/>
  <c r="L260" i="12"/>
  <c r="L288" i="12"/>
  <c r="L270" i="12"/>
  <c r="L269" i="12"/>
  <c r="L271" i="12"/>
  <c r="L286" i="12"/>
  <c r="L241" i="12"/>
  <c r="L285" i="12"/>
  <c r="L251" i="12"/>
  <c r="F17" i="122" l="1"/>
  <c r="L16" i="12"/>
  <c r="D22" i="39"/>
  <c r="E17" i="77"/>
  <c r="A82" i="120"/>
  <c r="A83" i="12"/>
  <c r="Z39" i="39"/>
  <c r="Y39" i="39"/>
  <c r="Y37" i="39"/>
  <c r="Y40" i="39"/>
  <c r="L287" i="12"/>
  <c r="V23" i="39" l="1"/>
  <c r="N23" i="39"/>
  <c r="Q23" i="39"/>
  <c r="R23" i="39"/>
  <c r="T23" i="39"/>
  <c r="L23" i="39"/>
  <c r="I23" i="39"/>
  <c r="M23" i="39"/>
  <c r="U23" i="39"/>
  <c r="S23" i="39"/>
  <c r="H23" i="39"/>
  <c r="K23" i="39"/>
  <c r="W23" i="39"/>
  <c r="G23" i="39"/>
  <c r="F23" i="39"/>
  <c r="P23" i="39"/>
  <c r="O23" i="39"/>
  <c r="J23" i="39"/>
  <c r="A83" i="120"/>
  <c r="A84" i="12"/>
  <c r="H17" i="122"/>
  <c r="F24" i="39" l="1"/>
  <c r="U24" i="39"/>
  <c r="T24" i="39"/>
  <c r="R24" i="39"/>
  <c r="M24" i="39"/>
  <c r="L24" i="39"/>
  <c r="X23" i="39"/>
  <c r="Q24" i="39"/>
  <c r="G24" i="39"/>
  <c r="N24" i="39"/>
  <c r="J24" i="39"/>
  <c r="W24" i="39"/>
  <c r="V24" i="39"/>
  <c r="O24" i="39"/>
  <c r="K24" i="39"/>
  <c r="I24" i="39"/>
  <c r="A84" i="120"/>
  <c r="A85" i="12"/>
  <c r="H24" i="39"/>
  <c r="P24" i="39"/>
  <c r="S24" i="39"/>
  <c r="G462" i="12" l="1"/>
  <c r="I462" i="12" s="1"/>
  <c r="J462" i="12" s="1"/>
  <c r="U448" i="12" s="1"/>
  <c r="G534" i="12"/>
  <c r="I534" i="12" s="1"/>
  <c r="J534" i="12" s="1"/>
  <c r="G463" i="12"/>
  <c r="I463" i="12" s="1"/>
  <c r="J463" i="12" s="1"/>
  <c r="G535" i="12"/>
  <c r="I535" i="12" s="1"/>
  <c r="J535" i="12" s="1"/>
  <c r="Z23" i="39"/>
  <c r="Y23" i="39"/>
  <c r="A85" i="120"/>
  <c r="A86" i="12"/>
  <c r="X24" i="39"/>
  <c r="Y24" i="39" s="1"/>
  <c r="Y21" i="39" l="1"/>
  <c r="J448" i="12"/>
  <c r="L462" i="12" s="1"/>
  <c r="G658" i="12"/>
  <c r="I658" i="12" s="1"/>
  <c r="J658" i="12" s="1"/>
  <c r="G588" i="12"/>
  <c r="I588" i="12" s="1"/>
  <c r="J588" i="12" s="1"/>
  <c r="A87" i="12"/>
  <c r="A86" i="120"/>
  <c r="J506" i="12"/>
  <c r="J22" i="12" l="1"/>
  <c r="L539" i="12"/>
  <c r="J581" i="12"/>
  <c r="L506" i="12"/>
  <c r="L526" i="12"/>
  <c r="L515" i="12"/>
  <c r="L516" i="12"/>
  <c r="L520" i="12"/>
  <c r="L531" i="12"/>
  <c r="L566" i="12"/>
  <c r="L529" i="12"/>
  <c r="L510" i="12"/>
  <c r="L530" i="12"/>
  <c r="L554" i="12"/>
  <c r="L546" i="12"/>
  <c r="L580" i="12"/>
  <c r="L527" i="12"/>
  <c r="L576" i="12"/>
  <c r="L562" i="12"/>
  <c r="L550" i="12"/>
  <c r="L544" i="12"/>
  <c r="L572" i="12"/>
  <c r="L578" i="12"/>
  <c r="L528" i="12"/>
  <c r="L560" i="12"/>
  <c r="L574" i="12"/>
  <c r="L548" i="12"/>
  <c r="L552" i="12"/>
  <c r="L514" i="12"/>
  <c r="L540" i="12"/>
  <c r="L564" i="12"/>
  <c r="L556" i="12"/>
  <c r="L570" i="12"/>
  <c r="L513" i="12"/>
  <c r="L541" i="12"/>
  <c r="L558" i="12"/>
  <c r="L568" i="12"/>
  <c r="L521" i="12"/>
  <c r="L512" i="12"/>
  <c r="L509" i="12"/>
  <c r="L533" i="12"/>
  <c r="L518" i="12"/>
  <c r="L542" i="12"/>
  <c r="L532" i="12"/>
  <c r="L525" i="12"/>
  <c r="L517" i="12"/>
  <c r="L538" i="12"/>
  <c r="L536" i="12"/>
  <c r="L524" i="12"/>
  <c r="L523" i="12"/>
  <c r="L537" i="12"/>
  <c r="L508" i="12"/>
  <c r="L522" i="12"/>
  <c r="L511" i="12"/>
  <c r="L519" i="12"/>
  <c r="L507" i="12"/>
  <c r="A88" i="12"/>
  <c r="A87" i="120"/>
  <c r="L535" i="12"/>
  <c r="L534" i="12"/>
  <c r="G661" i="12"/>
  <c r="I661" i="12" s="1"/>
  <c r="J661" i="12" s="1"/>
  <c r="J645" i="12" s="1"/>
  <c r="G591" i="12"/>
  <c r="I591" i="12" s="1"/>
  <c r="J591" i="12" s="1"/>
  <c r="J582" i="12" s="1"/>
  <c r="L459" i="12"/>
  <c r="J505" i="12"/>
  <c r="J21" i="12"/>
  <c r="L448" i="12"/>
  <c r="L458" i="12"/>
  <c r="L502" i="12"/>
  <c r="L472" i="12"/>
  <c r="L455" i="12"/>
  <c r="L482" i="12"/>
  <c r="L449" i="12"/>
  <c r="L456" i="12"/>
  <c r="L500" i="12"/>
  <c r="L468" i="12"/>
  <c r="L478" i="12"/>
  <c r="L486" i="12"/>
  <c r="L494" i="12"/>
  <c r="L504" i="12"/>
  <c r="L474" i="12"/>
  <c r="L498" i="12"/>
  <c r="L451" i="12"/>
  <c r="L466" i="12"/>
  <c r="L488" i="12"/>
  <c r="L476" i="12"/>
  <c r="L484" i="12"/>
  <c r="L452" i="12"/>
  <c r="L450" i="12"/>
  <c r="L470" i="12"/>
  <c r="L490" i="12"/>
  <c r="L496" i="12"/>
  <c r="L454" i="12"/>
  <c r="L480" i="12"/>
  <c r="L453" i="12"/>
  <c r="L492" i="12"/>
  <c r="L457" i="12"/>
  <c r="L461" i="12"/>
  <c r="L460" i="12"/>
  <c r="L465" i="12"/>
  <c r="L464" i="12"/>
  <c r="L463" i="12"/>
  <c r="J23" i="12" l="1"/>
  <c r="L592" i="12"/>
  <c r="L582" i="12"/>
  <c r="J623" i="12"/>
  <c r="L610" i="12"/>
  <c r="L606" i="12"/>
  <c r="L616" i="12"/>
  <c r="L618" i="12"/>
  <c r="L614" i="12"/>
  <c r="L600" i="12"/>
  <c r="L602" i="12"/>
  <c r="L612" i="12"/>
  <c r="L620" i="12"/>
  <c r="L622" i="12"/>
  <c r="L590" i="12"/>
  <c r="L604" i="12"/>
  <c r="L608" i="12"/>
  <c r="L586" i="12"/>
  <c r="L587" i="12"/>
  <c r="L589" i="12"/>
  <c r="L585" i="12"/>
  <c r="L583" i="12"/>
  <c r="L584" i="12"/>
  <c r="L597" i="12"/>
  <c r="L596" i="12"/>
  <c r="L598" i="12"/>
  <c r="L594" i="12"/>
  <c r="L593" i="12"/>
  <c r="L595" i="12"/>
  <c r="L588" i="12"/>
  <c r="J25" i="12"/>
  <c r="L675" i="12"/>
  <c r="L645" i="12"/>
  <c r="L662" i="12"/>
  <c r="J718" i="12"/>
  <c r="L650" i="12"/>
  <c r="L663" i="12"/>
  <c r="L701" i="12"/>
  <c r="L685" i="12"/>
  <c r="L693" i="12"/>
  <c r="L705" i="12"/>
  <c r="L711" i="12"/>
  <c r="L687" i="12"/>
  <c r="L691" i="12"/>
  <c r="L709" i="12"/>
  <c r="L717" i="12"/>
  <c r="L669" i="12"/>
  <c r="L651" i="12"/>
  <c r="L666" i="12"/>
  <c r="L683" i="12"/>
  <c r="L673" i="12"/>
  <c r="L695" i="12"/>
  <c r="L667" i="12"/>
  <c r="L646" i="12"/>
  <c r="L703" i="12"/>
  <c r="L660" i="12"/>
  <c r="L647" i="12"/>
  <c r="L699" i="12"/>
  <c r="L674" i="12"/>
  <c r="L652" i="12"/>
  <c r="L681" i="12"/>
  <c r="L713" i="12"/>
  <c r="L653" i="12"/>
  <c r="L697" i="12"/>
  <c r="L671" i="12"/>
  <c r="L715" i="12"/>
  <c r="L689" i="12"/>
  <c r="L670" i="12"/>
  <c r="L654" i="12"/>
  <c r="L668" i="12"/>
  <c r="L677" i="12"/>
  <c r="L672" i="12"/>
  <c r="L707" i="12"/>
  <c r="L665" i="12"/>
  <c r="L664" i="12"/>
  <c r="L679" i="12"/>
  <c r="L648" i="12"/>
  <c r="L657" i="12"/>
  <c r="L656" i="12"/>
  <c r="L655" i="12"/>
  <c r="L659" i="12"/>
  <c r="L649" i="12"/>
  <c r="L658" i="12"/>
  <c r="L661" i="12"/>
  <c r="A89" i="12"/>
  <c r="A88" i="120"/>
  <c r="L591" i="12"/>
  <c r="L21" i="12"/>
  <c r="F22" i="122"/>
  <c r="H22" i="122" s="1"/>
  <c r="D42" i="39"/>
  <c r="E21" i="77"/>
  <c r="E34" i="77"/>
  <c r="D46" i="39"/>
  <c r="F23" i="122"/>
  <c r="H23" i="122" s="1"/>
  <c r="L22" i="12"/>
  <c r="E24" i="77" l="1"/>
  <c r="L25" i="12"/>
  <c r="D58" i="39"/>
  <c r="F26" i="122"/>
  <c r="H26" i="122" s="1"/>
  <c r="A90" i="12"/>
  <c r="A89" i="120"/>
  <c r="M47" i="39"/>
  <c r="M48" i="39" s="1"/>
  <c r="I47" i="39"/>
  <c r="I48" i="39" s="1"/>
  <c r="R47" i="39"/>
  <c r="R48" i="39" s="1"/>
  <c r="V47" i="39"/>
  <c r="V48" i="39" s="1"/>
  <c r="H47" i="39"/>
  <c r="H48" i="39" s="1"/>
  <c r="T47" i="39"/>
  <c r="T48" i="39" s="1"/>
  <c r="J47" i="39"/>
  <c r="J48" i="39" s="1"/>
  <c r="N47" i="39"/>
  <c r="N48" i="39" s="1"/>
  <c r="S47" i="39"/>
  <c r="S48" i="39" s="1"/>
  <c r="U47" i="39"/>
  <c r="U48" i="39" s="1"/>
  <c r="W47" i="39"/>
  <c r="W48" i="39" s="1"/>
  <c r="F47" i="39"/>
  <c r="L47" i="39"/>
  <c r="L48" i="39" s="1"/>
  <c r="K47" i="39"/>
  <c r="K48" i="39" s="1"/>
  <c r="Q47" i="39"/>
  <c r="Q48" i="39" s="1"/>
  <c r="G47" i="39"/>
  <c r="G48" i="39" s="1"/>
  <c r="O47" i="39"/>
  <c r="O48" i="39" s="1"/>
  <c r="P47" i="39"/>
  <c r="P48" i="39" s="1"/>
  <c r="Q43" i="39"/>
  <c r="Q44" i="39" s="1"/>
  <c r="K43" i="39"/>
  <c r="K44" i="39" s="1"/>
  <c r="O43" i="39"/>
  <c r="O44" i="39" s="1"/>
  <c r="T43" i="39"/>
  <c r="T44" i="39" s="1"/>
  <c r="J43" i="39"/>
  <c r="J44" i="39" s="1"/>
  <c r="V43" i="39"/>
  <c r="V44" i="39" s="1"/>
  <c r="H43" i="39"/>
  <c r="H44" i="39" s="1"/>
  <c r="M43" i="39"/>
  <c r="M44" i="39" s="1"/>
  <c r="I43" i="39"/>
  <c r="I44" i="39" s="1"/>
  <c r="R43" i="39"/>
  <c r="R44" i="39" s="1"/>
  <c r="W43" i="39"/>
  <c r="W44" i="39" s="1"/>
  <c r="G43" i="39"/>
  <c r="G44" i="39" s="1"/>
  <c r="N43" i="39"/>
  <c r="N44" i="39" s="1"/>
  <c r="U43" i="39"/>
  <c r="U44" i="39" s="1"/>
  <c r="P43" i="39"/>
  <c r="P44" i="39" s="1"/>
  <c r="S43" i="39"/>
  <c r="S44" i="39" s="1"/>
  <c r="F43" i="39"/>
  <c r="L43" i="39"/>
  <c r="L44" i="39" s="1"/>
  <c r="D50" i="39"/>
  <c r="L23" i="12"/>
  <c r="E35" i="77"/>
  <c r="E36" i="77" s="1"/>
  <c r="F24" i="122"/>
  <c r="H24" i="122" s="1"/>
  <c r="I36" i="77" l="1"/>
  <c r="F44" i="39"/>
  <c r="X44" i="39" s="1"/>
  <c r="X43" i="39"/>
  <c r="F48" i="39"/>
  <c r="X48" i="39" s="1"/>
  <c r="X47" i="39"/>
  <c r="A92" i="12"/>
  <c r="A90" i="120"/>
  <c r="K59" i="39"/>
  <c r="K60" i="39" s="1"/>
  <c r="Q59" i="39"/>
  <c r="Q60" i="39" s="1"/>
  <c r="M59" i="39"/>
  <c r="M60" i="39" s="1"/>
  <c r="H59" i="39"/>
  <c r="H60" i="39" s="1"/>
  <c r="R59" i="39"/>
  <c r="R60" i="39" s="1"/>
  <c r="W59" i="39"/>
  <c r="W60" i="39" s="1"/>
  <c r="T59" i="39"/>
  <c r="T60" i="39" s="1"/>
  <c r="G59" i="39"/>
  <c r="G60" i="39" s="1"/>
  <c r="O59" i="39"/>
  <c r="O60" i="39" s="1"/>
  <c r="F59" i="39"/>
  <c r="L59" i="39"/>
  <c r="L60" i="39" s="1"/>
  <c r="N59" i="39"/>
  <c r="N60" i="39" s="1"/>
  <c r="S59" i="39"/>
  <c r="S60" i="39" s="1"/>
  <c r="P59" i="39"/>
  <c r="P60" i="39" s="1"/>
  <c r="J59" i="39"/>
  <c r="J60" i="39" s="1"/>
  <c r="U59" i="39"/>
  <c r="U60" i="39" s="1"/>
  <c r="V59" i="39"/>
  <c r="V60" i="39" s="1"/>
  <c r="I59" i="39"/>
  <c r="I60" i="39" s="1"/>
  <c r="T51" i="39"/>
  <c r="T52" i="39" s="1"/>
  <c r="M51" i="39"/>
  <c r="M52" i="39" s="1"/>
  <c r="W51" i="39"/>
  <c r="W52" i="39" s="1"/>
  <c r="R51" i="39"/>
  <c r="R52" i="39" s="1"/>
  <c r="P51" i="39"/>
  <c r="P52" i="39" s="1"/>
  <c r="G51" i="39"/>
  <c r="G52" i="39" s="1"/>
  <c r="O51" i="39"/>
  <c r="O52" i="39" s="1"/>
  <c r="K51" i="39"/>
  <c r="K52" i="39" s="1"/>
  <c r="N51" i="39"/>
  <c r="N52" i="39" s="1"/>
  <c r="F51" i="39"/>
  <c r="Q51" i="39"/>
  <c r="Q52" i="39" s="1"/>
  <c r="S51" i="39"/>
  <c r="S52" i="39" s="1"/>
  <c r="L51" i="39"/>
  <c r="L52" i="39" s="1"/>
  <c r="U51" i="39"/>
  <c r="U52" i="39" s="1"/>
  <c r="I51" i="39"/>
  <c r="I52" i="39" s="1"/>
  <c r="J51" i="39"/>
  <c r="J52" i="39" s="1"/>
  <c r="H51" i="39"/>
  <c r="H52" i="39" s="1"/>
  <c r="V51" i="39"/>
  <c r="V52" i="39" s="1"/>
  <c r="E28" i="77"/>
  <c r="I25" i="77"/>
  <c r="A94" i="12" l="1"/>
  <c r="A92" i="120"/>
  <c r="Y47" i="39"/>
  <c r="Z47" i="39"/>
  <c r="Y45" i="39"/>
  <c r="Y48" i="39"/>
  <c r="F60" i="39"/>
  <c r="X60" i="39" s="1"/>
  <c r="Y60" i="39" s="1"/>
  <c r="X59" i="39"/>
  <c r="Z43" i="39"/>
  <c r="Y43" i="39"/>
  <c r="Y41" i="39"/>
  <c r="Y44" i="39"/>
  <c r="F52" i="39"/>
  <c r="X52" i="39" s="1"/>
  <c r="X51" i="39"/>
  <c r="I28" i="77"/>
  <c r="J28" i="77" s="1"/>
  <c r="G28" i="77"/>
  <c r="Y59" i="39" l="1"/>
  <c r="Z59" i="39"/>
  <c r="Y57" i="39"/>
  <c r="A94" i="120"/>
  <c r="A96" i="12"/>
  <c r="Y51" i="39"/>
  <c r="Z51" i="39"/>
  <c r="Y52" i="39"/>
  <c r="Y49" i="39"/>
  <c r="G284" i="12"/>
  <c r="I284" i="12" s="1"/>
  <c r="J284" i="12" s="1"/>
  <c r="G282" i="12"/>
  <c r="I282" i="12" s="1"/>
  <c r="J282" i="12" s="1"/>
  <c r="A98" i="12" l="1"/>
  <c r="A100" i="12" s="1"/>
  <c r="A96" i="120"/>
  <c r="L282" i="12"/>
  <c r="L284" i="12"/>
  <c r="G283" i="12"/>
  <c r="I283" i="12" s="1"/>
  <c r="J283" i="12" s="1"/>
  <c r="A98" i="120" l="1"/>
  <c r="A100" i="120" s="1"/>
  <c r="L283" i="12"/>
  <c r="I100" i="12" l="1"/>
  <c r="A101" i="12"/>
  <c r="B15" i="12"/>
  <c r="I100" i="120"/>
  <c r="B15" i="120"/>
  <c r="A17" i="134" s="1"/>
  <c r="G247" i="12"/>
  <c r="I247" i="12" s="1"/>
  <c r="J247" i="12" s="1"/>
  <c r="G249" i="12"/>
  <c r="I249" i="12" s="1"/>
  <c r="J249" i="12" s="1"/>
  <c r="G246" i="12"/>
  <c r="I246" i="12" s="1"/>
  <c r="J246" i="12" s="1"/>
  <c r="G245" i="12"/>
  <c r="I245" i="12" s="1"/>
  <c r="J245" i="12" s="1"/>
  <c r="L245" i="12" l="1"/>
  <c r="L246" i="12"/>
  <c r="L249" i="12"/>
  <c r="L247" i="12"/>
  <c r="A17" i="39"/>
  <c r="B16" i="122"/>
  <c r="A16" i="77"/>
  <c r="A102" i="12"/>
  <c r="A101" i="120"/>
  <c r="G248" i="12"/>
  <c r="I248" i="12" s="1"/>
  <c r="J248" i="12" s="1"/>
  <c r="G261" i="12"/>
  <c r="I261" i="12" s="1"/>
  <c r="J261" i="12" s="1"/>
  <c r="G250" i="12"/>
  <c r="I250" i="12" s="1"/>
  <c r="J250" i="12" s="1"/>
  <c r="G263" i="12"/>
  <c r="I263" i="12" s="1"/>
  <c r="J263" i="12" s="1"/>
  <c r="G262" i="12"/>
  <c r="I262" i="12" s="1"/>
  <c r="J262" i="12" s="1"/>
  <c r="L250" i="12" l="1"/>
  <c r="L248" i="12"/>
  <c r="L261" i="12"/>
  <c r="L262" i="12"/>
  <c r="A102" i="120"/>
  <c r="A103" i="12"/>
  <c r="J244" i="12"/>
  <c r="J930" i="12" s="1"/>
  <c r="L263" i="12"/>
  <c r="J17" i="12" l="1"/>
  <c r="L244" i="12"/>
  <c r="A103" i="120"/>
  <c r="A104" i="12"/>
  <c r="K539" i="12" l="1"/>
  <c r="K907" i="12"/>
  <c r="K910" i="12"/>
  <c r="K265" i="12"/>
  <c r="K918" i="12"/>
  <c r="K675" i="12"/>
  <c r="K919" i="12"/>
  <c r="K902" i="12"/>
  <c r="K917" i="12"/>
  <c r="K927" i="12"/>
  <c r="K897" i="12"/>
  <c r="K909" i="12"/>
  <c r="K914" i="12"/>
  <c r="K894" i="12"/>
  <c r="K773" i="12"/>
  <c r="K912" i="12"/>
  <c r="K930" i="12"/>
  <c r="K891" i="12"/>
  <c r="K31" i="12" s="1"/>
  <c r="K898" i="12"/>
  <c r="K923" i="12"/>
  <c r="K904" i="12"/>
  <c r="K905" i="12"/>
  <c r="K928" i="12"/>
  <c r="K911" i="12"/>
  <c r="K764" i="12"/>
  <c r="K915" i="12"/>
  <c r="K592" i="12"/>
  <c r="K893" i="12"/>
  <c r="K922" i="12"/>
  <c r="K920" i="12"/>
  <c r="K895" i="12"/>
  <c r="K908" i="12"/>
  <c r="K916" i="12"/>
  <c r="K921" i="12"/>
  <c r="K899" i="12"/>
  <c r="K662" i="12"/>
  <c r="K900" i="12"/>
  <c r="K892" i="12"/>
  <c r="K925" i="12"/>
  <c r="K924" i="12"/>
  <c r="K926" i="12"/>
  <c r="K901" i="12"/>
  <c r="K913" i="12"/>
  <c r="K896" i="12"/>
  <c r="K906" i="12"/>
  <c r="K903" i="12"/>
  <c r="K76" i="12"/>
  <c r="K238" i="12"/>
  <c r="K242" i="12"/>
  <c r="K236" i="12"/>
  <c r="K240" i="12"/>
  <c r="K426" i="12"/>
  <c r="K340" i="12"/>
  <c r="K650" i="12"/>
  <c r="K458" i="12"/>
  <c r="K729" i="12"/>
  <c r="K391" i="12"/>
  <c r="K323" i="12"/>
  <c r="K42" i="12"/>
  <c r="K157" i="12"/>
  <c r="K202" i="12"/>
  <c r="K794" i="12"/>
  <c r="K141" i="12"/>
  <c r="K203" i="12"/>
  <c r="K424" i="12"/>
  <c r="K204" i="12"/>
  <c r="K194" i="12"/>
  <c r="K349" i="12"/>
  <c r="K129" i="12"/>
  <c r="K136" i="12"/>
  <c r="K190" i="12"/>
  <c r="K133" i="12"/>
  <c r="K166" i="12"/>
  <c r="K121" i="12"/>
  <c r="K369" i="12"/>
  <c r="K112" i="12"/>
  <c r="K140" i="12"/>
  <c r="K356" i="12"/>
  <c r="K377" i="12"/>
  <c r="K380" i="12"/>
  <c r="K118" i="12"/>
  <c r="K86" i="12"/>
  <c r="K154" i="12"/>
  <c r="K148" i="12"/>
  <c r="K195" i="12"/>
  <c r="K730" i="12"/>
  <c r="K44" i="12"/>
  <c r="K196" i="12"/>
  <c r="K164" i="12"/>
  <c r="K197" i="12"/>
  <c r="K771" i="12"/>
  <c r="K40" i="12"/>
  <c r="K198" i="12"/>
  <c r="K205" i="12"/>
  <c r="K193" i="12"/>
  <c r="K38" i="12"/>
  <c r="K292" i="12"/>
  <c r="K367" i="12"/>
  <c r="K526" i="12"/>
  <c r="K82" i="12"/>
  <c r="K115" i="12"/>
  <c r="K155" i="12"/>
  <c r="K206" i="12"/>
  <c r="K381" i="12"/>
  <c r="K185" i="12"/>
  <c r="K889" i="12"/>
  <c r="J19" i="74" s="1"/>
  <c r="K390" i="12"/>
  <c r="K368" i="12"/>
  <c r="K80" i="12"/>
  <c r="K132" i="12"/>
  <c r="K776" i="12"/>
  <c r="K757" i="12"/>
  <c r="K77" i="12"/>
  <c r="K130" i="12"/>
  <c r="K158" i="12"/>
  <c r="K37" i="12"/>
  <c r="K79" i="12"/>
  <c r="K145" i="12"/>
  <c r="K199" i="12"/>
  <c r="K85" i="12"/>
  <c r="K120" i="12"/>
  <c r="K36" i="12"/>
  <c r="K123" i="12"/>
  <c r="K147" i="12"/>
  <c r="K81" i="12"/>
  <c r="K337" i="12"/>
  <c r="K515" i="12"/>
  <c r="K775" i="12"/>
  <c r="K629" i="12"/>
  <c r="K516" i="12"/>
  <c r="K207" i="12"/>
  <c r="K772" i="12"/>
  <c r="K119" i="12"/>
  <c r="K109" i="12"/>
  <c r="K146" i="12"/>
  <c r="K68" i="12"/>
  <c r="K111" i="12"/>
  <c r="K116" i="12"/>
  <c r="K83" i="12"/>
  <c r="K149" i="12"/>
  <c r="K117" i="12"/>
  <c r="K200" i="12"/>
  <c r="K106" i="12"/>
  <c r="K78" i="12"/>
  <c r="K375" i="12"/>
  <c r="K71" i="12"/>
  <c r="K383" i="12"/>
  <c r="K122" i="12"/>
  <c r="K388" i="12"/>
  <c r="K51" i="12"/>
  <c r="K84" i="12"/>
  <c r="K127" i="12"/>
  <c r="K184" i="12"/>
  <c r="K105" i="12"/>
  <c r="K187" i="12"/>
  <c r="K39" i="12"/>
  <c r="K138" i="12"/>
  <c r="K531" i="12"/>
  <c r="K162" i="12"/>
  <c r="K520" i="12"/>
  <c r="K186" i="12"/>
  <c r="K354" i="12"/>
  <c r="K107" i="12"/>
  <c r="K355" i="12"/>
  <c r="K357" i="12"/>
  <c r="K131" i="12"/>
  <c r="K188" i="12"/>
  <c r="K201" i="12"/>
  <c r="K41" i="12"/>
  <c r="K128" i="12"/>
  <c r="K110" i="12"/>
  <c r="K259" i="12"/>
  <c r="K758" i="12"/>
  <c r="K298" i="12"/>
  <c r="K382" i="12"/>
  <c r="K815" i="12"/>
  <c r="K733" i="12"/>
  <c r="K191" i="12"/>
  <c r="K108" i="12"/>
  <c r="K192" i="12"/>
  <c r="K142" i="12"/>
  <c r="K189" i="12"/>
  <c r="K113" i="12"/>
  <c r="K56" i="12"/>
  <c r="K832" i="12"/>
  <c r="K728" i="12"/>
  <c r="K759" i="12"/>
  <c r="K144" i="12"/>
  <c r="K304" i="12"/>
  <c r="K679" i="12"/>
  <c r="K480" i="12"/>
  <c r="K604" i="12"/>
  <c r="K630" i="12"/>
  <c r="K453" i="12"/>
  <c r="K753" i="12"/>
  <c r="K328" i="12"/>
  <c r="K332" i="12"/>
  <c r="K824" i="12"/>
  <c r="K305" i="12"/>
  <c r="K801" i="12"/>
  <c r="K223" i="12"/>
  <c r="K608" i="12"/>
  <c r="K737" i="12"/>
  <c r="K741" i="12"/>
  <c r="K695" i="12"/>
  <c r="K365" i="12"/>
  <c r="K665" i="12"/>
  <c r="K590" i="12"/>
  <c r="K568" i="12"/>
  <c r="K618" i="12"/>
  <c r="K779" i="12"/>
  <c r="K359" i="12"/>
  <c r="K171" i="12"/>
  <c r="K566" i="12"/>
  <c r="K778" i="12"/>
  <c r="K326" i="12"/>
  <c r="K502" i="12"/>
  <c r="K825" i="12"/>
  <c r="K727" i="12"/>
  <c r="K663" i="12"/>
  <c r="K472" i="12"/>
  <c r="K221" i="12"/>
  <c r="K610" i="12"/>
  <c r="K94" i="12"/>
  <c r="K529" i="12"/>
  <c r="K114" i="12"/>
  <c r="K781" i="12"/>
  <c r="K233" i="12"/>
  <c r="K358" i="12"/>
  <c r="K510" i="12"/>
  <c r="K126" i="12"/>
  <c r="K606" i="12"/>
  <c r="K163" i="12"/>
  <c r="K442" i="12"/>
  <c r="K299" i="12"/>
  <c r="K807" i="12"/>
  <c r="K743" i="12"/>
  <c r="K822" i="12"/>
  <c r="K701" i="12"/>
  <c r="K456" i="12"/>
  <c r="K683" i="12"/>
  <c r="K405" i="12"/>
  <c r="K673" i="12"/>
  <c r="K316" i="12"/>
  <c r="K234" i="12"/>
  <c r="K430" i="12"/>
  <c r="K327" i="12"/>
  <c r="K641" i="12"/>
  <c r="K429" i="12"/>
  <c r="K552" i="12"/>
  <c r="K361" i="12"/>
  <c r="K455" i="12"/>
  <c r="K156" i="12"/>
  <c r="K687" i="12"/>
  <c r="K616" i="12"/>
  <c r="K691" i="12"/>
  <c r="K821" i="12"/>
  <c r="K546" i="12"/>
  <c r="K709" i="12"/>
  <c r="K809" i="12"/>
  <c r="K45" i="12"/>
  <c r="K482" i="12"/>
  <c r="K717" i="12"/>
  <c r="K338" i="12"/>
  <c r="K175" i="12"/>
  <c r="K754" i="12"/>
  <c r="K797" i="12"/>
  <c r="K307" i="12"/>
  <c r="K425" i="12"/>
  <c r="K449" i="12"/>
  <c r="K738" i="12"/>
  <c r="K580" i="12"/>
  <c r="K854" i="12"/>
  <c r="K500" i="12"/>
  <c r="K633" i="12"/>
  <c r="K362" i="12"/>
  <c r="K707" i="12"/>
  <c r="K765" i="12"/>
  <c r="K810" i="12"/>
  <c r="K309" i="12"/>
  <c r="K330" i="12"/>
  <c r="K790" i="12"/>
  <c r="K219" i="12"/>
  <c r="K550" i="12"/>
  <c r="K558" i="12"/>
  <c r="K446" i="12"/>
  <c r="K625" i="12"/>
  <c r="K651" i="12"/>
  <c r="K407" i="12"/>
  <c r="K444" i="12"/>
  <c r="K353" i="12"/>
  <c r="K572" i="12"/>
  <c r="K301" i="12"/>
  <c r="K578" i="12"/>
  <c r="K703" i="12"/>
  <c r="K303" i="12"/>
  <c r="K798" i="12"/>
  <c r="K660" i="12"/>
  <c r="K177" i="12"/>
  <c r="K334" i="12"/>
  <c r="K888" i="12"/>
  <c r="K30" i="12" s="1"/>
  <c r="K290" i="12"/>
  <c r="K295" i="12"/>
  <c r="K643" i="12"/>
  <c r="K669" i="12"/>
  <c r="K802" i="12"/>
  <c r="K161" i="12"/>
  <c r="K468" i="12"/>
  <c r="K370" i="12"/>
  <c r="K635" i="12"/>
  <c r="K527" i="12"/>
  <c r="K478" i="12"/>
  <c r="K159" i="12"/>
  <c r="K576" i="12"/>
  <c r="K544" i="12"/>
  <c r="K530" i="12"/>
  <c r="K685" i="12"/>
  <c r="K562" i="12"/>
  <c r="K53" i="12"/>
  <c r="K409" i="12"/>
  <c r="K654" i="12"/>
  <c r="K620" i="12"/>
  <c r="K668" i="12"/>
  <c r="K351" i="12"/>
  <c r="K411" i="12"/>
  <c r="K672" i="12"/>
  <c r="K371" i="12"/>
  <c r="K541" i="12"/>
  <c r="K622" i="12"/>
  <c r="K352" i="12"/>
  <c r="K490" i="12"/>
  <c r="K739" i="12"/>
  <c r="K804" i="12"/>
  <c r="K693" i="12"/>
  <c r="K647" i="12"/>
  <c r="K782" i="12"/>
  <c r="K124" i="12"/>
  <c r="K395" i="12"/>
  <c r="K560" i="12"/>
  <c r="K486" i="12"/>
  <c r="K699" i="12"/>
  <c r="K360" i="12"/>
  <c r="K392" i="12"/>
  <c r="K674" i="12"/>
  <c r="K740" i="12"/>
  <c r="K494" i="12"/>
  <c r="K151" i="12"/>
  <c r="K823" i="12"/>
  <c r="K422" i="12"/>
  <c r="K336" i="12"/>
  <c r="K652" i="12"/>
  <c r="K339" i="12"/>
  <c r="K434" i="12"/>
  <c r="K750" i="12"/>
  <c r="K614" i="12"/>
  <c r="K681" i="12"/>
  <c r="K504" i="12"/>
  <c r="K474" i="12"/>
  <c r="K570" i="12"/>
  <c r="K96" i="12"/>
  <c r="K312" i="12"/>
  <c r="K514" i="12"/>
  <c r="K736" i="12"/>
  <c r="K540" i="12"/>
  <c r="K755" i="12"/>
  <c r="K438" i="12"/>
  <c r="K366" i="12"/>
  <c r="K803" i="12"/>
  <c r="K653" i="12"/>
  <c r="K428" i="12"/>
  <c r="K697" i="12"/>
  <c r="K783" i="12"/>
  <c r="K306" i="12"/>
  <c r="K346" i="12"/>
  <c r="K671" i="12"/>
  <c r="K297" i="12"/>
  <c r="K564" i="12"/>
  <c r="K231" i="12"/>
  <c r="K350" i="12"/>
  <c r="K104" i="12"/>
  <c r="K399" i="12"/>
  <c r="K763" i="12"/>
  <c r="K756" i="12"/>
  <c r="K677" i="12"/>
  <c r="K450" i="12"/>
  <c r="K639" i="12"/>
  <c r="K225" i="12"/>
  <c r="K513" i="12"/>
  <c r="K470" i="12"/>
  <c r="K98" i="12"/>
  <c r="K296" i="12"/>
  <c r="K632" i="12"/>
  <c r="K496" i="12"/>
  <c r="K321" i="12"/>
  <c r="K59" i="12"/>
  <c r="K173" i="12"/>
  <c r="K498" i="12"/>
  <c r="K689" i="12"/>
  <c r="K451" i="12"/>
  <c r="K222" i="12"/>
  <c r="K348" i="12"/>
  <c r="K600" i="12"/>
  <c r="K229" i="12"/>
  <c r="K61" i="12"/>
  <c r="K631" i="12"/>
  <c r="K347" i="12"/>
  <c r="K602" i="12"/>
  <c r="K224" i="12"/>
  <c r="K300" i="12"/>
  <c r="K466" i="12"/>
  <c r="K363" i="12"/>
  <c r="K401" i="12"/>
  <c r="K488" i="12"/>
  <c r="K331" i="12"/>
  <c r="K476" i="12"/>
  <c r="K744" i="12"/>
  <c r="K670" i="12"/>
  <c r="K88" i="12"/>
  <c r="K150" i="12"/>
  <c r="K856" i="12"/>
  <c r="K637" i="12"/>
  <c r="K715" i="12"/>
  <c r="K57" i="12"/>
  <c r="K335" i="12"/>
  <c r="K742" i="12"/>
  <c r="K826" i="12"/>
  <c r="K574" i="12"/>
  <c r="K612" i="12"/>
  <c r="K228" i="12"/>
  <c r="K333" i="12"/>
  <c r="K302" i="12"/>
  <c r="K780" i="12"/>
  <c r="K169" i="12"/>
  <c r="K548" i="12"/>
  <c r="K713" i="12"/>
  <c r="K554" i="12"/>
  <c r="K397" i="12"/>
  <c r="K308" i="12"/>
  <c r="K454" i="12"/>
  <c r="K484" i="12"/>
  <c r="K165" i="12"/>
  <c r="K667" i="12"/>
  <c r="K808" i="12"/>
  <c r="K492" i="12"/>
  <c r="K556" i="12"/>
  <c r="K705" i="12"/>
  <c r="K139" i="12"/>
  <c r="K440" i="12"/>
  <c r="K179" i="12"/>
  <c r="K311" i="12"/>
  <c r="K435" i="12"/>
  <c r="K711" i="12"/>
  <c r="K167" i="12"/>
  <c r="K452" i="12"/>
  <c r="K153" i="12"/>
  <c r="K152" i="12"/>
  <c r="K666" i="12"/>
  <c r="K396" i="12"/>
  <c r="K646" i="12"/>
  <c r="K160" i="12"/>
  <c r="K437" i="12"/>
  <c r="K814" i="12"/>
  <c r="K92" i="12"/>
  <c r="K628" i="12"/>
  <c r="K398" i="12"/>
  <c r="K181" i="12"/>
  <c r="K137" i="12"/>
  <c r="K232" i="12"/>
  <c r="K393" i="12"/>
  <c r="K403" i="12"/>
  <c r="K528" i="12"/>
  <c r="K761" i="12"/>
  <c r="K89" i="12"/>
  <c r="K310" i="12"/>
  <c r="K777" i="12"/>
  <c r="K664" i="12"/>
  <c r="K320" i="12"/>
  <c r="K762" i="12"/>
  <c r="K364" i="12"/>
  <c r="K792" i="12"/>
  <c r="K852" i="12"/>
  <c r="K842" i="12"/>
  <c r="K294" i="12"/>
  <c r="K18" i="12" s="1"/>
  <c r="K844" i="12"/>
  <c r="K840" i="12"/>
  <c r="K850" i="12"/>
  <c r="K786" i="12"/>
  <c r="K830" i="12"/>
  <c r="K828" i="12"/>
  <c r="K788" i="12"/>
  <c r="K846" i="12"/>
  <c r="K834" i="12"/>
  <c r="K838" i="12"/>
  <c r="K848" i="12"/>
  <c r="K836" i="12"/>
  <c r="K212" i="12"/>
  <c r="K216" i="12"/>
  <c r="K213" i="12"/>
  <c r="K208" i="12"/>
  <c r="K214" i="12"/>
  <c r="K209" i="12"/>
  <c r="K215" i="12"/>
  <c r="K210" i="12"/>
  <c r="K211" i="12"/>
  <c r="K325" i="12"/>
  <c r="K87" i="12"/>
  <c r="K317" i="12"/>
  <c r="K46" i="12"/>
  <c r="K217" i="12"/>
  <c r="K226" i="12"/>
  <c r="K436" i="12"/>
  <c r="K376" i="12"/>
  <c r="K806" i="12"/>
  <c r="K521" i="12"/>
  <c r="K457" i="12"/>
  <c r="K805" i="12"/>
  <c r="K648" i="12"/>
  <c r="K767" i="12"/>
  <c r="K769" i="12"/>
  <c r="K770" i="12"/>
  <c r="K768" i="12"/>
  <c r="K766" i="12"/>
  <c r="K784" i="12"/>
  <c r="K420" i="12"/>
  <c r="K419" i="12"/>
  <c r="K341" i="12"/>
  <c r="K427" i="12"/>
  <c r="K342" i="12"/>
  <c r="K50" i="12"/>
  <c r="K35" i="12"/>
  <c r="K343" i="12"/>
  <c r="K168" i="12"/>
  <c r="K731" i="12"/>
  <c r="K432" i="12"/>
  <c r="K774" i="12"/>
  <c r="K143" i="12"/>
  <c r="K329" i="12"/>
  <c r="K512" i="12"/>
  <c r="K657" i="12"/>
  <c r="K586" i="12"/>
  <c r="K461" i="12"/>
  <c r="K418" i="12"/>
  <c r="K423" i="12"/>
  <c r="K746" i="12"/>
  <c r="K385" i="12"/>
  <c r="K816" i="12"/>
  <c r="K722" i="12"/>
  <c r="K760" i="12"/>
  <c r="K752" i="12"/>
  <c r="K27" i="12" s="1"/>
  <c r="K509" i="12"/>
  <c r="K587" i="12"/>
  <c r="K812" i="12"/>
  <c r="K656" i="12"/>
  <c r="K533" i="12"/>
  <c r="K135" i="12"/>
  <c r="K101" i="12"/>
  <c r="K431" i="12"/>
  <c r="K134" i="12"/>
  <c r="K542" i="12"/>
  <c r="K90" i="12"/>
  <c r="K518" i="12"/>
  <c r="K72" i="12"/>
  <c r="K69" i="12"/>
  <c r="K70" i="12"/>
  <c r="K66" i="12"/>
  <c r="K65" i="12"/>
  <c r="K52" i="12"/>
  <c r="K319" i="12"/>
  <c r="K254" i="12"/>
  <c r="K258" i="12"/>
  <c r="K253" i="12"/>
  <c r="K257" i="12"/>
  <c r="K256" i="12"/>
  <c r="K255" i="12"/>
  <c r="K252" i="12"/>
  <c r="K735" i="12"/>
  <c r="K48" i="12"/>
  <c r="K389" i="12"/>
  <c r="K414" i="12"/>
  <c r="K745" i="12"/>
  <c r="K384" i="12"/>
  <c r="K67" i="12"/>
  <c r="K55" i="12"/>
  <c r="K54" i="12"/>
  <c r="K344" i="12"/>
  <c r="K811" i="12"/>
  <c r="K460" i="12"/>
  <c r="K655" i="12"/>
  <c r="K532" i="12"/>
  <c r="K415" i="12"/>
  <c r="K416" i="12"/>
  <c r="K64" i="12"/>
  <c r="K819" i="12"/>
  <c r="K525" i="12"/>
  <c r="K372" i="12"/>
  <c r="K373" i="12"/>
  <c r="K374" i="12"/>
  <c r="K517" i="12"/>
  <c r="K465" i="12"/>
  <c r="K538" i="12"/>
  <c r="K813" i="12"/>
  <c r="K536" i="12"/>
  <c r="K659" i="12"/>
  <c r="K589" i="12"/>
  <c r="K524" i="12"/>
  <c r="K75" i="12"/>
  <c r="K74" i="12"/>
  <c r="K523" i="12"/>
  <c r="K464" i="12"/>
  <c r="K537" i="12"/>
  <c r="K324" i="12"/>
  <c r="K125" i="12"/>
  <c r="K421" i="12"/>
  <c r="K230" i="12"/>
  <c r="K220" i="12"/>
  <c r="K218" i="12"/>
  <c r="K227" i="12"/>
  <c r="K43" i="12"/>
  <c r="K379" i="12"/>
  <c r="K378" i="12"/>
  <c r="K508" i="12"/>
  <c r="K747" i="12"/>
  <c r="K748" i="12"/>
  <c r="K459" i="12"/>
  <c r="K649" i="12"/>
  <c r="K47" i="12"/>
  <c r="K522" i="12"/>
  <c r="K732" i="12"/>
  <c r="K394" i="12"/>
  <c r="K734" i="12"/>
  <c r="K387" i="12"/>
  <c r="K583" i="12"/>
  <c r="K585" i="12"/>
  <c r="K584" i="12"/>
  <c r="K511" i="12"/>
  <c r="K627" i="12"/>
  <c r="K799" i="12"/>
  <c r="K800" i="12"/>
  <c r="K626" i="12"/>
  <c r="K624" i="12"/>
  <c r="K24" i="12" s="1"/>
  <c r="K519" i="12"/>
  <c r="K507" i="12"/>
  <c r="K272" i="12"/>
  <c r="K276" i="12"/>
  <c r="K275" i="12"/>
  <c r="K274" i="12"/>
  <c r="K273" i="12"/>
  <c r="K277" i="12"/>
  <c r="K280" i="12"/>
  <c r="K278" i="12"/>
  <c r="K279" i="12"/>
  <c r="K281" i="12"/>
  <c r="K268" i="12"/>
  <c r="K267" i="12"/>
  <c r="K264" i="12"/>
  <c r="K266" i="12"/>
  <c r="K239" i="12"/>
  <c r="K102" i="12"/>
  <c r="K237" i="12"/>
  <c r="K73" i="12"/>
  <c r="K318" i="12"/>
  <c r="K49" i="12"/>
  <c r="K597" i="12"/>
  <c r="K314" i="12"/>
  <c r="K19" i="12" s="1"/>
  <c r="K260" i="12"/>
  <c r="K63" i="12"/>
  <c r="K14" i="12" s="1"/>
  <c r="K34" i="12"/>
  <c r="K13" i="12" s="1"/>
  <c r="K288" i="12"/>
  <c r="K596" i="12"/>
  <c r="K598" i="12"/>
  <c r="K103" i="12"/>
  <c r="K417" i="12"/>
  <c r="K100" i="12"/>
  <c r="K15" i="12" s="1"/>
  <c r="K721" i="12"/>
  <c r="K723" i="12"/>
  <c r="K270" i="12"/>
  <c r="K726" i="12"/>
  <c r="K269" i="12"/>
  <c r="K271" i="12"/>
  <c r="K720" i="12"/>
  <c r="K858" i="12"/>
  <c r="K29" i="12" s="1"/>
  <c r="K594" i="12"/>
  <c r="K817" i="12"/>
  <c r="K724" i="12"/>
  <c r="K286" i="12"/>
  <c r="K818" i="12"/>
  <c r="K820" i="12"/>
  <c r="K725" i="12"/>
  <c r="K719" i="12"/>
  <c r="K26" i="12" s="1"/>
  <c r="K796" i="12"/>
  <c r="K28" i="12" s="1"/>
  <c r="K241" i="12"/>
  <c r="K285" i="12"/>
  <c r="K593" i="12"/>
  <c r="K433" i="12"/>
  <c r="K251" i="12"/>
  <c r="K413" i="12"/>
  <c r="K20" i="12" s="1"/>
  <c r="K235" i="12"/>
  <c r="K183" i="12"/>
  <c r="K16" i="12" s="1"/>
  <c r="K595" i="12"/>
  <c r="K287" i="12"/>
  <c r="K463" i="12"/>
  <c r="K535" i="12"/>
  <c r="K462" i="12"/>
  <c r="K534" i="12"/>
  <c r="K658" i="12"/>
  <c r="K588" i="12"/>
  <c r="K448" i="12"/>
  <c r="K21" i="12" s="1"/>
  <c r="K506" i="12"/>
  <c r="K22" i="12" s="1"/>
  <c r="K645" i="12"/>
  <c r="K25" i="12" s="1"/>
  <c r="K591" i="12"/>
  <c r="K582" i="12"/>
  <c r="K23" i="12" s="1"/>
  <c r="K661" i="12"/>
  <c r="K282" i="12"/>
  <c r="K284" i="12"/>
  <c r="K283" i="12"/>
  <c r="K245" i="12"/>
  <c r="K247" i="12"/>
  <c r="K246" i="12"/>
  <c r="K249" i="12"/>
  <c r="K263" i="12"/>
  <c r="K250" i="12"/>
  <c r="K248" i="12"/>
  <c r="K261" i="12"/>
  <c r="K262" i="12"/>
  <c r="K244" i="12"/>
  <c r="K17" i="12" s="1"/>
  <c r="A104" i="120"/>
  <c r="A105" i="12"/>
  <c r="D26" i="39"/>
  <c r="F18" i="122"/>
  <c r="E18" i="77"/>
  <c r="E22" i="77" s="1"/>
  <c r="L17" i="12"/>
  <c r="J12" i="12"/>
  <c r="H13" i="78" l="1"/>
  <c r="E39" i="77"/>
  <c r="J13" i="78"/>
  <c r="D96" i="39"/>
  <c r="M2" i="12"/>
  <c r="K884" i="12"/>
  <c r="K882" i="12"/>
  <c r="K861" i="12"/>
  <c r="K867" i="12"/>
  <c r="K886" i="12"/>
  <c r="K866" i="12"/>
  <c r="K864" i="12"/>
  <c r="K865" i="12"/>
  <c r="K883" i="12"/>
  <c r="K860" i="12"/>
  <c r="K859" i="12"/>
  <c r="K868" i="12"/>
  <c r="K863" i="12"/>
  <c r="K862" i="12"/>
  <c r="K874" i="12"/>
  <c r="K872" i="12"/>
  <c r="K873" i="12"/>
  <c r="K871" i="12"/>
  <c r="K878" i="12"/>
  <c r="K870" i="12"/>
  <c r="K869" i="12"/>
  <c r="K881" i="12"/>
  <c r="K880" i="12"/>
  <c r="K879" i="12"/>
  <c r="K876" i="12"/>
  <c r="K875" i="12"/>
  <c r="K877" i="12"/>
  <c r="K885" i="12"/>
  <c r="F17" i="77"/>
  <c r="M16" i="12"/>
  <c r="M24" i="12"/>
  <c r="F23" i="77"/>
  <c r="M15" i="12"/>
  <c r="F16" i="77"/>
  <c r="M27" i="12"/>
  <c r="F26" i="77"/>
  <c r="F13" i="77"/>
  <c r="M30" i="12"/>
  <c r="F14" i="77"/>
  <c r="M31" i="12"/>
  <c r="H22" i="77"/>
  <c r="G22" i="77"/>
  <c r="I22" i="77"/>
  <c r="E33" i="77"/>
  <c r="F22" i="77" s="1"/>
  <c r="M22" i="12"/>
  <c r="F34" i="77"/>
  <c r="M20" i="12"/>
  <c r="F30" i="77"/>
  <c r="H18" i="122"/>
  <c r="F34" i="122"/>
  <c r="H34" i="122" s="1"/>
  <c r="F21" i="77"/>
  <c r="M21" i="12"/>
  <c r="H27" i="39"/>
  <c r="H87" i="39" s="1"/>
  <c r="R27" i="39"/>
  <c r="R87" i="39" s="1"/>
  <c r="K27" i="39"/>
  <c r="K87" i="39" s="1"/>
  <c r="J27" i="39"/>
  <c r="J87" i="39" s="1"/>
  <c r="I27" i="39"/>
  <c r="I87" i="39" s="1"/>
  <c r="N27" i="39"/>
  <c r="N87" i="39" s="1"/>
  <c r="M27" i="39"/>
  <c r="M87" i="39" s="1"/>
  <c r="F27" i="39"/>
  <c r="F87" i="39" s="1"/>
  <c r="U27" i="39"/>
  <c r="U87" i="39" s="1"/>
  <c r="Q27" i="39"/>
  <c r="Q87" i="39" s="1"/>
  <c r="T27" i="39"/>
  <c r="T87" i="39" s="1"/>
  <c r="S27" i="39"/>
  <c r="S87" i="39" s="1"/>
  <c r="V27" i="39"/>
  <c r="V87" i="39" s="1"/>
  <c r="G27" i="39"/>
  <c r="G87" i="39" s="1"/>
  <c r="P27" i="39"/>
  <c r="P87" i="39" s="1"/>
  <c r="W27" i="39"/>
  <c r="W87" i="39" s="1"/>
  <c r="O27" i="39"/>
  <c r="O87" i="39" s="1"/>
  <c r="L27" i="39"/>
  <c r="L87" i="39" s="1"/>
  <c r="D85" i="39"/>
  <c r="D87" i="39" s="1"/>
  <c r="D89" i="39" s="1"/>
  <c r="A105" i="120"/>
  <c r="A106" i="12"/>
  <c r="F27" i="77"/>
  <c r="M29" i="12"/>
  <c r="M13" i="12"/>
  <c r="F12" i="77"/>
  <c r="K12" i="12"/>
  <c r="M14" i="12"/>
  <c r="F29" i="77"/>
  <c r="F32" i="77"/>
  <c r="F19" i="77"/>
  <c r="M18" i="12"/>
  <c r="F18" i="77"/>
  <c r="M17" i="12"/>
  <c r="M19" i="12"/>
  <c r="F20" i="77"/>
  <c r="F24" i="77"/>
  <c r="M25" i="12"/>
  <c r="F31" i="77"/>
  <c r="M28" i="12"/>
  <c r="F25" i="77"/>
  <c r="M26" i="12"/>
  <c r="F35" i="77"/>
  <c r="M23" i="12"/>
  <c r="K28" i="39" l="1"/>
  <c r="T28" i="39"/>
  <c r="I28" i="39"/>
  <c r="R28" i="39"/>
  <c r="G28" i="39"/>
  <c r="J28" i="39"/>
  <c r="Q28" i="39"/>
  <c r="U28" i="39"/>
  <c r="L28" i="39"/>
  <c r="A106" i="120"/>
  <c r="A107" i="12"/>
  <c r="M28" i="39"/>
  <c r="V88" i="39"/>
  <c r="H88" i="39"/>
  <c r="S88" i="39"/>
  <c r="T88" i="39"/>
  <c r="V28" i="39"/>
  <c r="Q88" i="39"/>
  <c r="W28" i="39"/>
  <c r="H28" i="39"/>
  <c r="U88" i="39"/>
  <c r="F28" i="39"/>
  <c r="F89" i="39" s="1"/>
  <c r="X27" i="39"/>
  <c r="L88" i="39"/>
  <c r="N28" i="39"/>
  <c r="O88" i="39"/>
  <c r="I88" i="39"/>
  <c r="S28" i="39"/>
  <c r="W88" i="39"/>
  <c r="J88" i="39"/>
  <c r="I33" i="77"/>
  <c r="G33" i="77"/>
  <c r="F15" i="77"/>
  <c r="E37" i="77"/>
  <c r="F33" i="77" s="1"/>
  <c r="F28" i="77"/>
  <c r="M88" i="39"/>
  <c r="P28" i="39"/>
  <c r="K88" i="39"/>
  <c r="O28" i="39"/>
  <c r="G88" i="39"/>
  <c r="R88" i="39"/>
  <c r="O89" i="39" l="1"/>
  <c r="O90" i="39" s="1"/>
  <c r="H89" i="39"/>
  <c r="H90" i="39" s="1"/>
  <c r="V89" i="39"/>
  <c r="V90" i="39" s="1"/>
  <c r="P89" i="39"/>
  <c r="P85" i="39" s="1"/>
  <c r="S89" i="39"/>
  <c r="S90" i="39" s="1"/>
  <c r="R89" i="39"/>
  <c r="R90" i="39" s="1"/>
  <c r="M89" i="39"/>
  <c r="M90" i="39" s="1"/>
  <c r="I89" i="39"/>
  <c r="I90" i="39" s="1"/>
  <c r="W89" i="39"/>
  <c r="W85" i="39" s="1"/>
  <c r="U89" i="39"/>
  <c r="U85" i="39" s="1"/>
  <c r="U86" i="39" s="1"/>
  <c r="J89" i="39"/>
  <c r="J85" i="39" s="1"/>
  <c r="J91" i="39" s="1"/>
  <c r="J92" i="39" s="1"/>
  <c r="N89" i="39"/>
  <c r="N85" i="39" s="1"/>
  <c r="T89" i="39"/>
  <c r="T85" i="39" s="1"/>
  <c r="T91" i="39" s="1"/>
  <c r="T92" i="39" s="1"/>
  <c r="L89" i="39"/>
  <c r="L90" i="39" s="1"/>
  <c r="Q89" i="39"/>
  <c r="Q90" i="39" s="1"/>
  <c r="G89" i="39"/>
  <c r="G90" i="39" s="1"/>
  <c r="K89" i="39"/>
  <c r="K85" i="39" s="1"/>
  <c r="K86" i="39" s="1"/>
  <c r="H85" i="39"/>
  <c r="H86" i="39" s="1"/>
  <c r="P88" i="39"/>
  <c r="Z27" i="39"/>
  <c r="Y27" i="39"/>
  <c r="X28" i="39"/>
  <c r="Y28" i="39" s="1"/>
  <c r="F37" i="77"/>
  <c r="E38" i="77"/>
  <c r="F36" i="77"/>
  <c r="X87" i="39"/>
  <c r="F88" i="39"/>
  <c r="N88" i="39"/>
  <c r="A107" i="120"/>
  <c r="A108" i="12"/>
  <c r="O85" i="39" l="1"/>
  <c r="S85" i="39"/>
  <c r="S91" i="39" s="1"/>
  <c r="S92" i="39" s="1"/>
  <c r="M85" i="39"/>
  <c r="M91" i="39" s="1"/>
  <c r="M92" i="39" s="1"/>
  <c r="V85" i="39"/>
  <c r="V86" i="39" s="1"/>
  <c r="L85" i="39"/>
  <c r="L91" i="39" s="1"/>
  <c r="L92" i="39" s="1"/>
  <c r="Q85" i="39"/>
  <c r="Q91" i="39" s="1"/>
  <c r="Q92" i="39" s="1"/>
  <c r="K91" i="39"/>
  <c r="K92" i="39" s="1"/>
  <c r="G85" i="39"/>
  <c r="T86" i="39"/>
  <c r="W91" i="39"/>
  <c r="W92" i="39" s="1"/>
  <c r="W86" i="39"/>
  <c r="J90" i="39"/>
  <c r="W90" i="39"/>
  <c r="N90" i="39"/>
  <c r="U90" i="39"/>
  <c r="P90" i="39"/>
  <c r="R85" i="39"/>
  <c r="R91" i="39" s="1"/>
  <c r="R92" i="39" s="1"/>
  <c r="I85" i="39"/>
  <c r="H91" i="39"/>
  <c r="H92" i="39" s="1"/>
  <c r="S86" i="39"/>
  <c r="K90" i="39"/>
  <c r="T90" i="39"/>
  <c r="U91" i="39"/>
  <c r="U92" i="39" s="1"/>
  <c r="J86" i="39"/>
  <c r="X88" i="39"/>
  <c r="F85" i="39"/>
  <c r="F90" i="39"/>
  <c r="X89" i="39"/>
  <c r="Y87" i="39"/>
  <c r="Z88" i="39" s="1"/>
  <c r="O91" i="39"/>
  <c r="O92" i="39" s="1"/>
  <c r="O86" i="39"/>
  <c r="V91" i="39"/>
  <c r="V92" i="39" s="1"/>
  <c r="Y25" i="39"/>
  <c r="A108" i="120"/>
  <c r="A109" i="12"/>
  <c r="P91" i="39"/>
  <c r="P92" i="39" s="1"/>
  <c r="P86" i="39"/>
  <c r="N86" i="39"/>
  <c r="N91" i="39"/>
  <c r="N92" i="39" s="1"/>
  <c r="M86" i="39" l="1"/>
  <c r="R86" i="39"/>
  <c r="Q86" i="39"/>
  <c r="L86" i="39"/>
  <c r="X90" i="39"/>
  <c r="G86" i="39"/>
  <c r="G91" i="39"/>
  <c r="G92" i="39" s="1"/>
  <c r="I91" i="39"/>
  <c r="I92" i="39" s="1"/>
  <c r="I86" i="39"/>
  <c r="Y89" i="39"/>
  <c r="A109" i="120"/>
  <c r="A110" i="12"/>
  <c r="X85" i="39"/>
  <c r="Y91" i="39" s="1"/>
  <c r="F86" i="39"/>
  <c r="X86" i="39" s="1"/>
  <c r="F91" i="39"/>
  <c r="F92" i="39" s="1"/>
  <c r="Y85" i="39" l="1"/>
  <c r="Z87" i="39"/>
  <c r="A110" i="120"/>
  <c r="A111" i="12"/>
  <c r="A111" i="120" l="1"/>
  <c r="A112" i="12"/>
  <c r="A112" i="120" l="1"/>
  <c r="A113" i="12"/>
  <c r="A113" i="120" l="1"/>
  <c r="A114" i="12"/>
  <c r="A114" i="120" l="1"/>
  <c r="A115" i="12"/>
  <c r="A116" i="12" l="1"/>
  <c r="A115" i="120"/>
  <c r="A117" i="12" l="1"/>
  <c r="A116" i="120"/>
  <c r="A117" i="120" l="1"/>
  <c r="A118" i="12"/>
  <c r="A119" i="12" l="1"/>
  <c r="A118" i="120"/>
  <c r="A120" i="12" l="1"/>
  <c r="A119" i="120"/>
  <c r="A121" i="12" l="1"/>
  <c r="A120" i="120"/>
  <c r="A122" i="12" l="1"/>
  <c r="A121" i="120"/>
  <c r="A122" i="120" l="1"/>
  <c r="A123" i="12"/>
  <c r="A123" i="120" l="1"/>
  <c r="A124" i="12"/>
  <c r="A124" i="120" l="1"/>
  <c r="A125" i="12"/>
  <c r="A125" i="120" l="1"/>
  <c r="A126" i="12"/>
  <c r="A126" i="120" l="1"/>
  <c r="A127" i="12"/>
  <c r="A127" i="120" l="1"/>
  <c r="A128" i="12"/>
  <c r="A128" i="120" l="1"/>
  <c r="A129" i="12"/>
  <c r="A129" i="120" l="1"/>
  <c r="A130" i="12"/>
  <c r="A130" i="120" l="1"/>
  <c r="A131" i="12"/>
  <c r="A132" i="12" l="1"/>
  <c r="A131" i="120"/>
  <c r="A132" i="120" l="1"/>
  <c r="A133" i="12"/>
  <c r="A133" i="120" l="1"/>
  <c r="A134" i="12"/>
  <c r="A134" i="120" l="1"/>
  <c r="A135" i="12"/>
  <c r="A135" i="120" l="1"/>
  <c r="A136" i="12"/>
  <c r="A136" i="120" l="1"/>
  <c r="A137" i="12"/>
  <c r="A138" i="12" l="1"/>
  <c r="A137" i="120"/>
  <c r="A138" i="120" l="1"/>
  <c r="A139" i="12"/>
  <c r="A140" i="12" l="1"/>
  <c r="A139" i="120"/>
  <c r="A140" i="120" l="1"/>
  <c r="A141" i="12"/>
  <c r="A142" i="12" l="1"/>
  <c r="A141" i="120"/>
  <c r="A143" i="12" l="1"/>
  <c r="A142" i="120"/>
  <c r="A143" i="120" l="1"/>
  <c r="A144" i="12"/>
  <c r="A144" i="120" l="1"/>
  <c r="A145" i="12"/>
  <c r="A145" i="120" l="1"/>
  <c r="A146" i="12"/>
  <c r="A146" i="120" l="1"/>
  <c r="A147" i="12"/>
  <c r="A147" i="120" l="1"/>
  <c r="A148" i="12"/>
  <c r="A148" i="120" l="1"/>
  <c r="A149" i="12"/>
  <c r="A149" i="120" l="1"/>
  <c r="A150" i="12"/>
  <c r="A150" i="120" l="1"/>
  <c r="A151" i="12"/>
  <c r="A151" i="120" l="1"/>
  <c r="A152" i="12"/>
  <c r="A152" i="120" l="1"/>
  <c r="A153" i="12"/>
  <c r="A154" i="12" l="1"/>
  <c r="A153" i="120"/>
  <c r="A154" i="120" l="1"/>
  <c r="A155" i="12"/>
  <c r="A155" i="120" l="1"/>
  <c r="A156" i="12"/>
  <c r="A157" i="12" l="1"/>
  <c r="A156" i="120"/>
  <c r="A158" i="12" l="1"/>
  <c r="A157" i="120"/>
  <c r="A159" i="12" l="1"/>
  <c r="A158" i="120"/>
  <c r="A160" i="12" l="1"/>
  <c r="A159" i="120"/>
  <c r="A160" i="120" l="1"/>
  <c r="A161" i="12"/>
  <c r="A161" i="120" l="1"/>
  <c r="A162" i="12"/>
  <c r="A163" i="12" l="1"/>
  <c r="A162" i="120"/>
  <c r="A163" i="120" l="1"/>
  <c r="A164" i="12"/>
  <c r="A164" i="120" l="1"/>
  <c r="A165" i="12"/>
  <c r="A165" i="120" l="1"/>
  <c r="A166" i="12"/>
  <c r="A166" i="120" l="1"/>
  <c r="A167" i="12"/>
  <c r="A168" i="12" l="1"/>
  <c r="A167" i="120"/>
  <c r="A168" i="120" l="1"/>
  <c r="A169" i="12"/>
  <c r="A169" i="120" l="1"/>
  <c r="A171" i="12"/>
  <c r="A171" i="120" l="1"/>
  <c r="A173" i="12"/>
  <c r="A173" i="120" l="1"/>
  <c r="A175" i="12"/>
  <c r="A175" i="120" l="1"/>
  <c r="A177" i="12"/>
  <c r="A177" i="120" l="1"/>
  <c r="A179" i="12"/>
  <c r="A179" i="120" l="1"/>
  <c r="A181" i="12"/>
  <c r="A181" i="120" l="1"/>
  <c r="A183" i="120" s="1"/>
  <c r="A183" i="12"/>
  <c r="B16" i="12" l="1"/>
  <c r="A184" i="12"/>
  <c r="I183" i="12"/>
  <c r="B16" i="120"/>
  <c r="A21" i="134" s="1"/>
  <c r="I183" i="120"/>
  <c r="A17" i="77" l="1"/>
  <c r="B17" i="122"/>
  <c r="A21" i="39"/>
  <c r="A184" i="120"/>
  <c r="A185" i="12"/>
  <c r="A185" i="120" l="1"/>
  <c r="A186" i="12"/>
  <c r="A186" i="120" l="1"/>
  <c r="A187" i="12"/>
  <c r="A187" i="120" l="1"/>
  <c r="A188" i="12"/>
  <c r="A188" i="120" l="1"/>
  <c r="A189" i="12"/>
  <c r="A189" i="120" l="1"/>
  <c r="A190" i="12"/>
  <c r="A190" i="120" l="1"/>
  <c r="A191" i="12"/>
  <c r="A191" i="120" l="1"/>
  <c r="A192" i="12"/>
  <c r="A192" i="120" l="1"/>
  <c r="A193" i="12"/>
  <c r="A194" i="12" l="1"/>
  <c r="A193" i="120"/>
  <c r="A195" i="12" l="1"/>
  <c r="A194" i="120"/>
  <c r="A196" i="12" l="1"/>
  <c r="A195" i="120"/>
  <c r="A196" i="120" l="1"/>
  <c r="A197" i="12"/>
  <c r="A197" i="120" l="1"/>
  <c r="A198" i="12"/>
  <c r="A199" i="12" l="1"/>
  <c r="A198" i="120"/>
  <c r="A199" i="120" l="1"/>
  <c r="A200" i="12"/>
  <c r="A200" i="120" l="1"/>
  <c r="A201" i="12"/>
  <c r="A201" i="120" l="1"/>
  <c r="A202" i="12"/>
  <c r="A202" i="120" l="1"/>
  <c r="A203" i="12"/>
  <c r="A203" i="120" l="1"/>
  <c r="A204" i="12"/>
  <c r="A204" i="120" l="1"/>
  <c r="A205" i="12"/>
  <c r="A206" i="12" l="1"/>
  <c r="A205" i="120"/>
  <c r="A207" i="12" l="1"/>
  <c r="A206" i="120"/>
  <c r="A207" i="120" l="1"/>
  <c r="A208" i="12"/>
  <c r="A209" i="12" l="1"/>
  <c r="A208" i="120"/>
  <c r="A209" i="120" l="1"/>
  <c r="A210" i="12"/>
  <c r="A211" i="12" l="1"/>
  <c r="A210" i="120"/>
  <c r="A212" i="12" l="1"/>
  <c r="A211" i="120"/>
  <c r="A212" i="120" l="1"/>
  <c r="A213" i="12"/>
  <c r="A214" i="12" l="1"/>
  <c r="A213" i="120"/>
  <c r="A214" i="120" l="1"/>
  <c r="A215" i="12"/>
  <c r="A215" i="120" l="1"/>
  <c r="A216" i="12"/>
  <c r="A217" i="12" l="1"/>
  <c r="A216" i="120"/>
  <c r="A217" i="120" l="1"/>
  <c r="A218" i="12"/>
  <c r="A219" i="12" l="1"/>
  <c r="A218" i="120"/>
  <c r="A219" i="120" l="1"/>
  <c r="A220" i="12"/>
  <c r="A220" i="120" l="1"/>
  <c r="A221" i="12"/>
  <c r="A221" i="120" l="1"/>
  <c r="A222" i="12"/>
  <c r="A222" i="120" l="1"/>
  <c r="A223" i="12"/>
  <c r="A223" i="120" l="1"/>
  <c r="A224" i="12"/>
  <c r="A225" i="12" l="1"/>
  <c r="A224" i="120"/>
  <c r="A226" i="12" l="1"/>
  <c r="A225" i="120"/>
  <c r="A226" i="120" l="1"/>
  <c r="A227" i="12"/>
  <c r="A227" i="120" l="1"/>
  <c r="A228" i="12"/>
  <c r="A228" i="120" l="1"/>
  <c r="A229" i="12"/>
  <c r="A230" i="12" l="1"/>
  <c r="A229" i="120"/>
  <c r="A231" i="12" l="1"/>
  <c r="A230" i="120"/>
  <c r="A231" i="120" l="1"/>
  <c r="A232" i="12"/>
  <c r="A233" i="12" l="1"/>
  <c r="A232" i="120"/>
  <c r="A234" i="12" l="1"/>
  <c r="A233" i="120"/>
  <c r="A235" i="12" l="1"/>
  <c r="A234" i="120"/>
  <c r="A235" i="120" l="1"/>
  <c r="A236" i="12"/>
  <c r="A236" i="120" l="1"/>
  <c r="A237" i="12"/>
  <c r="A238" i="12" l="1"/>
  <c r="A237" i="120"/>
  <c r="A239" i="12" l="1"/>
  <c r="A238" i="120"/>
  <c r="A239" i="120" l="1"/>
  <c r="A240" i="12"/>
  <c r="A241" i="12" l="1"/>
  <c r="A240" i="120"/>
  <c r="A242" i="12" l="1"/>
  <c r="A242" i="120" s="1"/>
  <c r="A241" i="120"/>
  <c r="A244" i="120" s="1"/>
  <c r="A244" i="12"/>
  <c r="I244" i="12" l="1"/>
  <c r="B17" i="12"/>
  <c r="A245" i="12"/>
  <c r="I244" i="120"/>
  <c r="B17" i="120"/>
  <c r="A25" i="134" s="1"/>
  <c r="A246" i="12" l="1"/>
  <c r="A245" i="120"/>
  <c r="A25" i="39"/>
  <c r="A18" i="77"/>
  <c r="B18" i="122"/>
  <c r="A247" i="12" l="1"/>
  <c r="A246" i="120"/>
  <c r="A247" i="120" l="1"/>
  <c r="A248" i="12"/>
  <c r="A249" i="12" l="1"/>
  <c r="A248" i="120"/>
  <c r="A250" i="12" l="1"/>
  <c r="A249" i="120"/>
  <c r="A251" i="12" l="1"/>
  <c r="A250" i="120"/>
  <c r="A251" i="120" l="1"/>
  <c r="A252" i="12"/>
  <c r="A252" i="120" l="1"/>
  <c r="A253" i="12"/>
  <c r="A253" i="120" l="1"/>
  <c r="A254" i="12"/>
  <c r="A254" i="120" l="1"/>
  <c r="A255" i="12"/>
  <c r="A256" i="12" l="1"/>
  <c r="A255" i="120"/>
  <c r="A257" i="12" l="1"/>
  <c r="A256" i="120"/>
  <c r="A258" i="12" l="1"/>
  <c r="A257" i="120"/>
  <c r="A259" i="12" l="1"/>
  <c r="A258" i="120"/>
  <c r="A259" i="120" l="1"/>
  <c r="A260" i="12"/>
  <c r="A261" i="12" l="1"/>
  <c r="A260" i="120"/>
  <c r="A261" i="120" l="1"/>
  <c r="A262" i="12"/>
  <c r="A262" i="120" l="1"/>
  <c r="A263" i="12"/>
  <c r="A263" i="120" l="1"/>
  <c r="A264" i="12"/>
  <c r="A264" i="120" l="1"/>
  <c r="A265" i="12"/>
  <c r="A265" i="120" l="1"/>
  <c r="A266" i="12"/>
  <c r="A266" i="120" l="1"/>
  <c r="A267" i="12"/>
  <c r="A268" i="12" l="1"/>
  <c r="A267" i="120"/>
  <c r="A269" i="12" l="1"/>
  <c r="A268" i="120"/>
  <c r="A270" i="12" l="1"/>
  <c r="A269" i="120"/>
  <c r="A270" i="120" l="1"/>
  <c r="A271" i="12"/>
  <c r="A271" i="120" l="1"/>
  <c r="A272" i="12"/>
  <c r="A273" i="12" l="1"/>
  <c r="A272" i="120"/>
  <c r="A273" i="120" l="1"/>
  <c r="A274" i="12"/>
  <c r="A275" i="12" l="1"/>
  <c r="A274" i="120"/>
  <c r="A276" i="12" l="1"/>
  <c r="A275" i="120"/>
  <c r="A277" i="12" l="1"/>
  <c r="A276" i="120"/>
  <c r="A277" i="120" l="1"/>
  <c r="A278" i="12"/>
  <c r="A278" i="120" l="1"/>
  <c r="A279" i="12"/>
  <c r="A279" i="120" l="1"/>
  <c r="A280" i="12"/>
  <c r="A280" i="120" l="1"/>
  <c r="A281" i="12"/>
  <c r="A281" i="120" l="1"/>
  <c r="A282" i="12"/>
  <c r="A283" i="12" l="1"/>
  <c r="A282" i="120"/>
  <c r="A283" i="120" l="1"/>
  <c r="A284" i="12"/>
  <c r="A284" i="120" l="1"/>
  <c r="A285" i="12"/>
  <c r="A285" i="120" l="1"/>
  <c r="A286" i="12"/>
  <c r="A287" i="12" l="1"/>
  <c r="A286" i="120"/>
  <c r="A288" i="12" l="1"/>
  <c r="A287" i="120"/>
  <c r="A290" i="12" l="1"/>
  <c r="A288" i="120"/>
  <c r="A290" i="120" l="1"/>
  <c r="A292" i="12"/>
  <c r="A292" i="120" l="1"/>
  <c r="A294" i="120" s="1"/>
  <c r="A294" i="12"/>
  <c r="I294" i="12" l="1"/>
  <c r="A295" i="12"/>
  <c r="B18" i="12"/>
  <c r="B18" i="120"/>
  <c r="A29" i="134" s="1"/>
  <c r="I294" i="120"/>
  <c r="B19" i="122" l="1"/>
  <c r="A29" i="39"/>
  <c r="A19" i="77"/>
  <c r="A295" i="120"/>
  <c r="A296" i="12"/>
  <c r="A297" i="12" l="1"/>
  <c r="A296" i="120"/>
  <c r="A298" i="12" l="1"/>
  <c r="A297" i="120"/>
  <c r="A298" i="120" l="1"/>
  <c r="A299" i="12"/>
  <c r="A300" i="12" l="1"/>
  <c r="A299" i="120"/>
  <c r="A300" i="120" l="1"/>
  <c r="A301" i="12"/>
  <c r="A302" i="12" l="1"/>
  <c r="A301" i="120"/>
  <c r="A303" i="12" l="1"/>
  <c r="A302" i="120"/>
  <c r="A303" i="120" l="1"/>
  <c r="A304" i="12"/>
  <c r="A304" i="120" l="1"/>
  <c r="A305" i="12"/>
  <c r="A305" i="120" l="1"/>
  <c r="A306" i="12"/>
  <c r="A307" i="12" l="1"/>
  <c r="A306" i="120"/>
  <c r="A308" i="12" l="1"/>
  <c r="A307" i="120"/>
  <c r="A309" i="12" l="1"/>
  <c r="A308" i="120"/>
  <c r="A309" i="120" l="1"/>
  <c r="A310" i="12"/>
  <c r="A310" i="120" l="1"/>
  <c r="A311" i="12"/>
  <c r="A311" i="120" l="1"/>
  <c r="A312" i="12"/>
  <c r="A312" i="120" l="1"/>
  <c r="A314" i="120" s="1"/>
  <c r="A314" i="12"/>
  <c r="A316" i="12" l="1"/>
  <c r="B19" i="12"/>
  <c r="I314" i="12"/>
  <c r="A413" i="12"/>
  <c r="I314" i="120"/>
  <c r="B19" i="120"/>
  <c r="A33" i="134" s="1"/>
  <c r="A413" i="120"/>
  <c r="B20" i="120" l="1"/>
  <c r="A37" i="134" s="1"/>
  <c r="I413" i="120"/>
  <c r="B20" i="12"/>
  <c r="I413" i="12"/>
  <c r="A414" i="12"/>
  <c r="A20" i="77"/>
  <c r="A33" i="39"/>
  <c r="B20" i="122"/>
  <c r="A316" i="120"/>
  <c r="A317" i="12"/>
  <c r="A318" i="12" l="1"/>
  <c r="A317" i="120"/>
  <c r="A414" i="120"/>
  <c r="A415" i="12"/>
  <c r="A30" i="77"/>
  <c r="A37" i="39"/>
  <c r="B21" i="122"/>
  <c r="A416" i="12" l="1"/>
  <c r="A415" i="120"/>
  <c r="A319" i="12"/>
  <c r="A318" i="120"/>
  <c r="A320" i="12" l="1"/>
  <c r="A319" i="120"/>
  <c r="A417" i="12"/>
  <c r="A416" i="120"/>
  <c r="A418" i="12" l="1"/>
  <c r="A417" i="120"/>
  <c r="A321" i="12"/>
  <c r="A320" i="120"/>
  <c r="A323" i="12" l="1"/>
  <c r="A321" i="120"/>
  <c r="A419" i="12"/>
  <c r="A418" i="120"/>
  <c r="A420" i="12" l="1"/>
  <c r="A419" i="120"/>
  <c r="A323" i="120"/>
  <c r="A324" i="12"/>
  <c r="A324" i="120" l="1"/>
  <c r="A325" i="12"/>
  <c r="A421" i="12"/>
  <c r="A420" i="120"/>
  <c r="A421" i="120" l="1"/>
  <c r="A422" i="12"/>
  <c r="A325" i="120"/>
  <c r="A326" i="12"/>
  <c r="A326" i="120" l="1"/>
  <c r="A327" i="12"/>
  <c r="A423" i="12"/>
  <c r="A422" i="120"/>
  <c r="A327" i="120" l="1"/>
  <c r="A328" i="12"/>
  <c r="A423" i="120"/>
  <c r="A424" i="12"/>
  <c r="A425" i="12" l="1"/>
  <c r="A424" i="120"/>
  <c r="A329" i="12"/>
  <c r="A328" i="120"/>
  <c r="A329" i="120" l="1"/>
  <c r="A330" i="12"/>
  <c r="A426" i="12"/>
  <c r="A425" i="120"/>
  <c r="A330" i="120" l="1"/>
  <c r="A331" i="12"/>
  <c r="A426" i="120"/>
  <c r="A427" i="12"/>
  <c r="A428" i="12" l="1"/>
  <c r="A427" i="120"/>
  <c r="A332" i="12"/>
  <c r="A331" i="120"/>
  <c r="A333" i="12" l="1"/>
  <c r="A332" i="120"/>
  <c r="A429" i="12"/>
  <c r="A428" i="120"/>
  <c r="A430" i="12" l="1"/>
  <c r="A429" i="120"/>
  <c r="A334" i="12"/>
  <c r="A333" i="120"/>
  <c r="A335" i="12" l="1"/>
  <c r="A334" i="120"/>
  <c r="A430" i="120"/>
  <c r="A431" i="12"/>
  <c r="A432" i="12" l="1"/>
  <c r="A431" i="120"/>
  <c r="A336" i="12"/>
  <c r="A335" i="120"/>
  <c r="A336" i="120" l="1"/>
  <c r="A337" i="12"/>
  <c r="A432" i="120"/>
  <c r="A433" i="12"/>
  <c r="A434" i="12" l="1"/>
  <c r="A433" i="120"/>
  <c r="A338" i="12"/>
  <c r="A337" i="120"/>
  <c r="A338" i="120" l="1"/>
  <c r="A339" i="12"/>
  <c r="A435" i="12"/>
  <c r="A434" i="120"/>
  <c r="A436" i="12" l="1"/>
  <c r="A435" i="120"/>
  <c r="A339" i="120"/>
  <c r="A340" i="12"/>
  <c r="A340" i="120" l="1"/>
  <c r="A341" i="12"/>
  <c r="A437" i="12"/>
  <c r="A436" i="120"/>
  <c r="A341" i="120" l="1"/>
  <c r="A342" i="12"/>
  <c r="A438" i="12"/>
  <c r="A437" i="120"/>
  <c r="A440" i="12" l="1"/>
  <c r="A438" i="120"/>
  <c r="A343" i="12"/>
  <c r="A342" i="120"/>
  <c r="A344" i="12" l="1"/>
  <c r="A343" i="120"/>
  <c r="A440" i="120"/>
  <c r="A442" i="12"/>
  <c r="A444" i="12" l="1"/>
  <c r="A442" i="120"/>
  <c r="A346" i="12"/>
  <c r="A344" i="120"/>
  <c r="A346" i="120" l="1"/>
  <c r="A347" i="12"/>
  <c r="A444" i="120"/>
  <c r="A446" i="12"/>
  <c r="A347" i="120" l="1"/>
  <c r="A348" i="12"/>
  <c r="A446" i="120"/>
  <c r="A448" i="120" s="1"/>
  <c r="A448" i="12"/>
  <c r="B21" i="120" l="1"/>
  <c r="A41" i="134" s="1"/>
  <c r="I448" i="120"/>
  <c r="A348" i="120"/>
  <c r="A349" i="12"/>
  <c r="B21" i="12"/>
  <c r="I448" i="12"/>
  <c r="A449" i="12"/>
  <c r="B22" i="122" l="1"/>
  <c r="A21" i="77"/>
  <c r="A41" i="39"/>
  <c r="A449" i="120"/>
  <c r="A450" i="12"/>
  <c r="A350" i="12"/>
  <c r="A349" i="120"/>
  <c r="A350" i="120" l="1"/>
  <c r="A351" i="12"/>
  <c r="A451" i="12"/>
  <c r="A450" i="120"/>
  <c r="A351" i="120" l="1"/>
  <c r="A352" i="12"/>
  <c r="A451" i="120"/>
  <c r="A452" i="12"/>
  <c r="A452" i="120" l="1"/>
  <c r="A453" i="12"/>
  <c r="A352" i="120"/>
  <c r="A353" i="12"/>
  <c r="A353" i="120" l="1"/>
  <c r="A354" i="12"/>
  <c r="A453" i="120"/>
  <c r="A454" i="12"/>
  <c r="A454" i="120" l="1"/>
  <c r="A455" i="12"/>
  <c r="A354" i="120"/>
  <c r="A355" i="12"/>
  <c r="A356" i="12" l="1"/>
  <c r="A355" i="120"/>
  <c r="A456" i="12"/>
  <c r="A455" i="120"/>
  <c r="A457" i="12" l="1"/>
  <c r="A456" i="120"/>
  <c r="A357" i="12"/>
  <c r="A356" i="120"/>
  <c r="A358" i="12" l="1"/>
  <c r="A357" i="120"/>
  <c r="A457" i="120"/>
  <c r="A458" i="12"/>
  <c r="A458" i="120" l="1"/>
  <c r="A459" i="12"/>
  <c r="A359" i="12"/>
  <c r="A358" i="120"/>
  <c r="A459" i="120" l="1"/>
  <c r="A460" i="12"/>
  <c r="A360" i="12"/>
  <c r="A359" i="120"/>
  <c r="A360" i="120" l="1"/>
  <c r="A361" i="12"/>
  <c r="A460" i="120"/>
  <c r="A461" i="12"/>
  <c r="A361" i="120" l="1"/>
  <c r="A362" i="12"/>
  <c r="A461" i="120"/>
  <c r="A462" i="12"/>
  <c r="A462" i="120" l="1"/>
  <c r="A463" i="12"/>
  <c r="A363" i="12"/>
  <c r="A362" i="120"/>
  <c r="A364" i="12" l="1"/>
  <c r="A363" i="120"/>
  <c r="A464" i="12"/>
  <c r="A463" i="120"/>
  <c r="A464" i="120" l="1"/>
  <c r="A465" i="12"/>
  <c r="A364" i="120"/>
  <c r="A365" i="12"/>
  <c r="A365" i="120" l="1"/>
  <c r="A366" i="12"/>
  <c r="A466" i="12"/>
  <c r="A465" i="120"/>
  <c r="A367" i="12" l="1"/>
  <c r="A366" i="120"/>
  <c r="A468" i="12"/>
  <c r="A466" i="120"/>
  <c r="A468" i="120" l="1"/>
  <c r="A470" i="12"/>
  <c r="A367" i="120"/>
  <c r="A368" i="12"/>
  <c r="A368" i="120" l="1"/>
  <c r="A369" i="12"/>
  <c r="A470" i="120"/>
  <c r="A472" i="12"/>
  <c r="A472" i="120" l="1"/>
  <c r="A474" i="12"/>
  <c r="A370" i="12"/>
  <c r="A369" i="120"/>
  <c r="A371" i="12" l="1"/>
  <c r="A370" i="120"/>
  <c r="A476" i="12"/>
  <c r="A474" i="120"/>
  <c r="A478" i="12" l="1"/>
  <c r="A476" i="120"/>
  <c r="A372" i="12"/>
  <c r="A371" i="120"/>
  <c r="A373" i="12" l="1"/>
  <c r="A372" i="120"/>
  <c r="A480" i="12"/>
  <c r="A478" i="120"/>
  <c r="A482" i="12" l="1"/>
  <c r="A480" i="120"/>
  <c r="A373" i="120"/>
  <c r="A374" i="12"/>
  <c r="A374" i="120" l="1"/>
  <c r="A375" i="12"/>
  <c r="A482" i="120"/>
  <c r="A484" i="12"/>
  <c r="A488" i="12" l="1"/>
  <c r="A488" i="120" s="1"/>
  <c r="A484" i="120"/>
  <c r="A486" i="12"/>
  <c r="A375" i="120"/>
  <c r="A377" i="12"/>
  <c r="A376" i="12"/>
  <c r="A490" i="12" l="1"/>
  <c r="A486" i="120"/>
  <c r="A378" i="12"/>
  <c r="A378" i="120" s="1"/>
  <c r="A376" i="120"/>
  <c r="A379" i="12"/>
  <c r="A377" i="120"/>
  <c r="A379" i="120" l="1"/>
  <c r="A380" i="12"/>
  <c r="A490" i="120"/>
  <c r="A492" i="12"/>
  <c r="A494" i="12" l="1"/>
  <c r="A492" i="120"/>
  <c r="A381" i="12"/>
  <c r="A380" i="120"/>
  <c r="A381" i="120" l="1"/>
  <c r="A382" i="12"/>
  <c r="A494" i="120"/>
  <c r="A496" i="12"/>
  <c r="A496" i="120" l="1"/>
  <c r="A498" i="12"/>
  <c r="A382" i="120"/>
  <c r="A383" i="12"/>
  <c r="A498" i="120" l="1"/>
  <c r="A500" i="12"/>
  <c r="A384" i="12"/>
  <c r="A383" i="120"/>
  <c r="A500" i="120" l="1"/>
  <c r="A502" i="12"/>
  <c r="A384" i="120"/>
  <c r="A385" i="12"/>
  <c r="A385" i="120" l="1"/>
  <c r="A387" i="12"/>
  <c r="A502" i="120"/>
  <c r="A504" i="12"/>
  <c r="A504" i="120" l="1"/>
  <c r="A506" i="120" s="1"/>
  <c r="A506" i="12"/>
  <c r="A388" i="12"/>
  <c r="A387" i="120"/>
  <c r="A388" i="120" l="1"/>
  <c r="A389" i="12"/>
  <c r="A507" i="12"/>
  <c r="B22" i="12"/>
  <c r="I506" i="12"/>
  <c r="B22" i="120"/>
  <c r="A45" i="134" s="1"/>
  <c r="I506" i="120"/>
  <c r="A34" i="77" l="1"/>
  <c r="B23" i="122"/>
  <c r="A45" i="39"/>
  <c r="A390" i="12"/>
  <c r="A389" i="120"/>
  <c r="A508" i="12"/>
  <c r="A507" i="120"/>
  <c r="A390" i="120" l="1"/>
  <c r="A391" i="12"/>
  <c r="A509" i="12"/>
  <c r="A508" i="120"/>
  <c r="A391" i="120" l="1"/>
  <c r="A392" i="12"/>
  <c r="A510" i="12"/>
  <c r="A509" i="120"/>
  <c r="A511" i="12" l="1"/>
  <c r="A510" i="120"/>
  <c r="A392" i="120"/>
  <c r="A393" i="12"/>
  <c r="A393" i="120" l="1"/>
  <c r="A394" i="12"/>
  <c r="A512" i="12"/>
  <c r="A511" i="120"/>
  <c r="A513" i="12" l="1"/>
  <c r="A512" i="120"/>
  <c r="A394" i="120"/>
  <c r="A395" i="12"/>
  <c r="A396" i="12" l="1"/>
  <c r="A395" i="120"/>
  <c r="A513" i="120"/>
  <c r="A514" i="12"/>
  <c r="A515" i="12" l="1"/>
  <c r="A514" i="120"/>
  <c r="A396" i="120"/>
  <c r="A397" i="12"/>
  <c r="A398" i="12" l="1"/>
  <c r="A397" i="120"/>
  <c r="A515" i="120"/>
  <c r="A516" i="12"/>
  <c r="A517" i="12" l="1"/>
  <c r="A516" i="120"/>
  <c r="A399" i="12"/>
  <c r="A398" i="120"/>
  <c r="A399" i="120" l="1"/>
  <c r="A401" i="12"/>
  <c r="A518" i="12"/>
  <c r="A517" i="120"/>
  <c r="A519" i="12" l="1"/>
  <c r="A518" i="120"/>
  <c r="A401" i="120"/>
  <c r="A403" i="12"/>
  <c r="A403" i="120" l="1"/>
  <c r="A405" i="12"/>
  <c r="A520" i="12"/>
  <c r="A519" i="120"/>
  <c r="A521" i="12" l="1"/>
  <c r="A520" i="120"/>
  <c r="A405" i="120"/>
  <c r="A409" i="12"/>
  <c r="A407" i="12"/>
  <c r="A407" i="120" s="1"/>
  <c r="A411" i="12" l="1"/>
  <c r="A411" i="120" s="1"/>
  <c r="A409" i="120"/>
  <c r="A522" i="12"/>
  <c r="A521" i="120"/>
  <c r="A522" i="120" l="1"/>
  <c r="A523" i="12"/>
  <c r="A524" i="12" l="1"/>
  <c r="A523" i="120"/>
  <c r="A525" i="12" l="1"/>
  <c r="A524" i="120"/>
  <c r="A526" i="12" l="1"/>
  <c r="A525" i="120"/>
  <c r="A526" i="120" l="1"/>
  <c r="A527" i="12"/>
  <c r="A528" i="12" l="1"/>
  <c r="A527" i="120"/>
  <c r="A528" i="120" l="1"/>
  <c r="A529" i="12"/>
  <c r="A530" i="12" l="1"/>
  <c r="A529" i="120"/>
  <c r="A530" i="120" l="1"/>
  <c r="A531" i="12"/>
  <c r="A531" i="120" l="1"/>
  <c r="A532" i="12"/>
  <c r="A532" i="120" l="1"/>
  <c r="A533" i="12"/>
  <c r="A533" i="120" l="1"/>
  <c r="A534" i="12"/>
  <c r="A535" i="12" l="1"/>
  <c r="A534" i="120"/>
  <c r="A536" i="12" l="1"/>
  <c r="A535" i="120"/>
  <c r="A537" i="12" l="1"/>
  <c r="A536" i="120"/>
  <c r="A538" i="12" l="1"/>
  <c r="A537" i="120"/>
  <c r="A538" i="120" l="1"/>
  <c r="A539" i="12"/>
  <c r="A540" i="12" l="1"/>
  <c r="A539" i="120"/>
  <c r="A541" i="12" l="1"/>
  <c r="A540" i="120"/>
  <c r="A541" i="120" l="1"/>
  <c r="A542" i="12"/>
  <c r="A544" i="12" l="1"/>
  <c r="A542" i="120"/>
  <c r="A544" i="120" l="1"/>
  <c r="A546" i="12"/>
  <c r="A548" i="12" l="1"/>
  <c r="A546" i="120"/>
  <c r="A550" i="12" l="1"/>
  <c r="A548" i="120"/>
  <c r="A550" i="120" l="1"/>
  <c r="A552" i="12"/>
  <c r="A554" i="12" l="1"/>
  <c r="A552" i="120"/>
  <c r="A556" i="12" l="1"/>
  <c r="A554" i="120"/>
  <c r="A556" i="120" l="1"/>
  <c r="A558" i="12"/>
  <c r="A558" i="120" l="1"/>
  <c r="A560" i="12"/>
  <c r="A562" i="12" l="1"/>
  <c r="A560" i="120"/>
  <c r="A562" i="120" l="1"/>
  <c r="A564" i="12"/>
  <c r="A564" i="120" l="1"/>
  <c r="A566" i="12"/>
  <c r="A568" i="12" l="1"/>
  <c r="A566" i="120"/>
  <c r="A570" i="12" l="1"/>
  <c r="A568" i="120"/>
  <c r="A572" i="12" l="1"/>
  <c r="A570" i="120"/>
  <c r="A574" i="12" l="1"/>
  <c r="A572" i="120"/>
  <c r="A576" i="12" l="1"/>
  <c r="A574" i="120"/>
  <c r="A576" i="120" l="1"/>
  <c r="A578" i="12"/>
  <c r="A578" i="120" l="1"/>
  <c r="A580" i="12"/>
  <c r="A580" i="120" l="1"/>
  <c r="A582" i="120" s="1"/>
  <c r="A582" i="12"/>
  <c r="A583" i="12" l="1"/>
  <c r="B23" i="12"/>
  <c r="I582" i="12"/>
  <c r="I582" i="120"/>
  <c r="B23" i="120"/>
  <c r="A49" i="134" s="1"/>
  <c r="A35" i="77" l="1"/>
  <c r="A49" i="39"/>
  <c r="B24" i="122"/>
  <c r="A584" i="12"/>
  <c r="A583" i="120"/>
  <c r="A585" i="12" l="1"/>
  <c r="A584" i="120"/>
  <c r="A585" i="120" l="1"/>
  <c r="A586" i="12"/>
  <c r="A586" i="120" l="1"/>
  <c r="A587" i="12"/>
  <c r="A587" i="120" l="1"/>
  <c r="A588" i="12"/>
  <c r="A588" i="120" l="1"/>
  <c r="A589" i="12"/>
  <c r="A590" i="12" l="1"/>
  <c r="A589" i="120"/>
  <c r="A590" i="120" l="1"/>
  <c r="A591" i="12"/>
  <c r="A592" i="12" l="1"/>
  <c r="A591" i="120"/>
  <c r="A592" i="120" l="1"/>
  <c r="A593" i="12"/>
  <c r="A594" i="12" l="1"/>
  <c r="A593" i="120"/>
  <c r="A595" i="12" l="1"/>
  <c r="A594" i="120"/>
  <c r="A596" i="12" l="1"/>
  <c r="A595" i="120"/>
  <c r="A596" i="120" l="1"/>
  <c r="A597" i="12"/>
  <c r="A598" i="12" l="1"/>
  <c r="A597" i="120"/>
  <c r="A600" i="12" l="1"/>
  <c r="A598" i="120"/>
  <c r="A600" i="120" l="1"/>
  <c r="A602" i="12"/>
  <c r="A604" i="12" l="1"/>
  <c r="A602" i="120"/>
  <c r="A606" i="12" l="1"/>
  <c r="A604" i="120"/>
  <c r="A606" i="120" l="1"/>
  <c r="A608" i="12"/>
  <c r="A610" i="12" l="1"/>
  <c r="A608" i="120"/>
  <c r="A612" i="12" l="1"/>
  <c r="A610" i="120"/>
  <c r="A614" i="12" l="1"/>
  <c r="A612" i="120"/>
  <c r="A614" i="120" l="1"/>
  <c r="A616" i="12"/>
  <c r="A616" i="120" l="1"/>
  <c r="A618" i="12"/>
  <c r="A618" i="120" l="1"/>
  <c r="A620" i="12"/>
  <c r="A620" i="120" l="1"/>
  <c r="A622" i="12"/>
  <c r="A622" i="120" l="1"/>
  <c r="A624" i="120" s="1"/>
  <c r="A624" i="12"/>
  <c r="B24" i="12" l="1"/>
  <c r="I624" i="12"/>
  <c r="A625" i="12"/>
  <c r="I624" i="120"/>
  <c r="B24" i="120"/>
  <c r="A53" i="134" s="1"/>
  <c r="A625" i="120" l="1"/>
  <c r="A626" i="12"/>
  <c r="A53" i="39"/>
  <c r="A23" i="77"/>
  <c r="B25" i="122"/>
  <c r="A627" i="12" l="1"/>
  <c r="A626" i="120"/>
  <c r="A627" i="120" l="1"/>
  <c r="A628" i="12"/>
  <c r="A628" i="120" l="1"/>
  <c r="A629" i="12"/>
  <c r="A629" i="120" l="1"/>
  <c r="A630" i="12"/>
  <c r="A630" i="120" l="1"/>
  <c r="A631" i="12"/>
  <c r="A631" i="120" l="1"/>
  <c r="A632" i="12"/>
  <c r="A633" i="12" l="1"/>
  <c r="A632" i="120"/>
  <c r="A633" i="120" l="1"/>
  <c r="A635" i="12"/>
  <c r="A635" i="120" l="1"/>
  <c r="A637" i="12"/>
  <c r="A639" i="12" l="1"/>
  <c r="A637" i="120"/>
  <c r="A639" i="120" l="1"/>
  <c r="A641" i="12"/>
  <c r="A643" i="12" l="1"/>
  <c r="A641" i="120"/>
  <c r="A643" i="120" l="1"/>
  <c r="A645" i="120" s="1"/>
  <c r="A645" i="12"/>
  <c r="A646" i="12" l="1"/>
  <c r="B25" i="12"/>
  <c r="I645" i="12"/>
  <c r="B25" i="120"/>
  <c r="A57" i="134" s="1"/>
  <c r="I645" i="120"/>
  <c r="B26" i="122" l="1"/>
  <c r="A57" i="39"/>
  <c r="A24" i="77"/>
  <c r="A647" i="12"/>
  <c r="A646" i="120"/>
  <c r="A648" i="12" l="1"/>
  <c r="A647" i="120"/>
  <c r="A648" i="120" l="1"/>
  <c r="A649" i="12"/>
  <c r="A650" i="12" l="1"/>
  <c r="A649" i="120"/>
  <c r="A650" i="120" l="1"/>
  <c r="A651" i="12"/>
  <c r="A651" i="120" l="1"/>
  <c r="A652" i="12"/>
  <c r="A652" i="120" l="1"/>
  <c r="A653" i="12"/>
  <c r="A654" i="12" l="1"/>
  <c r="A653" i="120"/>
  <c r="A654" i="120" l="1"/>
  <c r="A655" i="12"/>
  <c r="A656" i="12" l="1"/>
  <c r="A655" i="120"/>
  <c r="A657" i="12" l="1"/>
  <c r="A656" i="120"/>
  <c r="A657" i="120" l="1"/>
  <c r="A658" i="12"/>
  <c r="A659" i="12" l="1"/>
  <c r="A658" i="120"/>
  <c r="A659" i="120" l="1"/>
  <c r="A660" i="12"/>
  <c r="A660" i="120" l="1"/>
  <c r="A661" i="12"/>
  <c r="A662" i="12" l="1"/>
  <c r="A661" i="120"/>
  <c r="A663" i="12" l="1"/>
  <c r="A662" i="120"/>
  <c r="A663" i="120" l="1"/>
  <c r="A664" i="12"/>
  <c r="A665" i="12" l="1"/>
  <c r="A664" i="120"/>
  <c r="A666" i="12" l="1"/>
  <c r="A665" i="120"/>
  <c r="A666" i="120" l="1"/>
  <c r="A667" i="12"/>
  <c r="A668" i="12" l="1"/>
  <c r="A667" i="120"/>
  <c r="A669" i="12" l="1"/>
  <c r="A668" i="120"/>
  <c r="A670" i="12" l="1"/>
  <c r="A669" i="120"/>
  <c r="A670" i="120" l="1"/>
  <c r="A671" i="12"/>
  <c r="A672" i="12" l="1"/>
  <c r="A671" i="120"/>
  <c r="A672" i="120" l="1"/>
  <c r="A673" i="12"/>
  <c r="A673" i="120" l="1"/>
  <c r="A674" i="12"/>
  <c r="A677" i="12" l="1"/>
  <c r="A674" i="120"/>
  <c r="A675" i="120" s="1"/>
  <c r="A675" i="12"/>
  <c r="A679" i="12" l="1"/>
  <c r="A677" i="120"/>
  <c r="A679" i="120" l="1"/>
  <c r="A681" i="12"/>
  <c r="A681" i="120" l="1"/>
  <c r="A683" i="12"/>
  <c r="A683" i="120" l="1"/>
  <c r="A685" i="12"/>
  <c r="A685" i="120" l="1"/>
  <c r="A687" i="12"/>
  <c r="A689" i="12" l="1"/>
  <c r="A687" i="120"/>
  <c r="A691" i="12" l="1"/>
  <c r="A689" i="120"/>
  <c r="A693" i="12" l="1"/>
  <c r="A691" i="120"/>
  <c r="A695" i="12" l="1"/>
  <c r="A693" i="120"/>
  <c r="A695" i="120" l="1"/>
  <c r="A697" i="12"/>
  <c r="A697" i="120" l="1"/>
  <c r="A699" i="12"/>
  <c r="A701" i="12" l="1"/>
  <c r="A699" i="120"/>
  <c r="A701" i="120" l="1"/>
  <c r="A703" i="12"/>
  <c r="A705" i="12" l="1"/>
  <c r="A703" i="120"/>
  <c r="A705" i="120" l="1"/>
  <c r="A707" i="12"/>
  <c r="A709" i="12" l="1"/>
  <c r="A707" i="120"/>
  <c r="A711" i="12" l="1"/>
  <c r="A709" i="120"/>
  <c r="A711" i="120" l="1"/>
  <c r="A713" i="12"/>
  <c r="A713" i="120" l="1"/>
  <c r="A715" i="12"/>
  <c r="A717" i="12" l="1"/>
  <c r="A715" i="120"/>
  <c r="A717" i="120" l="1"/>
  <c r="A719" i="120" s="1"/>
  <c r="A719" i="12"/>
  <c r="B26" i="12" l="1"/>
  <c r="A720" i="12"/>
  <c r="I719" i="12"/>
  <c r="I719" i="120"/>
  <c r="B26" i="120"/>
  <c r="A61" i="134" s="1"/>
  <c r="A720" i="120" l="1"/>
  <c r="A721" i="12"/>
  <c r="B27" i="122"/>
  <c r="A61" i="39"/>
  <c r="A25" i="77"/>
  <c r="A722" i="12" l="1"/>
  <c r="A721" i="120"/>
  <c r="A722" i="120" l="1"/>
  <c r="A723" i="12"/>
  <c r="A724" i="12" l="1"/>
  <c r="A723" i="120"/>
  <c r="A724" i="120" l="1"/>
  <c r="A725" i="12"/>
  <c r="A726" i="12" l="1"/>
  <c r="A725" i="120"/>
  <c r="A726" i="120" l="1"/>
  <c r="A727" i="12"/>
  <c r="A727" i="120" l="1"/>
  <c r="A728" i="12"/>
  <c r="A728" i="120" l="1"/>
  <c r="A729" i="12"/>
  <c r="A730" i="12" l="1"/>
  <c r="A729" i="120"/>
  <c r="A731" i="12" l="1"/>
  <c r="A730" i="120"/>
  <c r="A731" i="120" l="1"/>
  <c r="A732" i="12"/>
  <c r="A733" i="12" l="1"/>
  <c r="A732" i="120"/>
  <c r="A733" i="120" l="1"/>
  <c r="A734" i="12"/>
  <c r="A735" i="12" l="1"/>
  <c r="A734" i="120"/>
  <c r="A735" i="120" l="1"/>
  <c r="A736" i="12"/>
  <c r="A736" i="120" l="1"/>
  <c r="A737" i="12"/>
  <c r="A737" i="120" l="1"/>
  <c r="A738" i="12"/>
  <c r="A738" i="120" l="1"/>
  <c r="A739" i="12"/>
  <c r="A740" i="12" l="1"/>
  <c r="A739" i="120"/>
  <c r="A740" i="120" l="1"/>
  <c r="A741" i="12"/>
  <c r="A742" i="12" l="1"/>
  <c r="A741" i="120"/>
  <c r="A742" i="120" l="1"/>
  <c r="A743" i="12"/>
  <c r="A743" i="120" l="1"/>
  <c r="A744" i="12"/>
  <c r="A745" i="12" l="1"/>
  <c r="A744" i="120"/>
  <c r="A745" i="120" l="1"/>
  <c r="A746" i="12"/>
  <c r="A747" i="12" l="1"/>
  <c r="A746" i="120"/>
  <c r="A748" i="12" l="1"/>
  <c r="A747" i="120"/>
  <c r="A748" i="120" l="1"/>
  <c r="A750" i="12"/>
  <c r="A750" i="120" l="1"/>
  <c r="A752" i="120" s="1"/>
  <c r="A752" i="12"/>
  <c r="I752" i="12" l="1"/>
  <c r="B27" i="12"/>
  <c r="A753" i="12"/>
  <c r="I752" i="120"/>
  <c r="B27" i="120"/>
  <c r="A65" i="134" s="1"/>
  <c r="A753" i="120" l="1"/>
  <c r="A754" i="12"/>
  <c r="A26" i="77"/>
  <c r="B28" i="122"/>
  <c r="A65" i="39"/>
  <c r="A754" i="120" l="1"/>
  <c r="A755" i="12"/>
  <c r="B29" i="122"/>
  <c r="A32" i="77"/>
  <c r="A755" i="120" l="1"/>
  <c r="A756" i="12"/>
  <c r="A756" i="120" l="1"/>
  <c r="A757" i="12"/>
  <c r="A758" i="12" l="1"/>
  <c r="A757" i="120"/>
  <c r="A759" i="12" l="1"/>
  <c r="A758" i="120"/>
  <c r="A760" i="12" l="1"/>
  <c r="A759" i="120"/>
  <c r="A760" i="120" l="1"/>
  <c r="A761" i="12"/>
  <c r="A761" i="120" l="1"/>
  <c r="A762" i="12"/>
  <c r="A762" i="120" l="1"/>
  <c r="A763" i="12"/>
  <c r="A763" i="120" l="1"/>
  <c r="A764" i="12"/>
  <c r="A764" i="120" l="1"/>
  <c r="A765" i="12"/>
  <c r="A765" i="120" l="1"/>
  <c r="A766" i="12"/>
  <c r="A767" i="12" l="1"/>
  <c r="A766" i="120"/>
  <c r="A768" i="12" l="1"/>
  <c r="A767" i="120"/>
  <c r="A768" i="120" l="1"/>
  <c r="A769" i="12"/>
  <c r="A769" i="120" l="1"/>
  <c r="A770" i="12"/>
  <c r="A771" i="12" l="1"/>
  <c r="A770" i="120"/>
  <c r="A772" i="12" l="1"/>
  <c r="A771" i="120"/>
  <c r="A773" i="12" l="1"/>
  <c r="A772" i="120"/>
  <c r="A773" i="120" l="1"/>
  <c r="A774" i="12"/>
  <c r="A775" i="12" l="1"/>
  <c r="A774" i="120"/>
  <c r="A775" i="120" l="1"/>
  <c r="A776" i="12"/>
  <c r="A777" i="12" l="1"/>
  <c r="A776" i="120"/>
  <c r="A777" i="120" l="1"/>
  <c r="A778" i="12"/>
  <c r="A778" i="120" l="1"/>
  <c r="A779" i="12"/>
  <c r="A779" i="120" l="1"/>
  <c r="A780" i="12"/>
  <c r="A781" i="12" l="1"/>
  <c r="A780" i="120"/>
  <c r="A782" i="12" l="1"/>
  <c r="A781" i="120"/>
  <c r="A783" i="12" l="1"/>
  <c r="A782" i="120"/>
  <c r="A784" i="12" l="1"/>
  <c r="A783" i="120"/>
  <c r="A786" i="12" l="1"/>
  <c r="A784" i="120"/>
  <c r="A788" i="12" l="1"/>
  <c r="A786" i="120"/>
  <c r="A788" i="120" l="1"/>
  <c r="A790" i="12"/>
  <c r="A790" i="120" s="1"/>
  <c r="A792" i="12"/>
  <c r="A792" i="120" l="1"/>
  <c r="A794" i="12"/>
  <c r="A794" i="120" l="1"/>
  <c r="A796" i="120" s="1"/>
  <c r="A796" i="12"/>
  <c r="B28" i="12" l="1"/>
  <c r="A797" i="12"/>
  <c r="I796" i="12"/>
  <c r="I796" i="120"/>
  <c r="B28" i="120"/>
  <c r="A69" i="134" s="1"/>
  <c r="A797" i="120" l="1"/>
  <c r="A798" i="12"/>
  <c r="A69" i="39"/>
  <c r="A31" i="77"/>
  <c r="B30" i="122"/>
  <c r="A799" i="12" l="1"/>
  <c r="A798" i="120"/>
  <c r="A800" i="12" l="1"/>
  <c r="A799" i="120"/>
  <c r="A801" i="12" l="1"/>
  <c r="A800" i="120"/>
  <c r="A801" i="120" l="1"/>
  <c r="A802" i="12"/>
  <c r="A803" i="12" l="1"/>
  <c r="A802" i="120"/>
  <c r="A804" i="12" l="1"/>
  <c r="A803" i="120"/>
  <c r="A805" i="12" l="1"/>
  <c r="A804" i="120"/>
  <c r="A806" i="12" l="1"/>
  <c r="A805" i="120"/>
  <c r="A807" i="12" l="1"/>
  <c r="A806" i="120"/>
  <c r="A807" i="120" l="1"/>
  <c r="A808" i="12"/>
  <c r="A808" i="120" l="1"/>
  <c r="A809" i="12"/>
  <c r="A809" i="120" l="1"/>
  <c r="A810" i="12"/>
  <c r="A810" i="120" l="1"/>
  <c r="A811" i="12"/>
  <c r="A811" i="120" l="1"/>
  <c r="A812" i="12"/>
  <c r="A813" i="12" l="1"/>
  <c r="A812" i="120"/>
  <c r="A813" i="120" l="1"/>
  <c r="A814" i="12"/>
  <c r="A814" i="120" l="1"/>
  <c r="A815" i="12"/>
  <c r="A816" i="12" l="1"/>
  <c r="A815" i="120"/>
  <c r="A817" i="12" l="1"/>
  <c r="A816" i="120"/>
  <c r="A817" i="120" l="1"/>
  <c r="A818" i="12"/>
  <c r="A818" i="120" l="1"/>
  <c r="A819" i="12"/>
  <c r="A819" i="120" l="1"/>
  <c r="A820" i="12"/>
  <c r="A820" i="120" l="1"/>
  <c r="A821" i="12"/>
  <c r="A822" i="12" l="1"/>
  <c r="A821" i="120"/>
  <c r="A823" i="12" l="1"/>
  <c r="A822" i="120"/>
  <c r="A823" i="120" l="1"/>
  <c r="A824" i="12"/>
  <c r="A825" i="12" l="1"/>
  <c r="A824" i="120"/>
  <c r="A826" i="12" l="1"/>
  <c r="A825" i="120"/>
  <c r="A826" i="120" l="1"/>
  <c r="A828" i="12"/>
  <c r="A828" i="120" l="1"/>
  <c r="A830" i="12"/>
  <c r="A832" i="12" l="1"/>
  <c r="A830" i="120"/>
  <c r="A832" i="120" l="1"/>
  <c r="A834" i="12"/>
  <c r="A834" i="120" l="1"/>
  <c r="A836" i="12"/>
  <c r="A838" i="12" l="1"/>
  <c r="A836" i="120"/>
  <c r="A838" i="120" l="1"/>
  <c r="A840" i="12"/>
  <c r="A842" i="12" l="1"/>
  <c r="A840" i="120"/>
  <c r="A842" i="120" l="1"/>
  <c r="A844" i="12"/>
  <c r="A844" i="120" l="1"/>
  <c r="A846" i="12"/>
  <c r="A848" i="12" l="1"/>
  <c r="A846" i="120"/>
  <c r="A848" i="120" l="1"/>
  <c r="A850" i="12"/>
  <c r="A850" i="120" l="1"/>
  <c r="A852" i="12"/>
  <c r="A854" i="12" l="1"/>
  <c r="A852" i="120"/>
  <c r="A856" i="12" l="1"/>
  <c r="A854" i="120"/>
  <c r="A858" i="12" l="1"/>
  <c r="A856" i="120"/>
  <c r="A858" i="120" s="1"/>
  <c r="I858" i="120" l="1"/>
  <c r="B29" i="120"/>
  <c r="A73" i="134" s="1"/>
  <c r="I858" i="12"/>
  <c r="A859" i="12"/>
  <c r="B29" i="12"/>
  <c r="A27" i="77" l="1"/>
  <c r="A73" i="39"/>
  <c r="B31" i="122"/>
  <c r="A860" i="12"/>
  <c r="A859" i="120"/>
  <c r="A861" i="12" l="1"/>
  <c r="A860" i="120"/>
  <c r="A861" i="120" l="1"/>
  <c r="A862" i="12"/>
  <c r="A862" i="120" l="1"/>
  <c r="A863" i="12"/>
  <c r="A864" i="12" l="1"/>
  <c r="A863" i="120"/>
  <c r="A864" i="120" l="1"/>
  <c r="A865" i="12"/>
  <c r="A866" i="12" l="1"/>
  <c r="A865" i="120"/>
  <c r="A867" i="12" l="1"/>
  <c r="A866" i="120"/>
  <c r="A867" i="120" l="1"/>
  <c r="A868" i="12"/>
  <c r="A869" i="12" l="1"/>
  <c r="A868" i="120"/>
  <c r="A870" i="12" l="1"/>
  <c r="A869" i="120"/>
  <c r="A871" i="12" l="1"/>
  <c r="A870" i="120"/>
  <c r="A871" i="120" l="1"/>
  <c r="A872" i="12"/>
  <c r="A872" i="120" l="1"/>
  <c r="A873" i="12"/>
  <c r="A874" i="12" l="1"/>
  <c r="A873" i="120"/>
  <c r="A875" i="12" l="1"/>
  <c r="A874" i="120"/>
  <c r="A876" i="12" l="1"/>
  <c r="A875" i="120"/>
  <c r="A876" i="120" l="1"/>
  <c r="A877" i="12"/>
  <c r="A878" i="12" l="1"/>
  <c r="A877" i="120"/>
  <c r="A878" i="120" l="1"/>
  <c r="A879" i="12"/>
  <c r="A880" i="12" l="1"/>
  <c r="A879" i="120"/>
  <c r="A880" i="120" l="1"/>
  <c r="A881" i="12"/>
  <c r="A882" i="12" l="1"/>
  <c r="A881" i="120"/>
  <c r="A883" i="12" l="1"/>
  <c r="A882" i="120"/>
  <c r="A884" i="12" l="1"/>
  <c r="A883" i="120"/>
  <c r="A885" i="12" l="1"/>
  <c r="A884" i="120"/>
  <c r="A885" i="120" l="1"/>
  <c r="A886" i="12"/>
  <c r="A886" i="120" l="1"/>
  <c r="A888" i="120" s="1"/>
  <c r="A888" i="12"/>
  <c r="I888" i="12" l="1"/>
  <c r="A889" i="12"/>
  <c r="A891" i="12" s="1"/>
  <c r="B30" i="12"/>
  <c r="A889" i="120"/>
  <c r="A891" i="120" s="1"/>
  <c r="B30" i="120"/>
  <c r="A77" i="134" s="1"/>
  <c r="I888" i="120"/>
  <c r="A13" i="77" l="1"/>
  <c r="A77" i="39"/>
  <c r="B32" i="122"/>
  <c r="I891" i="120"/>
  <c r="B31" i="120"/>
  <c r="A81" i="134" s="1"/>
  <c r="A892" i="12"/>
  <c r="B31" i="12"/>
  <c r="I891" i="12"/>
  <c r="A81" i="39" l="1"/>
  <c r="A14" i="77"/>
  <c r="B33" i="122"/>
  <c r="A893" i="12"/>
  <c r="A892" i="120"/>
  <c r="A893" i="120" l="1"/>
  <c r="A894" i="12"/>
  <c r="A895" i="12" l="1"/>
  <c r="A894" i="120"/>
  <c r="A896" i="12" l="1"/>
  <c r="A895" i="120"/>
  <c r="A897" i="12" l="1"/>
  <c r="A896" i="120"/>
  <c r="A898" i="12" l="1"/>
  <c r="A897" i="120"/>
  <c r="A898" i="120" l="1"/>
  <c r="A899" i="12"/>
  <c r="A899" i="120" l="1"/>
  <c r="A900" i="12"/>
  <c r="A901" i="12" l="1"/>
  <c r="A900" i="120"/>
  <c r="A902" i="12" l="1"/>
  <c r="A901" i="120"/>
  <c r="A902" i="120" l="1"/>
  <c r="A903" i="12"/>
  <c r="A904" i="12" l="1"/>
  <c r="A903" i="120"/>
  <c r="A904" i="120" l="1"/>
  <c r="A905" i="12"/>
  <c r="A905" i="120" l="1"/>
  <c r="A906" i="12"/>
  <c r="A906" i="120" l="1"/>
  <c r="A907" i="12"/>
  <c r="A907" i="120" l="1"/>
  <c r="A908" i="12"/>
  <c r="A908" i="120" l="1"/>
  <c r="A909" i="12"/>
  <c r="A909" i="120" l="1"/>
  <c r="A910" i="12"/>
  <c r="A910" i="120" l="1"/>
  <c r="A911" i="12"/>
  <c r="A912" i="12" l="1"/>
  <c r="A911" i="120"/>
  <c r="A912" i="120" l="1"/>
  <c r="A913" i="12"/>
  <c r="A914" i="12" l="1"/>
  <c r="A913" i="120"/>
  <c r="A915" i="12" l="1"/>
  <c r="A914" i="120"/>
  <c r="A916" i="12" l="1"/>
  <c r="A915" i="120"/>
  <c r="A916" i="120" l="1"/>
  <c r="A917" i="12"/>
  <c r="A918" i="12" l="1"/>
  <c r="A917" i="120"/>
  <c r="A919" i="12" l="1"/>
  <c r="A918" i="120"/>
  <c r="A919" i="120" l="1"/>
  <c r="A920" i="12"/>
  <c r="A920" i="120" l="1"/>
  <c r="A921" i="12"/>
  <c r="A922" i="12" l="1"/>
  <c r="A921" i="120"/>
  <c r="A923" i="12" l="1"/>
  <c r="A922" i="120"/>
  <c r="A923" i="120" l="1"/>
  <c r="A924" i="12"/>
  <c r="A925" i="12" l="1"/>
  <c r="A924" i="120"/>
  <c r="A926" i="12" l="1"/>
  <c r="A925" i="120"/>
  <c r="A926" i="120" l="1"/>
  <c r="A927" i="12"/>
  <c r="A928" i="12" l="1"/>
  <c r="A928" i="120" s="1"/>
  <c r="A927" i="120"/>
  <c r="F46" i="78" l="1"/>
  <c r="F53" i="78"/>
  <c r="F85" i="78"/>
  <c r="F70" i="78"/>
  <c r="F64" i="78"/>
  <c r="B71" i="78"/>
  <c r="F40" i="78"/>
  <c r="F41" i="78"/>
  <c r="B18" i="78"/>
  <c r="C34" i="78"/>
  <c r="B84" i="78"/>
  <c r="B42" i="78"/>
  <c r="F72" i="78"/>
  <c r="C25" i="78"/>
  <c r="F34" i="78"/>
  <c r="B50" i="78"/>
  <c r="B36" i="78"/>
  <c r="B89" i="78"/>
  <c r="B51" i="78"/>
  <c r="C32" i="78"/>
  <c r="B32" i="78"/>
  <c r="C43" i="78"/>
  <c r="F79" i="78"/>
  <c r="F67" i="78"/>
  <c r="B21" i="78"/>
  <c r="C75" i="78"/>
  <c r="F73" i="78"/>
  <c r="F33" i="78"/>
  <c r="C26" i="78"/>
  <c r="B38" i="78"/>
  <c r="C67" i="78"/>
  <c r="C73" i="78"/>
  <c r="B49" i="78"/>
  <c r="B59" i="78"/>
  <c r="F65" i="78"/>
  <c r="F20" i="78"/>
  <c r="B73" i="78"/>
  <c r="F42" i="78"/>
  <c r="B79" i="78"/>
  <c r="B28" i="78"/>
  <c r="B74" i="78"/>
  <c r="F19" i="78"/>
  <c r="F57" i="78"/>
  <c r="C63" i="78"/>
  <c r="B68" i="78"/>
  <c r="C30" i="78"/>
  <c r="C69" i="78"/>
  <c r="C41" i="78"/>
  <c r="B69" i="78"/>
  <c r="B48" i="78"/>
  <c r="F55" i="78"/>
  <c r="C71" i="78"/>
  <c r="B57" i="78"/>
  <c r="B30" i="78"/>
  <c r="F86" i="78"/>
  <c r="F93" i="78"/>
  <c r="F71" i="78"/>
  <c r="C44" i="78"/>
  <c r="C68" i="78"/>
  <c r="F88" i="78"/>
  <c r="C86" i="78"/>
  <c r="F51" i="78"/>
  <c r="C76" i="78"/>
  <c r="B65" i="78"/>
  <c r="B92" i="78"/>
  <c r="B19" i="78"/>
  <c r="F77" i="78"/>
  <c r="F14" i="78"/>
  <c r="B86" i="78"/>
  <c r="B35" i="78"/>
  <c r="C51" i="78"/>
  <c r="F24" i="78"/>
  <c r="F49" i="78"/>
  <c r="B93" i="78"/>
  <c r="B31" i="78"/>
  <c r="C16" i="78"/>
  <c r="F22" i="78"/>
  <c r="C57" i="78"/>
  <c r="F81" i="78"/>
  <c r="B67" i="78"/>
  <c r="B88" i="78"/>
  <c r="C93" i="78"/>
  <c r="F90" i="78"/>
  <c r="B25" i="78"/>
  <c r="C39" i="78"/>
  <c r="F83" i="78"/>
  <c r="F50" i="78"/>
  <c r="B63" i="78"/>
  <c r="C59" i="78"/>
  <c r="B43" i="78"/>
  <c r="B78" i="78"/>
  <c r="C35" i="78"/>
  <c r="F35" i="78"/>
  <c r="B26" i="78"/>
  <c r="C65" i="78"/>
  <c r="C15" i="78"/>
  <c r="F92" i="78"/>
  <c r="B90" i="78"/>
  <c r="B72" i="78"/>
  <c r="C49" i="78"/>
  <c r="F17" i="78"/>
  <c r="B33" i="78"/>
  <c r="F44" i="78"/>
  <c r="B87" i="78"/>
  <c r="C45" i="78"/>
  <c r="B29" i="78"/>
  <c r="C91" i="78"/>
  <c r="C24" i="78"/>
  <c r="F48" i="78"/>
  <c r="C14" i="78"/>
  <c r="B20" i="78"/>
  <c r="F30" i="78"/>
  <c r="F74" i="78"/>
  <c r="B24" i="78"/>
  <c r="F23" i="78"/>
  <c r="B41" i="78"/>
  <c r="B91" i="78"/>
  <c r="C89" i="78"/>
  <c r="B34" i="78"/>
  <c r="F28" i="78"/>
  <c r="B77" i="78"/>
  <c r="B81" i="78"/>
  <c r="F15" i="78"/>
  <c r="C87" i="78"/>
  <c r="B23" i="78"/>
  <c r="C92" i="78"/>
  <c r="B14" i="78"/>
  <c r="F32" i="78"/>
  <c r="F45" i="78"/>
  <c r="B16" i="78"/>
  <c r="C78" i="78"/>
  <c r="B15" i="78"/>
  <c r="B27" i="78"/>
  <c r="B17" i="78"/>
  <c r="F43" i="78"/>
  <c r="F25" i="78"/>
  <c r="B66" i="78"/>
  <c r="C50" i="78"/>
  <c r="F26" i="78"/>
  <c r="F89" i="78"/>
  <c r="B83" i="78"/>
  <c r="C33" i="78"/>
  <c r="C17" i="78"/>
  <c r="C83" i="78"/>
  <c r="F76" i="78"/>
  <c r="C42" i="78"/>
  <c r="C74" i="78"/>
  <c r="F68" i="78"/>
  <c r="C19" i="78"/>
  <c r="C23" i="78"/>
  <c r="F63" i="78"/>
  <c r="B44" i="78"/>
  <c r="C31" i="78"/>
  <c r="C55" i="78"/>
  <c r="C27" i="78"/>
  <c r="F91" i="78"/>
  <c r="F78" i="78"/>
  <c r="C84" i="78"/>
  <c r="B45" i="78"/>
  <c r="F31" i="78"/>
  <c r="C21" i="78"/>
  <c r="C28" i="78"/>
  <c r="F36" i="78"/>
  <c r="B22" i="78"/>
  <c r="C29" i="78"/>
  <c r="C72" i="78"/>
  <c r="B75" i="78"/>
  <c r="C66" i="78"/>
  <c r="F69" i="78"/>
  <c r="C37" i="78"/>
  <c r="C40" i="78"/>
  <c r="F16" i="78"/>
  <c r="F37" i="78"/>
  <c r="C54" i="78"/>
  <c r="F27" i="78"/>
  <c r="F18" i="78"/>
  <c r="B55" i="78"/>
  <c r="F21" i="78"/>
  <c r="F66" i="78"/>
  <c r="F29" i="78"/>
  <c r="F59" i="78"/>
  <c r="C81" i="78"/>
  <c r="C20" i="78"/>
  <c r="B76" i="78"/>
  <c r="C90" i="78"/>
  <c r="F84" i="78"/>
  <c r="C88" i="78"/>
  <c r="C38" i="78"/>
  <c r="C77" i="78"/>
  <c r="B37" i="78"/>
  <c r="C48" i="78"/>
  <c r="F75" i="78"/>
  <c r="B54" i="78"/>
  <c r="B39" i="78"/>
  <c r="C36" i="78"/>
  <c r="C18" i="78"/>
  <c r="F38" i="78"/>
  <c r="C79" i="78"/>
  <c r="B40" i="78"/>
  <c r="F87" i="78"/>
  <c r="F39" i="78"/>
  <c r="C22" i="78"/>
  <c r="F54" i="78"/>
  <c r="F61" i="78"/>
  <c r="F60" i="78"/>
  <c r="F82" i="78"/>
  <c r="F80" i="78"/>
  <c r="F47" i="78"/>
  <c r="C52" i="78"/>
  <c r="C58" i="78"/>
  <c r="C80" i="78"/>
  <c r="B70" i="78"/>
  <c r="C85" i="78"/>
  <c r="B61" i="78"/>
  <c r="B58" i="78"/>
  <c r="C56" i="78"/>
  <c r="F56" i="78"/>
  <c r="F52" i="78"/>
  <c r="B46" i="78"/>
  <c r="B60" i="78"/>
  <c r="B56" i="78"/>
  <c r="B82" i="78"/>
  <c r="B53" i="78"/>
  <c r="C61" i="78"/>
  <c r="B52" i="78"/>
  <c r="F62" i="78"/>
  <c r="B80" i="78"/>
  <c r="F58" i="78"/>
  <c r="B85" i="78"/>
  <c r="B47" i="78"/>
  <c r="C64" i="78"/>
  <c r="C82" i="78"/>
  <c r="C53" i="78"/>
  <c r="B62" i="78"/>
  <c r="C60" i="78"/>
  <c r="B64" i="78"/>
  <c r="C70" i="78"/>
  <c r="C47" i="78"/>
  <c r="C46" i="78"/>
  <c r="C62" i="78"/>
</calcChain>
</file>

<file path=xl/comments1.xml><?xml version="1.0" encoding="utf-8"?>
<comments xmlns="http://schemas.openxmlformats.org/spreadsheetml/2006/main">
  <authors>
    <author>Ricardo Schettini Figueiredo</author>
    <author>.</author>
  </authors>
  <commentList>
    <comment ref="J12" authorId="0" shapeId="0">
      <text>
        <r>
          <rPr>
            <b/>
            <sz val="9"/>
            <color indexed="81"/>
            <rFont val="Segoe UI"/>
            <family val="2"/>
          </rPr>
          <t>Vermelho: erro no somatório</t>
        </r>
      </text>
    </comment>
    <comment ref="M57" authorId="0" shapeId="0">
      <text>
        <r>
          <rPr>
            <b/>
            <sz val="9"/>
            <color indexed="81"/>
            <rFont val="Segoe UI"/>
            <family val="2"/>
          </rPr>
          <t>digitar:
CARREGADEIRA
ou
ESCAVADEIRA</t>
        </r>
      </text>
    </comment>
    <comment ref="M59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61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94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96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I166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167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M167" authorId="0" shapeId="0">
      <text>
        <r>
          <rPr>
            <b/>
            <sz val="9"/>
            <color indexed="81"/>
            <rFont val="Segoe UI"/>
            <family val="2"/>
          </rPr>
          <t>digitar:
COMERCIAL
ou
PÚBLICO (local)</t>
        </r>
      </text>
    </comment>
    <comment ref="M168" authorId="0" shapeId="0">
      <text>
        <r>
          <rPr>
            <b/>
            <sz val="9"/>
            <color indexed="81"/>
            <rFont val="Segoe UI"/>
            <family val="2"/>
          </rPr>
          <t>digitar:
ESMERALDA
ou
BATATAIS</t>
        </r>
      </text>
    </comment>
    <comment ref="M169" authorId="0" shapeId="0">
      <text>
        <r>
          <rPr>
            <b/>
            <sz val="9"/>
            <color indexed="81"/>
            <rFont val="Segoe UI"/>
            <family val="2"/>
          </rPr>
          <t>digitar:
CARREGADEIRA
ou
ESCAVADEIRA</t>
        </r>
      </text>
    </comment>
    <comment ref="M173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175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177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179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181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I184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185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186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187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188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189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190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191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192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193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194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195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208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209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210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211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212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213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214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215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216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M290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321" authorId="0" shapeId="0">
      <text>
        <r>
          <rPr>
            <b/>
            <sz val="9"/>
            <color indexed="81"/>
            <rFont val="Segoe UI"/>
            <family val="2"/>
          </rPr>
          <t>digitar:
CARREGADEIRA
ou
ESCAVADEIRA</t>
        </r>
      </text>
    </comment>
    <comment ref="M334" authorId="0" shapeId="0">
      <text>
        <r>
          <rPr>
            <b/>
            <sz val="9"/>
            <color indexed="81"/>
            <rFont val="Segoe UI"/>
            <family val="2"/>
          </rPr>
          <t>digitar:
arenoso
ou 
argiloso</t>
        </r>
      </text>
    </comment>
    <comment ref="M336" authorId="0" shapeId="0">
      <text>
        <r>
          <rPr>
            <b/>
            <sz val="9"/>
            <color indexed="81"/>
            <rFont val="Segoe UI"/>
            <family val="2"/>
          </rPr>
          <t>digitar:
COMERCIAL
ou
PÚBLICO (local)</t>
        </r>
      </text>
    </comment>
    <comment ref="M347" authorId="0" shapeId="0">
      <text>
        <r>
          <rPr>
            <b/>
            <sz val="9"/>
            <color indexed="81"/>
            <rFont val="Segoe UI"/>
            <family val="2"/>
          </rPr>
          <t>digitar:
USINADO
ou
BETONEIRA</t>
        </r>
      </text>
    </comment>
    <comment ref="M348" authorId="0" shapeId="0">
      <text>
        <r>
          <rPr>
            <b/>
            <sz val="9"/>
            <color indexed="81"/>
            <rFont val="Segoe UI"/>
            <family val="2"/>
          </rPr>
          <t>digitar:
USINADO
ou
BETONEIRA</t>
        </r>
      </text>
    </comment>
    <comment ref="M349" authorId="0" shapeId="0">
      <text>
        <r>
          <rPr>
            <b/>
            <sz val="9"/>
            <color indexed="81"/>
            <rFont val="Segoe UI"/>
            <family val="2"/>
          </rPr>
          <t>digitar:
USINADO
ou
BETONEIRA</t>
        </r>
      </text>
    </comment>
    <comment ref="M390" authorId="0" shapeId="0">
      <text>
        <r>
          <rPr>
            <b/>
            <sz val="9"/>
            <color indexed="81"/>
            <rFont val="Segoe UI"/>
            <family val="2"/>
          </rPr>
          <t>digitar:
ESMERALDA
ou
BATATAIS</t>
        </r>
      </text>
    </comment>
    <comment ref="M392" authorId="0" shapeId="0">
      <text>
        <r>
          <rPr>
            <b/>
            <sz val="9"/>
            <color indexed="81"/>
            <rFont val="Segoe UI"/>
            <family val="2"/>
          </rPr>
          <t>PARA DEFINIR ALTURA
digitar:
MENOR
ou
MAIOR</t>
        </r>
      </text>
    </comment>
    <comment ref="M396" authorId="0" shapeId="0">
      <text>
        <r>
          <rPr>
            <b/>
            <sz val="9"/>
            <color indexed="81"/>
            <rFont val="Segoe UI"/>
            <family val="2"/>
          </rPr>
          <t>digitar:
USINADO
ou
BETONEIRA</t>
        </r>
      </text>
    </comment>
    <comment ref="M397" authorId="0" shapeId="0">
      <text>
        <r>
          <rPr>
            <b/>
            <sz val="9"/>
            <color indexed="81"/>
            <rFont val="Segoe UI"/>
            <family val="2"/>
          </rPr>
          <t>digitar:
USINADO
ou
BETONEIRA</t>
        </r>
      </text>
    </comment>
    <comment ref="M398" authorId="0" shapeId="0">
      <text>
        <r>
          <rPr>
            <b/>
            <sz val="9"/>
            <color indexed="81"/>
            <rFont val="Segoe UI"/>
            <family val="2"/>
          </rPr>
          <t>digitar:
USINADO
ou
BETONEIRA</t>
        </r>
      </text>
    </comment>
    <comment ref="M399" authorId="0" shapeId="0">
      <text>
        <r>
          <rPr>
            <b/>
            <sz val="9"/>
            <color indexed="81"/>
            <rFont val="Segoe UI"/>
            <family val="2"/>
          </rPr>
          <t>digitar:
RETANGULAR
ou
16 FACES</t>
        </r>
      </text>
    </comment>
    <comment ref="M401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403" authorId="0" shapeId="0">
      <text>
        <r>
          <rPr>
            <b/>
            <sz val="9"/>
            <color indexed="81"/>
            <rFont val="Segoe UI"/>
            <family val="2"/>
          </rPr>
          <t>digitar:
RP (revestimento primário)
ou 
PAV (pavimentada)</t>
        </r>
      </text>
    </comment>
    <comment ref="M405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407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409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411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I430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M430" authorId="0" shapeId="0">
      <text>
        <r>
          <rPr>
            <b/>
            <sz val="9"/>
            <color indexed="81"/>
            <rFont val="Segoe UI"/>
            <family val="2"/>
          </rPr>
          <t>digitar:
COMERCIAL
ou
PÚBLICO</t>
        </r>
      </text>
    </comment>
    <comment ref="M440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442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444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446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I451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M451" authorId="0" shapeId="0">
      <text>
        <r>
          <rPr>
            <b/>
            <sz val="9"/>
            <color indexed="81"/>
            <rFont val="Segoe UI"/>
            <family val="2"/>
          </rPr>
          <t>digitar:
COMERCIAL
ou
PÚBLICO</t>
        </r>
      </text>
    </comment>
    <comment ref="I452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453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M453" authorId="0" shapeId="0">
      <text>
        <r>
          <rPr>
            <b/>
            <sz val="9"/>
            <color indexed="81"/>
            <rFont val="Segoe UI"/>
            <family val="2"/>
          </rPr>
          <t>digitar:
COMERCIAL
ou
PÚBLICO</t>
        </r>
      </text>
    </comment>
    <comment ref="I454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455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B460" authorId="0" shapeId="0">
      <text>
        <r>
          <rPr>
            <b/>
            <sz val="9"/>
            <color indexed="81"/>
            <rFont val="Segoe UI"/>
            <family val="2"/>
          </rPr>
          <t>atenção:
capital: EAI
interior: CM-30
digitar:
capital
ou
interior</t>
        </r>
      </text>
    </comment>
    <comment ref="M460" authorId="0" shapeId="0">
      <text>
        <r>
          <rPr>
            <b/>
            <sz val="9"/>
            <color indexed="81"/>
            <rFont val="Segoe UI"/>
            <family val="2"/>
          </rPr>
          <t>digitar:
CM-30
ou 
EAI</t>
        </r>
      </text>
    </comment>
    <comment ref="M462" authorId="0" shapeId="0">
      <text>
        <r>
          <rPr>
            <b/>
            <sz val="9"/>
            <color indexed="81"/>
            <rFont val="Segoe UI"/>
            <family val="2"/>
          </rPr>
          <t>digitar:
COMERCIAL
ou
INSTALADA</t>
        </r>
      </text>
    </comment>
    <comment ref="M463" authorId="0" shapeId="0">
      <text>
        <r>
          <rPr>
            <b/>
            <sz val="9"/>
            <color indexed="81"/>
            <rFont val="Segoe UI"/>
            <family val="2"/>
          </rPr>
          <t>digitar:
COMERCIAL
ou
INSTALADA</t>
        </r>
      </text>
    </comment>
    <comment ref="M466" authorId="0" shapeId="0">
      <text>
        <r>
          <rPr>
            <b/>
            <sz val="9"/>
            <color indexed="81"/>
            <rFont val="Segoe UI"/>
            <family val="2"/>
          </rPr>
          <t>digitar:
CARREGADEIRA
ou
ESCAVADEIRA</t>
        </r>
      </text>
    </comment>
    <comment ref="M468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470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474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476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478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480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482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484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486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488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490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492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494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496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498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500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502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504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514" authorId="0" shapeId="0">
      <text>
        <r>
          <rPr>
            <b/>
            <sz val="9"/>
            <color indexed="81"/>
            <rFont val="Segoe UI"/>
            <family val="2"/>
          </rPr>
          <t>digitar:
COMERCIAL
ou
PÚBLICO</t>
        </r>
      </text>
    </comment>
    <comment ref="M515" authorId="0" shapeId="0">
      <text>
        <r>
          <rPr>
            <b/>
            <sz val="9"/>
            <color indexed="81"/>
            <rFont val="Segoe UI"/>
            <family val="2"/>
          </rPr>
          <t>digitar:
arenoso
ou 
argiloso</t>
        </r>
      </text>
    </comment>
    <comment ref="I527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528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529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530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531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B532" authorId="0" shapeId="0">
      <text>
        <r>
          <rPr>
            <b/>
            <sz val="9"/>
            <color indexed="81"/>
            <rFont val="Segoe UI"/>
            <family val="2"/>
          </rPr>
          <t>atenção:
capital: EAI
interior: CM-30
digitar:
capital
ou
interior</t>
        </r>
      </text>
    </comment>
    <comment ref="M532" authorId="0" shapeId="0">
      <text>
        <r>
          <rPr>
            <b/>
            <sz val="9"/>
            <color indexed="81"/>
            <rFont val="Segoe UI"/>
            <family val="2"/>
          </rPr>
          <t>digitar:
CM-30
ou 
EAI</t>
        </r>
      </text>
    </comment>
    <comment ref="M534" authorId="0" shapeId="0">
      <text>
        <r>
          <rPr>
            <b/>
            <sz val="9"/>
            <color indexed="81"/>
            <rFont val="Segoe UI"/>
            <family val="2"/>
          </rPr>
          <t>digitar:
COMERCIAL
ou
INSTALADA</t>
        </r>
      </text>
    </comment>
    <comment ref="M535" authorId="0" shapeId="0">
      <text>
        <r>
          <rPr>
            <b/>
            <sz val="9"/>
            <color indexed="81"/>
            <rFont val="Segoe UI"/>
            <family val="2"/>
          </rPr>
          <t>digitar:
COMERCIAL
ou
INSTALADA</t>
        </r>
      </text>
    </comment>
    <comment ref="M536" authorId="0" shapeId="0">
      <text>
        <r>
          <rPr>
            <b/>
            <sz val="9"/>
            <color indexed="81"/>
            <rFont val="Segoe UI"/>
            <family val="2"/>
          </rPr>
          <t>digitar:
COMERCIAL 35/40
ou 
COMERCIAL 50/70
ou
INSTALADA 35/40
ou
INSTALADA 50/70</t>
        </r>
      </text>
    </comment>
    <comment ref="M540" authorId="0" shapeId="0">
      <text>
        <r>
          <rPr>
            <b/>
            <sz val="9"/>
            <color indexed="81"/>
            <rFont val="Segoe UI"/>
            <family val="2"/>
          </rPr>
          <t>digitar:
CARREGADEIRA
ou
ESCAVADEIRA</t>
        </r>
      </text>
    </comment>
    <comment ref="M541" authorId="0" shapeId="0">
      <text>
        <r>
          <rPr>
            <b/>
            <sz val="9"/>
            <color indexed="81"/>
            <rFont val="Segoe UI"/>
            <family val="2"/>
          </rPr>
          <t>digitar:
CARREGADEIRA
ou
ESCAVADEIRA</t>
        </r>
      </text>
    </comment>
    <comment ref="M544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546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550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554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556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558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560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562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564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566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570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572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574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576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578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580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589" authorId="0" shapeId="0">
      <text>
        <r>
          <rPr>
            <b/>
            <sz val="9"/>
            <color indexed="81"/>
            <rFont val="Segoe UI"/>
            <family val="2"/>
          </rPr>
          <t>digitar:
COMERCIAL
ou
INSTALADA</t>
        </r>
      </text>
    </comment>
    <comment ref="M590" authorId="0" shapeId="0">
      <text>
        <r>
          <rPr>
            <b/>
            <sz val="9"/>
            <color indexed="81"/>
            <rFont val="Segoe UI"/>
            <family val="2"/>
          </rPr>
          <t>digitar:
COMERCIAL
ou
INSTALADA</t>
        </r>
      </text>
    </comment>
    <comment ref="M600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602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604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606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608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610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612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614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616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618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620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622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630" authorId="0" shapeId="0">
      <text>
        <r>
          <rPr>
            <b/>
            <sz val="9"/>
            <color indexed="81"/>
            <rFont val="Segoe UI"/>
            <family val="2"/>
          </rPr>
          <t>digitar:
arenoso
ou 
argiloso</t>
        </r>
      </text>
    </comment>
    <comment ref="I631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M631" authorId="0" shapeId="0">
      <text>
        <r>
          <rPr>
            <b/>
            <sz val="9"/>
            <color indexed="81"/>
            <rFont val="Segoe UI"/>
            <family val="2"/>
          </rPr>
          <t>digitar:
COMERCIAL
ou
PÚBLICO</t>
        </r>
      </text>
    </comment>
    <comment ref="M632" authorId="0" shapeId="0">
      <text>
        <r>
          <rPr>
            <b/>
            <sz val="9"/>
            <color indexed="81"/>
            <rFont val="Segoe UI"/>
            <family val="2"/>
          </rPr>
          <t>digitar:
CARREGADEIRA
ou
ESCAVADEIRA</t>
        </r>
      </text>
    </comment>
    <comment ref="M633" authorId="0" shapeId="0">
      <text>
        <r>
          <rPr>
            <b/>
            <sz val="9"/>
            <color indexed="81"/>
            <rFont val="Segoe UI"/>
            <family val="2"/>
          </rPr>
          <t>digitar:
CARREGADEIRA
ou
ESCAVADEIRA</t>
        </r>
      </text>
    </comment>
    <comment ref="M637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639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641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643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646" authorId="0" shapeId="0">
      <text>
        <r>
          <rPr>
            <b/>
            <sz val="9"/>
            <color indexed="81"/>
            <rFont val="Segoe UI"/>
            <family val="2"/>
          </rPr>
          <t>digitar:
arenoso
ou 
argiloso</t>
        </r>
      </text>
    </comment>
    <comment ref="B655" authorId="0" shapeId="0">
      <text>
        <r>
          <rPr>
            <b/>
            <sz val="9"/>
            <color indexed="81"/>
            <rFont val="Segoe UI"/>
            <family val="2"/>
          </rPr>
          <t>atenção:
capital: EAI
interior: CM-30
digitar:
capital
ou
interior</t>
        </r>
      </text>
    </comment>
    <comment ref="M655" authorId="0" shapeId="0">
      <text>
        <r>
          <rPr>
            <b/>
            <sz val="9"/>
            <color indexed="81"/>
            <rFont val="Segoe UI"/>
            <family val="2"/>
          </rPr>
          <t>digitar:
CM-30
ou 
EAI</t>
        </r>
      </text>
    </comment>
    <comment ref="M659" authorId="0" shapeId="0">
      <text>
        <r>
          <rPr>
            <b/>
            <sz val="9"/>
            <color indexed="81"/>
            <rFont val="Segoe UI"/>
            <family val="2"/>
          </rPr>
          <t>digitar:
COMERCIAL
ou
INSTALADA</t>
        </r>
      </text>
    </comment>
    <comment ref="M660" authorId="0" shapeId="0">
      <text>
        <r>
          <rPr>
            <b/>
            <sz val="9"/>
            <color indexed="81"/>
            <rFont val="Segoe UI"/>
            <family val="2"/>
          </rPr>
          <t>digitar:
COMERCIAL
ou
INSTALADA</t>
        </r>
      </text>
    </comment>
    <comment ref="I668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M668" authorId="0" shapeId="0">
      <text>
        <r>
          <rPr>
            <b/>
            <sz val="9"/>
            <color indexed="81"/>
            <rFont val="Segoe UI"/>
            <family val="2"/>
          </rPr>
          <t>digitar:
COMERCIAL
ou
PÚBLICO</t>
        </r>
      </text>
    </comment>
    <comment ref="I669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M669" authorId="0" shapeId="0">
      <text>
        <r>
          <rPr>
            <b/>
            <sz val="9"/>
            <color indexed="81"/>
            <rFont val="Segoe UI"/>
            <family val="2"/>
          </rPr>
          <t>digitar:
COMERCIAL
ou
PÚBLICO</t>
        </r>
      </text>
    </comment>
    <comment ref="I670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671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672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M673" authorId="0" shapeId="0">
      <text>
        <r>
          <rPr>
            <b/>
            <sz val="9"/>
            <color indexed="81"/>
            <rFont val="Segoe UI"/>
            <family val="2"/>
          </rPr>
          <t>digitar:
CARREGADEIRA
ou
ESCAVADEIRA</t>
        </r>
      </text>
    </comment>
    <comment ref="M674" authorId="0" shapeId="0">
      <text>
        <r>
          <rPr>
            <b/>
            <sz val="9"/>
            <color indexed="81"/>
            <rFont val="Segoe UI"/>
            <family val="2"/>
          </rPr>
          <t>digitar:
CARREGADEIRA
ou
ESCAVADEIRA</t>
        </r>
      </text>
    </comment>
    <comment ref="M675" authorId="0" shapeId="0">
      <text>
        <r>
          <rPr>
            <b/>
            <sz val="9"/>
            <color indexed="81"/>
            <rFont val="Segoe UI"/>
            <family val="2"/>
          </rPr>
          <t>digitar:
CARREGADEIRA
ou
ESCAVADEIRA</t>
        </r>
      </text>
    </comment>
    <comment ref="M677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681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683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685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687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689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691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693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695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697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699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701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703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705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707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709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711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713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720" authorId="0" shapeId="0">
      <text>
        <r>
          <rPr>
            <b/>
            <sz val="9"/>
            <color indexed="81"/>
            <rFont val="Segoe UI"/>
            <family val="2"/>
          </rPr>
          <t>digitar:
MANUAL
ou
EXTRUSÃO</t>
        </r>
      </text>
    </comment>
    <comment ref="M721" authorId="0" shapeId="0">
      <text>
        <r>
          <rPr>
            <b/>
            <sz val="9"/>
            <color indexed="81"/>
            <rFont val="Segoe UI"/>
            <family val="2"/>
          </rPr>
          <t>digitar:
MANUAL
ou
EXTRUSÃO</t>
        </r>
      </text>
    </comment>
    <comment ref="M722" authorId="0" shapeId="0">
      <text>
        <r>
          <rPr>
            <b/>
            <sz val="9"/>
            <color indexed="81"/>
            <rFont val="Segoe UI"/>
            <family val="2"/>
          </rPr>
          <t>digitar:
MANUAL
ou
EXTRUSÃO</t>
        </r>
      </text>
    </comment>
    <comment ref="M731" authorId="0" shapeId="0">
      <text>
        <r>
          <rPr>
            <b/>
            <sz val="9"/>
            <color indexed="81"/>
            <rFont val="Segoe UI"/>
            <family val="2"/>
          </rPr>
          <t>digitar:
ESMERALDA
ou
BATATAIS</t>
        </r>
      </text>
    </comment>
    <comment ref="M736" authorId="0" shapeId="0">
      <text>
        <r>
          <rPr>
            <b/>
            <sz val="9"/>
            <color indexed="81"/>
            <rFont val="Segoe UI"/>
            <family val="2"/>
          </rPr>
          <t>PARA DEFINIR ALTURA
digitar:
MENOR
ou
MAIOR</t>
        </r>
      </text>
    </comment>
    <comment ref="I755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M755" authorId="0" shapeId="0">
      <text>
        <r>
          <rPr>
            <b/>
            <sz val="9"/>
            <color indexed="81"/>
            <rFont val="Segoe UI"/>
            <family val="2"/>
          </rPr>
          <t>digitar:
COMERCIAL
ou
PÚBLICO</t>
        </r>
      </text>
    </comment>
    <comment ref="M762" authorId="0" shapeId="0">
      <text>
        <r>
          <rPr>
            <b/>
            <sz val="9"/>
            <color indexed="81"/>
            <rFont val="Segoe UI"/>
            <family val="2"/>
          </rPr>
          <t>digitar:
USINADO
ou
BETONEIRA</t>
        </r>
      </text>
    </comment>
    <comment ref="M763" authorId="0" shapeId="0">
      <text>
        <r>
          <rPr>
            <b/>
            <sz val="9"/>
            <color indexed="81"/>
            <rFont val="Segoe UI"/>
            <family val="2"/>
          </rPr>
          <t>digitar:
USINADO
ou
BETONEIRA</t>
        </r>
      </text>
    </comment>
    <comment ref="M765" authorId="0" shapeId="0">
      <text>
        <r>
          <rPr>
            <b/>
            <sz val="9"/>
            <color indexed="81"/>
            <rFont val="Segoe UI"/>
            <family val="2"/>
          </rPr>
          <t>digitar:
RETANGULAR
ou
16 FACES</t>
        </r>
      </text>
    </comment>
    <comment ref="M786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788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790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792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803" authorId="0" shapeId="0">
      <text>
        <r>
          <rPr>
            <b/>
            <sz val="9"/>
            <color indexed="81"/>
            <rFont val="Segoe UI"/>
            <family val="2"/>
          </rPr>
          <t>digitar:
arenoso
ou 
argiloso</t>
        </r>
      </text>
    </comment>
    <comment ref="B811" authorId="0" shapeId="0">
      <text>
        <r>
          <rPr>
            <b/>
            <sz val="9"/>
            <color indexed="81"/>
            <rFont val="Segoe UI"/>
            <family val="2"/>
          </rPr>
          <t>atenção:
capital: EAI
interior: CM-30
digitar:
capital
ou
interior</t>
        </r>
      </text>
    </comment>
    <comment ref="M811" authorId="0" shapeId="0">
      <text>
        <r>
          <rPr>
            <b/>
            <sz val="9"/>
            <color indexed="81"/>
            <rFont val="Segoe UI"/>
            <family val="2"/>
          </rPr>
          <t>digitar:
CM-30
ou 
EAI</t>
        </r>
      </text>
    </comment>
    <comment ref="M813" authorId="0" shapeId="0">
      <text>
        <r>
          <rPr>
            <b/>
            <sz val="9"/>
            <color indexed="81"/>
            <rFont val="Segoe UI"/>
            <family val="2"/>
          </rPr>
          <t>digitar:
COMERCIAL 35/40
ou 
COMERCIAL 50/70
ou
INSTALADA 35/40
ou
INSTALADA 50/70</t>
        </r>
      </text>
    </comment>
    <comment ref="M814" authorId="0" shapeId="0">
      <text>
        <r>
          <rPr>
            <b/>
            <sz val="9"/>
            <color indexed="81"/>
            <rFont val="Segoe UI"/>
            <family val="2"/>
          </rPr>
          <t>digitar:
USINADO
ou
BETONEIRA</t>
        </r>
      </text>
    </comment>
    <comment ref="M816" authorId="0" shapeId="0">
      <text>
        <r>
          <rPr>
            <b/>
            <sz val="9"/>
            <color indexed="81"/>
            <rFont val="Segoe UI"/>
            <family val="2"/>
          </rPr>
          <t>digitar:
MANUAL
ou
EXTRUSÃO</t>
        </r>
      </text>
    </comment>
    <comment ref="M818" authorId="0" shapeId="0">
      <text>
        <r>
          <rPr>
            <b/>
            <sz val="9"/>
            <color indexed="81"/>
            <rFont val="Segoe UI"/>
            <family val="2"/>
          </rPr>
          <t>digitar:
MANUAL
ou
EXTRUSÃO</t>
        </r>
      </text>
    </comment>
    <comment ref="M819" authorId="0" shapeId="0">
      <text>
        <r>
          <rPr>
            <b/>
            <sz val="9"/>
            <color indexed="81"/>
            <rFont val="Segoe UI"/>
            <family val="2"/>
          </rPr>
          <t>digitar:
MANUAL
ou
EXTRUSÃO</t>
        </r>
      </text>
    </comment>
    <comment ref="I821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M821" authorId="0" shapeId="0">
      <text>
        <r>
          <rPr>
            <b/>
            <sz val="9"/>
            <color indexed="81"/>
            <rFont val="Segoe UI"/>
            <family val="2"/>
          </rPr>
          <t>digitar:
COMERCIAL
ou
PÚBLICO</t>
        </r>
      </text>
    </comment>
    <comment ref="I822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M822" authorId="0" shapeId="0">
      <text>
        <r>
          <rPr>
            <b/>
            <sz val="9"/>
            <color indexed="81"/>
            <rFont val="Segoe UI"/>
            <family val="2"/>
          </rPr>
          <t>digitar:
COMERCIAL
ou
PÚBLICO</t>
        </r>
      </text>
    </comment>
    <comment ref="I823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M823" authorId="0" shapeId="0">
      <text>
        <r>
          <rPr>
            <b/>
            <sz val="9"/>
            <color indexed="81"/>
            <rFont val="Segoe UI"/>
            <family val="2"/>
          </rPr>
          <t>digitar:
COMERCIAL
ou
PÚBLICO</t>
        </r>
      </text>
    </comment>
    <comment ref="I824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M825" authorId="0" shapeId="0">
      <text>
        <r>
          <rPr>
            <b/>
            <sz val="9"/>
            <color indexed="81"/>
            <rFont val="Segoe UI"/>
            <family val="2"/>
          </rPr>
          <t>digitar:
CARREGADEIRA
ou
ESCAVADEIRA</t>
        </r>
      </text>
    </comment>
    <comment ref="M826" authorId="0" shapeId="0">
      <text>
        <r>
          <rPr>
            <b/>
            <sz val="9"/>
            <color indexed="81"/>
            <rFont val="Segoe UI"/>
            <family val="2"/>
          </rPr>
          <t>digitar:
CARREGADEIRA
ou
ESCAVADEIRA</t>
        </r>
      </text>
    </comment>
    <comment ref="M828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830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834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836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838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840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842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844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846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848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850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M852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</commentList>
</comments>
</file>

<file path=xl/comments2.xml><?xml version="1.0" encoding="utf-8"?>
<comments xmlns="http://schemas.openxmlformats.org/spreadsheetml/2006/main">
  <authors>
    <author>Ricardo Schettini Figueiredo</author>
  </authors>
  <commentList>
    <comment ref="D87" authorId="0" shapeId="0">
      <text>
        <r>
          <rPr>
            <b/>
            <sz val="9"/>
            <color indexed="81"/>
            <rFont val="Segoe UI"/>
            <family val="2"/>
          </rPr>
          <t xml:space="preserve">Verificar com o contratante o valor líquido do repasse </t>
        </r>
      </text>
    </comment>
  </commentList>
</comments>
</file>

<file path=xl/comments3.xml><?xml version="1.0" encoding="utf-8"?>
<comments xmlns="http://schemas.openxmlformats.org/spreadsheetml/2006/main">
  <authors>
    <author>Ricardo Schettini Figueiredo</author>
    <author>.</author>
  </authors>
  <commentList>
    <comment ref="J12" authorId="0" shapeId="0">
      <text>
        <r>
          <rPr>
            <b/>
            <sz val="9"/>
            <color indexed="81"/>
            <rFont val="Segoe UI"/>
            <family val="2"/>
          </rPr>
          <t>Vermelho: erro no somatório</t>
        </r>
      </text>
    </comment>
    <comment ref="I166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167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M173" authorId="0" shapeId="0">
      <text>
        <r>
          <rPr>
            <b/>
            <sz val="9"/>
            <color indexed="81"/>
            <rFont val="Segoe UI"/>
            <family val="2"/>
          </rPr>
          <t>NÃO
DELETAR</t>
        </r>
      </text>
    </comment>
    <comment ref="I184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185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186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187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188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189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190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191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192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193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194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195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208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209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210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211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212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213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214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215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216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430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451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452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453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454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455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527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528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529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530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531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631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668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669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670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671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672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M675" authorId="0" shapeId="0">
      <text>
        <r>
          <rPr>
            <b/>
            <sz val="9"/>
            <color indexed="81"/>
            <rFont val="Segoe UI"/>
            <family val="2"/>
          </rPr>
          <t>digitar:
CARREGADEIRA
ou
ESCAVADEIRA</t>
        </r>
      </text>
    </comment>
    <comment ref="I755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821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822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823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  <comment ref="I824" authorId="1" shapeId="0">
      <text>
        <r>
          <rPr>
            <b/>
            <sz val="9"/>
            <color indexed="81"/>
            <rFont val="Segoe UI"/>
            <family val="2"/>
          </rPr>
          <t>ATENÇÃO:
Definir se BDI insumo ou BDI serviço</t>
        </r>
      </text>
    </comment>
  </commentList>
</comments>
</file>

<file path=xl/comments4.xml><?xml version="1.0" encoding="utf-8"?>
<comments xmlns="http://schemas.openxmlformats.org/spreadsheetml/2006/main">
  <authors>
    <author>Ricardo Schettini Figueiredo</author>
  </authors>
  <commentList>
    <comment ref="D87" authorId="0" shapeId="0">
      <text>
        <r>
          <rPr>
            <b/>
            <sz val="9"/>
            <color indexed="81"/>
            <rFont val="Segoe UI"/>
            <family val="2"/>
          </rPr>
          <t xml:space="preserve">Verificar com o contratante o valor líquido do repasse </t>
        </r>
      </text>
    </comment>
  </commentList>
</comments>
</file>

<file path=xl/comments5.xml><?xml version="1.0" encoding="utf-8"?>
<comments xmlns="http://schemas.openxmlformats.org/spreadsheetml/2006/main">
  <authors>
    <author>.</author>
  </authors>
  <commentList>
    <comment ref="I5" authorId="0" shapeId="0">
      <text>
        <r>
          <rPr>
            <sz val="8"/>
            <color indexed="81"/>
            <rFont val="Tahoma"/>
            <family val="2"/>
          </rPr>
          <t>digitar OK pra medir container
escolher:
container ou
barracão</t>
        </r>
      </text>
    </comment>
    <comment ref="I8" authorId="0" shapeId="0">
      <text>
        <r>
          <rPr>
            <sz val="8"/>
            <color indexed="81"/>
            <rFont val="Tahoma"/>
            <family val="2"/>
          </rPr>
          <t>digitar OK pra medir container
escolher:
container ou
barracão</t>
        </r>
      </text>
    </comment>
  </commentList>
</comments>
</file>

<file path=xl/comments6.xml><?xml version="1.0" encoding="utf-8"?>
<comments xmlns="http://schemas.openxmlformats.org/spreadsheetml/2006/main">
  <authors>
    <author>Ricardo Schettini Figueiredo</author>
  </authors>
  <commentList>
    <comment ref="F6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H6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I6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J6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K6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L6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F11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H11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I11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J11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K11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L11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F16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H16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I16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J16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K16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L16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F21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H21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I21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J21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K21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L21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F26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H26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I26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J26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K26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L26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F31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H31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I31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J31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K31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L31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F37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H37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I37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J37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K37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L37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I41" authorId="0" shapeId="0">
      <text>
        <r>
          <rPr>
            <b/>
            <sz val="9"/>
            <color indexed="81"/>
            <rFont val="Segoe UI"/>
            <family val="2"/>
          </rPr>
          <t>se ROSA
digitar
espessura</t>
        </r>
      </text>
    </comment>
    <comment ref="L41" authorId="0" shapeId="0">
      <text>
        <r>
          <rPr>
            <b/>
            <sz val="9"/>
            <color indexed="81"/>
            <rFont val="Segoe UI"/>
            <family val="2"/>
          </rPr>
          <t>se ROSA
digitar
espessura</t>
        </r>
      </text>
    </comment>
    <comment ref="F43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H43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I43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J43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K43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  <comment ref="L43" authorId="0" shapeId="0">
      <text>
        <r>
          <rPr>
            <b/>
            <sz val="9"/>
            <color indexed="81"/>
            <rFont val="Segoe UI"/>
            <family val="2"/>
          </rPr>
          <t>se ROSA
escolher CARGA
manual
ou
mecânica</t>
        </r>
      </text>
    </comment>
  </commentList>
</comments>
</file>

<file path=xl/comments7.xml><?xml version="1.0" encoding="utf-8"?>
<comments xmlns="http://schemas.openxmlformats.org/spreadsheetml/2006/main">
  <authors>
    <author>Ricardo Schettini Figueiredo</author>
  </authors>
  <commentList>
    <comment ref="D13" authorId="0" shapeId="0">
      <text>
        <r>
          <rPr>
            <b/>
            <sz val="9"/>
            <color indexed="81"/>
            <rFont val="Segoe UI"/>
            <family val="2"/>
          </rPr>
          <t xml:space="preserve">ROCHA SEMPRE É ALTA INTERFERÊNCIA
</t>
        </r>
      </text>
    </comment>
    <comment ref="E13" authorId="0" shapeId="0">
      <text>
        <r>
          <rPr>
            <b/>
            <sz val="9"/>
            <color indexed="81"/>
            <rFont val="Segoe UI"/>
            <family val="2"/>
          </rPr>
          <t xml:space="preserve">ROCHA SEMPRE É ALTA INTERFERÊNCIA
</t>
        </r>
      </text>
    </comment>
    <comment ref="F13" authorId="0" shapeId="0">
      <text>
        <r>
          <rPr>
            <b/>
            <sz val="9"/>
            <color indexed="81"/>
            <rFont val="Segoe UI"/>
            <family val="2"/>
          </rPr>
          <t xml:space="preserve">ROCHA SEMPRE É ALTA INTERFERÊNCIA
</t>
        </r>
      </text>
    </comment>
    <comment ref="G13" authorId="0" shapeId="0">
      <text>
        <r>
          <rPr>
            <b/>
            <sz val="9"/>
            <color indexed="81"/>
            <rFont val="Segoe UI"/>
            <family val="2"/>
          </rPr>
          <t xml:space="preserve">ROCHA SEMPRE É ALTA INTERFERÊNCIA
</t>
        </r>
      </text>
    </comment>
    <comment ref="H13" authorId="0" shapeId="0">
      <text>
        <r>
          <rPr>
            <b/>
            <sz val="9"/>
            <color indexed="81"/>
            <rFont val="Segoe UI"/>
            <family val="2"/>
          </rPr>
          <t xml:space="preserve">ROCHA SEMPRE É ALTA INTERFERÊNCIA
</t>
        </r>
      </text>
    </comment>
    <comment ref="N13" authorId="0" shapeId="0">
      <text>
        <r>
          <rPr>
            <b/>
            <sz val="9"/>
            <color indexed="81"/>
            <rFont val="Segoe UI"/>
            <family val="2"/>
          </rPr>
          <t xml:space="preserve">ROCHA SEMPRE É ALTA INTERFERÊNCIA
</t>
        </r>
      </text>
    </comment>
    <comment ref="O13" authorId="0" shapeId="0">
      <text>
        <r>
          <rPr>
            <b/>
            <sz val="9"/>
            <color indexed="81"/>
            <rFont val="Segoe UI"/>
            <family val="2"/>
          </rPr>
          <t xml:space="preserve">ROCHA SEMPRE É ALTA INTERFERÊNCIA
</t>
        </r>
      </text>
    </comment>
    <comment ref="P13" authorId="0" shapeId="0">
      <text>
        <r>
          <rPr>
            <b/>
            <sz val="9"/>
            <color indexed="81"/>
            <rFont val="Segoe UI"/>
            <family val="2"/>
          </rPr>
          <t xml:space="preserve">ROCHA SEMPRE É ALTA INTERFERÊNCIA
</t>
        </r>
      </text>
    </comment>
    <comment ref="Q13" authorId="0" shapeId="0">
      <text>
        <r>
          <rPr>
            <b/>
            <sz val="9"/>
            <color indexed="81"/>
            <rFont val="Segoe UI"/>
            <family val="2"/>
          </rPr>
          <t xml:space="preserve">ROCHA SEMPRE É ALTA INTERFERÊNCIA
</t>
        </r>
      </text>
    </comment>
    <comment ref="R13" authorId="0" shapeId="0">
      <text>
        <r>
          <rPr>
            <b/>
            <sz val="9"/>
            <color indexed="81"/>
            <rFont val="Segoe UI"/>
            <family val="2"/>
          </rPr>
          <t xml:space="preserve">ROCHA SEMPRE É ALTA INTERFERÊNCIA
</t>
        </r>
      </text>
    </comment>
    <comment ref="S13" authorId="0" shapeId="0">
      <text>
        <r>
          <rPr>
            <b/>
            <sz val="9"/>
            <color indexed="81"/>
            <rFont val="Segoe UI"/>
            <family val="2"/>
          </rPr>
          <t xml:space="preserve">ROCHA SEMPRE É ALTA INTERFERÊNCIA
</t>
        </r>
      </text>
    </comment>
    <comment ref="T13" authorId="0" shapeId="0">
      <text>
        <r>
          <rPr>
            <b/>
            <sz val="9"/>
            <color indexed="81"/>
            <rFont val="Segoe UI"/>
            <family val="2"/>
          </rPr>
          <t xml:space="preserve">ROCHA SEMPRE É ALTA INTERFERÊNCIA
</t>
        </r>
      </text>
    </comment>
    <comment ref="U13" authorId="0" shapeId="0">
      <text>
        <r>
          <rPr>
            <b/>
            <sz val="9"/>
            <color indexed="81"/>
            <rFont val="Segoe UI"/>
            <family val="2"/>
          </rPr>
          <t xml:space="preserve">ROCHA SEMPRE É ALTA INTERFERÊNCIA
</t>
        </r>
      </text>
    </comment>
    <comment ref="V13" authorId="0" shapeId="0">
      <text>
        <r>
          <rPr>
            <b/>
            <sz val="9"/>
            <color indexed="81"/>
            <rFont val="Segoe UI"/>
            <family val="2"/>
          </rPr>
          <t xml:space="preserve">ROCHA SEMPRE É ALTA INTERFERÊNCIA
</t>
        </r>
      </text>
    </comment>
    <comment ref="W13" authorId="0" shapeId="0">
      <text>
        <r>
          <rPr>
            <b/>
            <sz val="9"/>
            <color indexed="81"/>
            <rFont val="Segoe UI"/>
            <family val="2"/>
          </rPr>
          <t xml:space="preserve">ROCHA SEMPRE É ALTA INTERFERÊNCIA
</t>
        </r>
      </text>
    </comment>
    <comment ref="X13" authorId="0" shapeId="0">
      <text>
        <r>
          <rPr>
            <b/>
            <sz val="9"/>
            <color indexed="81"/>
            <rFont val="Segoe UI"/>
            <family val="2"/>
          </rPr>
          <t xml:space="preserve">ROCHA SEMPRE É ALTA INTERFERÊNCIA
</t>
        </r>
      </text>
    </comment>
    <comment ref="Y13" authorId="0" shapeId="0">
      <text>
        <r>
          <rPr>
            <b/>
            <sz val="9"/>
            <color indexed="81"/>
            <rFont val="Segoe UI"/>
            <family val="2"/>
          </rPr>
          <t xml:space="preserve">ROCHA SEMPRE É ALTA INTERFERÊNCIA
</t>
        </r>
      </text>
    </comment>
    <comment ref="Z13" authorId="0" shapeId="0">
      <text>
        <r>
          <rPr>
            <b/>
            <sz val="9"/>
            <color indexed="81"/>
            <rFont val="Segoe UI"/>
            <family val="2"/>
          </rPr>
          <t xml:space="preserve">ROCHA SEMPRE É ALTA INTERFERÊNCIA
</t>
        </r>
      </text>
    </comment>
    <comment ref="D31" authorId="0" shapeId="0">
      <text>
        <r>
          <rPr>
            <b/>
            <sz val="9"/>
            <color indexed="81"/>
            <rFont val="Segoe UI"/>
            <family val="2"/>
          </rPr>
          <t>SE VERDE
DIGITAR
ESPESSURA
BASE</t>
        </r>
      </text>
    </comment>
    <comment ref="E31" authorId="0" shapeId="0">
      <text>
        <r>
          <rPr>
            <b/>
            <sz val="9"/>
            <color indexed="81"/>
            <rFont val="Segoe UI"/>
            <family val="2"/>
          </rPr>
          <t>SE VERDE
DIGITAR
ESPESSURA
BASE</t>
        </r>
      </text>
    </comment>
    <comment ref="F31" authorId="0" shapeId="0">
      <text>
        <r>
          <rPr>
            <b/>
            <sz val="9"/>
            <color indexed="81"/>
            <rFont val="Segoe UI"/>
            <family val="2"/>
          </rPr>
          <t>SE VERDE
DIGITAR
ESPESSURA
BASE</t>
        </r>
      </text>
    </comment>
    <comment ref="G31" authorId="0" shapeId="0">
      <text>
        <r>
          <rPr>
            <b/>
            <sz val="9"/>
            <color indexed="81"/>
            <rFont val="Segoe UI"/>
            <family val="2"/>
          </rPr>
          <t>SE VERDE
DIGITAR
ESPESSURA
BASE</t>
        </r>
      </text>
    </comment>
    <comment ref="H31" authorId="0" shapeId="0">
      <text>
        <r>
          <rPr>
            <b/>
            <sz val="9"/>
            <color indexed="81"/>
            <rFont val="Segoe UI"/>
            <family val="2"/>
          </rPr>
          <t>SE VERDE
DIGITAR
ESPESSURA
BASE</t>
        </r>
      </text>
    </comment>
    <comment ref="N31" authorId="0" shapeId="0">
      <text>
        <r>
          <rPr>
            <b/>
            <sz val="9"/>
            <color indexed="81"/>
            <rFont val="Segoe UI"/>
            <family val="2"/>
          </rPr>
          <t>SE VERDE
DIGITAR
ESPESSURA
BASE</t>
        </r>
      </text>
    </comment>
  </commentList>
</comments>
</file>

<file path=xl/comments8.xml><?xml version="1.0" encoding="utf-8"?>
<comments xmlns="http://schemas.openxmlformats.org/spreadsheetml/2006/main">
  <authors>
    <author>Ricardo Schettini Figueiredo</author>
  </authors>
  <commentList>
    <comment ref="F6" authorId="0" shapeId="0">
      <text>
        <r>
          <rPr>
            <b/>
            <sz val="9"/>
            <color indexed="81"/>
            <rFont val="Segoe UI"/>
            <family val="2"/>
          </rPr>
          <t>Se estiver AMARELA é sugestão de 100% de tela tapume em via pavimentada</t>
        </r>
      </text>
    </comment>
    <comment ref="G6" authorId="0" shapeId="0">
      <text>
        <r>
          <rPr>
            <b/>
            <sz val="9"/>
            <color indexed="81"/>
            <rFont val="Segoe UI"/>
            <family val="2"/>
          </rPr>
          <t>Se estiver AMARELA é sugestão de 100% de tela tapume em via pavimentada</t>
        </r>
      </text>
    </comment>
    <comment ref="H6" authorId="0" shapeId="0">
      <text>
        <r>
          <rPr>
            <b/>
            <sz val="9"/>
            <color indexed="81"/>
            <rFont val="Segoe UI"/>
            <family val="2"/>
          </rPr>
          <t>Se estiver AMARELA é sugestão de 100% de tela tapume em via pavimentada</t>
        </r>
      </text>
    </comment>
    <comment ref="I6" authorId="0" shapeId="0">
      <text>
        <r>
          <rPr>
            <b/>
            <sz val="9"/>
            <color indexed="81"/>
            <rFont val="Segoe UI"/>
            <family val="2"/>
          </rPr>
          <t>Se estiver AMARELA é sugestão de 100% de tela tapume em via pavimentada</t>
        </r>
      </text>
    </comment>
    <comment ref="J6" authorId="0" shapeId="0">
      <text>
        <r>
          <rPr>
            <b/>
            <sz val="9"/>
            <color indexed="81"/>
            <rFont val="Segoe UI"/>
            <family val="2"/>
          </rPr>
          <t>Se estiver AMARELA é sugestão de 100% de tela tapume em via pavimentada</t>
        </r>
      </text>
    </comment>
    <comment ref="K6" authorId="0" shapeId="0">
      <text>
        <r>
          <rPr>
            <b/>
            <sz val="9"/>
            <color indexed="81"/>
            <rFont val="Segoe UI"/>
            <family val="2"/>
          </rPr>
          <t>Se estiver AMARELA é sugestão de 100% de tela tapume em via pavimentada</t>
        </r>
      </text>
    </comment>
    <comment ref="L6" authorId="0" shapeId="0">
      <text>
        <r>
          <rPr>
            <b/>
            <sz val="9"/>
            <color indexed="81"/>
            <rFont val="Segoe UI"/>
            <family val="2"/>
          </rPr>
          <t>Se estiver AMARELA é sugestão de 100% de tela tapume em via pavimentada</t>
        </r>
      </text>
    </comment>
    <comment ref="M6" authorId="0" shapeId="0">
      <text>
        <r>
          <rPr>
            <b/>
            <sz val="9"/>
            <color indexed="81"/>
            <rFont val="Segoe UI"/>
            <family val="2"/>
          </rPr>
          <t>Se estiver AMARELA é sugestão de 100% de tela tapume em via pavimentada</t>
        </r>
      </text>
    </comment>
    <comment ref="N6" authorId="0" shapeId="0">
      <text>
        <r>
          <rPr>
            <b/>
            <sz val="9"/>
            <color indexed="81"/>
            <rFont val="Segoe UI"/>
            <family val="2"/>
          </rPr>
          <t>Se estiver AMARELA é sugestão de 100% de tela tapume em via pavimentada</t>
        </r>
      </text>
    </comment>
    <comment ref="O6" authorId="0" shapeId="0">
      <text>
        <r>
          <rPr>
            <b/>
            <sz val="9"/>
            <color indexed="81"/>
            <rFont val="Segoe UI"/>
            <family val="2"/>
          </rPr>
          <t>Se estiver AMARELA é sugestão de 100% de tela tapume em via pavimentada</t>
        </r>
      </text>
    </comment>
    <comment ref="P6" authorId="0" shapeId="0">
      <text>
        <r>
          <rPr>
            <b/>
            <sz val="9"/>
            <color indexed="81"/>
            <rFont val="Segoe UI"/>
            <family val="2"/>
          </rPr>
          <t>Se estiver AMARELA é sugestão de 100% de tela tapume em via pavimentada</t>
        </r>
      </text>
    </comment>
    <comment ref="Q6" authorId="0" shapeId="0">
      <text>
        <r>
          <rPr>
            <b/>
            <sz val="9"/>
            <color indexed="81"/>
            <rFont val="Segoe UI"/>
            <family val="2"/>
          </rPr>
          <t>Se estiver AMARELA é sugestão de 100% de tela tapume em via pavimentada</t>
        </r>
      </text>
    </comment>
    <comment ref="R6" authorId="0" shapeId="0">
      <text>
        <r>
          <rPr>
            <b/>
            <sz val="9"/>
            <color indexed="81"/>
            <rFont val="Segoe UI"/>
            <family val="2"/>
          </rPr>
          <t>Se estiver AMARELA é sugestão de 100% de tela tapume em via pavimentada</t>
        </r>
      </text>
    </comment>
    <comment ref="S6" authorId="0" shapeId="0">
      <text>
        <r>
          <rPr>
            <b/>
            <sz val="9"/>
            <color indexed="81"/>
            <rFont val="Segoe UI"/>
            <family val="2"/>
          </rPr>
          <t>Se estiver AMARELA é sugestão de 100% de tela tapume em via pavimentada</t>
        </r>
      </text>
    </comment>
    <comment ref="T6" authorId="0" shapeId="0">
      <text>
        <r>
          <rPr>
            <b/>
            <sz val="9"/>
            <color indexed="81"/>
            <rFont val="Segoe UI"/>
            <family val="2"/>
          </rPr>
          <t>Se estiver AMARELA é sugestão de 100% de tela tapume em via pavimentada</t>
        </r>
      </text>
    </comment>
    <comment ref="U6" authorId="0" shapeId="0">
      <text>
        <r>
          <rPr>
            <b/>
            <sz val="9"/>
            <color indexed="81"/>
            <rFont val="Segoe UI"/>
            <family val="2"/>
          </rPr>
          <t>Se estiver AMARELA é sugestão de 100% de tela tapume em via pavimentada</t>
        </r>
      </text>
    </comment>
    <comment ref="V6" authorId="0" shapeId="0">
      <text>
        <r>
          <rPr>
            <b/>
            <sz val="9"/>
            <color indexed="81"/>
            <rFont val="Segoe UI"/>
            <family val="2"/>
          </rPr>
          <t>Se estiver AMARELA é sugestão de 100% de tela tapume em via pavimentada</t>
        </r>
      </text>
    </comment>
    <comment ref="W6" authorId="0" shapeId="0">
      <text>
        <r>
          <rPr>
            <b/>
            <sz val="9"/>
            <color indexed="81"/>
            <rFont val="Segoe UI"/>
            <family val="2"/>
          </rPr>
          <t>Se estiver AMARELA é sugestão de 100% de tela tapume em via pavimentada</t>
        </r>
      </text>
    </comment>
    <comment ref="X6" authorId="0" shapeId="0">
      <text>
        <r>
          <rPr>
            <b/>
            <sz val="9"/>
            <color indexed="81"/>
            <rFont val="Segoe UI"/>
            <family val="2"/>
          </rPr>
          <t>Se estiver AMARELA é sugestão de 100% de tela tapume em via pavimentada</t>
        </r>
      </text>
    </comment>
    <comment ref="Y6" authorId="0" shapeId="0">
      <text>
        <r>
          <rPr>
            <b/>
            <sz val="9"/>
            <color indexed="81"/>
            <rFont val="Segoe UI"/>
            <family val="2"/>
          </rPr>
          <t>Se estiver AMARELA é sugestão de 100% de tela tapume em via pavimentada</t>
        </r>
      </text>
    </comment>
    <comment ref="Z6" authorId="0" shapeId="0">
      <text>
        <r>
          <rPr>
            <b/>
            <sz val="9"/>
            <color indexed="81"/>
            <rFont val="Segoe UI"/>
            <family val="2"/>
          </rPr>
          <t>Se estiver AMARELA é sugestão de 100% de tela tapume em via pavimentada</t>
        </r>
      </text>
    </comment>
    <comment ref="AA6" authorId="0" shapeId="0">
      <text>
        <r>
          <rPr>
            <b/>
            <sz val="9"/>
            <color indexed="81"/>
            <rFont val="Segoe UI"/>
            <family val="2"/>
          </rPr>
          <t>Se estiver AMARELA é sugestão de 100% de tela tapume em via pavimentada</t>
        </r>
      </text>
    </comment>
    <comment ref="AB6" authorId="0" shapeId="0">
      <text>
        <r>
          <rPr>
            <b/>
            <sz val="9"/>
            <color indexed="81"/>
            <rFont val="Segoe UI"/>
            <family val="2"/>
          </rPr>
          <t>Se estiver AMARELA é sugestão de 100% de tela tapume em via pavimentada</t>
        </r>
      </text>
    </comment>
    <comment ref="AC6" authorId="0" shapeId="0">
      <text>
        <r>
          <rPr>
            <b/>
            <sz val="9"/>
            <color indexed="81"/>
            <rFont val="Segoe UI"/>
            <family val="2"/>
          </rPr>
          <t>Se estiver AMARELA é sugestão de 100% de tela tapume em via pavimentada</t>
        </r>
      </text>
    </comment>
    <comment ref="AD6" authorId="0" shapeId="0">
      <text>
        <r>
          <rPr>
            <b/>
            <sz val="9"/>
            <color indexed="81"/>
            <rFont val="Segoe UI"/>
            <family val="2"/>
          </rPr>
          <t>Se estiver AMARELA é sugestão de 100% de tela tapume em via pavimentada</t>
        </r>
      </text>
    </comment>
  </commentList>
</comments>
</file>

<file path=xl/comments9.xml><?xml version="1.0" encoding="utf-8"?>
<comments xmlns="http://schemas.openxmlformats.org/spreadsheetml/2006/main">
  <authors>
    <author>.</author>
    <author>Ricardo Schettini Figueiredo</author>
  </authors>
  <commentList>
    <comment ref="F30" authorId="0" shapeId="0">
      <text>
        <r>
          <rPr>
            <sz val="8"/>
            <color indexed="81"/>
            <rFont val="Tahoma"/>
            <family val="2"/>
          </rPr>
          <t>taludes recomendáveis:
10:1 (rocha)
5:1 (argila)
3:1 (argila arenosa)
1:1 (arenoso e silte)
V:1 (vertical - escorado)
B:1 (blindagem + talude)
Rocha nunca blindagem</t>
        </r>
      </text>
    </comment>
    <comment ref="G30" authorId="0" shapeId="0">
      <text>
        <r>
          <rPr>
            <sz val="8"/>
            <color indexed="81"/>
            <rFont val="Tahoma"/>
            <family val="2"/>
          </rPr>
          <t>taludes recomendáveis:
10:1 (rocha)
5:1 (argila)
3:1 (argila arenosa)
1:1 (arenoso e silte)
V:1 (vertical - escorado)
B:1 (blindagem + talude)
Rocha nunca blindagem</t>
        </r>
      </text>
    </comment>
    <comment ref="H30" authorId="0" shapeId="0">
      <text>
        <r>
          <rPr>
            <sz val="8"/>
            <color indexed="81"/>
            <rFont val="Tahoma"/>
            <family val="2"/>
          </rPr>
          <t>taludes recomendáveis:
10:1 (rocha)
5:1 (argila)
3:1 (argila arenosa)
1:1 (arenoso e silte)
V:1 (vertical - escorado)
B:1 (blindagem + talude)
Rocha nunca blindagem</t>
        </r>
      </text>
    </comment>
    <comment ref="I30" authorId="0" shapeId="0">
      <text>
        <r>
          <rPr>
            <sz val="8"/>
            <color indexed="81"/>
            <rFont val="Tahoma"/>
            <family val="2"/>
          </rPr>
          <t>taludes recomendáveis:
10:1 (rocha)
5:1 (argila)
3:1 (argila arenosa)
1:1 (arenoso e silte)
V:1 (vertical - escorado)
B:1 (blindagem + talude)
Rocha nunca blindagem</t>
        </r>
      </text>
    </comment>
    <comment ref="J30" authorId="0" shapeId="0">
      <text>
        <r>
          <rPr>
            <sz val="8"/>
            <color indexed="81"/>
            <rFont val="Tahoma"/>
            <family val="2"/>
          </rPr>
          <t>taludes recomendáveis:
10:1 (rocha)
5:1 (argila)
3:1 (argila arenosa)
1:1 (arenoso e silte)
V:1 (vertical - escorado)
B:1 (blindagem + talude)
Rocha nunca blindagem</t>
        </r>
      </text>
    </comment>
    <comment ref="K30" authorId="0" shapeId="0">
      <text>
        <r>
          <rPr>
            <sz val="8"/>
            <color indexed="81"/>
            <rFont val="Tahoma"/>
            <family val="2"/>
          </rPr>
          <t>taludes recomendáveis:
10:1 (rocha)
5:1 (argila)
3:1 (argila arenosa)
1:1 (arenoso e silte)
V:1 (vertical - escorado)
B:1 (blindagem + talude)
Rocha nunca blindagem</t>
        </r>
      </text>
    </comment>
    <comment ref="L30" authorId="0" shapeId="0">
      <text>
        <r>
          <rPr>
            <sz val="8"/>
            <color indexed="81"/>
            <rFont val="Tahoma"/>
            <family val="2"/>
          </rPr>
          <t>taludes recomendáveis:
10:1 (rocha)
5:1 (argila)
3:1 (argila arenosa)
1:1 (arenoso e silte)
V:1 (vertical - escorado)
B:1 (blindagem + talude)
Rocha nunca blindagem</t>
        </r>
      </text>
    </comment>
    <comment ref="M30" authorId="0" shapeId="0">
      <text>
        <r>
          <rPr>
            <sz val="8"/>
            <color indexed="81"/>
            <rFont val="Tahoma"/>
            <family val="2"/>
          </rPr>
          <t>taludes recomendáveis:
10:1 (rocha)
5:1 (argila)
3:1 (argila arenosa)
1:1 (arenoso e silte)
V:1 (vertical - escorado)
B:1 (blindagem + talude)
Rocha nunca blindagem</t>
        </r>
      </text>
    </comment>
    <comment ref="N30" authorId="0" shapeId="0">
      <text>
        <r>
          <rPr>
            <sz val="8"/>
            <color indexed="81"/>
            <rFont val="Tahoma"/>
            <family val="2"/>
          </rPr>
          <t>taludes recomendáveis:
10:1 (rocha)
5:1 (argila)
3:1 (argila arenosa)
1:1 (arenoso e silte)
V:1 (vertical - escorado)
B:1 (blindagem + talude)
Rocha nunca blindagem</t>
        </r>
      </text>
    </comment>
    <comment ref="O30" authorId="0" shapeId="0">
      <text>
        <r>
          <rPr>
            <sz val="8"/>
            <color indexed="81"/>
            <rFont val="Tahoma"/>
            <family val="2"/>
          </rPr>
          <t>taludes recomendáveis:
10:1 (rocha)
5:1 (argila)
3:1 (argila arenosa)
1:1 (arenoso e silte)
V:1 (vertical - escorado)
B:1 (blindagem + talude)
Rocha nunca blindagem</t>
        </r>
      </text>
    </comment>
    <comment ref="P30" authorId="0" shapeId="0">
      <text>
        <r>
          <rPr>
            <sz val="8"/>
            <color indexed="81"/>
            <rFont val="Tahoma"/>
            <family val="2"/>
          </rPr>
          <t>taludes recomendáveis:
10:1 (rocha)
5:1 (argila)
3:1 (argila arenosa)
1:1 (arenoso e silte)
V:1 (vertical - escorado)
B:1 (blindagem + talude)
Rocha nunca blindagem</t>
        </r>
      </text>
    </comment>
    <comment ref="Q30" authorId="0" shapeId="0">
      <text>
        <r>
          <rPr>
            <sz val="8"/>
            <color indexed="81"/>
            <rFont val="Tahoma"/>
            <family val="2"/>
          </rPr>
          <t>taludes recomendáveis:
10:1 (rocha)
5:1 (argila)
3:1 (argila arenosa)
1:1 (arenoso e silte)
V:1 (vertical - escorado)
B:1 (blindagem + talude)
Rocha nunca blindagem</t>
        </r>
      </text>
    </comment>
    <comment ref="R30" authorId="0" shapeId="0">
      <text>
        <r>
          <rPr>
            <sz val="8"/>
            <color indexed="81"/>
            <rFont val="Tahoma"/>
            <family val="2"/>
          </rPr>
          <t>taludes recomendáveis:
10:1 (rocha)
5:1 (argila)
3:1 (argila arenosa)
1:1 (arenoso e silte)
V:1 (vertical - escorado)
B:1 (blindagem + talude)
Rocha nunca blindagem</t>
        </r>
      </text>
    </comment>
    <comment ref="S30" authorId="0" shapeId="0">
      <text>
        <r>
          <rPr>
            <sz val="8"/>
            <color indexed="81"/>
            <rFont val="Tahoma"/>
            <family val="2"/>
          </rPr>
          <t>taludes recomendáveis:
10:1 (rocha)
5:1 (argila)
3:1 (argila arenosa)
1:1 (arenoso e silte)
V:1 (vertical - escorado)
B:1 (blindagem + talude)
Rocha nunca blindagem</t>
        </r>
      </text>
    </comment>
    <comment ref="T30" authorId="0" shapeId="0">
      <text>
        <r>
          <rPr>
            <sz val="8"/>
            <color indexed="81"/>
            <rFont val="Tahoma"/>
            <family val="2"/>
          </rPr>
          <t>taludes recomendáveis:
10:1 (rocha)
5:1 (argila)
3:1 (argila arenosa)
1:1 (arenoso e silte)
V:1 (vertical - escorado)
B:1 (blindagem + talude)
Rocha nunca blindagem</t>
        </r>
      </text>
    </comment>
    <comment ref="U30" authorId="0" shapeId="0">
      <text>
        <r>
          <rPr>
            <sz val="8"/>
            <color indexed="81"/>
            <rFont val="Tahoma"/>
            <family val="2"/>
          </rPr>
          <t>taludes recomendáveis:
10:1 (rocha)
5:1 (argila)
3:1 (argila arenosa)
1:1 (arenoso e silte)
V:1 (vertical - escorado)
B:1 (blindagem + talude)
Rocha nunca blindagem</t>
        </r>
      </text>
    </comment>
    <comment ref="V30" authorId="0" shapeId="0">
      <text>
        <r>
          <rPr>
            <sz val="8"/>
            <color indexed="81"/>
            <rFont val="Tahoma"/>
            <family val="2"/>
          </rPr>
          <t>taludes recomendáveis:
10:1 (rocha)
5:1 (argila)
3:1 (argila arenosa)
1:1 (arenoso e silte)
V:1 (vertical - escorado)
B:1 (blindagem + talude)
Rocha nunca blindagem</t>
        </r>
      </text>
    </comment>
    <comment ref="W30" authorId="0" shapeId="0">
      <text>
        <r>
          <rPr>
            <sz val="8"/>
            <color indexed="81"/>
            <rFont val="Tahoma"/>
            <family val="2"/>
          </rPr>
          <t>taludes recomendáveis:
10:1 (rocha)
5:1 (argila)
3:1 (argila arenosa)
1:1 (arenoso e silte)
V:1 (vertical - escorado)
B:1 (blindagem + talude)
Rocha nunca blindagem</t>
        </r>
      </text>
    </comment>
    <comment ref="X30" authorId="0" shapeId="0">
      <text>
        <r>
          <rPr>
            <sz val="8"/>
            <color indexed="81"/>
            <rFont val="Tahoma"/>
            <family val="2"/>
          </rPr>
          <t>taludes recomendáveis:
10:1 (rocha)
5:1 (argila)
3:1 (argila arenosa)
1:1 (arenoso e silte)
V:1 (vertical - escorado)
B:1 (blindagem + talude)
Rocha nunca blindagem</t>
        </r>
      </text>
    </comment>
    <comment ref="Y30" authorId="0" shapeId="0">
      <text>
        <r>
          <rPr>
            <sz val="8"/>
            <color indexed="81"/>
            <rFont val="Tahoma"/>
            <family val="2"/>
          </rPr>
          <t>taludes recomendáveis:
10:1 (rocha)
5:1 (argila)
3:1 (argila arenosa)
1:1 (arenoso e silte)
V:1 (vertical - escorado)
B:1 (blindagem + talude)
Rocha nunca blindagem</t>
        </r>
      </text>
    </comment>
    <comment ref="Z30" authorId="0" shapeId="0">
      <text>
        <r>
          <rPr>
            <sz val="8"/>
            <color indexed="81"/>
            <rFont val="Tahoma"/>
            <family val="2"/>
          </rPr>
          <t>taludes recomendáveis:
10:1 (rocha)
5:1 (argila)
3:1 (argila arenosa)
1:1 (arenoso e silte)
V:1 (vertical - escorado)
B:1 (blindagem + talude)
Rocha nunca blindagem</t>
        </r>
      </text>
    </comment>
    <comment ref="AA30" authorId="0" shapeId="0">
      <text>
        <r>
          <rPr>
            <sz val="8"/>
            <color indexed="81"/>
            <rFont val="Tahoma"/>
            <family val="2"/>
          </rPr>
          <t>taludes recomendáveis:
10:1 (rocha)
5:1 (argila)
3:1 (argila arenosa)
1:1 (arenoso e silte)
V:1 (vertical - escorado)
B:1 (blindagem + talude)
Rocha nunca blindagem</t>
        </r>
      </text>
    </comment>
    <comment ref="AB30" authorId="0" shapeId="0">
      <text>
        <r>
          <rPr>
            <sz val="8"/>
            <color indexed="81"/>
            <rFont val="Tahoma"/>
            <family val="2"/>
          </rPr>
          <t>taludes recomendáveis:
10:1 (rocha)
5:1 (argila)
3:1 (argila arenosa)
1:1 (arenoso e silte)
V:1 (vertical - escorado)
B:1 (blindagem + talude)
Rocha nunca blindagem</t>
        </r>
      </text>
    </comment>
    <comment ref="AC30" authorId="0" shapeId="0">
      <text>
        <r>
          <rPr>
            <sz val="8"/>
            <color indexed="81"/>
            <rFont val="Tahoma"/>
            <family val="2"/>
          </rPr>
          <t>taludes recomendáveis:
10:1 (rocha)
5:1 (argila)
3:1 (argila arenosa)
1:1 (arenoso e silte)
V:1 (vertical - escorado)
B:1 (blindagem + talude)
Rocha nunca blindagem</t>
        </r>
      </text>
    </comment>
    <comment ref="AD30" authorId="0" shapeId="0">
      <text>
        <r>
          <rPr>
            <sz val="8"/>
            <color indexed="81"/>
            <rFont val="Tahoma"/>
            <family val="2"/>
          </rPr>
          <t>taludes recomendáveis:
10:1 (rocha)
5:1 (argila)
3:1 (argila arenosa)
1:1 (arenoso e silte)
V:1 (vertical - escorado)
B:1 (blindagem + talude)
Rocha nunca blindagem</t>
        </r>
      </text>
    </comment>
    <comment ref="F39" authorId="1" shapeId="0">
      <text>
        <r>
          <rPr>
            <b/>
            <sz val="9"/>
            <color indexed="81"/>
            <rFont val="Segoe UI"/>
            <family val="2"/>
          </rPr>
          <t>Atenção qdo a largura da vala for &gt; 3m
Pode precisar de usar depósito provisório</t>
        </r>
      </text>
    </comment>
    <comment ref="G39" authorId="1" shapeId="0">
      <text>
        <r>
          <rPr>
            <b/>
            <sz val="9"/>
            <color indexed="81"/>
            <rFont val="Segoe UI"/>
            <family val="2"/>
          </rPr>
          <t>Atenção qdo a largura da vala for &gt; 3m
Pode precisar de usar depósito provisório</t>
        </r>
      </text>
    </comment>
    <comment ref="H39" authorId="1" shapeId="0">
      <text>
        <r>
          <rPr>
            <b/>
            <sz val="9"/>
            <color indexed="81"/>
            <rFont val="Segoe UI"/>
            <family val="2"/>
          </rPr>
          <t>Atenção qdo a largura da vala for &gt; 3m
Pode precisar de usar depósito provisório</t>
        </r>
      </text>
    </comment>
    <comment ref="I39" authorId="1" shapeId="0">
      <text>
        <r>
          <rPr>
            <b/>
            <sz val="9"/>
            <color indexed="81"/>
            <rFont val="Segoe UI"/>
            <family val="2"/>
          </rPr>
          <t>Atenção qdo a largura da vala for &gt; 3m
Pode precisar de usar depósito provisório</t>
        </r>
      </text>
    </comment>
    <comment ref="J39" authorId="1" shapeId="0">
      <text>
        <r>
          <rPr>
            <b/>
            <sz val="9"/>
            <color indexed="81"/>
            <rFont val="Segoe UI"/>
            <family val="2"/>
          </rPr>
          <t>Atenção qdo a largura da vala for &gt; 3m
Pode precisar de usar depósito provisório</t>
        </r>
      </text>
    </comment>
    <comment ref="K39" authorId="1" shapeId="0">
      <text>
        <r>
          <rPr>
            <b/>
            <sz val="9"/>
            <color indexed="81"/>
            <rFont val="Segoe UI"/>
            <family val="2"/>
          </rPr>
          <t>Atenção qdo a largura da vala for &gt; 3m
Pode precisar de usar depósito provisório</t>
        </r>
      </text>
    </comment>
    <comment ref="L39" authorId="1" shapeId="0">
      <text>
        <r>
          <rPr>
            <b/>
            <sz val="9"/>
            <color indexed="81"/>
            <rFont val="Segoe UI"/>
            <family val="2"/>
          </rPr>
          <t>Atenção qdo a largura da vala for &gt; 3m
Pode precisar de usar depósito provisório</t>
        </r>
      </text>
    </comment>
    <comment ref="M39" authorId="1" shapeId="0">
      <text>
        <r>
          <rPr>
            <b/>
            <sz val="9"/>
            <color indexed="81"/>
            <rFont val="Segoe UI"/>
            <family val="2"/>
          </rPr>
          <t>Atenção qdo a largura da vala for &gt; 3m
Pode precisar de usar depósito provisório</t>
        </r>
      </text>
    </comment>
    <comment ref="N39" authorId="1" shapeId="0">
      <text>
        <r>
          <rPr>
            <b/>
            <sz val="9"/>
            <color indexed="81"/>
            <rFont val="Segoe UI"/>
            <family val="2"/>
          </rPr>
          <t>Atenção qdo a largura da vala for &gt; 3m
Pode precisar de usar depósito provisório</t>
        </r>
      </text>
    </comment>
    <comment ref="O39" authorId="1" shapeId="0">
      <text>
        <r>
          <rPr>
            <b/>
            <sz val="9"/>
            <color indexed="81"/>
            <rFont val="Segoe UI"/>
            <family val="2"/>
          </rPr>
          <t>Atenção qdo a largura da vala for &gt; 3m
Pode precisar de usar depósito provisório</t>
        </r>
      </text>
    </comment>
    <comment ref="P39" authorId="1" shapeId="0">
      <text>
        <r>
          <rPr>
            <b/>
            <sz val="9"/>
            <color indexed="81"/>
            <rFont val="Segoe UI"/>
            <family val="2"/>
          </rPr>
          <t>Atenção qdo a largura da vala for &gt; 3m
Pode precisar de usar depósito provisório</t>
        </r>
      </text>
    </comment>
    <comment ref="Q39" authorId="1" shapeId="0">
      <text>
        <r>
          <rPr>
            <b/>
            <sz val="9"/>
            <color indexed="81"/>
            <rFont val="Segoe UI"/>
            <family val="2"/>
          </rPr>
          <t>Atenção qdo a largura da vala for &gt; 3m
Pode precisar de usar depósito provisório</t>
        </r>
      </text>
    </comment>
    <comment ref="R39" authorId="1" shapeId="0">
      <text>
        <r>
          <rPr>
            <b/>
            <sz val="9"/>
            <color indexed="81"/>
            <rFont val="Segoe UI"/>
            <family val="2"/>
          </rPr>
          <t>Atenção qdo a largura da vala for &gt; 3m
Pode precisar de usar depósito provisório</t>
        </r>
      </text>
    </comment>
    <comment ref="S39" authorId="1" shapeId="0">
      <text>
        <r>
          <rPr>
            <b/>
            <sz val="9"/>
            <color indexed="81"/>
            <rFont val="Segoe UI"/>
            <family val="2"/>
          </rPr>
          <t>Atenção qdo a largura da vala for &gt; 3m
Pode precisar de usar depósito provisório</t>
        </r>
      </text>
    </comment>
    <comment ref="T39" authorId="1" shapeId="0">
      <text>
        <r>
          <rPr>
            <b/>
            <sz val="9"/>
            <color indexed="81"/>
            <rFont val="Segoe UI"/>
            <family val="2"/>
          </rPr>
          <t>Atenção qdo a largura da vala for &gt; 3m
Pode precisar de usar depósito provisório</t>
        </r>
      </text>
    </comment>
    <comment ref="U39" authorId="1" shapeId="0">
      <text>
        <r>
          <rPr>
            <b/>
            <sz val="9"/>
            <color indexed="81"/>
            <rFont val="Segoe UI"/>
            <family val="2"/>
          </rPr>
          <t>Atenção qdo a largura da vala for &gt; 3m
Pode precisar de usar depósito provisório</t>
        </r>
      </text>
    </comment>
    <comment ref="V39" authorId="1" shapeId="0">
      <text>
        <r>
          <rPr>
            <b/>
            <sz val="9"/>
            <color indexed="81"/>
            <rFont val="Segoe UI"/>
            <family val="2"/>
          </rPr>
          <t>Atenção qdo a largura da vala for &gt; 3m
Pode precisar de usar depósito provisório</t>
        </r>
      </text>
    </comment>
    <comment ref="W39" authorId="1" shapeId="0">
      <text>
        <r>
          <rPr>
            <b/>
            <sz val="9"/>
            <color indexed="81"/>
            <rFont val="Segoe UI"/>
            <family val="2"/>
          </rPr>
          <t>Atenção qdo a largura da vala for &gt; 3m
Pode precisar de usar depósito provisório</t>
        </r>
      </text>
    </comment>
    <comment ref="X39" authorId="1" shapeId="0">
      <text>
        <r>
          <rPr>
            <b/>
            <sz val="9"/>
            <color indexed="81"/>
            <rFont val="Segoe UI"/>
            <family val="2"/>
          </rPr>
          <t>Atenção qdo a largura da vala for &gt; 3m
Pode precisar de usar depósito provisório</t>
        </r>
      </text>
    </comment>
    <comment ref="Y39" authorId="1" shapeId="0">
      <text>
        <r>
          <rPr>
            <b/>
            <sz val="9"/>
            <color indexed="81"/>
            <rFont val="Segoe UI"/>
            <family val="2"/>
          </rPr>
          <t>Atenção qdo a largura da vala for &gt; 3m
Pode precisar de usar depósito provisório</t>
        </r>
      </text>
    </comment>
    <comment ref="Z39" authorId="1" shapeId="0">
      <text>
        <r>
          <rPr>
            <b/>
            <sz val="9"/>
            <color indexed="81"/>
            <rFont val="Segoe UI"/>
            <family val="2"/>
          </rPr>
          <t>Atenção qdo a largura da vala for &gt; 3m
Pode precisar de usar depósito provisório</t>
        </r>
      </text>
    </comment>
    <comment ref="AA39" authorId="1" shapeId="0">
      <text>
        <r>
          <rPr>
            <b/>
            <sz val="9"/>
            <color indexed="81"/>
            <rFont val="Segoe UI"/>
            <family val="2"/>
          </rPr>
          <t>Atenção qdo a largura da vala for &gt; 3m
Pode precisar de usar depósito provisório</t>
        </r>
      </text>
    </comment>
    <comment ref="F191" authorId="1" shapeId="0">
      <text>
        <r>
          <rPr>
            <sz val="9"/>
            <color indexed="81"/>
            <rFont val="Segoe UI"/>
            <family val="2"/>
          </rPr>
          <t>extensão do tronco com produção média de assentamento 1,7m/h e reaterro 10m³/h (1/3 do volume)</t>
        </r>
      </text>
    </comment>
    <comment ref="G191" authorId="1" shapeId="0">
      <text>
        <r>
          <rPr>
            <sz val="9"/>
            <color indexed="81"/>
            <rFont val="Segoe UI"/>
            <family val="2"/>
          </rPr>
          <t>extensão do tronco com produção média de assentamento 1,7m/h e reaterro 10m³/h (1/3 do volume)</t>
        </r>
      </text>
    </comment>
    <comment ref="H191" authorId="1" shapeId="0">
      <text>
        <r>
          <rPr>
            <sz val="9"/>
            <color indexed="81"/>
            <rFont val="Segoe UI"/>
            <family val="2"/>
          </rPr>
          <t>extensão do tronco com produção média de assentamento 1,7m/h e reaterro 10m³/h (1/3 do volume)</t>
        </r>
      </text>
    </comment>
    <comment ref="I191" authorId="1" shapeId="0">
      <text>
        <r>
          <rPr>
            <sz val="9"/>
            <color indexed="81"/>
            <rFont val="Segoe UI"/>
            <family val="2"/>
          </rPr>
          <t>extensão do tronco com produção média de assentamento 1,7m/h e reaterro 10m³/h (1/3 do volume)</t>
        </r>
      </text>
    </comment>
    <comment ref="J191" authorId="1" shapeId="0">
      <text>
        <r>
          <rPr>
            <sz val="9"/>
            <color indexed="81"/>
            <rFont val="Segoe UI"/>
            <family val="2"/>
          </rPr>
          <t>extensão do tronco com produção média de assentamento 1,7m/h e reaterro 10m³/h (1/3 do volume)</t>
        </r>
      </text>
    </comment>
    <comment ref="K191" authorId="1" shapeId="0">
      <text>
        <r>
          <rPr>
            <sz val="9"/>
            <color indexed="81"/>
            <rFont val="Segoe UI"/>
            <family val="2"/>
          </rPr>
          <t>extensão do tronco com produção média de assentamento 1,7m/h e reaterro 10m³/h (1/3 do volume)</t>
        </r>
      </text>
    </comment>
    <comment ref="L191" authorId="1" shapeId="0">
      <text>
        <r>
          <rPr>
            <sz val="9"/>
            <color indexed="81"/>
            <rFont val="Segoe UI"/>
            <family val="2"/>
          </rPr>
          <t>extensão do tronco com produção média de assentamento 1,7m/h e reaterro 10m³/h (1/3 do volume)</t>
        </r>
      </text>
    </comment>
    <comment ref="M191" authorId="1" shapeId="0">
      <text>
        <r>
          <rPr>
            <sz val="9"/>
            <color indexed="81"/>
            <rFont val="Segoe UI"/>
            <family val="2"/>
          </rPr>
          <t>extensão do tronco com produção média de assentamento 1,7m/h e reaterro 10m³/h (1/3 do volume)</t>
        </r>
      </text>
    </comment>
    <comment ref="N191" authorId="1" shapeId="0">
      <text>
        <r>
          <rPr>
            <sz val="9"/>
            <color indexed="81"/>
            <rFont val="Segoe UI"/>
            <family val="2"/>
          </rPr>
          <t>extensão do tronco com produção média de assentamento 1,7m/h e reaterro 10m³/h (1/3 do volume)</t>
        </r>
      </text>
    </comment>
    <comment ref="O191" authorId="1" shapeId="0">
      <text>
        <r>
          <rPr>
            <sz val="9"/>
            <color indexed="81"/>
            <rFont val="Segoe UI"/>
            <family val="2"/>
          </rPr>
          <t>extensão do tronco com produção média de assentamento 1,7m/h e reaterro 10m³/h (1/3 do volume)</t>
        </r>
      </text>
    </comment>
    <comment ref="P191" authorId="1" shapeId="0">
      <text>
        <r>
          <rPr>
            <sz val="9"/>
            <color indexed="81"/>
            <rFont val="Segoe UI"/>
            <family val="2"/>
          </rPr>
          <t>extensão do tronco com produção média de assentamento 1,7m/h e reaterro 10m³/h (1/3 do volume)</t>
        </r>
      </text>
    </comment>
    <comment ref="Q191" authorId="1" shapeId="0">
      <text>
        <r>
          <rPr>
            <sz val="9"/>
            <color indexed="81"/>
            <rFont val="Segoe UI"/>
            <family val="2"/>
          </rPr>
          <t>extensão do tronco com produção média de assentamento 1,7m/h e reaterro 10m³/h (1/3 do volume)</t>
        </r>
      </text>
    </comment>
    <comment ref="R191" authorId="1" shapeId="0">
      <text>
        <r>
          <rPr>
            <sz val="9"/>
            <color indexed="81"/>
            <rFont val="Segoe UI"/>
            <family val="2"/>
          </rPr>
          <t>extensão do tronco com produção média de assentamento 1,7m/h e reaterro 10m³/h (1/3 do volume)</t>
        </r>
      </text>
    </comment>
    <comment ref="S191" authorId="1" shapeId="0">
      <text>
        <r>
          <rPr>
            <sz val="9"/>
            <color indexed="81"/>
            <rFont val="Segoe UI"/>
            <family val="2"/>
          </rPr>
          <t>extensão do tronco com produção média de assentamento 1,7m/h e reaterro 10m³/h (1/3 do volume)</t>
        </r>
      </text>
    </comment>
    <comment ref="T191" authorId="1" shapeId="0">
      <text>
        <r>
          <rPr>
            <sz val="9"/>
            <color indexed="81"/>
            <rFont val="Segoe UI"/>
            <family val="2"/>
          </rPr>
          <t>extensão do tronco com produção média de assentamento 1,7m/h e reaterro 10m³/h (1/3 do volume)</t>
        </r>
      </text>
    </comment>
    <comment ref="U191" authorId="1" shapeId="0">
      <text>
        <r>
          <rPr>
            <sz val="9"/>
            <color indexed="81"/>
            <rFont val="Segoe UI"/>
            <family val="2"/>
          </rPr>
          <t>extensão do tronco com produção média de assentamento 1,7m/h e reaterro 10m³/h (1/3 do volume)</t>
        </r>
      </text>
    </comment>
    <comment ref="V191" authorId="1" shapeId="0">
      <text>
        <r>
          <rPr>
            <sz val="9"/>
            <color indexed="81"/>
            <rFont val="Segoe UI"/>
            <family val="2"/>
          </rPr>
          <t>extensão do tronco com produção média de assentamento 1,7m/h e reaterro 10m³/h (1/3 do volume)</t>
        </r>
      </text>
    </comment>
    <comment ref="W191" authorId="1" shapeId="0">
      <text>
        <r>
          <rPr>
            <sz val="9"/>
            <color indexed="81"/>
            <rFont val="Segoe UI"/>
            <family val="2"/>
          </rPr>
          <t>extensão do tronco com produção média de assentamento 1,7m/h e reaterro 10m³/h (1/3 do volume)</t>
        </r>
      </text>
    </comment>
    <comment ref="X191" authorId="1" shapeId="0">
      <text>
        <r>
          <rPr>
            <sz val="9"/>
            <color indexed="81"/>
            <rFont val="Segoe UI"/>
            <family val="2"/>
          </rPr>
          <t>extensão do tronco com produção média de assentamento 1,7m/h e reaterro 10m³/h (1/3 do volume)</t>
        </r>
      </text>
    </comment>
    <comment ref="Y191" authorId="1" shapeId="0">
      <text>
        <r>
          <rPr>
            <sz val="9"/>
            <color indexed="81"/>
            <rFont val="Segoe UI"/>
            <family val="2"/>
          </rPr>
          <t>extensão do tronco com produção média de assentamento 1,7m/h e reaterro 10m³/h (1/3 do volume)</t>
        </r>
      </text>
    </comment>
    <comment ref="Z191" authorId="1" shapeId="0">
      <text>
        <r>
          <rPr>
            <sz val="9"/>
            <color indexed="81"/>
            <rFont val="Segoe UI"/>
            <family val="2"/>
          </rPr>
          <t>extensão do tronco com produção média de assentamento 1,7m/h e reaterro 10m³/h (1/3 do volume)</t>
        </r>
      </text>
    </comment>
    <comment ref="AA191" authorId="1" shapeId="0">
      <text>
        <r>
          <rPr>
            <sz val="9"/>
            <color indexed="81"/>
            <rFont val="Segoe UI"/>
            <family val="2"/>
          </rPr>
          <t>extensão do tronco com produção média de assentamento 1,7m/h e reaterro 10m³/h (1/3 do volume)</t>
        </r>
      </text>
    </comment>
    <comment ref="AB191" authorId="1" shapeId="0">
      <text>
        <r>
          <rPr>
            <sz val="9"/>
            <color indexed="81"/>
            <rFont val="Segoe UI"/>
            <family val="2"/>
          </rPr>
          <t>extensão do tronco com produção média de assentamento 1,7m/h e reaterro 10m³/h (1/3 do volume)</t>
        </r>
      </text>
    </comment>
    <comment ref="AC191" authorId="1" shapeId="0">
      <text>
        <r>
          <rPr>
            <sz val="9"/>
            <color indexed="81"/>
            <rFont val="Segoe UI"/>
            <family val="2"/>
          </rPr>
          <t>extensão do tronco com produção média de assentamento 1,7m/h e reaterro 10m³/h (1/3 do volume)</t>
        </r>
      </text>
    </comment>
    <comment ref="AD191" authorId="1" shapeId="0">
      <text>
        <r>
          <rPr>
            <sz val="9"/>
            <color indexed="81"/>
            <rFont val="Segoe UI"/>
            <family val="2"/>
          </rPr>
          <t>extensão do tronco com produção média de assentamento 1,7m/h e reaterro 10m³/h (1/3 do volume)</t>
        </r>
      </text>
    </comment>
  </commentList>
</comments>
</file>

<file path=xl/comments10.xml><?xml version="1.0" encoding="utf-8"?>
<comments xmlns="http://schemas.openxmlformats.org/spreadsheetml/2006/main">
  <authors>
    <author>Ricardo Schettini Figueiredo</author>
  </authors>
  <commentList>
    <comment ref="G86" authorId="0" shapeId="0">
      <text>
        <r>
          <rPr>
            <b/>
            <sz val="9"/>
            <color indexed="81"/>
            <rFont val="Segoe UI"/>
            <family val="2"/>
          </rPr>
          <t>TIPO TABULEIRO DE XADREZ
50% DA ÁREA</t>
        </r>
      </text>
    </comment>
    <comment ref="H86" authorId="0" shapeId="0">
      <text>
        <r>
          <rPr>
            <b/>
            <sz val="9"/>
            <color indexed="81"/>
            <rFont val="Segoe UI"/>
            <family val="2"/>
          </rPr>
          <t>TIPO TABULEIRO DE XADREZ
50% DA ÁREA</t>
        </r>
      </text>
    </comment>
  </commentList>
</comments>
</file>

<file path=xl/comments11.xml><?xml version="1.0" encoding="utf-8"?>
<comments xmlns="http://schemas.openxmlformats.org/spreadsheetml/2006/main">
  <authors>
    <author>ricardo.schettini</author>
    <author>.</author>
    <author>Ricardo Schettini Figueiredo</author>
  </authors>
  <commentList>
    <comment ref="F22" authorId="0" shapeId="0">
      <text>
        <r>
          <rPr>
            <b/>
            <sz val="9"/>
            <color indexed="81"/>
            <rFont val="Segoe UI"/>
            <family val="2"/>
          </rPr>
          <t>se ROSA
Rocha &gt; Profu.</t>
        </r>
      </text>
    </comment>
    <comment ref="G22" authorId="0" shapeId="0">
      <text>
        <r>
          <rPr>
            <b/>
            <sz val="9"/>
            <color indexed="81"/>
            <rFont val="Segoe UI"/>
            <family val="2"/>
          </rPr>
          <t>se ROSA
Rocha &gt; Profu.</t>
        </r>
      </text>
    </comment>
    <comment ref="H22" authorId="0" shapeId="0">
      <text>
        <r>
          <rPr>
            <b/>
            <sz val="9"/>
            <color indexed="81"/>
            <rFont val="Segoe UI"/>
            <family val="2"/>
          </rPr>
          <t>se ROSA
Rocha &gt; Profu.</t>
        </r>
      </text>
    </comment>
    <comment ref="F23" authorId="0" shapeId="0">
      <text>
        <r>
          <rPr>
            <b/>
            <sz val="9"/>
            <color indexed="81"/>
            <rFont val="Segoe UI"/>
            <family val="2"/>
          </rPr>
          <t>se ROSA
sugre-se expurgo
&gt;50%</t>
        </r>
      </text>
    </comment>
    <comment ref="G23" authorId="0" shapeId="0">
      <text>
        <r>
          <rPr>
            <b/>
            <sz val="9"/>
            <color indexed="81"/>
            <rFont val="Segoe UI"/>
            <family val="2"/>
          </rPr>
          <t>se ROSA
sugre-se expurgo
&gt;50%</t>
        </r>
      </text>
    </comment>
    <comment ref="H23" authorId="0" shapeId="0">
      <text>
        <r>
          <rPr>
            <b/>
            <sz val="9"/>
            <color indexed="81"/>
            <rFont val="Segoe UI"/>
            <family val="2"/>
          </rPr>
          <t>se ROSA
sugre-se expurgo
&gt;50%</t>
        </r>
      </text>
    </comment>
    <comment ref="F24" authorId="1" shapeId="0">
      <text>
        <r>
          <rPr>
            <sz val="8"/>
            <color indexed="81"/>
            <rFont val="Tahoma"/>
            <family val="2"/>
          </rPr>
          <t>taludes recomendáveis:
10:1 (rocha)
5:1 (argila)
3:1 (argila arenosa)
1:1 (arenoso e silte)
V:1 (vertical - escorado))</t>
        </r>
      </text>
    </comment>
    <comment ref="G24" authorId="1" shapeId="0">
      <text>
        <r>
          <rPr>
            <sz val="8"/>
            <color indexed="81"/>
            <rFont val="Tahoma"/>
            <family val="2"/>
          </rPr>
          <t>taludes recomendáveis:
10:1 (rocha)
5:1 (argila)
3:1 (argila arenosa)
1:1 (arenoso e silte)
V:1 (vertical - escorado))</t>
        </r>
      </text>
    </comment>
    <comment ref="H24" authorId="1" shapeId="0">
      <text>
        <r>
          <rPr>
            <sz val="8"/>
            <color indexed="81"/>
            <rFont val="Tahoma"/>
            <family val="2"/>
          </rPr>
          <t>taludes recomendáveis:
10:1 (rocha)
5:1 (argila)
3:1 (argila arenosa)
1:1 (arenoso e silte)
V:1 (vertical - escorado))</t>
        </r>
      </text>
    </comment>
    <comment ref="F25" authorId="0" shapeId="0">
      <text>
        <r>
          <rPr>
            <b/>
            <sz val="9"/>
            <color indexed="81"/>
            <rFont val="Segoe UI"/>
            <family val="2"/>
          </rPr>
          <t>se ROSA
sugere-se 
BASE = 0m
se LARANJA
base ≥ 0,40m</t>
        </r>
      </text>
    </comment>
    <comment ref="G25" authorId="0" shapeId="0">
      <text>
        <r>
          <rPr>
            <b/>
            <sz val="9"/>
            <color indexed="81"/>
            <rFont val="Segoe UI"/>
            <family val="2"/>
          </rPr>
          <t>se ROSA
sugere-se 
BASE = 0m
se LARANJA
base ≥ 0,40m</t>
        </r>
      </text>
    </comment>
    <comment ref="H25" authorId="0" shapeId="0">
      <text>
        <r>
          <rPr>
            <b/>
            <sz val="9"/>
            <color indexed="81"/>
            <rFont val="Segoe UI"/>
            <family val="2"/>
          </rPr>
          <t>se ROSA
sugere-se 
BASE = 0m
se LARANJA
base ≥ 0,40m</t>
        </r>
      </text>
    </comment>
    <comment ref="F36" authorId="2" shapeId="0">
      <text>
        <r>
          <rPr>
            <b/>
            <sz val="9"/>
            <color indexed="81"/>
            <rFont val="Segoe UI"/>
            <family val="2"/>
          </rPr>
          <t>se ROSA verificar a seção do dreno
largura comercial 4,30m</t>
        </r>
      </text>
    </comment>
    <comment ref="G36" authorId="2" shapeId="0">
      <text>
        <r>
          <rPr>
            <b/>
            <sz val="9"/>
            <color indexed="81"/>
            <rFont val="Segoe UI"/>
            <family val="2"/>
          </rPr>
          <t>se ROSA verificar a seção do dreno
largura comercial 4,30m</t>
        </r>
      </text>
    </comment>
    <comment ref="H36" authorId="2" shapeId="0">
      <text>
        <r>
          <rPr>
            <b/>
            <sz val="9"/>
            <color indexed="81"/>
            <rFont val="Segoe UI"/>
            <family val="2"/>
          </rPr>
          <t>se ROSA verificar a seção do dreno
largura comercial 4,30m</t>
        </r>
      </text>
    </comment>
    <comment ref="F38" authorId="0" shapeId="0">
      <text>
        <r>
          <rPr>
            <b/>
            <sz val="9"/>
            <color indexed="81"/>
            <rFont val="Segoe UI"/>
            <family val="2"/>
          </rPr>
          <t>se ROSA:
sugere-se adotar fôrma com altura do dreno</t>
        </r>
      </text>
    </comment>
    <comment ref="G38" authorId="0" shapeId="0">
      <text>
        <r>
          <rPr>
            <b/>
            <sz val="9"/>
            <color indexed="81"/>
            <rFont val="Segoe UI"/>
            <family val="2"/>
          </rPr>
          <t>se ROSA:
sugere-se adotar fôrma com altura do dreno</t>
        </r>
      </text>
    </comment>
    <comment ref="H38" authorId="0" shapeId="0">
      <text>
        <r>
          <rPr>
            <b/>
            <sz val="9"/>
            <color indexed="81"/>
            <rFont val="Segoe UI"/>
            <family val="2"/>
          </rPr>
          <t>se ROSA:
sugere-se adotar fôrma com altura do dreno</t>
        </r>
      </text>
    </comment>
    <comment ref="F50" authorId="1" shapeId="0">
      <text>
        <r>
          <rPr>
            <b/>
            <sz val="8"/>
            <color indexed="81"/>
            <rFont val="Tahoma"/>
            <family val="2"/>
          </rPr>
          <t>.:</t>
        </r>
        <r>
          <rPr>
            <sz val="8"/>
            <color indexed="81"/>
            <rFont val="Tahoma"/>
            <family val="2"/>
          </rPr>
          <t xml:space="preserve">
negativo signfica falta de material para aterro</t>
        </r>
      </text>
    </comment>
    <comment ref="G50" authorId="1" shapeId="0">
      <text>
        <r>
          <rPr>
            <b/>
            <sz val="8"/>
            <color indexed="81"/>
            <rFont val="Tahoma"/>
            <family val="2"/>
          </rPr>
          <t>.:</t>
        </r>
        <r>
          <rPr>
            <sz val="8"/>
            <color indexed="81"/>
            <rFont val="Tahoma"/>
            <family val="2"/>
          </rPr>
          <t xml:space="preserve">
negativo signfica falta de material para aterro</t>
        </r>
      </text>
    </comment>
    <comment ref="H50" authorId="1" shapeId="0">
      <text>
        <r>
          <rPr>
            <b/>
            <sz val="8"/>
            <color indexed="81"/>
            <rFont val="Tahoma"/>
            <family val="2"/>
          </rPr>
          <t>.:</t>
        </r>
        <r>
          <rPr>
            <sz val="8"/>
            <color indexed="81"/>
            <rFont val="Tahoma"/>
            <family val="2"/>
          </rPr>
          <t xml:space="preserve">
negativo signfica falta de material para aterro</t>
        </r>
      </text>
    </comment>
    <comment ref="F52" authorId="2" shapeId="0">
      <text>
        <r>
          <rPr>
            <sz val="9"/>
            <color indexed="81"/>
            <rFont val="Segoe UI"/>
            <family val="2"/>
          </rPr>
          <t>V. reaterro / produção do serviço 10m³/h</t>
        </r>
      </text>
    </comment>
    <comment ref="G52" authorId="2" shapeId="0">
      <text>
        <r>
          <rPr>
            <sz val="9"/>
            <color indexed="81"/>
            <rFont val="Segoe UI"/>
            <family val="2"/>
          </rPr>
          <t>V. reaterro / produção do serviço 10m³/h</t>
        </r>
      </text>
    </comment>
    <comment ref="H52" authorId="2" shapeId="0">
      <text>
        <r>
          <rPr>
            <sz val="9"/>
            <color indexed="81"/>
            <rFont val="Segoe UI"/>
            <family val="2"/>
          </rPr>
          <t>V. reaterro / produção do serviço 10m³/h</t>
        </r>
      </text>
    </comment>
  </commentList>
</comments>
</file>

<file path=xl/comments12.xml><?xml version="1.0" encoding="utf-8"?>
<comments xmlns="http://schemas.openxmlformats.org/spreadsheetml/2006/main">
  <authors>
    <author>Ricardo Schettini Figueiredo</author>
  </authors>
  <commentList>
    <comment ref="G52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54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56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</commentList>
</comments>
</file>

<file path=xl/comments13.xml><?xml version="1.0" encoding="utf-8"?>
<comments xmlns="http://schemas.openxmlformats.org/spreadsheetml/2006/main">
  <authors>
    <author>Ricardo Schettini Figueiredo</author>
  </authors>
  <commentList>
    <comment ref="F2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2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2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2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5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5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5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5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6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6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6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6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7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7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7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7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8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8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8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8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9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9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9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9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12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12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12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12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13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13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13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13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16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16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16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16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20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20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20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20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22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22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22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22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24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24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24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24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25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25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25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25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30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30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30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30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34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34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34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34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38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38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38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38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42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42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42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42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44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44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44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44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45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45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45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45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46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46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46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46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50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50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50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50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51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51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51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51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52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52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52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52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55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55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55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55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64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64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64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64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68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68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68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68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78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78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78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78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79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79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79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79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81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81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81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81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82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82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82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82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89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89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89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89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90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90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90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90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92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92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92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92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103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103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103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103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104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104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104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104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105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105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105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105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106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106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106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106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</commentList>
</comments>
</file>

<file path=xl/comments14.xml><?xml version="1.0" encoding="utf-8"?>
<comments xmlns="http://schemas.openxmlformats.org/spreadsheetml/2006/main">
  <authors>
    <author>Ricardo Schettini Figueiredo</author>
  </authors>
  <commentList>
    <comment ref="G2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2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2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J2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4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4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4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J4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5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5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5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J5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6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6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6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J6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7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7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7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J7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26" authorId="0" shapeId="0">
      <text>
        <r>
          <rPr>
            <b/>
            <sz val="9"/>
            <color indexed="81"/>
            <rFont val="Segoe UI"/>
            <family val="2"/>
          </rPr>
          <t>DIGITAR ESPESSURA SOMENTE SE FOR CBUQ OU PMF</t>
        </r>
      </text>
    </comment>
    <comment ref="H26" authorId="0" shapeId="0">
      <text>
        <r>
          <rPr>
            <b/>
            <sz val="9"/>
            <color indexed="81"/>
            <rFont val="Segoe UI"/>
            <family val="2"/>
          </rPr>
          <t>DIGITAR ESPESSURA SOMENTE SE FOR CBUQ OU PMF</t>
        </r>
      </text>
    </comment>
    <comment ref="I26" authorId="0" shapeId="0">
      <text>
        <r>
          <rPr>
            <b/>
            <sz val="9"/>
            <color indexed="81"/>
            <rFont val="Segoe UI"/>
            <family val="2"/>
          </rPr>
          <t>DIGITAR ESPESSURA SOMENTE SE FOR CBUQ OU PMF</t>
        </r>
      </text>
    </comment>
    <comment ref="J26" authorId="0" shapeId="0">
      <text>
        <r>
          <rPr>
            <b/>
            <sz val="9"/>
            <color indexed="81"/>
            <rFont val="Segoe UI"/>
            <family val="2"/>
          </rPr>
          <t>DIGITAR ESPESSURA SOMENTE SE FOR CBUQ OU PMF</t>
        </r>
      </text>
    </comment>
    <comment ref="G31" authorId="0" shapeId="0">
      <text>
        <r>
          <rPr>
            <b/>
            <sz val="9"/>
            <color indexed="81"/>
            <rFont val="Segoe UI"/>
            <family val="2"/>
          </rPr>
          <t>DIGITAR ESPESSURA SOMENTE SE FOR CBUQ OU PMF</t>
        </r>
      </text>
    </comment>
    <comment ref="H31" authorId="0" shapeId="0">
      <text>
        <r>
          <rPr>
            <b/>
            <sz val="9"/>
            <color indexed="81"/>
            <rFont val="Segoe UI"/>
            <family val="2"/>
          </rPr>
          <t>DIGITAR ESPESSURA SOMENTE SE FOR CBUQ OU PMF</t>
        </r>
      </text>
    </comment>
    <comment ref="I31" authorId="0" shapeId="0">
      <text>
        <r>
          <rPr>
            <b/>
            <sz val="9"/>
            <color indexed="81"/>
            <rFont val="Segoe UI"/>
            <family val="2"/>
          </rPr>
          <t>DIGITAR ESPESSURA SOMENTE SE FOR CBUQ OU PMF</t>
        </r>
      </text>
    </comment>
    <comment ref="J31" authorId="0" shapeId="0">
      <text>
        <r>
          <rPr>
            <b/>
            <sz val="9"/>
            <color indexed="81"/>
            <rFont val="Segoe UI"/>
            <family val="2"/>
          </rPr>
          <t>DIGITAR ESPESSURA SOMENTE SE FOR CBUQ OU PMF</t>
        </r>
      </text>
    </comment>
    <comment ref="G36" authorId="0" shapeId="0">
      <text>
        <r>
          <rPr>
            <b/>
            <sz val="9"/>
            <color indexed="81"/>
            <rFont val="Segoe UI"/>
            <family val="2"/>
          </rPr>
          <t>se verde
escolher
sim: para aplicar capa</t>
        </r>
      </text>
    </comment>
    <comment ref="H36" authorId="0" shapeId="0">
      <text>
        <r>
          <rPr>
            <b/>
            <sz val="9"/>
            <color indexed="81"/>
            <rFont val="Segoe UI"/>
            <family val="2"/>
          </rPr>
          <t>se verde
escolher
sim: para aplicar capa</t>
        </r>
      </text>
    </comment>
    <comment ref="I36" authorId="0" shapeId="0">
      <text>
        <r>
          <rPr>
            <b/>
            <sz val="9"/>
            <color indexed="81"/>
            <rFont val="Segoe UI"/>
            <family val="2"/>
          </rPr>
          <t>se verde
escolher
sim: para aplicar capa</t>
        </r>
      </text>
    </comment>
    <comment ref="J36" authorId="0" shapeId="0">
      <text>
        <r>
          <rPr>
            <b/>
            <sz val="9"/>
            <color indexed="81"/>
            <rFont val="Segoe UI"/>
            <family val="2"/>
          </rPr>
          <t>se verde
escolher
sim: para aplicar capa</t>
        </r>
      </text>
    </comment>
    <comment ref="G37" authorId="0" shapeId="0">
      <text>
        <r>
          <rPr>
            <b/>
            <sz val="9"/>
            <color indexed="81"/>
            <rFont val="Segoe UI"/>
            <family val="2"/>
          </rPr>
          <t>DIGITAR ESPESSURA SOMENTE SE FOR CBUQ OU PMF</t>
        </r>
      </text>
    </comment>
    <comment ref="H37" authorId="0" shapeId="0">
      <text>
        <r>
          <rPr>
            <b/>
            <sz val="9"/>
            <color indexed="81"/>
            <rFont val="Segoe UI"/>
            <family val="2"/>
          </rPr>
          <t>DIGITAR ESPESSURA SOMENTE SE FOR CBUQ OU PMF</t>
        </r>
      </text>
    </comment>
    <comment ref="I37" authorId="0" shapeId="0">
      <text>
        <r>
          <rPr>
            <b/>
            <sz val="9"/>
            <color indexed="81"/>
            <rFont val="Segoe UI"/>
            <family val="2"/>
          </rPr>
          <t>DIGITAR ESPESSURA SOMENTE SE FOR CBUQ OU PMF</t>
        </r>
      </text>
    </comment>
    <comment ref="J37" authorId="0" shapeId="0">
      <text>
        <r>
          <rPr>
            <b/>
            <sz val="9"/>
            <color indexed="81"/>
            <rFont val="Segoe UI"/>
            <family val="2"/>
          </rPr>
          <t>DIGITAR ESPESSURA SOMENTE SE FOR CBUQ OU PMF</t>
        </r>
      </text>
    </comment>
    <comment ref="G70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70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70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J70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72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72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72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J72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74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74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74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J74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77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77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77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J77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79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79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79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J79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81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81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81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J81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88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88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88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J88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89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89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89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J89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90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90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90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J90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91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91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91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J91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92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92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92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J92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93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93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I93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J93" authorId="0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</commentList>
</comments>
</file>

<file path=xl/comments15.xml><?xml version="1.0" encoding="utf-8"?>
<comments xmlns="http://schemas.openxmlformats.org/spreadsheetml/2006/main">
  <authors>
    <author>Ricardo Schettini Figueiredo</author>
  </authors>
  <commentList>
    <comment ref="G29" authorId="0" shapeId="0">
      <text>
        <r>
          <rPr>
            <b/>
            <sz val="9"/>
            <color indexed="81"/>
            <rFont val="Segoe UI"/>
            <family val="2"/>
          </rPr>
          <t>se ROSA tem de escolher ou cubação ou espessura</t>
        </r>
      </text>
    </comment>
    <comment ref="H29" authorId="0" shapeId="0">
      <text>
        <r>
          <rPr>
            <b/>
            <sz val="9"/>
            <color indexed="81"/>
            <rFont val="Segoe UI"/>
            <family val="2"/>
          </rPr>
          <t>se ROSA tem de escolher ou cubação ou espessura</t>
        </r>
      </text>
    </comment>
    <comment ref="I29" authorId="0" shapeId="0">
      <text>
        <r>
          <rPr>
            <b/>
            <sz val="9"/>
            <color indexed="81"/>
            <rFont val="Segoe UI"/>
            <family val="2"/>
          </rPr>
          <t>se ROSA tem de escolher ou cubação ou espessura</t>
        </r>
      </text>
    </comment>
    <comment ref="M29" authorId="0" shapeId="0">
      <text>
        <r>
          <rPr>
            <b/>
            <sz val="9"/>
            <color indexed="81"/>
            <rFont val="Segoe UI"/>
            <family val="2"/>
          </rPr>
          <t>se ROSA tem de escolher ou cubação ou espessura</t>
        </r>
      </text>
    </comment>
    <comment ref="G31" authorId="0" shapeId="0">
      <text>
        <r>
          <rPr>
            <b/>
            <sz val="9"/>
            <color indexed="81"/>
            <rFont val="Segoe UI"/>
            <family val="2"/>
          </rPr>
          <t>se VERDE
falta espessura</t>
        </r>
      </text>
    </comment>
    <comment ref="H31" authorId="0" shapeId="0">
      <text>
        <r>
          <rPr>
            <b/>
            <sz val="9"/>
            <color indexed="81"/>
            <rFont val="Segoe UI"/>
            <family val="2"/>
          </rPr>
          <t>se VERDE
falta espessura</t>
        </r>
      </text>
    </comment>
    <comment ref="I31" authorId="0" shapeId="0">
      <text>
        <r>
          <rPr>
            <b/>
            <sz val="9"/>
            <color indexed="81"/>
            <rFont val="Segoe UI"/>
            <family val="2"/>
          </rPr>
          <t>se VERDE
falta espessura</t>
        </r>
      </text>
    </comment>
    <comment ref="M31" authorId="0" shapeId="0">
      <text>
        <r>
          <rPr>
            <b/>
            <sz val="9"/>
            <color indexed="81"/>
            <rFont val="Segoe UI"/>
            <family val="2"/>
          </rPr>
          <t>se VERDE
falta espessura</t>
        </r>
      </text>
    </comment>
    <comment ref="G33" authorId="0" shapeId="0">
      <text>
        <r>
          <rPr>
            <b/>
            <sz val="9"/>
            <color indexed="81"/>
            <rFont val="Segoe UI"/>
            <family val="2"/>
          </rPr>
          <t>se ROSA tem de escolher ou cubação ou espessura</t>
        </r>
      </text>
    </comment>
    <comment ref="H33" authorId="0" shapeId="0">
      <text>
        <r>
          <rPr>
            <b/>
            <sz val="9"/>
            <color indexed="81"/>
            <rFont val="Segoe UI"/>
            <family val="2"/>
          </rPr>
          <t>se ROSA tem de escolher ou cubação ou espessura</t>
        </r>
      </text>
    </comment>
    <comment ref="I33" authorId="0" shapeId="0">
      <text>
        <r>
          <rPr>
            <b/>
            <sz val="9"/>
            <color indexed="81"/>
            <rFont val="Segoe UI"/>
            <family val="2"/>
          </rPr>
          <t>se ROSA tem de escolher ou cubação ou espessura</t>
        </r>
      </text>
    </comment>
    <comment ref="M33" authorId="0" shapeId="0">
      <text>
        <r>
          <rPr>
            <b/>
            <sz val="9"/>
            <color indexed="81"/>
            <rFont val="Segoe UI"/>
            <family val="2"/>
          </rPr>
          <t>se ROSA tem de escolher ou cubação ou espessura</t>
        </r>
      </text>
    </comment>
    <comment ref="G37" authorId="0" shapeId="0">
      <text>
        <r>
          <rPr>
            <b/>
            <sz val="9"/>
            <color indexed="81"/>
            <rFont val="Segoe UI"/>
            <family val="2"/>
          </rPr>
          <t>se ROSA tem de escolher ou cubação ou espessura</t>
        </r>
      </text>
    </comment>
    <comment ref="H37" authorId="0" shapeId="0">
      <text>
        <r>
          <rPr>
            <b/>
            <sz val="9"/>
            <color indexed="81"/>
            <rFont val="Segoe UI"/>
            <family val="2"/>
          </rPr>
          <t>se ROSA tem de escolher ou cubação ou espessura</t>
        </r>
      </text>
    </comment>
    <comment ref="I37" authorId="0" shapeId="0">
      <text>
        <r>
          <rPr>
            <b/>
            <sz val="9"/>
            <color indexed="81"/>
            <rFont val="Segoe UI"/>
            <family val="2"/>
          </rPr>
          <t>se ROSA tem de escolher ou cubação ou espessura</t>
        </r>
      </text>
    </comment>
    <comment ref="M37" authorId="0" shapeId="0">
      <text>
        <r>
          <rPr>
            <b/>
            <sz val="9"/>
            <color indexed="81"/>
            <rFont val="Segoe UI"/>
            <family val="2"/>
          </rPr>
          <t>se ROSA tem de escolher ou cubação ou espessura</t>
        </r>
      </text>
    </comment>
    <comment ref="G40" authorId="0" shapeId="0">
      <text>
        <r>
          <rPr>
            <b/>
            <sz val="9"/>
            <color indexed="81"/>
            <rFont val="Segoe UI"/>
            <family val="2"/>
          </rPr>
          <t>se VERDE
falta extensão</t>
        </r>
      </text>
    </comment>
    <comment ref="H40" authorId="0" shapeId="0">
      <text>
        <r>
          <rPr>
            <b/>
            <sz val="9"/>
            <color indexed="81"/>
            <rFont val="Segoe UI"/>
            <family val="2"/>
          </rPr>
          <t>se VERDE
falta extensão</t>
        </r>
      </text>
    </comment>
    <comment ref="I40" authorId="0" shapeId="0">
      <text>
        <r>
          <rPr>
            <b/>
            <sz val="9"/>
            <color indexed="81"/>
            <rFont val="Segoe UI"/>
            <family val="2"/>
          </rPr>
          <t>se VERDE
falta extensão</t>
        </r>
      </text>
    </comment>
    <comment ref="M40" authorId="0" shapeId="0">
      <text>
        <r>
          <rPr>
            <b/>
            <sz val="9"/>
            <color indexed="81"/>
            <rFont val="Segoe UI"/>
            <family val="2"/>
          </rPr>
          <t>se VERDE
falta extensão</t>
        </r>
      </text>
    </comment>
    <comment ref="G41" authorId="0" shapeId="0">
      <text>
        <r>
          <rPr>
            <b/>
            <sz val="9"/>
            <color indexed="81"/>
            <rFont val="Segoe UI"/>
            <family val="2"/>
          </rPr>
          <t>se ROSA tem de escolher ou cubação ou espessura</t>
        </r>
      </text>
    </comment>
    <comment ref="H41" authorId="0" shapeId="0">
      <text>
        <r>
          <rPr>
            <b/>
            <sz val="9"/>
            <color indexed="81"/>
            <rFont val="Segoe UI"/>
            <family val="2"/>
          </rPr>
          <t>se ROSA tem de escolher ou cubação ou espessura</t>
        </r>
      </text>
    </comment>
    <comment ref="I41" authorId="0" shapeId="0">
      <text>
        <r>
          <rPr>
            <b/>
            <sz val="9"/>
            <color indexed="81"/>
            <rFont val="Segoe UI"/>
            <family val="2"/>
          </rPr>
          <t>se ROSA tem de escolher ou cubação ou espessura</t>
        </r>
      </text>
    </comment>
    <comment ref="M41" authorId="0" shapeId="0">
      <text>
        <r>
          <rPr>
            <b/>
            <sz val="9"/>
            <color indexed="81"/>
            <rFont val="Segoe UI"/>
            <family val="2"/>
          </rPr>
          <t>se ROSA tem de escolher ou cubação ou espessura</t>
        </r>
      </text>
    </comment>
    <comment ref="G44" authorId="0" shapeId="0">
      <text>
        <r>
          <rPr>
            <b/>
            <sz val="9"/>
            <color indexed="81"/>
            <rFont val="Segoe UI"/>
            <family val="2"/>
          </rPr>
          <t>se VERDE
falta extensão</t>
        </r>
      </text>
    </comment>
    <comment ref="H44" authorId="0" shapeId="0">
      <text>
        <r>
          <rPr>
            <b/>
            <sz val="9"/>
            <color indexed="81"/>
            <rFont val="Segoe UI"/>
            <family val="2"/>
          </rPr>
          <t>se VERDE
falta extensão</t>
        </r>
      </text>
    </comment>
    <comment ref="I44" authorId="0" shapeId="0">
      <text>
        <r>
          <rPr>
            <b/>
            <sz val="9"/>
            <color indexed="81"/>
            <rFont val="Segoe UI"/>
            <family val="2"/>
          </rPr>
          <t>se VERDE
falta extensão</t>
        </r>
      </text>
    </comment>
    <comment ref="M44" authorId="0" shapeId="0">
      <text>
        <r>
          <rPr>
            <b/>
            <sz val="9"/>
            <color indexed="81"/>
            <rFont val="Segoe UI"/>
            <family val="2"/>
          </rPr>
          <t>se VERDE
falta extensão</t>
        </r>
      </text>
    </comment>
    <comment ref="G45" authorId="0" shapeId="0">
      <text>
        <r>
          <rPr>
            <b/>
            <sz val="9"/>
            <color indexed="81"/>
            <rFont val="Segoe UI"/>
            <family val="2"/>
          </rPr>
          <t>se ROSA tem de escolher ou cubação ou espessura</t>
        </r>
      </text>
    </comment>
    <comment ref="H45" authorId="0" shapeId="0">
      <text>
        <r>
          <rPr>
            <b/>
            <sz val="9"/>
            <color indexed="81"/>
            <rFont val="Segoe UI"/>
            <family val="2"/>
          </rPr>
          <t>se ROSA tem de escolher ou cubação ou espessura</t>
        </r>
      </text>
    </comment>
    <comment ref="I45" authorId="0" shapeId="0">
      <text>
        <r>
          <rPr>
            <b/>
            <sz val="9"/>
            <color indexed="81"/>
            <rFont val="Segoe UI"/>
            <family val="2"/>
          </rPr>
          <t>se ROSA tem de escolher ou cubação ou espessura</t>
        </r>
      </text>
    </comment>
    <comment ref="M45" authorId="0" shapeId="0">
      <text>
        <r>
          <rPr>
            <b/>
            <sz val="9"/>
            <color indexed="81"/>
            <rFont val="Segoe UI"/>
            <family val="2"/>
          </rPr>
          <t>se ROSA tem de escolher ou cubação ou espessura</t>
        </r>
      </text>
    </comment>
    <comment ref="G48" authorId="0" shapeId="0">
      <text>
        <r>
          <rPr>
            <b/>
            <sz val="9"/>
            <color indexed="81"/>
            <rFont val="Segoe UI"/>
            <family val="2"/>
          </rPr>
          <t>se VERDE
falta extensão</t>
        </r>
      </text>
    </comment>
    <comment ref="H48" authorId="0" shapeId="0">
      <text>
        <r>
          <rPr>
            <b/>
            <sz val="9"/>
            <color indexed="81"/>
            <rFont val="Segoe UI"/>
            <family val="2"/>
          </rPr>
          <t>se VERDE
falta extensão</t>
        </r>
      </text>
    </comment>
    <comment ref="I48" authorId="0" shapeId="0">
      <text>
        <r>
          <rPr>
            <b/>
            <sz val="9"/>
            <color indexed="81"/>
            <rFont val="Segoe UI"/>
            <family val="2"/>
          </rPr>
          <t>se VERDE
falta extensão</t>
        </r>
      </text>
    </comment>
    <comment ref="M48" authorId="0" shapeId="0">
      <text>
        <r>
          <rPr>
            <b/>
            <sz val="9"/>
            <color indexed="81"/>
            <rFont val="Segoe UI"/>
            <family val="2"/>
          </rPr>
          <t>se VERDE
falta extensão</t>
        </r>
      </text>
    </comment>
    <comment ref="G49" authorId="0" shapeId="0">
      <text>
        <r>
          <rPr>
            <b/>
            <sz val="9"/>
            <color indexed="81"/>
            <rFont val="Segoe UI"/>
            <family val="2"/>
          </rPr>
          <t>se ROSA tem de escolher ou cubação ou espessura</t>
        </r>
      </text>
    </comment>
    <comment ref="H49" authorId="0" shapeId="0">
      <text>
        <r>
          <rPr>
            <b/>
            <sz val="9"/>
            <color indexed="81"/>
            <rFont val="Segoe UI"/>
            <family val="2"/>
          </rPr>
          <t>se ROSA tem de escolher ou cubação ou espessura</t>
        </r>
      </text>
    </comment>
    <comment ref="I49" authorId="0" shapeId="0">
      <text>
        <r>
          <rPr>
            <b/>
            <sz val="9"/>
            <color indexed="81"/>
            <rFont val="Segoe UI"/>
            <family val="2"/>
          </rPr>
          <t>se ROSA tem de escolher ou cubação ou espessura</t>
        </r>
      </text>
    </comment>
    <comment ref="M49" authorId="0" shapeId="0">
      <text>
        <r>
          <rPr>
            <b/>
            <sz val="9"/>
            <color indexed="81"/>
            <rFont val="Segoe UI"/>
            <family val="2"/>
          </rPr>
          <t>se ROSA tem de escolher ou cubação ou espessura</t>
        </r>
      </text>
    </comment>
    <comment ref="G52" authorId="0" shapeId="0">
      <text>
        <r>
          <rPr>
            <b/>
            <sz val="9"/>
            <color indexed="81"/>
            <rFont val="Segoe UI"/>
            <family val="2"/>
          </rPr>
          <t>se VERDE
falta extensão</t>
        </r>
      </text>
    </comment>
    <comment ref="H52" authorId="0" shapeId="0">
      <text>
        <r>
          <rPr>
            <b/>
            <sz val="9"/>
            <color indexed="81"/>
            <rFont val="Segoe UI"/>
            <family val="2"/>
          </rPr>
          <t>se VERDE
falta extensão</t>
        </r>
      </text>
    </comment>
    <comment ref="I52" authorId="0" shapeId="0">
      <text>
        <r>
          <rPr>
            <b/>
            <sz val="9"/>
            <color indexed="81"/>
            <rFont val="Segoe UI"/>
            <family val="2"/>
          </rPr>
          <t>se VERDE
falta extensão</t>
        </r>
      </text>
    </comment>
    <comment ref="M52" authorId="0" shapeId="0">
      <text>
        <r>
          <rPr>
            <b/>
            <sz val="9"/>
            <color indexed="81"/>
            <rFont val="Segoe UI"/>
            <family val="2"/>
          </rPr>
          <t>se VERDE
falta extensão</t>
        </r>
      </text>
    </comment>
    <comment ref="G53" authorId="0" shapeId="0">
      <text>
        <r>
          <rPr>
            <b/>
            <sz val="9"/>
            <color indexed="81"/>
            <rFont val="Segoe UI"/>
            <family val="2"/>
          </rPr>
          <t>se ROSA tem de escolher ou cubação ou espessura</t>
        </r>
      </text>
    </comment>
    <comment ref="H53" authorId="0" shapeId="0">
      <text>
        <r>
          <rPr>
            <b/>
            <sz val="9"/>
            <color indexed="81"/>
            <rFont val="Segoe UI"/>
            <family val="2"/>
          </rPr>
          <t>se ROSA tem de escolher ou cubação ou espessura</t>
        </r>
      </text>
    </comment>
    <comment ref="I53" authorId="0" shapeId="0">
      <text>
        <r>
          <rPr>
            <b/>
            <sz val="9"/>
            <color indexed="81"/>
            <rFont val="Segoe UI"/>
            <family val="2"/>
          </rPr>
          <t>se ROSA tem de escolher ou cubação ou espessura</t>
        </r>
      </text>
    </comment>
    <comment ref="M53" authorId="0" shapeId="0">
      <text>
        <r>
          <rPr>
            <b/>
            <sz val="9"/>
            <color indexed="81"/>
            <rFont val="Segoe UI"/>
            <family val="2"/>
          </rPr>
          <t>se ROSA tem de escolher ou cubação ou espessura</t>
        </r>
      </text>
    </comment>
    <comment ref="G56" authorId="0" shapeId="0">
      <text>
        <r>
          <rPr>
            <b/>
            <sz val="9"/>
            <color indexed="81"/>
            <rFont val="Segoe UI"/>
            <family val="2"/>
          </rPr>
          <t>se VERDE
falta extensão</t>
        </r>
      </text>
    </comment>
    <comment ref="H56" authorId="0" shapeId="0">
      <text>
        <r>
          <rPr>
            <b/>
            <sz val="9"/>
            <color indexed="81"/>
            <rFont val="Segoe UI"/>
            <family val="2"/>
          </rPr>
          <t>se VERDE
falta extensão</t>
        </r>
      </text>
    </comment>
    <comment ref="I56" authorId="0" shapeId="0">
      <text>
        <r>
          <rPr>
            <b/>
            <sz val="9"/>
            <color indexed="81"/>
            <rFont val="Segoe UI"/>
            <family val="2"/>
          </rPr>
          <t>se VERDE
falta extensão</t>
        </r>
      </text>
    </comment>
    <comment ref="M56" authorId="0" shapeId="0">
      <text>
        <r>
          <rPr>
            <b/>
            <sz val="9"/>
            <color indexed="81"/>
            <rFont val="Segoe UI"/>
            <family val="2"/>
          </rPr>
          <t>se VERDE
falta extensão</t>
        </r>
      </text>
    </comment>
    <comment ref="G57" authorId="0" shapeId="0">
      <text>
        <r>
          <rPr>
            <b/>
            <sz val="9"/>
            <color indexed="81"/>
            <rFont val="Segoe UI"/>
            <family val="2"/>
          </rPr>
          <t>se ROSA tem de escolher ou cubação ou espessura</t>
        </r>
      </text>
    </comment>
    <comment ref="H57" authorId="0" shapeId="0">
      <text>
        <r>
          <rPr>
            <b/>
            <sz val="9"/>
            <color indexed="81"/>
            <rFont val="Segoe UI"/>
            <family val="2"/>
          </rPr>
          <t>se ROSA tem de escolher ou cubação ou espessura</t>
        </r>
      </text>
    </comment>
    <comment ref="I57" authorId="0" shapeId="0">
      <text>
        <r>
          <rPr>
            <b/>
            <sz val="9"/>
            <color indexed="81"/>
            <rFont val="Segoe UI"/>
            <family val="2"/>
          </rPr>
          <t>se ROSA tem de escolher ou cubação ou espessura</t>
        </r>
      </text>
    </comment>
    <comment ref="M57" authorId="0" shapeId="0">
      <text>
        <r>
          <rPr>
            <b/>
            <sz val="9"/>
            <color indexed="81"/>
            <rFont val="Segoe UI"/>
            <family val="2"/>
          </rPr>
          <t>se ROSA tem de escolher ou cubação ou espessura</t>
        </r>
      </text>
    </comment>
    <comment ref="G60" authorId="0" shapeId="0">
      <text>
        <r>
          <rPr>
            <b/>
            <sz val="9"/>
            <color indexed="81"/>
            <rFont val="Segoe UI"/>
            <family val="2"/>
          </rPr>
          <t>se VERDE
falta extensão</t>
        </r>
      </text>
    </comment>
    <comment ref="H60" authorId="0" shapeId="0">
      <text>
        <r>
          <rPr>
            <b/>
            <sz val="9"/>
            <color indexed="81"/>
            <rFont val="Segoe UI"/>
            <family val="2"/>
          </rPr>
          <t>se VERDE
falta extensão</t>
        </r>
      </text>
    </comment>
    <comment ref="I60" authorId="0" shapeId="0">
      <text>
        <r>
          <rPr>
            <b/>
            <sz val="9"/>
            <color indexed="81"/>
            <rFont val="Segoe UI"/>
            <family val="2"/>
          </rPr>
          <t>se VERDE
falta extensão</t>
        </r>
      </text>
    </comment>
    <comment ref="M60" authorId="0" shapeId="0">
      <text>
        <r>
          <rPr>
            <b/>
            <sz val="9"/>
            <color indexed="81"/>
            <rFont val="Segoe UI"/>
            <family val="2"/>
          </rPr>
          <t>se VERDE
falta extensão</t>
        </r>
      </text>
    </comment>
    <comment ref="G61" authorId="0" shapeId="0">
      <text>
        <r>
          <rPr>
            <b/>
            <sz val="9"/>
            <color indexed="81"/>
            <rFont val="Segoe UI"/>
            <family val="2"/>
          </rPr>
          <t>se ROSA tem de escolher ou cubação ou espessura</t>
        </r>
      </text>
    </comment>
    <comment ref="H61" authorId="0" shapeId="0">
      <text>
        <r>
          <rPr>
            <b/>
            <sz val="9"/>
            <color indexed="81"/>
            <rFont val="Segoe UI"/>
            <family val="2"/>
          </rPr>
          <t>se ROSA tem de escolher ou cubação ou espessura</t>
        </r>
      </text>
    </comment>
    <comment ref="I61" authorId="0" shapeId="0">
      <text>
        <r>
          <rPr>
            <b/>
            <sz val="9"/>
            <color indexed="81"/>
            <rFont val="Segoe UI"/>
            <family val="2"/>
          </rPr>
          <t>se ROSA tem de escolher ou cubação ou espessura</t>
        </r>
      </text>
    </comment>
    <comment ref="M61" authorId="0" shapeId="0">
      <text>
        <r>
          <rPr>
            <b/>
            <sz val="9"/>
            <color indexed="81"/>
            <rFont val="Segoe UI"/>
            <family val="2"/>
          </rPr>
          <t>se ROSA tem de escolher ou cubação ou espessura</t>
        </r>
      </text>
    </comment>
    <comment ref="G64" authorId="0" shapeId="0">
      <text>
        <r>
          <rPr>
            <b/>
            <sz val="9"/>
            <color indexed="81"/>
            <rFont val="Segoe UI"/>
            <family val="2"/>
          </rPr>
          <t>se ROSA tem de escolher ou cubação ou espessura</t>
        </r>
      </text>
    </comment>
    <comment ref="H64" authorId="0" shapeId="0">
      <text>
        <r>
          <rPr>
            <b/>
            <sz val="9"/>
            <color indexed="81"/>
            <rFont val="Segoe UI"/>
            <family val="2"/>
          </rPr>
          <t>se ROSA tem de escolher ou cubação ou espessura</t>
        </r>
      </text>
    </comment>
    <comment ref="I64" authorId="0" shapeId="0">
      <text>
        <r>
          <rPr>
            <b/>
            <sz val="9"/>
            <color indexed="81"/>
            <rFont val="Segoe UI"/>
            <family val="2"/>
          </rPr>
          <t>se ROSA tem de escolher ou cubação ou espessura</t>
        </r>
      </text>
    </comment>
    <comment ref="M64" authorId="0" shapeId="0">
      <text>
        <r>
          <rPr>
            <b/>
            <sz val="9"/>
            <color indexed="81"/>
            <rFont val="Segoe UI"/>
            <family val="2"/>
          </rPr>
          <t>se ROSA tem de escolher ou cubação ou espessura</t>
        </r>
      </text>
    </comment>
    <comment ref="G68" authorId="0" shapeId="0">
      <text>
        <r>
          <rPr>
            <b/>
            <sz val="9"/>
            <color indexed="81"/>
            <rFont val="Segoe UI"/>
            <family val="2"/>
          </rPr>
          <t>se ROSA tem de escolher ou cubação ou espessura</t>
        </r>
      </text>
    </comment>
    <comment ref="H68" authorId="0" shapeId="0">
      <text>
        <r>
          <rPr>
            <b/>
            <sz val="9"/>
            <color indexed="81"/>
            <rFont val="Segoe UI"/>
            <family val="2"/>
          </rPr>
          <t>se ROSA tem de escolher ou cubação ou espessura</t>
        </r>
      </text>
    </comment>
    <comment ref="I68" authorId="0" shapeId="0">
      <text>
        <r>
          <rPr>
            <b/>
            <sz val="9"/>
            <color indexed="81"/>
            <rFont val="Segoe UI"/>
            <family val="2"/>
          </rPr>
          <t>se ROSA tem de escolher ou cubação ou espessura</t>
        </r>
      </text>
    </comment>
    <comment ref="M68" authorId="0" shapeId="0">
      <text>
        <r>
          <rPr>
            <b/>
            <sz val="9"/>
            <color indexed="81"/>
            <rFont val="Segoe UI"/>
            <family val="2"/>
          </rPr>
          <t>se ROSA tem de escolher ou cubação ou espessura</t>
        </r>
      </text>
    </comment>
    <comment ref="G78" authorId="0" shapeId="0">
      <text>
        <r>
          <rPr>
            <b/>
            <sz val="9"/>
            <color indexed="81"/>
            <rFont val="Segoe UI"/>
            <family val="2"/>
          </rPr>
          <t>NÃO
DIGITAR
AQUI</t>
        </r>
      </text>
    </comment>
    <comment ref="H78" authorId="0" shapeId="0">
      <text>
        <r>
          <rPr>
            <b/>
            <sz val="9"/>
            <color indexed="81"/>
            <rFont val="Segoe UI"/>
            <family val="2"/>
          </rPr>
          <t>NÃO
DIGITAR
AQUI</t>
        </r>
      </text>
    </comment>
    <comment ref="I78" authorId="0" shapeId="0">
      <text>
        <r>
          <rPr>
            <b/>
            <sz val="9"/>
            <color indexed="81"/>
            <rFont val="Segoe UI"/>
            <family val="2"/>
          </rPr>
          <t>NÃO
DIGITAR
AQUI</t>
        </r>
      </text>
    </comment>
    <comment ref="M78" authorId="0" shapeId="0">
      <text>
        <r>
          <rPr>
            <b/>
            <sz val="9"/>
            <color indexed="81"/>
            <rFont val="Segoe UI"/>
            <family val="2"/>
          </rPr>
          <t>NÃO
DIGITAR
AQUI</t>
        </r>
      </text>
    </comment>
  </commentList>
</comments>
</file>

<file path=xl/comments16.xml><?xml version="1.0" encoding="utf-8"?>
<comments xmlns="http://schemas.openxmlformats.org/spreadsheetml/2006/main">
  <authors>
    <author>Ricardo Schettini Figueiredo</author>
  </authors>
  <commentList>
    <comment ref="F88" authorId="0" shapeId="0">
      <text>
        <r>
          <rPr>
            <b/>
            <sz val="9"/>
            <color indexed="81"/>
            <rFont val="Segoe UI"/>
            <family val="2"/>
          </rPr>
          <t>se VERMELHO
falta extensão
ou
tem volume
ERRADO</t>
        </r>
      </text>
    </comment>
    <comment ref="G88" authorId="0" shapeId="0">
      <text>
        <r>
          <rPr>
            <b/>
            <sz val="9"/>
            <color indexed="81"/>
            <rFont val="Segoe UI"/>
            <family val="2"/>
          </rPr>
          <t>se VERMELHO
falta extensão
ou
tem volume
ERRADO</t>
        </r>
      </text>
    </comment>
    <comment ref="H88" authorId="0" shapeId="0">
      <text>
        <r>
          <rPr>
            <b/>
            <sz val="9"/>
            <color indexed="81"/>
            <rFont val="Segoe UI"/>
            <family val="2"/>
          </rPr>
          <t>se VERMELHO
falta extensão
ou
tem volume
ERRADO</t>
        </r>
      </text>
    </comment>
    <comment ref="L88" authorId="0" shapeId="0">
      <text>
        <r>
          <rPr>
            <b/>
            <sz val="9"/>
            <color indexed="81"/>
            <rFont val="Segoe UI"/>
            <family val="2"/>
          </rPr>
          <t>se VERMELHO
falta extensão
ou
tem volume
ERRADO</t>
        </r>
      </text>
    </comment>
  </commentList>
</comments>
</file>

<file path=xl/comments17.xml><?xml version="1.0" encoding="utf-8"?>
<comments xmlns="http://schemas.openxmlformats.org/spreadsheetml/2006/main">
  <authors>
    <author>Ricardo Schettini Figueiredo</author>
  </authors>
  <commentList>
    <comment ref="G8" authorId="0" shapeId="0">
      <text>
        <r>
          <rPr>
            <b/>
            <sz val="9"/>
            <color indexed="81"/>
            <rFont val="Segoe UI"/>
            <family val="2"/>
          </rPr>
          <t>se VERMELHO
extensão do colchão &gt; extensão da via</t>
        </r>
      </text>
    </comment>
    <comment ref="H8" authorId="0" shapeId="0">
      <text>
        <r>
          <rPr>
            <b/>
            <sz val="9"/>
            <color indexed="81"/>
            <rFont val="Segoe UI"/>
            <family val="2"/>
          </rPr>
          <t>se VERMELHO
extensão do colchão &gt; extensão da via</t>
        </r>
      </text>
    </comment>
    <comment ref="I8" authorId="0" shapeId="0">
      <text>
        <r>
          <rPr>
            <b/>
            <sz val="9"/>
            <color indexed="81"/>
            <rFont val="Segoe UI"/>
            <family val="2"/>
          </rPr>
          <t>se VERMELHO
extensão do colchão &gt; extensão da via</t>
        </r>
      </text>
    </comment>
    <comment ref="M8" authorId="0" shapeId="0">
      <text>
        <r>
          <rPr>
            <b/>
            <sz val="9"/>
            <color indexed="81"/>
            <rFont val="Segoe UI"/>
            <family val="2"/>
          </rPr>
          <t>se VERMELHO
extensão do colchão &gt; extensão da via</t>
        </r>
      </text>
    </comment>
    <comment ref="G23" authorId="0" shapeId="0">
      <text>
        <r>
          <rPr>
            <b/>
            <sz val="9"/>
            <color indexed="81"/>
            <rFont val="Segoe UI"/>
            <family val="2"/>
          </rPr>
          <t>0%
ou
2%
ou
4%
ou
6%
ou
8%</t>
        </r>
      </text>
    </comment>
    <comment ref="H23" authorId="0" shapeId="0">
      <text>
        <r>
          <rPr>
            <b/>
            <sz val="9"/>
            <color indexed="81"/>
            <rFont val="Segoe UI"/>
            <family val="2"/>
          </rPr>
          <t>0%
ou
2%
ou
4%
ou
6%
ou
8%</t>
        </r>
      </text>
    </comment>
    <comment ref="I23" authorId="0" shapeId="0">
      <text>
        <r>
          <rPr>
            <b/>
            <sz val="9"/>
            <color indexed="81"/>
            <rFont val="Segoe UI"/>
            <family val="2"/>
          </rPr>
          <t>0%
ou
2%
ou
4%
ou
6%
ou
8%</t>
        </r>
      </text>
    </comment>
    <comment ref="M23" authorId="0" shapeId="0">
      <text>
        <r>
          <rPr>
            <b/>
            <sz val="9"/>
            <color indexed="81"/>
            <rFont val="Segoe UI"/>
            <family val="2"/>
          </rPr>
          <t>0%
ou
2%
ou
4%
ou
6%
ou
8%</t>
        </r>
      </text>
    </comment>
    <comment ref="G49" authorId="0" shapeId="0">
      <text>
        <r>
          <rPr>
            <b/>
            <sz val="9"/>
            <color indexed="81"/>
            <rFont val="Segoe UI"/>
            <family val="2"/>
          </rPr>
          <t>0%
ou
2%
ou
4%
ou
6%
ou
8%</t>
        </r>
      </text>
    </comment>
    <comment ref="H49" authorId="0" shapeId="0">
      <text>
        <r>
          <rPr>
            <b/>
            <sz val="9"/>
            <color indexed="81"/>
            <rFont val="Segoe UI"/>
            <family val="2"/>
          </rPr>
          <t>0%
ou
2%
ou
4%
ou
6%
ou
8%</t>
        </r>
      </text>
    </comment>
    <comment ref="I49" authorId="0" shapeId="0">
      <text>
        <r>
          <rPr>
            <b/>
            <sz val="9"/>
            <color indexed="81"/>
            <rFont val="Segoe UI"/>
            <family val="2"/>
          </rPr>
          <t>0%
ou
2%
ou
4%
ou
6%
ou
8%</t>
        </r>
      </text>
    </comment>
    <comment ref="M49" authorId="0" shapeId="0">
      <text>
        <r>
          <rPr>
            <b/>
            <sz val="9"/>
            <color indexed="81"/>
            <rFont val="Segoe UI"/>
            <family val="2"/>
          </rPr>
          <t>0%
ou
2%
ou
4%
ou
6%
ou
8%</t>
        </r>
      </text>
    </comment>
  </commentList>
</comments>
</file>

<file path=xl/comments18.xml><?xml version="1.0" encoding="utf-8"?>
<comments xmlns="http://schemas.openxmlformats.org/spreadsheetml/2006/main">
  <authors>
    <author>Ricardo Schettini Figueiredo</author>
  </authors>
  <commentList>
    <comment ref="G42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H42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I42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J42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M42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G49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H49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I49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J49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M49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G56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H56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I56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J56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M56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G63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H63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I63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J63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M63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G70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H70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I70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J70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M70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G77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H77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I77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J77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M77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G84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H84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I84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J84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M84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G92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H92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I92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J92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M92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G99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H99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I99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J99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M99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G106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H106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I106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J106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M106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G113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H113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I113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J113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M113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G120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H120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I120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J120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M120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G127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H127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I127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J127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M127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G135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H135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I135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J135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M135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G142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H142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I142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J142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M142" authorId="0" shapeId="0">
      <text>
        <r>
          <rPr>
            <b/>
            <sz val="9"/>
            <color indexed="81"/>
            <rFont val="Segoe UI"/>
            <family val="2"/>
          </rPr>
          <t>se ROSA
demolição
maior que
implantação</t>
        </r>
      </text>
    </comment>
    <comment ref="G159" authorId="0" shapeId="0">
      <text>
        <r>
          <rPr>
            <b/>
            <sz val="9"/>
            <color indexed="81"/>
            <rFont val="Segoe UI"/>
            <family val="2"/>
          </rPr>
          <t>se ROSA
demolição
maior que
construção</t>
        </r>
      </text>
    </comment>
    <comment ref="H159" authorId="0" shapeId="0">
      <text>
        <r>
          <rPr>
            <b/>
            <sz val="9"/>
            <color indexed="81"/>
            <rFont val="Segoe UI"/>
            <family val="2"/>
          </rPr>
          <t>se ROSA
demolição
maior que
construção</t>
        </r>
      </text>
    </comment>
    <comment ref="I159" authorId="0" shapeId="0">
      <text>
        <r>
          <rPr>
            <b/>
            <sz val="9"/>
            <color indexed="81"/>
            <rFont val="Segoe UI"/>
            <family val="2"/>
          </rPr>
          <t>se ROSA
demolição
maior que
construção</t>
        </r>
      </text>
    </comment>
    <comment ref="J159" authorId="0" shapeId="0">
      <text>
        <r>
          <rPr>
            <b/>
            <sz val="9"/>
            <color indexed="81"/>
            <rFont val="Segoe UI"/>
            <family val="2"/>
          </rPr>
          <t>se ROSA
demolição
maior que
construção</t>
        </r>
      </text>
    </comment>
    <comment ref="M159" authorId="0" shapeId="0">
      <text>
        <r>
          <rPr>
            <b/>
            <sz val="9"/>
            <color indexed="81"/>
            <rFont val="Segoe UI"/>
            <family val="2"/>
          </rPr>
          <t>se ROSA
demolição
maior que
construção</t>
        </r>
      </text>
    </comment>
    <comment ref="G162" authorId="0" shapeId="0">
      <text>
        <r>
          <rPr>
            <b/>
            <sz val="9"/>
            <color indexed="81"/>
            <rFont val="Segoe UI"/>
            <family val="2"/>
          </rPr>
          <t>somar
rampa nova.
Somente se
linear for ZERO
suprimida
área tátil</t>
        </r>
      </text>
    </comment>
    <comment ref="H162" authorId="0" shapeId="0">
      <text>
        <r>
          <rPr>
            <b/>
            <sz val="9"/>
            <color indexed="81"/>
            <rFont val="Segoe UI"/>
            <family val="2"/>
          </rPr>
          <t>somar
rampa nova.
Somente se
linear for ZERO
suprimida
área tátil</t>
        </r>
      </text>
    </comment>
    <comment ref="I162" authorId="0" shapeId="0">
      <text>
        <r>
          <rPr>
            <b/>
            <sz val="9"/>
            <color indexed="81"/>
            <rFont val="Segoe UI"/>
            <family val="2"/>
          </rPr>
          <t>somar
rampa nova.
Somente se
linear for ZERO
suprimida
área tátil</t>
        </r>
      </text>
    </comment>
    <comment ref="J162" authorId="0" shapeId="0">
      <text>
        <r>
          <rPr>
            <b/>
            <sz val="9"/>
            <color indexed="81"/>
            <rFont val="Segoe UI"/>
            <family val="2"/>
          </rPr>
          <t>somar
rampa nova.
Somente se
linear for ZERO
suprimida
área tátil</t>
        </r>
      </text>
    </comment>
    <comment ref="M162" authorId="0" shapeId="0">
      <text>
        <r>
          <rPr>
            <b/>
            <sz val="9"/>
            <color indexed="81"/>
            <rFont val="Segoe UI"/>
            <family val="2"/>
          </rPr>
          <t>somar
rampa nova.
Somente se
linear for ZERO
suprimida
área tátil</t>
        </r>
      </text>
    </comment>
  </commentList>
</comments>
</file>

<file path=xl/comments19.xml><?xml version="1.0" encoding="utf-8"?>
<comments xmlns="http://schemas.openxmlformats.org/spreadsheetml/2006/main">
  <authors>
    <author>tc={D6C78E67-F792-4BED-97F9-FA98DD7EEB4E}</author>
    <author>tc={F41E0493-AB36-47DC-88BA-B86AAF59DD26}</author>
    <author>tc={EF185630-6B6A-41F6-9197-11D42D0CEDBB}</author>
    <author>tc={EADCF8F0-C3F9-4F32-A9C7-B542AA7D7D4D}</author>
    <author>tc={33411486-F9D4-48A8-9BA8-7C41BC3BBA49}</author>
    <author>tc={B9F00A82-ECAC-49F2-9993-41291C4C4C6E}</author>
  </authors>
  <commentList>
    <comment ref="E208" authorId="0" shapeId="0">
      <text>
        <r>
          <rPr>
            <sz val="10"/>
            <rFont val="Courie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ITEM ALTERADO</t>
        </r>
      </text>
    </comment>
    <comment ref="F413" authorId="1" shapeId="0">
      <text>
        <r>
          <rPr>
            <sz val="10"/>
            <rFont val="Courie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PRANCHA 8</t>
        </r>
      </text>
    </comment>
    <comment ref="A502" authorId="2" shapeId="0">
      <text>
        <r>
          <rPr>
            <sz val="10"/>
            <rFont val="Courie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ESTAVA 16 UN, DAÍ FOI CORRIGIDO</t>
        </r>
      </text>
    </comment>
    <comment ref="F572" authorId="3" shapeId="0">
      <text>
        <r>
          <rPr>
            <sz val="10"/>
            <rFont val="Courie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era 4,7</t>
        </r>
      </text>
    </comment>
    <comment ref="F577" authorId="4" shapeId="0">
      <text>
        <r>
          <rPr>
            <sz val="10"/>
            <rFont val="Courie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era=4,7m</t>
        </r>
      </text>
    </comment>
    <comment ref="E582" authorId="5" shapeId="0">
      <text>
        <r>
          <rPr>
            <sz val="10"/>
            <rFont val="Courier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era 3,5 m e foi alterado pois não correspondia com o projeto</t>
        </r>
      </text>
    </comment>
  </commentList>
</comments>
</file>

<file path=xl/comments20.xml><?xml version="1.0" encoding="utf-8"?>
<comments xmlns="http://schemas.openxmlformats.org/spreadsheetml/2006/main">
  <authors>
    <author>ricardo.schettini</author>
    <author>Ricardo Schettini Figueiredo</author>
  </authors>
  <commentList>
    <comment ref="F1" authorId="0" shapeId="0">
      <text>
        <r>
          <rPr>
            <b/>
            <sz val="8"/>
            <color indexed="81"/>
            <rFont val="Tahoma"/>
            <family val="2"/>
          </rPr>
          <t>ricardo.schettini: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5"/>
            <color indexed="81"/>
            <rFont val="Tahoma"/>
            <family val="2"/>
          </rPr>
          <t>COLUNA PARA ÁREA</t>
        </r>
      </text>
    </comment>
    <comment ref="G1" authorId="0" shapeId="0">
      <text>
        <r>
          <rPr>
            <b/>
            <sz val="8"/>
            <color indexed="81"/>
            <rFont val="Tahoma"/>
            <family val="2"/>
          </rPr>
          <t>ricardo.schettini: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5"/>
            <color indexed="81"/>
            <rFont val="Tahoma"/>
            <family val="2"/>
          </rPr>
          <t>COLUNA PARA ÁREA</t>
        </r>
      </text>
    </comment>
    <comment ref="H1" authorId="0" shapeId="0">
      <text>
        <r>
          <rPr>
            <b/>
            <sz val="8"/>
            <color indexed="81"/>
            <rFont val="Tahoma"/>
            <family val="2"/>
          </rPr>
          <t>ricardo.schettini: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5"/>
            <color indexed="81"/>
            <rFont val="Tahoma"/>
            <family val="2"/>
          </rPr>
          <t>COLUNA PARA ÁREA</t>
        </r>
      </text>
    </comment>
    <comment ref="F2" authorId="1" shapeId="0">
      <text>
        <r>
          <rPr>
            <b/>
            <sz val="9"/>
            <color indexed="81"/>
            <rFont val="Segoe UI"/>
            <family val="2"/>
          </rPr>
          <t>comprimento do pavimento rígido aparente</t>
        </r>
      </text>
    </comment>
    <comment ref="G2" authorId="1" shapeId="0">
      <text>
        <r>
          <rPr>
            <b/>
            <sz val="9"/>
            <color indexed="81"/>
            <rFont val="Segoe UI"/>
            <family val="2"/>
          </rPr>
          <t>comprimento do pavimento rígido aparente</t>
        </r>
      </text>
    </comment>
    <comment ref="H2" authorId="1" shapeId="0">
      <text>
        <r>
          <rPr>
            <b/>
            <sz val="9"/>
            <color indexed="81"/>
            <rFont val="Segoe UI"/>
            <family val="2"/>
          </rPr>
          <t>comprimento do pavimento rígido aparente</t>
        </r>
      </text>
    </comment>
    <comment ref="F3" authorId="1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3" authorId="1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3" authorId="1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4" authorId="1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4" authorId="1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4" authorId="1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5" authorId="1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5" authorId="1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5" authorId="1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6" authorId="1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6" authorId="1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6" authorId="1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13" authorId="1" shapeId="0">
      <text>
        <r>
          <rPr>
            <b/>
            <sz val="9"/>
            <color indexed="81"/>
            <rFont val="Segoe UI"/>
            <family val="2"/>
          </rPr>
          <t>comprimento máximo:
pavimento rígido 
+ 
placas de transição</t>
        </r>
      </text>
    </comment>
    <comment ref="G13" authorId="1" shapeId="0">
      <text>
        <r>
          <rPr>
            <b/>
            <sz val="9"/>
            <color indexed="81"/>
            <rFont val="Segoe UI"/>
            <family val="2"/>
          </rPr>
          <t>comprimento máximo:
pavimento rígido 
+ 
placas de transição</t>
        </r>
      </text>
    </comment>
    <comment ref="H13" authorId="1" shapeId="0">
      <text>
        <r>
          <rPr>
            <b/>
            <sz val="9"/>
            <color indexed="81"/>
            <rFont val="Segoe UI"/>
            <family val="2"/>
          </rPr>
          <t>comprimento máximo:
pavimento rígido 
+ 
placas de transição</t>
        </r>
      </text>
    </comment>
    <comment ref="F14" authorId="1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14" authorId="1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14" authorId="1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21" authorId="1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21" authorId="1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21" authorId="1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32" authorId="1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32" authorId="1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32" authorId="1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38" authorId="1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38" authorId="1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38" authorId="1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39" authorId="1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39" authorId="1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39" authorId="1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41" authorId="1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41" authorId="1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41" authorId="1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43" authorId="1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43" authorId="1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43" authorId="1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F45" authorId="1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G45" authorId="1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  <comment ref="H45" authorId="1" shapeId="0">
      <text>
        <r>
          <rPr>
            <b/>
            <sz val="9"/>
            <color indexed="81"/>
            <rFont val="Segoe UI"/>
            <family val="2"/>
          </rPr>
          <t>DIGITAR DADOS</t>
        </r>
      </text>
    </comment>
  </commentList>
</comments>
</file>

<file path=xl/comments21.xml><?xml version="1.0" encoding="utf-8"?>
<comments xmlns="http://schemas.openxmlformats.org/spreadsheetml/2006/main">
  <authors>
    <author>ricardo.schettini</author>
  </authors>
  <commentList>
    <comment ref="E2" authorId="0" shapeId="0">
      <text>
        <r>
          <rPr>
            <sz val="8"/>
            <color indexed="81"/>
            <rFont val="Tahoma"/>
            <family val="2"/>
          </rPr>
          <t>VI
VL
VC
VA
VTR</t>
        </r>
      </text>
    </comment>
    <comment ref="F2" authorId="0" shapeId="0">
      <text>
        <r>
          <rPr>
            <sz val="8"/>
            <color indexed="81"/>
            <rFont val="Tahoma"/>
            <family val="2"/>
          </rPr>
          <t>VI
VL
VC
VA
VTR</t>
        </r>
      </text>
    </comment>
    <comment ref="G2" authorId="0" shapeId="0">
      <text>
        <r>
          <rPr>
            <sz val="8"/>
            <color indexed="81"/>
            <rFont val="Tahoma"/>
            <family val="2"/>
          </rPr>
          <t>VI
VL
VC
VA
VTR</t>
        </r>
      </text>
    </comment>
    <comment ref="H2" authorId="0" shapeId="0">
      <text>
        <r>
          <rPr>
            <sz val="8"/>
            <color indexed="81"/>
            <rFont val="Tahoma"/>
            <family val="2"/>
          </rPr>
          <t>VI
VL
VC
VA
VTR</t>
        </r>
      </text>
    </comment>
    <comment ref="I2" authorId="0" shapeId="0">
      <text>
        <r>
          <rPr>
            <sz val="8"/>
            <color indexed="81"/>
            <rFont val="Tahoma"/>
            <family val="2"/>
          </rPr>
          <t>VI
VL
VC
VA
VTR</t>
        </r>
      </text>
    </comment>
    <comment ref="J2" authorId="0" shapeId="0">
      <text>
        <r>
          <rPr>
            <sz val="8"/>
            <color indexed="81"/>
            <rFont val="Tahoma"/>
            <family val="2"/>
          </rPr>
          <t>VI
VL
VC
VA
VTR</t>
        </r>
      </text>
    </comment>
    <comment ref="K2" authorId="0" shapeId="0">
      <text>
        <r>
          <rPr>
            <sz val="8"/>
            <color indexed="81"/>
            <rFont val="Tahoma"/>
            <family val="2"/>
          </rPr>
          <t>VI
VL
VC
VA
VTR</t>
        </r>
      </text>
    </comment>
    <comment ref="L2" authorId="0" shapeId="0">
      <text>
        <r>
          <rPr>
            <sz val="8"/>
            <color indexed="81"/>
            <rFont val="Tahoma"/>
            <family val="2"/>
          </rPr>
          <t>VI
VL
VC
VA
VTR</t>
        </r>
      </text>
    </comment>
    <comment ref="M2" authorId="0" shapeId="0">
      <text>
        <r>
          <rPr>
            <sz val="8"/>
            <color indexed="81"/>
            <rFont val="Tahoma"/>
            <family val="2"/>
          </rPr>
          <t>VI
VL
VC
VA
VTR</t>
        </r>
      </text>
    </comment>
    <comment ref="N2" authorId="0" shapeId="0">
      <text>
        <r>
          <rPr>
            <sz val="8"/>
            <color indexed="81"/>
            <rFont val="Tahoma"/>
            <family val="2"/>
          </rPr>
          <t>VI
VL
VC
VA
VTR</t>
        </r>
      </text>
    </comment>
    <comment ref="O2" authorId="0" shapeId="0">
      <text>
        <r>
          <rPr>
            <sz val="8"/>
            <color indexed="81"/>
            <rFont val="Tahoma"/>
            <family val="2"/>
          </rPr>
          <t>VI
VL
VC
VA
VTR</t>
        </r>
      </text>
    </comment>
    <comment ref="P2" authorId="0" shapeId="0">
      <text>
        <r>
          <rPr>
            <sz val="8"/>
            <color indexed="81"/>
            <rFont val="Tahoma"/>
            <family val="2"/>
          </rPr>
          <t>VI
VL
VC
VA
VTR</t>
        </r>
      </text>
    </comment>
    <comment ref="Q2" authorId="0" shapeId="0">
      <text>
        <r>
          <rPr>
            <sz val="8"/>
            <color indexed="81"/>
            <rFont val="Tahoma"/>
            <family val="2"/>
          </rPr>
          <t>VI
VL
VC
VA
VTR</t>
        </r>
      </text>
    </comment>
    <comment ref="R2" authorId="0" shapeId="0">
      <text>
        <r>
          <rPr>
            <sz val="8"/>
            <color indexed="81"/>
            <rFont val="Tahoma"/>
            <family val="2"/>
          </rPr>
          <t>VI
VL
VC
VA
VTR</t>
        </r>
      </text>
    </comment>
    <comment ref="S2" authorId="0" shapeId="0">
      <text>
        <r>
          <rPr>
            <sz val="8"/>
            <color indexed="81"/>
            <rFont val="Tahoma"/>
            <family val="2"/>
          </rPr>
          <t>VI
VL
VC
VA
VTR</t>
        </r>
      </text>
    </comment>
    <comment ref="T2" authorId="0" shapeId="0">
      <text>
        <r>
          <rPr>
            <sz val="8"/>
            <color indexed="81"/>
            <rFont val="Tahoma"/>
            <family val="2"/>
          </rPr>
          <t>VI
VL
VC
VA
VTR</t>
        </r>
      </text>
    </comment>
    <comment ref="U2" authorId="0" shapeId="0">
      <text>
        <r>
          <rPr>
            <sz val="8"/>
            <color indexed="81"/>
            <rFont val="Tahoma"/>
            <family val="2"/>
          </rPr>
          <t>VI
VL
VC
VA
VTR</t>
        </r>
      </text>
    </comment>
    <comment ref="B5" authorId="0" shapeId="0">
      <text>
        <r>
          <rPr>
            <b/>
            <sz val="9"/>
            <color indexed="81"/>
            <rFont val="Tahoma"/>
            <family val="2"/>
          </rPr>
          <t>ricardo.schettini:</t>
        </r>
        <r>
          <rPr>
            <sz val="9"/>
            <color indexed="81"/>
            <rFont val="Tahoma"/>
            <family val="2"/>
          </rPr>
          <t xml:space="preserve">
COLAR O Nº "N" CONFORME O PERÍODO DE PROJETO</t>
        </r>
      </text>
    </comment>
    <comment ref="E37" authorId="0" shapeId="0">
      <text>
        <r>
          <rPr>
            <sz val="8"/>
            <color indexed="81"/>
            <rFont val="Tahoma"/>
            <family val="2"/>
          </rPr>
          <t>CBUQ
PMQ
PMF
TSD</t>
        </r>
      </text>
    </comment>
    <comment ref="F37" authorId="0" shapeId="0">
      <text>
        <r>
          <rPr>
            <sz val="8"/>
            <color indexed="81"/>
            <rFont val="Tahoma"/>
            <family val="2"/>
          </rPr>
          <t>CBUQ
PMQ
PMF
TSD</t>
        </r>
      </text>
    </comment>
    <comment ref="G37" authorId="0" shapeId="0">
      <text>
        <r>
          <rPr>
            <sz val="8"/>
            <color indexed="81"/>
            <rFont val="Tahoma"/>
            <family val="2"/>
          </rPr>
          <t>CBUQ
PMQ
PMF
TSD</t>
        </r>
      </text>
    </comment>
    <comment ref="H37" authorId="0" shapeId="0">
      <text>
        <r>
          <rPr>
            <sz val="8"/>
            <color indexed="81"/>
            <rFont val="Tahoma"/>
            <family val="2"/>
          </rPr>
          <t>CBUQ
PMQ
PMF
TSD</t>
        </r>
      </text>
    </comment>
    <comment ref="I37" authorId="0" shapeId="0">
      <text>
        <r>
          <rPr>
            <sz val="8"/>
            <color indexed="81"/>
            <rFont val="Tahoma"/>
            <family val="2"/>
          </rPr>
          <t>CBUQ
PMQ
PMF
TSD</t>
        </r>
      </text>
    </comment>
    <comment ref="J37" authorId="0" shapeId="0">
      <text>
        <r>
          <rPr>
            <sz val="8"/>
            <color indexed="81"/>
            <rFont val="Tahoma"/>
            <family val="2"/>
          </rPr>
          <t>CBUQ
PMQ
PMF
TSD</t>
        </r>
      </text>
    </comment>
    <comment ref="K37" authorId="0" shapeId="0">
      <text>
        <r>
          <rPr>
            <sz val="8"/>
            <color indexed="81"/>
            <rFont val="Tahoma"/>
            <family val="2"/>
          </rPr>
          <t>CBUQ
PMQ
PMF
TSD</t>
        </r>
      </text>
    </comment>
    <comment ref="L37" authorId="0" shapeId="0">
      <text>
        <r>
          <rPr>
            <sz val="8"/>
            <color indexed="81"/>
            <rFont val="Tahoma"/>
            <family val="2"/>
          </rPr>
          <t>CBUQ
PMQ
PMF
TSD</t>
        </r>
      </text>
    </comment>
    <comment ref="M37" authorId="0" shapeId="0">
      <text>
        <r>
          <rPr>
            <sz val="8"/>
            <color indexed="81"/>
            <rFont val="Tahoma"/>
            <family val="2"/>
          </rPr>
          <t>CBUQ
PMQ
PMF
TSD</t>
        </r>
      </text>
    </comment>
    <comment ref="N37" authorId="0" shapeId="0">
      <text>
        <r>
          <rPr>
            <sz val="8"/>
            <color indexed="81"/>
            <rFont val="Tahoma"/>
            <family val="2"/>
          </rPr>
          <t>CBUQ
PMQ
PMF
TSD</t>
        </r>
      </text>
    </comment>
    <comment ref="O37" authorId="0" shapeId="0">
      <text>
        <r>
          <rPr>
            <sz val="8"/>
            <color indexed="81"/>
            <rFont val="Tahoma"/>
            <family val="2"/>
          </rPr>
          <t>CBUQ
PMQ
PMF
TSD</t>
        </r>
      </text>
    </comment>
    <comment ref="P37" authorId="0" shapeId="0">
      <text>
        <r>
          <rPr>
            <sz val="8"/>
            <color indexed="81"/>
            <rFont val="Tahoma"/>
            <family val="2"/>
          </rPr>
          <t>CBUQ
PMQ
PMF
TSD</t>
        </r>
      </text>
    </comment>
    <comment ref="Q37" authorId="0" shapeId="0">
      <text>
        <r>
          <rPr>
            <sz val="8"/>
            <color indexed="81"/>
            <rFont val="Tahoma"/>
            <family val="2"/>
          </rPr>
          <t>CBUQ
PMQ
PMF
TSD</t>
        </r>
      </text>
    </comment>
    <comment ref="R37" authorId="0" shapeId="0">
      <text>
        <r>
          <rPr>
            <sz val="8"/>
            <color indexed="81"/>
            <rFont val="Tahoma"/>
            <family val="2"/>
          </rPr>
          <t>CBUQ
PMQ
PMF
TSD</t>
        </r>
      </text>
    </comment>
    <comment ref="S37" authorId="0" shapeId="0">
      <text>
        <r>
          <rPr>
            <sz val="8"/>
            <color indexed="81"/>
            <rFont val="Tahoma"/>
            <family val="2"/>
          </rPr>
          <t>CBUQ
PMQ
PMF
TSD</t>
        </r>
      </text>
    </comment>
    <comment ref="T37" authorId="0" shapeId="0">
      <text>
        <r>
          <rPr>
            <sz val="8"/>
            <color indexed="81"/>
            <rFont val="Tahoma"/>
            <family val="2"/>
          </rPr>
          <t>CBUQ
PMQ
PMF
TSD</t>
        </r>
      </text>
    </comment>
    <comment ref="U37" authorId="0" shapeId="0">
      <text>
        <r>
          <rPr>
            <sz val="8"/>
            <color indexed="81"/>
            <rFont val="Tahoma"/>
            <family val="2"/>
          </rPr>
          <t>CBUQ
PMQ
PMF
TSD</t>
        </r>
      </text>
    </comment>
    <comment ref="E40" authorId="0" shapeId="0">
      <text>
        <r>
          <rPr>
            <b/>
            <sz val="8"/>
            <color indexed="81"/>
            <rFont val="Tahoma"/>
            <family val="2"/>
          </rPr>
          <t>ricardo.schettini:</t>
        </r>
        <r>
          <rPr>
            <sz val="8"/>
            <color indexed="81"/>
            <rFont val="Tahoma"/>
            <family val="2"/>
          </rPr>
          <t xml:space="preserve">
BEG: base estabilizada granulometricamente
BGTC: base granular tratada com cimento</t>
        </r>
      </text>
    </comment>
    <comment ref="F40" authorId="0" shapeId="0">
      <text>
        <r>
          <rPr>
            <b/>
            <sz val="8"/>
            <color indexed="81"/>
            <rFont val="Tahoma"/>
            <family val="2"/>
          </rPr>
          <t>ricardo.schettini:</t>
        </r>
        <r>
          <rPr>
            <sz val="8"/>
            <color indexed="81"/>
            <rFont val="Tahoma"/>
            <family val="2"/>
          </rPr>
          <t xml:space="preserve">
BEG: base estabilizada granulometricamente
BGTC: base granular tratada com cimento</t>
        </r>
      </text>
    </comment>
    <comment ref="G40" authorId="0" shapeId="0">
      <text>
        <r>
          <rPr>
            <b/>
            <sz val="8"/>
            <color indexed="81"/>
            <rFont val="Tahoma"/>
            <family val="2"/>
          </rPr>
          <t>ricardo.schettini:</t>
        </r>
        <r>
          <rPr>
            <sz val="8"/>
            <color indexed="81"/>
            <rFont val="Tahoma"/>
            <family val="2"/>
          </rPr>
          <t xml:space="preserve">
BEG: base estabilizada granulometricamente
BGTC: base granular tratada com cimento</t>
        </r>
      </text>
    </comment>
    <comment ref="H40" authorId="0" shapeId="0">
      <text>
        <r>
          <rPr>
            <b/>
            <sz val="8"/>
            <color indexed="81"/>
            <rFont val="Tahoma"/>
            <family val="2"/>
          </rPr>
          <t>ricardo.schettini:</t>
        </r>
        <r>
          <rPr>
            <sz val="8"/>
            <color indexed="81"/>
            <rFont val="Tahoma"/>
            <family val="2"/>
          </rPr>
          <t xml:space="preserve">
BEG: base estabilizada granulometricamente
BGTC: base granular tratada com cimento</t>
        </r>
      </text>
    </comment>
    <comment ref="I40" authorId="0" shapeId="0">
      <text>
        <r>
          <rPr>
            <b/>
            <sz val="8"/>
            <color indexed="81"/>
            <rFont val="Tahoma"/>
            <family val="2"/>
          </rPr>
          <t>ricardo.schettini:</t>
        </r>
        <r>
          <rPr>
            <sz val="8"/>
            <color indexed="81"/>
            <rFont val="Tahoma"/>
            <family val="2"/>
          </rPr>
          <t xml:space="preserve">
BEG: base estabilizada granulometricamente
BGTC: base granular tratada com cimento</t>
        </r>
      </text>
    </comment>
    <comment ref="J40" authorId="0" shapeId="0">
      <text>
        <r>
          <rPr>
            <b/>
            <sz val="8"/>
            <color indexed="81"/>
            <rFont val="Tahoma"/>
            <family val="2"/>
          </rPr>
          <t>ricardo.schettini:</t>
        </r>
        <r>
          <rPr>
            <sz val="8"/>
            <color indexed="81"/>
            <rFont val="Tahoma"/>
            <family val="2"/>
          </rPr>
          <t xml:space="preserve">
BEG: base estabilizada granulometricamente
BGTC: base granular tratada com cimento</t>
        </r>
      </text>
    </comment>
    <comment ref="K40" authorId="0" shapeId="0">
      <text>
        <r>
          <rPr>
            <b/>
            <sz val="8"/>
            <color indexed="81"/>
            <rFont val="Tahoma"/>
            <family val="2"/>
          </rPr>
          <t>ricardo.schettini:</t>
        </r>
        <r>
          <rPr>
            <sz val="8"/>
            <color indexed="81"/>
            <rFont val="Tahoma"/>
            <family val="2"/>
          </rPr>
          <t xml:space="preserve">
BEG: base estabilizada granulometricamente
BGTC: base granular tratada com cimento</t>
        </r>
      </text>
    </comment>
    <comment ref="L40" authorId="0" shapeId="0">
      <text>
        <r>
          <rPr>
            <b/>
            <sz val="8"/>
            <color indexed="81"/>
            <rFont val="Tahoma"/>
            <family val="2"/>
          </rPr>
          <t>ricardo.schettini:</t>
        </r>
        <r>
          <rPr>
            <sz val="8"/>
            <color indexed="81"/>
            <rFont val="Tahoma"/>
            <family val="2"/>
          </rPr>
          <t xml:space="preserve">
BEG: base estabilizada granulometricamente
BGTC: base granular tratada com cimento</t>
        </r>
      </text>
    </comment>
    <comment ref="M40" authorId="0" shapeId="0">
      <text>
        <r>
          <rPr>
            <b/>
            <sz val="8"/>
            <color indexed="81"/>
            <rFont val="Tahoma"/>
            <family val="2"/>
          </rPr>
          <t>ricardo.schettini:</t>
        </r>
        <r>
          <rPr>
            <sz val="8"/>
            <color indexed="81"/>
            <rFont val="Tahoma"/>
            <family val="2"/>
          </rPr>
          <t xml:space="preserve">
BEG: base estabilizada granulometricamente
BGTC: base granular tratada com cimento</t>
        </r>
      </text>
    </comment>
    <comment ref="N40" authorId="0" shapeId="0">
      <text>
        <r>
          <rPr>
            <b/>
            <sz val="8"/>
            <color indexed="81"/>
            <rFont val="Tahoma"/>
            <family val="2"/>
          </rPr>
          <t>ricardo.schettini:</t>
        </r>
        <r>
          <rPr>
            <sz val="8"/>
            <color indexed="81"/>
            <rFont val="Tahoma"/>
            <family val="2"/>
          </rPr>
          <t xml:space="preserve">
BEG: base estabilizada granulometricamente
BGTC: base granular tratada com cimento</t>
        </r>
      </text>
    </comment>
    <comment ref="O40" authorId="0" shapeId="0">
      <text>
        <r>
          <rPr>
            <b/>
            <sz val="8"/>
            <color indexed="81"/>
            <rFont val="Tahoma"/>
            <family val="2"/>
          </rPr>
          <t>ricardo.schettini:</t>
        </r>
        <r>
          <rPr>
            <sz val="8"/>
            <color indexed="81"/>
            <rFont val="Tahoma"/>
            <family val="2"/>
          </rPr>
          <t xml:space="preserve">
BEG: base estabilizada granulometricamente
BGTC: base granular tratada com cimento</t>
        </r>
      </text>
    </comment>
    <comment ref="P40" authorId="0" shapeId="0">
      <text>
        <r>
          <rPr>
            <b/>
            <sz val="8"/>
            <color indexed="81"/>
            <rFont val="Tahoma"/>
            <family val="2"/>
          </rPr>
          <t>ricardo.schettini:</t>
        </r>
        <r>
          <rPr>
            <sz val="8"/>
            <color indexed="81"/>
            <rFont val="Tahoma"/>
            <family val="2"/>
          </rPr>
          <t xml:space="preserve">
BEG: base estabilizada granulometricamente
BGTC: base granular tratada com cimento</t>
        </r>
      </text>
    </comment>
    <comment ref="Q40" authorId="0" shapeId="0">
      <text>
        <r>
          <rPr>
            <b/>
            <sz val="8"/>
            <color indexed="81"/>
            <rFont val="Tahoma"/>
            <family val="2"/>
          </rPr>
          <t>ricardo.schettini:</t>
        </r>
        <r>
          <rPr>
            <sz val="8"/>
            <color indexed="81"/>
            <rFont val="Tahoma"/>
            <family val="2"/>
          </rPr>
          <t xml:space="preserve">
BEG: base estabilizada granulometricamente
BGTC: base granular tratada com cimento</t>
        </r>
      </text>
    </comment>
    <comment ref="R40" authorId="0" shapeId="0">
      <text>
        <r>
          <rPr>
            <b/>
            <sz val="8"/>
            <color indexed="81"/>
            <rFont val="Tahoma"/>
            <family val="2"/>
          </rPr>
          <t>ricardo.schettini:</t>
        </r>
        <r>
          <rPr>
            <sz val="8"/>
            <color indexed="81"/>
            <rFont val="Tahoma"/>
            <family val="2"/>
          </rPr>
          <t xml:space="preserve">
BEG: base estabilizada granulometricamente
BGTC: base granular tratada com cimento</t>
        </r>
      </text>
    </comment>
    <comment ref="S40" authorId="0" shapeId="0">
      <text>
        <r>
          <rPr>
            <b/>
            <sz val="8"/>
            <color indexed="81"/>
            <rFont val="Tahoma"/>
            <family val="2"/>
          </rPr>
          <t>ricardo.schettini:</t>
        </r>
        <r>
          <rPr>
            <sz val="8"/>
            <color indexed="81"/>
            <rFont val="Tahoma"/>
            <family val="2"/>
          </rPr>
          <t xml:space="preserve">
BEG: base estabilizada granulometricamente
BGTC: base granular tratada com cimento</t>
        </r>
      </text>
    </comment>
    <comment ref="T40" authorId="0" shapeId="0">
      <text>
        <r>
          <rPr>
            <b/>
            <sz val="8"/>
            <color indexed="81"/>
            <rFont val="Tahoma"/>
            <family val="2"/>
          </rPr>
          <t>ricardo.schettini:</t>
        </r>
        <r>
          <rPr>
            <sz val="8"/>
            <color indexed="81"/>
            <rFont val="Tahoma"/>
            <family val="2"/>
          </rPr>
          <t xml:space="preserve">
BEG: base estabilizada granulometricamente
BGTC: base granular tratada com cimento</t>
        </r>
      </text>
    </comment>
    <comment ref="U40" authorId="0" shapeId="0">
      <text>
        <r>
          <rPr>
            <b/>
            <sz val="8"/>
            <color indexed="81"/>
            <rFont val="Tahoma"/>
            <family val="2"/>
          </rPr>
          <t>ricardo.schettini:</t>
        </r>
        <r>
          <rPr>
            <sz val="8"/>
            <color indexed="81"/>
            <rFont val="Tahoma"/>
            <family val="2"/>
          </rPr>
          <t xml:space="preserve">
BEG: base estabilizada granulometricamente
BGTC: base granular tratada com cimento</t>
        </r>
      </text>
    </comment>
    <comment ref="E42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F42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G42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H42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I42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J42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K42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L42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M42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N42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O42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P42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Q42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R42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S42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T42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U42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E44" authorId="0" shapeId="0">
      <text>
        <r>
          <rPr>
            <b/>
            <sz val="8"/>
            <color indexed="81"/>
            <rFont val="Tahoma"/>
            <family val="2"/>
          </rPr>
          <t>ricardo.schettini:</t>
        </r>
        <r>
          <rPr>
            <sz val="8"/>
            <color indexed="81"/>
            <rFont val="Tahoma"/>
            <family val="2"/>
          </rPr>
          <t xml:space="preserve">
BEG: base estabilizada granulometricamente
BGTC: base granular tratada com cimento</t>
        </r>
      </text>
    </comment>
    <comment ref="F44" authorId="0" shapeId="0">
      <text>
        <r>
          <rPr>
            <b/>
            <sz val="8"/>
            <color indexed="81"/>
            <rFont val="Tahoma"/>
            <family val="2"/>
          </rPr>
          <t>ricardo.schettini:</t>
        </r>
        <r>
          <rPr>
            <sz val="8"/>
            <color indexed="81"/>
            <rFont val="Tahoma"/>
            <family val="2"/>
          </rPr>
          <t xml:space="preserve">
BEG: base estabilizada granulometricamente
BGTC: base granular tratada com cimento</t>
        </r>
      </text>
    </comment>
    <comment ref="G44" authorId="0" shapeId="0">
      <text>
        <r>
          <rPr>
            <b/>
            <sz val="8"/>
            <color indexed="81"/>
            <rFont val="Tahoma"/>
            <family val="2"/>
          </rPr>
          <t>ricardo.schettini:</t>
        </r>
        <r>
          <rPr>
            <sz val="8"/>
            <color indexed="81"/>
            <rFont val="Tahoma"/>
            <family val="2"/>
          </rPr>
          <t xml:space="preserve">
BEG: base estabilizada granulometricamente
BGTC: base granular tratada com cimento</t>
        </r>
      </text>
    </comment>
    <comment ref="H44" authorId="0" shapeId="0">
      <text>
        <r>
          <rPr>
            <b/>
            <sz val="8"/>
            <color indexed="81"/>
            <rFont val="Tahoma"/>
            <family val="2"/>
          </rPr>
          <t>ricardo.schettini:</t>
        </r>
        <r>
          <rPr>
            <sz val="8"/>
            <color indexed="81"/>
            <rFont val="Tahoma"/>
            <family val="2"/>
          </rPr>
          <t xml:space="preserve">
BEG: base estabilizada granulometricamente
BGTC: base granular tratada com cimento</t>
        </r>
      </text>
    </comment>
    <comment ref="I44" authorId="0" shapeId="0">
      <text>
        <r>
          <rPr>
            <b/>
            <sz val="8"/>
            <color indexed="81"/>
            <rFont val="Tahoma"/>
            <family val="2"/>
          </rPr>
          <t>ricardo.schettini:</t>
        </r>
        <r>
          <rPr>
            <sz val="8"/>
            <color indexed="81"/>
            <rFont val="Tahoma"/>
            <family val="2"/>
          </rPr>
          <t xml:space="preserve">
BEG: base estabilizada granulometricamente
BGTC: base granular tratada com cimento</t>
        </r>
      </text>
    </comment>
    <comment ref="J44" authorId="0" shapeId="0">
      <text>
        <r>
          <rPr>
            <b/>
            <sz val="8"/>
            <color indexed="81"/>
            <rFont val="Tahoma"/>
            <family val="2"/>
          </rPr>
          <t>ricardo.schettini:</t>
        </r>
        <r>
          <rPr>
            <sz val="8"/>
            <color indexed="81"/>
            <rFont val="Tahoma"/>
            <family val="2"/>
          </rPr>
          <t xml:space="preserve">
BEG: base estabilizada granulometricamente
BGTC: base granular tratada com cimento</t>
        </r>
      </text>
    </comment>
    <comment ref="K44" authorId="0" shapeId="0">
      <text>
        <r>
          <rPr>
            <b/>
            <sz val="8"/>
            <color indexed="81"/>
            <rFont val="Tahoma"/>
            <family val="2"/>
          </rPr>
          <t>ricardo.schettini:</t>
        </r>
        <r>
          <rPr>
            <sz val="8"/>
            <color indexed="81"/>
            <rFont val="Tahoma"/>
            <family val="2"/>
          </rPr>
          <t xml:space="preserve">
BEG: base estabilizada granulometricamente
BGTC: base granular tratada com cimento</t>
        </r>
      </text>
    </comment>
    <comment ref="L44" authorId="0" shapeId="0">
      <text>
        <r>
          <rPr>
            <b/>
            <sz val="8"/>
            <color indexed="81"/>
            <rFont val="Tahoma"/>
            <family val="2"/>
          </rPr>
          <t>ricardo.schettini:</t>
        </r>
        <r>
          <rPr>
            <sz val="8"/>
            <color indexed="81"/>
            <rFont val="Tahoma"/>
            <family val="2"/>
          </rPr>
          <t xml:space="preserve">
BEG: base estabilizada granulometricamente
BGTC: base granular tratada com cimento</t>
        </r>
      </text>
    </comment>
    <comment ref="M44" authorId="0" shapeId="0">
      <text>
        <r>
          <rPr>
            <b/>
            <sz val="8"/>
            <color indexed="81"/>
            <rFont val="Tahoma"/>
            <family val="2"/>
          </rPr>
          <t>ricardo.schettini:</t>
        </r>
        <r>
          <rPr>
            <sz val="8"/>
            <color indexed="81"/>
            <rFont val="Tahoma"/>
            <family val="2"/>
          </rPr>
          <t xml:space="preserve">
BEG: base estabilizada granulometricamente
BGTC: base granular tratada com cimento</t>
        </r>
      </text>
    </comment>
    <comment ref="N44" authorId="0" shapeId="0">
      <text>
        <r>
          <rPr>
            <b/>
            <sz val="8"/>
            <color indexed="81"/>
            <rFont val="Tahoma"/>
            <family val="2"/>
          </rPr>
          <t>ricardo.schettini:</t>
        </r>
        <r>
          <rPr>
            <sz val="8"/>
            <color indexed="81"/>
            <rFont val="Tahoma"/>
            <family val="2"/>
          </rPr>
          <t xml:space="preserve">
BEG: base estabilizada granulometricamente
BGTC: base granular tratada com cimento</t>
        </r>
      </text>
    </comment>
    <comment ref="O44" authorId="0" shapeId="0">
      <text>
        <r>
          <rPr>
            <b/>
            <sz val="8"/>
            <color indexed="81"/>
            <rFont val="Tahoma"/>
            <family val="2"/>
          </rPr>
          <t>ricardo.schettini:</t>
        </r>
        <r>
          <rPr>
            <sz val="8"/>
            <color indexed="81"/>
            <rFont val="Tahoma"/>
            <family val="2"/>
          </rPr>
          <t xml:space="preserve">
BEG: base estabilizada granulometricamente
BGTC: base granular tratada com cimento</t>
        </r>
      </text>
    </comment>
    <comment ref="P44" authorId="0" shapeId="0">
      <text>
        <r>
          <rPr>
            <b/>
            <sz val="8"/>
            <color indexed="81"/>
            <rFont val="Tahoma"/>
            <family val="2"/>
          </rPr>
          <t>ricardo.schettini:</t>
        </r>
        <r>
          <rPr>
            <sz val="8"/>
            <color indexed="81"/>
            <rFont val="Tahoma"/>
            <family val="2"/>
          </rPr>
          <t xml:space="preserve">
BEG: base estabilizada granulometricamente
BGTC: base granular tratada com cimento</t>
        </r>
      </text>
    </comment>
    <comment ref="Q44" authorId="0" shapeId="0">
      <text>
        <r>
          <rPr>
            <b/>
            <sz val="8"/>
            <color indexed="81"/>
            <rFont val="Tahoma"/>
            <family val="2"/>
          </rPr>
          <t>ricardo.schettini:</t>
        </r>
        <r>
          <rPr>
            <sz val="8"/>
            <color indexed="81"/>
            <rFont val="Tahoma"/>
            <family val="2"/>
          </rPr>
          <t xml:space="preserve">
BEG: base estabilizada granulometricamente
BGTC: base granular tratada com cimento</t>
        </r>
      </text>
    </comment>
    <comment ref="R44" authorId="0" shapeId="0">
      <text>
        <r>
          <rPr>
            <b/>
            <sz val="8"/>
            <color indexed="81"/>
            <rFont val="Tahoma"/>
            <family val="2"/>
          </rPr>
          <t>ricardo.schettini:</t>
        </r>
        <r>
          <rPr>
            <sz val="8"/>
            <color indexed="81"/>
            <rFont val="Tahoma"/>
            <family val="2"/>
          </rPr>
          <t xml:space="preserve">
BEG: base estabilizada granulometricamente
BGTC: base granular tratada com cimento</t>
        </r>
      </text>
    </comment>
    <comment ref="S44" authorId="0" shapeId="0">
      <text>
        <r>
          <rPr>
            <b/>
            <sz val="8"/>
            <color indexed="81"/>
            <rFont val="Tahoma"/>
            <family val="2"/>
          </rPr>
          <t>ricardo.schettini:</t>
        </r>
        <r>
          <rPr>
            <sz val="8"/>
            <color indexed="81"/>
            <rFont val="Tahoma"/>
            <family val="2"/>
          </rPr>
          <t xml:space="preserve">
BEG: base estabilizada granulometricamente
BGTC: base granular tratada com cimento</t>
        </r>
      </text>
    </comment>
    <comment ref="T44" authorId="0" shapeId="0">
      <text>
        <r>
          <rPr>
            <b/>
            <sz val="8"/>
            <color indexed="81"/>
            <rFont val="Tahoma"/>
            <family val="2"/>
          </rPr>
          <t>ricardo.schettini:</t>
        </r>
        <r>
          <rPr>
            <sz val="8"/>
            <color indexed="81"/>
            <rFont val="Tahoma"/>
            <family val="2"/>
          </rPr>
          <t xml:space="preserve">
BEG: base estabilizada granulometricamente
BGTC: base granular tratada com cimento</t>
        </r>
      </text>
    </comment>
    <comment ref="U44" authorId="0" shapeId="0">
      <text>
        <r>
          <rPr>
            <b/>
            <sz val="8"/>
            <color indexed="81"/>
            <rFont val="Tahoma"/>
            <family val="2"/>
          </rPr>
          <t>ricardo.schettini:</t>
        </r>
        <r>
          <rPr>
            <sz val="8"/>
            <color indexed="81"/>
            <rFont val="Tahoma"/>
            <family val="2"/>
          </rPr>
          <t xml:space="preserve">
BEG: base estabilizada granulometricamente
BGTC: base granular tratada com cimento</t>
        </r>
      </text>
    </comment>
    <comment ref="E46" authorId="0" shapeId="0">
      <text>
        <r>
          <rPr>
            <b/>
            <sz val="8"/>
            <color indexed="81"/>
            <rFont val="Calibri"/>
            <family val="2"/>
          </rPr>
          <t>≥</t>
        </r>
        <r>
          <rPr>
            <b/>
            <sz val="8"/>
            <color indexed="81"/>
            <rFont val="Tahoma"/>
            <family val="2"/>
          </rPr>
          <t xml:space="preserve"> 20%</t>
        </r>
      </text>
    </comment>
    <comment ref="F46" authorId="0" shapeId="0">
      <text>
        <r>
          <rPr>
            <b/>
            <sz val="8"/>
            <color indexed="81"/>
            <rFont val="Calibri"/>
            <family val="2"/>
          </rPr>
          <t>≥</t>
        </r>
        <r>
          <rPr>
            <b/>
            <sz val="8"/>
            <color indexed="81"/>
            <rFont val="Tahoma"/>
            <family val="2"/>
          </rPr>
          <t xml:space="preserve"> 20%</t>
        </r>
      </text>
    </comment>
    <comment ref="G46" authorId="0" shapeId="0">
      <text>
        <r>
          <rPr>
            <b/>
            <sz val="8"/>
            <color indexed="81"/>
            <rFont val="Calibri"/>
            <family val="2"/>
          </rPr>
          <t>≥</t>
        </r>
        <r>
          <rPr>
            <b/>
            <sz val="8"/>
            <color indexed="81"/>
            <rFont val="Tahoma"/>
            <family val="2"/>
          </rPr>
          <t xml:space="preserve"> 20%</t>
        </r>
      </text>
    </comment>
    <comment ref="H46" authorId="0" shapeId="0">
      <text>
        <r>
          <rPr>
            <b/>
            <sz val="8"/>
            <color indexed="81"/>
            <rFont val="Calibri"/>
            <family val="2"/>
          </rPr>
          <t>≥</t>
        </r>
        <r>
          <rPr>
            <b/>
            <sz val="8"/>
            <color indexed="81"/>
            <rFont val="Tahoma"/>
            <family val="2"/>
          </rPr>
          <t xml:space="preserve"> 20%</t>
        </r>
      </text>
    </comment>
    <comment ref="I46" authorId="0" shapeId="0">
      <text>
        <r>
          <rPr>
            <b/>
            <sz val="8"/>
            <color indexed="81"/>
            <rFont val="Calibri"/>
            <family val="2"/>
          </rPr>
          <t>≥</t>
        </r>
        <r>
          <rPr>
            <b/>
            <sz val="8"/>
            <color indexed="81"/>
            <rFont val="Tahoma"/>
            <family val="2"/>
          </rPr>
          <t xml:space="preserve"> 20%</t>
        </r>
      </text>
    </comment>
    <comment ref="J46" authorId="0" shapeId="0">
      <text>
        <r>
          <rPr>
            <b/>
            <sz val="8"/>
            <color indexed="81"/>
            <rFont val="Calibri"/>
            <family val="2"/>
          </rPr>
          <t>≥</t>
        </r>
        <r>
          <rPr>
            <b/>
            <sz val="8"/>
            <color indexed="81"/>
            <rFont val="Tahoma"/>
            <family val="2"/>
          </rPr>
          <t xml:space="preserve"> 20%</t>
        </r>
      </text>
    </comment>
    <comment ref="K46" authorId="0" shapeId="0">
      <text>
        <r>
          <rPr>
            <b/>
            <sz val="8"/>
            <color indexed="81"/>
            <rFont val="Calibri"/>
            <family val="2"/>
          </rPr>
          <t>≥</t>
        </r>
        <r>
          <rPr>
            <b/>
            <sz val="8"/>
            <color indexed="81"/>
            <rFont val="Tahoma"/>
            <family val="2"/>
          </rPr>
          <t xml:space="preserve"> 20%</t>
        </r>
      </text>
    </comment>
    <comment ref="L46" authorId="0" shapeId="0">
      <text>
        <r>
          <rPr>
            <b/>
            <sz val="8"/>
            <color indexed="81"/>
            <rFont val="Calibri"/>
            <family val="2"/>
          </rPr>
          <t>≥</t>
        </r>
        <r>
          <rPr>
            <b/>
            <sz val="8"/>
            <color indexed="81"/>
            <rFont val="Tahoma"/>
            <family val="2"/>
          </rPr>
          <t xml:space="preserve"> 20%</t>
        </r>
      </text>
    </comment>
    <comment ref="M46" authorId="0" shapeId="0">
      <text>
        <r>
          <rPr>
            <b/>
            <sz val="8"/>
            <color indexed="81"/>
            <rFont val="Calibri"/>
            <family val="2"/>
          </rPr>
          <t>≥</t>
        </r>
        <r>
          <rPr>
            <b/>
            <sz val="8"/>
            <color indexed="81"/>
            <rFont val="Tahoma"/>
            <family val="2"/>
          </rPr>
          <t xml:space="preserve"> 20%</t>
        </r>
      </text>
    </comment>
    <comment ref="N46" authorId="0" shapeId="0">
      <text>
        <r>
          <rPr>
            <b/>
            <sz val="8"/>
            <color indexed="81"/>
            <rFont val="Calibri"/>
            <family val="2"/>
          </rPr>
          <t>≥</t>
        </r>
        <r>
          <rPr>
            <b/>
            <sz val="8"/>
            <color indexed="81"/>
            <rFont val="Tahoma"/>
            <family val="2"/>
          </rPr>
          <t xml:space="preserve"> 20%</t>
        </r>
      </text>
    </comment>
    <comment ref="O46" authorId="0" shapeId="0">
      <text>
        <r>
          <rPr>
            <b/>
            <sz val="8"/>
            <color indexed="81"/>
            <rFont val="Calibri"/>
            <family val="2"/>
          </rPr>
          <t>≥</t>
        </r>
        <r>
          <rPr>
            <b/>
            <sz val="8"/>
            <color indexed="81"/>
            <rFont val="Tahoma"/>
            <family val="2"/>
          </rPr>
          <t xml:space="preserve"> 20%</t>
        </r>
      </text>
    </comment>
    <comment ref="P46" authorId="0" shapeId="0">
      <text>
        <r>
          <rPr>
            <b/>
            <sz val="8"/>
            <color indexed="81"/>
            <rFont val="Calibri"/>
            <family val="2"/>
          </rPr>
          <t>≥</t>
        </r>
        <r>
          <rPr>
            <b/>
            <sz val="8"/>
            <color indexed="81"/>
            <rFont val="Tahoma"/>
            <family val="2"/>
          </rPr>
          <t xml:space="preserve"> 20%</t>
        </r>
      </text>
    </comment>
    <comment ref="Q46" authorId="0" shapeId="0">
      <text>
        <r>
          <rPr>
            <b/>
            <sz val="8"/>
            <color indexed="81"/>
            <rFont val="Calibri"/>
            <family val="2"/>
          </rPr>
          <t>≥</t>
        </r>
        <r>
          <rPr>
            <b/>
            <sz val="8"/>
            <color indexed="81"/>
            <rFont val="Tahoma"/>
            <family val="2"/>
          </rPr>
          <t xml:space="preserve"> 20%</t>
        </r>
      </text>
    </comment>
    <comment ref="R46" authorId="0" shapeId="0">
      <text>
        <r>
          <rPr>
            <b/>
            <sz val="8"/>
            <color indexed="81"/>
            <rFont val="Calibri"/>
            <family val="2"/>
          </rPr>
          <t>≥</t>
        </r>
        <r>
          <rPr>
            <b/>
            <sz val="8"/>
            <color indexed="81"/>
            <rFont val="Tahoma"/>
            <family val="2"/>
          </rPr>
          <t xml:space="preserve"> 20%</t>
        </r>
      </text>
    </comment>
    <comment ref="S46" authorId="0" shapeId="0">
      <text>
        <r>
          <rPr>
            <b/>
            <sz val="8"/>
            <color indexed="81"/>
            <rFont val="Calibri"/>
            <family val="2"/>
          </rPr>
          <t>≥</t>
        </r>
        <r>
          <rPr>
            <b/>
            <sz val="8"/>
            <color indexed="81"/>
            <rFont val="Tahoma"/>
            <family val="2"/>
          </rPr>
          <t xml:space="preserve"> 20%</t>
        </r>
      </text>
    </comment>
    <comment ref="T46" authorId="0" shapeId="0">
      <text>
        <r>
          <rPr>
            <b/>
            <sz val="8"/>
            <color indexed="81"/>
            <rFont val="Calibri"/>
            <family val="2"/>
          </rPr>
          <t>≥</t>
        </r>
        <r>
          <rPr>
            <b/>
            <sz val="8"/>
            <color indexed="81"/>
            <rFont val="Tahoma"/>
            <family val="2"/>
          </rPr>
          <t xml:space="preserve"> 20%</t>
        </r>
      </text>
    </comment>
    <comment ref="U46" authorId="0" shapeId="0">
      <text>
        <r>
          <rPr>
            <b/>
            <sz val="8"/>
            <color indexed="81"/>
            <rFont val="Calibri"/>
            <family val="2"/>
          </rPr>
          <t>≥</t>
        </r>
        <r>
          <rPr>
            <b/>
            <sz val="8"/>
            <color indexed="81"/>
            <rFont val="Tahoma"/>
            <family val="2"/>
          </rPr>
          <t xml:space="preserve"> 20%</t>
        </r>
      </text>
    </comment>
    <comment ref="E47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F47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G47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H47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I47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J47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K47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L47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M47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N47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O47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P47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Q47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R47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S47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T47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U47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E50" authorId="0" shapeId="0">
      <text>
        <r>
          <rPr>
            <sz val="8"/>
            <color indexed="81"/>
            <rFont val="Tahoma"/>
            <family val="2"/>
          </rPr>
          <t>se não for previsto reforço então digitar o valor do CBR do sub-leito</t>
        </r>
      </text>
    </comment>
    <comment ref="F50" authorId="0" shapeId="0">
      <text>
        <r>
          <rPr>
            <sz val="8"/>
            <color indexed="81"/>
            <rFont val="Tahoma"/>
            <family val="2"/>
          </rPr>
          <t>se não for previsto reforço então digitar o valor do CBR do sub-leito</t>
        </r>
      </text>
    </comment>
    <comment ref="G50" authorId="0" shapeId="0">
      <text>
        <r>
          <rPr>
            <sz val="8"/>
            <color indexed="81"/>
            <rFont val="Tahoma"/>
            <family val="2"/>
          </rPr>
          <t>se não for previsto reforço então digitar o valor do CBR do sub-leito</t>
        </r>
      </text>
    </comment>
    <comment ref="H50" authorId="0" shapeId="0">
      <text>
        <r>
          <rPr>
            <sz val="8"/>
            <color indexed="81"/>
            <rFont val="Tahoma"/>
            <family val="2"/>
          </rPr>
          <t>se não for previsto reforço então digitar o valor do CBR do sub-leito</t>
        </r>
      </text>
    </comment>
    <comment ref="I50" authorId="0" shapeId="0">
      <text>
        <r>
          <rPr>
            <sz val="8"/>
            <color indexed="81"/>
            <rFont val="Tahoma"/>
            <family val="2"/>
          </rPr>
          <t>se não for previsto reforço então digitar o valor do CBR do sub-leito</t>
        </r>
      </text>
    </comment>
    <comment ref="J50" authorId="0" shapeId="0">
      <text>
        <r>
          <rPr>
            <sz val="8"/>
            <color indexed="81"/>
            <rFont val="Tahoma"/>
            <family val="2"/>
          </rPr>
          <t>se não for previsto reforço então digitar o valor do CBR do sub-leito</t>
        </r>
      </text>
    </comment>
    <comment ref="K50" authorId="0" shapeId="0">
      <text>
        <r>
          <rPr>
            <sz val="8"/>
            <color indexed="81"/>
            <rFont val="Tahoma"/>
            <family val="2"/>
          </rPr>
          <t>se não for previsto reforço então digitar o valor do CBR do sub-leito</t>
        </r>
      </text>
    </comment>
    <comment ref="L50" authorId="0" shapeId="0">
      <text>
        <r>
          <rPr>
            <sz val="8"/>
            <color indexed="81"/>
            <rFont val="Tahoma"/>
            <family val="2"/>
          </rPr>
          <t>se não for previsto reforço então digitar o valor do CBR do sub-leito</t>
        </r>
      </text>
    </comment>
    <comment ref="M50" authorId="0" shapeId="0">
      <text>
        <r>
          <rPr>
            <sz val="8"/>
            <color indexed="81"/>
            <rFont val="Tahoma"/>
            <family val="2"/>
          </rPr>
          <t>se não for previsto reforço então digitar o valor do CBR do sub-leito</t>
        </r>
      </text>
    </comment>
    <comment ref="N50" authorId="0" shapeId="0">
      <text>
        <r>
          <rPr>
            <sz val="8"/>
            <color indexed="81"/>
            <rFont val="Tahoma"/>
            <family val="2"/>
          </rPr>
          <t>se não for previsto reforço então digitar o valor do CBR do sub-leito</t>
        </r>
      </text>
    </comment>
    <comment ref="O50" authorId="0" shapeId="0">
      <text>
        <r>
          <rPr>
            <sz val="8"/>
            <color indexed="81"/>
            <rFont val="Tahoma"/>
            <family val="2"/>
          </rPr>
          <t>se não for previsto reforço então digitar o valor do CBR do sub-leito</t>
        </r>
      </text>
    </comment>
    <comment ref="P50" authorId="0" shapeId="0">
      <text>
        <r>
          <rPr>
            <sz val="8"/>
            <color indexed="81"/>
            <rFont val="Tahoma"/>
            <family val="2"/>
          </rPr>
          <t>se não for previsto reforço então digitar o valor do CBR do sub-leito</t>
        </r>
      </text>
    </comment>
    <comment ref="Q50" authorId="0" shapeId="0">
      <text>
        <r>
          <rPr>
            <sz val="8"/>
            <color indexed="81"/>
            <rFont val="Tahoma"/>
            <family val="2"/>
          </rPr>
          <t>se não for previsto reforço então digitar o valor do CBR do sub-leito</t>
        </r>
      </text>
    </comment>
    <comment ref="R50" authorId="0" shapeId="0">
      <text>
        <r>
          <rPr>
            <sz val="8"/>
            <color indexed="81"/>
            <rFont val="Tahoma"/>
            <family val="2"/>
          </rPr>
          <t>se não for previsto reforço então digitar o valor do CBR do sub-leito</t>
        </r>
      </text>
    </comment>
    <comment ref="S50" authorId="0" shapeId="0">
      <text>
        <r>
          <rPr>
            <sz val="8"/>
            <color indexed="81"/>
            <rFont val="Tahoma"/>
            <family val="2"/>
          </rPr>
          <t>se não for previsto reforço então digitar o valor do CBR do sub-leito</t>
        </r>
      </text>
    </comment>
    <comment ref="T50" authorId="0" shapeId="0">
      <text>
        <r>
          <rPr>
            <sz val="8"/>
            <color indexed="81"/>
            <rFont val="Tahoma"/>
            <family val="2"/>
          </rPr>
          <t>se não for previsto reforço então digitar o valor do CBR do sub-leito</t>
        </r>
      </text>
    </comment>
    <comment ref="U50" authorId="0" shapeId="0">
      <text>
        <r>
          <rPr>
            <sz val="8"/>
            <color indexed="81"/>
            <rFont val="Tahoma"/>
            <family val="2"/>
          </rPr>
          <t>se não for previsto reforço então digitar o valor do CBR do sub-leito</t>
        </r>
      </text>
    </comment>
    <comment ref="E52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F52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G52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H52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I52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J52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K52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L52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M52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N52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O52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P52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Q52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R52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S52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T52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U52" authorId="0" shapeId="0">
      <text>
        <r>
          <rPr>
            <sz val="8"/>
            <color indexed="81"/>
            <rFont val="Calibri"/>
            <family val="2"/>
          </rPr>
          <t>≥ 15cm</t>
        </r>
      </text>
    </comment>
    <comment ref="E55" authorId="0" shapeId="0">
      <text>
        <r>
          <rPr>
            <sz val="8"/>
            <color indexed="81"/>
            <rFont val="Calibri"/>
            <family val="2"/>
          </rPr>
          <t>≥ 20cm</t>
        </r>
      </text>
    </comment>
    <comment ref="F55" authorId="0" shapeId="0">
      <text>
        <r>
          <rPr>
            <sz val="8"/>
            <color indexed="81"/>
            <rFont val="Calibri"/>
            <family val="2"/>
          </rPr>
          <t>≥ 20cm</t>
        </r>
      </text>
    </comment>
    <comment ref="G55" authorId="0" shapeId="0">
      <text>
        <r>
          <rPr>
            <sz val="8"/>
            <color indexed="81"/>
            <rFont val="Calibri"/>
            <family val="2"/>
          </rPr>
          <t>≥ 20cm</t>
        </r>
      </text>
    </comment>
    <comment ref="H55" authorId="0" shapeId="0">
      <text>
        <r>
          <rPr>
            <sz val="8"/>
            <color indexed="81"/>
            <rFont val="Calibri"/>
            <family val="2"/>
          </rPr>
          <t>≥ 20cm</t>
        </r>
      </text>
    </comment>
    <comment ref="I55" authorId="0" shapeId="0">
      <text>
        <r>
          <rPr>
            <sz val="8"/>
            <color indexed="81"/>
            <rFont val="Calibri"/>
            <family val="2"/>
          </rPr>
          <t>≥ 20cm</t>
        </r>
      </text>
    </comment>
    <comment ref="J55" authorId="0" shapeId="0">
      <text>
        <r>
          <rPr>
            <sz val="8"/>
            <color indexed="81"/>
            <rFont val="Calibri"/>
            <family val="2"/>
          </rPr>
          <t>≥ 20cm</t>
        </r>
      </text>
    </comment>
    <comment ref="K55" authorId="0" shapeId="0">
      <text>
        <r>
          <rPr>
            <sz val="8"/>
            <color indexed="81"/>
            <rFont val="Calibri"/>
            <family val="2"/>
          </rPr>
          <t>≥ 20cm</t>
        </r>
      </text>
    </comment>
    <comment ref="L55" authorId="0" shapeId="0">
      <text>
        <r>
          <rPr>
            <sz val="8"/>
            <color indexed="81"/>
            <rFont val="Calibri"/>
            <family val="2"/>
          </rPr>
          <t>≥ 20cm</t>
        </r>
      </text>
    </comment>
    <comment ref="M55" authorId="0" shapeId="0">
      <text>
        <r>
          <rPr>
            <sz val="8"/>
            <color indexed="81"/>
            <rFont val="Calibri"/>
            <family val="2"/>
          </rPr>
          <t>≥ 20cm</t>
        </r>
      </text>
    </comment>
    <comment ref="N55" authorId="0" shapeId="0">
      <text>
        <r>
          <rPr>
            <sz val="8"/>
            <color indexed="81"/>
            <rFont val="Calibri"/>
            <family val="2"/>
          </rPr>
          <t>≥ 20cm</t>
        </r>
      </text>
    </comment>
    <comment ref="O55" authorId="0" shapeId="0">
      <text>
        <r>
          <rPr>
            <sz val="8"/>
            <color indexed="81"/>
            <rFont val="Calibri"/>
            <family val="2"/>
          </rPr>
          <t>≥ 20cm</t>
        </r>
      </text>
    </comment>
    <comment ref="P55" authorId="0" shapeId="0">
      <text>
        <r>
          <rPr>
            <sz val="8"/>
            <color indexed="81"/>
            <rFont val="Calibri"/>
            <family val="2"/>
          </rPr>
          <t>≥ 20cm</t>
        </r>
      </text>
    </comment>
    <comment ref="Q55" authorId="0" shapeId="0">
      <text>
        <r>
          <rPr>
            <sz val="8"/>
            <color indexed="81"/>
            <rFont val="Calibri"/>
            <family val="2"/>
          </rPr>
          <t>≥ 20cm</t>
        </r>
      </text>
    </comment>
    <comment ref="R55" authorId="0" shapeId="0">
      <text>
        <r>
          <rPr>
            <sz val="8"/>
            <color indexed="81"/>
            <rFont val="Calibri"/>
            <family val="2"/>
          </rPr>
          <t>≥ 20cm</t>
        </r>
      </text>
    </comment>
    <comment ref="S55" authorId="0" shapeId="0">
      <text>
        <r>
          <rPr>
            <sz val="8"/>
            <color indexed="81"/>
            <rFont val="Calibri"/>
            <family val="2"/>
          </rPr>
          <t>≥ 20cm</t>
        </r>
      </text>
    </comment>
    <comment ref="T55" authorId="0" shapeId="0">
      <text>
        <r>
          <rPr>
            <sz val="8"/>
            <color indexed="81"/>
            <rFont val="Calibri"/>
            <family val="2"/>
          </rPr>
          <t>≥ 20cm</t>
        </r>
      </text>
    </comment>
    <comment ref="U55" authorId="0" shapeId="0">
      <text>
        <r>
          <rPr>
            <sz val="8"/>
            <color indexed="81"/>
            <rFont val="Calibri"/>
            <family val="2"/>
          </rPr>
          <t>≥ 20cm</t>
        </r>
      </text>
    </comment>
  </commentList>
</comments>
</file>

<file path=xl/comments22.xml><?xml version="1.0" encoding="utf-8"?>
<comments xmlns="http://schemas.openxmlformats.org/spreadsheetml/2006/main">
  <authors>
    <author>Ricardo Schettini Figueiredo</author>
  </authors>
  <commentList>
    <comment ref="BP11" authorId="0" shapeId="0">
      <text>
        <r>
          <rPr>
            <b/>
            <sz val="9"/>
            <color indexed="81"/>
            <rFont val="Segoe UI"/>
            <family val="2"/>
          </rPr>
          <t>Se AMARELO
não tem PV
pode ter 
Antecâmara</t>
        </r>
      </text>
    </comment>
    <comment ref="BP12" authorId="0" shapeId="0">
      <text>
        <r>
          <rPr>
            <b/>
            <sz val="9"/>
            <color indexed="81"/>
            <rFont val="Segoe UI"/>
            <family val="2"/>
          </rPr>
          <t>Se AMARELO
não tem PV
pode ter 
Antecâmara</t>
        </r>
      </text>
    </comment>
    <comment ref="BP13" authorId="0" shapeId="0">
      <text>
        <r>
          <rPr>
            <b/>
            <sz val="9"/>
            <color indexed="81"/>
            <rFont val="Segoe UI"/>
            <family val="2"/>
          </rPr>
          <t>Se AMARELO
não tem PV
pode ter 
Antecâmara</t>
        </r>
      </text>
    </comment>
    <comment ref="BP14" authorId="0" shapeId="0">
      <text>
        <r>
          <rPr>
            <b/>
            <sz val="9"/>
            <color indexed="81"/>
            <rFont val="Segoe UI"/>
            <family val="2"/>
          </rPr>
          <t>Se AMARELO
não tem PV
pode ter 
Antecâmara</t>
        </r>
      </text>
    </comment>
    <comment ref="BP15" authorId="0" shapeId="0">
      <text>
        <r>
          <rPr>
            <b/>
            <sz val="9"/>
            <color indexed="81"/>
            <rFont val="Segoe UI"/>
            <family val="2"/>
          </rPr>
          <t>Se AMARELO
não tem PV
pode ter 
Antecâmara</t>
        </r>
      </text>
    </comment>
    <comment ref="BP16" authorId="0" shapeId="0">
      <text>
        <r>
          <rPr>
            <b/>
            <sz val="9"/>
            <color indexed="81"/>
            <rFont val="Segoe UI"/>
            <family val="2"/>
          </rPr>
          <t>Se AMARELO
não tem PV
pode ter 
Antecâmara</t>
        </r>
      </text>
    </comment>
  </commentList>
</comments>
</file>

<file path=xl/comments23.xml><?xml version="1.0" encoding="utf-8"?>
<comments xmlns="http://schemas.openxmlformats.org/spreadsheetml/2006/main">
  <authors>
    <author>ricardo.schettini</author>
  </authors>
  <commentList>
    <comment ref="L25" authorId="0" shapeId="0">
      <text>
        <r>
          <rPr>
            <b/>
            <sz val="9"/>
            <color indexed="81"/>
            <rFont val="Segoe UI"/>
            <family val="2"/>
          </rPr>
          <t>informar a célula da redução adotada</t>
        </r>
      </text>
    </comment>
    <comment ref="L26" authorId="0" shapeId="0">
      <text>
        <r>
          <rPr>
            <b/>
            <sz val="9"/>
            <color indexed="81"/>
            <rFont val="Segoe UI"/>
            <family val="2"/>
          </rPr>
          <t>informar a célula da redução adotada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<sst xmlns="http://schemas.openxmlformats.org/spreadsheetml/2006/main" count="7078" uniqueCount="2839">
  <si>
    <t>TOTAL</t>
  </si>
  <si>
    <t>TRECHO</t>
  </si>
  <si>
    <t>LOCAL:</t>
  </si>
  <si>
    <t>EXTENSÃO (m)</t>
  </si>
  <si>
    <t>TUBULAÇÃO</t>
  </si>
  <si>
    <t>BASE (m)</t>
  </si>
  <si>
    <t>ESCAVAÇÃO (m³)</t>
  </si>
  <si>
    <t>BOTA-FORA (m³)</t>
  </si>
  <si>
    <t>INFERIOR</t>
  </si>
  <si>
    <t>MANUAL</t>
  </si>
  <si>
    <t>ALTURA (m)</t>
  </si>
  <si>
    <t>VOLUME (m³)</t>
  </si>
  <si>
    <t>OBSERVAÇÃO</t>
  </si>
  <si>
    <t>SUBSTITUIÇÃO SOLO (%)</t>
  </si>
  <si>
    <t>VALA EM PAVIMENTO EXISTENTE</t>
  </si>
  <si>
    <t>TRONCO</t>
  </si>
  <si>
    <t>ESPESSURA (m)</t>
  </si>
  <si>
    <t>01</t>
  </si>
  <si>
    <t>02</t>
  </si>
  <si>
    <t>03</t>
  </si>
  <si>
    <t>04</t>
  </si>
  <si>
    <t>05</t>
  </si>
  <si>
    <t>06</t>
  </si>
  <si>
    <t>COLCHÃO DE RACHÃO</t>
  </si>
  <si>
    <t>BASE ESTABILIZADA</t>
  </si>
  <si>
    <t>GRAMA</t>
  </si>
  <si>
    <t>DESTINO</t>
  </si>
  <si>
    <t>ORIGEM</t>
  </si>
  <si>
    <t>ATERRO</t>
  </si>
  <si>
    <t>ÁREA (m²)</t>
  </si>
  <si>
    <t>OBRA :</t>
  </si>
  <si>
    <t>ITEM</t>
  </si>
  <si>
    <t>DMT</t>
  </si>
  <si>
    <t>UNID.</t>
  </si>
  <si>
    <t>(%)</t>
  </si>
  <si>
    <t>SERVIÇOS PRELIMINARES</t>
  </si>
  <si>
    <t>SERVIÇOS COMPLEMENTARES</t>
  </si>
  <si>
    <t>TOTAL GERAL</t>
  </si>
  <si>
    <t>RESUMO</t>
  </si>
  <si>
    <t>DRENAGEM DE LENÇOL FREÁTICO</t>
  </si>
  <si>
    <t>DISCRIMINAÇÃO</t>
  </si>
  <si>
    <t>Nº LINHAS</t>
  </si>
  <si>
    <t>TALUDE       1:(V)</t>
  </si>
  <si>
    <t>INSERVÍVEL</t>
  </si>
  <si>
    <t>EXTENSÃO         (m)</t>
  </si>
  <si>
    <t>ESPESSURA (cm)</t>
  </si>
  <si>
    <t>TENTO         (m)</t>
  </si>
  <si>
    <t>PASSAGEM CP-01</t>
  </si>
  <si>
    <t>COLETORA CC-01</t>
  </si>
  <si>
    <t>DUPLA</t>
  </si>
  <si>
    <t>ÁREA           (m²)</t>
  </si>
  <si>
    <t>CANTEIRO</t>
  </si>
  <si>
    <t>PASSEIO</t>
  </si>
  <si>
    <t xml:space="preserve">SOLO                        INSERVÍVEL </t>
  </si>
  <si>
    <t>FAIXA (m)</t>
  </si>
  <si>
    <t>LIMPEZA MECANIZADA</t>
  </si>
  <si>
    <t>CORTE VOLUME (m³)</t>
  </si>
  <si>
    <t>ATERRO VOLUME (m³)</t>
  </si>
  <si>
    <t>LARGURA (m)</t>
  </si>
  <si>
    <t>BASE</t>
  </si>
  <si>
    <t>QUANTIDADE (un)</t>
  </si>
  <si>
    <t>ATERRO EXTENSÃO (m)</t>
  </si>
  <si>
    <t>GEOTECNIA</t>
  </si>
  <si>
    <t>TRONCO (m)</t>
  </si>
  <si>
    <t>COMPRIMENTO (m)</t>
  </si>
  <si>
    <t>VALA DE LANÇAMENTO</t>
  </si>
  <si>
    <t>ALTURA MÉDIA (m)</t>
  </si>
  <si>
    <t>Proponente</t>
  </si>
  <si>
    <t>Concedente</t>
  </si>
  <si>
    <t>Total Acumulado</t>
  </si>
  <si>
    <t xml:space="preserve">Total </t>
  </si>
  <si>
    <t>Ø   (m)</t>
  </si>
  <si>
    <t>C</t>
  </si>
  <si>
    <t>B</t>
  </si>
  <si>
    <t>A</t>
  </si>
  <si>
    <t>MONTANTE</t>
  </si>
  <si>
    <t>JUSANTE</t>
  </si>
  <si>
    <t>CRÍTICA</t>
  </si>
  <si>
    <t>VAZÃO</t>
  </si>
  <si>
    <t>N.A.</t>
  </si>
  <si>
    <t>PROJ.</t>
  </si>
  <si>
    <t>degrau</t>
  </si>
  <si>
    <t>SAÍDA</t>
  </si>
  <si>
    <t>PROF.</t>
  </si>
  <si>
    <t>FUNDO</t>
  </si>
  <si>
    <t>TAMPA</t>
  </si>
  <si>
    <t>DEGRAU</t>
  </si>
  <si>
    <t>Ø</t>
  </si>
  <si>
    <t>RETANGULAR (m)</t>
  </si>
  <si>
    <t>CIRCULAR Ø (m)</t>
  </si>
  <si>
    <t>MATERIAL</t>
  </si>
  <si>
    <t>GALERIA</t>
  </si>
  <si>
    <t>ÁREA</t>
  </si>
  <si>
    <t>sugestão</t>
  </si>
  <si>
    <t>RAMAIS MONTANTE</t>
  </si>
  <si>
    <t>PV</t>
  </si>
  <si>
    <t>TEMPO DE</t>
  </si>
  <si>
    <t>SEÇÃO DA GALERIA</t>
  </si>
  <si>
    <t>DECLIVIDADE   (%)</t>
  </si>
  <si>
    <t>BACIA LOCAL</t>
  </si>
  <si>
    <t>NÍVEL D'ÁGUA</t>
  </si>
  <si>
    <t>POÇO DE VISITA - COTAS (m)</t>
  </si>
  <si>
    <t>PLANILHA DE CÁLCULO - MICRODRENAGEM - GALERIAS DE ÁGUAS PLUVIAIS</t>
  </si>
  <si>
    <t>Tr =</t>
  </si>
  <si>
    <t>d =</t>
  </si>
  <si>
    <t>b =</t>
  </si>
  <si>
    <t>c =</t>
  </si>
  <si>
    <t>a =</t>
  </si>
  <si>
    <t>LASTRO BRITA ESPESSURA (m)</t>
  </si>
  <si>
    <t>LASTRO P.M. ESPESSURA (m)</t>
  </si>
  <si>
    <t>LASTRO DE CONCRETO MAGRO</t>
  </si>
  <si>
    <t>SEQUÊNCIA DA NUMERAÇÃO</t>
  </si>
  <si>
    <t>LASTRO BRITA EXTENSÃO (m)</t>
  </si>
  <si>
    <t>LASTRO P.M. EXTENSÃO (m)</t>
  </si>
  <si>
    <t>DATA BASE:</t>
  </si>
  <si>
    <t>VERIFICAÇÃO DOS TRECHOS:</t>
  </si>
  <si>
    <t>TOTAL DOS TRECHOS:</t>
  </si>
  <si>
    <t>TOTAL DOS LANÇAMENTOS:</t>
  </si>
  <si>
    <t>TOTAL DOS MONTANTES:</t>
  </si>
  <si>
    <t>TRECHO QUE FALTA:</t>
  </si>
  <si>
    <t>TRECHOS À</t>
  </si>
  <si>
    <t>COTA DE FUNDO</t>
  </si>
  <si>
    <t>ALTURA D'ÁGUA - NORMAL</t>
  </si>
  <si>
    <t>ALTURA D'ÁGUA - CRÍTICA</t>
  </si>
  <si>
    <t>JUS</t>
  </si>
  <si>
    <t>DE MONTANTE</t>
  </si>
  <si>
    <t>CONCENTRAÇÃO</t>
  </si>
  <si>
    <t>F1</t>
  </si>
  <si>
    <t>F2</t>
  </si>
  <si>
    <t>F3</t>
  </si>
  <si>
    <t>G1</t>
  </si>
  <si>
    <t>G2</t>
  </si>
  <si>
    <t>G3</t>
  </si>
  <si>
    <t>hc&lt;30</t>
  </si>
  <si>
    <t>30&gt;hc&gt;85</t>
  </si>
  <si>
    <t>hc&gt;85</t>
  </si>
  <si>
    <t>C1</t>
  </si>
  <si>
    <t>CRONOGRAMA FÍSICO FINANCEIRO</t>
  </si>
  <si>
    <t>MESES</t>
  </si>
  <si>
    <t>Totais</t>
  </si>
  <si>
    <t>DIAS</t>
  </si>
  <si>
    <t>CONCEDENTE</t>
  </si>
  <si>
    <t>PROPONENTE</t>
  </si>
  <si>
    <t>LANÇAMENTO</t>
  </si>
  <si>
    <t>Trecho   No.</t>
  </si>
  <si>
    <t>EXTENSÃO        (m)</t>
  </si>
  <si>
    <t>BACIA HIDROGRÁFICA</t>
  </si>
  <si>
    <t>NÃO DIGITAR NADA NESTA COLUNA E NEM DELETE</t>
  </si>
  <si>
    <t>ÁREA (ha)</t>
  </si>
  <si>
    <t>RUN OFF</t>
  </si>
  <si>
    <t>OBRA ATÍPICA</t>
  </si>
  <si>
    <t>CONCRETO (m³)</t>
  </si>
  <si>
    <t>FÔRMA (m²)</t>
  </si>
  <si>
    <t>PLANILHA DE QUANTIFICAÇÃO DOS SERVIÇOS DA DRENAGEM</t>
  </si>
  <si>
    <t>2,00 X 2,00</t>
  </si>
  <si>
    <t>2,50 X 2,50</t>
  </si>
  <si>
    <t>BIGODE Ø 0,40m</t>
  </si>
  <si>
    <t>BIGODE Ø 0,60m</t>
  </si>
  <si>
    <t>PERÍMETRO (m)</t>
  </si>
  <si>
    <t>LIXO (m)</t>
  </si>
  <si>
    <t>TENTO (m)</t>
  </si>
  <si>
    <t>INÍCIO</t>
  </si>
  <si>
    <t>FIM</t>
  </si>
  <si>
    <t>ESTACA</t>
  </si>
  <si>
    <t>LARGURA MÉDIA (m)</t>
  </si>
  <si>
    <t>PAVIMENTAÇÃO</t>
  </si>
  <si>
    <t>MEIOS-FIOS (m)</t>
  </si>
  <si>
    <t>CORTE EXTENSÃO (m)</t>
  </si>
  <si>
    <t>CORTE LARGURA (m)</t>
  </si>
  <si>
    <t>ATERRO LARGURA (m)</t>
  </si>
  <si>
    <t>MEIO-FIO COM SARJETA (m)</t>
  </si>
  <si>
    <t>TAXA DA REMOÇÃO (%)</t>
  </si>
  <si>
    <t>1,50 X 1,50</t>
  </si>
  <si>
    <t>TRONCO - RECAPEAMENTO</t>
  </si>
  <si>
    <t>BOCA DE LANÇAMENTO</t>
  </si>
  <si>
    <t>TEMPO
CONC.
(min)</t>
  </si>
  <si>
    <t>COEF.
DISTR.
(n)</t>
  </si>
  <si>
    <t>ÁREA
TOTAL
(há)</t>
  </si>
  <si>
    <t>EXTEN.
(m)</t>
  </si>
  <si>
    <t>ÁREA
(há)</t>
  </si>
  <si>
    <t>RUN
OFF</t>
  </si>
  <si>
    <t>INTENS.
PLUVIOM.
(mm/h)</t>
  </si>
  <si>
    <t>COEF.
DEFL.
(f)</t>
  </si>
  <si>
    <t>ALTURA D'ÁGUA
(m)</t>
  </si>
  <si>
    <t>TERRENO
NATURAL</t>
  </si>
  <si>
    <t>TEMPO DE
PERSURSO
(min)</t>
  </si>
  <si>
    <t>CÓDIGO</t>
  </si>
  <si>
    <t>FONTE</t>
  </si>
  <si>
    <t>SP/0020</t>
  </si>
  <si>
    <t>DR/0240</t>
  </si>
  <si>
    <t>DR/0250</t>
  </si>
  <si>
    <t>DR/0260</t>
  </si>
  <si>
    <t>DR/0270</t>
  </si>
  <si>
    <t>DR/0280</t>
  </si>
  <si>
    <t>DR/0290</t>
  </si>
  <si>
    <t>PA/0010</t>
  </si>
  <si>
    <t>PA/0020</t>
  </si>
  <si>
    <t>DR/0330</t>
  </si>
  <si>
    <t>DR/0190</t>
  </si>
  <si>
    <t>R$</t>
  </si>
  <si>
    <t>%</t>
  </si>
  <si>
    <t>ATENÇÃO: A ÚLTIMA MEDIÇÃO DO CONCEDENTE TEM DE SER MAIOR QUE 10%</t>
  </si>
  <si>
    <t>PERCENTUAL DE REMENDO (%)</t>
  </si>
  <si>
    <t>ÁREA DA CAPA (m²)</t>
  </si>
  <si>
    <t>MAGRO 15 MPa (m³)</t>
  </si>
  <si>
    <t>mês</t>
  </si>
  <si>
    <r>
      <t>VOLUME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</si>
  <si>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CELULAR BASE (m)</t>
  </si>
  <si>
    <t>CELULAR ALTURA (m)</t>
  </si>
  <si>
    <t>GALERIA CELULAR (BASE) (m)</t>
  </si>
  <si>
    <t>GALERIA CELULAR (ALTURA) (m)</t>
  </si>
  <si>
    <t>3,00 X 3,00</t>
  </si>
  <si>
    <t>01 (Q &lt; 2m³/s)</t>
  </si>
  <si>
    <t>02 (2 &lt; Q &lt; 3m³/s)</t>
  </si>
  <si>
    <t>03 (3 &lt; Q &lt; 6m³/s)</t>
  </si>
  <si>
    <t>04 (6 &lt; Q &lt; 8m³/s)</t>
  </si>
  <si>
    <t>05 (8 &lt; Q &lt; 16m³/s)</t>
  </si>
  <si>
    <t>06 (16 &lt; Q &lt; 20m³/s)</t>
  </si>
  <si>
    <t>CONCRETO 25 MPa  (m³)</t>
  </si>
  <si>
    <t>CIMBRAMENTO (m³)</t>
  </si>
  <si>
    <t>LOCAL :</t>
  </si>
  <si>
    <t>TRECHOS Nº</t>
  </si>
  <si>
    <t>DATA :</t>
  </si>
  <si>
    <t>PLANILHA DE DIMENSIONAMENTO DA ESTRUTURA DO PAVIMENTO</t>
  </si>
  <si>
    <t>CATEGORIA</t>
  </si>
  <si>
    <t>TIPO</t>
  </si>
  <si>
    <t>VC</t>
  </si>
  <si>
    <t>VA</t>
  </si>
  <si>
    <t>VTR</t>
  </si>
  <si>
    <t>FUNÇÃO</t>
  </si>
  <si>
    <t>PERÍODO DE PROJETO           (ano)</t>
  </si>
  <si>
    <t>Nº  "N"</t>
  </si>
  <si>
    <t>RESULTADOS DOS ENSAIOS CBR             SUBLEITO</t>
  </si>
  <si>
    <t>FURO 8</t>
  </si>
  <si>
    <t>FURO 11</t>
  </si>
  <si>
    <t>MÉDIA</t>
  </si>
  <si>
    <t>DESVIO PADRÃO</t>
  </si>
  <si>
    <t>CBR CORRIGIDO (SUBLEITO)</t>
  </si>
  <si>
    <t>média p/ cálculo</t>
  </si>
  <si>
    <t>ALTURA                         EQUIVALENTE (cm)</t>
  </si>
  <si>
    <t>H 20</t>
  </si>
  <si>
    <t>Hn</t>
  </si>
  <si>
    <t>Hm</t>
  </si>
  <si>
    <t>ESTRUTURA               DO                     PAVIMENTO                        (cm)</t>
  </si>
  <si>
    <t>REVESTIMENTO</t>
  </si>
  <si>
    <t>CBUQ</t>
  </si>
  <si>
    <t>ESPESSURA</t>
  </si>
  <si>
    <t>k</t>
  </si>
  <si>
    <t>BEG</t>
  </si>
  <si>
    <t>CBR</t>
  </si>
  <si>
    <t>SUB-BASE</t>
  </si>
  <si>
    <t>SBEG</t>
  </si>
  <si>
    <t>≥ 20</t>
  </si>
  <si>
    <t>REFORÇO DO SUBLEITO</t>
  </si>
  <si>
    <t>SUBLEITO</t>
  </si>
  <si>
    <t>VERIFICAÇÃO</t>
  </si>
  <si>
    <t>REVESTIMENTO + BASE</t>
  </si>
  <si>
    <t>H (R+B)</t>
  </si>
  <si>
    <t>VALIDAÇÃO</t>
  </si>
  <si>
    <t>REVESTIMENTO + BASE + SUB-BASE</t>
  </si>
  <si>
    <t>H (R+B+SB)</t>
  </si>
  <si>
    <t>REVESTIMENTO + BASE + SUB-BASE + REFORÇO</t>
  </si>
  <si>
    <t>REVESTIMENTO + BASE + SUBLEITO (100%PI)</t>
  </si>
  <si>
    <t>H (R+B+SL)</t>
  </si>
  <si>
    <t>Local</t>
  </si>
  <si>
    <t>Coletora</t>
  </si>
  <si>
    <t>Arterial</t>
  </si>
  <si>
    <t>PASSEIO COM ACESSIBILIDADE</t>
  </si>
  <si>
    <t>SV/0025</t>
  </si>
  <si>
    <t>E.S.D. (MÊS):</t>
  </si>
  <si>
    <t>E.S.D. (HORA):</t>
  </si>
  <si>
    <t>DR/0200</t>
  </si>
  <si>
    <t>DR/0205</t>
  </si>
  <si>
    <t>SC/0020</t>
  </si>
  <si>
    <t>SC/0040</t>
  </si>
  <si>
    <t>SC/0030</t>
  </si>
  <si>
    <t>DR/0145</t>
  </si>
  <si>
    <t>DR/0150</t>
  </si>
  <si>
    <t>DR/0155</t>
  </si>
  <si>
    <t>DR/0160</t>
  </si>
  <si>
    <t>DR/0165</t>
  </si>
  <si>
    <t>DR/0170</t>
  </si>
  <si>
    <t>DR/0215</t>
  </si>
  <si>
    <t>DR/0235</t>
  </si>
  <si>
    <t>SV/0030</t>
  </si>
  <si>
    <t>BARRACO DE OBRA TIPO CONTAINER (un.mês)</t>
  </si>
  <si>
    <t>SEGURANÇA DE TRÂNSITO - PLACA DE ADVERTÊNCIA (m²)</t>
  </si>
  <si>
    <t>SEGURANÇA DE TRÂNSITO - ELEMENTO LUMINOSO (m)</t>
  </si>
  <si>
    <t>PLANILHA DE QUANTIDADES DE SERVIÇOS PRELIMINARES
PROJETO DE ENGENHARIA</t>
  </si>
  <si>
    <t>IMPLANTAÇÃO ASFÁLTICA (m)</t>
  </si>
  <si>
    <t>RECAPEAMENTO (m)</t>
  </si>
  <si>
    <t>PLANILHA DE QUANTIDADES DE SERVIÇOS DA TERRAPLENAGEM - PROJETO DE ENGENHARIA</t>
  </si>
  <si>
    <t>PLANILHA DE CUBAÇÃO (m³)</t>
  </si>
  <si>
    <t>CORTE</t>
  </si>
  <si>
    <t>CORTE - PREPARO DO SUBLEITO (m³)</t>
  </si>
  <si>
    <t>ATERRO  (GEOMÉTRICO) (m³)</t>
  </si>
  <si>
    <t>REGULARIZAÇÃO</t>
  </si>
  <si>
    <t>MEIO-FIO (GUIA) (m)</t>
  </si>
  <si>
    <t>MEIO-FIO ROTATÓRIA (m)</t>
  </si>
  <si>
    <t>DADOS OBTIDOS NO DESENHO REAL DO PROJETO (MEDIDAS NOS BORDOS)</t>
  </si>
  <si>
    <t>VOLUME GEOMÉTRICO (m³)</t>
  </si>
  <si>
    <t>IMPRIMAÇÃO</t>
  </si>
  <si>
    <t>CAPA - CBUQ</t>
  </si>
  <si>
    <t>PAVER - INTERTRAVADO</t>
  </si>
  <si>
    <t>ESCAVAÇÃO COM RETORNO À PISTA</t>
  </si>
  <si>
    <r>
      <t xml:space="preserve">MANUAL 5% </t>
    </r>
    <r>
      <rPr>
        <b/>
        <sz val="10"/>
        <rFont val="Calibri"/>
        <family val="2"/>
      </rPr>
      <t>Σ</t>
    </r>
    <r>
      <rPr>
        <b/>
        <sz val="8"/>
        <rFont val="Arial"/>
        <family val="2"/>
      </rPr>
      <t xml:space="preserve"> DA ESCAVAÇÃO</t>
    </r>
  </si>
  <si>
    <t>VOLUME ESCAVADO (m³)</t>
  </si>
  <si>
    <t xml:space="preserve">JAZIDA - VOLUME GEOMÉTRICO </t>
  </si>
  <si>
    <t>SOLO IMPORTADO PARA REATERRO (m³)</t>
  </si>
  <si>
    <t>PROFUNDIDADE DA LINHA D'ÁGUA (m)</t>
  </si>
  <si>
    <t>PROFUNDIDADE MONTANTE DA LINHA D'ÁGUA (m)</t>
  </si>
  <si>
    <t>PROFUNDIDADE JUSANTE DA LINHA D'ÁGUA (m)</t>
  </si>
  <si>
    <t>SIM</t>
  </si>
  <si>
    <t>PLANILHA DE QUANTIDADES DE SERVIÇOS DA TERRAPLENAGEM DRENAGEM - PROJETO DE ENGENHARIA</t>
  </si>
  <si>
    <t>PLANILHA DE QUANTIDADES DE SERVIÇOS PRELIMINARES DA DRENAGEM - PROJETO DE ENGENHARIA</t>
  </si>
  <si>
    <t>LARGURA TOTAL (m)</t>
  </si>
  <si>
    <t>ESCAVAÇÃO (TOPO) (m)</t>
  </si>
  <si>
    <t>FAIXA ADCIONAL (m)</t>
  </si>
  <si>
    <t>DEMOLIÇÃO DE PAVIMENTO TUBO DE LIGAÇÃO Ø 0,60m</t>
  </si>
  <si>
    <t>DEMOLIÇÃO MANUAL DE CONCRETO SIMPLES</t>
  </si>
  <si>
    <t>DEMOLIÇÃO MANUAL DE ALVENARIA DE PEDRA</t>
  </si>
  <si>
    <t>DEMOLIÇÃO MANUAL DE CONCRETO ARMADO</t>
  </si>
  <si>
    <t>DEMOLIÇÃO DE PAVIMENTO REDE TRONCO</t>
  </si>
  <si>
    <t>PLANILHA DE QUANTIDADES DE SERVIÇOS ESTRUTURAIS DA DRENAGEM - PROJETO DE ENGENHARIA</t>
  </si>
  <si>
    <t>LASTRO DE PEDRA-DE-MÃO / ENROCAMENTO</t>
  </si>
  <si>
    <t>PLANTIO DE ÁRVORE (un)</t>
  </si>
  <si>
    <t>RECAPEAMENTO - TUBO DE LIGAÇÃO Ø 0,60m</t>
  </si>
  <si>
    <t>RECAPEAMENTO - REDE TRONCO</t>
  </si>
  <si>
    <t>BASE SOLO (%)</t>
  </si>
  <si>
    <t>BASE CASCALHO (%)</t>
  </si>
  <si>
    <t>PESCOÇO / CHAMINÉ Ø 0,60m (m)</t>
  </si>
  <si>
    <t>PLANILHA DE QUANTIDADES DE SERVIÇOS DA DRENAGEM PROFUNDA - PROJETO DE ENGENHARIA</t>
  </si>
  <si>
    <t>GEOSSINTÉTICO</t>
  </si>
  <si>
    <t>PREPARO MANUAL DO TERRENO</t>
  </si>
  <si>
    <t>TACHA REFLETIVA DIRECIONAL</t>
  </si>
  <si>
    <t>TACHÃO REFLETIVA DIRECIONAL</t>
  </si>
  <si>
    <t>QUANT.</t>
  </si>
  <si>
    <t>PREÇO (R$)</t>
  </si>
  <si>
    <t>SUBSTITUIÇÃO DE SOLO POR MATERIAL DE ATERRO</t>
  </si>
  <si>
    <t>Área da placa (m²)</t>
  </si>
  <si>
    <t>Largura (m)</t>
  </si>
  <si>
    <t>Pare (un)</t>
  </si>
  <si>
    <t>Área (m²)</t>
  </si>
  <si>
    <t>Seta (un)</t>
  </si>
  <si>
    <t>Zebrado
Faixa externa (m)</t>
  </si>
  <si>
    <t>Zebrado
Faixa interna (m)</t>
  </si>
  <si>
    <t>TRECHOS</t>
  </si>
  <si>
    <t>TACHAS E TACHÕES (un)</t>
  </si>
  <si>
    <t>VIAS</t>
  </si>
  <si>
    <t>OBRAS / SERVIÇOS</t>
  </si>
  <si>
    <t>PLANILHA DE QUANTIDADES DE SERVIÇOS DE SINALIZAÇÃO VIÁRIA - PROJETO DE ENGENHARIA</t>
  </si>
  <si>
    <t>SOLO INSERVÍVEL  (REMOÇÃO)</t>
  </si>
  <si>
    <t>SUBSTITUIÇÃO DE SOLO POR MATERIAL DE ATERRO (REPOSIÇÃO) (LEMBRAR DO COLCHÃO DE PEDRA)</t>
  </si>
  <si>
    <r>
      <t>TSD</t>
    </r>
    <r>
      <rPr>
        <b/>
        <sz val="8"/>
        <color rgb="FFFF0000"/>
        <rFont val="Arial"/>
        <family val="2"/>
      </rPr>
      <t xml:space="preserve"> (SIM)</t>
    </r>
  </si>
  <si>
    <r>
      <t>I = a.Tr</t>
    </r>
    <r>
      <rPr>
        <vertAlign val="superscript"/>
        <sz val="8"/>
        <rFont val="Arial"/>
        <family val="2"/>
      </rPr>
      <t>b</t>
    </r>
    <r>
      <rPr>
        <sz val="8"/>
        <rFont val="Arial"/>
        <family val="2"/>
      </rPr>
      <t xml:space="preserve"> / (tc + c)</t>
    </r>
    <r>
      <rPr>
        <vertAlign val="superscript"/>
        <sz val="8"/>
        <rFont val="Arial"/>
        <family val="2"/>
      </rPr>
      <t>d</t>
    </r>
  </si>
  <si>
    <t>DEFLÚVIO
LOCAL
(l/s)</t>
  </si>
  <si>
    <t>VAZÃO A
ESCOAR
(l/s)</t>
  </si>
  <si>
    <r>
      <t>VELOC.       V</t>
    </r>
    <r>
      <rPr>
        <b/>
        <sz val="8"/>
        <rFont val="Calibri"/>
        <family val="2"/>
      </rPr>
      <t>≥0,80    V≤8,00</t>
    </r>
    <r>
      <rPr>
        <b/>
        <sz val="8"/>
        <rFont val="Arial"/>
        <family val="2"/>
      </rPr>
      <t xml:space="preserve">
(m/s)</t>
    </r>
  </si>
  <si>
    <r>
      <t>MÍNIMA Y/H</t>
    </r>
    <r>
      <rPr>
        <b/>
        <sz val="8"/>
        <rFont val="Calibri"/>
        <family val="2"/>
      </rPr>
      <t>≥</t>
    </r>
    <r>
      <rPr>
        <b/>
        <sz val="8"/>
        <rFont val="Arial"/>
        <family val="2"/>
      </rPr>
      <t>85%</t>
    </r>
  </si>
  <si>
    <r>
      <t xml:space="preserve">NORMAL </t>
    </r>
    <r>
      <rPr>
        <b/>
        <sz val="8"/>
        <rFont val="Calibri"/>
        <family val="2"/>
      </rPr>
      <t>≤</t>
    </r>
    <r>
      <rPr>
        <b/>
        <sz val="8"/>
        <rFont val="Arial"/>
        <family val="2"/>
      </rPr>
      <t xml:space="preserve"> 85%</t>
    </r>
  </si>
  <si>
    <t>H4 &gt; 4,51m</t>
  </si>
  <si>
    <t>H1 &lt; 1,50</t>
  </si>
  <si>
    <t>INFERIOR H &lt; 4,50m (L=2Ø)</t>
  </si>
  <si>
    <t>INFERIOR H &gt; 4,51m (L=3Ø)</t>
  </si>
  <si>
    <t>TOPO (BOCA DA VALA)</t>
  </si>
  <si>
    <t>VERIFICAÇÃO DOS VOLUMES</t>
  </si>
  <si>
    <t>RETORNO E
LIMPA-RODAS</t>
  </si>
  <si>
    <t>VL</t>
  </si>
  <si>
    <t>VI</t>
  </si>
  <si>
    <t>N</t>
  </si>
  <si>
    <t>comercial</t>
  </si>
  <si>
    <t>tipo</t>
  </si>
  <si>
    <r>
      <t>5 x 10</t>
    </r>
    <r>
      <rPr>
        <vertAlign val="superscript"/>
        <sz val="8"/>
        <rFont val="Arial"/>
        <family val="2"/>
      </rPr>
      <t>7</t>
    </r>
  </si>
  <si>
    <r>
      <t>5,4 x 10</t>
    </r>
    <r>
      <rPr>
        <vertAlign val="superscript"/>
        <sz val="8"/>
        <rFont val="Arial"/>
        <family val="2"/>
      </rPr>
      <t>7</t>
    </r>
  </si>
  <si>
    <t>a</t>
  </si>
  <si>
    <r>
      <t>2,7 x 10</t>
    </r>
    <r>
      <rPr>
        <vertAlign val="superscript"/>
        <sz val="8"/>
        <rFont val="Arial"/>
        <family val="2"/>
      </rPr>
      <t>7</t>
    </r>
  </si>
  <si>
    <t>1.001 a 2.000</t>
  </si>
  <si>
    <t>&gt; 10000</t>
  </si>
  <si>
    <t>80 km/h</t>
  </si>
  <si>
    <t>Muito pesado</t>
  </si>
  <si>
    <t>Via de trânsito rápido - rodovia de circulação à área urbana</t>
  </si>
  <si>
    <r>
      <t>1 x 10</t>
    </r>
    <r>
      <rPr>
        <vertAlign val="superscript"/>
        <sz val="8"/>
        <rFont val="Arial"/>
        <family val="2"/>
      </rPr>
      <t>7</t>
    </r>
  </si>
  <si>
    <r>
      <t>1,0 x 10</t>
    </r>
    <r>
      <rPr>
        <vertAlign val="superscript"/>
        <sz val="8"/>
        <rFont val="Arial"/>
        <family val="2"/>
      </rPr>
      <t>7</t>
    </r>
  </si>
  <si>
    <r>
      <t>1,1 x 10</t>
    </r>
    <r>
      <rPr>
        <vertAlign val="superscript"/>
        <sz val="8"/>
        <rFont val="Arial"/>
        <family val="2"/>
      </rPr>
      <t>6</t>
    </r>
  </si>
  <si>
    <t>101 a 1.000</t>
  </si>
  <si>
    <t>1.501 a 10.000</t>
  </si>
  <si>
    <t>60 km/h</t>
  </si>
  <si>
    <t>Pesado</t>
  </si>
  <si>
    <t>Arterial - via de penetração</t>
  </si>
  <si>
    <r>
      <t>4 x 10</t>
    </r>
    <r>
      <rPr>
        <vertAlign val="superscript"/>
        <sz val="8"/>
        <rFont val="Arial"/>
        <family val="2"/>
      </rPr>
      <t>5</t>
    </r>
  </si>
  <si>
    <r>
      <t>6,8 x 10</t>
    </r>
    <r>
      <rPr>
        <vertAlign val="superscript"/>
        <sz val="8"/>
        <rFont val="Arial"/>
        <family val="2"/>
      </rPr>
      <t>5</t>
    </r>
  </si>
  <si>
    <r>
      <t>1,4 x 10</t>
    </r>
    <r>
      <rPr>
        <vertAlign val="superscript"/>
        <sz val="8"/>
        <rFont val="Arial"/>
        <family val="2"/>
      </rPr>
      <t>5</t>
    </r>
  </si>
  <si>
    <t>21 a 100</t>
  </si>
  <si>
    <t>401 a 1.500</t>
  </si>
  <si>
    <t>40 km/h</t>
  </si>
  <si>
    <t>Médio</t>
  </si>
  <si>
    <t>Coletora - via alimentadora das Arteriais</t>
  </si>
  <si>
    <r>
      <t>1 x 10</t>
    </r>
    <r>
      <rPr>
        <vertAlign val="superscript"/>
        <sz val="8"/>
        <rFont val="Arial"/>
        <family val="2"/>
      </rPr>
      <t>5</t>
    </r>
  </si>
  <si>
    <r>
      <t>2,7 x 10</t>
    </r>
    <r>
      <rPr>
        <vertAlign val="superscript"/>
        <sz val="8"/>
        <rFont val="Arial"/>
        <family val="2"/>
      </rPr>
      <t>4</t>
    </r>
  </si>
  <si>
    <r>
      <rPr>
        <sz val="8"/>
        <rFont val="Symbol"/>
        <family val="1"/>
        <charset val="2"/>
      </rPr>
      <t>£</t>
    </r>
    <r>
      <rPr>
        <sz val="8"/>
        <rFont val="Arial"/>
        <family val="2"/>
      </rPr>
      <t xml:space="preserve"> 20</t>
    </r>
  </si>
  <si>
    <r>
      <rPr>
        <sz val="8"/>
        <rFont val="Symbol"/>
        <family val="1"/>
        <charset val="2"/>
      </rPr>
      <t>£</t>
    </r>
    <r>
      <rPr>
        <sz val="8"/>
        <rFont val="Arial"/>
        <family val="2"/>
      </rPr>
      <t xml:space="preserve"> 400</t>
    </r>
  </si>
  <si>
    <t>30 km/h</t>
  </si>
  <si>
    <t>Leve</t>
  </si>
  <si>
    <t>Local - via de articulação com Coletoras</t>
  </si>
  <si>
    <r>
      <t>1 x 10</t>
    </r>
    <r>
      <rPr>
        <vertAlign val="superscript"/>
        <sz val="8"/>
        <rFont val="Arial"/>
        <family val="2"/>
      </rPr>
      <t>4</t>
    </r>
  </si>
  <si>
    <r>
      <t>1,4 x 10</t>
    </r>
    <r>
      <rPr>
        <vertAlign val="superscript"/>
        <sz val="8"/>
        <rFont val="Arial"/>
        <family val="2"/>
      </rPr>
      <t>4</t>
    </r>
  </si>
  <si>
    <r>
      <rPr>
        <sz val="8"/>
        <rFont val="Symbol"/>
        <family val="1"/>
        <charset val="2"/>
      </rPr>
      <t>£</t>
    </r>
    <r>
      <rPr>
        <sz val="8"/>
        <rFont val="Arial"/>
        <family val="2"/>
      </rPr>
      <t xml:space="preserve"> 2</t>
    </r>
  </si>
  <si>
    <t>Interna - via de circulação em condomínio</t>
  </si>
  <si>
    <t>CARACTERÍSTICO</t>
  </si>
  <si>
    <t>CALCULADO</t>
  </si>
  <si>
    <t>COMERCIAL</t>
  </si>
  <si>
    <t>NÚMERO “N” 10 ANOS</t>
  </si>
  <si>
    <t>Fator Equivalente por veículo</t>
  </si>
  <si>
    <t>Período de pojeto (anos)</t>
  </si>
  <si>
    <t>VDM inicial na faixa mais solicitada</t>
  </si>
  <si>
    <t>Velocidade máxima sem sinalização</t>
  </si>
  <si>
    <t>Tráfego previsto</t>
  </si>
  <si>
    <t>Função predominante</t>
  </si>
  <si>
    <t>Tipo de Via</t>
  </si>
  <si>
    <t>PLANILHA DE QUANTIDADES DE SERVIÇOS DA PAVIMENTAÇÃO
PROJETO DE ENGENHARIA</t>
  </si>
  <si>
    <t>E.S.S.M.O.:</t>
  </si>
  <si>
    <t>BDI SERVIÇOS:</t>
  </si>
  <si>
    <t>RE/0030</t>
  </si>
  <si>
    <t>RE/0040</t>
  </si>
  <si>
    <t>RE/0060</t>
  </si>
  <si>
    <t>RE/0070</t>
  </si>
  <si>
    <t>SC/0100</t>
  </si>
  <si>
    <t>SV/0035</t>
  </si>
  <si>
    <t>SV/0040</t>
  </si>
  <si>
    <t>SV/0055</t>
  </si>
  <si>
    <t>SV/0060</t>
  </si>
  <si>
    <t>SV/0070</t>
  </si>
  <si>
    <t>SV/0075</t>
  </si>
  <si>
    <t>SV/0080</t>
  </si>
  <si>
    <t>SV/0100</t>
  </si>
  <si>
    <t>SV/0110</t>
  </si>
  <si>
    <t>SV/0120</t>
  </si>
  <si>
    <t>ADMINISTRAÇÃO LOCAL</t>
  </si>
  <si>
    <t>ST/0070</t>
  </si>
  <si>
    <t>IMPLANTAÇÃO ASFÁLTICA - TERRAPLENAGEM</t>
  </si>
  <si>
    <t>RE/0065</t>
  </si>
  <si>
    <t>observações do boletim</t>
  </si>
  <si>
    <t>IMPLANTAÇÃO ASFÁLTICA - PAVIMENTAÇÃO</t>
  </si>
  <si>
    <t>unitário s/BDI</t>
  </si>
  <si>
    <t>atenção: se preço unitário ficar rosa é pq tem algo de errado no BDI</t>
  </si>
  <si>
    <t>VERIFICAÇÕES</t>
  </si>
  <si>
    <t>Total Geral</t>
  </si>
  <si>
    <t>MECÂNICA ≤ 1,50m (L ≤ 0,80m)</t>
  </si>
  <si>
    <t>MECÂNICA ≤ 1,50m (L &gt; 1,50m)</t>
  </si>
  <si>
    <t>MEC. 1,51 a 3,00m (L &gt; 1,50m)</t>
  </si>
  <si>
    <t>MECÂNICA 3,01 a 4,50m (L ≤ 1,50m)</t>
  </si>
  <si>
    <t>MECÂNICA 3,01 a 4,50m (L &gt; 1,50m)</t>
  </si>
  <si>
    <t>MECÂNICA ≥ 4,51m (L ≤ 1,50m)</t>
  </si>
  <si>
    <t>MECÂNICA ≥ 4,51m (L &gt; 1,50m)</t>
  </si>
  <si>
    <t>TUBO / GALERIA (SEÇÃO EXTERNA)</t>
  </si>
  <si>
    <t>MECÂNICA ≤ 1,50m (0,80m &lt; L ≤ 1,50m)</t>
  </si>
  <si>
    <t>MEC. 1,51 a 3,00m (0,80m &lt; L ≤ 1,50m)</t>
  </si>
  <si>
    <t>ESCAVAÇÃO: H4 &gt; 4,51m</t>
  </si>
  <si>
    <t>ESCAVAÇÃO: H1 &lt; 1,50</t>
  </si>
  <si>
    <t>REATERRO: H4 &gt; 4,51m</t>
  </si>
  <si>
    <t>REATERRO: H1 &lt; 1,50</t>
  </si>
  <si>
    <t>PASSEIO SIMPLES</t>
  </si>
  <si>
    <t>PASSEIO DUPLA</t>
  </si>
  <si>
    <t>PASSEIO TRIPLA</t>
  </si>
  <si>
    <t>CONCRETO SIMPLES</t>
  </si>
  <si>
    <t>CONCRETO DUPLA</t>
  </si>
  <si>
    <t>CONCRETO TRIPLA</t>
  </si>
  <si>
    <t>CIRCULAR</t>
  </si>
  <si>
    <t>COLETORA CC-02</t>
  </si>
  <si>
    <t xml:space="preserve"> CELULAR (BASE) (m)</t>
  </si>
  <si>
    <t>TELA TAPUME</t>
  </si>
  <si>
    <t>EXTENSÃO  (m)</t>
  </si>
  <si>
    <t>VOLUME DE DEMOLIÇÃO (m³)</t>
  </si>
  <si>
    <t>DEMOLIÇÃO MANUAL DE ALVENARIA DE TIJOLO</t>
  </si>
  <si>
    <t>VOLUME DE DEMOLIÇÃO PARA BOTA-FORA (m³)</t>
  </si>
  <si>
    <t xml:space="preserve"> AQUISIÇÃO (%)</t>
  </si>
  <si>
    <r>
      <t xml:space="preserve">BASE ESPESSURA </t>
    </r>
    <r>
      <rPr>
        <b/>
        <sz val="8"/>
        <color rgb="FFFF0000"/>
        <rFont val="Arial"/>
        <family val="2"/>
      </rPr>
      <t>(cm)</t>
    </r>
  </si>
  <si>
    <r>
      <t>PISTA x DEPÓSITO</t>
    </r>
    <r>
      <rPr>
        <b/>
        <sz val="8"/>
        <color rgb="FFFF0000"/>
        <rFont val="Arial"/>
        <family val="2"/>
      </rPr>
      <t xml:space="preserve"> (%) </t>
    </r>
    <r>
      <rPr>
        <b/>
        <sz val="8"/>
        <color rgb="FFFF0000"/>
        <rFont val="Wingdings 3"/>
        <family val="1"/>
        <charset val="2"/>
      </rPr>
      <t>g</t>
    </r>
  </si>
  <si>
    <r>
      <t>ALTURA (m) [V=0;2m&lt;H</t>
    </r>
    <r>
      <rPr>
        <b/>
        <sz val="8"/>
        <rFont val="Calibri"/>
        <family val="2"/>
      </rPr>
      <t>≤</t>
    </r>
    <r>
      <rPr>
        <b/>
        <sz val="8"/>
        <rFont val="Arial"/>
        <family val="2"/>
      </rPr>
      <t>3m]</t>
    </r>
  </si>
  <si>
    <t>NATUREZA DO TERRENO</t>
  </si>
  <si>
    <t>PROFUNDIDADE MÉDIA + BOLSA (H)</t>
  </si>
  <si>
    <t>ALTURAS  (m)</t>
  </si>
  <si>
    <t>VOLUME DE REATERRO</t>
  </si>
  <si>
    <t>VOLUME TOTAL DA ESCAVAÇÃO</t>
  </si>
  <si>
    <t>VOLUME TOTAL DO REATERRO</t>
  </si>
  <si>
    <t>SERVIÇOS DE ENGENHARIA</t>
  </si>
  <si>
    <t>composição</t>
  </si>
  <si>
    <t>VOLUME CARGA NO DEPÓSITO (m³)</t>
  </si>
  <si>
    <r>
      <t xml:space="preserve">VOLUME PISTA x DEPÓSITO (m³) (GEOMÉTRICO) </t>
    </r>
    <r>
      <rPr>
        <b/>
        <sz val="8"/>
        <color rgb="FFFF0000"/>
        <rFont val="Calibri"/>
        <family val="2"/>
      </rPr>
      <t>→</t>
    </r>
  </si>
  <si>
    <t>BOTA-DENTRO (PISTA x DEPÓSITO x PISTA)</t>
  </si>
  <si>
    <t>VOLUME EMPOLADO (m³) (10%)</t>
  </si>
  <si>
    <t>ESGOTAMENTO COM MOTO-BOMBA (h)</t>
  </si>
  <si>
    <t xml:space="preserve">AÇO CA-50 Ø 6.3mm  (kg) </t>
  </si>
  <si>
    <t>ALTURA DO RECOBRIMENTO DO TUBO (m)</t>
  </si>
  <si>
    <t>TAMPÃO DE F°F° Ø 60cm</t>
  </si>
  <si>
    <t>SITUAÇÕES DE REPARO / MANUTENÇÃO</t>
  </si>
  <si>
    <r>
      <t xml:space="preserve">TAMPÃO DE F°F° </t>
    </r>
    <r>
      <rPr>
        <b/>
        <sz val="8"/>
        <color rgb="FFFF0000"/>
        <rFont val="Arial"/>
        <family val="2"/>
      </rPr>
      <t>EXTRA</t>
    </r>
    <r>
      <rPr>
        <b/>
        <sz val="8"/>
        <rFont val="Arial"/>
        <family val="2"/>
      </rPr>
      <t xml:space="preserve"> Ø 60cm (un)</t>
    </r>
  </si>
  <si>
    <t>PESCOÇO EXTRA Ø 60cm (m)</t>
  </si>
  <si>
    <t>POÇO DE VISITA
(PV-TIPO)                                                                       (un)</t>
  </si>
  <si>
    <t>CAIXA (un)</t>
  </si>
  <si>
    <t>BOCA DE             LOBO                                                      (un)</t>
  </si>
  <si>
    <t>BOCA DE                                                                           BUEIRO                                          (un)</t>
  </si>
  <si>
    <t>DISSIPADOR
DE ENERGIA                                                                    (un)</t>
  </si>
  <si>
    <t>QUADRO E GRELHA DE FºFº PARA BL</t>
  </si>
  <si>
    <t>TAMPÃO EM FºFº PARA PV</t>
  </si>
  <si>
    <t>SUBSTITUIÇÃO (un)</t>
  </si>
  <si>
    <t>REASSENTAMENTO (un)</t>
  </si>
  <si>
    <t xml:space="preserve">AÇO CA-60 Ø 5.0mm  (kg) </t>
  </si>
  <si>
    <t xml:space="preserve">AÇO CA-50 Ø 8.0mm  (kg) </t>
  </si>
  <si>
    <t xml:space="preserve">AÇO CA-50 Ø 10.0mm  (kg) </t>
  </si>
  <si>
    <t xml:space="preserve">AÇO CA-50 Ø 12.5mm  (kg) </t>
  </si>
  <si>
    <t>CONCRETO CICLÓPICO (m³)</t>
  </si>
  <si>
    <t>VOLUME ESCAVAÇÃO (m³)</t>
  </si>
  <si>
    <t>RECOMPOSIÇÃO (m)</t>
  </si>
  <si>
    <t>MEIO FIO COM SARJETA</t>
  </si>
  <si>
    <t>MEIO FIO SIMPLES (GUIA)</t>
  </si>
  <si>
    <t>SARJETA</t>
  </si>
  <si>
    <t>PINTURA DE LIGAÇÃO</t>
  </si>
  <si>
    <t>EMULSÃO (T) (0,0005T/m²)</t>
  </si>
  <si>
    <t>APLICAÇÃO MANUAL (m³)</t>
  </si>
  <si>
    <t>COMPOSIÇÃO DE CUSTO UNITÁRIO</t>
  </si>
  <si>
    <t>E.Sociais horista:</t>
  </si>
  <si>
    <t>SERVIÇO</t>
  </si>
  <si>
    <t>UNIDADE DO SERVIÇO</t>
  </si>
  <si>
    <t>EQUIPAMENTO</t>
  </si>
  <si>
    <t xml:space="preserve">UN </t>
  </si>
  <si>
    <t>CUSTO</t>
  </si>
  <si>
    <t>CUSTO HORÁRIO DO EQUIPAMENTO</t>
  </si>
  <si>
    <t>MÃO DE OBRA</t>
  </si>
  <si>
    <t>CUSTO HORÁRIO DA MÃO DE OBRA</t>
  </si>
  <si>
    <t>CUSTO UNITÁRIO TOTAL</t>
  </si>
  <si>
    <t>CUSTO UNITÁRIO DA EXECUÇÃO</t>
  </si>
  <si>
    <t>km</t>
  </si>
  <si>
    <t>Nota: Valores internos calculados com maior precisão e truncados para 2 casas decimais no relatório. Instrução normativa do DNIT</t>
  </si>
  <si>
    <t>PRAZO DA OBRA</t>
  </si>
  <si>
    <t>CPU Adm Local</t>
  </si>
  <si>
    <t xml:space="preserve">un </t>
  </si>
  <si>
    <t>Administração local do canteiro de obras</t>
  </si>
  <si>
    <t>BASE COM MISTURA (m³)</t>
  </si>
  <si>
    <t>PAVER PÁTIO 8cm (m²) (180kg/m²)</t>
  </si>
  <si>
    <t>PAVER PÁTIO 10cm (m²) (230kg/m²)</t>
  </si>
  <si>
    <t>PAVER VIA 8cm (m²) (180kg/m²)</t>
  </si>
  <si>
    <t>PAVER VIA 10cm (m²) (230kg/m²)</t>
  </si>
  <si>
    <t>REGULARIZAÇÃO COM MOTONIVELADORA</t>
  </si>
  <si>
    <t>GUIA PARA CANTEIRO</t>
  </si>
  <si>
    <t>CONCRETO 15MPa</t>
  </si>
  <si>
    <t>PLANILHA DE QUANTIDADES DE SERVIÇOS COMPLEMENTARES
PROJETO DE ENGENHARIA</t>
  </si>
  <si>
    <t>FÔRMA</t>
  </si>
  <si>
    <t>AÇO (kg)</t>
  </si>
  <si>
    <t>GUIA PARA CANTEIRO (m)</t>
  </si>
  <si>
    <t>PISO GRAMA TRECHO "B"</t>
  </si>
  <si>
    <t>GRAMA TRECHO "A"</t>
  </si>
  <si>
    <t>GRAMA TRECHO "B"</t>
  </si>
  <si>
    <t>EXTENSÃO (m) (B)</t>
  </si>
  <si>
    <t>LARGURA (m) (B)</t>
  </si>
  <si>
    <t>PREPARO MANUAL  TRECHO "A"</t>
  </si>
  <si>
    <t>PREPARO MANUAL  TRECHO "B"</t>
  </si>
  <si>
    <t>REGULARIZAÇÃO COM MOTO TRECHO "B"</t>
  </si>
  <si>
    <t>CA-60 Ø 5.0mm (0,154 kg/m)</t>
  </si>
  <si>
    <t>CA-50 Ø 6.3mm (0,245kg/m)</t>
  </si>
  <si>
    <t>CA-50 Ø 8.0mm (0,395kg/m)</t>
  </si>
  <si>
    <t>CA-50 Ø 10.0mm (0,617kg/m)</t>
  </si>
  <si>
    <t>CONCRETO 25MPa</t>
  </si>
  <si>
    <t>NÍVEL D'ÁGUA (m)</t>
  </si>
  <si>
    <t>ESCAVAÇÃO: 3,010m &lt; H3 &lt; 4,50m</t>
  </si>
  <si>
    <t>ESCAVAÇÃO: 1,51m &lt; H2 &lt; 3,00m</t>
  </si>
  <si>
    <t>REATERRO: 3,010m &lt; H3 &lt; 4,50m</t>
  </si>
  <si>
    <t>REATERRO: 1,51m &lt; H2 &lt; 3,00m</t>
  </si>
  <si>
    <t>3,01m &lt; H3 &lt; 4,50m</t>
  </si>
  <si>
    <t>1,51m &lt; H2 &lt; 3,00m</t>
  </si>
  <si>
    <t>REATERRO MANUAL</t>
  </si>
  <si>
    <t>REATERRO MECÂNICO</t>
  </si>
  <si>
    <t>ALVENARIA DE 1x (1,75m²/un)</t>
  </si>
  <si>
    <t>CHAPISCO (1,75m²/un)</t>
  </si>
  <si>
    <t>REBOCO (2cm x 1,75m²/un)</t>
  </si>
  <si>
    <t>COLUNA DE AÇO CÔNICA (un)</t>
  </si>
  <si>
    <t>BRAÇO PROJETADO DE AÇO (un)</t>
  </si>
  <si>
    <t>IDENTIFICAÇÃO DE RUA</t>
  </si>
  <si>
    <t>(un)</t>
  </si>
  <si>
    <t>EXTENSÃO INTEIRA DA FAIXA TRACEJADA E OCULTAR</t>
  </si>
  <si>
    <t>ÁREA TOTAL DE PINTURA DE FAIXA (m²)</t>
  </si>
  <si>
    <t>Parada obrigatória (R-1)</t>
  </si>
  <si>
    <t>Veloc. máx. permitida 40km/h (R-19)</t>
  </si>
  <si>
    <t>CAIXA DE PASSAGEM (un)</t>
  </si>
  <si>
    <t>DUTO ESPIRAL FLEXÍVEL Ø 75mm (m)</t>
  </si>
  <si>
    <t>AREIA (m³)</t>
  </si>
  <si>
    <t>PAVER (T)</t>
  </si>
  <si>
    <t>FÓRMULAS</t>
  </si>
  <si>
    <t>FÓRMULA</t>
  </si>
  <si>
    <t>LARGURA DA VALA (m)</t>
  </si>
  <si>
    <r>
      <t>ÁREA (m²) 2x (L≤1,50m) (H</t>
    </r>
    <r>
      <rPr>
        <b/>
        <sz val="8"/>
        <rFont val="Calibri"/>
        <family val="2"/>
      </rPr>
      <t>≤</t>
    </r>
    <r>
      <rPr>
        <b/>
        <sz val="8"/>
        <rFont val="Arial"/>
        <family val="2"/>
      </rPr>
      <t>1,50m)</t>
    </r>
  </si>
  <si>
    <t>ÁREA (m²) 2x (1,50m&lt;L≤2,50m) (H≤1,50m)</t>
  </si>
  <si>
    <t>ÁREA (m²) 2x (L≤1,50m) (1,50m&lt;H≤3,00m)</t>
  </si>
  <si>
    <t>ÁREA (m²) 2x (1,50m&lt;L≤2,50m) (1,50m&lt;H≤3,00m)</t>
  </si>
  <si>
    <t>DATA        :</t>
  </si>
  <si>
    <t>PRAÇA     :</t>
  </si>
  <si>
    <t>OBRA       :</t>
  </si>
  <si>
    <t>Infraestrutura Urbana</t>
  </si>
  <si>
    <t>SV/0065</t>
  </si>
  <si>
    <t>serviço preliminar 1º mês (mínimo)</t>
  </si>
  <si>
    <t>=→</t>
  </si>
  <si>
    <t>PLANILHA DE DADOS DE SERVIÇOS DA TERRAPLENAGEM E DA PAVIMENTAÇÃO - PROJETO DE ENGENHARIA</t>
  </si>
  <si>
    <t>-</t>
  </si>
  <si>
    <t>LASTRO DE BRITA FUNDAÇÃO / LANÇAMENTO</t>
  </si>
  <si>
    <t>ENROCAMENTO FUNDAÇÃO / LANÇAMENTO</t>
  </si>
  <si>
    <t>LASTRO DE BRITA - FUNDAÇÃO NA GALERIA</t>
  </si>
  <si>
    <t>LASTRO DE BRITA - FUNDAÇÃO / LANÇAMENTO DE OBRAS</t>
  </si>
  <si>
    <t>LASTRO DE PEDRA-DE-MÃO / ENROCAMENTO FUNDAÇÃO / LANÇAMENTO / DRENO DE OBRAS</t>
  </si>
  <si>
    <t>LASTRO DE PEDRA-DE-MÃO - FUNDAÇÃO NA GALERIA</t>
  </si>
  <si>
    <t>REATERRO MANUAL/MECÂNICO</t>
  </si>
  <si>
    <t>BOLSA + ESPESSURA</t>
  </si>
  <si>
    <t>MEC. 1,51 a 3,00m (L ≤ 0,80m)</t>
  </si>
  <si>
    <t>SECRETARIA MUNICIPAL DE INFRAESTRUTURA E SERVIÇOS PÚBLICOS - SISEP</t>
  </si>
  <si>
    <t>RESUMO DO ORÇAMENTO</t>
  </si>
  <si>
    <t>PESO (%)</t>
  </si>
  <si>
    <t>QUADRO DE ANÁLISE ESTATÍSTICA</t>
  </si>
  <si>
    <t>TOTAL  DRENAGEM</t>
  </si>
  <si>
    <t>TOTAL RECAPEAMENTO</t>
  </si>
  <si>
    <t>TOTAL PAVIMENTAÇÃO</t>
  </si>
  <si>
    <t xml:space="preserve">CUSTO DA OBRA </t>
  </si>
  <si>
    <t>CLASSIFICAÇÃO</t>
  </si>
  <si>
    <t>ALTURA</t>
  </si>
  <si>
    <t>ÁREA MÉDIA DA VIA DE INTERVENÇÃO (m²)</t>
  </si>
  <si>
    <t xml:space="preserve">LARGURA MÉDIA (m) </t>
  </si>
  <si>
    <t>PERCENTUAL DE REPARO (%)</t>
  </si>
  <si>
    <t>ESPESSURA DA CAMADA (m)</t>
  </si>
  <si>
    <t>ARRANCAMENTO E REMOÇÃO DE TUBULÇÃO (m)</t>
  </si>
  <si>
    <r>
      <t xml:space="preserve">Ø </t>
    </r>
    <r>
      <rPr>
        <b/>
        <sz val="8"/>
        <rFont val="Calibri"/>
        <family val="2"/>
      </rPr>
      <t xml:space="preserve">≤ </t>
    </r>
    <r>
      <rPr>
        <b/>
        <sz val="8"/>
        <rFont val="Arial"/>
        <family val="2"/>
      </rPr>
      <t>0,60m</t>
    </r>
  </si>
  <si>
    <t>Ø &gt; 0,60m</t>
  </si>
  <si>
    <t>Ø ≤ 0,60m</t>
  </si>
  <si>
    <t>0,60 (bigode)</t>
  </si>
  <si>
    <t>LARGURA DA BASE (m)</t>
  </si>
  <si>
    <t>LARGURA DO TOPO (m)</t>
  </si>
  <si>
    <r>
      <t>CBUQ ESPESSURA</t>
    </r>
    <r>
      <rPr>
        <b/>
        <sz val="8"/>
        <color rgb="FFFF0000"/>
        <rFont val="Arial"/>
        <family val="2"/>
      </rPr>
      <t xml:space="preserve"> (cm) </t>
    </r>
    <r>
      <rPr>
        <b/>
        <sz val="8"/>
        <color rgb="FF0000FF"/>
        <rFont val="Arial"/>
        <family val="2"/>
      </rPr>
      <t>(TSD e=0)</t>
    </r>
  </si>
  <si>
    <t>VOLUME CONCRETO (m³)</t>
  </si>
  <si>
    <t>PASSEIO SIMPLES - BLSP</t>
  </si>
  <si>
    <t>PASSEIO DUPLA - BLDP</t>
  </si>
  <si>
    <t>PASSEIO TRIPLA - BLTP</t>
  </si>
  <si>
    <t>CONCRETO SIMPLES - BLSC</t>
  </si>
  <si>
    <t>CONCRETO DUPLA - BLDC</t>
  </si>
  <si>
    <t>CONCRETO TRIPLA - BLTC</t>
  </si>
  <si>
    <t>lastro</t>
  </si>
  <si>
    <t>BRITA (m³)</t>
  </si>
  <si>
    <t>DISSIPADOR DE ENERGIA                                                                    (un)</t>
  </si>
  <si>
    <t>S_Preliminares!A1</t>
  </si>
  <si>
    <t>Dre_Terraplenagem!A1</t>
  </si>
  <si>
    <t>Dre_Disp_Estruturais!A1</t>
  </si>
  <si>
    <t>Dre_Fecha_Vala!A1</t>
  </si>
  <si>
    <t>Recap_Previo!A1</t>
  </si>
  <si>
    <t>Recap_Final!A1</t>
  </si>
  <si>
    <t>Pav_Terraplenagem!A1</t>
  </si>
  <si>
    <t>Pav_Estrutura!A1</t>
  </si>
  <si>
    <t>Dre_Profunda!A1</t>
  </si>
  <si>
    <t>Acessibilidade!A1</t>
  </si>
  <si>
    <t>Sinalizacao!A1</t>
  </si>
  <si>
    <t>CPU Adm Local'!A1</t>
  </si>
  <si>
    <t>Rótulos de Linha</t>
  </si>
  <si>
    <t>PLANILHA DE QUANTIDADES DE SERVIÇOS DA TERRAPLENAGEM E DA PAVIMENTAÇÃO DA CICLOVIA - PROJETO DE ENGENHARIA</t>
  </si>
  <si>
    <t xml:space="preserve">LARGURA PISTA (m) </t>
  </si>
  <si>
    <t>REGULARIZAÇÃO         (m²)</t>
  </si>
  <si>
    <t>GUIA PARA CICLOVIA (m)</t>
  </si>
  <si>
    <t>Ciclovia - Parada obrigatória</t>
  </si>
  <si>
    <t>IMPLANTAÇÃO / ADEQUAÇÃO GEOMÉTRICA DE CICLOVIA</t>
  </si>
  <si>
    <t>Ciclovia!A1</t>
  </si>
  <si>
    <t>PREÇO UNITÁRIO (R$)</t>
  </si>
  <si>
    <t>PREÇO TOTAL (R$)</t>
  </si>
  <si>
    <t>CURVA ABC</t>
  </si>
  <si>
    <t>Nº REPETIÇÕES</t>
  </si>
  <si>
    <t>SÓ PODEM SER DELETADAS AS CÉLULAS QUE CONTÉM OS PERCENTAIS DO DESENVOLVIMENTO DOS SERVIÇOS MENSALMENTE</t>
  </si>
  <si>
    <t>LASTRO AREIA ESPESSURA (m)</t>
  </si>
  <si>
    <t>LASTRO AREIA EXTENSÃO (m)</t>
  </si>
  <si>
    <t>LASTRO DE AREIA</t>
  </si>
  <si>
    <t>REATERRO HIDRÁULICO (SIM)</t>
  </si>
  <si>
    <t>MECÂNICO H ≤ 1,50m (L ≤ 0,80m)</t>
  </si>
  <si>
    <t>MECÂNICO H ≤ 1,50m (0,80m &lt; L ≤ 1,50m)</t>
  </si>
  <si>
    <t>MECÂNICO H ≤ 1,50m (L &gt; 1,50m)</t>
  </si>
  <si>
    <t>MEC. 1,50 &lt; H ≤ 3,00m (L ≤ 0,80m)</t>
  </si>
  <si>
    <t>MEC. 1,50 &lt; H ≤ 3,00m (0,80m &lt; L ≤ 1,50m)</t>
  </si>
  <si>
    <t>MEC. 1,50 &lt; H ≤ 3,00m (L &gt; 1,50m)</t>
  </si>
  <si>
    <t>MECÂNICO 3,00 &lt; H  ≤  4,50m (L &gt; 1,50m)</t>
  </si>
  <si>
    <t>MECÂNICO H &gt; 4,50m (L ≤ 1,50m)</t>
  </si>
  <si>
    <t>MECÂNICO H &gt; 4,50m (L &gt; 1,50m)</t>
  </si>
  <si>
    <t>MECÂNICO 3,00 &lt; H  ≤  4,50m (L ≤ 1,50m)</t>
  </si>
  <si>
    <r>
      <t>PMF ESPESSURA</t>
    </r>
    <r>
      <rPr>
        <b/>
        <sz val="8"/>
        <color rgb="FFFF0000"/>
        <rFont val="Arial"/>
        <family val="2"/>
      </rPr>
      <t xml:space="preserve"> (cm) </t>
    </r>
    <r>
      <rPr>
        <b/>
        <sz val="8"/>
        <color rgb="FF0000FF"/>
        <rFont val="Arial"/>
        <family val="2"/>
      </rPr>
      <t>(TSD e=0)</t>
    </r>
  </si>
  <si>
    <t>CBUQ (T) (2,5548 T/m3)</t>
  </si>
  <si>
    <t>BRITA (m³) (0,968m³/m³)</t>
  </si>
  <si>
    <r>
      <t>CBUQ CAP 50-70</t>
    </r>
    <r>
      <rPr>
        <b/>
        <sz val="8"/>
        <color rgb="FFFF0000"/>
        <rFont val="Arial"/>
        <family val="2"/>
      </rPr>
      <t xml:space="preserve"> (SIM)</t>
    </r>
  </si>
  <si>
    <t>ASFALTO DILUÍDO (T) (0,0013T/m²)</t>
  </si>
  <si>
    <t>CAP (T) (6% VOLUME)</t>
  </si>
  <si>
    <t>ROCHA (m)</t>
  </si>
  <si>
    <t>ROCHA</t>
  </si>
  <si>
    <t>VOLUME TOTAL DA ESCAVAÇÃO - SOLO</t>
  </si>
  <si>
    <t>DR/0050</t>
  </si>
  <si>
    <t>FILTRO DE OCULTAR LINHAS VAZIAS</t>
  </si>
  <si>
    <t>AREIA (m³) (0,411m³/m³)</t>
  </si>
  <si>
    <t>BRITA (m³) (0,447m³/T)</t>
  </si>
  <si>
    <t>AREIA (m³) (0,161m³/T)</t>
  </si>
  <si>
    <t>E.Sociais mensalista:</t>
  </si>
  <si>
    <t>RE/0035</t>
  </si>
  <si>
    <t>RECORTE MECÂNICO DO PAVIMENTO (m)</t>
  </si>
  <si>
    <t>CONCEITO</t>
  </si>
  <si>
    <t>PADRÃO FORNCEDIDO PELO CONTRATANTE</t>
  </si>
  <si>
    <t>DETERMINADO NO CRONOGRAMA</t>
  </si>
  <si>
    <t>DIÁRIA</t>
  </si>
  <si>
    <t>OBRA (MÊS)</t>
  </si>
  <si>
    <t>PRODUÇÃO (UMA FRENTE)</t>
  </si>
  <si>
    <t>Soma de PREÇO TOTAL (R$)</t>
  </si>
  <si>
    <t>SOLO</t>
  </si>
  <si>
    <r>
      <t>Ø 0,40m</t>
    </r>
    <r>
      <rPr>
        <b/>
        <sz val="8"/>
        <color rgb="FFFF0000"/>
        <rFont val="Arial"/>
        <family val="2"/>
      </rPr>
      <t xml:space="preserve"> (ROCHA)</t>
    </r>
  </si>
  <si>
    <r>
      <t>Ø 0,60m</t>
    </r>
    <r>
      <rPr>
        <b/>
        <sz val="8"/>
        <color rgb="FFFF0000"/>
        <rFont val="Arial"/>
        <family val="2"/>
      </rPr>
      <t xml:space="preserve"> (ROCHA)</t>
    </r>
  </si>
  <si>
    <t>VOLUME DE LASTROS (JÁ ACRESCENTADO NA MEDIÇÃO ESCAVAÇÃO MECÂNICA)</t>
  </si>
  <si>
    <t>Tubos/Paver/Piso tatil</t>
  </si>
  <si>
    <t>RE/0080</t>
  </si>
  <si>
    <r>
      <t>MICRO 1,5cm</t>
    </r>
    <r>
      <rPr>
        <b/>
        <sz val="8"/>
        <color rgb="FFFF0000"/>
        <rFont val="Arial"/>
        <family val="2"/>
      </rPr>
      <t xml:space="preserve"> (SIM)</t>
    </r>
  </si>
  <si>
    <r>
      <t>MICRO 2,0cm</t>
    </r>
    <r>
      <rPr>
        <b/>
        <sz val="8"/>
        <color rgb="FFFF0000"/>
        <rFont val="Arial"/>
        <family val="2"/>
      </rPr>
      <t xml:space="preserve"> (SIM)</t>
    </r>
  </si>
  <si>
    <r>
      <t xml:space="preserve">APLICAÇÃO MANUAL (m³) (L </t>
    </r>
    <r>
      <rPr>
        <b/>
        <sz val="8"/>
        <rFont val="Calibri"/>
        <family val="2"/>
      </rPr>
      <t xml:space="preserve">≤ </t>
    </r>
    <r>
      <rPr>
        <b/>
        <sz val="8"/>
        <rFont val="Arial"/>
        <family val="2"/>
      </rPr>
      <t>2,50m)</t>
    </r>
  </si>
  <si>
    <t>Interna</t>
  </si>
  <si>
    <t>Via de Trânsito Rápido</t>
  </si>
  <si>
    <t>http://www.dtt.ufpr.br/Pavimentacao/Notas/Metodo%20DNER.pdf</t>
  </si>
  <si>
    <t>temos de definir a forma de como considerar o subleito como estrutura do pavimento</t>
  </si>
  <si>
    <r>
      <t>VOLUME DEPÓSITO x PISTA (m³)</t>
    </r>
    <r>
      <rPr>
        <b/>
        <sz val="8"/>
        <color rgb="FFFF0000"/>
        <rFont val="Arial"/>
        <family val="2"/>
      </rPr>
      <t xml:space="preserve"> </t>
    </r>
    <r>
      <rPr>
        <b/>
        <sz val="8"/>
        <color rgb="FFFF0000"/>
        <rFont val="Calibri"/>
        <family val="2"/>
      </rPr>
      <t>←</t>
    </r>
    <r>
      <rPr>
        <b/>
        <sz val="8"/>
        <rFont val="Arial"/>
        <family val="2"/>
      </rPr>
      <t xml:space="preserve">                  (EMPOLADO 25%)</t>
    </r>
  </si>
  <si>
    <t>JAZIDA - VOLUME EMPOLADO (25%)</t>
  </si>
  <si>
    <t>VOLUME GEOMÉTRICO DO REATERRO HIDRÁULICO (MANUAL 30cm + Ø)</t>
  </si>
  <si>
    <t>SOLO (EMPOLADO 25%) (m³)</t>
  </si>
  <si>
    <t>CASCALHO (EMPOLADO 25%) (m³)</t>
  </si>
  <si>
    <r>
      <t>MICRO 0,8cm</t>
    </r>
    <r>
      <rPr>
        <b/>
        <sz val="8"/>
        <color rgb="FFFF0000"/>
        <rFont val="Arial"/>
        <family val="2"/>
      </rPr>
      <t xml:space="preserve"> (SIM)</t>
    </r>
  </si>
  <si>
    <t>AGREGADO (m³) (0,01212m³/m²)</t>
  </si>
  <si>
    <t>AGREGADO (m³) (0,022725m³/m²)</t>
  </si>
  <si>
    <t>AGREGADO (m³) (0,0303m³/m²)</t>
  </si>
  <si>
    <r>
      <t>PMF</t>
    </r>
    <r>
      <rPr>
        <b/>
        <sz val="8"/>
        <color rgb="FFFF0000"/>
        <rFont val="Arial"/>
        <family val="2"/>
      </rPr>
      <t xml:space="preserve"> (SIM)</t>
    </r>
  </si>
  <si>
    <t>APLICAÇÃO (m³)</t>
  </si>
  <si>
    <t>VOLUME RACHÃO (m³) (1,30m³/m³)</t>
  </si>
  <si>
    <r>
      <t>PMF</t>
    </r>
    <r>
      <rPr>
        <sz val="8"/>
        <color rgb="FFFF0000"/>
        <rFont val="Arial"/>
        <family val="2"/>
      </rPr>
      <t xml:space="preserve"> (SIM)</t>
    </r>
  </si>
  <si>
    <r>
      <t xml:space="preserve">CAPA ESPESSURA </t>
    </r>
    <r>
      <rPr>
        <sz val="8"/>
        <color rgb="FFFF0000"/>
        <rFont val="Arial"/>
        <family val="2"/>
      </rPr>
      <t>(cm)</t>
    </r>
  </si>
  <si>
    <t>PROFUNDIDADE DA ROCHA (m)</t>
  </si>
  <si>
    <t>SOLO INSERVÍVEL (m) (EXCETO ROCHA)</t>
  </si>
  <si>
    <t>VOLUME TOTAL</t>
  </si>
  <si>
    <r>
      <t xml:space="preserve">TOTAL  BOTA-FORA </t>
    </r>
    <r>
      <rPr>
        <b/>
        <sz val="8"/>
        <rFont val="Calibri"/>
        <family val="2"/>
      </rPr>
      <t>≤</t>
    </r>
    <r>
      <rPr>
        <b/>
        <sz val="8"/>
        <rFont val="Arial"/>
        <family val="2"/>
      </rPr>
      <t xml:space="preserve"> TOTAL DE ESCAVAÇÃO</t>
    </r>
  </si>
  <si>
    <t>SOLO INSERVÍVEL (EXCETO ROCHA)</t>
  </si>
  <si>
    <t>REATERRO HIDRÁULICO</t>
  </si>
  <si>
    <t>VOLUME FINAL DE BOTA-FORA CORRIGO DE SOBREPOSIÇÃO</t>
  </si>
  <si>
    <t>JAZIDA (EMPOLADO 25%) (m³)</t>
  </si>
  <si>
    <t>MICRODRENAGEM - TERRAPLENAGEM</t>
  </si>
  <si>
    <t>MICRODRENAGEM - DISPOSITIVOS AUXILIARES</t>
  </si>
  <si>
    <t>MICRODRENAGEM - SERVIÇOS DE ESTRUTURAS</t>
  </si>
  <si>
    <t>MICRODRENAGEM - RECOMPOSIÇÃO DO PAVIMENTO</t>
  </si>
  <si>
    <t>PLANILHA DE QUANTIDADES DE RECOMPOSIÇÃO DO PAVIMENTO - FECHAMENTO DE VALA DA DRENAGEM - PROJETO DE ENGENHARIA</t>
  </si>
  <si>
    <t>RESTAURAÇÃO DO PAVIMENTO - RECAPEAMENTO ASFÁLTICO</t>
  </si>
  <si>
    <t>PAVIMENTO RÍGIDO</t>
  </si>
  <si>
    <t>PO Nº 02</t>
  </si>
  <si>
    <t>PO Nº 01</t>
  </si>
  <si>
    <t>REVESTIMENTO ASFÁLTICO                          RESUMO</t>
  </si>
  <si>
    <t>CUSTO DIRETO MENSAL :</t>
  </si>
  <si>
    <t>TRAFFIC CALMING</t>
  </si>
  <si>
    <t>LARGURA BASE (m)</t>
  </si>
  <si>
    <t>LARGURA TOPO (m)</t>
  </si>
  <si>
    <r>
      <t xml:space="preserve">ALTURA FUNDAÇÃO </t>
    </r>
    <r>
      <rPr>
        <b/>
        <sz val="8"/>
        <color rgb="FFFF0000"/>
        <rFont val="Arial"/>
        <family val="2"/>
      </rPr>
      <t>(cm)</t>
    </r>
  </si>
  <si>
    <r>
      <t xml:space="preserve">ALTURA T. CALMING </t>
    </r>
    <r>
      <rPr>
        <b/>
        <sz val="8"/>
        <color rgb="FFFF0000"/>
        <rFont val="Arial"/>
        <family val="2"/>
      </rPr>
      <t>(cm)</t>
    </r>
  </si>
  <si>
    <t>EXTENSÃO TOTAL (m)</t>
  </si>
  <si>
    <t>TUBOS (T)</t>
  </si>
  <si>
    <t>arenoso</t>
  </si>
  <si>
    <t>Preferência (un)</t>
  </si>
  <si>
    <t>Dê a Preferência (R-2)</t>
  </si>
  <si>
    <t>Soma de QUANT.2</t>
  </si>
  <si>
    <t>TUTORIAL:</t>
  </si>
  <si>
    <t>2. NA PASTA "Orçamento auxiliar" INSERIR TABELA DINÂMICA</t>
  </si>
  <si>
    <r>
      <t>3. NA PASTA "Planilha</t>
    </r>
    <r>
      <rPr>
        <b/>
        <sz val="8"/>
        <color rgb="FFFF0000"/>
        <rFont val="Arial"/>
        <family val="2"/>
      </rPr>
      <t>Y</t>
    </r>
    <r>
      <rPr>
        <sz val="8"/>
        <rFont val="Arial"/>
        <family val="2"/>
      </rPr>
      <t>" (PLANILHA DINÂMICA) CRIAR A PLANILHA COM AS 4 COLUNAS SEGUINTES:</t>
    </r>
  </si>
  <si>
    <t>Contagem de QUANT.</t>
  </si>
  <si>
    <t>RESUMO - GERAL</t>
  </si>
  <si>
    <t>PARCIAL (%)</t>
  </si>
  <si>
    <t>Σ (%)</t>
  </si>
  <si>
    <t>BACIA:</t>
  </si>
  <si>
    <t>DATA:</t>
  </si>
  <si>
    <t>1-</t>
  </si>
  <si>
    <t>HIDROLÓGICO</t>
  </si>
  <si>
    <t>1.1</t>
  </si>
  <si>
    <t>2-</t>
  </si>
  <si>
    <t>DIMENSIONAMENTO DA CAPACIDADE DE ARMAZENAMENTO DO LAGO</t>
  </si>
  <si>
    <t>2.1</t>
  </si>
  <si>
    <t>Capacidade de detenção:</t>
  </si>
  <si>
    <t>J =  Qa . Tc  .  K  . 60</t>
  </si>
  <si>
    <t>2.2</t>
  </si>
  <si>
    <t>Quadro de estudos de alternativas</t>
  </si>
  <si>
    <t>I</t>
  </si>
  <si>
    <t>II</t>
  </si>
  <si>
    <t>III</t>
  </si>
  <si>
    <t>IV</t>
  </si>
  <si>
    <t>V</t>
  </si>
  <si>
    <t>VII</t>
  </si>
  <si>
    <t>VIII</t>
  </si>
  <si>
    <t>IX</t>
  </si>
  <si>
    <t>X</t>
  </si>
  <si>
    <t>Q saída</t>
  </si>
  <si>
    <t>Redução %</t>
  </si>
  <si>
    <t>e</t>
  </si>
  <si>
    <t>K</t>
  </si>
  <si>
    <t>J (m³)</t>
  </si>
  <si>
    <t>T. detenção (min)</t>
  </si>
  <si>
    <t xml:space="preserve"> </t>
  </si>
  <si>
    <t>3-</t>
  </si>
  <si>
    <t>CAPACIDADE DO VERTEDOR</t>
  </si>
  <si>
    <t>VERTEDOR DE SOLEIRA</t>
  </si>
  <si>
    <t>Altura (m)</t>
  </si>
  <si>
    <t>Largura 1 (m)</t>
  </si>
  <si>
    <t>Largura 2 (m)</t>
  </si>
  <si>
    <t>Largura 3 (m)</t>
  </si>
  <si>
    <t>Largura 4 (m)</t>
  </si>
  <si>
    <t>Largura Total (m)</t>
  </si>
  <si>
    <t>Vazão (m3/s)</t>
  </si>
  <si>
    <t>Vazão (m³/s)</t>
  </si>
  <si>
    <t>BUEIRO TUBULAR - ORIFÍCIO</t>
  </si>
  <si>
    <t>Nº Linhas</t>
  </si>
  <si>
    <t>Seção (m)</t>
  </si>
  <si>
    <t>Velocidade Crítica (m/s)</t>
  </si>
  <si>
    <t>BUEIRO TUBULAR - CANAL</t>
  </si>
  <si>
    <t>Declividade Crítica (%)</t>
  </si>
  <si>
    <t>Base (m)</t>
  </si>
  <si>
    <t>EQUAÇÃO DE CHUVA - IDF</t>
  </si>
  <si>
    <t>Isozona:</t>
  </si>
  <si>
    <t>Trecho</t>
  </si>
  <si>
    <t>Total</t>
  </si>
  <si>
    <t>Área (ha)</t>
  </si>
  <si>
    <t>Tempo de Percurso (min)</t>
  </si>
  <si>
    <t>Quadro dos dados dos afluentes</t>
  </si>
  <si>
    <t xml:space="preserve">C = </t>
  </si>
  <si>
    <t>L =</t>
  </si>
  <si>
    <t xml:space="preserve">Ab = </t>
  </si>
  <si>
    <t>H=J/Ab</t>
  </si>
  <si>
    <t>ORIFÍCIOS NA CAIXA VERTEDORA</t>
  </si>
  <si>
    <t>4-</t>
  </si>
  <si>
    <t>OBRAS DE ARTE CORRENTES - DESCARGAS DE FUNDO</t>
  </si>
  <si>
    <t>BUEIRO CELULAR - ORIFÍCIO</t>
  </si>
  <si>
    <t>BUEIRO CELULAR - CANAL</t>
  </si>
  <si>
    <t>Proposta</t>
  </si>
  <si>
    <t>AMORTECIMENTO 01</t>
  </si>
  <si>
    <t>Quantidade de orifícios</t>
  </si>
  <si>
    <t>Vazão unitária (m³/s)</t>
  </si>
  <si>
    <t>Vazão acumulada (m³/s)</t>
  </si>
  <si>
    <t>Capacide de extravasamento - Atlas Digital - MG:</t>
  </si>
  <si>
    <r>
      <t xml:space="preserve">Q = 1,55 . L . H </t>
    </r>
    <r>
      <rPr>
        <vertAlign val="superscript"/>
        <sz val="10"/>
        <rFont val="Arial"/>
        <family val="2"/>
      </rPr>
      <t>1,42</t>
    </r>
  </si>
  <si>
    <t>VERTEDOR TIPO CAIXA / TULIPA / POÇO VERTICAL</t>
  </si>
  <si>
    <t>Altura NA sobre a crista H (m)</t>
  </si>
  <si>
    <t>Capacide de extravasamento - Manual DNIT:</t>
  </si>
  <si>
    <r>
      <t>Q = 2,791 . b . h . W</t>
    </r>
    <r>
      <rPr>
        <vertAlign val="superscript"/>
        <sz val="10"/>
        <rFont val="Arial"/>
        <family val="2"/>
      </rPr>
      <t>0,5</t>
    </r>
  </si>
  <si>
    <t>Altura da carga hidráulica W (m)</t>
  </si>
  <si>
    <r>
      <t xml:space="preserve">Q = 1,71 . L . H </t>
    </r>
    <r>
      <rPr>
        <vertAlign val="superscript"/>
        <sz val="10"/>
        <rFont val="Arial"/>
        <family val="2"/>
      </rPr>
      <t>1,5</t>
    </r>
  </si>
  <si>
    <t>Capacide de vazão - Manual DNIT:</t>
  </si>
  <si>
    <r>
      <t>Q = 2,192 . Ø² . W</t>
    </r>
    <r>
      <rPr>
        <vertAlign val="superscript"/>
        <sz val="10"/>
        <rFont val="Arial"/>
        <family val="2"/>
      </rPr>
      <t>0,5</t>
    </r>
  </si>
  <si>
    <r>
      <t>Q = 1,705 . b . h</t>
    </r>
    <r>
      <rPr>
        <vertAlign val="superscript"/>
        <sz val="10"/>
        <rFont val="Arial"/>
        <family val="2"/>
      </rPr>
      <t>1,5</t>
    </r>
  </si>
  <si>
    <r>
      <t>Q = 1,533 . Ø</t>
    </r>
    <r>
      <rPr>
        <vertAlign val="superscript"/>
        <sz val="10"/>
        <rFont val="Arial"/>
        <family val="2"/>
      </rPr>
      <t>2,5</t>
    </r>
  </si>
  <si>
    <t>Área da bacia de detenção:</t>
  </si>
  <si>
    <t>K = log (1/e)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</si>
  <si>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</si>
  <si>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</si>
  <si>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</si>
  <si>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</si>
  <si>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</si>
  <si>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</si>
  <si>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</si>
  <si>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</si>
  <si>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</si>
  <si>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</si>
  <si>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</si>
  <si>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</si>
  <si>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</si>
  <si>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</si>
  <si>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</si>
  <si>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</si>
  <si>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</si>
  <si>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</si>
  <si>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</si>
  <si>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</si>
  <si>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</si>
  <si>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</si>
  <si>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</si>
  <si>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</si>
  <si>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</si>
  <si>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</si>
  <si>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</si>
  <si>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</si>
  <si>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</si>
  <si>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</si>
  <si>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</si>
  <si>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</si>
  <si>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</si>
  <si>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</si>
  <si>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</si>
  <si>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</si>
  <si>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</si>
  <si>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</si>
  <si>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BIGODES CONCRETO (m)</t>
  </si>
  <si>
    <t>BIGODES PEAD (m)</t>
  </si>
  <si>
    <r>
      <t>RAMAL CONCRETO Ø 0,40 (m)</t>
    </r>
    <r>
      <rPr>
        <b/>
        <sz val="10"/>
        <color rgb="FFFF0000"/>
        <rFont val="Arial"/>
        <family val="2"/>
      </rPr>
      <t xml:space="preserve"> ROCHA</t>
    </r>
  </si>
  <si>
    <r>
      <t>RAMAL CONCRETO Ø 0,60 (m)</t>
    </r>
    <r>
      <rPr>
        <b/>
        <sz val="10"/>
        <color rgb="FFFF0000"/>
        <rFont val="Arial"/>
        <family val="2"/>
      </rPr>
      <t xml:space="preserve"> ROCHA</t>
    </r>
  </si>
  <si>
    <t>PEAD</t>
  </si>
  <si>
    <t>BIGODES  CONCRETO (m)</t>
  </si>
  <si>
    <r>
      <t xml:space="preserve">RAMAL PEAD Ø 0,40 (m) </t>
    </r>
    <r>
      <rPr>
        <b/>
        <sz val="10"/>
        <color rgb="FFFF0000"/>
        <rFont val="Arial"/>
        <family val="2"/>
      </rPr>
      <t>ROCHA</t>
    </r>
  </si>
  <si>
    <t>P</t>
  </si>
  <si>
    <t>manning P/C/M</t>
  </si>
  <si>
    <r>
      <t>MATERIAL: PEAD(</t>
    </r>
    <r>
      <rPr>
        <b/>
        <sz val="8"/>
        <color rgb="FFFF0000"/>
        <rFont val="Arial"/>
        <family val="2"/>
      </rPr>
      <t>P</t>
    </r>
    <r>
      <rPr>
        <sz val="8"/>
        <rFont val="Arial"/>
        <family val="2"/>
      </rPr>
      <t>) / Concreto(</t>
    </r>
    <r>
      <rPr>
        <b/>
        <sz val="8"/>
        <color rgb="FFFF0000"/>
        <rFont val="Arial"/>
        <family val="2"/>
      </rPr>
      <t>C</t>
    </r>
    <r>
      <rPr>
        <sz val="8"/>
        <rFont val="Arial"/>
        <family val="2"/>
      </rPr>
      <t>) /Metálico(</t>
    </r>
    <r>
      <rPr>
        <b/>
        <sz val="8"/>
        <color rgb="FFFF0000"/>
        <rFont val="Arial"/>
        <family val="2"/>
      </rPr>
      <t>M</t>
    </r>
    <r>
      <rPr>
        <sz val="8"/>
        <rFont val="Arial"/>
        <family val="2"/>
      </rPr>
      <t>)</t>
    </r>
  </si>
  <si>
    <t>SV/0090</t>
  </si>
  <si>
    <t>SIMULAÇÃO DAS OBRAS CONEXAS DA BACIA DE AMORTECIMENTO DE CHEIAS</t>
  </si>
  <si>
    <t>cimento</t>
  </si>
  <si>
    <t>SUB-BASE / BASE</t>
  </si>
  <si>
    <t>VOLUME EMPOLADO BICA CORRIDA (m³) (0,10m³/m³)</t>
  </si>
  <si>
    <t>VOLUME EMPOLADO RACHÃO (m³) (1,30m³/m³)</t>
  </si>
  <si>
    <t>ÁREA DE DEMOLIÇÃO DE PAVIMENTO (m²)</t>
  </si>
  <si>
    <r>
      <t xml:space="preserve">CBUQ (p) CAP 60-85-E </t>
    </r>
    <r>
      <rPr>
        <b/>
        <sz val="8"/>
        <color rgb="FFFF0000"/>
        <rFont val="Arial"/>
        <family val="2"/>
      </rPr>
      <t>(SIM)</t>
    </r>
  </si>
  <si>
    <r>
      <t xml:space="preserve">CAP 60-85-E </t>
    </r>
    <r>
      <rPr>
        <sz val="8"/>
        <color rgb="FFFF0000"/>
        <rFont val="Arial"/>
        <family val="2"/>
      </rPr>
      <t>(SIM)</t>
    </r>
  </si>
  <si>
    <r>
      <t xml:space="preserve">verificação </t>
    </r>
    <r>
      <rPr>
        <sz val="10"/>
        <rFont val="Calibri"/>
        <family val="2"/>
      </rPr>
      <t>Σ</t>
    </r>
    <r>
      <rPr>
        <sz val="10"/>
        <rFont val="Courier"/>
        <family val="2"/>
      </rPr>
      <t xml:space="preserve"> Ø</t>
    </r>
  </si>
  <si>
    <t>Cadência: Traço 1m / Espaçamento 2m</t>
  </si>
  <si>
    <t>Cadência: Traço 1m / Espaçamento 1m</t>
  </si>
  <si>
    <t>SINALIZAÇÃO VIÁRIA DEFINITIVA HORIZONTAL E VERTICAL E DISPOSITIVOS DE SEGURANÇA</t>
  </si>
  <si>
    <t>P-1 / PS-1 / PS-2 / P</t>
  </si>
  <si>
    <t>PS-1 / PA-1 / PA-2 / P</t>
  </si>
  <si>
    <t>CUSTO
HORÁRIO</t>
  </si>
  <si>
    <t>SALÁRIO
BASE</t>
  </si>
  <si>
    <t>CUSTO
UNITÁRIO</t>
  </si>
  <si>
    <t>KR · R + KB · B ≥ H20</t>
  </si>
  <si>
    <t>KR · R + KB · B + KS · h20 ≥ Hn</t>
  </si>
  <si>
    <t>KR · R + KB · B + KS · h20 + Kref · hn ≥ Hm</t>
  </si>
  <si>
    <t>Onde:</t>
  </si>
  <si>
    <t>KR: coeficiente de equivalência estrutural do revestimento</t>
  </si>
  <si>
    <t>R: espessura do revestimento</t>
  </si>
  <si>
    <t>KB: coeficiente de equivalência estrutural da base</t>
  </si>
  <si>
    <t>B: espessura da base</t>
  </si>
  <si>
    <t>H20: espessura de pavimento sobre a sub-base</t>
  </si>
  <si>
    <t>Ks: coeficiente de equivalência estrutural da sub-base</t>
  </si>
  <si>
    <t>h20: espessura da sub-base</t>
  </si>
  <si>
    <t>Hn: espessura do pavimento sobre a camada com IS = n</t>
  </si>
  <si>
    <t>Kref: coeficiente de equivalência estrutural do reforço de subleito</t>
  </si>
  <si>
    <t>hn: espessura do reforço do subleito e</t>
  </si>
  <si>
    <t>Hm: espessura total do pavimento necessária para proteger um material com CBR ou IS igual a m</t>
  </si>
  <si>
    <r>
      <t>tc  = 9,02 + (0,23 log N + 0,05) x [(7011/CBR) – 234,33]</t>
    </r>
    <r>
      <rPr>
        <b/>
        <i/>
        <vertAlign val="superscript"/>
        <sz val="12"/>
        <rFont val="Arial"/>
        <family val="2"/>
      </rPr>
      <t>0,5</t>
    </r>
  </si>
  <si>
    <t>tc: espessura total do pavimento referida a C coberturas, em centímetros;</t>
  </si>
  <si>
    <t>N: número de operações/solicitações de um eixo rodoviário padrão, e</t>
  </si>
  <si>
    <r>
      <t xml:space="preserve">CBR: Índice de Suporte Califórnia da </t>
    </r>
    <r>
      <rPr>
        <b/>
        <sz val="10"/>
        <rFont val="Arial"/>
        <family val="2"/>
      </rPr>
      <t>camada subjacente</t>
    </r>
    <r>
      <rPr>
        <sz val="10"/>
        <rFont val="Arial"/>
        <family val="2"/>
      </rPr>
      <t>.</t>
    </r>
  </si>
  <si>
    <t>BDI INSUMO (*):</t>
  </si>
  <si>
    <t>TOTAL IMPLANTAÇÃO</t>
  </si>
  <si>
    <t>TOTAL SERVIÇOS</t>
  </si>
  <si>
    <t>AÇO CA-60 Ø 4.2mm Malha Q138  (kg) (2,2kg/m²)</t>
  </si>
  <si>
    <t>50 km/h</t>
  </si>
  <si>
    <t>Ônibus (un)</t>
  </si>
  <si>
    <t>Devagar (un)</t>
  </si>
  <si>
    <t>Escola (un)</t>
  </si>
  <si>
    <t>Marcador de área de conflito
Faixa externa (m)</t>
  </si>
  <si>
    <t>Marcador de área de conflito
Faixa interna (m)</t>
  </si>
  <si>
    <t>PLATAFORMA DE EMBARQUE / DESEMBARQUE</t>
  </si>
  <si>
    <t>MEIO-FIO DE PLATAFORMA (m)</t>
  </si>
  <si>
    <t>EMULSÃO RL-1C (T) (0,132T/m³)</t>
  </si>
  <si>
    <t>PA/0035</t>
  </si>
  <si>
    <t>ESPESSURA ESTIMADA (m)</t>
  </si>
  <si>
    <t>LARGURA MÉDIA(m)</t>
  </si>
  <si>
    <t>M</t>
  </si>
  <si>
    <t>TABELA DOS FUROS DE SONDAGENS E ENSAIOS DE SUB-LEITO</t>
  </si>
  <si>
    <t>Nº</t>
  </si>
  <si>
    <t>PROFUNDIDADE
(m)</t>
  </si>
  <si>
    <t>N.A
(m)</t>
  </si>
  <si>
    <t>CLASSIFICAÇÃO
H.R.B</t>
  </si>
  <si>
    <t>DEN. MAX.
Kg/m³</t>
  </si>
  <si>
    <t>HOT
(%)</t>
  </si>
  <si>
    <t>ISC
(%)</t>
  </si>
  <si>
    <t>CLASSIFICAÇÃO DAS CAMADAS</t>
  </si>
  <si>
    <t>Rua 68</t>
  </si>
  <si>
    <t>A-7-5</t>
  </si>
  <si>
    <t>CAPA DE REVESTIMENTO</t>
  </si>
  <si>
    <t>ARGILA SILTOSA MARROM SATURADA</t>
  </si>
  <si>
    <t>Avenida 9 - LD</t>
  </si>
  <si>
    <t>Rua 50</t>
  </si>
  <si>
    <t>Rua 79</t>
  </si>
  <si>
    <t>Rua 84</t>
  </si>
  <si>
    <t>Rua 24</t>
  </si>
  <si>
    <t>Rua 28</t>
  </si>
  <si>
    <t>Rua 22</t>
  </si>
  <si>
    <t>Rua 37</t>
  </si>
  <si>
    <t>Rua Zacarias Mourão</t>
  </si>
  <si>
    <t>Rua Guilherme Vasconcelos Leal</t>
  </si>
  <si>
    <t>Rua Violeta Mello Vieira</t>
  </si>
  <si>
    <t>Avenida 7 - LD</t>
  </si>
  <si>
    <t>Rua 76</t>
  </si>
  <si>
    <t>SP/0050</t>
  </si>
  <si>
    <t>SP/0060</t>
  </si>
  <si>
    <t>SERVIÇOS DE CANTEIRO DE OBRAS</t>
  </si>
  <si>
    <t>SONDAGEM DE INVESTIGAÇÃO DE INTERFERÊNCIA (un)</t>
  </si>
  <si>
    <t>REPARO RAMAL DE LIGAÇÃO DE ÁGUA (un)</t>
  </si>
  <si>
    <t>M2</t>
  </si>
  <si>
    <t>UN</t>
  </si>
  <si>
    <t>M3</t>
  </si>
  <si>
    <t>DRENO GEOCOMPOSTO DRENANTE (m)</t>
  </si>
  <si>
    <t>DRENAGEM PROFUNDA (m)</t>
  </si>
  <si>
    <t>DRENAGEM GALERIA (m)</t>
  </si>
  <si>
    <t>PÁTIO DO CANTEIRO DE OBRAS LIMPEZA DA ÁREA (m²)</t>
  </si>
  <si>
    <t xml:space="preserve"> 1m PARA POR EXTENSÃO DE TAPUME DA DRENAGEM</t>
  </si>
  <si>
    <t>LF/0020</t>
  </si>
  <si>
    <t>LF/0030</t>
  </si>
  <si>
    <t>PROGRAMA :</t>
  </si>
  <si>
    <t>COORDENADAS :</t>
  </si>
  <si>
    <t>DR/0710</t>
  </si>
  <si>
    <t>DR/0720</t>
  </si>
  <si>
    <t>DR/0730</t>
  </si>
  <si>
    <t>DR/0740</t>
  </si>
  <si>
    <t>DR/0750</t>
  </si>
  <si>
    <t>DR/0760</t>
  </si>
  <si>
    <t>DR/0770</t>
  </si>
  <si>
    <t>REGIÃO  URBANA :</t>
  </si>
  <si>
    <t>Faixa da ciclovia  (m)</t>
  </si>
  <si>
    <t>Marcador de Perigo (Passagem ambos os lados)</t>
  </si>
  <si>
    <t>RESTAURAÇÃO DO PAVIMENTO - RECUPERAÇÃO PRÉVIA DO PAVIMENTO</t>
  </si>
  <si>
    <r>
      <t xml:space="preserve">F.01 -  </t>
    </r>
    <r>
      <rPr>
        <b/>
        <sz val="12"/>
        <color rgb="FFFF0000"/>
        <rFont val="Arial"/>
        <family val="2"/>
      </rPr>
      <t>Ensaio</t>
    </r>
  </si>
  <si>
    <r>
      <t xml:space="preserve">F.02 -  </t>
    </r>
    <r>
      <rPr>
        <b/>
        <sz val="12"/>
        <color rgb="FFFF0000"/>
        <rFont val="Arial"/>
        <family val="2"/>
      </rPr>
      <t>Trado</t>
    </r>
  </si>
  <si>
    <r>
      <t xml:space="preserve">F.03 -  </t>
    </r>
    <r>
      <rPr>
        <b/>
        <sz val="12"/>
        <color rgb="FFFF0000"/>
        <rFont val="Arial"/>
        <family val="2"/>
      </rPr>
      <t>Ensaio</t>
    </r>
  </si>
  <si>
    <r>
      <t xml:space="preserve">F.04 -  </t>
    </r>
    <r>
      <rPr>
        <b/>
        <sz val="12"/>
        <color rgb="FFFF0000"/>
        <rFont val="Arial"/>
        <family val="2"/>
      </rPr>
      <t>Ensaio</t>
    </r>
  </si>
  <si>
    <r>
      <t xml:space="preserve">F.05 -  </t>
    </r>
    <r>
      <rPr>
        <b/>
        <sz val="12"/>
        <color rgb="FFFF0000"/>
        <rFont val="Arial"/>
        <family val="2"/>
      </rPr>
      <t>Trado</t>
    </r>
  </si>
  <si>
    <r>
      <t xml:space="preserve">F.06 -  </t>
    </r>
    <r>
      <rPr>
        <b/>
        <sz val="12"/>
        <color rgb="FFFF0000"/>
        <rFont val="Arial"/>
        <family val="2"/>
      </rPr>
      <t>Trado</t>
    </r>
  </si>
  <si>
    <r>
      <t xml:space="preserve">F.07 -  </t>
    </r>
    <r>
      <rPr>
        <b/>
        <sz val="12"/>
        <color rgb="FFFF0000"/>
        <rFont val="Arial"/>
        <family val="2"/>
      </rPr>
      <t>Ensaio</t>
    </r>
  </si>
  <si>
    <r>
      <t xml:space="preserve">F.08-  </t>
    </r>
    <r>
      <rPr>
        <b/>
        <sz val="12"/>
        <color rgb="FFFF0000"/>
        <rFont val="Arial"/>
        <family val="2"/>
      </rPr>
      <t>Trado</t>
    </r>
  </si>
  <si>
    <r>
      <t xml:space="preserve">F.09 -  </t>
    </r>
    <r>
      <rPr>
        <b/>
        <sz val="12"/>
        <color rgb="FFFF0000"/>
        <rFont val="Arial"/>
        <family val="2"/>
      </rPr>
      <t>Ensaio</t>
    </r>
  </si>
  <si>
    <r>
      <t xml:space="preserve">F.10 -  </t>
    </r>
    <r>
      <rPr>
        <b/>
        <sz val="12"/>
        <color rgb="FFFF0000"/>
        <rFont val="Arial"/>
        <family val="2"/>
      </rPr>
      <t>Trado</t>
    </r>
  </si>
  <si>
    <r>
      <t xml:space="preserve">F.11 -  </t>
    </r>
    <r>
      <rPr>
        <b/>
        <sz val="12"/>
        <color rgb="FFFF0000"/>
        <rFont val="Arial"/>
        <family val="2"/>
      </rPr>
      <t>Ensaio</t>
    </r>
  </si>
  <si>
    <r>
      <t xml:space="preserve">F.12 -  </t>
    </r>
    <r>
      <rPr>
        <b/>
        <sz val="12"/>
        <color rgb="FFFF0000"/>
        <rFont val="Arial"/>
        <family val="2"/>
      </rPr>
      <t>Trado</t>
    </r>
  </si>
  <si>
    <r>
      <t xml:space="preserve">F.13 -  </t>
    </r>
    <r>
      <rPr>
        <b/>
        <sz val="12"/>
        <color rgb="FFFF0000"/>
        <rFont val="Arial"/>
        <family val="2"/>
      </rPr>
      <t>Ensaio</t>
    </r>
  </si>
  <si>
    <r>
      <t xml:space="preserve">F.14 -  </t>
    </r>
    <r>
      <rPr>
        <b/>
        <sz val="12"/>
        <color rgb="FFFF0000"/>
        <rFont val="Arial"/>
        <family val="2"/>
      </rPr>
      <t>Trado</t>
    </r>
  </si>
  <si>
    <r>
      <t xml:space="preserve">F.15 -  </t>
    </r>
    <r>
      <rPr>
        <b/>
        <sz val="12"/>
        <color rgb="FFFF0000"/>
        <rFont val="Arial"/>
        <family val="2"/>
      </rPr>
      <t>Ensaio</t>
    </r>
  </si>
  <si>
    <r>
      <t xml:space="preserve">F.16 -  </t>
    </r>
    <r>
      <rPr>
        <b/>
        <sz val="12"/>
        <color rgb="FFFF0000"/>
        <rFont val="Arial"/>
        <family val="2"/>
      </rPr>
      <t>Ensaio</t>
    </r>
  </si>
  <si>
    <r>
      <t xml:space="preserve">F.17 -  </t>
    </r>
    <r>
      <rPr>
        <b/>
        <sz val="12"/>
        <color rgb="FFFF0000"/>
        <rFont val="Arial"/>
        <family val="2"/>
      </rPr>
      <t>Ensaio</t>
    </r>
  </si>
  <si>
    <r>
      <t xml:space="preserve">F.18 -  </t>
    </r>
    <r>
      <rPr>
        <b/>
        <sz val="12"/>
        <color rgb="FFFF0000"/>
        <rFont val="Arial"/>
        <family val="2"/>
      </rPr>
      <t>Ensaio</t>
    </r>
  </si>
  <si>
    <r>
      <t xml:space="preserve">F.19 -  </t>
    </r>
    <r>
      <rPr>
        <b/>
        <sz val="12"/>
        <color rgb="FFFF0000"/>
        <rFont val="Arial"/>
        <family val="2"/>
      </rPr>
      <t>Ensaio</t>
    </r>
  </si>
  <si>
    <r>
      <t xml:space="preserve">F.20 -  </t>
    </r>
    <r>
      <rPr>
        <b/>
        <sz val="12"/>
        <color rgb="FFFF0000"/>
        <rFont val="Arial"/>
        <family val="2"/>
      </rPr>
      <t>Ensaio</t>
    </r>
  </si>
  <si>
    <t>PÁTIO DO CANTEIRO DE OBRAS CERCAMENTO DA ÁREA (m)</t>
  </si>
  <si>
    <t>PFIU001</t>
  </si>
  <si>
    <t>PFIU002</t>
  </si>
  <si>
    <t>ETG0001</t>
  </si>
  <si>
    <t>ET0001</t>
  </si>
  <si>
    <t>ET0002</t>
  </si>
  <si>
    <t>EG0001</t>
  </si>
  <si>
    <t>EG0005</t>
  </si>
  <si>
    <t>EG0006</t>
  </si>
  <si>
    <t>EG0007</t>
  </si>
  <si>
    <t>EG0011</t>
  </si>
  <si>
    <t>EG0012</t>
  </si>
  <si>
    <t>EG0014</t>
  </si>
  <si>
    <t>EHAU001</t>
  </si>
  <si>
    <t>EHAU002</t>
  </si>
  <si>
    <t>PIU0001</t>
  </si>
  <si>
    <t>PIU0003</t>
  </si>
  <si>
    <t>PIU0004</t>
  </si>
  <si>
    <t>PIU0005</t>
  </si>
  <si>
    <t>PIU0006</t>
  </si>
  <si>
    <t>PIU0008</t>
  </si>
  <si>
    <t>PIU0009</t>
  </si>
  <si>
    <t>PIU0010</t>
  </si>
  <si>
    <t>PIU0011</t>
  </si>
  <si>
    <t>PRIU002</t>
  </si>
  <si>
    <t>PRIU003</t>
  </si>
  <si>
    <t>PEPC001</t>
  </si>
  <si>
    <t>BASE BRITA GRADUADA (%)</t>
  </si>
  <si>
    <t>BRITA GRADUADA (EMPOLADA 46,67%) (m³)</t>
  </si>
  <si>
    <t>Marcador de Perigo (Passagem pela esquerda ou direita)</t>
  </si>
  <si>
    <t>Veloc. máx. permitida 50km/h (R-19)</t>
  </si>
  <si>
    <t>Faixa de Pedestre (m)</t>
  </si>
  <si>
    <t>Faixa de Retenção (m)</t>
  </si>
  <si>
    <t>Piso da ciclovia (m²)</t>
  </si>
  <si>
    <t>Piso da ciclofaixa (m²)</t>
  </si>
  <si>
    <t>TOTAL DE PLACAS (un)</t>
  </si>
  <si>
    <t>F</t>
  </si>
  <si>
    <t>PLACAS FIXADAS EM BRAÇO PROJETADO METÁLICO</t>
  </si>
  <si>
    <t>Faixa Tracejada Pista (m)</t>
  </si>
  <si>
    <t>Faixa Tracejada Estacionamento (m)</t>
  </si>
  <si>
    <t>Faixa Contínua Alto Relevo (m)</t>
  </si>
  <si>
    <t>Faixa Contínua (m)</t>
  </si>
  <si>
    <t>SOMARPRODUTO(($E2:$E42)*(H2:H42))</t>
  </si>
  <si>
    <t>TOTAL DE POSTE (COLUNA) SIMPLES (un)</t>
  </si>
  <si>
    <t>2,00x1,00</t>
  </si>
  <si>
    <t>POSTE (COLUNA) SIMPLES (un)</t>
  </si>
  <si>
    <t>ÁREA TOTAL DE PINTURA DE MARCAS NO PAVIMENTO (m²)</t>
  </si>
  <si>
    <r>
      <rPr>
        <b/>
        <sz val="12"/>
        <rFont val="Arial"/>
        <family val="2"/>
      </rPr>
      <t>PINTURA DE FAIXA</t>
    </r>
    <r>
      <rPr>
        <b/>
        <sz val="10"/>
        <rFont val="Arial"/>
        <family val="2"/>
      </rPr>
      <t xml:space="preserve">
</t>
    </r>
    <r>
      <rPr>
        <b/>
        <sz val="8"/>
        <rFont val="Arial"/>
        <family val="2"/>
      </rPr>
      <t>TERMOPLÁSTICO EM ALTO RELEVO TIPO II - RELEVO SIMPLES RANHURADO</t>
    </r>
  </si>
  <si>
    <t>ÁREA TOTAL DE PINTURA NO PAVIMENTO (m²)</t>
  </si>
  <si>
    <t>TOTAL PLACAS (GT/GT) (m²)</t>
  </si>
  <si>
    <t>PLACAS FIXADAS EM POSTE (COLUNA) SIMPLES (x2)</t>
  </si>
  <si>
    <t>TOTAL PLACAS (AI/AI) (m²)</t>
  </si>
  <si>
    <t>Cadência: Traço 0,40m / Espaçamento 0,40m</t>
  </si>
  <si>
    <r>
      <t xml:space="preserve">PINTURA DE PISO PARA CICLOFAIXA
</t>
    </r>
    <r>
      <rPr>
        <b/>
        <sz val="8"/>
        <rFont val="Arial"/>
        <family val="2"/>
      </rPr>
      <t>PLÁSTICO À FRIO BICOMPONENTE À BASE DE RESINAS METACRÍLICAS</t>
    </r>
  </si>
  <si>
    <r>
      <t xml:space="preserve">NÍVEL DE INTERFERÊNCIA: ALTO </t>
    </r>
    <r>
      <rPr>
        <b/>
        <sz val="8"/>
        <color rgb="FFFF0000"/>
        <rFont val="Arial"/>
        <family val="2"/>
      </rPr>
      <t>(1)</t>
    </r>
    <r>
      <rPr>
        <b/>
        <sz val="8"/>
        <rFont val="Arial"/>
        <family val="2"/>
      </rPr>
      <t xml:space="preserve"> ou BAIXO </t>
    </r>
    <r>
      <rPr>
        <b/>
        <sz val="8"/>
        <color rgb="FFFF0000"/>
        <rFont val="Arial"/>
        <family val="2"/>
      </rPr>
      <t>(2)</t>
    </r>
  </si>
  <si>
    <r>
      <t>RAMAL CONCRETO Ø 0,40 (m)</t>
    </r>
    <r>
      <rPr>
        <b/>
        <sz val="10"/>
        <color rgb="FFFF0000"/>
        <rFont val="Arial"/>
        <family val="2"/>
      </rPr>
      <t xml:space="preserve"> SOLO</t>
    </r>
    <r>
      <rPr>
        <b/>
        <sz val="10"/>
        <rFont val="Arial"/>
        <family val="2"/>
      </rPr>
      <t xml:space="preserve"> baixa inter.</t>
    </r>
  </si>
  <si>
    <r>
      <t>RAMAL CONCRETO Ø 0,40 (m)</t>
    </r>
    <r>
      <rPr>
        <b/>
        <sz val="10"/>
        <color rgb="FFFF0000"/>
        <rFont val="Arial"/>
        <family val="2"/>
      </rPr>
      <t xml:space="preserve"> SOLO</t>
    </r>
    <r>
      <rPr>
        <b/>
        <sz val="10"/>
        <rFont val="Arial"/>
        <family val="2"/>
      </rPr>
      <t xml:space="preserve"> alta inter.</t>
    </r>
  </si>
  <si>
    <r>
      <t>RAMAL CONCRETO Ø 0,60 (m)</t>
    </r>
    <r>
      <rPr>
        <b/>
        <sz val="10"/>
        <color rgb="FFFF0000"/>
        <rFont val="Arial"/>
        <family val="2"/>
      </rPr>
      <t xml:space="preserve"> SOLO</t>
    </r>
    <r>
      <rPr>
        <b/>
        <sz val="10"/>
        <rFont val="Arial"/>
        <family val="2"/>
      </rPr>
      <t xml:space="preserve"> baixa inter.</t>
    </r>
  </si>
  <si>
    <r>
      <t>RAMAL CONCRETO Ø 0,60 (m)</t>
    </r>
    <r>
      <rPr>
        <b/>
        <sz val="10"/>
        <color rgb="FFFF0000"/>
        <rFont val="Arial"/>
        <family val="2"/>
      </rPr>
      <t xml:space="preserve"> SOLO</t>
    </r>
    <r>
      <rPr>
        <b/>
        <sz val="10"/>
        <rFont val="Arial"/>
        <family val="2"/>
      </rPr>
      <t xml:space="preserve"> alta inter.</t>
    </r>
  </si>
  <si>
    <r>
      <t xml:space="preserve">RAMAL PEAD Ø 0,40 (m) </t>
    </r>
    <r>
      <rPr>
        <b/>
        <sz val="10"/>
        <color rgb="FFFF0000"/>
        <rFont val="Arial"/>
        <family val="2"/>
      </rPr>
      <t>SOLO</t>
    </r>
    <r>
      <rPr>
        <b/>
        <sz val="10"/>
        <rFont val="Arial"/>
        <family val="2"/>
      </rPr>
      <t xml:space="preserve"> baixa inter.</t>
    </r>
  </si>
  <si>
    <r>
      <t xml:space="preserve">RAMAL PEAD Ø 0,40 (m) </t>
    </r>
    <r>
      <rPr>
        <b/>
        <sz val="10"/>
        <color rgb="FFFF0000"/>
        <rFont val="Arial"/>
        <family val="2"/>
      </rPr>
      <t>SOLO</t>
    </r>
    <r>
      <rPr>
        <b/>
        <sz val="10"/>
        <rFont val="Arial"/>
        <family val="2"/>
      </rPr>
      <t xml:space="preserve"> alta inter.</t>
    </r>
  </si>
  <si>
    <r>
      <t>Ø 0,40m</t>
    </r>
    <r>
      <rPr>
        <b/>
        <sz val="8"/>
        <color rgb="FFFF0000"/>
        <rFont val="Arial"/>
        <family val="2"/>
      </rPr>
      <t xml:space="preserve"> (SOLO)</t>
    </r>
    <r>
      <rPr>
        <b/>
        <sz val="8"/>
        <rFont val="Arial"/>
        <family val="2"/>
      </rPr>
      <t xml:space="preserve"> BAIXA INTERFERÊNCIA</t>
    </r>
  </si>
  <si>
    <r>
      <t>Ø 0,40m</t>
    </r>
    <r>
      <rPr>
        <b/>
        <sz val="8"/>
        <color rgb="FFFF0000"/>
        <rFont val="Arial"/>
        <family val="2"/>
      </rPr>
      <t xml:space="preserve"> (SOLO)</t>
    </r>
    <r>
      <rPr>
        <b/>
        <sz val="8"/>
        <rFont val="Arial"/>
        <family val="2"/>
      </rPr>
      <t xml:space="preserve"> ALTA INTERFERÊNCIA</t>
    </r>
  </si>
  <si>
    <r>
      <t>Ø 0,60m</t>
    </r>
    <r>
      <rPr>
        <b/>
        <sz val="8"/>
        <color rgb="FFFF0000"/>
        <rFont val="Arial"/>
        <family val="2"/>
      </rPr>
      <t xml:space="preserve"> (SOLO)</t>
    </r>
    <r>
      <rPr>
        <b/>
        <sz val="8"/>
        <rFont val="Arial"/>
        <family val="2"/>
      </rPr>
      <t xml:space="preserve"> BAIXA INTERFERÊNCIA</t>
    </r>
  </si>
  <si>
    <r>
      <t>Ø 0,60m</t>
    </r>
    <r>
      <rPr>
        <b/>
        <sz val="8"/>
        <color rgb="FFFF0000"/>
        <rFont val="Arial"/>
        <family val="2"/>
      </rPr>
      <t xml:space="preserve"> (SOLO)</t>
    </r>
    <r>
      <rPr>
        <b/>
        <sz val="8"/>
        <rFont val="Arial"/>
        <family val="2"/>
      </rPr>
      <t xml:space="preserve"> ALTA INTERFERÊNCIA</t>
    </r>
  </si>
  <si>
    <t>BLINDAGEM</t>
  </si>
  <si>
    <t>BLINDAGEM H &lt; 4,50m (L&gt;1,50m)</t>
  </si>
  <si>
    <t>BLINDAGEM H &gt; 4,51m (L&gt;1,50m)</t>
  </si>
  <si>
    <t>TESTE PARA LARGURA MÍNIMA DA BASE COM BLINDAGEM (m)</t>
  </si>
  <si>
    <r>
      <t>BLINDAGEM</t>
    </r>
    <r>
      <rPr>
        <b/>
        <sz val="8"/>
        <color rgb="FFFF0000"/>
        <rFont val="Arial"/>
        <family val="2"/>
      </rPr>
      <t xml:space="preserve"> (acima da blindagem talude 3:1)</t>
    </r>
  </si>
  <si>
    <t xml:space="preserve">ESCAVAÇÃO NÍVEL ALTA INTERFERÊNCIA (m³)                                                                                                                                                                                                                           </t>
  </si>
  <si>
    <r>
      <t xml:space="preserve">ESCAVAÇÃO NÍVEL </t>
    </r>
    <r>
      <rPr>
        <b/>
        <sz val="8"/>
        <color rgb="FFFF0000"/>
        <rFont val="Arial"/>
        <family val="2"/>
      </rPr>
      <t>ALTA</t>
    </r>
    <r>
      <rPr>
        <b/>
        <sz val="8"/>
        <rFont val="Arial"/>
        <family val="2"/>
      </rPr>
      <t xml:space="preserve"> INTERFERÊNCIA                                       (m³)                                                                          </t>
    </r>
  </si>
  <si>
    <r>
      <t xml:space="preserve">ESCAVAÇÃO NÍVEL </t>
    </r>
    <r>
      <rPr>
        <b/>
        <sz val="8"/>
        <color rgb="FFFF0000"/>
        <rFont val="Arial"/>
        <family val="2"/>
      </rPr>
      <t>BAIXA</t>
    </r>
    <r>
      <rPr>
        <b/>
        <sz val="8"/>
        <rFont val="Arial"/>
        <family val="2"/>
      </rPr>
      <t xml:space="preserve"> INTERFERÊNCIA                 (m³)                                                                          </t>
    </r>
  </si>
  <si>
    <r>
      <t xml:space="preserve">ESCAVAÇÃO (m³)                                                        </t>
    </r>
    <r>
      <rPr>
        <b/>
        <sz val="8"/>
        <color rgb="FFFF0000"/>
        <rFont val="Arial"/>
        <family val="2"/>
      </rPr>
      <t xml:space="preserve">(cálculo total)                                                   </t>
    </r>
    <r>
      <rPr>
        <b/>
        <sz val="8"/>
        <rFont val="Arial"/>
        <family val="2"/>
      </rPr>
      <t xml:space="preserve">                                                                                                                                                      </t>
    </r>
  </si>
  <si>
    <r>
      <t xml:space="preserve">REATERRO NÍVEL </t>
    </r>
    <r>
      <rPr>
        <b/>
        <sz val="8"/>
        <color rgb="FFFF0000"/>
        <rFont val="Arial"/>
        <family val="2"/>
      </rPr>
      <t>ALTA</t>
    </r>
    <r>
      <rPr>
        <b/>
        <sz val="8"/>
        <rFont val="Arial"/>
        <family val="2"/>
      </rPr>
      <t xml:space="preserve"> INTERFERÊNCIA                                       (m³)                                                                          </t>
    </r>
  </si>
  <si>
    <t xml:space="preserve">REATERRO DE VALA (m³)                                                                          </t>
  </si>
  <si>
    <r>
      <t xml:space="preserve">REATERRO NÍVEL </t>
    </r>
    <r>
      <rPr>
        <b/>
        <sz val="8"/>
        <color rgb="FFFF0000"/>
        <rFont val="Arial"/>
        <family val="2"/>
      </rPr>
      <t>BAIXA</t>
    </r>
    <r>
      <rPr>
        <b/>
        <sz val="8"/>
        <rFont val="Arial"/>
        <family val="2"/>
      </rPr>
      <t xml:space="preserve"> INTERFERÊNCIA                                       (m³)                                                                          </t>
    </r>
  </si>
  <si>
    <t>VERIFICAÇÃO DA ESCAVAÇÃO</t>
  </si>
  <si>
    <r>
      <t>ÁREA (m²) 2x (L≤1,50m) (H</t>
    </r>
    <r>
      <rPr>
        <b/>
        <sz val="8"/>
        <rFont val="Calibri"/>
        <family val="2"/>
      </rPr>
      <t>≤</t>
    </r>
    <r>
      <rPr>
        <b/>
        <sz val="8"/>
        <rFont val="Arial"/>
        <family val="2"/>
      </rPr>
      <t>3,00m)</t>
    </r>
  </si>
  <si>
    <t>ÁREA (m²) 2x (1,50m&lt;L≤2,50m) (H≤3,00m)</t>
  </si>
  <si>
    <t>ALTURA (m) [V=0;H&gt;3,0m]</t>
  </si>
  <si>
    <t>ALTURA DA BLINDAGEM (m)</t>
  </si>
  <si>
    <t>PROFUNDIDADE DA VALA (m)</t>
  </si>
  <si>
    <t>ÁREA (m²) 2x (1,50m&lt;L≤2,50m) (H&gt;3,00m)</t>
  </si>
  <si>
    <t>BASE ≤ 1,50m (m²)</t>
  </si>
  <si>
    <t>BASE &gt; 1,50m (m²)</t>
  </si>
  <si>
    <r>
      <t xml:space="preserve">TUBOS PS-1 (m) </t>
    </r>
    <r>
      <rPr>
        <b/>
        <sz val="8"/>
        <color rgb="FFFF0000"/>
        <rFont val="Arial"/>
        <family val="2"/>
      </rPr>
      <t>ALTA</t>
    </r>
    <r>
      <rPr>
        <b/>
        <sz val="8"/>
        <rFont val="Arial"/>
        <family val="2"/>
      </rPr>
      <t xml:space="preserve"> INTERFERÊNCIA</t>
    </r>
  </si>
  <si>
    <r>
      <t xml:space="preserve">TUBOS PS-1 (m) </t>
    </r>
    <r>
      <rPr>
        <b/>
        <sz val="8"/>
        <color rgb="FFFF0000"/>
        <rFont val="Arial"/>
        <family val="2"/>
      </rPr>
      <t>BAIXA</t>
    </r>
    <r>
      <rPr>
        <b/>
        <sz val="8"/>
        <rFont val="Arial"/>
        <family val="2"/>
      </rPr>
      <t xml:space="preserve"> INTERFERÊNCIA</t>
    </r>
  </si>
  <si>
    <t>0,40 (bigode)</t>
  </si>
  <si>
    <r>
      <t>Ø 0,40m</t>
    </r>
    <r>
      <rPr>
        <b/>
        <sz val="8"/>
        <color rgb="FFFF0000"/>
        <rFont val="Arial"/>
        <family val="2"/>
      </rPr>
      <t xml:space="preserve"> (ROCHA)</t>
    </r>
    <r>
      <rPr>
        <b/>
        <sz val="8"/>
        <rFont val="Arial"/>
        <family val="2"/>
      </rPr>
      <t xml:space="preserve"> ALTA INTERFERÊNCIA</t>
    </r>
  </si>
  <si>
    <r>
      <t xml:space="preserve">GALERIA CELULAR OU ADUELA (m) </t>
    </r>
    <r>
      <rPr>
        <b/>
        <sz val="8"/>
        <color rgb="FFFF0000"/>
        <rFont val="Arial"/>
        <family val="2"/>
      </rPr>
      <t>ALTA</t>
    </r>
    <r>
      <rPr>
        <b/>
        <sz val="8"/>
        <rFont val="Arial"/>
        <family val="2"/>
      </rPr>
      <t xml:space="preserve"> INTERFERÊNCIA</t>
    </r>
  </si>
  <si>
    <t>REFORMA BLS</t>
  </si>
  <si>
    <t>REFORMA BLD</t>
  </si>
  <si>
    <t>REFORMA BLT</t>
  </si>
  <si>
    <t>ESTUDO DAS ALTURAS INTERNAS DOS PV'S / ACRÉSCIMO / ANTECÂMARA / PESCOÇO</t>
  </si>
  <si>
    <t>PV MONTANTE (m)</t>
  </si>
  <si>
    <t>PROFUN.</t>
  </si>
  <si>
    <t>MONTANTE               C</t>
  </si>
  <si>
    <t>MONTANTE               A</t>
  </si>
  <si>
    <t>MONTANTE               B</t>
  </si>
  <si>
    <t>FUNDO COTA</t>
  </si>
  <si>
    <t>COTA DA GERATRIZ SUPERIOR GALERIA (GSG) TUBO + VERGA (m)</t>
  </si>
  <si>
    <t>GSG + VERGA</t>
  </si>
  <si>
    <t>PROJETO TIPO</t>
  </si>
  <si>
    <t>ALTURA INTERNA DO PV (m)</t>
  </si>
  <si>
    <t>ALTURA DO ACRÉSCIMO (m)</t>
  </si>
  <si>
    <t>ANTECÂMARA (un)</t>
  </si>
  <si>
    <t>ANTE-                    CÂMARA                               (un)</t>
  </si>
  <si>
    <t>PESCOÇO / CHAMINÉ (m)</t>
  </si>
  <si>
    <t>EXECUÇÃO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</si>
  <si>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</si>
  <si>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</si>
  <si>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</si>
  <si>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</si>
  <si>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</si>
  <si>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</si>
  <si>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</si>
  <si>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</si>
  <si>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</si>
  <si>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</si>
  <si>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</si>
  <si>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c50</t>
  </si>
  <si>
    <t>c51</t>
  </si>
  <si>
    <t>c52</t>
  </si>
  <si>
    <t>c53</t>
  </si>
  <si>
    <t>c54</t>
  </si>
  <si>
    <t>c55</t>
  </si>
  <si>
    <t>c56</t>
  </si>
  <si>
    <t>c57</t>
  </si>
  <si>
    <t>c58</t>
  </si>
  <si>
    <t>c59</t>
  </si>
  <si>
    <t>c60</t>
  </si>
  <si>
    <t>c61</t>
  </si>
  <si>
    <t>c62</t>
  </si>
  <si>
    <t>c63</t>
  </si>
  <si>
    <t>c64</t>
  </si>
  <si>
    <t>c65</t>
  </si>
  <si>
    <t>c66</t>
  </si>
  <si>
    <t>c67</t>
  </si>
  <si>
    <t>c68</t>
  </si>
  <si>
    <t>c69</t>
  </si>
  <si>
    <t>ACÉSCIMO DE POÇO                                           DE VISITA
(APV-TIPO)                                                                       (m)</t>
  </si>
  <si>
    <t>TAMPÃO DE F°F° Ø 60cm (un)</t>
  </si>
  <si>
    <r>
      <t xml:space="preserve">TUBOS   PA-1              (m)                                              </t>
    </r>
    <r>
      <rPr>
        <b/>
        <sz val="8"/>
        <color rgb="FFFF0000"/>
        <rFont val="Arial"/>
        <family val="2"/>
      </rPr>
      <t>ALTA</t>
    </r>
    <r>
      <rPr>
        <b/>
        <sz val="8"/>
        <rFont val="Arial"/>
        <family val="2"/>
      </rPr>
      <t xml:space="preserve"> INTERFERÊNCIA</t>
    </r>
  </si>
  <si>
    <r>
      <t xml:space="preserve">TUBOS   PA-1              (m)                           </t>
    </r>
    <r>
      <rPr>
        <b/>
        <sz val="8"/>
        <color rgb="FFFF0000"/>
        <rFont val="Arial"/>
        <family val="2"/>
      </rPr>
      <t>BAIXA</t>
    </r>
    <r>
      <rPr>
        <b/>
        <sz val="8"/>
        <rFont val="Arial"/>
        <family val="2"/>
      </rPr>
      <t xml:space="preserve"> INTERFERÊNCIA</t>
    </r>
  </si>
  <si>
    <r>
      <t xml:space="preserve">TUBOS   PA-2              (m)                                  </t>
    </r>
    <r>
      <rPr>
        <b/>
        <sz val="8"/>
        <color rgb="FFFF0000"/>
        <rFont val="Arial"/>
        <family val="2"/>
      </rPr>
      <t>ALTA</t>
    </r>
    <r>
      <rPr>
        <b/>
        <sz val="8"/>
        <rFont val="Arial"/>
        <family val="2"/>
      </rPr>
      <t xml:space="preserve"> INTERFERÊNCIA</t>
    </r>
  </si>
  <si>
    <r>
      <t xml:space="preserve">TUBOS   PA-2              (m)                                </t>
    </r>
    <r>
      <rPr>
        <b/>
        <sz val="8"/>
        <color rgb="FFFF0000"/>
        <rFont val="Arial"/>
        <family val="2"/>
      </rPr>
      <t>BAIXA</t>
    </r>
    <r>
      <rPr>
        <b/>
        <sz val="8"/>
        <rFont val="Arial"/>
        <family val="2"/>
      </rPr>
      <t xml:space="preserve"> INTERFERÊNCIA</t>
    </r>
  </si>
  <si>
    <r>
      <t xml:space="preserve">TUBOS                   PEAD                       (m)                                    </t>
    </r>
    <r>
      <rPr>
        <b/>
        <sz val="8"/>
        <color rgb="FFFF0000"/>
        <rFont val="Arial"/>
        <family val="2"/>
      </rPr>
      <t>ALTA</t>
    </r>
    <r>
      <rPr>
        <b/>
        <sz val="8"/>
        <rFont val="Arial"/>
        <family val="2"/>
      </rPr>
      <t xml:space="preserve"> INTERFERÊNCIA</t>
    </r>
  </si>
  <si>
    <r>
      <t xml:space="preserve">TUBOS                   PEAD                       (m)                                            </t>
    </r>
    <r>
      <rPr>
        <b/>
        <sz val="8"/>
        <color rgb="FFFF0000"/>
        <rFont val="Arial"/>
        <family val="2"/>
      </rPr>
      <t>BAIXA</t>
    </r>
    <r>
      <rPr>
        <b/>
        <sz val="8"/>
        <rFont val="Arial"/>
        <family val="2"/>
      </rPr>
      <t xml:space="preserve"> INTERFERÊNCIA</t>
    </r>
  </si>
  <si>
    <t>com. Magro</t>
  </si>
  <si>
    <t>fck 15 Mpa</t>
  </si>
  <si>
    <t>fck 20 Mpa</t>
  </si>
  <si>
    <t>fck 25 Mpa</t>
  </si>
  <si>
    <t>ciclópico</t>
  </si>
  <si>
    <t>forma</t>
  </si>
  <si>
    <t>chapisco</t>
  </si>
  <si>
    <t>con. Magro</t>
  </si>
  <si>
    <t>argamassa 1:4</t>
  </si>
  <si>
    <t>argamassa 1:3</t>
  </si>
  <si>
    <t>PASSAGEM CP-02</t>
  </si>
  <si>
    <t>PASSAGEM CP-03</t>
  </si>
  <si>
    <t>chapa 10x</t>
  </si>
  <si>
    <t>chapa 6x</t>
  </si>
  <si>
    <t>tábua 4x</t>
  </si>
  <si>
    <t>cimento (kg)</t>
  </si>
  <si>
    <t>areia (m3)</t>
  </si>
  <si>
    <t>pedra (m3)</t>
  </si>
  <si>
    <t>aço (kg)</t>
  </si>
  <si>
    <t>tijolo cerâmico (un)</t>
  </si>
  <si>
    <t>tábua 2x</t>
  </si>
  <si>
    <t>cimbramento</t>
  </si>
  <si>
    <t>graute</t>
  </si>
  <si>
    <t>CONCRETO MAGRO  (m³)</t>
  </si>
  <si>
    <t>chapa 2x</t>
  </si>
  <si>
    <t>BRITA/PEDRA DE MÃO/RACHÃO (m³)</t>
  </si>
  <si>
    <t>CIMENTO (T)</t>
  </si>
  <si>
    <t>AÇO (T)</t>
  </si>
  <si>
    <t>FORMA (T)</t>
  </si>
  <si>
    <t>bloco de concreto 14x19x29 (un)</t>
  </si>
  <si>
    <t>GRAMA (T)</t>
  </si>
  <si>
    <t>BLOCO CONCRETO ESTRUTURAL (T)</t>
  </si>
  <si>
    <t>TIJOLO CERÂMICO MACIÇO (T)</t>
  </si>
  <si>
    <t>FÔRMA (m²) (CÓD. SINAPI 92415)</t>
  </si>
  <si>
    <t>RECAPEAMENTO - TUBO DE LIGAÇÃO Ø0,40m</t>
  </si>
  <si>
    <t>DEMOLIÇÃO DE PAVIMENTO TUBO DE LIGAÇÃO Ø 0,40m</t>
  </si>
  <si>
    <t>EXTENSÃO TRONCO  (m)</t>
  </si>
  <si>
    <t>EXTENSÃO BIGODES (m)</t>
  </si>
  <si>
    <r>
      <t xml:space="preserve">DEMOLIÇÃO </t>
    </r>
    <r>
      <rPr>
        <b/>
        <sz val="8"/>
        <color rgb="FFFF0000"/>
        <rFont val="Arial"/>
        <family val="2"/>
      </rPr>
      <t>MANUAL</t>
    </r>
    <r>
      <rPr>
        <b/>
        <sz val="8"/>
        <rFont val="Arial"/>
        <family val="2"/>
      </rPr>
      <t xml:space="preserve"> DE CONCRETO SIMPLES</t>
    </r>
  </si>
  <si>
    <r>
      <t xml:space="preserve">DEMOLIÇÃO </t>
    </r>
    <r>
      <rPr>
        <b/>
        <sz val="8"/>
        <color rgb="FFFF0000"/>
        <rFont val="Arial"/>
        <family val="2"/>
      </rPr>
      <t>MECANIZADA</t>
    </r>
    <r>
      <rPr>
        <b/>
        <sz val="8"/>
        <rFont val="Arial"/>
        <family val="2"/>
      </rPr>
      <t xml:space="preserve"> DE CONCRETO SIMPLES</t>
    </r>
  </si>
  <si>
    <r>
      <t xml:space="preserve">DEMOLIÇÃO </t>
    </r>
    <r>
      <rPr>
        <b/>
        <sz val="8"/>
        <color rgb="FFFF0000"/>
        <rFont val="Arial"/>
        <family val="2"/>
      </rPr>
      <t>MANUAL</t>
    </r>
    <r>
      <rPr>
        <b/>
        <sz val="8"/>
        <rFont val="Arial"/>
        <family val="2"/>
      </rPr>
      <t xml:space="preserve"> DE CONCRETO ARMADO</t>
    </r>
  </si>
  <si>
    <r>
      <t xml:space="preserve">DEMOLIÇÃO </t>
    </r>
    <r>
      <rPr>
        <b/>
        <sz val="8"/>
        <color rgb="FFFF0000"/>
        <rFont val="Arial"/>
        <family val="2"/>
      </rPr>
      <t>MECANIZADA</t>
    </r>
    <r>
      <rPr>
        <b/>
        <sz val="8"/>
        <rFont val="Arial"/>
        <family val="2"/>
      </rPr>
      <t xml:space="preserve"> DE CONCRETO ARMADO</t>
    </r>
  </si>
  <si>
    <t>ÁREA DE REMOÇÃO (m²)</t>
  </si>
  <si>
    <t>PLANILHA DE QUANTIDADES DE SERVIÇOS PRELIMINARES DE REMOÇÕES, DEMOLIÇÕES E SUPRESSÕES - PROJETO DE ENGENHARIA</t>
  </si>
  <si>
    <t>ÁREA DE DEMOLIÇÃO (m²)</t>
  </si>
  <si>
    <t>TRANSPORTE DE ENTULHO (m³)</t>
  </si>
  <si>
    <r>
      <t xml:space="preserve">REMOÇÃO </t>
    </r>
    <r>
      <rPr>
        <b/>
        <sz val="8"/>
        <color rgb="FFFF0000"/>
        <rFont val="Arial"/>
        <family val="2"/>
      </rPr>
      <t>MECANIZADA</t>
    </r>
    <r>
      <rPr>
        <b/>
        <sz val="8"/>
        <rFont val="Arial"/>
        <family val="2"/>
      </rPr>
      <t xml:space="preserve"> DE PISO DE BLOCO DE CONCRETO</t>
    </r>
  </si>
  <si>
    <t>CORTE RASO E RECORTE DE ÁRVORE (un)</t>
  </si>
  <si>
    <t>Ø &lt; 0,20m</t>
  </si>
  <si>
    <t>PODA EM ALTURA DE ÁRVORE (un)</t>
  </si>
  <si>
    <t>EXTENSÃO MÉDIA     (m)</t>
  </si>
  <si>
    <t>LARGURA MÉDIA     (m)</t>
  </si>
  <si>
    <t>ESPESSURA MÉDIA (m)</t>
  </si>
  <si>
    <t>REMOÇÃO DE RAÍZES REMANESC. DE TRONCO DE ÁRVORE (un)</t>
  </si>
  <si>
    <t xml:space="preserve">LARGURA MÉDIA DA VIA (m) </t>
  </si>
  <si>
    <t xml:space="preserve">CORREÇÃO DE DEFEITOS POR FRESAGEM </t>
  </si>
  <si>
    <t>REMENDO PROFUNDO</t>
  </si>
  <si>
    <t>REMENDO                                                             SUPERFICIAL                                  TAPA BURADO</t>
  </si>
  <si>
    <t>REMOÇÃO MECANIZADA DE REVESTIMENTO BETUMINOSO</t>
  </si>
  <si>
    <t>EXTENSÃO MÉDIA (m)</t>
  </si>
  <si>
    <t>REMOÇÃO MECANIZADA DE CAMADA GRANULAR DO PAVIMENTO</t>
  </si>
  <si>
    <t>ÁREA 1 (m²)</t>
  </si>
  <si>
    <t>ÁREA 2 (m²)</t>
  </si>
  <si>
    <t>ÁREA 3 (m²)</t>
  </si>
  <si>
    <t>ÁREA 4 (m²)</t>
  </si>
  <si>
    <r>
      <t>ESPESSURA MÉDIA (</t>
    </r>
    <r>
      <rPr>
        <b/>
        <sz val="8"/>
        <color rgb="FFFF0000"/>
        <rFont val="Arial"/>
        <family val="2"/>
      </rPr>
      <t>cm</t>
    </r>
    <r>
      <rPr>
        <b/>
        <sz val="8"/>
        <rFont val="Arial"/>
        <family val="2"/>
      </rPr>
      <t>)</t>
    </r>
  </si>
  <si>
    <t>ÁREA TOTAL (m²)</t>
  </si>
  <si>
    <t>VOLUME BASE (m³)</t>
  </si>
  <si>
    <r>
      <t xml:space="preserve">RECOMPOSIÇÃO </t>
    </r>
    <r>
      <rPr>
        <b/>
        <sz val="8"/>
        <color rgb="FFFF0000"/>
        <rFont val="Arial"/>
        <family val="2"/>
      </rPr>
      <t>MECANIZADA</t>
    </r>
    <r>
      <rPr>
        <b/>
        <sz val="8"/>
        <rFont val="Arial"/>
        <family val="2"/>
      </rPr>
      <t xml:space="preserve"> DE BASE PARA PAVIMENTAÇÃO </t>
    </r>
  </si>
  <si>
    <t>CASCALHO EMPOLADO (25%)</t>
  </si>
  <si>
    <t>FRESAGEM DO REVESTIMENTO</t>
  </si>
  <si>
    <r>
      <t xml:space="preserve">EXECUÇÃO: </t>
    </r>
    <r>
      <rPr>
        <b/>
        <sz val="8"/>
        <color rgb="FFFF0000"/>
        <rFont val="Arial"/>
        <family val="2"/>
      </rPr>
      <t>MOTO</t>
    </r>
    <r>
      <rPr>
        <b/>
        <sz val="8"/>
        <rFont val="Arial"/>
        <family val="2"/>
      </rPr>
      <t xml:space="preserve"> OU </t>
    </r>
    <r>
      <rPr>
        <b/>
        <sz val="8"/>
        <color rgb="FFFF0000"/>
        <rFont val="Arial"/>
        <family val="2"/>
      </rPr>
      <t>VIBRO</t>
    </r>
  </si>
  <si>
    <t>APLICAÇÃO COM MOTO (m³)</t>
  </si>
  <si>
    <t>APLICAÇÃO COM VIBRO (m³)</t>
  </si>
  <si>
    <t>ENTULHO (m³)</t>
  </si>
  <si>
    <t>PLANILHA DE QUANTIDADES DE SERVIÇOS DE RESTAURAÇÃO - RECUPERAÇÃO PRÉVIA DO PAVIMENTO - PROJETO DE ENGENHARIA</t>
  </si>
  <si>
    <r>
      <t xml:space="preserve">0,20m </t>
    </r>
    <r>
      <rPr>
        <b/>
        <sz val="8"/>
        <rFont val="Calibri"/>
        <family val="2"/>
      </rPr>
      <t>≤</t>
    </r>
    <r>
      <rPr>
        <b/>
        <sz val="8"/>
        <rFont val="Arial"/>
        <family val="2"/>
      </rPr>
      <t xml:space="preserve"> Ø &lt; 0,40m</t>
    </r>
  </si>
  <si>
    <r>
      <t xml:space="preserve">0,40m </t>
    </r>
    <r>
      <rPr>
        <b/>
        <sz val="8"/>
        <rFont val="Calibri"/>
        <family val="2"/>
      </rPr>
      <t>≤</t>
    </r>
    <r>
      <rPr>
        <b/>
        <sz val="8"/>
        <rFont val="Arial"/>
        <family val="2"/>
      </rPr>
      <t xml:space="preserve"> Ø &lt; 0,60m</t>
    </r>
  </si>
  <si>
    <r>
      <t xml:space="preserve">Ø </t>
    </r>
    <r>
      <rPr>
        <b/>
        <sz val="8"/>
        <rFont val="Calibri"/>
        <family val="2"/>
      </rPr>
      <t>≥</t>
    </r>
    <r>
      <rPr>
        <b/>
        <sz val="8"/>
        <rFont val="Arial"/>
        <family val="2"/>
      </rPr>
      <t xml:space="preserve"> 0,60m</t>
    </r>
  </si>
  <si>
    <r>
      <t xml:space="preserve">MANUAL 5% </t>
    </r>
    <r>
      <rPr>
        <b/>
        <sz val="8"/>
        <rFont val="Calibri"/>
        <family val="2"/>
      </rPr>
      <t>Σ</t>
    </r>
    <r>
      <rPr>
        <b/>
        <sz val="8"/>
        <rFont val="Arial"/>
        <family val="2"/>
      </rPr>
      <t xml:space="preserve"> DA ESCAVAÇÃO</t>
    </r>
  </si>
  <si>
    <t>TAMPÃO EM FºFº Ø 600mm PARA PV</t>
  </si>
  <si>
    <t>TAMPÃO EM FºFº PARA REGISTRO DE ÁGUA</t>
  </si>
  <si>
    <t>IMPLANTAÇÃO (un)</t>
  </si>
  <si>
    <t>areia (m³)</t>
  </si>
  <si>
    <t>pedra (m³)</t>
  </si>
  <si>
    <t>DEMOLIÇÃO (m)</t>
  </si>
  <si>
    <t>RECICLAGEM / RECONSTRUÇÃO</t>
  </si>
  <si>
    <r>
      <t xml:space="preserve">EXECUÇÃO: </t>
    </r>
    <r>
      <rPr>
        <b/>
        <sz val="8"/>
        <color rgb="FFFF0000"/>
        <rFont val="Arial"/>
        <family val="2"/>
      </rPr>
      <t>SIMPLES</t>
    </r>
    <r>
      <rPr>
        <b/>
        <sz val="8"/>
        <rFont val="Arial"/>
        <family val="2"/>
      </rPr>
      <t xml:space="preserve"> OU </t>
    </r>
    <r>
      <rPr>
        <b/>
        <sz val="8"/>
        <color rgb="FFFF0000"/>
        <rFont val="Arial"/>
        <family val="2"/>
      </rPr>
      <t xml:space="preserve">CIMENTO </t>
    </r>
    <r>
      <rPr>
        <b/>
        <sz val="8"/>
        <rFont val="Arial"/>
        <family val="2"/>
      </rPr>
      <t>OU</t>
    </r>
    <r>
      <rPr>
        <b/>
        <sz val="8"/>
        <color rgb="FFFF0000"/>
        <rFont val="Arial"/>
        <family val="2"/>
      </rPr>
      <t xml:space="preserve"> BRITA</t>
    </r>
  </si>
  <si>
    <t>RECICLAGEM SIMPLES (m³)</t>
  </si>
  <si>
    <t>RECICLAGEM COM CIMENTO (m³)</t>
  </si>
  <si>
    <t>RECICLAGEM COM BRITA (m³)</t>
  </si>
  <si>
    <t>CIMENTO (kg) (88kg/m³)</t>
  </si>
  <si>
    <t>BRITA Nº 1 (m³) (0,25m³/m³)</t>
  </si>
  <si>
    <t>CIMENTO (kg)</t>
  </si>
  <si>
    <t>TRECHO COM REMOÇÃO MECANIZADA DE REVESTIMENTO BETUMINOSO</t>
  </si>
  <si>
    <t>TRECHO COM RECICLAGEM / RECONSTRUÇÃO</t>
  </si>
  <si>
    <t>AREIA (m³) (0,006m³/m²)</t>
  </si>
  <si>
    <t>BRITA (m³) (0,0223m³/m²)</t>
  </si>
  <si>
    <t>EMULSÃO (T) (0,0048T/m²)</t>
  </si>
  <si>
    <r>
      <t>ESPESSURA (</t>
    </r>
    <r>
      <rPr>
        <b/>
        <sz val="8"/>
        <color rgb="FFFF0000"/>
        <rFont val="Arial"/>
        <family val="2"/>
      </rPr>
      <t>cm</t>
    </r>
    <r>
      <rPr>
        <b/>
        <sz val="8"/>
        <rFont val="Arial"/>
        <family val="2"/>
      </rPr>
      <t>)</t>
    </r>
  </si>
  <si>
    <t>RECOMPOSIÇÃO</t>
  </si>
  <si>
    <t>MEIO FIO COM SARJETA (m)</t>
  </si>
  <si>
    <t>MEIO FIO SIMPLES (GUIA)  (m)</t>
  </si>
  <si>
    <t>SARJETA (m)</t>
  </si>
  <si>
    <r>
      <t xml:space="preserve">AGULHAMENTO </t>
    </r>
    <r>
      <rPr>
        <b/>
        <sz val="8"/>
        <color rgb="FFFF0000"/>
        <rFont val="Arial"/>
        <family val="2"/>
      </rPr>
      <t>(SIM)</t>
    </r>
  </si>
  <si>
    <r>
      <t>CBUQ CAP 30-45</t>
    </r>
    <r>
      <rPr>
        <b/>
        <sz val="8"/>
        <color rgb="FFFF0000"/>
        <rFont val="Arial"/>
        <family val="2"/>
      </rPr>
      <t xml:space="preserve"> (SIM)</t>
    </r>
  </si>
  <si>
    <r>
      <t>CBUQ (p) CAP 60-85-E</t>
    </r>
    <r>
      <rPr>
        <b/>
        <sz val="8"/>
        <color rgb="FFFF0000"/>
        <rFont val="Arial"/>
        <family val="2"/>
      </rPr>
      <t xml:space="preserve"> (SIM)</t>
    </r>
  </si>
  <si>
    <t>verificação se há mais de um tipo de revestimento</t>
  </si>
  <si>
    <t>REVESTIMENTO COM                 TSD COM                                             CAPA SELANTE</t>
  </si>
  <si>
    <r>
      <t>ESPESSURA MÉDIA CBUQ OU PMF (</t>
    </r>
    <r>
      <rPr>
        <b/>
        <sz val="8"/>
        <color rgb="FFFF0000"/>
        <rFont val="Arial"/>
        <family val="2"/>
      </rPr>
      <t>cm</t>
    </r>
    <r>
      <rPr>
        <b/>
        <sz val="8"/>
        <rFont val="Arial"/>
        <family val="2"/>
      </rPr>
      <t>)</t>
    </r>
  </si>
  <si>
    <t>BRITA PMF (m³) (0,968m³/m³)</t>
  </si>
  <si>
    <t>BRITA CBUQ (m³) (0,447m³/T)</t>
  </si>
  <si>
    <t>AREIA CBUQ (m³) (0,161m³/T)</t>
  </si>
  <si>
    <t>AREIA PFM (m³) (0,411m³/m³)</t>
  </si>
  <si>
    <t>CAP 30-45 (T) (6% MISTURA)</t>
  </si>
  <si>
    <t>CAP 50-70 (T) (6% MISTURA)</t>
  </si>
  <si>
    <t>CAP 60-85-E (T) (6% MISTURA)</t>
  </si>
  <si>
    <t>CBUQ CAP 30-45 (m³) (2,5548T/m³)</t>
  </si>
  <si>
    <t>CBUQ CAP 50-70 (m³) (2,5548T/m³)</t>
  </si>
  <si>
    <t>CBUQ (p) CAP 60-85-E (m³) (2,5548T/m³)</t>
  </si>
  <si>
    <t>PMF (m³) (2,346T/m³)</t>
  </si>
  <si>
    <t>BASE BICA CORRIDA (%)</t>
  </si>
  <si>
    <t>BRITA PARA SOLO/BRITA (%)</t>
  </si>
  <si>
    <t>BRITA PARA SOLO/BRITA                              (EMPOLADO 37,5%) (m³)</t>
  </si>
  <si>
    <t>BICA CORRIDA (EMPOLADA 37,5%) (m³)</t>
  </si>
  <si>
    <t>TRECHO COM REMOÇÃO MECANIZADA DE CAMADA GRANULAR DO PAVIMENTO</t>
  </si>
  <si>
    <t>CARGA  DO                  BOTA-FORA (m³)</t>
  </si>
  <si>
    <r>
      <t>TSD</t>
    </r>
    <r>
      <rPr>
        <sz val="8"/>
        <color rgb="FFFF0000"/>
        <rFont val="Arial"/>
        <family val="2"/>
      </rPr>
      <t xml:space="preserve"> (SIM)</t>
    </r>
  </si>
  <si>
    <r>
      <t>PAVER PÁTIO 8cm</t>
    </r>
    <r>
      <rPr>
        <sz val="8"/>
        <color rgb="FFFF0000"/>
        <rFont val="Arial"/>
        <family val="2"/>
      </rPr>
      <t xml:space="preserve"> (SIM)</t>
    </r>
  </si>
  <si>
    <r>
      <t>PAVER PÁTIO 10cm</t>
    </r>
    <r>
      <rPr>
        <sz val="8"/>
        <color rgb="FFFF0000"/>
        <rFont val="Arial"/>
        <family val="2"/>
      </rPr>
      <t xml:space="preserve"> (SIM)</t>
    </r>
  </si>
  <si>
    <r>
      <t>PAVER VIA 8cm</t>
    </r>
    <r>
      <rPr>
        <sz val="8"/>
        <color rgb="FFFF0000"/>
        <rFont val="Arial"/>
        <family val="2"/>
      </rPr>
      <t xml:space="preserve"> (SIM)</t>
    </r>
  </si>
  <si>
    <r>
      <t>PAVER VIA 10cm</t>
    </r>
    <r>
      <rPr>
        <sz val="8"/>
        <color rgb="FFFF0000"/>
        <rFont val="Arial"/>
        <family val="2"/>
      </rPr>
      <t xml:space="preserve"> (SIM)</t>
    </r>
  </si>
  <si>
    <r>
      <t>CAP 50-70</t>
    </r>
    <r>
      <rPr>
        <sz val="8"/>
        <color rgb="FFFF0000"/>
        <rFont val="Arial"/>
        <family val="2"/>
      </rPr>
      <t xml:space="preserve"> (SIM)</t>
    </r>
  </si>
  <si>
    <r>
      <t>ESPESSURA (</t>
    </r>
    <r>
      <rPr>
        <sz val="8"/>
        <color rgb="FFFF0000"/>
        <rFont val="Arial"/>
        <family val="2"/>
      </rPr>
      <t>cm</t>
    </r>
    <r>
      <rPr>
        <sz val="8"/>
        <rFont val="Arial"/>
        <family val="2"/>
      </rPr>
      <t>)</t>
    </r>
  </si>
  <si>
    <t>SUB-BASE SOLO (%)</t>
  </si>
  <si>
    <t>SUB-BASE CASCALHO (%)</t>
  </si>
  <si>
    <t>SUB-BASE BICA CORRIDA (%)</t>
  </si>
  <si>
    <t>SUB-BASE BRITA GRADUADA (%)</t>
  </si>
  <si>
    <r>
      <t>CAP 30-45</t>
    </r>
    <r>
      <rPr>
        <sz val="8"/>
        <color rgb="FFFF0000"/>
        <rFont val="Arial"/>
        <family val="2"/>
      </rPr>
      <t xml:space="preserve"> (SIM)</t>
    </r>
  </si>
  <si>
    <t xml:space="preserve"> REGULARIZAÇÃO COM MOTO TRECHO "A"</t>
  </si>
  <si>
    <t>Só preencher se não tiver cubação</t>
  </si>
  <si>
    <t>ROSA porque tem mais de 100% de misturas</t>
  </si>
  <si>
    <t>ROSA porque tem mais de UMA capa especificada</t>
  </si>
  <si>
    <t>MEIO FIO SIMPLES (GUIA) (m)</t>
  </si>
  <si>
    <t>Só preencher se não tiver cubação e a largura especial</t>
  </si>
  <si>
    <t>VOLUME PEDRA BRITADA - SELO (m³) (0,10m³/m³)</t>
  </si>
  <si>
    <t>EXTENSÃO LONGITUDINAL (m)</t>
  </si>
  <si>
    <t>ÁREA SOB MEIOS-FIOS (m²)</t>
  </si>
  <si>
    <t>epessura ou cubação</t>
  </si>
  <si>
    <t>CANTEIRO                                             CENTRAL</t>
  </si>
  <si>
    <t>RETORNOS                     E                                                        LIMPA RODAS</t>
  </si>
  <si>
    <t>DESTINO PARA COMPENSAÇÃO (%)</t>
  </si>
  <si>
    <t>VOLUME PARA COMPENSAÇÃO (m³)</t>
  </si>
  <si>
    <t>VOLUME BOTA-FORA (m³)</t>
  </si>
  <si>
    <t>ÁREA TOTAL DA PLATAFORMA (m²)</t>
  </si>
  <si>
    <t>ATERRO LARGURA PLATAFORMA (m)</t>
  </si>
  <si>
    <t>ÁREA DA PLATAFORMA (m²)</t>
  </si>
  <si>
    <t>ÁREA DA BASE DO ATERRO (m²)</t>
  </si>
  <si>
    <t>VOLUME COMPENSADO (m³)</t>
  </si>
  <si>
    <t>Se verde analisar se há remoção solo</t>
  </si>
  <si>
    <t>Se laranja extensão local &gt; extensão via</t>
  </si>
  <si>
    <t>se verde falta confirmar espessu.</t>
  </si>
  <si>
    <t>se verde falta confirmar largura</t>
  </si>
  <si>
    <t>ORIGEM 1</t>
  </si>
  <si>
    <t>COLCHÃO DE RACHÃO - EXECUÇÃO (m³)</t>
  </si>
  <si>
    <t>DISTRUIÇÃO DE MATERIAL</t>
  </si>
  <si>
    <t>ATERRO - EXECUÇÃO (m³)</t>
  </si>
  <si>
    <t>VOLUME TOTAL COMPENSADO (m³)</t>
  </si>
  <si>
    <t>PEDRA  (m³)</t>
  </si>
  <si>
    <t>VOLUME DEMOLIÇÃO (m³)</t>
  </si>
  <si>
    <t>PLANILHAS DA DRENAGEM</t>
  </si>
  <si>
    <t>PLANILHAS DO RECAPEAMENTO</t>
  </si>
  <si>
    <t>PLANILHAS DA PAVIMENTAÇÃO</t>
  </si>
  <si>
    <t>COMPENSAÇÃO (PISTAxDEPÓSITOxPISTA) (m³)</t>
  </si>
  <si>
    <t>CARGA</t>
  </si>
  <si>
    <t>COMPENSAÇÃO                                 (DEPÓSITOxPISTA) (m³)</t>
  </si>
  <si>
    <t>SOLO (m³)</t>
  </si>
  <si>
    <t>SOLO: CORTE/ATERRO (m³)</t>
  </si>
  <si>
    <t>FILTRO PARA OCULTAR LINHAS VAZIAS</t>
  </si>
  <si>
    <t>BOTA-FORA SOLO (m³)</t>
  </si>
  <si>
    <t>BOTA-FORA ROCHA (m³)</t>
  </si>
  <si>
    <t>BOTA-DENTRO (DEPÓSITOxPISTA) (m³)</t>
  </si>
  <si>
    <t>ESCAVAÇÃO SOLO (m³)</t>
  </si>
  <si>
    <t>BOTA-DENTRO (PISTAxDEPÓSITOxPISTA) (m³)</t>
  </si>
  <si>
    <t>JAZIDA ATERRO (m³)</t>
  </si>
  <si>
    <t>TEMPO FIXO           CARGA/MANOBRA/        DESCARGA</t>
  </si>
  <si>
    <t>DEPÓSITO x PISTA (m³)</t>
  </si>
  <si>
    <t>CIMENTO (CONCRETO MAGRO 212,02kg/m³) (T)</t>
  </si>
  <si>
    <r>
      <t xml:space="preserve">TAXA DE REMOÇÃO H </t>
    </r>
    <r>
      <rPr>
        <b/>
        <sz val="8"/>
        <rFont val="Calibri"/>
        <family val="2"/>
      </rPr>
      <t>≥</t>
    </r>
    <r>
      <rPr>
        <b/>
        <sz val="8"/>
        <rFont val="Arial"/>
        <family val="2"/>
      </rPr>
      <t xml:space="preserve"> 3m E ROCHA (%)</t>
    </r>
  </si>
  <si>
    <t>TEMPO FIXO         CARGA/MANOBRA/ DESCARGA</t>
  </si>
  <si>
    <t>CASCALHO (m³)</t>
  </si>
  <si>
    <t>BRITA GRADUADA (m³)</t>
  </si>
  <si>
    <t>PMF (T) (2,346 T/m3)</t>
  </si>
  <si>
    <t>REVESTIMENTO - CBUQ</t>
  </si>
  <si>
    <t>REVESTIMENTO - PMF</t>
  </si>
  <si>
    <t>CBUQ (MISTURA) (T)</t>
  </si>
  <si>
    <t>PMF (MISTURA) (T)</t>
  </si>
  <si>
    <t>TRANSPORTE PARA DRENAGEM</t>
  </si>
  <si>
    <t>TRANSPORTE PARA RESTAURAÇÃO DO PAVIMENTO</t>
  </si>
  <si>
    <t>TRANSPORTE PARA IMPLANTAÇÃO DE PAVIMENTAÇÃO</t>
  </si>
  <si>
    <t>CORTE ALTURA (m)</t>
  </si>
  <si>
    <t>ATERRO ALTURA (m)</t>
  </si>
  <si>
    <t>CORTE ALTURA MÉDIA (m)</t>
  </si>
  <si>
    <t>ATERRO ALTURA MÉDIA (m)</t>
  </si>
  <si>
    <t>ROSA falta espessura da base</t>
  </si>
  <si>
    <t>AREIA PAVER (m³) (0,065m³/m²)</t>
  </si>
  <si>
    <t>AREIA (m³) (0,161m³/t)</t>
  </si>
  <si>
    <t>CBUQ CAP 30-45 (m³)</t>
  </si>
  <si>
    <t>CBUQ CAP 50-70 (m³)</t>
  </si>
  <si>
    <t>CBUQ (p) CAP 60-85-E (m³)</t>
  </si>
  <si>
    <t>REVESTIMENTO - PMF                                   (2,346 T/m³)</t>
  </si>
  <si>
    <t>REVESTIMENTO - CBUQ                           (2,5548T/m³)</t>
  </si>
  <si>
    <r>
      <t>AREIA</t>
    </r>
    <r>
      <rPr>
        <b/>
        <sz val="8"/>
        <color rgb="FFFF0000"/>
        <rFont val="Arial"/>
        <family val="2"/>
      </rPr>
      <t xml:space="preserve"> </t>
    </r>
    <r>
      <rPr>
        <b/>
        <sz val="8"/>
        <rFont val="Arial"/>
        <family val="2"/>
      </rPr>
      <t>(m³)</t>
    </r>
  </si>
  <si>
    <r>
      <t>AREIA</t>
    </r>
    <r>
      <rPr>
        <b/>
        <sz val="8"/>
        <color rgb="FFFF0000"/>
        <rFont val="Arial"/>
        <family val="2"/>
      </rPr>
      <t xml:space="preserve"> (CBUQ)</t>
    </r>
    <r>
      <rPr>
        <b/>
        <sz val="8"/>
        <rFont val="Arial"/>
        <family val="2"/>
      </rPr>
      <t xml:space="preserve"> (m³)</t>
    </r>
  </si>
  <si>
    <r>
      <t>AREIA</t>
    </r>
    <r>
      <rPr>
        <b/>
        <sz val="8"/>
        <color rgb="FFFF0000"/>
        <rFont val="Arial"/>
        <family val="2"/>
      </rPr>
      <t xml:space="preserve"> (PMF)</t>
    </r>
    <r>
      <rPr>
        <b/>
        <sz val="8"/>
        <rFont val="Arial"/>
        <family val="2"/>
      </rPr>
      <t xml:space="preserve"> (m³)</t>
    </r>
  </si>
  <si>
    <r>
      <t xml:space="preserve">BRITA </t>
    </r>
    <r>
      <rPr>
        <b/>
        <sz val="8"/>
        <color rgb="FFFF0000"/>
        <rFont val="Arial"/>
        <family val="2"/>
      </rPr>
      <t>(CBUQ)</t>
    </r>
    <r>
      <rPr>
        <b/>
        <sz val="8"/>
        <rFont val="Arial"/>
        <family val="2"/>
      </rPr>
      <t xml:space="preserve"> (m³)</t>
    </r>
  </si>
  <si>
    <r>
      <t xml:space="preserve">BRITA </t>
    </r>
    <r>
      <rPr>
        <b/>
        <sz val="8"/>
        <color rgb="FFFF0000"/>
        <rFont val="Arial"/>
        <family val="2"/>
      </rPr>
      <t>(PMF)</t>
    </r>
    <r>
      <rPr>
        <b/>
        <sz val="8"/>
        <rFont val="Arial"/>
        <family val="2"/>
      </rPr>
      <t xml:space="preserve"> (m³)</t>
    </r>
  </si>
  <si>
    <r>
      <t xml:space="preserve">BRITA </t>
    </r>
    <r>
      <rPr>
        <b/>
        <sz val="8"/>
        <color rgb="FFFF0000"/>
        <rFont val="Arial"/>
        <family val="2"/>
      </rPr>
      <t>(TSD)</t>
    </r>
    <r>
      <rPr>
        <b/>
        <sz val="8"/>
        <rFont val="Arial"/>
        <family val="2"/>
      </rPr>
      <t xml:space="preserve"> (m³)</t>
    </r>
  </si>
  <si>
    <t>CAP 50/70 (T)</t>
  </si>
  <si>
    <t>EMULSÃO RM-1C (T)</t>
  </si>
  <si>
    <t>ASFALTO IMPRIMAÇÃO (T)</t>
  </si>
  <si>
    <t>ASFALTO IMPRIMAÇÃO (T) (0,0012T/m²)</t>
  </si>
  <si>
    <t>EMULSÃO RR-1C (T) (0,0005T/m²)</t>
  </si>
  <si>
    <t>EMULSÃO RR-1C (T)</t>
  </si>
  <si>
    <t>BASE E SUB-BASE COM MISTURA (m³)</t>
  </si>
  <si>
    <t>EMULSÃO RC-1C-E (T) (0,00194T/m²)</t>
  </si>
  <si>
    <t>EMULSÃO RC-1C-E (T) (0,0032T/m²)</t>
  </si>
  <si>
    <t>EMULSÃO RC-1C-E (T) (0,0039T/m²)</t>
  </si>
  <si>
    <t>EMULSÃO RC-1C-E (T)</t>
  </si>
  <si>
    <t>EMULSÃO RR-2C (T)</t>
  </si>
  <si>
    <t>EMULSÃO RR-2C (T) (0,0048T/m²)</t>
  </si>
  <si>
    <t>CAP 30-45 (T)</t>
  </si>
  <si>
    <t>CAP 50-70 (T)</t>
  </si>
  <si>
    <t>CAP 60-85-E (T)</t>
  </si>
  <si>
    <t>EMULSÃO RL-1C (T)</t>
  </si>
  <si>
    <t>PLANILHA DE QUANTIDADES DE SERVIÇOS DE RECAPEAMENTO ASFÁLTICO - PROJETO DE ENGENHARIA</t>
  </si>
  <si>
    <t>CAPA SELANTE PARA AGULHAMENTO NA BASE</t>
  </si>
  <si>
    <t>BRITA (m³) (0,006m³/m²)</t>
  </si>
  <si>
    <t>EMULSÃO RR-2C (T) (0,001T/m²)</t>
  </si>
  <si>
    <r>
      <t>AREIA</t>
    </r>
    <r>
      <rPr>
        <b/>
        <sz val="8"/>
        <color rgb="FFFF0000"/>
        <rFont val="Arial"/>
        <family val="2"/>
      </rPr>
      <t xml:space="preserve"> (TSD)</t>
    </r>
    <r>
      <rPr>
        <b/>
        <sz val="8"/>
        <rFont val="Arial"/>
        <family val="2"/>
      </rPr>
      <t xml:space="preserve"> (m³)</t>
    </r>
  </si>
  <si>
    <t>AGULHAMENTO BASE</t>
  </si>
  <si>
    <t>CIMENTO (%)</t>
  </si>
  <si>
    <t>0% ou 4% ou 6% ou 8%</t>
  </si>
  <si>
    <t>ENTULHO EMPOLADO (m³)</t>
  </si>
  <si>
    <t>REVESTIMENTO -TSD                                            COM                                        CAPA SELANTE</t>
  </si>
  <si>
    <t>REVESTIMENTO -TSD                                            COM CAPA SELANTE</t>
  </si>
  <si>
    <t>ÁREA (m²) (A)</t>
  </si>
  <si>
    <t>ORNAMENTAL</t>
  </si>
  <si>
    <t>PALMEIRA</t>
  </si>
  <si>
    <t>TUBO DE AÇO (m)</t>
  </si>
  <si>
    <t>DN 50mm (2")</t>
  </si>
  <si>
    <t>DN 40mm (1 1/2")</t>
  </si>
  <si>
    <t>DEFENSA METÁLICA (m)</t>
  </si>
  <si>
    <t>SIMLES</t>
  </si>
  <si>
    <t>chapa 4x</t>
  </si>
  <si>
    <t>TUBO AÇO (T)</t>
  </si>
  <si>
    <t>DEFENSA METÁLICA (T)</t>
  </si>
  <si>
    <t>ÁRVORE (T)</t>
  </si>
  <si>
    <t>PEÇA PISOGRAMA (T)</t>
  </si>
  <si>
    <t>SIMPLES (19,36kg/m)</t>
  </si>
  <si>
    <t>DUPLA (33,18kg/m)</t>
  </si>
  <si>
    <t>TRANSPORTE PARA SERVIÇOS COMPLEMENTARES</t>
  </si>
  <si>
    <t>TIPO GH040 Ø100mm</t>
  </si>
  <si>
    <t>TIPO GH100 Ø100mm</t>
  </si>
  <si>
    <t>TIPO GH150 Ø100mm</t>
  </si>
  <si>
    <t>TIPO FH0100 Ø 100mm</t>
  </si>
  <si>
    <t>TIPO FH0150 Ø 150mm</t>
  </si>
  <si>
    <t>PROFUNDIDADE MÉDIA (m)</t>
  </si>
  <si>
    <t>DRENO FRANCÊS (m)</t>
  </si>
  <si>
    <t>SOLO (m)</t>
  </si>
  <si>
    <t>TUBO Ø 150mm (m)</t>
  </si>
  <si>
    <t>SOLO INSERVÍVEL (%)</t>
  </si>
  <si>
    <t>EXTENSÃO</t>
  </si>
  <si>
    <t>OBRA (m)</t>
  </si>
  <si>
    <t>TUBO Ø 100mm (m)</t>
  </si>
  <si>
    <t xml:space="preserve">ALTURAS </t>
  </si>
  <si>
    <t>VOLUME DO REATERRO (m³)</t>
  </si>
  <si>
    <t>DRENO PROFUNDO TIPO</t>
  </si>
  <si>
    <t>DRENO PROFUNDO ESPECIAL</t>
  </si>
  <si>
    <t>CEGO (m)</t>
  </si>
  <si>
    <t>ESCORAMENTO DE VALA</t>
  </si>
  <si>
    <t>LF/0015</t>
  </si>
  <si>
    <t>LF/0025</t>
  </si>
  <si>
    <t>LF/0035</t>
  </si>
  <si>
    <t>BRITA DO DRENO</t>
  </si>
  <si>
    <t>TALUDE DE ESCAVAÇÃO SOLO 1:(V)</t>
  </si>
  <si>
    <t>BASE DA SEÇÃO DE BRITA (m)</t>
  </si>
  <si>
    <t>ALTURA DA SEÇÃO DE  BRITA (m)</t>
  </si>
  <si>
    <t>TOPO DA SEÇÃO DE BRITA (m)</t>
  </si>
  <si>
    <t>ATERRO VOLUME EMPOLADO (25%) (m³)</t>
  </si>
  <si>
    <t>SOLO INSERVÍVEL (EMOPLADO 25%)  (m³)</t>
  </si>
  <si>
    <t>FÔRMA DE MADEIRA PARA DRENO</t>
  </si>
  <si>
    <r>
      <t xml:space="preserve">RETRO ESCAVADEIRA (B </t>
    </r>
    <r>
      <rPr>
        <b/>
        <sz val="8"/>
        <rFont val="Calibri"/>
        <family val="2"/>
      </rPr>
      <t xml:space="preserve">≥ </t>
    </r>
    <r>
      <rPr>
        <b/>
        <sz val="8"/>
        <rFont val="Arial"/>
        <family val="2"/>
      </rPr>
      <t>0,40m)</t>
    </r>
  </si>
  <si>
    <t>MINIESCAVADEIRA (B &lt; 0,40m)</t>
  </si>
  <si>
    <t>ROCHA (EMPOLADO 40%) (m³)</t>
  </si>
  <si>
    <t>TOPO ROCHA (TALUDE 1:10)</t>
  </si>
  <si>
    <t>MATERIAL REAPROVEITÁVEL (m³)</t>
  </si>
  <si>
    <t>DESTINO DA TERRAPLENAGEM</t>
  </si>
  <si>
    <t>ROCHA (EMPOLADO 40%) OU                                                                                                 SUBSTITUIÇÃO PARA ATERRO HIDRÁULICO</t>
  </si>
  <si>
    <t>TUBO PEAD (T)</t>
  </si>
  <si>
    <t>tela</t>
  </si>
  <si>
    <t>TRANSPORTE PARA DRENAGEM PROFUNDA</t>
  </si>
  <si>
    <t>EXTENSÃO DO EIXO (m)</t>
  </si>
  <si>
    <t>CANTEIRO CENTRAL</t>
  </si>
  <si>
    <t>CANTEIRO CENTRAL (SEMI LARGURA)</t>
  </si>
  <si>
    <t>PISTA + ESTACIONAMENTO</t>
  </si>
  <si>
    <t xml:space="preserve">LARGURA (m) </t>
  </si>
  <si>
    <t>DEMOLIÇÃO DE CONCRETO (un)</t>
  </si>
  <si>
    <t>PASSEIO - CALÇADA                                       LINEAR</t>
  </si>
  <si>
    <t>RAMPA</t>
  </si>
  <si>
    <t>ACESSO VEÍCULO EM CONCRETO ARMADO</t>
  </si>
  <si>
    <t>RAMPA NOVA (m²)</t>
  </si>
  <si>
    <t>RAMPA REFORMA (m²)</t>
  </si>
  <si>
    <t>CONCRETO ARMADO</t>
  </si>
  <si>
    <t>TELA DE AÇO SOLDADA (3,11kg/m²) (kg)</t>
  </si>
  <si>
    <t>DIRECIONAL</t>
  </si>
  <si>
    <t>PISO TÁTIL DIRECIONAL (m)</t>
  </si>
  <si>
    <t>PISO TÁTIL ALERTA (m)</t>
  </si>
  <si>
    <t>ALERTA</t>
  </si>
  <si>
    <t>ÁREA DE IMPLANTAÇÃO DE PASSEIO EM CONCRETO</t>
  </si>
  <si>
    <t>ACESSO VEÍCULO</t>
  </si>
  <si>
    <t>ÁREA PISO TÁTIL (m²)</t>
  </si>
  <si>
    <t>ÁREA ACESSO (m²)</t>
  </si>
  <si>
    <t>VOLUME (EMPOLADO 25%) (m³)</t>
  </si>
  <si>
    <t>ATERRO DE PASSEIO</t>
  </si>
  <si>
    <t>PERÍMETRO DE CORTE (m)</t>
  </si>
  <si>
    <t>AVULSOS</t>
  </si>
  <si>
    <t>RAMPAS E ACESSOS</t>
  </si>
  <si>
    <t>DEMOLIÇÃO DE CONCRETO SIMPLES</t>
  </si>
  <si>
    <t>AVULSO</t>
  </si>
  <si>
    <t>PISO TÁTIL                                                                                                    AVULSO (m)</t>
  </si>
  <si>
    <t>VOLUME DEMOLIÇÃO TOTAL (m³)</t>
  </si>
  <si>
    <t>DEMOLIÇÃO DE CONCRETO ARMADO</t>
  </si>
  <si>
    <t>DEMOLIÇÃO DE PISO EM LADRILHO</t>
  </si>
  <si>
    <t>TUBO PVC ÁGUA PLUVIAL, DN 100mm</t>
  </si>
  <si>
    <t>TAMPÃO FºFº 200x200mm (un)</t>
  </si>
  <si>
    <t>TAMPÃO FºFº 300x300mm (un)</t>
  </si>
  <si>
    <t>TAMPÃO FºFº 300x400mm (un)</t>
  </si>
  <si>
    <t>TAMPÃO FºFº 400x400mm (un)</t>
  </si>
  <si>
    <t>TAMPÃO FºFº 400x500mm (un)</t>
  </si>
  <si>
    <t>TAMPÃO FºFº 400x600mm (un)</t>
  </si>
  <si>
    <t>TAMPÃO FºFº 550x1100mm (un)</t>
  </si>
  <si>
    <t>CONCRETO 15MPa (0,50m³/un)</t>
  </si>
  <si>
    <t>CHAPISCO (m²)</t>
  </si>
  <si>
    <t>REBOCO (m²)</t>
  </si>
  <si>
    <t>TAMPÃO TIL PVC DN 100mm (un)</t>
  </si>
  <si>
    <t>INSTALAÇÕES ESPECIAIS NO PASSEIO</t>
  </si>
  <si>
    <t>CONCRETO (8cm) (m³)</t>
  </si>
  <si>
    <t>TRANSPORTE PARA ACESSIBILIDADE / PASSEIO</t>
  </si>
  <si>
    <t>PISO TÁTIL (T)</t>
  </si>
  <si>
    <t>GUARDA CORPO (un)</t>
  </si>
  <si>
    <t>TAMPÃO FºFº (T)</t>
  </si>
  <si>
    <t>TEMPO FIXO           CARGA / MANOBRA/        DESCARGA</t>
  </si>
  <si>
    <t>ENTULHO (EMPOLADO 25%) (m³)</t>
  </si>
  <si>
    <t>TAMPÃO E GRELHA (T)</t>
  </si>
  <si>
    <t>TAMPA DE CONCRETO ARMADO (m²)</t>
  </si>
  <si>
    <t>calçada</t>
  </si>
  <si>
    <t>A305700</t>
  </si>
  <si>
    <t>A305750</t>
  </si>
  <si>
    <t>A305800</t>
  </si>
  <si>
    <t>A305850</t>
  </si>
  <si>
    <t>A305900</t>
  </si>
  <si>
    <t>areia</t>
  </si>
  <si>
    <t>pedra</t>
  </si>
  <si>
    <t>vergalhao</t>
  </si>
  <si>
    <t>CONCRETO 15 MPa (m³)</t>
  </si>
  <si>
    <t>ALVENARIA (m³)</t>
  </si>
  <si>
    <t>argamassa 1:2:8</t>
  </si>
  <si>
    <t>cal hidratada</t>
  </si>
  <si>
    <t>TIPO RT-01</t>
  </si>
  <si>
    <t>TIPO RT-02</t>
  </si>
  <si>
    <t>TIPO RT-03</t>
  </si>
  <si>
    <t>MEIO-FIO SIMPLES (m)</t>
  </si>
  <si>
    <t>TIPO RT-04</t>
  </si>
  <si>
    <t>TIPO RE-01</t>
  </si>
  <si>
    <t>TIPO RE-02</t>
  </si>
  <si>
    <t>42.21</t>
  </si>
  <si>
    <t>TIPO RE-03</t>
  </si>
  <si>
    <t>TIPO RE-04</t>
  </si>
  <si>
    <t>TIPO RA-01</t>
  </si>
  <si>
    <t>TIPO RA-02</t>
  </si>
  <si>
    <t>TIPO RA-03</t>
  </si>
  <si>
    <t>PAVIMENTO (m²)</t>
  </si>
  <si>
    <t>LIMPEZA MECANIZADA                                                                            DA VIA</t>
  </si>
  <si>
    <t>DEMOLIÇÃO</t>
  </si>
  <si>
    <t>Se laranja extensão: digitar extensão</t>
  </si>
  <si>
    <r>
      <t xml:space="preserve">RAMAL PEAD Ø 0,50 (m) </t>
    </r>
    <r>
      <rPr>
        <b/>
        <sz val="10"/>
        <color rgb="FFFF0000"/>
        <rFont val="Arial"/>
        <family val="2"/>
      </rPr>
      <t>SOLO</t>
    </r>
    <r>
      <rPr>
        <b/>
        <sz val="10"/>
        <rFont val="Arial"/>
        <family val="2"/>
      </rPr>
      <t xml:space="preserve"> baixa inter.</t>
    </r>
  </si>
  <si>
    <r>
      <t xml:space="preserve">RAMAL PEAD Ø 0,50 (m) </t>
    </r>
    <r>
      <rPr>
        <b/>
        <sz val="10"/>
        <color rgb="FFFF0000"/>
        <rFont val="Arial"/>
        <family val="2"/>
      </rPr>
      <t>SOLO</t>
    </r>
    <r>
      <rPr>
        <b/>
        <sz val="10"/>
        <rFont val="Arial"/>
        <family val="2"/>
      </rPr>
      <t xml:space="preserve"> alta inter.</t>
    </r>
  </si>
  <si>
    <r>
      <t xml:space="preserve">RAMAL PEAD Ø 0,50 (m) </t>
    </r>
    <r>
      <rPr>
        <b/>
        <sz val="10"/>
        <color rgb="FFFF0000"/>
        <rFont val="Arial"/>
        <family val="2"/>
      </rPr>
      <t>ROCHA</t>
    </r>
  </si>
  <si>
    <t>0,50 (bigode)</t>
  </si>
  <si>
    <r>
      <t>PAVIMENTO (m²) (h</t>
    </r>
    <r>
      <rPr>
        <b/>
        <sz val="8"/>
        <rFont val="Calibri"/>
        <family val="2"/>
      </rPr>
      <t>≤</t>
    </r>
    <r>
      <rPr>
        <b/>
        <sz val="8"/>
        <rFont val="Arial"/>
        <family val="2"/>
      </rPr>
      <t>10cm)</t>
    </r>
  </si>
  <si>
    <t>TIPO RE-05</t>
  </si>
  <si>
    <t>TIPO xx</t>
  </si>
  <si>
    <t>TIPO RE-06</t>
  </si>
  <si>
    <t>TRECHO "A"</t>
  </si>
  <si>
    <t>TRECHO "B"</t>
  </si>
  <si>
    <t>PASSEIO - CALÇADA                                       CANTEIRO CENTRAL</t>
  </si>
  <si>
    <t>PASSEIO - CALÇADA</t>
  </si>
  <si>
    <t>PASSEIO LINEAR</t>
  </si>
  <si>
    <t>LARGURA (m/un)</t>
  </si>
  <si>
    <t>EXTENSÃO (m/un)</t>
  </si>
  <si>
    <t>PISO TÁTIL ALERTA (m/un)</t>
  </si>
  <si>
    <t>LINEAR E CANTEIRO (m²)</t>
  </si>
  <si>
    <t>LASTRO DE BRITA (m³)</t>
  </si>
  <si>
    <t>LASTRO DE BRITA (m³) (h=5cm)</t>
  </si>
  <si>
    <r>
      <t>ALTURA DO LASTRO DE BRITA</t>
    </r>
    <r>
      <rPr>
        <b/>
        <sz val="8"/>
        <color rgb="FFFF0000"/>
        <rFont val="Arial"/>
        <family val="2"/>
      </rPr>
      <t xml:space="preserve"> (cm)</t>
    </r>
  </si>
  <si>
    <t>FORMA (m²)</t>
  </si>
  <si>
    <t>FÔRMA (T)</t>
  </si>
  <si>
    <t>CAL HIDRATADA (T)</t>
  </si>
  <si>
    <t>EXTENSÃO DE EXECUÇÃO (m)</t>
  </si>
  <si>
    <t>EXTENSÃO DAS DESCONTINUIDADES (m)</t>
  </si>
  <si>
    <t>EXTENSÃO DA OBRA (m)</t>
  </si>
  <si>
    <r>
      <t>RETANGULAR (</t>
    </r>
    <r>
      <rPr>
        <b/>
        <sz val="8"/>
        <color rgb="FFFF0000"/>
        <rFont val="Arial"/>
        <family val="2"/>
      </rPr>
      <t>R</t>
    </r>
    <r>
      <rPr>
        <b/>
        <sz val="8"/>
        <rFont val="Arial"/>
        <family val="2"/>
      </rPr>
      <t>) OU PAV-S (</t>
    </r>
    <r>
      <rPr>
        <b/>
        <sz val="8"/>
        <color rgb="FFFF0000"/>
        <rFont val="Arial"/>
        <family val="2"/>
      </rPr>
      <t>S</t>
    </r>
    <r>
      <rPr>
        <b/>
        <sz val="8"/>
        <rFont val="Arial"/>
        <family val="2"/>
      </rPr>
      <t>)</t>
    </r>
  </si>
  <si>
    <t>PAVER BLOCO DE CONCRETO</t>
  </si>
  <si>
    <t>COLCHÃO DE AREIA (m³) (0,0633 m³/m²)</t>
  </si>
  <si>
    <t>TERRAPLENAGEM</t>
  </si>
  <si>
    <t>LARGURA PLATAFORMA (m)</t>
  </si>
  <si>
    <t>REGULARIZAÇÃO E COMPATAÇÃO DO SUBLEITO (m²)</t>
  </si>
  <si>
    <t>PISO DE CONCRETO                         20 MPa</t>
  </si>
  <si>
    <t>LARGURA PISTA (m)</t>
  </si>
  <si>
    <t>DISPOSITIVOS COMPLEMENTARES DE CONFINAMENTO</t>
  </si>
  <si>
    <t>0;4;6 Ou 8%</t>
  </si>
  <si>
    <t>TRANSPORTE PARA CICLOVIA</t>
  </si>
  <si>
    <t>BRITA CONCRETO (m³)</t>
  </si>
  <si>
    <t>ÁREA (m²) (140kg/m²)</t>
  </si>
  <si>
    <r>
      <t>AREIA COLCHÃO</t>
    </r>
    <r>
      <rPr>
        <b/>
        <sz val="8"/>
        <color rgb="FFFF0000"/>
        <rFont val="Arial"/>
        <family val="2"/>
      </rPr>
      <t xml:space="preserve"> </t>
    </r>
    <r>
      <rPr>
        <b/>
        <sz val="8"/>
        <rFont val="Arial"/>
        <family val="2"/>
      </rPr>
      <t>(m³)</t>
    </r>
  </si>
  <si>
    <r>
      <t>AREIA CONCRETO</t>
    </r>
    <r>
      <rPr>
        <b/>
        <sz val="8"/>
        <color rgb="FFFF0000"/>
        <rFont val="Arial"/>
        <family val="2"/>
      </rPr>
      <t xml:space="preserve"> </t>
    </r>
    <r>
      <rPr>
        <b/>
        <sz val="8"/>
        <rFont val="Arial"/>
        <family val="2"/>
      </rPr>
      <t>(m³)</t>
    </r>
  </si>
  <si>
    <t>BRITA BASE (m³)</t>
  </si>
  <si>
    <t>MANUAL (EMPOLADO 25%)</t>
  </si>
  <si>
    <t>MECANIZADA (EMPOLADO 25%)</t>
  </si>
  <si>
    <r>
      <t xml:space="preserve">CARGA MAN. </t>
    </r>
    <r>
      <rPr>
        <b/>
        <sz val="8"/>
        <color rgb="FFFF0000"/>
        <rFont val="Arial"/>
        <family val="2"/>
      </rPr>
      <t>(1)</t>
    </r>
    <r>
      <rPr>
        <b/>
        <sz val="8"/>
        <rFont val="Arial"/>
        <family val="2"/>
      </rPr>
      <t xml:space="preserve"> MECÂN. </t>
    </r>
    <r>
      <rPr>
        <b/>
        <sz val="8"/>
        <color rgb="FFFF0000"/>
        <rFont val="Arial"/>
        <family val="2"/>
      </rPr>
      <t>(2)</t>
    </r>
  </si>
  <si>
    <r>
      <t xml:space="preserve">MANUAL (GEOMÉTRICO) </t>
    </r>
    <r>
      <rPr>
        <b/>
        <sz val="8"/>
        <color rgb="FFFF0000"/>
        <rFont val="Arial"/>
        <family val="2"/>
      </rPr>
      <t>(1)</t>
    </r>
  </si>
  <si>
    <r>
      <t xml:space="preserve">MECANIZADA (GEOMÉTRICO) </t>
    </r>
    <r>
      <rPr>
        <b/>
        <sz val="8"/>
        <color rgb="FFFF0000"/>
        <rFont val="Arial"/>
        <family val="2"/>
      </rPr>
      <t>(2)</t>
    </r>
  </si>
  <si>
    <t>DEMOLIÇÃO MECANIZADA DE PISO EM LADRILHO</t>
  </si>
  <si>
    <t>DEMOLIÇÃO MECANIZADA DE PAVIMENTO ASFÁLTICO</t>
  </si>
  <si>
    <t>VOLUME DEMOLIÇÃO DE CONCRETO (m³)</t>
  </si>
  <si>
    <t>PLANILHA DA CICLOVIA</t>
  </si>
  <si>
    <r>
      <t xml:space="preserve">0,20m </t>
    </r>
    <r>
      <rPr>
        <sz val="8"/>
        <rFont val="Calibri"/>
        <family val="2"/>
      </rPr>
      <t>≤</t>
    </r>
    <r>
      <rPr>
        <sz val="8"/>
        <rFont val="Arial"/>
        <family val="2"/>
      </rPr>
      <t xml:space="preserve"> Ø &lt; 0,40m</t>
    </r>
  </si>
  <si>
    <r>
      <t xml:space="preserve">0,40m </t>
    </r>
    <r>
      <rPr>
        <sz val="8"/>
        <rFont val="Calibri"/>
        <family val="2"/>
      </rPr>
      <t>≤</t>
    </r>
    <r>
      <rPr>
        <sz val="8"/>
        <rFont val="Arial"/>
        <family val="2"/>
      </rPr>
      <t xml:space="preserve"> Ø &lt; 0,60m</t>
    </r>
  </si>
  <si>
    <r>
      <t xml:space="preserve">Ø </t>
    </r>
    <r>
      <rPr>
        <sz val="8"/>
        <rFont val="Calibri"/>
        <family val="2"/>
      </rPr>
      <t>≥</t>
    </r>
    <r>
      <rPr>
        <sz val="8"/>
        <rFont val="Arial"/>
        <family val="2"/>
      </rPr>
      <t xml:space="preserve"> 0,60m</t>
    </r>
  </si>
  <si>
    <t>DESMATAMENTO / LIMPEZA / SUPRESSÃO</t>
  </si>
  <si>
    <t>0,20m ≤ Ø &lt; 0,40m</t>
  </si>
  <si>
    <t>0,40m ≤ Ø &lt; 0,60m</t>
  </si>
  <si>
    <t>Ø ≥ 0,60m</t>
  </si>
  <si>
    <t>SUPRESSÃO DE MASSA ARBÓREA</t>
  </si>
  <si>
    <t>ESCRITÓRIO (2,30m x 6,00m), COM 1 WC</t>
  </si>
  <si>
    <t>ALMOXARIFADO (2,30m x 6,00m), SEM WC</t>
  </si>
  <si>
    <t>SANITÁRIO (2,30m x 4,30m)</t>
  </si>
  <si>
    <t>ESCRITÓRIO, COM WC</t>
  </si>
  <si>
    <t>ALMOXARIFADO, SEM WC</t>
  </si>
  <si>
    <t>SANITÁRIO</t>
  </si>
  <si>
    <t>OK</t>
  </si>
  <si>
    <t>L ≤ 5 km = 1 un
5 km &lt; L ≤ 10 km = 2un
L &gt; 10 km = 3 un</t>
  </si>
  <si>
    <t>L ≤ 10 km = 1 un
10 km &lt; L ≤ 15 km = 2un
L &gt; 15 km = 3 un</t>
  </si>
  <si>
    <t>SP/0030</t>
  </si>
  <si>
    <t>SC/0110</t>
  </si>
  <si>
    <t>SC/0120</t>
  </si>
  <si>
    <t>GUARITA</t>
  </si>
  <si>
    <t>ALTURA / ESPESSURA (m)</t>
  </si>
  <si>
    <t>PASSEIO (m)</t>
  </si>
  <si>
    <t>CICLOVIA (m)</t>
  </si>
  <si>
    <t>1 PLACAS DE 1m² PARA CADA 150m DE EXTENSÃO DA OBRA</t>
  </si>
  <si>
    <t>EXTENSÕES PREVISTAS PARA OS SERVIÇOS PRELIMINARES DA DRENAGEM, NO DRENO PROFUNDO, PASSEIO E CICLOVIA; PAVIMENTAÇÃO E RECAPEAMENTO (20%)</t>
  </si>
  <si>
    <t>TELA CERQUITE (m)</t>
  </si>
  <si>
    <t>01 un DE INVESTIGAÇÃO A CADA TRECHO DE 100m DE DRENAGEM</t>
  </si>
  <si>
    <t>02 un DE REPARO PARA CADA TRECHO DE DRENAGEM</t>
  </si>
  <si>
    <t>CARGA DE BOTA-FORA DA LIMPEZA DO ACAMPAMENTO (m³)</t>
  </si>
  <si>
    <t>RECOMPOSIÇÃO DAS VIAS NÃO PAVIMENTADAS (m²)</t>
  </si>
  <si>
    <t>REGULARIZAÇÃO DA SUPERFÍCIE DOS TRECHOS DE DRENAGEM APÓS TERRAPLENAGEM FINALIZADA</t>
  </si>
  <si>
    <t>SP/0001</t>
  </si>
  <si>
    <t>SP/0025</t>
  </si>
  <si>
    <t>REMOÇÕES, DEMOLIÇÕES E SUPRESSÕES</t>
  </si>
  <si>
    <t>SR/0010</t>
  </si>
  <si>
    <t>SR/0020</t>
  </si>
  <si>
    <t>SR/0030</t>
  </si>
  <si>
    <t>SR/0040</t>
  </si>
  <si>
    <t>SR/0050</t>
  </si>
  <si>
    <t>SR/0060</t>
  </si>
  <si>
    <t>SR/0070</t>
  </si>
  <si>
    <t>SR/0080</t>
  </si>
  <si>
    <t>SR/0090</t>
  </si>
  <si>
    <t>SR/0100</t>
  </si>
  <si>
    <t>DEMOLIÇÃO DE BOCA DE LOBO (un)</t>
  </si>
  <si>
    <t>DEMOLIÇÃO DE POÇO DE VISITA (un)</t>
  </si>
  <si>
    <r>
      <t>DEPÓSITO PROVISÓRIO</t>
    </r>
    <r>
      <rPr>
        <b/>
        <sz val="8"/>
        <color rgb="FFFF0000"/>
        <rFont val="Arial"/>
        <family val="2"/>
      </rPr>
      <t xml:space="preserve"> (SIM)</t>
    </r>
  </si>
  <si>
    <t>PRODUTO</t>
  </si>
  <si>
    <r>
      <t>DESTINO RECICLAGEM</t>
    </r>
    <r>
      <rPr>
        <b/>
        <sz val="8"/>
        <color rgb="FFFF0000"/>
        <rFont val="Arial"/>
        <family val="2"/>
      </rPr>
      <t xml:space="preserve"> (SIM)</t>
    </r>
  </si>
  <si>
    <r>
      <t>VOLUME DE REMOÇÃO (m³) CARGA MECÂN.</t>
    </r>
    <r>
      <rPr>
        <b/>
        <sz val="8"/>
        <color rgb="FFFF0000"/>
        <rFont val="Arial"/>
        <family val="2"/>
      </rPr>
      <t xml:space="preserve"> (2)</t>
    </r>
  </si>
  <si>
    <t>VOLUME RECLICLAREM (m³)</t>
  </si>
  <si>
    <t>VOLUME TOTAL (m³)</t>
  </si>
  <si>
    <t>VOLUME EXPURGO (m³)</t>
  </si>
  <si>
    <t>VOLUME DESTIMO DEPÓSITO PROVISÓRIO (m³)</t>
  </si>
  <si>
    <t>Depósito provisório</t>
  </si>
  <si>
    <t>Demolicao!A1</t>
  </si>
  <si>
    <t>VOLUME DESTINO BOTA-FORA (m³)</t>
  </si>
  <si>
    <t>DR/0040</t>
  </si>
  <si>
    <t>DR/0045</t>
  </si>
  <si>
    <t>DR/0020</t>
  </si>
  <si>
    <t>DR/0032</t>
  </si>
  <si>
    <t>BRITA (CONCRETO MAGRO 0,578m³/m³)</t>
  </si>
  <si>
    <t>BRITA (CONCRETO MAGRO) (m³)</t>
  </si>
  <si>
    <t>BRITA (LASTRO DE BRITA+RACHÃO) (m³)</t>
  </si>
  <si>
    <t>AREIA (ATERRO HIDRÁULICO+LASTRO)  (m³)</t>
  </si>
  <si>
    <t>AREIA (CONCRETO MAGRO 0,827m³/m³) (m³)</t>
  </si>
  <si>
    <t>$O$3</t>
  </si>
  <si>
    <t>$O$4</t>
  </si>
  <si>
    <t>$O$5</t>
  </si>
  <si>
    <t>$O$6</t>
  </si>
  <si>
    <t>$O$7</t>
  </si>
  <si>
    <t>$O$8</t>
  </si>
  <si>
    <t>$O$9</t>
  </si>
  <si>
    <t>$O$10</t>
  </si>
  <si>
    <t>$O$11</t>
  </si>
  <si>
    <t>$O$12</t>
  </si>
  <si>
    <t>$O$13</t>
  </si>
  <si>
    <t>$O$14</t>
  </si>
  <si>
    <t>$O$15</t>
  </si>
  <si>
    <t>$O$16</t>
  </si>
  <si>
    <t>$O$17</t>
  </si>
  <si>
    <t>$O$18</t>
  </si>
  <si>
    <t>$O$19</t>
  </si>
  <si>
    <t>$O$20</t>
  </si>
  <si>
    <t>$O$21</t>
  </si>
  <si>
    <t>$O$22</t>
  </si>
  <si>
    <t>$O$23</t>
  </si>
  <si>
    <t>DMT  (km) MÉDIA</t>
  </si>
  <si>
    <t>LOCAL</t>
  </si>
  <si>
    <t>ORIGEM 2</t>
  </si>
  <si>
    <t>ORIGEM 3</t>
  </si>
  <si>
    <t>ORIGEM 4</t>
  </si>
  <si>
    <t>ORIGEM 5</t>
  </si>
  <si>
    <t>DR/0700</t>
  </si>
  <si>
    <t>DR/0735</t>
  </si>
  <si>
    <t>Ø0,50m</t>
  </si>
  <si>
    <t>Ø0,60m</t>
  </si>
  <si>
    <t>Ø0,75m</t>
  </si>
  <si>
    <t>Ø0,80m</t>
  </si>
  <si>
    <t>Ø0,90m</t>
  </si>
  <si>
    <t>Ø1,00m</t>
  </si>
  <si>
    <t>Ø1,20m</t>
  </si>
  <si>
    <t>Ø1,50m</t>
  </si>
  <si>
    <t>CONCERTO</t>
  </si>
  <si>
    <t>DR/0070</t>
  </si>
  <si>
    <t>DR/0080</t>
  </si>
  <si>
    <r>
      <t xml:space="preserve">Ø 0,50m </t>
    </r>
    <r>
      <rPr>
        <b/>
        <sz val="8"/>
        <color rgb="FFFF0000"/>
        <rFont val="Arial"/>
        <family val="2"/>
      </rPr>
      <t>(SOLO)</t>
    </r>
    <r>
      <rPr>
        <b/>
        <sz val="8"/>
        <rFont val="Arial"/>
        <family val="2"/>
      </rPr>
      <t xml:space="preserve"> BAIXA INTERFERÊNCIA</t>
    </r>
  </si>
  <si>
    <r>
      <t>Ø 0,50m</t>
    </r>
    <r>
      <rPr>
        <b/>
        <sz val="8"/>
        <color rgb="FFFF0000"/>
        <rFont val="Arial"/>
        <family val="2"/>
      </rPr>
      <t xml:space="preserve"> (SOLO) </t>
    </r>
    <r>
      <rPr>
        <b/>
        <sz val="8"/>
        <rFont val="Arial"/>
        <family val="2"/>
      </rPr>
      <t>ALTA INTERFERÊNCIA</t>
    </r>
  </si>
  <si>
    <r>
      <t xml:space="preserve">Ø 0,50m </t>
    </r>
    <r>
      <rPr>
        <b/>
        <sz val="8"/>
        <color rgb="FFFF0000"/>
        <rFont val="Arial"/>
        <family val="2"/>
      </rPr>
      <t>(ROCHA)</t>
    </r>
    <r>
      <rPr>
        <b/>
        <sz val="8"/>
        <rFont val="Arial"/>
        <family val="2"/>
      </rPr>
      <t xml:space="preserve"> ALTA INTERFERÊNCIA</t>
    </r>
  </si>
  <si>
    <t>DR/0135</t>
  </si>
  <si>
    <t>DR/0140</t>
  </si>
  <si>
    <t>DR/0175</t>
  </si>
  <si>
    <t>DR/0180</t>
  </si>
  <si>
    <t>DR/0185</t>
  </si>
  <si>
    <t>DR/0195</t>
  </si>
  <si>
    <t>DR/0210</t>
  </si>
  <si>
    <t>DR/0255</t>
  </si>
  <si>
    <t>DR/0265</t>
  </si>
  <si>
    <t>DR/0275</t>
  </si>
  <si>
    <t>DR/0285</t>
  </si>
  <si>
    <t>DR/0305</t>
  </si>
  <si>
    <t>DR/0310</t>
  </si>
  <si>
    <t>DR/0315</t>
  </si>
  <si>
    <t>DR/0320</t>
  </si>
  <si>
    <t>DR/0325</t>
  </si>
  <si>
    <t>DR/0335</t>
  </si>
  <si>
    <t>DR/0340</t>
  </si>
  <si>
    <t>DR/0345</t>
  </si>
  <si>
    <t>DR/0350</t>
  </si>
  <si>
    <t>DR/0355</t>
  </si>
  <si>
    <t>DR/0365</t>
  </si>
  <si>
    <t>DR/0370</t>
  </si>
  <si>
    <t>DR/0385</t>
  </si>
  <si>
    <t>DR/0390</t>
  </si>
  <si>
    <t>RE/0045</t>
  </si>
  <si>
    <t>SARJETAS (m)</t>
  </si>
  <si>
    <t>SEÇÃO 330cm²</t>
  </si>
  <si>
    <t>AMERICANA 445cm²</t>
  </si>
  <si>
    <t>BRITA GRADUADA SIMPLES (EMPOLADA 46,67%) (m³)</t>
  </si>
  <si>
    <t>TRANSPORTE DE LIGANTE BETUMINOSO - EMULSÃO ASFÁLTICA</t>
  </si>
  <si>
    <t>TRANSPORTE DE LIGANTE BETUMINOSO - ASFALTO DILUIDO CM-30</t>
  </si>
  <si>
    <t>TRANSPORTE DE LIGANTE BETUMINOSO - CAP</t>
  </si>
  <si>
    <t>TRANSPORTE DE MISTURA ASFÁLTICA - PMF</t>
  </si>
  <si>
    <t>TRANSPORTE DE MISTURA ASFÁLTICA - CBUQ</t>
  </si>
  <si>
    <t>TRANSPORTE DE AREIA PARA USINA DE PMF</t>
  </si>
  <si>
    <t>TRANSPORTE DE AREIA PARA USINA DE CBUQ</t>
  </si>
  <si>
    <t>BICA CORRIDA (m³)</t>
  </si>
  <si>
    <t>BRITA PARA SOLO/BRITA (m³)</t>
  </si>
  <si>
    <t>CAP 50/70 OU 30/45 (T) (6% MISTURA)</t>
  </si>
  <si>
    <t>CAP 50/70 OU 30/45 (T)</t>
  </si>
  <si>
    <t>RE/0010</t>
  </si>
  <si>
    <t>RE/0015</t>
  </si>
  <si>
    <t>RE/0020</t>
  </si>
  <si>
    <t>RE/0025</t>
  </si>
  <si>
    <t>RE/0075</t>
  </si>
  <si>
    <t>RE/0085</t>
  </si>
  <si>
    <t>BICA CORRIDA EMPOLADA (37,5%)</t>
  </si>
  <si>
    <t>PA/0023</t>
  </si>
  <si>
    <t>PA/0055</t>
  </si>
  <si>
    <t>TRANSPORTE DE CIMENTO PARA RECICLAGEM DE PAVIMENTO</t>
  </si>
  <si>
    <t>$O$24</t>
  </si>
  <si>
    <t>BRITA Nº 1 (m³)</t>
  </si>
  <si>
    <t>PA/0045</t>
  </si>
  <si>
    <t>SINAPI</t>
  </si>
  <si>
    <t>DR/0395</t>
  </si>
  <si>
    <t>DR/0400</t>
  </si>
  <si>
    <t>PÓ DE PEDRA (m³)</t>
  </si>
  <si>
    <r>
      <t xml:space="preserve">BRITA </t>
    </r>
    <r>
      <rPr>
        <b/>
        <sz val="8"/>
        <color rgb="FFFF0000"/>
        <rFont val="Arial"/>
        <family val="2"/>
      </rPr>
      <t>(TSD+AGULHAMENTO)</t>
    </r>
    <r>
      <rPr>
        <b/>
        <sz val="8"/>
        <rFont val="Arial"/>
        <family val="2"/>
      </rPr>
      <t xml:space="preserve"> (m³)</t>
    </r>
  </si>
  <si>
    <t>TRANSPORTE DE AREIA TSD</t>
  </si>
  <si>
    <t>TRANSPORTE DE AREIA CBUQ</t>
  </si>
  <si>
    <t>TRANSPORTE DE AREIA PMF</t>
  </si>
  <si>
    <t>MICRORREVESTIMENTO (0,8cm)</t>
  </si>
  <si>
    <t>MICRORREVESTIMENTO (1,5cm)</t>
  </si>
  <si>
    <t>MICRORREVESTIMENTO (2,0cm)</t>
  </si>
  <si>
    <t>TRANSPORTE DE LIGANTE BETUMINOSO - EMULSÃO ASFÁLTICA - RL-1C</t>
  </si>
  <si>
    <t>TRANSPORTE DE PRODUTO DE FRESAGEM</t>
  </si>
  <si>
    <t>PA/0005</t>
  </si>
  <si>
    <t>TRANSPORTE DE MATERIAL SELECIONADO PARA COMPENSAÇÃO</t>
  </si>
  <si>
    <t>Depósito de expurgo SEM reciclagem (1)</t>
  </si>
  <si>
    <t>Depósito de bota-fora com reciclagem (2)</t>
  </si>
  <si>
    <t>Depósito de bota-fora com reciclagem (3)</t>
  </si>
  <si>
    <t>Depósito de bota-fora com reciclagem (4)</t>
  </si>
  <si>
    <t>TRANSPORTE DE BOTA-FORA - ROCHA</t>
  </si>
  <si>
    <t>TRANSPORTE DE BOTA-FORA - SOLO</t>
  </si>
  <si>
    <t>ARENOSO</t>
  </si>
  <si>
    <t>BOTA-FORA LIMPEZA (m³)</t>
  </si>
  <si>
    <t>TRANSPORTE DE BOTA-FORA - PRODUTO DA LIMPEZA</t>
  </si>
  <si>
    <t>SUB-BASE SOLO/CIMENTO (2%) (m³)</t>
  </si>
  <si>
    <t>SUB-BASE SOLO/CIMENTO (4%) (m³)</t>
  </si>
  <si>
    <t>SUB-BASE SOLO/CIMENTO (6%) (m³)</t>
  </si>
  <si>
    <t>0% ou 2% ou 4% ou 6% ou 8%</t>
  </si>
  <si>
    <t>SUB-BASE SOLO/CIMENTO (8%) (m³)</t>
  </si>
  <si>
    <t>SOLO PARA BASE (m³)</t>
  </si>
  <si>
    <t>TRANSPORTE DE AREIA PARA ATERRO / LASTRO</t>
  </si>
  <si>
    <t>TRANSPORTE DE SOLO SELECIONADO PARA COMPENSAÇÃO</t>
  </si>
  <si>
    <t>PEDRA - COLCHÃO (m³)</t>
  </si>
  <si>
    <t>TRANSPORTE DE MATERIAL DE JAZIDA DE SOLO</t>
  </si>
  <si>
    <t>TRANSPORTE DE CIMENTO PARA BASE SOLO/CIMENTO</t>
  </si>
  <si>
    <r>
      <t xml:space="preserve">AREIA </t>
    </r>
    <r>
      <rPr>
        <b/>
        <sz val="8"/>
        <color rgb="FFFF0000"/>
        <rFont val="Arial"/>
        <family val="2"/>
      </rPr>
      <t xml:space="preserve">(PAVER) </t>
    </r>
    <r>
      <rPr>
        <b/>
        <sz val="8"/>
        <rFont val="Arial"/>
        <family val="2"/>
      </rPr>
      <t>(m³)</t>
    </r>
  </si>
  <si>
    <t>TRANSPORTE DE AREIA PARA COLCHÃO DE PAVER</t>
  </si>
  <si>
    <t>SC/0035</t>
  </si>
  <si>
    <t>SC/0105</t>
  </si>
  <si>
    <t>SC/0090</t>
  </si>
  <si>
    <t>SC/0095</t>
  </si>
  <si>
    <t>SARJETA SIMPLES (m)</t>
  </si>
  <si>
    <t>SARJETA AMERICANA (m)</t>
  </si>
  <si>
    <t>ESMERALDA</t>
  </si>
  <si>
    <t>PLANILHA DE QUANTIDADES DE SERVIÇOS DE PAISAGISMO, PASSEIO, CALÇADA E ACESSIBILIDADE - PROJETO DE ENGENHARIA</t>
  </si>
  <si>
    <t>TRANSPORTE DE ARTEFATO DE CONCRETO - TUBO E ADUELA</t>
  </si>
  <si>
    <t>TRANSPORTE DE ARTEFATO DE CONCRETO - BLOCO DE CONCRETO TIPO PAVER</t>
  </si>
  <si>
    <t>TRANSPORTE DE ARTEFATO DE CONCRETO - BLOCO DE CONCRETO TIPO PISOGRAMA</t>
  </si>
  <si>
    <t>BLOCO PISOGRAMA (T)</t>
  </si>
  <si>
    <t>MENOR</t>
  </si>
  <si>
    <t>ESCAVAÇÃO DO TOPO DO REATERRO</t>
  </si>
  <si>
    <r>
      <t>BASE CASCALHO (</t>
    </r>
    <r>
      <rPr>
        <b/>
        <sz val="8"/>
        <color rgb="FFFF0000"/>
        <rFont val="Arial"/>
        <family val="2"/>
      </rPr>
      <t>SIM</t>
    </r>
    <r>
      <rPr>
        <b/>
        <sz val="8"/>
        <rFont val="Arial"/>
        <family val="2"/>
      </rPr>
      <t>)</t>
    </r>
  </si>
  <si>
    <r>
      <t>BASE BICA CORRIDA (</t>
    </r>
    <r>
      <rPr>
        <b/>
        <sz val="8"/>
        <color rgb="FFFF0000"/>
        <rFont val="Arial"/>
        <family val="2"/>
      </rPr>
      <t>SIM</t>
    </r>
    <r>
      <rPr>
        <b/>
        <sz val="8"/>
        <rFont val="Arial"/>
        <family val="2"/>
      </rPr>
      <t>)</t>
    </r>
  </si>
  <si>
    <r>
      <t>BASE BRITA GRADUADA (</t>
    </r>
    <r>
      <rPr>
        <b/>
        <sz val="8"/>
        <color rgb="FFFF0000"/>
        <rFont val="Arial"/>
        <family val="2"/>
      </rPr>
      <t>SIM</t>
    </r>
    <r>
      <rPr>
        <b/>
        <sz val="8"/>
        <rFont val="Arial"/>
        <family val="2"/>
      </rPr>
      <t>)</t>
    </r>
  </si>
  <si>
    <t>SERVIÇOS DE RECOMPOSIÇÃO DO PAVIMENTO</t>
  </si>
  <si>
    <t>RECORTE MECÂNICO DO PAVIMENTO (m) (2xL)</t>
  </si>
  <si>
    <t>PLANILHA DA DRENAGEM PROFUNDA</t>
  </si>
  <si>
    <t>AREIA CONCRETO (m³)</t>
  </si>
  <si>
    <t>TRANSPORTE DE AREIA PARA REVESTIMENTO TSD</t>
  </si>
  <si>
    <t>se ROSA não pode ter talude</t>
  </si>
  <si>
    <t>se ROSA não pode ter base</t>
  </si>
  <si>
    <t>LF/0007</t>
  </si>
  <si>
    <t>TELA CERQUITE</t>
  </si>
  <si>
    <t>PV-0 TIPO CIRCULAR (un)</t>
  </si>
  <si>
    <t>CARGA BOTA-FORA</t>
  </si>
  <si>
    <t>ROCHA (m³)</t>
  </si>
  <si>
    <t>LF/0005</t>
  </si>
  <si>
    <t>ÁREA 2x (m²)</t>
  </si>
  <si>
    <t>TRANSPORTE DE BOTA-FORA PARA RECICLAGEM</t>
  </si>
  <si>
    <t>TRANSPORTE DE SUPRESSÃO (T)</t>
  </si>
  <si>
    <t>EXTRUSÃO</t>
  </si>
  <si>
    <t>TRANSPORTE DE BOTA-FORA - PRODUTO DA DEMOLIÇÃO</t>
  </si>
  <si>
    <t>TRANSPORTE DE BOTA-FORA - PRODUTO DA SUPRESSÃO</t>
  </si>
  <si>
    <t>SC/0075</t>
  </si>
  <si>
    <t>USINADO</t>
  </si>
  <si>
    <t>BETONEIRA</t>
  </si>
  <si>
    <t>SC/0070</t>
  </si>
  <si>
    <r>
      <t xml:space="preserve">ÁREA TOTAL </t>
    </r>
    <r>
      <rPr>
        <b/>
        <sz val="8"/>
        <color rgb="FFFF0000"/>
        <rFont val="Arial"/>
        <family val="2"/>
      </rPr>
      <t>PARCIAL</t>
    </r>
    <r>
      <rPr>
        <b/>
        <sz val="8"/>
        <rFont val="Arial"/>
        <family val="2"/>
      </rPr>
      <t xml:space="preserve"> (m²)</t>
    </r>
  </si>
  <si>
    <t>SC/0130</t>
  </si>
  <si>
    <t>SC/0135</t>
  </si>
  <si>
    <t>SC/0140</t>
  </si>
  <si>
    <t>SC/0150</t>
  </si>
  <si>
    <t>SC/0155</t>
  </si>
  <si>
    <t>CONCRETO 35 MPa (m³)</t>
  </si>
  <si>
    <t>fck 35 Mpa</t>
  </si>
  <si>
    <t>RECORTE PISO DE CONCRETO OU ASFÁLTICO (m)</t>
  </si>
  <si>
    <t>ÁREA SUB-BASE (m²)</t>
  </si>
  <si>
    <t>ÁREA BASE (m²)</t>
  </si>
  <si>
    <t>TELA DE AÇO SOLDADA Q-138 (2,2kg/m²) (kg)</t>
  </si>
  <si>
    <t>SC/0145</t>
  </si>
  <si>
    <t>SC/0160</t>
  </si>
  <si>
    <t>SC/0085</t>
  </si>
  <si>
    <t>GRAMA PARA PISO GRAMA (m²)</t>
  </si>
  <si>
    <t>REGULARIZAÇÃO E COMPACTAÇÃO (m²)</t>
  </si>
  <si>
    <t>TRANSPORTE DE ARTEFATO DE CONCRETO - LAJOTA DE PISO TÁTIL DE CONCRETO</t>
  </si>
  <si>
    <t>PA/0021</t>
  </si>
  <si>
    <t>BASE PRODUTO DE BRITAGEM (m³)</t>
  </si>
  <si>
    <t>BRITA GRADUADA EMPOLADA (46,67%)</t>
  </si>
  <si>
    <t>BASE (m³)</t>
  </si>
  <si>
    <t>SUB-BASE CASCALHO (m³)</t>
  </si>
  <si>
    <t>SUB-BASE BICA CORRIDA (m³)</t>
  </si>
  <si>
    <t>SUB-BASE BRITA GRADUADA (m³)</t>
  </si>
  <si>
    <t>BASE SOLO/CIMENTO (2%) (m³)</t>
  </si>
  <si>
    <t>BASE SOLO/CIMENTO (4%) (m³)</t>
  </si>
  <si>
    <t>BASE SOLO/CIMENTO (6%) (m³)</t>
  </si>
  <si>
    <t>BASE SOLO/CIMENTO (8%) (m³)</t>
  </si>
  <si>
    <t>BASE CASCALHO (m³)</t>
  </si>
  <si>
    <t>BASE BICA CORRIDA (m³)</t>
  </si>
  <si>
    <t>BASE BRITA GRADUADA (m³)</t>
  </si>
  <si>
    <t>se ROSA extensão errada</t>
  </si>
  <si>
    <t>CBUQ (m³)</t>
  </si>
  <si>
    <t>CBUQ (T) (2,5548T/m³)</t>
  </si>
  <si>
    <t>TRANSPORTE DE CASCALHO PARA BASE E/OU SUB-BASE</t>
  </si>
  <si>
    <t>TRANSPORTE DE PEDRA BRITADA TIPO BICA CORRIDA PARA BASE E/OU SUB-BASE</t>
  </si>
  <si>
    <t>TRANSPORTE DE PEDRA BRITADA TIPO BRITA GRADUADA PARA BASE E/OU SUB-BASE</t>
  </si>
  <si>
    <t>TRANSPORTE DE SOLO PARA MISTURA DA BASE E/OU SUB-BASE</t>
  </si>
  <si>
    <t>TRANSPORTE DA MISTURA DA BASE E/OU SUB-BASE - CANTEIRO / PISTA</t>
  </si>
  <si>
    <t>TRANSPORTE DE PEDRA BRITADA PARA MISTURA DA BASE E/OU SUB-BASE</t>
  </si>
  <si>
    <t>TRANSPORTE DE PEDRA BRITADA PARA USINA DE CBUQ</t>
  </si>
  <si>
    <t>TRANSPORTE DE PEDRA BRITADA PARA USINA DE PMF</t>
  </si>
  <si>
    <t>TRANSPORTE DE PEDRA BRITADA PARA REVESTIMENTO TSD</t>
  </si>
  <si>
    <t>TRANSPORTE DE PEDRA BRITADA Nº 1 PARA RECICLAGEM DE PAVIMENTO</t>
  </si>
  <si>
    <t>TRANSPORTE DE PEDRA BRITADA PARA MICRORREVESTIMENTO</t>
  </si>
  <si>
    <t>TRANSPORTE DE PEDRA BRITADA PARA TSD E/OU AGULHAMENTO</t>
  </si>
  <si>
    <t>TRANSPORTE DE AREIA  PARA USINA DE CBUQ</t>
  </si>
  <si>
    <t>VOLUME EXECUÇÃO (m³)</t>
  </si>
  <si>
    <t>público</t>
  </si>
  <si>
    <r>
      <t xml:space="preserve">BICA CORRIDA </t>
    </r>
    <r>
      <rPr>
        <b/>
        <sz val="8"/>
        <color rgb="FFFF0000"/>
        <rFont val="Arial"/>
        <family val="2"/>
      </rPr>
      <t>(BC)</t>
    </r>
    <r>
      <rPr>
        <b/>
        <sz val="8"/>
        <rFont val="Arial"/>
        <family val="2"/>
      </rPr>
      <t xml:space="preserve"> / BRITA GRADUADA </t>
    </r>
    <r>
      <rPr>
        <b/>
        <sz val="8"/>
        <color rgb="FFFF0000"/>
        <rFont val="Arial"/>
        <family val="2"/>
      </rPr>
      <t>(BG)</t>
    </r>
  </si>
  <si>
    <t>PREPARO DA CAIXA</t>
  </si>
  <si>
    <t>VOLUME FRESADO (m³)</t>
  </si>
  <si>
    <t>EXTENSÃO DO PAVIMENTO RÍGIDO (m)</t>
  </si>
  <si>
    <t>EXTENSÃO PLACA DE TRANSIÇÃO (m) x2</t>
  </si>
  <si>
    <t>se ROSA extensão maior</t>
  </si>
  <si>
    <t>ESPESSURA ATERRO (m)</t>
  </si>
  <si>
    <t>VOLUME ATERRO (m³)</t>
  </si>
  <si>
    <t>ESPESSURA CALÇADA (m)</t>
  </si>
  <si>
    <t>ÁREA PLATAFORMA(m²)</t>
  </si>
  <si>
    <t>PISO EM CONCRETO (m³)</t>
  </si>
  <si>
    <t>VOLUME ESCAVAÇÃO E COLCHÃO (m³)</t>
  </si>
  <si>
    <t>CIMENTO BASE (T)</t>
  </si>
  <si>
    <t>CIMENTO CONCRETO (T)</t>
  </si>
  <si>
    <t>PRODUTO FRESAGEM (T)</t>
  </si>
  <si>
    <t>VOLUME LASTRO DE BRITA (m³)</t>
  </si>
  <si>
    <t>ESPESSURA LASTRO DE BRITA (m)</t>
  </si>
  <si>
    <t>BRITA LASTRO (0,13m³/m³) (m³)</t>
  </si>
  <si>
    <t>PLANILHA DE QUANTIDADES DE SERVIÇOS DO PAMENTO RÍGIDO EM PONTO DE ÔNIBUS - PROJETO DE ENGENHARIA</t>
  </si>
  <si>
    <t>TRANSPORTE PARA SERVIÇOS PARADA DE ÔNIBUS</t>
  </si>
  <si>
    <t>Areeiro/Obra</t>
  </si>
  <si>
    <t>Areeiro/Usina CBUQ</t>
  </si>
  <si>
    <t>Areeiro/Usina PMF</t>
  </si>
  <si>
    <t>EMULSÃO RL-1C PARA PMF</t>
  </si>
  <si>
    <t>CAP 30/45</t>
  </si>
  <si>
    <t>CAP 50/70</t>
  </si>
  <si>
    <t>CAP 60/85E</t>
  </si>
  <si>
    <t>Usina de CBUQ</t>
  </si>
  <si>
    <t>Usina de PMF</t>
  </si>
  <si>
    <t>Pedeira/Usina CBUQ</t>
  </si>
  <si>
    <t>Pedreira/Usina PMF</t>
  </si>
  <si>
    <t>Pedreira/Obra</t>
  </si>
  <si>
    <t>Cimento/Obra</t>
  </si>
  <si>
    <t>Jazida de solo</t>
  </si>
  <si>
    <t>TRANSPORTE DE SOLO DE JAZIDA PARA MISTURA DA BASE E/OU SUB-BASE</t>
  </si>
  <si>
    <t xml:space="preserve">Definir depósito expurgo:1 </t>
  </si>
  <si>
    <t>Definir depósito reciclável: 2, 3 ou 4</t>
  </si>
  <si>
    <t>Definir depósito:                                     1, 2, 3 ou 4</t>
  </si>
  <si>
    <t>Definir depósito:                                   1,  2, 3 ou 4</t>
  </si>
  <si>
    <t>Depósito de expurgo SEM reciclagem: 1</t>
  </si>
  <si>
    <t>LF/0040</t>
  </si>
  <si>
    <t>LF/0045</t>
  </si>
  <si>
    <t>MÊS</t>
  </si>
  <si>
    <t>PRODUÇÃO</t>
  </si>
  <si>
    <t>QUADRO DAS DISTÂNCIAS MÉDIAS DE TRANSPORTE DOS INSUMOS - DMT</t>
  </si>
  <si>
    <t>Jazida de cascalho</t>
  </si>
  <si>
    <t>produção</t>
  </si>
  <si>
    <t>DISCRIMINAÇÃO DOS SERVIÇOS</t>
  </si>
  <si>
    <t>MENSAL</t>
  </si>
  <si>
    <t>Σ</t>
  </si>
  <si>
    <t>Se Rosa extensão local &gt; extensão via</t>
  </si>
  <si>
    <t>ANÁLISE DOS DADOS DOS REPAROS</t>
  </si>
  <si>
    <t>TOTAL ÁREA (m²)</t>
  </si>
  <si>
    <t>ÍNDICE (%)</t>
  </si>
  <si>
    <t>TOTAL EXTENSÃO (m)</t>
  </si>
  <si>
    <t>ANÁLISE DOS DADOS DAS RECOMPOSIÇÕES</t>
  </si>
  <si>
    <t>ÁREA 5 (m²)</t>
  </si>
  <si>
    <t>ÁREA 6 (m²)</t>
  </si>
  <si>
    <t>REPERFILAMENTO</t>
  </si>
  <si>
    <t>EMULSÃO ASFÁLTICA (T)</t>
  </si>
  <si>
    <t>PRODUTO DE BRITAGEM (m³)</t>
  </si>
  <si>
    <r>
      <t xml:space="preserve">ALTURA DO REPARO </t>
    </r>
    <r>
      <rPr>
        <b/>
        <sz val="10"/>
        <color rgb="FFFF0000"/>
        <rFont val="Arial"/>
        <family val="2"/>
      </rPr>
      <t>(cm)</t>
    </r>
  </si>
  <si>
    <t>VOLUME 1 (m³)</t>
  </si>
  <si>
    <t>VOLUME 2 (m³)</t>
  </si>
  <si>
    <t>VOLUME 3 (m³)</t>
  </si>
  <si>
    <t>VOLUME 4 (m³)</t>
  </si>
  <si>
    <t>VOLUME 5 (m³)</t>
  </si>
  <si>
    <t>VOLUME 6 (m³)</t>
  </si>
  <si>
    <r>
      <t>ESPESSURA 4 (</t>
    </r>
    <r>
      <rPr>
        <b/>
        <sz val="8"/>
        <color rgb="FFFF0000"/>
        <rFont val="Arial"/>
        <family val="2"/>
      </rPr>
      <t>cm</t>
    </r>
    <r>
      <rPr>
        <b/>
        <sz val="8"/>
        <rFont val="Arial"/>
        <family val="2"/>
      </rPr>
      <t>)</t>
    </r>
  </si>
  <si>
    <r>
      <t>ESPESSURA 6 (</t>
    </r>
    <r>
      <rPr>
        <b/>
        <sz val="8"/>
        <color rgb="FFFF0000"/>
        <rFont val="Arial"/>
        <family val="2"/>
      </rPr>
      <t>cm</t>
    </r>
    <r>
      <rPr>
        <b/>
        <sz val="8"/>
        <rFont val="Arial"/>
        <family val="2"/>
      </rPr>
      <t>)</t>
    </r>
  </si>
  <si>
    <t>VOLUME DA MISTURA (m³)</t>
  </si>
  <si>
    <r>
      <t>TIPO: SOLOxBRITRA</t>
    </r>
    <r>
      <rPr>
        <b/>
        <sz val="8"/>
        <color rgb="FFFF0000"/>
        <rFont val="Arial"/>
        <family val="2"/>
      </rPr>
      <t xml:space="preserve"> (SB)</t>
    </r>
    <r>
      <rPr>
        <b/>
        <sz val="8"/>
        <rFont val="Arial"/>
        <family val="2"/>
      </rPr>
      <t xml:space="preserve"> /CASCALHO </t>
    </r>
    <r>
      <rPr>
        <b/>
        <sz val="8"/>
        <color rgb="FFFF0000"/>
        <rFont val="Arial"/>
        <family val="2"/>
      </rPr>
      <t>(C)</t>
    </r>
    <r>
      <rPr>
        <b/>
        <sz val="8"/>
        <rFont val="Arial"/>
        <family val="2"/>
      </rPr>
      <t xml:space="preserve"> / BICA CORRIDA </t>
    </r>
    <r>
      <rPr>
        <b/>
        <sz val="8"/>
        <color rgb="FFFF0000"/>
        <rFont val="Arial"/>
        <family val="2"/>
      </rPr>
      <t>(BC)</t>
    </r>
    <r>
      <rPr>
        <b/>
        <sz val="8"/>
        <rFont val="Arial"/>
        <family val="2"/>
      </rPr>
      <t xml:space="preserve"> / BRITA GRADUADA </t>
    </r>
    <r>
      <rPr>
        <b/>
        <sz val="8"/>
        <color rgb="FFFF0000"/>
        <rFont val="Arial"/>
        <family val="2"/>
      </rPr>
      <t>(BG)</t>
    </r>
  </si>
  <si>
    <t>prazo (h)</t>
  </si>
  <si>
    <t>BRITA PARA SOLO/BRITA (0,688m³/m³)</t>
  </si>
  <si>
    <t>REMENDO PROFUNDO COM REFORÇO DO SUBLEITO - LASTRO DE PEDRA DE MÃO / RACHÃO</t>
  </si>
  <si>
    <r>
      <t xml:space="preserve">ESCAVAÇÃO ALTURA </t>
    </r>
    <r>
      <rPr>
        <b/>
        <sz val="8"/>
        <color rgb="FFFF0000"/>
        <rFont val="Arial"/>
        <family val="2"/>
      </rPr>
      <t>(cm)</t>
    </r>
  </si>
  <si>
    <t>ESCAVAÇÃO VOLUME (m³)</t>
  </si>
  <si>
    <r>
      <t>ATERRO ALTURA</t>
    </r>
    <r>
      <rPr>
        <b/>
        <sz val="8"/>
        <color rgb="FFFF0000"/>
        <rFont val="Arial"/>
        <family val="2"/>
      </rPr>
      <t xml:space="preserve"> (cm)</t>
    </r>
  </si>
  <si>
    <t>REFORÇO VOLUME (m³)</t>
  </si>
  <si>
    <r>
      <t>REFORÇO ALTURA</t>
    </r>
    <r>
      <rPr>
        <b/>
        <sz val="8"/>
        <color rgb="FFFF0000"/>
        <rFont val="Arial"/>
        <family val="2"/>
      </rPr>
      <t xml:space="preserve"> (cm)</t>
    </r>
  </si>
  <si>
    <t>REFORÇO - COLCHÃO (m³)</t>
  </si>
  <si>
    <t>REFORÇO - LASTRO (m³)</t>
  </si>
  <si>
    <t>ATERRO PLACA (m³)</t>
  </si>
  <si>
    <t>ATERRO ROLO (m³)</t>
  </si>
  <si>
    <t>BASE - EXECUÇÃO MANUAL (m³)</t>
  </si>
  <si>
    <t>BICA CORRIDA - EXECUÇÃO</t>
  </si>
  <si>
    <t>CASCALHO - EXECUÇÃO</t>
  </si>
  <si>
    <t>BASE - EXECUÇÃO MECÂNICA (m³)</t>
  </si>
  <si>
    <r>
      <t>ESPESSURA DA BASE</t>
    </r>
    <r>
      <rPr>
        <b/>
        <sz val="8"/>
        <color rgb="FFFF0000"/>
        <rFont val="Arial"/>
        <family val="2"/>
      </rPr>
      <t xml:space="preserve"> (cm)</t>
    </r>
  </si>
  <si>
    <r>
      <t xml:space="preserve">RECOMPOR BASE: SIM </t>
    </r>
    <r>
      <rPr>
        <b/>
        <sz val="8"/>
        <color rgb="FFFF0000"/>
        <rFont val="Arial"/>
        <family val="2"/>
      </rPr>
      <t>(S)</t>
    </r>
    <r>
      <rPr>
        <b/>
        <sz val="8"/>
        <rFont val="Arial"/>
        <family val="2"/>
      </rPr>
      <t xml:space="preserve"> OU NÃO </t>
    </r>
    <r>
      <rPr>
        <b/>
        <sz val="8"/>
        <color rgb="FFFF0000"/>
        <rFont val="Arial"/>
        <family val="2"/>
      </rPr>
      <t>(N)</t>
    </r>
  </si>
  <si>
    <t>SOLO EMPLADO PARA SOLO/BRITA (25%)</t>
  </si>
  <si>
    <t>SOLO/BRITA (50/50) - EXECUÇÃO</t>
  </si>
  <si>
    <t>ÁREA 7 (m²)</t>
  </si>
  <si>
    <r>
      <t xml:space="preserve">REVESTIMENTO TIPO: </t>
    </r>
    <r>
      <rPr>
        <b/>
        <sz val="8"/>
        <color rgb="FFFF0000"/>
        <rFont val="Arial"/>
        <family val="2"/>
      </rPr>
      <t>CBUQ</t>
    </r>
    <r>
      <rPr>
        <b/>
        <sz val="8"/>
        <rFont val="Arial"/>
        <family val="2"/>
      </rPr>
      <t xml:space="preserve"> OU </t>
    </r>
    <r>
      <rPr>
        <b/>
        <sz val="8"/>
        <color rgb="FFFF0000"/>
        <rFont val="Arial"/>
        <family val="2"/>
      </rPr>
      <t>PMF</t>
    </r>
  </si>
  <si>
    <t>BRITA GRADUADA - EXECUÇÃO</t>
  </si>
  <si>
    <t>PEDRA REFORÇO (m³)</t>
  </si>
  <si>
    <t>JAZIDA DE SOLO (m³)</t>
  </si>
  <si>
    <t>Cimento</t>
  </si>
  <si>
    <t>se AMARELO micro / se ROSA digitar espessura</t>
  </si>
  <si>
    <t>Trecho previsto com remoção do revestimento no recapeamento prévio</t>
  </si>
  <si>
    <r>
      <t>ESPESSURA REMOVIDA (</t>
    </r>
    <r>
      <rPr>
        <b/>
        <sz val="8"/>
        <color rgb="FFFF0000"/>
        <rFont val="Arial"/>
        <family val="2"/>
      </rPr>
      <t>cm</t>
    </r>
    <r>
      <rPr>
        <b/>
        <sz val="8"/>
        <rFont val="Arial"/>
        <family val="2"/>
      </rPr>
      <t>)</t>
    </r>
  </si>
  <si>
    <r>
      <t xml:space="preserve">se for recompor o revestimento além do recapeamento geral, indicar a espessura e tipo. Pode ser indicado </t>
    </r>
    <r>
      <rPr>
        <sz val="8"/>
        <color rgb="FFFF0000"/>
        <rFont val="Arial"/>
        <family val="2"/>
      </rPr>
      <t>agulhamento</t>
    </r>
    <r>
      <rPr>
        <sz val="8"/>
        <rFont val="Arial"/>
        <family val="2"/>
      </rPr>
      <t xml:space="preserve"> e revestimento simultaneamente</t>
    </r>
  </si>
  <si>
    <r>
      <t xml:space="preserve">RECOMPOR REVESTIMENTO: SIM </t>
    </r>
    <r>
      <rPr>
        <b/>
        <sz val="8"/>
        <color rgb="FFFF0000"/>
        <rFont val="Arial"/>
        <family val="2"/>
      </rPr>
      <t>(S)</t>
    </r>
    <r>
      <rPr>
        <b/>
        <sz val="8"/>
        <rFont val="Arial"/>
        <family val="2"/>
      </rPr>
      <t xml:space="preserve"> OU NÃO </t>
    </r>
    <r>
      <rPr>
        <b/>
        <sz val="8"/>
        <color rgb="FFFF0000"/>
        <rFont val="Arial"/>
        <family val="2"/>
      </rPr>
      <t>(N)</t>
    </r>
  </si>
  <si>
    <t>Trecho previsto com remoção do revestimento e base no recapeamento prévio</t>
  </si>
  <si>
    <t xml:space="preserve">TIPO DE REVESTIMENTO EMPREGADO NAS RECOMPOSIÇÕES </t>
  </si>
  <si>
    <t>Compatibilizar com Recap_Final</t>
  </si>
  <si>
    <r>
      <t>ESPESSURA DO REVESTIMENTO (</t>
    </r>
    <r>
      <rPr>
        <b/>
        <sz val="8"/>
        <color rgb="FFFF0000"/>
        <rFont val="Arial"/>
        <family val="2"/>
      </rPr>
      <t>cm</t>
    </r>
    <r>
      <rPr>
        <b/>
        <sz val="8"/>
        <rFont val="Arial"/>
        <family val="2"/>
      </rPr>
      <t>)</t>
    </r>
  </si>
  <si>
    <r>
      <t>executar revestimento além do recapeamento</t>
    </r>
    <r>
      <rPr>
        <b/>
        <sz val="8"/>
        <color rgb="FFFF0000"/>
        <rFont val="Arial"/>
        <family val="2"/>
      </rPr>
      <t xml:space="preserve"> (SIM)</t>
    </r>
  </si>
  <si>
    <t>Trecho previsto com reciclagem da base no recapeamento prévio</t>
  </si>
  <si>
    <t>se VERDE especificar tipo de revestimento ou deletar espessura do revestimento</t>
  </si>
  <si>
    <t>SOLO PARA SOLO/BRITA (%)</t>
  </si>
  <si>
    <t>PREÇO TOTAL DESONERADO (R$)</t>
  </si>
  <si>
    <t>PREÇO TOTAL NÃO DESONERADO (R$)</t>
  </si>
  <si>
    <t>VARIAÇÃO                                                                         NÃO DESON / DESON (%)</t>
  </si>
  <si>
    <t>QUADRO ANALÍTICO DOS ORÇAMENTOS NÃO DESONERADO X DESONERADO</t>
  </si>
  <si>
    <t>PRAZOS</t>
  </si>
  <si>
    <t>Segurança de trânsito - sinalização de advertência de obra com placa (fundo laranja) sobre cavalete, conforme ABNT - NBR-7678 Segurança na execução de obras e serviços de construção Ministério do Trabalho e da Previdência Social - NB-26 - Sinalização De Segurança CONTRAN - Manual De Noções De Normas De Trânsito</t>
  </si>
  <si>
    <t>Segurança de trânsito - sinalização de advertência de obra com elemento luminoso (balde vermelho)</t>
  </si>
  <si>
    <t>Segurança de trânsito - isolamento de obra com tela cerquite plática laranja conforme ABNT - NBR-7678 Segurança na execução de obras e serviços de construção Ministério do Trabalho e da Previdência Social - NB-26 - Sinalização De Segurança CONTRAN - Manual De Noções De Normas De Trânsito</t>
  </si>
  <si>
    <t>Preparo do subleito, escavação e carga. Exclusive transporte</t>
  </si>
  <si>
    <t>UN.MÊS</t>
  </si>
  <si>
    <t>1. COPIAR PLANILHA DE ORÇAMENTO PARA A PASTA "Orçamento Auxiliar" as colunas: código, discriminação, unid., quant., precço unitário, preço total. Usar filtro para copiar somente linhas com valores. Linhas contendo uma célula vazia não devem ser copiada;</t>
  </si>
  <si>
    <r>
      <t>4. NA COLUNA "D" (PREÇO TOTAL R$) CLICAR COM TECLA DIREITA DO MOUSE E CLASSIFICAR Z P/ A</t>
    </r>
    <r>
      <rPr>
        <sz val="8"/>
        <rFont val="Calibri"/>
        <family val="2"/>
      </rPr>
      <t>↓</t>
    </r>
  </si>
  <si>
    <t>5. NA PASTA "Pareto" OBSERVAR SE O GRÁFICO ESTÁ CORRETO</t>
  </si>
  <si>
    <t>Veloc. máx. permitida 60km/h (R-19)</t>
  </si>
  <si>
    <t>Veloc. máx. permitida 80km/h (R-19)</t>
  </si>
  <si>
    <t>Sentido de circulação da via (R-24 a)</t>
  </si>
  <si>
    <t>PAVIMENTO ASFÁLTICO</t>
  </si>
  <si>
    <t>CONCRETO</t>
  </si>
  <si>
    <t>RECORTE MECÂNICO (m)</t>
  </si>
  <si>
    <t>EC/0044</t>
  </si>
  <si>
    <t>argiloso</t>
  </si>
  <si>
    <t>2*1,5</t>
  </si>
  <si>
    <t>PÁTIO DO CANTEIRO DE OBRAS PORTÃO DE ACESSO DE VEÍCULOS (m²)</t>
  </si>
  <si>
    <t xml:space="preserve">PORTÃO EM TELA ARAME E MOLDURA EM TUBOS DE AÇO </t>
  </si>
  <si>
    <t>SC/0115</t>
  </si>
  <si>
    <t>CERCA MOURÃO MADEIRA H=1,50m</t>
  </si>
  <si>
    <t>CERCA MOURÃO CONCRETO H=1,80m</t>
  </si>
  <si>
    <t>ALAMBRADO H=1,80m</t>
  </si>
  <si>
    <t>CERCAMENTO DE ÁREA</t>
  </si>
  <si>
    <t>RETANGULAR</t>
  </si>
  <si>
    <t>PASSEIO - CALÇADA  REVESTIMENTO BLOCO INTERTRAVADO "PAVER"</t>
  </si>
  <si>
    <t>CONTRAPISO DE CONCRETO MAGRO</t>
  </si>
  <si>
    <t>FURO 34</t>
  </si>
  <si>
    <t>FURO 35</t>
  </si>
  <si>
    <t>FURO 37</t>
  </si>
  <si>
    <t>FURO 39</t>
  </si>
  <si>
    <t>FURO 40</t>
  </si>
  <si>
    <t>FURO 41</t>
  </si>
  <si>
    <t>FURO 42</t>
  </si>
  <si>
    <t>FURO 43</t>
  </si>
  <si>
    <t>FURO 45</t>
  </si>
  <si>
    <t>FURO 67</t>
  </si>
  <si>
    <t>FURO 68</t>
  </si>
  <si>
    <t>FURO 69</t>
  </si>
  <si>
    <t>FURO 70</t>
  </si>
  <si>
    <t>FURO 72</t>
  </si>
  <si>
    <t>FURO 73</t>
  </si>
  <si>
    <t>FURO 75</t>
  </si>
  <si>
    <t>FURO 77</t>
  </si>
  <si>
    <t>FURO 78</t>
  </si>
  <si>
    <t>FURO 79</t>
  </si>
  <si>
    <t>FURO 80</t>
  </si>
  <si>
    <t>FURO 81</t>
  </si>
  <si>
    <t>Todos os ensaios</t>
  </si>
  <si>
    <t>Rua  Barranquilha (Rua Capitão Airton Rebouças / Rua Capitão Mário Pio Pereira)</t>
  </si>
  <si>
    <t>Rua Capitão Mário Pio Pereira (Av. Gal. Alberto Carlos Mendonça Lima / Rua Mamoeiro)</t>
  </si>
  <si>
    <t>Av. Gal. Alberto Carlos Mendonça Lima (Rua Cap. Airton Rebouças / Av. Wilson Paes de Barros)</t>
  </si>
  <si>
    <t>Av. Jamil Nahas (Av. Duque de Caxia / Av.  Marginal Esquerda Imbirussu)</t>
  </si>
  <si>
    <t>Av. Marginal Esquerda Imbirussu (Av. 9 / Av. Gal. Alberto Carlos Mendonça Lima)</t>
  </si>
  <si>
    <t xml:space="preserve">Rua Henfil - Jd Carioca </t>
  </si>
  <si>
    <t>Rua Rogério Cavalari - Jd Carioca</t>
  </si>
  <si>
    <t>Rua Raul Seixas (L/O) - Jd Carioca</t>
  </si>
  <si>
    <t>Rua Raul Seixas (N/S) - Jd Carioca</t>
  </si>
  <si>
    <t>Rua João Saldanha - Jd Carioca</t>
  </si>
  <si>
    <t>Avenida 3 (Av. Wilson Paes de Barros / Avenida 9</t>
  </si>
  <si>
    <t>Avenida 7 (Av. Wilson Paes de Barros / Avenida 2)</t>
  </si>
  <si>
    <t>Rua 79 (Rua 76 / Avenida 3)</t>
  </si>
  <si>
    <t>Rua 84 (Rua 76 / Avenida 3)</t>
  </si>
  <si>
    <t>Av. Wilson Paes de Barros (Av. Dq Caxias / Av. Alberto Mendonça Lima)</t>
  </si>
  <si>
    <t>Subleito</t>
  </si>
  <si>
    <t>Av. Gal. Alberto Carlos Mendonça Lima (Av. Wilsom Paes de Barros / Av. Marginal Imbirussu)</t>
  </si>
  <si>
    <t>ARGILOSO</t>
  </si>
  <si>
    <t>BRITA DO DRENO (m³)</t>
  </si>
  <si>
    <t>TIPO FH0100 (0,25m³/m)</t>
  </si>
  <si>
    <t>TIPO FH0150 (0,50m³/m)</t>
  </si>
  <si>
    <t>EAI</t>
  </si>
  <si>
    <t>PA/0025</t>
  </si>
  <si>
    <r>
      <t xml:space="preserve">verificação              </t>
    </r>
    <r>
      <rPr>
        <sz val="12"/>
        <rFont val="Calibri"/>
        <family val="2"/>
      </rPr>
      <t>Σ</t>
    </r>
    <r>
      <rPr>
        <sz val="15"/>
        <rFont val="Courier"/>
        <family val="2"/>
      </rPr>
      <t xml:space="preserve"> </t>
    </r>
    <r>
      <rPr>
        <sz val="10"/>
        <rFont val="Courier"/>
        <family val="2"/>
      </rPr>
      <t>Ø</t>
    </r>
  </si>
  <si>
    <t>ESCAVADEIRA</t>
  </si>
  <si>
    <t>MICRODRENAGEM - BACIA DE AMORTECIMENTO</t>
  </si>
  <si>
    <t>PÁTIO DO CANTEIRO DE OBRAS
REVESTIMENTO DO TERRENO (m³) (VOLUME GEOMÉTRICO)</t>
  </si>
  <si>
    <t>PÁTIO DO CANTEIRO DE OBRAS
REVESTIMENTO DO TERRENO (m²)</t>
  </si>
  <si>
    <t>SERVIÇOS DE TERRAPLENAGEM</t>
  </si>
  <si>
    <t>pav</t>
  </si>
  <si>
    <t>SERVIÇOS DE ESTRUTURA</t>
  </si>
  <si>
    <t>EC/0020</t>
  </si>
  <si>
    <t>EC/0025</t>
  </si>
  <si>
    <t>EC/0030</t>
  </si>
  <si>
    <t>EC-0033</t>
  </si>
  <si>
    <t>EC/0035</t>
  </si>
  <si>
    <t>EC/0040</t>
  </si>
  <si>
    <t>SERVIÇOS DE URBANIZAÇÃO</t>
  </si>
  <si>
    <t>Bacia_Amortecimento!A1</t>
  </si>
  <si>
    <t>betoneira</t>
  </si>
  <si>
    <t>PLANILHA DE QUANTIDADES DE SERVIÇOS DE CONSTRUÇÃO DE BACIA DE AMORTECIMENTO - PROJETO DE ENGENHARIA</t>
  </si>
  <si>
    <t>ÁREA CALCULADA (m²)</t>
  </si>
  <si>
    <t>ÁREA DESENHO (m²)</t>
  </si>
  <si>
    <t>VOLUME DE EXPURGO (m³)</t>
  </si>
  <si>
    <t>ESPESSURA DA CAMADA DE EXPURGO = 20cm (empolada)</t>
  </si>
  <si>
    <t>CONE (un)</t>
  </si>
  <si>
    <t>ESCAVAÇÃO</t>
  </si>
  <si>
    <t>MATERIAL 1ª CATEGORIA (m³)</t>
  </si>
  <si>
    <t>MATERIAL 3ª CATEGORIA (m³)</t>
  </si>
  <si>
    <t>TALUDE (m³)</t>
  </si>
  <si>
    <t>REGULARIZAÇÃO COM MOTONIVELADORA (m²)</t>
  </si>
  <si>
    <t>ESPALHAMENTO DE BOTA-FORA (m³)</t>
  </si>
  <si>
    <t>TRANSPORTE INTERNO NO CANTEIRO - SOLO</t>
  </si>
  <si>
    <t>DRENO DE FUNDO</t>
  </si>
  <si>
    <t>ESCAVAÇÃO MANUAL (m³)</t>
  </si>
  <si>
    <t>ESCAVAÇÃO MECÂNICA (m³)</t>
  </si>
  <si>
    <t>GEOSSINTÉTICO (m²)</t>
  </si>
  <si>
    <t>TUBO DRENO (m)</t>
  </si>
  <si>
    <t>MAGRO</t>
  </si>
  <si>
    <t>20 Mpa</t>
  </si>
  <si>
    <t>25 Mpa</t>
  </si>
  <si>
    <t>30 Mpa</t>
  </si>
  <si>
    <t>35 MPa</t>
  </si>
  <si>
    <t>CICLÓPICO</t>
  </si>
  <si>
    <t>CA-60 5mm</t>
  </si>
  <si>
    <t>CA-50 6,3mm</t>
  </si>
  <si>
    <t>CA-50 8,0mm</t>
  </si>
  <si>
    <t>CA-50 10,0mm</t>
  </si>
  <si>
    <t>CA-50 12,5mm</t>
  </si>
  <si>
    <t>CA-50 16,0mm</t>
  </si>
  <si>
    <t>CA-50 20,0mm</t>
  </si>
  <si>
    <t>CA-50 25,0mm</t>
  </si>
  <si>
    <t>CA-60 Q-138 (10x10cm) #4,2x4,2mm (2,2kg/m²)</t>
  </si>
  <si>
    <t>CA-60 Q-92 (15x15cm)       #4,2x4,2mm (1,48kg/m²)</t>
  </si>
  <si>
    <t>CHAPA 2x (m²)</t>
  </si>
  <si>
    <t>CHAPA 6x (m²)</t>
  </si>
  <si>
    <t>TÁBUA 4x (m²)</t>
  </si>
  <si>
    <t>ESCORAMENTO (m³)</t>
  </si>
  <si>
    <r>
      <t xml:space="preserve">H </t>
    </r>
    <r>
      <rPr>
        <b/>
        <sz val="8"/>
        <rFont val="Calibri"/>
        <family val="2"/>
      </rPr>
      <t xml:space="preserve">≤ </t>
    </r>
    <r>
      <rPr>
        <b/>
        <sz val="8"/>
        <rFont val="Arial"/>
        <family val="2"/>
      </rPr>
      <t>4,00m</t>
    </r>
  </si>
  <si>
    <t>4,0m &lt; H ≤ 6,00m</t>
  </si>
  <si>
    <t>6,0m &lt; H ≤ 10,00m</t>
  </si>
  <si>
    <r>
      <t xml:space="preserve">ANCORAGEM 4m H </t>
    </r>
    <r>
      <rPr>
        <b/>
        <sz val="8"/>
        <rFont val="Calibri"/>
        <family val="2"/>
      </rPr>
      <t>≤</t>
    </r>
    <r>
      <rPr>
        <b/>
        <sz val="8"/>
        <rFont val="Arial"/>
        <family val="2"/>
      </rPr>
      <t xml:space="preserve"> 4,00m</t>
    </r>
  </si>
  <si>
    <t>ANCORAGEM 4m H &gt; 4,00m</t>
  </si>
  <si>
    <t>ANCORAGEM 4m + GEOGRELHA                        H &gt; 4,00m</t>
  </si>
  <si>
    <t>ANCORAGEM 5m H &gt; 4,00m</t>
  </si>
  <si>
    <t>ANCORAGEM 6m H &gt; 4,00m</t>
  </si>
  <si>
    <t>COLCHÃO DE GABIÃO (m²)</t>
  </si>
  <si>
    <t>H = 17cm</t>
  </si>
  <si>
    <t>H = 23cm</t>
  </si>
  <si>
    <t>H = 30 cm</t>
  </si>
  <si>
    <t>TUBO DE AÇO GALVANIZADO (m)</t>
  </si>
  <si>
    <t>Ø 40mm (1 1/2")</t>
  </si>
  <si>
    <t>Ø 50mm (2")</t>
  </si>
  <si>
    <t>ESTRUTURA</t>
  </si>
  <si>
    <t>GABIÃO SACO Ø 65cm (m³)</t>
  </si>
  <si>
    <t>URBANIZAÇÃO</t>
  </si>
  <si>
    <t>PORTÃO (m²)</t>
  </si>
  <si>
    <t>ALAMBRADO H = 1,80m (m)</t>
  </si>
  <si>
    <t>GRAMA (m²)</t>
  </si>
  <si>
    <t>PISO TÁTIL (m)</t>
  </si>
  <si>
    <t>CONCRETO MAGRO (m³)</t>
  </si>
  <si>
    <t>CALÇADA BLOCO INTERTRAVADO (m²)</t>
  </si>
  <si>
    <t>TRANSPORTE PARA BACIA DE AMORTECIMENTO</t>
  </si>
  <si>
    <t>BOTA-FORA - PRODUTO DA LIMPEZA (m³)</t>
  </si>
  <si>
    <t>BOTA-FORA - SOLO (m³)</t>
  </si>
  <si>
    <t>BOTA-FORA - ROCHA (EMPOLADO 40%) (m³)</t>
  </si>
  <si>
    <t>TRANSPORTE INTERNO NO CANTEIRO - SOLO (m³)</t>
  </si>
  <si>
    <t>PEDRA BRITA / PULMÃO / DE MÃO / RACHÃO (m³)</t>
  </si>
  <si>
    <t>TRANSPORTE DE PEDRA TIPO BRITA / PULMÃO / DE MÃO / RACHÃO</t>
  </si>
  <si>
    <r>
      <t xml:space="preserve">ÁRVORE ORNAMENTAL H </t>
    </r>
    <r>
      <rPr>
        <b/>
        <sz val="8"/>
        <rFont val="Calibri"/>
        <family val="2"/>
      </rPr>
      <t>≤</t>
    </r>
    <r>
      <rPr>
        <b/>
        <sz val="8"/>
        <rFont val="Arial"/>
        <family val="2"/>
      </rPr>
      <t xml:space="preserve"> 2,00m (un)</t>
    </r>
  </si>
  <si>
    <r>
      <t xml:space="preserve">PALMEIRA H </t>
    </r>
    <r>
      <rPr>
        <b/>
        <sz val="8"/>
        <rFont val="Calibri"/>
        <family val="2"/>
      </rPr>
      <t>≤</t>
    </r>
    <r>
      <rPr>
        <b/>
        <sz val="8"/>
        <rFont val="Arial"/>
        <family val="2"/>
      </rPr>
      <t xml:space="preserve"> 2,00m (un)</t>
    </r>
  </si>
  <si>
    <t xml:space="preserve">CALÇADA RÚSTICA CONCRETO SIMPLES </t>
  </si>
  <si>
    <t>CALÇADA RÚSTICA CONCRETO ARMADO (m²)</t>
  </si>
  <si>
    <t>VOLUME DE BRITA (EMPLOADA 10%) (m³)</t>
  </si>
  <si>
    <t>SINALIZAÇÃO DE OBRA</t>
  </si>
  <si>
    <t>PLACA DE ADVERTÊNCIA (m²)</t>
  </si>
  <si>
    <t>LIMPEZA</t>
  </si>
  <si>
    <t>REVESTIMENTO DO SUBLEITO COM BRITA</t>
  </si>
  <si>
    <t>MURO GABIÃO CAIXA TIPO GRAVIDADE (m³)</t>
  </si>
  <si>
    <t>MURO GABIÃO CAIXA TIPO SOLO REFORÇADO (m³)</t>
  </si>
  <si>
    <r>
      <t xml:space="preserve">PLACA H </t>
    </r>
    <r>
      <rPr>
        <b/>
        <sz val="8"/>
        <rFont val="Calibri"/>
        <family val="2"/>
      </rPr>
      <t>≤</t>
    </r>
    <r>
      <rPr>
        <b/>
        <sz val="8"/>
        <rFont val="Arial"/>
        <family val="2"/>
      </rPr>
      <t xml:space="preserve"> 1,50m</t>
    </r>
  </si>
  <si>
    <t>PLACA 1,50m &lt; H ≤ 3,00m</t>
  </si>
  <si>
    <t>PLACA 3,00m &lt; H ≤ 4,50m</t>
  </si>
  <si>
    <t>PLACA H &gt; 4,50m</t>
  </si>
  <si>
    <t>SOLO GRAMPEADO</t>
  </si>
  <si>
    <t>CONCRETO PROJETADO e=10cm COM TELA</t>
  </si>
  <si>
    <t>CONCRETO PROJETADO e=10cm COM FIBRA</t>
  </si>
  <si>
    <r>
      <t xml:space="preserve">GRAMPO Ø 10cm                                                                       6,00m </t>
    </r>
    <r>
      <rPr>
        <b/>
        <sz val="8"/>
        <rFont val="Calibri"/>
        <family val="2"/>
      </rPr>
      <t xml:space="preserve">&lt; L ≤ 8,00m </t>
    </r>
    <r>
      <rPr>
        <b/>
        <sz val="8"/>
        <rFont val="Arial"/>
        <family val="2"/>
      </rPr>
      <t>(m)</t>
    </r>
  </si>
  <si>
    <r>
      <t xml:space="preserve">GRAMPO Ø10cm                                      8,00m </t>
    </r>
    <r>
      <rPr>
        <b/>
        <sz val="8"/>
        <rFont val="Calibri"/>
        <family val="2"/>
      </rPr>
      <t xml:space="preserve">&lt; L ≤ 10,00m </t>
    </r>
    <r>
      <rPr>
        <b/>
        <sz val="8"/>
        <rFont val="Arial"/>
        <family val="2"/>
      </rPr>
      <t>(m)</t>
    </r>
  </si>
  <si>
    <t>LASTRO DE BRITA</t>
  </si>
  <si>
    <t>8cm</t>
  </si>
  <si>
    <t>5cm</t>
  </si>
  <si>
    <t>7cm</t>
  </si>
  <si>
    <t>3cm</t>
  </si>
  <si>
    <t>Diâmetro do Tubo:</t>
  </si>
  <si>
    <t>Espessura do Tubo + Bolsa 2 x:</t>
  </si>
  <si>
    <t>Viga:</t>
  </si>
  <si>
    <t>Laje:</t>
  </si>
  <si>
    <t>Diâmetro:</t>
  </si>
  <si>
    <t>Tampão:</t>
  </si>
  <si>
    <t>Total:</t>
  </si>
  <si>
    <t>H PV</t>
  </si>
  <si>
    <t>LOCAL SAÍDA</t>
  </si>
  <si>
    <t>LOCAL LANÇAMENTO</t>
  </si>
  <si>
    <t>c70</t>
  </si>
  <si>
    <t>CHECK</t>
  </si>
  <si>
    <t>TAMPÃO FºFº + LAJES (m)</t>
  </si>
  <si>
    <t xml:space="preserve"> COTA TERRENO</t>
  </si>
  <si>
    <t>COTA TAMPA</t>
  </si>
  <si>
    <t>COTA (m)</t>
  </si>
  <si>
    <t>TERRENO</t>
  </si>
  <si>
    <t xml:space="preserve"> COTA TERRENO (m)</t>
  </si>
  <si>
    <t>COTA TAMPA (m)</t>
  </si>
  <si>
    <t>FUNDO COTA (m)</t>
  </si>
  <si>
    <t>PROFUNDIDADE (m)</t>
  </si>
  <si>
    <t>CGES-BOLSA SAÍDA</t>
  </si>
  <si>
    <t>CGES-BOLSA ENTRADA "A"</t>
  </si>
  <si>
    <t>CGES-BOLSA ENTRADA "B"</t>
  </si>
  <si>
    <t>CGES-BOLSA ENTRADA "C"</t>
  </si>
  <si>
    <t>c71</t>
  </si>
  <si>
    <t>c72</t>
  </si>
  <si>
    <t>PÉ DIREITO DO PV (m)</t>
  </si>
  <si>
    <t>CGES (BOLSA/LAJE) ENTRADA "A" (m)</t>
  </si>
  <si>
    <t>CGES (BOLSA/LAJE) SAÍDA (m)</t>
  </si>
  <si>
    <t>CGES (BOLSA/LAJE) ENTRADA "B" (m)</t>
  </si>
  <si>
    <t>CGES (BOLSA/LAJE) ENTRADA "C" (m)</t>
  </si>
  <si>
    <t>PÉ-DIREITO PV (m)</t>
  </si>
  <si>
    <t>DIMENSÕES VERTICAIS DO PV / CC DE MONTANTE</t>
  </si>
  <si>
    <t>FUNDAÇÃO DO MURO</t>
  </si>
  <si>
    <t>ESPESSURA MÉDIA (m) (emploada)</t>
  </si>
  <si>
    <t>BATATAIS</t>
  </si>
  <si>
    <t>MICRODRENAGEM - GALERIAS</t>
  </si>
  <si>
    <r>
      <t xml:space="preserve">PINTURA DE PISO PARA CICLOVIA
</t>
    </r>
    <r>
      <rPr>
        <b/>
        <sz val="8"/>
        <rFont val="Arial"/>
        <family val="2"/>
      </rPr>
      <t>TINTA BASE ACRÍLICA EMULSIONADA EM ÁGUA - ESPESSURA 0,3 mm</t>
    </r>
  </si>
  <si>
    <t>Faixa de Retenção (Tracejada) (m)</t>
  </si>
  <si>
    <t>Bicicleta  (Ciclovia)
(un)</t>
  </si>
  <si>
    <t>Seta (Ciclovia)
(un)</t>
  </si>
  <si>
    <t>Pare ciclovia (un)</t>
  </si>
  <si>
    <r>
      <rPr>
        <b/>
        <sz val="12"/>
        <rFont val="Arial"/>
        <family val="2"/>
      </rPr>
      <t>PINTURA DE SETAS E LEGENDAS</t>
    </r>
    <r>
      <rPr>
        <b/>
        <sz val="10"/>
        <rFont val="Arial"/>
        <family val="2"/>
      </rPr>
      <t xml:space="preserve">
TINTA BASE ACRÍLICA EMULSIONADA EM ÁGUA - ESPESSURA 0,3 mm</t>
    </r>
  </si>
  <si>
    <t>IDOSO (un)</t>
  </si>
  <si>
    <t>Moto (un)</t>
  </si>
  <si>
    <t>Radar (un)</t>
  </si>
  <si>
    <t>PINTURA DE SETAS E LEGENDAS
TERMOPLÁSTICO POR EXTRUSÃO - ESPESSURA 3,0 mm</t>
  </si>
  <si>
    <t>Faixa Contínua Branca
(Ciclovia)
(m)</t>
  </si>
  <si>
    <t>Faixa Contínua Vermelha
(Ciclovia)
(m)</t>
  </si>
  <si>
    <t>Faixa Tracejada (Ciclovia)
(m)</t>
  </si>
  <si>
    <t>IDENTIFICAÇÃO DE RUA - POSTE (un)</t>
  </si>
  <si>
    <t>3,00x1,00</t>
  </si>
  <si>
    <t>2,00x1,20</t>
  </si>
  <si>
    <t>PLACA DE SINALIZAÇÃO VERTICAL 
PELÍCULAS TIPO I-A E TIPO II-A (AI/AI)</t>
  </si>
  <si>
    <t>Ciclovia - Contrafluxo</t>
  </si>
  <si>
    <t>Ciclovia - Mão dupla</t>
  </si>
  <si>
    <t>Ciclovia - Travessia de via</t>
  </si>
  <si>
    <t>Marcador de Alinhamento</t>
  </si>
  <si>
    <t>Placa retangular</t>
  </si>
  <si>
    <t>Comprimento limitado
(A-48)</t>
  </si>
  <si>
    <t>Peso limitado por eixo
(A-47)</t>
  </si>
  <si>
    <t>Peso bruto total limitado
(A-46)</t>
  </si>
  <si>
    <t>Rua sem saída
(A-45)</t>
  </si>
  <si>
    <t>Vento lateral
(A-44)</t>
  </si>
  <si>
    <t>Aeroporto
(A-43)</t>
  </si>
  <si>
    <t>Pista dividida
(A-42 c)</t>
  </si>
  <si>
    <t>Fim de pista dupla
(A-42 b)</t>
  </si>
  <si>
    <t>Início de pista dupla
(A-42 a)</t>
  </si>
  <si>
    <t>Cruz de Santo André
(A-41)</t>
  </si>
  <si>
    <t>Passagem de nível com barreira
(A-40)</t>
  </si>
  <si>
    <t>Passagem de nível sem barreira
(A-39)</t>
  </si>
  <si>
    <t>Largura limitada
(A-38)</t>
  </si>
  <si>
    <t>Altura limitada
(A-37)</t>
  </si>
  <si>
    <t>Animais selvagens
(A-36)</t>
  </si>
  <si>
    <t>Animais
(A-35)</t>
  </si>
  <si>
    <t>Crianças
(A-34)</t>
  </si>
  <si>
    <t>Passagem sinalizada de escolares
(A-33 b)</t>
  </si>
  <si>
    <t>Área escolar
(A-33 a)</t>
  </si>
  <si>
    <t>Passagem sinalizada de pedestres
(A-32 c)</t>
  </si>
  <si>
    <t>Passagem sinalizada de pedestres
(A-32 b)</t>
  </si>
  <si>
    <t>Trânsito de pedestres
(A-32 a)</t>
  </si>
  <si>
    <t>Trânsito de tratores ou maquinária agrícola
(A-31)</t>
  </si>
  <si>
    <t>Trânsito compartilhado por ciclistas e
pedestres
(A-30 c)</t>
  </si>
  <si>
    <t>Passagem sinalizada de ciclistas
(A-30 b)</t>
  </si>
  <si>
    <t>Trânsito de ciclistas
(A-30 a)</t>
  </si>
  <si>
    <t>Projeção de cascalho
(A-29)</t>
  </si>
  <si>
    <t>Pista escorregadia
(A-28)</t>
  </si>
  <si>
    <t>Área com desmoronamento
(A-27)</t>
  </si>
  <si>
    <t>Sentido duplo
(A-26 b)</t>
  </si>
  <si>
    <t>Sentido único
(A-26 a)</t>
  </si>
  <si>
    <t>Mão dupla adiante
(A-25)</t>
  </si>
  <si>
    <t>Obras
(A-24)</t>
  </si>
  <si>
    <t>Ponte móvel
(A-23)</t>
  </si>
  <si>
    <t>Ponte estreita
(A-22)</t>
  </si>
  <si>
    <t>Alargamento de pista à direita
(A-21 e)</t>
  </si>
  <si>
    <t>Alargamento de pista à esquerda
(A-21 d)</t>
  </si>
  <si>
    <t>Estreitamento de pista à direita
(A-21 c)</t>
  </si>
  <si>
    <t>Estreitamento de pista à esquerda
(A-21 b)</t>
  </si>
  <si>
    <t>Estreitamento de pista ao centro
(A-21 a)</t>
  </si>
  <si>
    <t>Aclive acentuado
(A-20 b)</t>
  </si>
  <si>
    <t>Declive acentuado
(A-20 a)</t>
  </si>
  <si>
    <t>Depressão
(A-19)</t>
  </si>
  <si>
    <t>Saliência ou lombada
(A-18 b)</t>
  </si>
  <si>
    <t>Saliência ou lombada
(A-18 a)</t>
  </si>
  <si>
    <t>Pista irregular
(A-17)</t>
  </si>
  <si>
    <t>Bonde
(A-16)</t>
  </si>
  <si>
    <t>Parada obrigatória à frente
(A-15)</t>
  </si>
  <si>
    <t>Semáforo à frente
(A-14)</t>
  </si>
  <si>
    <t>Confluência à direita
(A-13 b)</t>
  </si>
  <si>
    <t>Confluência à esquerda
(A-13 a)</t>
  </si>
  <si>
    <t>Interseção em círculo
(A-12)</t>
  </si>
  <si>
    <t>Junções sucessivas contrárias primeira à
direita
(A-11 b)</t>
  </si>
  <si>
    <t>Junções sucessivas contrárias primeira à
esquerda
(A-11 a)</t>
  </si>
  <si>
    <t>Entroncamento oblíquo à direita
(A-10 b)</t>
  </si>
  <si>
    <t>Entroncamento oblíquo à esquerda
(A-10 a)</t>
  </si>
  <si>
    <t>Bifurcação em “Y”
(A-09)</t>
  </si>
  <si>
    <t>Interseção em “T”
(A-08)</t>
  </si>
  <si>
    <t>Via lateral à direita
(A-07 b)</t>
  </si>
  <si>
    <t>Via lateral à esquerda
(A-07 a)</t>
  </si>
  <si>
    <t>Cruzamento de vias
(A-06)</t>
  </si>
  <si>
    <t>Curva em “S” à direita
(A-05 b)</t>
  </si>
  <si>
    <t>Curva em “S” à esquerda
(A-05 a)</t>
  </si>
  <si>
    <t>Curva acentuada em “S” à direita
(A-04 b)</t>
  </si>
  <si>
    <t>Curva acentuada em “S” à esquerda
(A-04 a)</t>
  </si>
  <si>
    <t>Pista sinuosa à direita
(A-03 b)</t>
  </si>
  <si>
    <t>Pista sinuosa à esquerda
(A-03 a)</t>
  </si>
  <si>
    <t>Curva à direita
(A-02 b)</t>
  </si>
  <si>
    <t>Curva à esquerda
(A-02 a)</t>
  </si>
  <si>
    <t>Curva acentuada à direita
(A-01 b)</t>
  </si>
  <si>
    <t>Curva acentuada à esquerda
(A-01 a)</t>
  </si>
  <si>
    <t>Trânsito proibido a carros de mão
(R-40)</t>
  </si>
  <si>
    <t>Circulação exclusiva de caminhão
(R-39)</t>
  </si>
  <si>
    <t>Proibido trânsito de ônibus
(R-38)</t>
  </si>
  <si>
    <t>Proibido trânsito de motocicletas, motonetas e ciclomotores
(R-37)</t>
  </si>
  <si>
    <t>Circulação compartilhada entre Ciclistas e Pedestres 
(R-36 c)</t>
  </si>
  <si>
    <t>Pedestres à esquerda, ciclistas à direita
(R-36 b)</t>
  </si>
  <si>
    <t>Ciclistas à esquerda, pedestres à direita
(R-36 a)</t>
  </si>
  <si>
    <t>Ciclista, transite à direita
(R-35 b)</t>
  </si>
  <si>
    <t>Ciclista, transite à esquerda
(R-35 a)</t>
  </si>
  <si>
    <t>Circulação exclusiva de bicicletas
(R-34)</t>
  </si>
  <si>
    <t>Sentido de circulação na rotatória
(R-33)</t>
  </si>
  <si>
    <t>Circulação exclusiva de ônibus
(R-32)</t>
  </si>
  <si>
    <t>Pedestre, ande pela direita
(R-31)</t>
  </si>
  <si>
    <t>Pedestre, ande pela esquerda
(R-30)</t>
  </si>
  <si>
    <t>Proibido trânsito de pedestres
(R-29)</t>
  </si>
  <si>
    <t>Duplo sentido de circulação
(R-28)</t>
  </si>
  <si>
    <t>Ônibus, caminhões e veículos de grande porte mantenham-se à direita
(R-27)</t>
  </si>
  <si>
    <t>Siga em frente
(R-26)</t>
  </si>
  <si>
    <t>Siga em frente ou à direita
(R-25 d)</t>
  </si>
  <si>
    <t>Siga em frente ou à esquerda
(R-25 c)</t>
  </si>
  <si>
    <t>Vire à direita
(R-25 b)</t>
  </si>
  <si>
    <t>Vire à esquerda
(R-25 a)</t>
  </si>
  <si>
    <t>Passagem Obrigatória
(R-24 b)</t>
  </si>
  <si>
    <t>Conserve-se à direita
(R-23)</t>
  </si>
  <si>
    <t>Uso obrigatório de corrente
(R-22)</t>
  </si>
  <si>
    <t>Alfândega
(R-21)</t>
  </si>
  <si>
    <t>Proibido acionar buzina ou sinal sonoro
(R-20)</t>
  </si>
  <si>
    <t>Comprimento máximo permitido
(R-18)</t>
  </si>
  <si>
    <t>Peso máximo permitido por eixo
(R-17)</t>
  </si>
  <si>
    <t>Largura máxima permitida
(R-16)</t>
  </si>
  <si>
    <t>Altura máxima permitida
(R-15)</t>
  </si>
  <si>
    <t>Peso bruto total máximo permitido
(R-14)</t>
  </si>
  <si>
    <t>Proibido trânsito de tratores e máquinas de obras
(R-13)</t>
  </si>
  <si>
    <t>Proibido trânsito de bicicletas
(R-12)</t>
  </si>
  <si>
    <t>Proibido trânsito de veículos de tração animal
(R-11)</t>
  </si>
  <si>
    <t>Proibido trânsito de veículos automotores
(R-10)</t>
  </si>
  <si>
    <t>Proibido trânsito de caminhões
(R-9)</t>
  </si>
  <si>
    <t>Proibido mudar de faixa ou pista de trânsito da direita para esquerda
(R-8 b)</t>
  </si>
  <si>
    <t>Proibido mudar de faixa ou pista de trânsito da esquerda para direita
(R-8 a)</t>
  </si>
  <si>
    <t>Proibido ultrapassar
(R-7)</t>
  </si>
  <si>
    <t>Proibido parar e estacionar
(R-6 c)</t>
  </si>
  <si>
    <t>Estacionamento regulamentado
(R-6 b)</t>
  </si>
  <si>
    <t>Proibido estacionar
(R-6 a)</t>
  </si>
  <si>
    <t>Proibido retornar à direita
(R-5 b)</t>
  </si>
  <si>
    <t>Proibido retornar à esquerda
(R-5 a)</t>
  </si>
  <si>
    <t>Proibido virar à direita
(R-4 b)</t>
  </si>
  <si>
    <t>Proibido virar à esquerda
(R-4 a)</t>
  </si>
  <si>
    <t>Sentido proibido
(R-3)</t>
  </si>
  <si>
    <t>SV/0010</t>
  </si>
  <si>
    <t>SV/0012</t>
  </si>
  <si>
    <t>SV/0020</t>
  </si>
  <si>
    <t>SV/0037</t>
  </si>
  <si>
    <t>SV/0045</t>
  </si>
  <si>
    <t>SV/0050</t>
  </si>
  <si>
    <t>SV/0085</t>
  </si>
  <si>
    <t>SV/0095</t>
  </si>
  <si>
    <t>SV/0105</t>
  </si>
  <si>
    <t>SV/0106</t>
  </si>
  <si>
    <t>SV/0115</t>
  </si>
  <si>
    <t>MONO BRANCA (un)</t>
  </si>
  <si>
    <t>MONO AMARELA (un)</t>
  </si>
  <si>
    <t>BI BRANCA (un)</t>
  </si>
  <si>
    <t>BI AMARELA (un)</t>
  </si>
  <si>
    <t>ABRIGO PADRÃO DO CONTRATANTE (un)</t>
  </si>
  <si>
    <t>SC/0068</t>
  </si>
  <si>
    <t>L ≤ 10 km = 1 un
L &gt; 10 km = 2 un</t>
  </si>
  <si>
    <t>Passeio!A1</t>
  </si>
  <si>
    <t>ST/0020</t>
  </si>
  <si>
    <r>
      <t xml:space="preserve">ESCORAMENTO TIPO PONTALETE                                      </t>
    </r>
    <r>
      <rPr>
        <b/>
        <sz val="8"/>
        <color rgb="FFFF0000"/>
        <rFont val="Arial"/>
        <family val="2"/>
      </rPr>
      <t xml:space="preserve"> (1,25m ≤ H </t>
    </r>
    <r>
      <rPr>
        <b/>
        <sz val="8"/>
        <color rgb="FFFF0000"/>
        <rFont val="Calibri"/>
        <family val="2"/>
      </rPr>
      <t xml:space="preserve">≤ </t>
    </r>
    <r>
      <rPr>
        <b/>
        <sz val="8"/>
        <color rgb="FFFF0000"/>
        <rFont val="Arial"/>
        <family val="2"/>
      </rPr>
      <t>2,50m)</t>
    </r>
  </si>
  <si>
    <r>
      <t xml:space="preserve">ESCORAMENTO TIPO DESCONTÍNUO              </t>
    </r>
    <r>
      <rPr>
        <b/>
        <sz val="8"/>
        <color rgb="FFFF0000"/>
        <rFont val="Arial"/>
        <family val="2"/>
      </rPr>
      <t xml:space="preserve">(H </t>
    </r>
    <r>
      <rPr>
        <b/>
        <sz val="8"/>
        <color rgb="FFFF0000"/>
        <rFont val="Calibri"/>
        <family val="2"/>
      </rPr>
      <t xml:space="preserve">≤ </t>
    </r>
    <r>
      <rPr>
        <b/>
        <sz val="8"/>
        <color rgb="FFFF0000"/>
        <rFont val="Arial"/>
        <family val="2"/>
      </rPr>
      <t>3,00m)</t>
    </r>
    <r>
      <rPr>
        <b/>
        <sz val="8"/>
        <rFont val="Arial"/>
        <family val="2"/>
      </rPr>
      <t xml:space="preserve"> </t>
    </r>
  </si>
  <si>
    <r>
      <t xml:space="preserve">ESCORAMENTO CONTÍNUO                 </t>
    </r>
    <r>
      <rPr>
        <b/>
        <sz val="8"/>
        <color rgb="FFFF0000"/>
        <rFont val="Arial"/>
        <family val="2"/>
      </rPr>
      <t xml:space="preserve"> (H &gt; 3,00m)</t>
    </r>
  </si>
  <si>
    <r>
      <t xml:space="preserve">ESCORAMENTO TIPO BLINDAGEM                   </t>
    </r>
    <r>
      <rPr>
        <b/>
        <sz val="8"/>
        <color rgb="FFFF0000"/>
        <rFont val="Arial"/>
        <family val="2"/>
      </rPr>
      <t xml:space="preserve">(H </t>
    </r>
    <r>
      <rPr>
        <b/>
        <sz val="8"/>
        <color rgb="FFFF0000"/>
        <rFont val="Calibri"/>
        <family val="2"/>
      </rPr>
      <t>≥</t>
    </r>
    <r>
      <rPr>
        <b/>
        <sz val="8"/>
        <color rgb="FFFF0000"/>
        <rFont val="Arial"/>
        <family val="2"/>
      </rPr>
      <t xml:space="preserve"> 2,40m)</t>
    </r>
  </si>
  <si>
    <t>PREPARO DE FUNDO DE VALA</t>
  </si>
  <si>
    <r>
      <t xml:space="preserve">VOLUME GEOMÉTRICO (m³) BASE </t>
    </r>
    <r>
      <rPr>
        <b/>
        <sz val="8"/>
        <rFont val="Calibri"/>
        <family val="2"/>
      </rPr>
      <t>≤</t>
    </r>
    <r>
      <rPr>
        <b/>
        <sz val="8"/>
        <rFont val="Arial"/>
        <family val="2"/>
      </rPr>
      <t xml:space="preserve"> 1,50m</t>
    </r>
  </si>
  <si>
    <r>
      <t xml:space="preserve">VOLUME GEOMÉTRICO (m³) BASE </t>
    </r>
    <r>
      <rPr>
        <b/>
        <sz val="8"/>
        <rFont val="Calibri"/>
        <family val="2"/>
      </rPr>
      <t>&gt;</t>
    </r>
    <r>
      <rPr>
        <b/>
        <sz val="8"/>
        <rFont val="Arial"/>
        <family val="2"/>
      </rPr>
      <t xml:space="preserve"> 1,50m</t>
    </r>
  </si>
  <si>
    <t>ESCAVAÇÃO H ≤ 1,50m (L &gt; 1,50m)</t>
  </si>
  <si>
    <t>ESCAVAÇÃO H: 1,51 a 3,00m (L &gt; 1,50m)</t>
  </si>
  <si>
    <t>COMERCIAL 30/45</t>
  </si>
  <si>
    <t>PA/0040</t>
  </si>
  <si>
    <t>DR/0060</t>
  </si>
  <si>
    <t>1un PARA CADA 75m DE EXTENSÃO DAS OBRAS</t>
  </si>
  <si>
    <t>PLACA DE OBRA
(m²)</t>
  </si>
  <si>
    <t>PRAZO DA OBRA
(mês)</t>
  </si>
  <si>
    <t>BARRACÃO DE OBRA
(m²)</t>
  </si>
  <si>
    <t>BANHEIRO QUÍMICO
(um.mês)</t>
  </si>
  <si>
    <t>TELA CERQUITE
(m)</t>
  </si>
  <si>
    <t>CONES E CILINDROS
(un)</t>
  </si>
  <si>
    <t>SONDAGEM DE INTERFERÊNCIA
(un)</t>
  </si>
  <si>
    <t>REPARO EM RAMAL
(un)</t>
  </si>
  <si>
    <t>EXTENSÃO
(m)</t>
  </si>
  <si>
    <t>PINTURA DE FAIXAS DE PEDESTRES E RETENÇÃO E DE ZEBRADOS
TERMOPLÁSTICO POR EXTRUSÃO - ESPESSURA 3,0 mm</t>
  </si>
  <si>
    <t>PINTURA DE FAIXA
TERMOPLÁSTICO POR ASPERSÃO HOT SPRAY - ESPESSURA 1,5 mm</t>
  </si>
  <si>
    <t>PLACA DE SINALIZAÇÃO VERTICAL
PELÍCULA TIPO I-A (GT/GT)</t>
  </si>
  <si>
    <t>LIMPEZA DO TERRENO</t>
  </si>
  <si>
    <t>TRANSPORTE DE MATERIAL DE BOTA-FORA DA LIMPEZA</t>
  </si>
  <si>
    <t>PLANILHA ORÇAMENTÁRIA NÃO DESONERADA</t>
  </si>
  <si>
    <t>SC/0080</t>
  </si>
  <si>
    <t>PISO TÁTIL (m) (PEÇA 40cm)</t>
  </si>
  <si>
    <t>PINTURA DE FAIXA
TINTA BASE ACRÍLICA EMULSIONADA EM ÁGUA - ESPESSURA 0,3 mm</t>
  </si>
  <si>
    <t>Avenida Wilson Paes de Barros</t>
  </si>
  <si>
    <t>CANTEIRO CENTRAL
(SEMI LARGURA)</t>
  </si>
  <si>
    <t>TRANSPORTE DE BOTA-FORA - BOTA-FORA</t>
  </si>
  <si>
    <t>ADM0002</t>
  </si>
  <si>
    <t>ADM0001</t>
  </si>
  <si>
    <t>ET0003</t>
  </si>
  <si>
    <t>ARQ0003</t>
  </si>
  <si>
    <t>PBPC001</t>
  </si>
  <si>
    <t>PIU0014</t>
  </si>
  <si>
    <t>PIU0015</t>
  </si>
  <si>
    <t>PIP001</t>
  </si>
  <si>
    <t>PIU0013</t>
  </si>
  <si>
    <t>Cadência: Traço 2m / Espaçamento 6m</t>
  </si>
  <si>
    <t>B8958</t>
  </si>
  <si>
    <t>B8957</t>
  </si>
  <si>
    <t>MEMÓRIA DE CÁLCULO</t>
  </si>
  <si>
    <t>PONTE:</t>
  </si>
  <si>
    <t xml:space="preserve">PONTE SOBRE O CÓRREGO IMBIRUSSU </t>
  </si>
  <si>
    <t xml:space="preserve">AVENIDA GENERAL ALBERTO MENDONÇA LIMA </t>
  </si>
  <si>
    <t>BAIRRO:</t>
  </si>
  <si>
    <t>REGIÃO URBANA DO IMBIRUSSU</t>
  </si>
  <si>
    <t>MUNICÍPIO:</t>
  </si>
  <si>
    <t>CAMPO GRANDE/MS</t>
  </si>
  <si>
    <t>1.- Volume de Escavação com Esgotamento</t>
  </si>
  <si>
    <t>ESCAVAÇÃO - ALA 01</t>
  </si>
  <si>
    <t>A (m)</t>
  </si>
  <si>
    <t>B (m)</t>
  </si>
  <si>
    <t>C (m)</t>
  </si>
  <si>
    <t>D (m)</t>
  </si>
  <si>
    <t>E (m)</t>
  </si>
  <si>
    <t>F (m)</t>
  </si>
  <si>
    <t>Volume de Escavação (m³)</t>
  </si>
  <si>
    <r>
      <t>Largura</t>
    </r>
    <r>
      <rPr>
        <sz val="6"/>
        <rFont val="Calibri"/>
        <family val="2"/>
      </rPr>
      <t>escavação</t>
    </r>
  </si>
  <si>
    <r>
      <t>Largura</t>
    </r>
    <r>
      <rPr>
        <vertAlign val="subscript"/>
        <sz val="10"/>
        <rFont val="Calibri"/>
        <family val="2"/>
      </rPr>
      <t>ala</t>
    </r>
  </si>
  <si>
    <r>
      <t>Comp.</t>
    </r>
    <r>
      <rPr>
        <vertAlign val="subscript"/>
        <sz val="10"/>
        <rFont val="Calibri"/>
        <family val="2"/>
      </rPr>
      <t>ala</t>
    </r>
  </si>
  <si>
    <r>
      <t>Altura</t>
    </r>
    <r>
      <rPr>
        <sz val="6.5"/>
        <rFont val="Calibri"/>
        <family val="2"/>
      </rPr>
      <t>escavação</t>
    </r>
  </si>
  <si>
    <t>ESCAVAÇÃO - ALA 02</t>
  </si>
  <si>
    <t>G (m)</t>
  </si>
  <si>
    <t>H (m)</t>
  </si>
  <si>
    <t>I (m)</t>
  </si>
  <si>
    <t>J (m)</t>
  </si>
  <si>
    <t>ESCAVAÇÃO - CORTINA 01</t>
  </si>
  <si>
    <t>K (m)</t>
  </si>
  <si>
    <t>L (m)</t>
  </si>
  <si>
    <t>M (m)</t>
  </si>
  <si>
    <t>N (m)</t>
  </si>
  <si>
    <r>
      <t>Largura</t>
    </r>
    <r>
      <rPr>
        <sz val="6.5"/>
        <rFont val="Calibri"/>
        <family val="2"/>
      </rPr>
      <t>cortina</t>
    </r>
  </si>
  <si>
    <r>
      <t>Comp.</t>
    </r>
    <r>
      <rPr>
        <sz val="6.5"/>
        <rFont val="Calibri"/>
        <family val="2"/>
      </rPr>
      <t>cortina</t>
    </r>
  </si>
  <si>
    <t>ESCAVAÇÃO - ALA 03</t>
  </si>
  <si>
    <r>
      <t>Largura</t>
    </r>
    <r>
      <rPr>
        <sz val="6.5"/>
        <rFont val="Calibri"/>
        <family val="2"/>
      </rPr>
      <t>escavação</t>
    </r>
  </si>
  <si>
    <t>ESCAVAÇÃO - ALA 04</t>
  </si>
  <si>
    <t>ESCAVAÇÃO - CORTINA 02</t>
  </si>
  <si>
    <t>Resumo - Item 1</t>
  </si>
  <si>
    <t>Volume de Escavação com</t>
  </si>
  <si>
    <t>Esgotamento (m³)</t>
  </si>
  <si>
    <t>2.- Encontros + Alas + Consolos</t>
  </si>
  <si>
    <t>ALA 01</t>
  </si>
  <si>
    <t>Volume de</t>
  </si>
  <si>
    <t>Forma (m²)</t>
  </si>
  <si>
    <t>Comprimento</t>
  </si>
  <si>
    <t>Largura</t>
  </si>
  <si>
    <t>Altura</t>
  </si>
  <si>
    <t>Concreto (m³)</t>
  </si>
  <si>
    <t>ALA 02</t>
  </si>
  <si>
    <t>CORTINA 01</t>
  </si>
  <si>
    <t>CONSOLO 01</t>
  </si>
  <si>
    <t>ALA 03</t>
  </si>
  <si>
    <t>ALA 04</t>
  </si>
  <si>
    <t>ENCONTRO 02</t>
  </si>
  <si>
    <t>CONSOLO 02</t>
  </si>
  <si>
    <t>Resumo - Item 2</t>
  </si>
  <si>
    <t>3.- Bloco do Pilar Central (P1, P3 e P5)</t>
  </si>
  <si>
    <r>
      <t>Lado</t>
    </r>
    <r>
      <rPr>
        <vertAlign val="subscript"/>
        <sz val="10"/>
        <rFont val="Calibri"/>
        <family val="2"/>
      </rPr>
      <t>1</t>
    </r>
  </si>
  <si>
    <r>
      <t>Lado</t>
    </r>
    <r>
      <rPr>
        <vertAlign val="subscript"/>
        <sz val="10"/>
        <rFont val="Calibri"/>
        <family val="2"/>
      </rPr>
      <t>2</t>
    </r>
  </si>
  <si>
    <r>
      <t>Altura</t>
    </r>
    <r>
      <rPr>
        <vertAlign val="subscript"/>
        <sz val="10"/>
        <rFont val="Calibri"/>
        <family val="2"/>
      </rPr>
      <t>1</t>
    </r>
  </si>
  <si>
    <r>
      <t>Altura</t>
    </r>
    <r>
      <rPr>
        <vertAlign val="subscript"/>
        <sz val="10"/>
        <rFont val="Calibri"/>
        <family val="2"/>
      </rPr>
      <t>2</t>
    </r>
  </si>
  <si>
    <r>
      <t>Altura</t>
    </r>
    <r>
      <rPr>
        <vertAlign val="subscript"/>
        <sz val="10"/>
        <rFont val="Calibri"/>
        <family val="2"/>
      </rPr>
      <t>3</t>
    </r>
  </si>
  <si>
    <t>Número de Blocos (un.)</t>
  </si>
  <si>
    <t>Volume de Concreto Estrutural (m³)</t>
  </si>
  <si>
    <t>Volume de Concreto Não Estrutural (m³)</t>
  </si>
  <si>
    <t>Volume de Escavação com Esgotamento (m³)</t>
  </si>
  <si>
    <t>4.- Bloco do Pilar Central (P2, P4 e P6)</t>
  </si>
  <si>
    <t>Volume de Concreto de Estrutural (m³)</t>
  </si>
  <si>
    <t>5.- Pilar Central (P1 - P2 - P3 - P4 - P5 - P6)</t>
  </si>
  <si>
    <t>Número de</t>
  </si>
  <si>
    <t>Diâmetro</t>
  </si>
  <si>
    <t>Pilares (un.)</t>
  </si>
  <si>
    <t>6.- Viga Transversal de Apoio</t>
  </si>
  <si>
    <r>
      <t>Comprimento</t>
    </r>
    <r>
      <rPr>
        <vertAlign val="subscript"/>
        <sz val="10"/>
        <rFont val="Calibri"/>
        <family val="2"/>
      </rPr>
      <t>1</t>
    </r>
  </si>
  <si>
    <t>Lado2</t>
  </si>
  <si>
    <t>Vigas (un.)</t>
  </si>
  <si>
    <t>7.- Articulação Freyssinet</t>
  </si>
  <si>
    <t>7.1.- Articulação Freyssinet (Viga Pré-Moldada)</t>
  </si>
  <si>
    <t>Nº de Arti-</t>
  </si>
  <si>
    <t>culações (un.)</t>
  </si>
  <si>
    <t>7.2.- Articulação Freyssinet (Placa de Aproximação)</t>
  </si>
  <si>
    <t>Resumo Total Articulação Freyssinet</t>
  </si>
  <si>
    <t>8.- Viga Pré-moldada "T" - L=9,20m</t>
  </si>
  <si>
    <r>
      <t>Largura</t>
    </r>
    <r>
      <rPr>
        <vertAlign val="subscript"/>
        <sz val="10"/>
        <rFont val="Calibri"/>
        <family val="2"/>
      </rPr>
      <t>1</t>
    </r>
  </si>
  <si>
    <r>
      <t>Largura</t>
    </r>
    <r>
      <rPr>
        <vertAlign val="subscript"/>
        <sz val="10"/>
        <rFont val="Calibri"/>
        <family val="2"/>
      </rPr>
      <t>2</t>
    </r>
  </si>
  <si>
    <r>
      <t>Largura</t>
    </r>
    <r>
      <rPr>
        <vertAlign val="subscript"/>
        <sz val="10"/>
        <rFont val="Calibri"/>
        <family val="2"/>
      </rPr>
      <t>3</t>
    </r>
  </si>
  <si>
    <t xml:space="preserve">Número de </t>
  </si>
  <si>
    <t>9.- Viga Pré-moldada "T" - L=19,20m</t>
  </si>
  <si>
    <t>10.- Laje</t>
  </si>
  <si>
    <r>
      <t>Largura</t>
    </r>
    <r>
      <rPr>
        <vertAlign val="subscript"/>
        <sz val="10"/>
        <rFont val="Calibri"/>
        <family val="2"/>
      </rPr>
      <t>4</t>
    </r>
  </si>
  <si>
    <t>11.- Transversina do Encontro + Consolo</t>
  </si>
  <si>
    <t xml:space="preserve">Número de Transversinas do </t>
  </si>
  <si>
    <t>Encontro + Consolos (un.)</t>
  </si>
  <si>
    <t>12.- Transversina do Pilar Central</t>
  </si>
  <si>
    <t>Nº de Trans-</t>
  </si>
  <si>
    <t>versinas (un.)</t>
  </si>
  <si>
    <t>13.- Barreiras de Concreto (Tipo New Jersey)</t>
  </si>
  <si>
    <t>módulos (un.)</t>
  </si>
  <si>
    <t>14. Guia (Delimitação Ciclovia/Passagem de Pedestre)</t>
  </si>
  <si>
    <t>15.- Pilaretes do Guarda-Corpo</t>
  </si>
  <si>
    <t>Nº Tubos</t>
  </si>
  <si>
    <r>
      <t>Lado</t>
    </r>
    <r>
      <rPr>
        <vertAlign val="subscript"/>
        <sz val="10"/>
        <rFont val="Calibri"/>
        <family val="2"/>
      </rPr>
      <t>3</t>
    </r>
  </si>
  <si>
    <r>
      <t>Lado</t>
    </r>
    <r>
      <rPr>
        <vertAlign val="subscript"/>
        <sz val="10"/>
        <rFont val="Calibri"/>
        <family val="2"/>
      </rPr>
      <t>4</t>
    </r>
  </si>
  <si>
    <t>Pilaretes (un.)</t>
  </si>
  <si>
    <t>16.- Placa de Aproximação</t>
  </si>
  <si>
    <r>
      <t>Comprimento</t>
    </r>
    <r>
      <rPr>
        <vertAlign val="subscript"/>
        <sz val="10"/>
        <rFont val="Calibri"/>
        <family val="2"/>
      </rPr>
      <t>2</t>
    </r>
  </si>
  <si>
    <r>
      <t>Comprimento</t>
    </r>
    <r>
      <rPr>
        <vertAlign val="subscript"/>
        <sz val="10"/>
        <rFont val="Calibri"/>
        <family val="2"/>
      </rPr>
      <t>3</t>
    </r>
  </si>
  <si>
    <t>placas (un.)</t>
  </si>
  <si>
    <t>Concreto estrutural (m³)</t>
  </si>
  <si>
    <t>Concreto não estrutural (m³)</t>
  </si>
  <si>
    <t>17.- Escoramento</t>
  </si>
  <si>
    <t>17.1.- Encontros + Alas + Consolos</t>
  </si>
  <si>
    <t>ESCORAMENTO - ALA 01</t>
  </si>
  <si>
    <t>O (m)</t>
  </si>
  <si>
    <t>Volume de Escoramento (m³)</t>
  </si>
  <si>
    <r>
      <t>Largura</t>
    </r>
    <r>
      <rPr>
        <sz val="5.5"/>
        <rFont val="Calibri"/>
        <family val="2"/>
      </rPr>
      <t>escoramento</t>
    </r>
  </si>
  <si>
    <r>
      <t>Altura</t>
    </r>
    <r>
      <rPr>
        <sz val="5.5"/>
        <rFont val="Calibri"/>
        <family val="2"/>
      </rPr>
      <t>escoramento</t>
    </r>
  </si>
  <si>
    <t>ESCORAMENTO - ALA 02</t>
  </si>
  <si>
    <t>ESCORAMENTO - CORTINA 01</t>
  </si>
  <si>
    <t>P (m)</t>
  </si>
  <si>
    <t>ESCORAMENTO - ALA 03</t>
  </si>
  <si>
    <t>ESCORAMENTO - ALA 04</t>
  </si>
  <si>
    <t>ESCORAMENTO - CORTINA 02</t>
  </si>
  <si>
    <t>Resumo Escoramento - Item 17.1</t>
  </si>
  <si>
    <t>17.2.- Pilar Central</t>
  </si>
  <si>
    <r>
      <t>Largura</t>
    </r>
    <r>
      <rPr>
        <sz val="6.5"/>
        <rFont val="Calibri"/>
        <family val="2"/>
      </rPr>
      <t>pilar,1</t>
    </r>
  </si>
  <si>
    <r>
      <t>Largura</t>
    </r>
    <r>
      <rPr>
        <sz val="6.5"/>
        <rFont val="Calibri"/>
        <family val="2"/>
      </rPr>
      <t>pilar,2</t>
    </r>
  </si>
  <si>
    <t>18.- Pintura Faixa Amarela</t>
  </si>
  <si>
    <r>
      <t>Largura</t>
    </r>
    <r>
      <rPr>
        <sz val="5.5"/>
        <rFont val="Calibri"/>
        <family val="2"/>
      </rPr>
      <t>faixa</t>
    </r>
  </si>
  <si>
    <r>
      <t>Largura</t>
    </r>
    <r>
      <rPr>
        <sz val="6.5"/>
        <rFont val="Calibri"/>
        <family val="2"/>
      </rPr>
      <t>faixa</t>
    </r>
  </si>
  <si>
    <t>Faixas (un)</t>
  </si>
  <si>
    <t xml:space="preserve">
19.- Pintura Faixa de Bordo</t>
  </si>
  <si>
    <t>Área de brita (m²)</t>
  </si>
  <si>
    <t>Volume de Escavação</t>
  </si>
  <si>
    <t>manual (m³)</t>
  </si>
  <si>
    <t>Volume de Escavação manual (m³)</t>
  </si>
  <si>
    <t>Locação de container 2,30  x  6,00 m, alt. 2,50 m, com 1 sanitário, para escritório, completo, sem divisórias internas</t>
  </si>
  <si>
    <t>Locação de container 2,30  x  6,00 m, alt. 2,50 m, para escritório, sem divisórias internas e sem sanitário</t>
  </si>
  <si>
    <t>Locação de container 2,30 x 4,30 m, alt. 2,50 m, para sanitário, com 3 bacias, 4 chuveiros, 1 lavatório e 1 mictório</t>
  </si>
  <si>
    <t>Segurança de trânsito - cone de sinalização em pvc rígido com faixa refletiva, h = 70 / 76 cm</t>
  </si>
  <si>
    <t>Escavação manual de vala com profundidade menor ou igual a 1,30 m. AF_03/2016</t>
  </si>
  <si>
    <t>Preparo de fundo de vala com largura menor que 1,50 m (acerto do solo natural). AF_08/2020</t>
  </si>
  <si>
    <t>Transporte com caminhão basculante de 14 m3, em via interna (dentro do canteiro - unidade:m3xkm). AF_07/2020</t>
  </si>
  <si>
    <t>Aquisição de tubo de concreto simples para aguas pluviais, classe PS-1, com encaixe ponta e bolsa, diâmetro nominal de 0,40 m (180 kg/m) - Aquisição</t>
  </si>
  <si>
    <t>Aquisição de tubo de concreto simples para aguas pluviais, classe PS-1, com encaixe ponta e bolsa, diâmetro nominal de 0,60 m (347 kg/m) - Aquisição</t>
  </si>
  <si>
    <t>Concreto magro para lastro, traço 1:4,5:4,5 (cimento/ areia média/ brita 1) - preparo mecânico com betoneira 400 l. AF_07/2016</t>
  </si>
  <si>
    <t>Construção de pavimento com aplicação de concreto betuminoso usinado à quente (CBUQ - faixa C - CAP 30/45 - usina comercial), camada de rolamento, exclusive transporte da mistura (REF. SINAPI COD. 95995)</t>
  </si>
  <si>
    <t>Regularização e compactação de subleito de solo predominantemente argiloso. AF_11/2019</t>
  </si>
  <si>
    <t>Piso tátil de alerta ou direcional com lajota cimentícia  40x40x2,5cm, nas cores da NBR 16537, assentado com argamassa de cimento e areia 1:3</t>
  </si>
  <si>
    <t>Execução de passeio (calçada) ou piso de concreto com concreto moldado in loco, usinado, acabamento convencional, não armado. AF_07/2016</t>
  </si>
  <si>
    <t>Coluna simples de 50,8 mm (2") de diâmetro, espessura da parede 2,75mm, altura total de 3500mm, em aço galvanizado por imersão à quente para suporte de placa de sinalização e fixado em base de concreto estrutural  - fornecimento e implantação. Inclusive serviço de implantação da placa de sinalização</t>
  </si>
  <si>
    <t>Placa de sinalização de alumínio, espessura 1,5 mm, com fundo, símbolos e tarjas em película refletiva com esferas inclusas tipo I-A da NBR 14644 (GT/GT), inclusive elementos de fixação, conforme especificação AGETRAN/PMCG - Incluso fornecimento</t>
  </si>
  <si>
    <t>AD/0002</t>
  </si>
  <si>
    <t>AD/0003</t>
  </si>
  <si>
    <t>AD/0005</t>
  </si>
  <si>
    <t xml:space="preserve">MES   </t>
  </si>
  <si>
    <t xml:space="preserve">UN    </t>
  </si>
  <si>
    <t>M3XKM</t>
  </si>
  <si>
    <t>TXKM</t>
  </si>
  <si>
    <t xml:space="preserve">M     </t>
  </si>
  <si>
    <t xml:space="preserve">M3    </t>
  </si>
  <si>
    <t>HIDROSSEMEADURA</t>
  </si>
  <si>
    <t>SC/0250</t>
  </si>
  <si>
    <t>PA/0018</t>
  </si>
  <si>
    <t>TIPO GH040 (0,040m³/m)</t>
  </si>
  <si>
    <t>TIPO GH100 (0,040m³/m)</t>
  </si>
  <si>
    <t>TIPO GH150 (0,040m³/m)</t>
  </si>
  <si>
    <t>DR/0091</t>
  </si>
  <si>
    <t>DR/0096</t>
  </si>
  <si>
    <t>DR/0101</t>
  </si>
  <si>
    <t>DR/0106</t>
  </si>
  <si>
    <t>DR/0007</t>
  </si>
  <si>
    <t>ORINF</t>
  </si>
  <si>
    <t>LI-AMB</t>
  </si>
  <si>
    <t>ACÉSCIMO DE POÇO DE VISITA (APV-TIPO) (m)</t>
  </si>
  <si>
    <t>Final</t>
  </si>
  <si>
    <r>
      <rPr>
        <sz val="10"/>
        <rFont val="Calibri"/>
        <family val="2"/>
      </rPr>
      <t>Δ</t>
    </r>
    <r>
      <rPr>
        <sz val="10"/>
        <rFont val="Arial"/>
        <family val="2"/>
      </rPr>
      <t xml:space="preserve"> tc</t>
    </r>
  </si>
  <si>
    <t>Profundidade (m)</t>
  </si>
  <si>
    <t>Cota Fundo (m)</t>
  </si>
  <si>
    <t>Cota Terreno (m)</t>
  </si>
  <si>
    <t>Bacia XX</t>
  </si>
  <si>
    <t>NÃO</t>
  </si>
  <si>
    <t>BACIA XX</t>
  </si>
  <si>
    <t>BDI insumo</t>
  </si>
  <si>
    <t>HIDROSSEMEADURA (m²)</t>
  </si>
  <si>
    <t>ATERRO MACIÇO COM ROLO (m³)</t>
  </si>
  <si>
    <t>ATERRO RESUMO</t>
  </si>
  <si>
    <t>REATERRO TARDOZ DO MURO (m³)</t>
  </si>
  <si>
    <t>Depósito bota-fora rocha</t>
  </si>
  <si>
    <t>$O$25</t>
  </si>
  <si>
    <t>DR/0296</t>
  </si>
  <si>
    <t>DR/0300</t>
  </si>
  <si>
    <t>DRENAGEM SUPERFICIAL</t>
  </si>
  <si>
    <t>MEIA CANA Ø 0,60m (m)</t>
  </si>
  <si>
    <t>VALETA DE CONCRETO TRAPEZOIDAL 1,00mx0,30m (m)</t>
  </si>
  <si>
    <t>DMT APLICAÇÃO (km)</t>
  </si>
  <si>
    <t>DMT PONDERADO (km)</t>
  </si>
  <si>
    <t>CERCA H = 1,80m 11 FIOS (m)</t>
  </si>
  <si>
    <r>
      <t>ÁREA (m²) 2x (L≤1,50m) (H</t>
    </r>
    <r>
      <rPr>
        <b/>
        <sz val="8"/>
        <rFont val="Calibri"/>
        <family val="2"/>
      </rPr>
      <t>&gt;</t>
    </r>
    <r>
      <rPr>
        <b/>
        <sz val="8"/>
        <rFont val="Arial"/>
        <family val="2"/>
      </rPr>
      <t>3,00m)</t>
    </r>
  </si>
  <si>
    <t>LOCAL DE DESTINO</t>
  </si>
  <si>
    <t>BRITA ESPESSURA (m)</t>
  </si>
  <si>
    <t>BRITA VOLUME (m³)</t>
  </si>
  <si>
    <t>PEDRA DE MÃO / RACHÃO H (m)</t>
  </si>
  <si>
    <t>PEDRA DE MÃO / RACHÃO V (m³)</t>
  </si>
  <si>
    <t>Ponte Av. Jamil Naras</t>
  </si>
  <si>
    <t>VOLUME TOTAL (EMPOLADO 25%) (m³)</t>
  </si>
  <si>
    <t>MATERIAL PARA COMPENSAÇÃO (m³)</t>
  </si>
  <si>
    <t>TAMPA
(GREIDE DE PAVIMENTAÇÃO)</t>
  </si>
  <si>
    <t xml:space="preserve">INFRAESTRUTURA URBANA - PAVIMENTAÇÃO ASFÁLTICA E DRENAGEM DE ÁGUAS PLUVIAIS </t>
  </si>
  <si>
    <t>MUNICÍPIO :</t>
  </si>
  <si>
    <t>GUIA ESPECIAL
(para rotatórias e ilhas)</t>
  </si>
  <si>
    <t>Placa de identificação de obra pública, inclusive pintura e adesivos, estrutura e suporte de madeira. Incluso fornecimento de material e instalação. Ref SINAPI, CÓD 74209/001, DB 01/2020</t>
  </si>
  <si>
    <t>Escoramento de vala, tipo pontaleteamento, com profundidade de 0,00 a 1,50 m, largura menor que 1,50 m. AF_08/2020</t>
  </si>
  <si>
    <t>Escoramento de vala, tipo pontaleteamento, com profundidade de 1,50 a 3,00 m, largura maior ou igual a 1,50 m e menor que 2,50 m. AF_08/2020</t>
  </si>
  <si>
    <t>Altura d'água GAP (m)</t>
  </si>
  <si>
    <r>
      <t xml:space="preserve">N.A.  </t>
    </r>
    <r>
      <rPr>
        <sz val="8"/>
        <rFont val="Arial"/>
        <family val="2"/>
      </rPr>
      <t>Lançamento</t>
    </r>
    <r>
      <rPr>
        <sz val="10"/>
        <rFont val="Arial"/>
        <family val="2"/>
      </rPr>
      <t xml:space="preserve"> (m)</t>
    </r>
  </si>
  <si>
    <t>BACIA (m)</t>
  </si>
  <si>
    <t>C. Fundo</t>
  </si>
  <si>
    <t>Q. Saída</t>
  </si>
  <si>
    <t>Y</t>
  </si>
  <si>
    <t>A. Total</t>
  </si>
  <si>
    <t>Quadro de estudos de alternativas - Amortecimento Total</t>
  </si>
  <si>
    <t>2.3</t>
  </si>
  <si>
    <t>Quadro de estudos de alternativas - Amortecimento Superior</t>
  </si>
  <si>
    <t>SP/0005</t>
  </si>
  <si>
    <t>Aluguel de banheiro quimico, incluindo transporte de ida e volta, manutencao e higienizacao 3 vezes por semana. Modelo Luxo, dimensões 2,31 x 1,15 x 1,15m</t>
  </si>
  <si>
    <t>Execução e compactação de base e ou sub-base com material produto de britagem. Exclusive fornecimento e transporte de materiais (REF. SINAPI COD. 96396)</t>
  </si>
  <si>
    <t>Pedra britada ou bica corrida, não classificada (posto pedreira/fornecedor, sem frete)</t>
  </si>
  <si>
    <t>SC/0005</t>
  </si>
  <si>
    <t>BOCA DE LOBO SIMPLES
BLS - 01 (un)</t>
  </si>
  <si>
    <t>VALETA DE PROTEÇÃO DE ATERRO
VPA - 03 (m)</t>
  </si>
  <si>
    <t>ENTRADA PARA DESCIDA D'ÁGUA
EDA - 01 (un)</t>
  </si>
  <si>
    <t>DESCIDA D'ÁGUA TIPO RÁPIDO
DAR - 02 (m)</t>
  </si>
  <si>
    <t>CAIXA COLETORA DE SARJETA
CCS - 02 (un)</t>
  </si>
  <si>
    <t>BOCA DE BUEIRO BSTC Ø 0,80m (un)</t>
  </si>
  <si>
    <t>VALETA - VPA 03</t>
  </si>
  <si>
    <t>Observação</t>
  </si>
  <si>
    <t>FRAÇÃO</t>
  </si>
  <si>
    <t>INTEIRA</t>
  </si>
  <si>
    <t>VOLUME ACUMULADO (m³)</t>
  </si>
  <si>
    <t>VOLUME PARCIAL (m³)</t>
  </si>
  <si>
    <t>SEMI- DIST.  (m)</t>
  </si>
  <si>
    <t>ÁREAS (m²)</t>
  </si>
  <si>
    <t>CÁLCULO DE VOLUME DE TERRAPLENAGEM - CANTEIRO</t>
  </si>
  <si>
    <t>Reduza a velocidade</t>
  </si>
  <si>
    <t>COM SARJETA</t>
  </si>
  <si>
    <t>MEIO-FIO SIMPLES (GUIA) (m)</t>
  </si>
  <si>
    <t>SC/0010</t>
  </si>
  <si>
    <t>Placa Indicativa - Córrego</t>
  </si>
  <si>
    <t>SICRO</t>
  </si>
  <si>
    <t>Contratrilho TR57, comprimento de 12 m, sobre dormente de madeira, taxa de dormentação de 1.750 un/km, tala de junção de 6 furos e fixação rígida - posicionamento e assentamento manual</t>
  </si>
  <si>
    <t>Execução de guarita em canteiro de obra em chapa de madeira compensada, não incluso mobiliário. AF_04/2016</t>
  </si>
  <si>
    <t>Limpeza mecanizada de camada vegetal, vegetação e pequenas árvores (diâmetro nominal de tronco menor que 0,20 m), com trator de esteiras. AF_05/2018</t>
  </si>
  <si>
    <t>Revestimento de pátio com pedra britada com espessura de 5 cm com regularização do terreno com motoniveladora. Exclusive transporte. (REF SINAPI COD 100575)</t>
  </si>
  <si>
    <t>Cerca com mourões de madeira roliça Ø 11cm, espaçamento de 2,00m, altura livre de 1,50m, cravado 0,50m, com 5 fios de arame liso ovalado 15x17, conforme projeto</t>
  </si>
  <si>
    <t>Portão para veículos em tela arame galvanizado n.12 malha 2" e moldura em tubos de aco com duas folhas de abrir, incluso ferragens (REF. SINAPI COD. 74238/2 - Descontinuado)</t>
  </si>
  <si>
    <t>Demolição parcial de pavimento asfáltico, de forma mecanizada, sem reaproveitamento. AF_12/2017</t>
  </si>
  <si>
    <t>Execução e compactação de aterro com solo predominantemente argiloso - exclusive solo, escavação, carga e transporte. AF_11/2019</t>
  </si>
  <si>
    <t>SC/0082</t>
  </si>
  <si>
    <t>Grama em placas, tipo esmeralda, incluindo plantio, adubo, fertilizante, calcário, terra orgânica e irrigação</t>
  </si>
  <si>
    <t>Rua Peróba</t>
  </si>
  <si>
    <t>Rua Imbuia</t>
  </si>
  <si>
    <t>Rua Buriti</t>
  </si>
  <si>
    <t>SV/0005</t>
  </si>
  <si>
    <t>SV/0015</t>
  </si>
  <si>
    <t>ES/0010</t>
  </si>
  <si>
    <t>ES/0015</t>
  </si>
  <si>
    <t>PA/0150</t>
  </si>
  <si>
    <t>CORTE SOLO: INSERVÍVEL + PASSEIO + CANTEIRO (m³)</t>
  </si>
  <si>
    <t>CORTE SOLO: SUBSTITUIÇÃO (m³)</t>
  </si>
  <si>
    <t>DECLIVIDADE TRANSVERSAL DA PISTA
(SIMPLES ou DUPLA)</t>
  </si>
  <si>
    <t>BRITA PARA SOLO/BRITA
(EMPOLADO 37,5%) (m³)</t>
  </si>
  <si>
    <t>CERCA COM MOURÕES DE MADEIRA COM ARAME LISO
ALTURA LIVRE 1,50m (m)</t>
  </si>
  <si>
    <t>CERCA COM MOURÕES DE CONCRETO COM ARAME LISO
ALTURA LIVRE 1,80m (m)</t>
  </si>
  <si>
    <t>ALAMBRADO COM TELA DE AÇO
ALTURA LIVRE 1,80m (m)</t>
  </si>
  <si>
    <r>
      <t>ESPESSURA DO REVESTIMENTO
RECOMPOSIÇÃO (</t>
    </r>
    <r>
      <rPr>
        <b/>
        <sz val="8"/>
        <color rgb="FFFF0000"/>
        <rFont val="Arial"/>
        <family val="2"/>
      </rPr>
      <t>cm</t>
    </r>
    <r>
      <rPr>
        <b/>
        <sz val="8"/>
        <rFont val="Arial"/>
        <family val="2"/>
      </rPr>
      <t>)</t>
    </r>
  </si>
  <si>
    <r>
      <t xml:space="preserve">RECOMPOSIÇÃO DA ESTRUTURA:
MANUAL </t>
    </r>
    <r>
      <rPr>
        <b/>
        <sz val="8"/>
        <color rgb="FFFF0000"/>
        <rFont val="Arial"/>
        <family val="2"/>
      </rPr>
      <t xml:space="preserve">(MAN) </t>
    </r>
    <r>
      <rPr>
        <b/>
        <sz val="8"/>
        <rFont val="Arial"/>
        <family val="2"/>
      </rPr>
      <t>OU MECÂNICA</t>
    </r>
    <r>
      <rPr>
        <b/>
        <sz val="8"/>
        <color rgb="FFFF0000"/>
        <rFont val="Arial"/>
        <family val="2"/>
      </rPr>
      <t xml:space="preserve"> (MEC)</t>
    </r>
  </si>
  <si>
    <r>
      <t>ESPESSURA DA BASE / SUB-BASE
RECOMPOSIÇÃO (</t>
    </r>
    <r>
      <rPr>
        <b/>
        <sz val="8"/>
        <color rgb="FFFF0000"/>
        <rFont val="Arial"/>
        <family val="2"/>
      </rPr>
      <t>cm</t>
    </r>
    <r>
      <rPr>
        <b/>
        <sz val="8"/>
        <rFont val="Arial"/>
        <family val="2"/>
      </rPr>
      <t>)</t>
    </r>
  </si>
  <si>
    <t>APLICAÇÃO COM MOTONIVELADORA (m³)
(L &gt; 2,50m)</t>
  </si>
  <si>
    <t>BRITA GRADUADA SIMPLES
(EMPOLADA 46,67%) (m³)</t>
  </si>
  <si>
    <t>RECOMPOSIÇÃO DA VIA:
EXTENSÃO (m)</t>
  </si>
  <si>
    <t>RECOMPOSIÇÃO DA VIA:
LARGURA (m)</t>
  </si>
  <si>
    <t>RECOMPOSIÇÃO DA VIA:
ÁREA (m²)</t>
  </si>
  <si>
    <t>MATERIAL (P=PEAD   C=Concreto   MET=Metálico)</t>
  </si>
  <si>
    <t>AÇO CA-60 Ø 4.2mm Malha Q138 (kg) (2,2kg/m²)</t>
  </si>
  <si>
    <t>VOLUME RECARGA DO ENTRULHO
DEPÓSITO PROVISÓRIO (m³)</t>
  </si>
  <si>
    <t>EAI_RR-1C_RR-2C_RC-1CE</t>
  </si>
  <si>
    <t>ALAMBRADO (m)</t>
  </si>
  <si>
    <t>SR/0120</t>
  </si>
  <si>
    <t>Vagas de curta duração</t>
  </si>
  <si>
    <t>SAS (un)</t>
  </si>
  <si>
    <t>PINTURA DE LEGENDAS
LAMINADO ELASTOPLÁSTICO PARA LEGENDAS, COM 1,5mm DE ESPESSURA E COM MEDIDAS DIVERSAS, EM CORES, COM MICRO-ESFERAS DE VIDRO. ÁREA ENTRE 150 E 500m² DO MATERIAL</t>
  </si>
  <si>
    <t>Veloc. máx. permitida 30km/h
 (R-19)</t>
  </si>
  <si>
    <t>Aço/Ponte</t>
  </si>
  <si>
    <t>DISPOSITIVOS AUXILIARES</t>
  </si>
  <si>
    <t>Carga, manobra e descarga de solos e materiais granulares em caminhão basculante 14 m3 - carga com escavadeira hidráulica (capacidade da caçamba: 1,20 m3 / potência: 155 HP) e descarga livre (unidade: m3). AF_07/2020</t>
  </si>
  <si>
    <t>Transporte com caminhão basculante de 14 m3, em via urbana pavimentada, DMT até 30,00 km (unidade: m3xkm). AF_07/2020</t>
  </si>
  <si>
    <t>Demolição de concreto simples, de forma mecanizada, sem reaproveitamento (REF. SICRO COD. 1600989, db 01-2023)</t>
  </si>
  <si>
    <t>Carga, manobra e descarga de entulho em caminhão basculante 14 m3 - carga com escavadeira hidráulica  (capacidade da caçamba: 0,80 m3 / potência: 111 HP) e descarga livre (unidade: m3). AF_07/2020</t>
  </si>
  <si>
    <t>Escavação mecanizada de vala com profundidade até 1,50 m (média entre montante e jusante / uma composição por trecho), com retroescavadeira (capacidade da caçamba: 0,26 m3 / potência: 88 HP), largura de 0,80 m a 1,50 m, em solo de 1a categoria, em locais com alto nível de interferência. AF_01/2015</t>
  </si>
  <si>
    <t>Escavação mecanizada de vala com profundidade maior que 1,50 m até 3,00 m (média entre montante e jusante / uma composição por trecho), com escavadeira hidráulica (capacidade da caçamba: 1,2 m3 / potência: 155 HP), largura de 1,50 m a 2,50 m, em solo de 1a categoria, em locais com alto nível de interferência. AF_02/2021</t>
  </si>
  <si>
    <t>Escavação mecanizada de vala com profundidade de 3,00 m até 4,50 m (média entre montante e jusante / uma composição por trecho), com escavadeira hidráulica (capacidade da caçamba: 1,20 m3 / potência: 155 HP), largura de 1,50 m a 2,50 m, em solo de 1a categoria, em locais com alto nível de interferência. AF_01/2015</t>
  </si>
  <si>
    <t>Escoramento de vala, tipo blindado, com profundidade de 1,5 a 3,0 m, largura maior ou igual a 1,5 m e menor que 2,5 m. Altura do escoramento igual a 2,4 m.  Execução e fornecimento, inclui material. (REF. SINAPI COD. 03.ESCO.VALA.040/01)</t>
  </si>
  <si>
    <t>Escoramento de vala, tipo blindado, com profundidade de 3,0 a 4,5 m, largura maior ou igual a 1,5 m e menor que 2,5 m. Altura do escoramento igual a 2,4 m.  Execução e fornecimento, inclui material. (REF. SINAPI COD. 03.ESCO.VALA.042/01)</t>
  </si>
  <si>
    <t>Preparo de fundo de vala com largura maior ou igual a 1,50 m e menor que 2,50 m (acerto do solo natural). AF_08/2020</t>
  </si>
  <si>
    <t>Assentamento de tubo de concreto para redes coletoras de águas pluviais, diâmetro nominal de 0,40 m, junta rígida em argamassa 1:3 cimento:areia, instalado em local com alto nível de interferências (não inclui fornecimento). AF_12/2015</t>
  </si>
  <si>
    <t>Assentamento de tubo de concreto para redes coletoras de águas pluviais, diâmetro nominal de 0,60 m, junta rígida em argamassa 1:3 cimento:areia, instalado em local com alto nível de interferências (não inclui fornecimento). AF_12/2015</t>
  </si>
  <si>
    <t>PV-1 - Poço de Visita, com dimensões internas de 1,98m x 1,98m x 1,50m (bxbxh), em alvenaria de bloco de concreto estrutural FBK 14mpa, conforme projeto tipo. Exclusive pescoço e tampão</t>
  </si>
  <si>
    <t>Antecâmara para poço de visita, com dimensões internas de 1,98m x 1,00m x 1,50m (bxbxh), em alvenaria de bloco de concreto estrutural FBK 14mpa, conforme projeto tipo</t>
  </si>
  <si>
    <t>Chaminé circular para poço de visita para esgoto, em alvenaria com tijolos cerâmicos maciços, diâmetro interno = 0,6 m. af_12/2020</t>
  </si>
  <si>
    <t>Tampão F°F° articulado, classe D400, carga máxima 40 T, redondo tampa 600 mm para rede pluvial/esgoto. Incluindo fornecimento, assentamento e requadro em concreto FCK 20mpa, de 1,00m x 1,00m x 0,20m</t>
  </si>
  <si>
    <t xml:space="preserve">BLSC - Boca-de-lobo simples em concreto simples FCK 20 mpa, incluindo forma, escavação, sarjeta de contorno (chama) em concreto e grelha em F°F° tipo pesada, conforme projeto </t>
  </si>
  <si>
    <t xml:space="preserve">BLTC - Boca-de-lobo tripla em concreto simples FCK 20 mpa, incluindo forma, escavação, sarjeta de contorno (chama) em concreto e grelhas em F°F° tipo pesada, conforme projeto </t>
  </si>
  <si>
    <t>Escavação mecanizada de vala com profundidade até 1,50 m (média entre montante e jusante / uma composição por trecho) com retroescavadeira (capacidade da caçamba: 0,26 m3 / potência: 88 HP), largura menor que 0,80 m, em solo de 1a categoria, locais com baixo nível de interferência. AF_01/2015</t>
  </si>
  <si>
    <t>Imprimação da base, execução e fornecimento de emulsão asfáltica EAI (REF. SINAPI COD. 102470)</t>
  </si>
  <si>
    <t>Transporte com caminhão basculante de 14 m3, em via urbana pavimentada, DMT até 30,00 km (unidade: txkm). AF_07/2020</t>
  </si>
  <si>
    <t>Pintura de ligação, execução e fornecimento de emulsão asfáltica RR-1C (ref SINAPI cód 104375)</t>
  </si>
  <si>
    <t>Meio-fio (guia) com sarjeta, concreto FCK = 15mpa, seção 615 cm², moldado no local, inclusive escavação e pintura a cal em uma demão</t>
  </si>
  <si>
    <t>Compactação mecânica de solo para execução de radier, com compactador de solos tipo placa vibratória. AF_09/2021</t>
  </si>
  <si>
    <t>Pintura de faixas de pedestres e retenção e de zebrados - termoplástico por extrusão - espessura de 3,0 mm (REF. SICRO COD. 5213408 e 5213409)</t>
  </si>
  <si>
    <t>Pintura de setas e legendas - termoplástico por extrusão - espessura de 3,0 mm (REF. SICRO COD. 5213409, DB 04-21)</t>
  </si>
  <si>
    <t>Pintura de faixa - termoplástico por aspersão Hot Spray - espessura de 1,5 mm (REF. SICRO COD. 5213408, DB 04-21)</t>
  </si>
  <si>
    <t>IDENTIFICAÇÃO DE RUA - PLACA ESMALTADA 45x20cm (un)</t>
  </si>
  <si>
    <t>PLANILHA DA ACESSIBILIDADE</t>
  </si>
  <si>
    <t>Rua Maria Anunciação Rodrigues</t>
  </si>
  <si>
    <t>Rua Olinda Garcia de Oliveira / Rua João Trivellato</t>
  </si>
  <si>
    <t>Rua Clelia Santos da Rosa</t>
  </si>
  <si>
    <t>Rua Escobar Nunes</t>
  </si>
  <si>
    <t>Rua Ronald de Carvalho</t>
  </si>
  <si>
    <t>Rua Paulo Soares Valentin / Rua Michel Calarge</t>
  </si>
  <si>
    <t>ISOZONA 19</t>
  </si>
  <si>
    <t>B =</t>
  </si>
  <si>
    <t>I = B.Trd / (tc + c)b</t>
  </si>
  <si>
    <t>RAMPAS DE ACESSIBILIDADE (un)</t>
  </si>
  <si>
    <t>DRENAGEM EXISTENTE - RUA PAULO SOARES VALENTIN</t>
  </si>
  <si>
    <t>DRENAGEM EXISTENTE - RUA OLINDA GARCIA DE OLIVEIRA / RUA JOÃO TRIVELLATO</t>
  </si>
  <si>
    <t>DRENAGEM EXISTENTE - RUA CLELIA SANTOS DA ROSA</t>
  </si>
  <si>
    <t>DRENAGEM EXISTENTE - RUA FRANCISCO MARTINS DE SOUZA</t>
  </si>
  <si>
    <t>PAV-TUBO</t>
  </si>
  <si>
    <t>LAJ-LUCAS</t>
  </si>
  <si>
    <t>SANTO ONOFRE</t>
  </si>
  <si>
    <t>TERMINAL INTERMODAL - MUNICIPAL</t>
  </si>
  <si>
    <t>ATERRO SANITÁRIO</t>
  </si>
  <si>
    <t>ASFALTEC</t>
  </si>
  <si>
    <t>USIMIX</t>
  </si>
  <si>
    <t>SANTA EDWIGES</t>
  </si>
  <si>
    <t>VOTORANTIM</t>
  </si>
  <si>
    <t>SÃO LUIZ</t>
  </si>
  <si>
    <t>Recorte mecânico de pavimento asfáltico ou piso de concreto, com serra de disco diamantado para piso/asfalto. REF SICRO 4011537, DB 04-2023</t>
  </si>
  <si>
    <t>Escavação mecanizada de vala com profundidade maior que 1,50 m até 3,00 m (média entre montante e jusante / uma composição por trecho), com retroescavadeira (capacidade da caçamba: 0,26 m3 / potência: 88 HP), largura de 0,80 m a 1,50 m, em solo de 1a categoria, em locais com alto nível de interferência. AF_01/2015</t>
  </si>
  <si>
    <t>Reaterro mecanizado de vala com retroescavadeira (capacidade   da   caçamba   da retro: 0,26 M³/potência: 88 HP), largura de 0,8 a 1,5 m, profundidade até 1,5 m, com solo (sem substituição) de 1ª categoria, com placa vibratória. AF_08/2023</t>
  </si>
  <si>
    <t>Reaterro mecanizado de vala com retroescavadeira (capacidade   da   caçamba   da retro: 0,26 M³/potência: 88 HP), largura de 0,8 a 1,5 m, profundidade de 1,5 a 3,0 m, com solo (sem substituição) de 1ª categoria, com placa vibratória. AF_08/2023</t>
  </si>
  <si>
    <t>Reaterro mecanizado de vala com escavadeira hidráulica (capacidade da caçamba: 0,8 M³/potência: 111 HP), largura de 1,5 a 2,5 m, profundidade de 1,5 a 3,0 m, com solo (sem substituição) de 1ª categoria, com placa vibratória. AF_08/2023</t>
  </si>
  <si>
    <t>Reaterro mecanizado de vala com escavadeira hidráulica (capacidade da caçamba: 0,8 M³/potência: 111 HP), largura de 1,5 a 2,5 m, profundidade de 3,0 a 6,0 m, com solo (sem substituição) de 1ª categoria, com placa vibratória. AF_08/2023</t>
  </si>
  <si>
    <t>Tubo de concreto armado para aguas pluviais, classe PA-1, com encaixe ponta e bolsa, diâmetro nominal de 0,80 m (533,00 kg/m) - Aquisição</t>
  </si>
  <si>
    <t>Assentamento de tubo de concreto para redes coletoras de águas pluviais, diâmetro nominal de 0,80 m, junta rígida em argamassa 1:3 cimento:areia, instalado em local com alto nível de interferências (não inclui fornecimento). AF_12/2015</t>
  </si>
  <si>
    <t>CP-1 - Caixa de Passagem, com dimensões internas de  1,92m x 1,92m x 1,60m (bxbxh), em alvenaria de bloco de concreto estrutural FBK 8 MPa, conforme projeto tipo</t>
  </si>
  <si>
    <t>Placa de aço esmaltada para identificação de rua, dimensões *45x20* cm</t>
  </si>
  <si>
    <t>RE/0050</t>
  </si>
  <si>
    <t>CBUQ (usina comercial) - aplicação manual em fechamento de vala e remendos. Incluindo fornecimento dos materiais e compactação com rolo tandem compacto. Exclusive transporte. Ref BP 09.05.0500 RIO SCO</t>
  </si>
  <si>
    <t>PREFEITURA MUNICIPAL DE CAMPO GRANDE - MS</t>
  </si>
  <si>
    <t>PISTA</t>
  </si>
  <si>
    <t>SUB-BASE SEM MISTURA (m³)</t>
  </si>
  <si>
    <t>CAMPO GRANDE / MS</t>
  </si>
  <si>
    <t>(20°32'01.13"S ; 54°36'32.29"O) ; (20°32'04.37"S ; 54°36'52.35"O) ; (20°32'09.83"S ; 54°36'53.82"O)</t>
  </si>
  <si>
    <t>TRANSPORTE DE SOLO PARA BASE E/OU SUB-BASE</t>
  </si>
  <si>
    <t>Campo Grande/MS</t>
  </si>
  <si>
    <t>Sondagem de investigação de interferências subterrâneas, incluindo escavações mecânica e manual e reaterro</t>
  </si>
  <si>
    <t>Reparo em ramal de ligação predial de água</t>
  </si>
  <si>
    <t>Regularização de superfícies com motoniveladora. AF_11/2019</t>
  </si>
  <si>
    <t>Remoção de raízes remanescentes de tronco de árvore com diâmetro maior ou igual a 0,20 m e menor que 0,40 m. AF_05/2018</t>
  </si>
  <si>
    <t>Remoção de raízes remanescentes de tronco de árvore com diâmetro maior ou igual a 0,40 m e menor que 0,60 m. AF_05/2018</t>
  </si>
  <si>
    <t>Corte raso e recorte de árvore com diâmetro nominal de tronco maior ou igual a 0,20 m e menor que 0,40 m. AF_05/2018</t>
  </si>
  <si>
    <t>Corte raso e recorte de árvore com diâmetro nominal de tronco maior ou igual a 0,40 m e menor que 0,60 m. AF_05/2018</t>
  </si>
  <si>
    <t>Poda em altura de árvore com diâmetro nominal de tronco maior ou igual a 0,20 m e menor que 0,40 m. AF_05/2018</t>
  </si>
  <si>
    <t>Poda em altura de árvore com diâmetro nominal de tronco maior ou igual a 0,40 m e menor que 0,60 m. AF_05/2018</t>
  </si>
  <si>
    <t>Carga, manobra e descarga de materiais diversos em caminhão carroceria - carga e descaga manuais (REF. SICRO COD. 5915474)</t>
  </si>
  <si>
    <t>T</t>
  </si>
  <si>
    <t>Transporte com caminhão carroceria 9t, em via urbana pavimentada, DMT até 30,00 km (unidade: txkm). AF_07/2020</t>
  </si>
  <si>
    <t>Transporte com caminhão carroceria com guindauto (munck), momento máximo de carga 11,7 tm, em via urbana pavimentada, DMT até 30,00 km (unidade: txkm). AF_07/2020</t>
  </si>
  <si>
    <t>Transporte com caminhão tanque de transporte de material asfáltico de 20.000 l, em via urbana pavimentada, DMT até 30,00 km (unidade: txkm). AF_07/2020</t>
  </si>
  <si>
    <t>Execução e compactação de base e ou sub-base, estabilizado granulometricamente, sem mistura, com material de jazida. Exclusive fornecimento e transporte (REF. SINAPI COD. 4011219)</t>
  </si>
  <si>
    <t>Escavação vertical a céu aberto, em obras de infraestrutura, incluindo carga, descarga e transporte, em solo de 1a categoria com escavadeira hidráulica (caçamba: 0,80 m3 / 111 HP), frota de 3 caminhões basculantes de 14 m3, DMT até 1 km e velocidade média 14 km/h. AF_05/2020</t>
  </si>
  <si>
    <r>
      <t>JARDIM NASHIVILLE</t>
    </r>
    <r>
      <rPr>
        <b/>
        <sz val="10"/>
        <color rgb="FFFF0000"/>
        <rFont val="Arial"/>
        <family val="2"/>
      </rPr>
      <t xml:space="preserve"> </t>
    </r>
    <r>
      <rPr>
        <b/>
        <sz val="10"/>
        <rFont val="Arial"/>
        <family val="2"/>
      </rPr>
      <t>-</t>
    </r>
    <r>
      <rPr>
        <b/>
        <sz val="10"/>
        <color rgb="FFFF0000"/>
        <rFont val="Arial"/>
        <family val="2"/>
      </rPr>
      <t xml:space="preserve"> ETAPA "B" - FASE 2</t>
    </r>
  </si>
  <si>
    <t>JARDIM NASHIVILLE - ETAPA "B" - FASE 2</t>
  </si>
  <si>
    <t>Agosto/2023</t>
  </si>
  <si>
    <t/>
  </si>
  <si>
    <t>ok</t>
  </si>
  <si>
    <t>PA-2</t>
  </si>
  <si>
    <t>Tubo de concreto armado para aguas pluviais, classe PA-2, com encaixe ponta e bolsa, diâmetro nominal de 0,60 m (373,00 kg/m) - Aquisição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</si>
</sst>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8">
    <numFmt numFmtId="43" formatCode="_-* #,##0.00_-;\-* #,##0.00_-;_-* &quot;-&quot;??_-;_-@_-"/>
    <numFmt numFmtId="164" formatCode="_(&quot;R$&quot;* #,##0.00_);_(&quot;R$&quot;* \(#,##0.00\);_(&quot;R$&quot;* &quot;-&quot;??_);_(@_)"/>
    <numFmt numFmtId="165" formatCode="_(* #,##0.00_);_(* \(#,##0.00\);_(* &quot;-&quot;??_);_(@_)"/>
    <numFmt numFmtId="166" formatCode="&quot;R$ &quot;#,##0.00_);[Red]\(&quot;R$ &quot;#,##0.00\)"/>
    <numFmt numFmtId="167" formatCode="#,##0.000_);\(#,##0.000\)"/>
    <numFmt numFmtId="168" formatCode="[$-416]mmm\-yy;@"/>
    <numFmt numFmtId="169" formatCode="#,##0.0000_);\(#,##0.0000\)"/>
    <numFmt numFmtId="170" formatCode="General_)"/>
    <numFmt numFmtId="171" formatCode="[$€]#,##0.00_);[Red]\([$€]#,##0.00\)"/>
    <numFmt numFmtId="172" formatCode="_([$€-2]* #,##0.00_);_([$€-2]* \(#,##0.00\);_([$€-2]* &quot;-&quot;??_)"/>
    <numFmt numFmtId="173" formatCode="#,#00"/>
    <numFmt numFmtId="174" formatCode="#,##0.000_);[Red]\(#,##0.000\)"/>
    <numFmt numFmtId="175" formatCode="&quot;R$&quot;#,##0.00_);[Red]\(&quot;R$&quot;#,##0.00\)"/>
    <numFmt numFmtId="176" formatCode="_(&quot;$&quot;* #,##0.00_);_(&quot;$&quot;* \(#,##0.00\);_(&quot;$&quot;* &quot;-&quot;??_);_(@_)"/>
    <numFmt numFmtId="177" formatCode="d/m"/>
    <numFmt numFmtId="178" formatCode="%#,#00"/>
    <numFmt numFmtId="179" formatCode="#.##000"/>
    <numFmt numFmtId="180" formatCode="#,"/>
    <numFmt numFmtId="181" formatCode="#,##0.000;[Red]\-#,##0.000"/>
    <numFmt numFmtId="182" formatCode="#,##0.0_);\(#,##0.0\)"/>
    <numFmt numFmtId="183" formatCode="#,##0.000;\-#,##0.000"/>
    <numFmt numFmtId="184" formatCode="0.0%"/>
    <numFmt numFmtId="185" formatCode="#,##0.00_);\(#,##0.00\)"/>
    <numFmt numFmtId="186" formatCode="#,##0_);\(#,##0\)"/>
    <numFmt numFmtId="187" formatCode="0.0E+00"/>
    <numFmt numFmtId="188" formatCode="#,##0.0000;\-#,##0.0000"/>
    <numFmt numFmtId="189" formatCode="#,##0.0;\-#,##0.0"/>
    <numFmt numFmtId="190" formatCode="#,##0.00_);[Red]\(#,##0.00\)"/>
    <numFmt numFmtId="191" formatCode="#,##0.0000;[Red]\-#,##0.0000"/>
    <numFmt numFmtId="192" formatCode="#,##0.000000"/>
    <numFmt numFmtId="193" formatCode="_(* #,##0_);_(* \(#,##0\);_(* &quot;-&quot;??_);_(@_)"/>
    <numFmt numFmtId="194" formatCode="dd/mm/yy"/>
    <numFmt numFmtId="195" formatCode="#,##0.000"/>
    <numFmt numFmtId="196" formatCode="_-* #,##0.000000000_-;\-* #,##0.000000000_-;_-* &quot;-&quot;??_-;_-@_-"/>
    <numFmt numFmtId="197" formatCode="General\ &quot;m²&quot;"/>
    <numFmt numFmtId="198" formatCode="General\ &quot;meses&quot;"/>
    <numFmt numFmtId="199" formatCode="0.000%"/>
    <numFmt numFmtId="200" formatCode="General&quot; m/h&quot;"/>
    <numFmt numFmtId="201" formatCode="0.0000%"/>
    <numFmt numFmtId="202" formatCode="#,##0.00000_);\(#,##0.00000\)"/>
    <numFmt numFmtId="203" formatCode="#,##0.00_ ;[Red]\-#,##0.00\ "/>
    <numFmt numFmtId="204" formatCode="0.000"/>
    <numFmt numFmtId="205" formatCode="mmmm\,\ yyyy;@"/>
    <numFmt numFmtId="206" formatCode="General&quot; m&quot;"/>
    <numFmt numFmtId="207" formatCode="General&quot; m²&quot;"/>
    <numFmt numFmtId="208" formatCode="[$-416]mmmm\-yy;@"/>
    <numFmt numFmtId="209" formatCode="General\ &quot;*&quot;"/>
    <numFmt numFmtId="210" formatCode="0.0000000000%"/>
    <numFmt numFmtId="211" formatCode="0.E+00"/>
    <numFmt numFmtId="212" formatCode="#,##0.00_ ;\-#,##0.00\ "/>
    <numFmt numFmtId="213" formatCode="0.000000"/>
    <numFmt numFmtId="214" formatCode="General\ &quot;T/m2&quot;"/>
    <numFmt numFmtId="215" formatCode="General\ &quot;kg/m3&quot;"/>
    <numFmt numFmtId="216" formatCode="General\ &quot;m3/m3&quot;"/>
    <numFmt numFmtId="217" formatCode="General\ &quot;kg/m2&quot;"/>
    <numFmt numFmtId="218" formatCode="General\ &quot;T/un&quot;"/>
    <numFmt numFmtId="219" formatCode="#,##0.000000_);\(#,##0.000000\)"/>
    <numFmt numFmtId="220" formatCode="#,##0.000_ ;\-#,##0.000\ "/>
    <numFmt numFmtId="221" formatCode="0.0"/>
    <numFmt numFmtId="222" formatCode="#,##0.0"/>
    <numFmt numFmtId="223" formatCode="General\ &quot;m3/un&quot;"/>
    <numFmt numFmtId="224" formatCode="General&quot; kg/un&quot;"/>
    <numFmt numFmtId="225" formatCode="General\ &quot;T/m3&quot;"/>
    <numFmt numFmtId="226" formatCode="#,##0.0_ ;\-#,##0.0\ "/>
    <numFmt numFmtId="227" formatCode="#,##0_ ;\-#,##0\ "/>
    <numFmt numFmtId="228" formatCode="General\ &quot;m3&quot;"/>
    <numFmt numFmtId="229" formatCode="General\ &quot;T&quot;"/>
    <numFmt numFmtId="230" formatCode="General&quot; kg/m&quot;"/>
    <numFmt numFmtId="231" formatCode="General&quot; m3/h&quot;"/>
    <numFmt numFmtId="232" formatCode="General\ &quot;m²/mês&quot;"/>
    <numFmt numFmtId="233" formatCode="General&quot; m2/h&quot;"/>
    <numFmt numFmtId="234" formatCode="General\ &quot;mês&quot;"/>
    <numFmt numFmtId="235" formatCode="&quot;Ø&quot;\ 0.00"/>
    <numFmt numFmtId="236" formatCode="0.00\ &quot;m&quot;"/>
    <numFmt numFmtId="237" formatCode="General&quot; un/h&quot;"/>
    <numFmt numFmtId="238" formatCode="\+\ #.000"/>
    <numFmt numFmtId="239" formatCode="\+\ #.00"/>
    <numFmt numFmtId="240" formatCode="General\ &quot;m&quot;"/>
  </numFmts>
  <fonts count="197" x14ac:knownFonts="1">
    <font>
      <sz val="10"/>
      <name val="Courie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sz val="13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color indexed="12"/>
      <name val="Arial"/>
      <family val="2"/>
    </font>
    <font>
      <sz val="8"/>
      <color indexed="10"/>
      <name val="Arial"/>
      <family val="2"/>
    </font>
    <font>
      <b/>
      <sz val="10"/>
      <color indexed="10"/>
      <name val="Arial"/>
      <family val="2"/>
    </font>
    <font>
      <sz val="9"/>
      <color indexed="81"/>
      <name val="Tahoma"/>
      <family val="2"/>
    </font>
    <font>
      <sz val="10"/>
      <name val="Courier"/>
      <family val="3"/>
    </font>
    <font>
      <sz val="10"/>
      <name val="Courier"/>
      <family val="3"/>
    </font>
    <font>
      <sz val="10"/>
      <name val="MS Sans Serif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15"/>
      <name val="Arial"/>
      <family val="2"/>
    </font>
    <font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sz val="8"/>
      <color rgb="FFFF0000"/>
      <name val="Arial"/>
      <family val="2"/>
    </font>
    <font>
      <b/>
      <sz val="8"/>
      <color rgb="FFFF0000"/>
      <name val="Arial"/>
      <family val="2"/>
    </font>
    <font>
      <sz val="8"/>
      <name val="Courier"/>
      <family val="3"/>
    </font>
    <font>
      <sz val="9"/>
      <name val="Arial"/>
      <family val="2"/>
    </font>
    <font>
      <sz val="9"/>
      <name val="Courier"/>
      <family val="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sz val="1"/>
      <color indexed="8"/>
      <name val="Courier"/>
      <family val="3"/>
    </font>
    <font>
      <sz val="11"/>
      <color indexed="62"/>
      <name val="Calibri"/>
      <family val="2"/>
    </font>
    <font>
      <u/>
      <sz val="7.5"/>
      <color indexed="12"/>
      <name val="Courier"/>
      <family val="3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9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5"/>
      <color indexed="62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3"/>
      <color indexed="62"/>
      <name val="Calibri"/>
      <family val="2"/>
    </font>
    <font>
      <b/>
      <sz val="18"/>
      <color indexed="62"/>
      <name val="Cambria"/>
      <family val="2"/>
    </font>
    <font>
      <b/>
      <sz val="11"/>
      <color indexed="56"/>
      <name val="Calibri"/>
      <family val="2"/>
    </font>
    <font>
      <b/>
      <sz val="11"/>
      <color indexed="62"/>
      <name val="Calibri"/>
      <family val="2"/>
    </font>
    <font>
      <b/>
      <sz val="1"/>
      <color indexed="8"/>
      <name val="Courier"/>
      <family val="3"/>
    </font>
    <font>
      <b/>
      <sz val="11"/>
      <color indexed="8"/>
      <name val="Calibri"/>
      <family val="2"/>
    </font>
    <font>
      <b/>
      <sz val="16"/>
      <name val="Arial"/>
      <family val="2"/>
    </font>
    <font>
      <sz val="6"/>
      <name val="Arial"/>
      <family val="2"/>
    </font>
    <font>
      <sz val="11"/>
      <name val="Arial"/>
      <family val="2"/>
    </font>
    <font>
      <b/>
      <sz val="10"/>
      <color rgb="FF00B0F0"/>
      <name val="Arial"/>
      <family val="2"/>
    </font>
    <font>
      <sz val="10"/>
      <color indexed="10"/>
      <name val="Courier"/>
      <family val="3"/>
    </font>
    <font>
      <sz val="9"/>
      <color indexed="10"/>
      <name val="Arial"/>
      <family val="2"/>
    </font>
    <font>
      <sz val="10"/>
      <color indexed="48"/>
      <name val="Arial"/>
      <family val="2"/>
    </font>
    <font>
      <b/>
      <sz val="10"/>
      <name val="Courier"/>
      <family val="3"/>
    </font>
    <font>
      <b/>
      <sz val="10"/>
      <color rgb="FFFF0000"/>
      <name val="Arial"/>
      <family val="2"/>
    </font>
    <font>
      <b/>
      <sz val="10"/>
      <color rgb="FFFF0000"/>
      <name val="Courier"/>
      <family val="3"/>
    </font>
    <font>
      <sz val="8"/>
      <color theme="1" tint="0.34998626667073579"/>
      <name val="Arial"/>
      <family val="2"/>
    </font>
    <font>
      <b/>
      <sz val="10"/>
      <name val="Calibri"/>
      <family val="2"/>
    </font>
    <font>
      <b/>
      <sz val="9"/>
      <color indexed="81"/>
      <name val="Tahoma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vertAlign val="superscript"/>
      <sz val="8"/>
      <name val="Arial"/>
      <family val="2"/>
    </font>
    <font>
      <b/>
      <i/>
      <sz val="10"/>
      <color rgb="FFFF0000"/>
      <name val="Arial"/>
      <family val="2"/>
    </font>
    <font>
      <sz val="10"/>
      <name val="Arial"/>
      <family val="2"/>
    </font>
    <font>
      <sz val="11"/>
      <color indexed="10"/>
      <name val="Arial"/>
      <family val="2"/>
    </font>
    <font>
      <sz val="8"/>
      <color indexed="81"/>
      <name val="Calibri"/>
      <family val="2"/>
    </font>
    <font>
      <b/>
      <sz val="8"/>
      <color indexed="81"/>
      <name val="Calibri"/>
      <family val="2"/>
    </font>
    <font>
      <i/>
      <sz val="10"/>
      <color rgb="FFFF0000"/>
      <name val="Arial"/>
      <family val="2"/>
    </font>
    <font>
      <b/>
      <sz val="8"/>
      <name val="Calibri"/>
      <family val="2"/>
    </font>
    <font>
      <vertAlign val="superscript"/>
      <sz val="8"/>
      <name val="Arial"/>
      <family val="2"/>
    </font>
    <font>
      <u/>
      <sz val="10"/>
      <color theme="10"/>
      <name val="Courier"/>
      <family val="3"/>
    </font>
    <font>
      <sz val="15"/>
      <name val="Arial"/>
      <family val="2"/>
    </font>
    <font>
      <b/>
      <sz val="8"/>
      <color indexed="10"/>
      <name val="Arial"/>
      <family val="2"/>
    </font>
    <font>
      <sz val="10"/>
      <name val="Arial"/>
      <family val="2"/>
    </font>
    <font>
      <sz val="8"/>
      <name val="Symbol"/>
      <family val="1"/>
      <charset val="2"/>
    </font>
    <font>
      <b/>
      <sz val="8"/>
      <color rgb="FF0000FF"/>
      <name val="Arial"/>
      <family val="2"/>
    </font>
    <font>
      <b/>
      <sz val="8"/>
      <color rgb="FFFF0000"/>
      <name val="Wingdings 3"/>
      <family val="1"/>
      <charset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b/>
      <sz val="8"/>
      <color rgb="FFFF0000"/>
      <name val="Calibri"/>
      <family val="2"/>
    </font>
    <font>
      <sz val="16"/>
      <name val="Arial"/>
      <family val="2"/>
    </font>
    <font>
      <sz val="8"/>
      <color indexed="8"/>
      <name val="Times New Roman"/>
      <family val="1"/>
    </font>
    <font>
      <b/>
      <sz val="12"/>
      <color rgb="FFFF0000"/>
      <name val="Courier"/>
      <family val="3"/>
    </font>
    <font>
      <b/>
      <sz val="13"/>
      <name val="Arial"/>
      <family val="2"/>
    </font>
    <font>
      <b/>
      <i/>
      <sz val="8"/>
      <color rgb="FFFF0000"/>
      <name val="Arial"/>
      <family val="2"/>
    </font>
    <font>
      <i/>
      <sz val="8"/>
      <color rgb="FFFF0000"/>
      <name val="Arial"/>
      <family val="2"/>
    </font>
    <font>
      <b/>
      <sz val="15"/>
      <name val="Calibri"/>
      <family val="2"/>
    </font>
    <font>
      <sz val="15"/>
      <color indexed="81"/>
      <name val="Tahoma"/>
      <family val="2"/>
    </font>
    <font>
      <b/>
      <sz val="14"/>
      <name val="Arial"/>
      <family val="2"/>
    </font>
    <font>
      <b/>
      <sz val="8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0"/>
      <name val="Courier"/>
    </font>
    <font>
      <b/>
      <sz val="7"/>
      <color rgb="FFFF0000"/>
      <name val="Arial"/>
      <family val="2"/>
    </font>
    <font>
      <b/>
      <sz val="15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Calibri"/>
      <family val="2"/>
    </font>
    <font>
      <sz val="10"/>
      <name val="Courier"/>
      <family val="2"/>
    </font>
    <font>
      <b/>
      <sz val="8"/>
      <color theme="0"/>
      <name val="Arial"/>
      <family val="2"/>
    </font>
    <font>
      <sz val="11"/>
      <color rgb="FF000000"/>
      <name val="Calibri"/>
      <family val="2"/>
    </font>
    <font>
      <sz val="10"/>
      <color theme="0" tint="-0.249977111117893"/>
      <name val="Arial"/>
      <family val="2"/>
    </font>
    <font>
      <vertAlign val="superscript"/>
      <sz val="10"/>
      <name val="Arial"/>
      <family val="2"/>
    </font>
    <font>
      <sz val="10"/>
      <color theme="1"/>
      <name val="Arial"/>
      <family val="2"/>
    </font>
    <font>
      <b/>
      <sz val="8"/>
      <color rgb="FFCCFFCC"/>
      <name val="Arial"/>
      <family val="2"/>
    </font>
    <font>
      <sz val="8"/>
      <color rgb="FFCCFFCC"/>
      <name val="Arial"/>
      <family val="2"/>
    </font>
    <font>
      <b/>
      <sz val="13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7"/>
      <name val="Arial"/>
      <family val="2"/>
    </font>
    <font>
      <sz val="13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7"/>
      <color rgb="FF0000FF"/>
      <name val="Arial"/>
      <family val="2"/>
    </font>
    <font>
      <sz val="10"/>
      <color indexed="12"/>
      <name val="Arial"/>
      <family val="2"/>
    </font>
    <font>
      <b/>
      <sz val="10"/>
      <name val="Arial"/>
      <family val="2"/>
    </font>
    <font>
      <sz val="7"/>
      <name val="Arial"/>
      <family val="2"/>
    </font>
    <font>
      <sz val="10"/>
      <color indexed="10"/>
      <name val="Arial"/>
      <family val="2"/>
    </font>
    <font>
      <b/>
      <sz val="8"/>
      <name val="Arial"/>
      <family val="2"/>
    </font>
    <font>
      <b/>
      <i/>
      <vertAlign val="superscript"/>
      <sz val="12"/>
      <name val="Arial"/>
      <family val="2"/>
    </font>
    <font>
      <sz val="20"/>
      <name val="Arial"/>
      <family val="2"/>
    </font>
    <font>
      <b/>
      <sz val="12"/>
      <color rgb="FFFF0000"/>
      <name val="Calibri"/>
      <family val="2"/>
    </font>
    <font>
      <b/>
      <sz val="20"/>
      <name val="Arial"/>
      <family val="2"/>
    </font>
    <font>
      <sz val="8"/>
      <name val="Courier"/>
    </font>
    <font>
      <b/>
      <sz val="12"/>
      <color rgb="FFFF0000"/>
      <name val="Arial"/>
      <family val="2"/>
    </font>
    <font>
      <sz val="25"/>
      <color indexed="10"/>
      <name val="Arial"/>
      <family val="2"/>
    </font>
    <font>
      <b/>
      <sz val="15"/>
      <color theme="1"/>
      <name val="Arial"/>
      <family val="2"/>
    </font>
    <font>
      <sz val="11"/>
      <color rgb="FFFF0000"/>
      <name val="Arial"/>
      <family val="2"/>
    </font>
    <font>
      <sz val="40"/>
      <name val="Arial"/>
      <family val="2"/>
    </font>
    <font>
      <sz val="45"/>
      <name val="Arial"/>
      <family val="2"/>
    </font>
    <font>
      <sz val="50"/>
      <name val="Arial"/>
      <family val="2"/>
    </font>
    <font>
      <sz val="17"/>
      <name val="Arial"/>
      <family val="2"/>
    </font>
    <font>
      <sz val="17"/>
      <color rgb="FFFF0000"/>
      <name val="Arial"/>
      <family val="2"/>
    </font>
    <font>
      <sz val="11"/>
      <name val="Calibri"/>
      <family val="2"/>
    </font>
    <font>
      <sz val="15"/>
      <color rgb="FFFF0000"/>
      <name val="Arial"/>
      <family val="2"/>
    </font>
    <font>
      <b/>
      <sz val="25"/>
      <name val="Arial"/>
      <family val="2"/>
    </font>
    <font>
      <b/>
      <sz val="6"/>
      <color rgb="FFFF0000"/>
      <name val="Arial"/>
      <family val="2"/>
    </font>
    <font>
      <b/>
      <sz val="15"/>
      <color rgb="FFFF0000"/>
      <name val="Arial"/>
      <family val="2"/>
    </font>
    <font>
      <sz val="8"/>
      <name val="Calibri"/>
      <family val="2"/>
    </font>
    <font>
      <sz val="10"/>
      <color rgb="FF0000FF"/>
      <name val="Arial"/>
      <family val="2"/>
    </font>
    <font>
      <sz val="18"/>
      <color rgb="FFFF0000"/>
      <name val="Arial"/>
      <family val="2"/>
    </font>
    <font>
      <b/>
      <sz val="10"/>
      <color rgb="FFCCFFCC"/>
      <name val="Arial"/>
      <family val="2"/>
    </font>
    <font>
      <sz val="20"/>
      <color rgb="FFFF0000"/>
      <name val="Arial"/>
      <family val="2"/>
    </font>
    <font>
      <sz val="20"/>
      <color indexed="10"/>
      <name val="Arial"/>
      <family val="2"/>
    </font>
    <font>
      <sz val="8"/>
      <color rgb="FF0000FF"/>
      <name val="Arial"/>
      <family val="2"/>
    </font>
    <font>
      <sz val="10"/>
      <color rgb="FFCCFFCC"/>
      <name val="Arial"/>
      <family val="2"/>
    </font>
    <font>
      <sz val="25"/>
      <name val="Arial"/>
      <family val="2"/>
    </font>
    <font>
      <b/>
      <sz val="9"/>
      <color rgb="FFFF0000"/>
      <name val="Arial"/>
      <family val="2"/>
    </font>
    <font>
      <b/>
      <sz val="8"/>
      <color rgb="FF00B0F0"/>
      <name val="Arial"/>
      <family val="2"/>
    </font>
    <font>
      <b/>
      <sz val="8"/>
      <color theme="0" tint="-0.34998626667073579"/>
      <name val="Arial"/>
      <family val="2"/>
    </font>
    <font>
      <sz val="10"/>
      <color theme="0" tint="-0.34998626667073579"/>
      <name val="Arial"/>
      <family val="2"/>
    </font>
    <font>
      <b/>
      <sz val="12"/>
      <color rgb="FF0000FF"/>
      <name val="Arial"/>
      <family val="2"/>
    </font>
    <font>
      <b/>
      <sz val="10"/>
      <color rgb="FF0000FF"/>
      <name val="Arial"/>
      <family val="2"/>
    </font>
    <font>
      <sz val="15"/>
      <name val="Courier"/>
      <family val="2"/>
    </font>
    <font>
      <sz val="12"/>
      <name val="Calibri"/>
      <family val="2"/>
    </font>
    <font>
      <u/>
      <sz val="10"/>
      <color rgb="FFFF0000"/>
      <name val="Courier"/>
      <family val="3"/>
    </font>
    <font>
      <b/>
      <sz val="13"/>
      <color indexed="12"/>
      <name val="Arial"/>
      <family val="2"/>
    </font>
    <font>
      <b/>
      <sz val="15"/>
      <color theme="0" tint="-0.34998626667073579"/>
      <name val="Arial"/>
      <family val="2"/>
    </font>
    <font>
      <sz val="15"/>
      <color theme="0" tint="-0.34998626667073579"/>
      <name val="Arial"/>
      <family val="2"/>
    </font>
    <font>
      <u/>
      <sz val="10"/>
      <color theme="10"/>
      <name val="Arial"/>
      <family val="2"/>
    </font>
    <font>
      <sz val="9"/>
      <name val="Calibri"/>
      <family val="2"/>
    </font>
    <font>
      <sz val="6"/>
      <name val="Calibri"/>
      <family val="2"/>
    </font>
    <font>
      <vertAlign val="subscript"/>
      <sz val="10"/>
      <name val="Calibri"/>
      <family val="2"/>
    </font>
    <font>
      <sz val="6.5"/>
      <name val="Calibri"/>
      <family val="2"/>
    </font>
    <font>
      <sz val="9"/>
      <name val="Times New Roman"/>
      <family val="1"/>
    </font>
    <font>
      <sz val="14.5"/>
      <name val="Calibri"/>
      <family val="2"/>
    </font>
    <font>
      <sz val="10.5"/>
      <name val="Times New Roman"/>
      <family val="1"/>
    </font>
    <font>
      <sz val="10"/>
      <name val="Times New Roman"/>
      <family val="1"/>
    </font>
    <font>
      <sz val="14"/>
      <name val="Calibri"/>
      <family val="2"/>
    </font>
    <font>
      <sz val="8"/>
      <name val="Times New Roman"/>
      <family val="1"/>
    </font>
    <font>
      <sz val="13"/>
      <name val="Calibri"/>
      <family val="2"/>
    </font>
    <font>
      <sz val="7.5"/>
      <name val="Calibri"/>
      <family val="2"/>
    </font>
    <font>
      <sz val="8.5"/>
      <name val="Calibri"/>
      <family val="2"/>
    </font>
    <font>
      <sz val="5.5"/>
      <name val="Calibri"/>
      <family val="2"/>
    </font>
    <font>
      <sz val="11.5"/>
      <name val="Times New Roman"/>
      <family val="1"/>
    </font>
    <font>
      <sz val="13.5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color rgb="FFFF0000"/>
      <name val="Arial Black"/>
      <family val="2"/>
    </font>
  </fonts>
  <fills count="63">
    <fill>
      <patternFill patternType="none"/>
    </fill>
    <fill>
      <patternFill patternType="gray125"/>
    </fill>
    <fill>
      <patternFill patternType="solid">
        <fgColor indexed="52"/>
      </patternFill>
    </fill>
    <fill>
      <patternFill patternType="solid">
        <fgColor indexed="36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11"/>
      </patternFill>
    </fill>
    <fill>
      <patternFill patternType="solid">
        <fgColor indexed="31"/>
      </patternFill>
    </fill>
    <fill>
      <patternFill patternType="solid">
        <fgColor theme="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49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theme="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2E2E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EFEBE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8E6E4"/>
        <bgColor indexed="64"/>
      </patternFill>
    </fill>
    <fill>
      <patternFill patternType="solid">
        <fgColor rgb="FFFFEFFF"/>
        <bgColor indexed="64"/>
      </patternFill>
    </fill>
  </fills>
  <borders count="33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auto="1"/>
      </bottom>
      <diagonal/>
    </border>
    <border>
      <left style="thin">
        <color indexed="64"/>
      </left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auto="1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thick">
        <color auto="1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auto="1"/>
      </left>
      <right style="thin">
        <color auto="1"/>
      </right>
      <top style="double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</borders>
  <cellStyleXfs count="41076">
    <xf numFmtId="167" fontId="0" fillId="0" borderId="0"/>
    <xf numFmtId="0" fontId="19" fillId="8" borderId="1" applyNumberFormat="0" applyAlignment="0" applyProtection="0"/>
    <xf numFmtId="0" fontId="9" fillId="0" borderId="0" applyNumberFormat="0" applyFill="0" applyAlignment="0" applyProtection="0"/>
    <xf numFmtId="0" fontId="19" fillId="0" borderId="0" applyNumberFormat="0" applyBorder="0" applyAlignment="0" applyProtection="0"/>
    <xf numFmtId="0" fontId="19" fillId="2" borderId="0" applyNumberFormat="0" applyBorder="0" applyAlignment="0" applyProtection="0"/>
    <xf numFmtId="0" fontId="19" fillId="3" borderId="0" applyNumberFormat="0" applyBorder="0" applyAlignment="0" applyProtection="0"/>
    <xf numFmtId="0" fontId="19" fillId="0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1" applyNumberFormat="0" applyAlignment="0" applyProtection="0"/>
    <xf numFmtId="0" fontId="19" fillId="5" borderId="0" applyNumberFormat="0" applyBorder="0" applyAlignment="0" applyProtection="0"/>
    <xf numFmtId="0" fontId="19" fillId="4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0" borderId="0" applyNumberFormat="0" applyFill="0" applyAlignment="0" applyProtection="0"/>
    <xf numFmtId="0" fontId="19" fillId="6" borderId="0" applyNumberFormat="0" applyBorder="0" applyAlignment="0" applyProtection="0"/>
    <xf numFmtId="168" fontId="20" fillId="0" borderId="0"/>
    <xf numFmtId="0" fontId="25" fillId="0" borderId="0"/>
    <xf numFmtId="0" fontId="7" fillId="0" borderId="0"/>
    <xf numFmtId="0" fontId="7" fillId="0" borderId="0"/>
    <xf numFmtId="9" fontId="19" fillId="0" borderId="0" applyFont="0" applyFill="0" applyBorder="0" applyAlignment="0" applyProtection="0"/>
    <xf numFmtId="9" fontId="21" fillId="0" borderId="0" applyFont="0" applyFill="0" applyBorder="0" applyAlignment="0" applyProtection="0"/>
    <xf numFmtId="165" fontId="19" fillId="0" borderId="0" applyFont="0" applyFill="0" applyBorder="0" applyAlignment="0" applyProtection="0"/>
    <xf numFmtId="40" fontId="21" fillId="0" borderId="0" applyFont="0" applyFill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7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7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13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13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13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13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8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8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9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9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9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9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9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9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7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7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7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7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13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13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20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20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20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20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6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6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13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13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20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20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20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20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5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5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17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17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17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17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15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15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22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22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22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22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6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6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5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5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5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5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3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3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14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14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14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14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3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3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0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0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0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0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2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2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15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15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15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15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16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16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20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20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20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20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6" fillId="25" borderId="1" applyNumberFormat="0" applyAlignment="0" applyProtection="0"/>
    <xf numFmtId="0" fontId="36" fillId="25" borderId="1" applyNumberFormat="0" applyAlignment="0" applyProtection="0"/>
    <xf numFmtId="0" fontId="36" fillId="25" borderId="1" applyNumberFormat="0" applyAlignment="0" applyProtection="0"/>
    <xf numFmtId="0" fontId="36" fillId="25" borderId="1" applyNumberFormat="0" applyAlignment="0" applyProtection="0"/>
    <xf numFmtId="0" fontId="36" fillId="25" borderId="1" applyNumberFormat="0" applyAlignment="0" applyProtection="0"/>
    <xf numFmtId="0" fontId="36" fillId="25" borderId="1" applyNumberFormat="0" applyAlignment="0" applyProtection="0"/>
    <xf numFmtId="0" fontId="35" fillId="24" borderId="1" applyNumberFormat="0" applyAlignment="0" applyProtection="0"/>
    <xf numFmtId="0" fontId="36" fillId="25" borderId="1" applyNumberFormat="0" applyAlignment="0" applyProtection="0"/>
    <xf numFmtId="0" fontId="36" fillId="25" borderId="1" applyNumberFormat="0" applyAlignment="0" applyProtection="0"/>
    <xf numFmtId="0" fontId="36" fillId="25" borderId="1" applyNumberFormat="0" applyAlignment="0" applyProtection="0"/>
    <xf numFmtId="0" fontId="36" fillId="25" borderId="1" applyNumberFormat="0" applyAlignment="0" applyProtection="0"/>
    <xf numFmtId="0" fontId="36" fillId="25" borderId="1" applyNumberFormat="0" applyAlignment="0" applyProtection="0"/>
    <xf numFmtId="0" fontId="36" fillId="25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6" fillId="25" borderId="1" applyNumberFormat="0" applyAlignment="0" applyProtection="0"/>
    <xf numFmtId="0" fontId="36" fillId="25" borderId="1" applyNumberFormat="0" applyAlignment="0" applyProtection="0"/>
    <xf numFmtId="0" fontId="36" fillId="25" borderId="1" applyNumberFormat="0" applyAlignment="0" applyProtection="0"/>
    <xf numFmtId="0" fontId="36" fillId="25" borderId="1" applyNumberFormat="0" applyAlignment="0" applyProtection="0"/>
    <xf numFmtId="0" fontId="36" fillId="25" borderId="1" applyNumberFormat="0" applyAlignment="0" applyProtection="0"/>
    <xf numFmtId="0" fontId="36" fillId="25" borderId="1" applyNumberFormat="0" applyAlignment="0" applyProtection="0"/>
    <xf numFmtId="0" fontId="35" fillId="24" borderId="1" applyNumberFormat="0" applyAlignment="0" applyProtection="0"/>
    <xf numFmtId="0" fontId="36" fillId="25" borderId="1" applyNumberFormat="0" applyAlignment="0" applyProtection="0"/>
    <xf numFmtId="0" fontId="36" fillId="25" borderId="1" applyNumberFormat="0" applyAlignment="0" applyProtection="0"/>
    <xf numFmtId="0" fontId="36" fillId="25" borderId="1" applyNumberFormat="0" applyAlignment="0" applyProtection="0"/>
    <xf numFmtId="0" fontId="36" fillId="25" borderId="1" applyNumberFormat="0" applyAlignment="0" applyProtection="0"/>
    <xf numFmtId="0" fontId="36" fillId="25" borderId="1" applyNumberFormat="0" applyAlignment="0" applyProtection="0"/>
    <xf numFmtId="0" fontId="36" fillId="25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6" fillId="25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6" fillId="25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6" fillId="25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6" fillId="25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6" fillId="25" borderId="1" applyNumberFormat="0" applyAlignment="0" applyProtection="0"/>
    <xf numFmtId="0" fontId="36" fillId="25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6" fillId="25" borderId="1" applyNumberFormat="0" applyAlignment="0" applyProtection="0"/>
    <xf numFmtId="0" fontId="36" fillId="25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6" fillId="25" borderId="1" applyNumberFormat="0" applyAlignment="0" applyProtection="0"/>
    <xf numFmtId="0" fontId="36" fillId="25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6" fillId="25" borderId="1" applyNumberFormat="0" applyAlignment="0" applyProtection="0"/>
    <xf numFmtId="0" fontId="36" fillId="25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5" fillId="24" borderId="1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9" fillId="0" borderId="47" applyNumberFormat="0" applyFill="0" applyAlignment="0" applyProtection="0"/>
    <xf numFmtId="0" fontId="39" fillId="0" borderId="47" applyNumberFormat="0" applyFill="0" applyAlignment="0" applyProtection="0"/>
    <xf numFmtId="0" fontId="39" fillId="0" borderId="47" applyNumberFormat="0" applyFill="0" applyAlignment="0" applyProtection="0"/>
    <xf numFmtId="0" fontId="39" fillId="0" borderId="47" applyNumberFormat="0" applyFill="0" applyAlignment="0" applyProtection="0"/>
    <xf numFmtId="0" fontId="39" fillId="0" borderId="47" applyNumberFormat="0" applyFill="0" applyAlignment="0" applyProtection="0"/>
    <xf numFmtId="0" fontId="39" fillId="0" borderId="47" applyNumberFormat="0" applyFill="0" applyAlignment="0" applyProtection="0"/>
    <xf numFmtId="0" fontId="38" fillId="0" borderId="46" applyNumberFormat="0" applyFill="0" applyAlignment="0" applyProtection="0"/>
    <xf numFmtId="0" fontId="39" fillId="0" borderId="47" applyNumberFormat="0" applyFill="0" applyAlignment="0" applyProtection="0"/>
    <xf numFmtId="0" fontId="39" fillId="0" borderId="47" applyNumberFormat="0" applyFill="0" applyAlignment="0" applyProtection="0"/>
    <xf numFmtId="0" fontId="39" fillId="0" borderId="47" applyNumberFormat="0" applyFill="0" applyAlignment="0" applyProtection="0"/>
    <xf numFmtId="0" fontId="39" fillId="0" borderId="47" applyNumberFormat="0" applyFill="0" applyAlignment="0" applyProtection="0"/>
    <xf numFmtId="0" fontId="39" fillId="0" borderId="47" applyNumberFormat="0" applyFill="0" applyAlignment="0" applyProtection="0"/>
    <xf numFmtId="0" fontId="39" fillId="0" borderId="47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9" fillId="0" borderId="47" applyNumberFormat="0" applyFill="0" applyAlignment="0" applyProtection="0"/>
    <xf numFmtId="0" fontId="39" fillId="0" borderId="47" applyNumberFormat="0" applyFill="0" applyAlignment="0" applyProtection="0"/>
    <xf numFmtId="0" fontId="39" fillId="0" borderId="47" applyNumberFormat="0" applyFill="0" applyAlignment="0" applyProtection="0"/>
    <xf numFmtId="0" fontId="39" fillId="0" borderId="47" applyNumberFormat="0" applyFill="0" applyAlignment="0" applyProtection="0"/>
    <xf numFmtId="0" fontId="39" fillId="0" borderId="47" applyNumberFormat="0" applyFill="0" applyAlignment="0" applyProtection="0"/>
    <xf numFmtId="0" fontId="39" fillId="0" borderId="47" applyNumberFormat="0" applyFill="0" applyAlignment="0" applyProtection="0"/>
    <xf numFmtId="0" fontId="38" fillId="0" borderId="46" applyNumberFormat="0" applyFill="0" applyAlignment="0" applyProtection="0"/>
    <xf numFmtId="0" fontId="39" fillId="0" borderId="47" applyNumberFormat="0" applyFill="0" applyAlignment="0" applyProtection="0"/>
    <xf numFmtId="0" fontId="39" fillId="0" borderId="47" applyNumberFormat="0" applyFill="0" applyAlignment="0" applyProtection="0"/>
    <xf numFmtId="0" fontId="39" fillId="0" borderId="47" applyNumberFormat="0" applyFill="0" applyAlignment="0" applyProtection="0"/>
    <xf numFmtId="0" fontId="39" fillId="0" borderId="47" applyNumberFormat="0" applyFill="0" applyAlignment="0" applyProtection="0"/>
    <xf numFmtId="0" fontId="39" fillId="0" borderId="47" applyNumberFormat="0" applyFill="0" applyAlignment="0" applyProtection="0"/>
    <xf numFmtId="0" fontId="39" fillId="0" borderId="47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9" fillId="0" borderId="47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9" fillId="0" borderId="47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9" fillId="0" borderId="47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9" fillId="0" borderId="47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9" fillId="0" borderId="47" applyNumberFormat="0" applyFill="0" applyAlignment="0" applyProtection="0"/>
    <xf numFmtId="0" fontId="39" fillId="0" borderId="47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9" fillId="0" borderId="47" applyNumberFormat="0" applyFill="0" applyAlignment="0" applyProtection="0"/>
    <xf numFmtId="0" fontId="39" fillId="0" borderId="47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9" fillId="0" borderId="47" applyNumberFormat="0" applyFill="0" applyAlignment="0" applyProtection="0"/>
    <xf numFmtId="0" fontId="39" fillId="0" borderId="47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9" fillId="0" borderId="47" applyNumberFormat="0" applyFill="0" applyAlignment="0" applyProtection="0"/>
    <xf numFmtId="0" fontId="39" fillId="0" borderId="47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38" fillId="0" borderId="46" applyNumberFormat="0" applyFill="0" applyAlignment="0" applyProtection="0"/>
    <xf numFmtId="0" fontId="40" fillId="0" borderId="0">
      <protection locked="0"/>
    </xf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9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9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2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2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2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2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30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30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5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5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5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5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1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1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1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1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1" borderId="0" applyNumberFormat="0" applyBorder="0" applyAlignment="0" applyProtection="0"/>
    <xf numFmtId="0" fontId="33" fillId="31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2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2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9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9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9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9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4" borderId="1" applyNumberFormat="0" applyAlignment="0" applyProtection="0"/>
    <xf numFmtId="0" fontId="41" fillId="4" borderId="1" applyNumberFormat="0" applyAlignment="0" applyProtection="0"/>
    <xf numFmtId="0" fontId="41" fillId="4" borderId="1" applyNumberFormat="0" applyAlignment="0" applyProtection="0"/>
    <xf numFmtId="0" fontId="41" fillId="4" borderId="1" applyNumberFormat="0" applyAlignment="0" applyProtection="0"/>
    <xf numFmtId="0" fontId="41" fillId="4" borderId="1" applyNumberFormat="0" applyAlignment="0" applyProtection="0"/>
    <xf numFmtId="0" fontId="41" fillId="4" borderId="1" applyNumberFormat="0" applyAlignment="0" applyProtection="0"/>
    <xf numFmtId="0" fontId="41" fillId="19" borderId="1" applyNumberFormat="0" applyAlignment="0" applyProtection="0"/>
    <xf numFmtId="0" fontId="41" fillId="4" borderId="1" applyNumberFormat="0" applyAlignment="0" applyProtection="0"/>
    <xf numFmtId="0" fontId="41" fillId="4" borderId="1" applyNumberFormat="0" applyAlignment="0" applyProtection="0"/>
    <xf numFmtId="0" fontId="41" fillId="4" borderId="1" applyNumberFormat="0" applyAlignment="0" applyProtection="0"/>
    <xf numFmtId="0" fontId="41" fillId="4" borderId="1" applyNumberFormat="0" applyAlignment="0" applyProtection="0"/>
    <xf numFmtId="0" fontId="41" fillId="4" borderId="1" applyNumberFormat="0" applyAlignment="0" applyProtection="0"/>
    <xf numFmtId="0" fontId="41" fillId="4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4" borderId="1" applyNumberFormat="0" applyAlignment="0" applyProtection="0"/>
    <xf numFmtId="0" fontId="41" fillId="4" borderId="1" applyNumberFormat="0" applyAlignment="0" applyProtection="0"/>
    <xf numFmtId="0" fontId="41" fillId="4" borderId="1" applyNumberFormat="0" applyAlignment="0" applyProtection="0"/>
    <xf numFmtId="0" fontId="41" fillId="4" borderId="1" applyNumberFormat="0" applyAlignment="0" applyProtection="0"/>
    <xf numFmtId="0" fontId="41" fillId="4" borderId="1" applyNumberFormat="0" applyAlignment="0" applyProtection="0"/>
    <xf numFmtId="0" fontId="41" fillId="4" borderId="1" applyNumberFormat="0" applyAlignment="0" applyProtection="0"/>
    <xf numFmtId="0" fontId="41" fillId="19" borderId="1" applyNumberFormat="0" applyAlignment="0" applyProtection="0"/>
    <xf numFmtId="0" fontId="41" fillId="4" borderId="1" applyNumberFormat="0" applyAlignment="0" applyProtection="0"/>
    <xf numFmtId="0" fontId="41" fillId="4" borderId="1" applyNumberFormat="0" applyAlignment="0" applyProtection="0"/>
    <xf numFmtId="0" fontId="41" fillId="4" borderId="1" applyNumberFormat="0" applyAlignment="0" applyProtection="0"/>
    <xf numFmtId="0" fontId="41" fillId="4" borderId="1" applyNumberFormat="0" applyAlignment="0" applyProtection="0"/>
    <xf numFmtId="0" fontId="41" fillId="4" borderId="1" applyNumberFormat="0" applyAlignment="0" applyProtection="0"/>
    <xf numFmtId="0" fontId="41" fillId="4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4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4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4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4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4" borderId="1" applyNumberFormat="0" applyAlignment="0" applyProtection="0"/>
    <xf numFmtId="0" fontId="41" fillId="4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4" borderId="1" applyNumberFormat="0" applyAlignment="0" applyProtection="0"/>
    <xf numFmtId="0" fontId="41" fillId="4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4" borderId="1" applyNumberFormat="0" applyAlignment="0" applyProtection="0"/>
    <xf numFmtId="0" fontId="41" fillId="4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4" borderId="1" applyNumberFormat="0" applyAlignment="0" applyProtection="0"/>
    <xf numFmtId="0" fontId="41" fillId="4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0" fontId="41" fillId="19" borderId="1" applyNumberFormat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2" fontId="7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3" fontId="40" fillId="0" borderId="0"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8" borderId="0" applyNumberFormat="0" applyBorder="0" applyAlignment="0" applyProtection="0"/>
    <xf numFmtId="0" fontId="43" fillId="18" borderId="0" applyNumberFormat="0" applyBorder="0" applyAlignment="0" applyProtection="0"/>
    <xf numFmtId="0" fontId="43" fillId="18" borderId="0" applyNumberFormat="0" applyBorder="0" applyAlignment="0" applyProtection="0"/>
    <xf numFmtId="0" fontId="43" fillId="18" borderId="0" applyNumberFormat="0" applyBorder="0" applyAlignment="0" applyProtection="0"/>
    <xf numFmtId="0" fontId="43" fillId="18" borderId="0" applyNumberFormat="0" applyBorder="0" applyAlignment="0" applyProtection="0"/>
    <xf numFmtId="0" fontId="43" fillId="18" borderId="0" applyNumberFormat="0" applyBorder="0" applyAlignment="0" applyProtection="0"/>
    <xf numFmtId="0" fontId="43" fillId="14" borderId="0" applyNumberFormat="0" applyBorder="0" applyAlignment="0" applyProtection="0"/>
    <xf numFmtId="0" fontId="43" fillId="18" borderId="0" applyNumberFormat="0" applyBorder="0" applyAlignment="0" applyProtection="0"/>
    <xf numFmtId="0" fontId="43" fillId="18" borderId="0" applyNumberFormat="0" applyBorder="0" applyAlignment="0" applyProtection="0"/>
    <xf numFmtId="0" fontId="43" fillId="18" borderId="0" applyNumberFormat="0" applyBorder="0" applyAlignment="0" applyProtection="0"/>
    <xf numFmtId="0" fontId="43" fillId="18" borderId="0" applyNumberFormat="0" applyBorder="0" applyAlignment="0" applyProtection="0"/>
    <xf numFmtId="0" fontId="43" fillId="18" borderId="0" applyNumberFormat="0" applyBorder="0" applyAlignment="0" applyProtection="0"/>
    <xf numFmtId="0" fontId="43" fillId="18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8" borderId="0" applyNumberFormat="0" applyBorder="0" applyAlignment="0" applyProtection="0"/>
    <xf numFmtId="0" fontId="43" fillId="18" borderId="0" applyNumberFormat="0" applyBorder="0" applyAlignment="0" applyProtection="0"/>
    <xf numFmtId="0" fontId="43" fillId="18" borderId="0" applyNumberFormat="0" applyBorder="0" applyAlignment="0" applyProtection="0"/>
    <xf numFmtId="0" fontId="43" fillId="18" borderId="0" applyNumberFormat="0" applyBorder="0" applyAlignment="0" applyProtection="0"/>
    <xf numFmtId="0" fontId="43" fillId="18" borderId="0" applyNumberFormat="0" applyBorder="0" applyAlignment="0" applyProtection="0"/>
    <xf numFmtId="0" fontId="43" fillId="18" borderId="0" applyNumberFormat="0" applyBorder="0" applyAlignment="0" applyProtection="0"/>
    <xf numFmtId="0" fontId="43" fillId="14" borderId="0" applyNumberFormat="0" applyBorder="0" applyAlignment="0" applyProtection="0"/>
    <xf numFmtId="0" fontId="43" fillId="18" borderId="0" applyNumberFormat="0" applyBorder="0" applyAlignment="0" applyProtection="0"/>
    <xf numFmtId="0" fontId="43" fillId="18" borderId="0" applyNumberFormat="0" applyBorder="0" applyAlignment="0" applyProtection="0"/>
    <xf numFmtId="0" fontId="43" fillId="18" borderId="0" applyNumberFormat="0" applyBorder="0" applyAlignment="0" applyProtection="0"/>
    <xf numFmtId="0" fontId="43" fillId="18" borderId="0" applyNumberFormat="0" applyBorder="0" applyAlignment="0" applyProtection="0"/>
    <xf numFmtId="0" fontId="43" fillId="18" borderId="0" applyNumberFormat="0" applyBorder="0" applyAlignment="0" applyProtection="0"/>
    <xf numFmtId="0" fontId="43" fillId="18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8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8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8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8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8" borderId="0" applyNumberFormat="0" applyBorder="0" applyAlignment="0" applyProtection="0"/>
    <xf numFmtId="0" fontId="43" fillId="18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8" borderId="0" applyNumberFormat="0" applyBorder="0" applyAlignment="0" applyProtection="0"/>
    <xf numFmtId="0" fontId="43" fillId="18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8" borderId="0" applyNumberFormat="0" applyBorder="0" applyAlignment="0" applyProtection="0"/>
    <xf numFmtId="0" fontId="43" fillId="18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8" borderId="0" applyNumberFormat="0" applyBorder="0" applyAlignment="0" applyProtection="0"/>
    <xf numFmtId="0" fontId="43" fillId="18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20" fillId="0" borderId="0"/>
    <xf numFmtId="174" fontId="7" fillId="0" borderId="0" applyFont="0" applyFill="0" applyBorder="0" applyAlignment="0" applyProtection="0"/>
    <xf numFmtId="164" fontId="32" fillId="0" borderId="0" applyFont="0" applyFill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5" fillId="4" borderId="0" applyNumberFormat="0" applyBorder="0" applyAlignment="0" applyProtection="0"/>
    <xf numFmtId="0" fontId="45" fillId="4" borderId="0" applyNumberFormat="0" applyBorder="0" applyAlignment="0" applyProtection="0"/>
    <xf numFmtId="0" fontId="45" fillId="4" borderId="0" applyNumberFormat="0" applyBorder="0" applyAlignment="0" applyProtection="0"/>
    <xf numFmtId="0" fontId="45" fillId="4" borderId="0" applyNumberFormat="0" applyBorder="0" applyAlignment="0" applyProtection="0"/>
    <xf numFmtId="0" fontId="45" fillId="4" borderId="0" applyNumberFormat="0" applyBorder="0" applyAlignment="0" applyProtection="0"/>
    <xf numFmtId="0" fontId="45" fillId="4" borderId="0" applyNumberFormat="0" applyBorder="0" applyAlignment="0" applyProtection="0"/>
    <xf numFmtId="0" fontId="44" fillId="4" borderId="0" applyNumberFormat="0" applyBorder="0" applyAlignment="0" applyProtection="0"/>
    <xf numFmtId="0" fontId="45" fillId="4" borderId="0" applyNumberFormat="0" applyBorder="0" applyAlignment="0" applyProtection="0"/>
    <xf numFmtId="0" fontId="45" fillId="4" borderId="0" applyNumberFormat="0" applyBorder="0" applyAlignment="0" applyProtection="0"/>
    <xf numFmtId="0" fontId="45" fillId="4" borderId="0" applyNumberFormat="0" applyBorder="0" applyAlignment="0" applyProtection="0"/>
    <xf numFmtId="0" fontId="45" fillId="4" borderId="0" applyNumberFormat="0" applyBorder="0" applyAlignment="0" applyProtection="0"/>
    <xf numFmtId="0" fontId="45" fillId="4" borderId="0" applyNumberFormat="0" applyBorder="0" applyAlignment="0" applyProtection="0"/>
    <xf numFmtId="0" fontId="45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5" fillId="4" borderId="0" applyNumberFormat="0" applyBorder="0" applyAlignment="0" applyProtection="0"/>
    <xf numFmtId="0" fontId="45" fillId="4" borderId="0" applyNumberFormat="0" applyBorder="0" applyAlignment="0" applyProtection="0"/>
    <xf numFmtId="0" fontId="45" fillId="4" borderId="0" applyNumberFormat="0" applyBorder="0" applyAlignment="0" applyProtection="0"/>
    <xf numFmtId="0" fontId="45" fillId="4" borderId="0" applyNumberFormat="0" applyBorder="0" applyAlignment="0" applyProtection="0"/>
    <xf numFmtId="0" fontId="45" fillId="4" borderId="0" applyNumberFormat="0" applyBorder="0" applyAlignment="0" applyProtection="0"/>
    <xf numFmtId="0" fontId="45" fillId="4" borderId="0" applyNumberFormat="0" applyBorder="0" applyAlignment="0" applyProtection="0"/>
    <xf numFmtId="0" fontId="44" fillId="4" borderId="0" applyNumberFormat="0" applyBorder="0" applyAlignment="0" applyProtection="0"/>
    <xf numFmtId="0" fontId="45" fillId="4" borderId="0" applyNumberFormat="0" applyBorder="0" applyAlignment="0" applyProtection="0"/>
    <xf numFmtId="0" fontId="45" fillId="4" borderId="0" applyNumberFormat="0" applyBorder="0" applyAlignment="0" applyProtection="0"/>
    <xf numFmtId="0" fontId="45" fillId="4" borderId="0" applyNumberFormat="0" applyBorder="0" applyAlignment="0" applyProtection="0"/>
    <xf numFmtId="0" fontId="45" fillId="4" borderId="0" applyNumberFormat="0" applyBorder="0" applyAlignment="0" applyProtection="0"/>
    <xf numFmtId="0" fontId="45" fillId="4" borderId="0" applyNumberFormat="0" applyBorder="0" applyAlignment="0" applyProtection="0"/>
    <xf numFmtId="0" fontId="45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5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5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5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5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5" fillId="4" borderId="0" applyNumberFormat="0" applyBorder="0" applyAlignment="0" applyProtection="0"/>
    <xf numFmtId="0" fontId="45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5" fillId="4" borderId="0" applyNumberFormat="0" applyBorder="0" applyAlignment="0" applyProtection="0"/>
    <xf numFmtId="0" fontId="45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5" fillId="4" borderId="0" applyNumberFormat="0" applyBorder="0" applyAlignment="0" applyProtection="0"/>
    <xf numFmtId="0" fontId="45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5" fillId="4" borderId="0" applyNumberFormat="0" applyBorder="0" applyAlignment="0" applyProtection="0"/>
    <xf numFmtId="0" fontId="45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167" fontId="20" fillId="0" borderId="0"/>
    <xf numFmtId="2" fontId="7" fillId="0" borderId="0" applyProtection="0"/>
    <xf numFmtId="2" fontId="7" fillId="0" borderId="0" applyProtection="0"/>
    <xf numFmtId="2" fontId="7" fillId="0" borderId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20" fillId="0" borderId="0"/>
    <xf numFmtId="0" fontId="7" fillId="0" borderId="0"/>
    <xf numFmtId="167" fontId="20" fillId="0" borderId="0"/>
    <xf numFmtId="0" fontId="7" fillId="0" borderId="0"/>
    <xf numFmtId="167" fontId="20" fillId="0" borderId="0"/>
    <xf numFmtId="0" fontId="7" fillId="0" borderId="0"/>
    <xf numFmtId="167" fontId="20" fillId="0" borderId="0"/>
    <xf numFmtId="2" fontId="7" fillId="0" borderId="0" applyProtection="0"/>
    <xf numFmtId="2" fontId="7" fillId="0" borderId="0" applyProtection="0"/>
    <xf numFmtId="2" fontId="7" fillId="0" borderId="0" applyProtection="0"/>
    <xf numFmtId="167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7" fillId="0" borderId="0"/>
    <xf numFmtId="167" fontId="20" fillId="0" borderId="0"/>
    <xf numFmtId="167" fontId="20" fillId="0" borderId="0"/>
    <xf numFmtId="0" fontId="6" fillId="0" borderId="0"/>
    <xf numFmtId="0" fontId="6" fillId="0" borderId="0"/>
    <xf numFmtId="0" fontId="7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20" fillId="0" borderId="0"/>
    <xf numFmtId="167" fontId="20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167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75" fontId="20" fillId="0" borderId="0"/>
    <xf numFmtId="167" fontId="20" fillId="0" borderId="0"/>
    <xf numFmtId="167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4" fontId="2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0" fontId="32" fillId="0" borderId="0"/>
    <xf numFmtId="0" fontId="32" fillId="0" borderId="0"/>
    <xf numFmtId="167" fontId="2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74" fontId="2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74" fontId="2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74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2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0" fontId="20" fillId="0" borderId="0"/>
    <xf numFmtId="0" fontId="2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67" fontId="2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0" fontId="20" fillId="0" borderId="0"/>
    <xf numFmtId="0" fontId="2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67" fontId="2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0" fontId="20" fillId="0" borderId="0"/>
    <xf numFmtId="0" fontId="2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67" fontId="20" fillId="0" borderId="0"/>
    <xf numFmtId="167" fontId="2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0" fontId="20" fillId="0" borderId="0"/>
    <xf numFmtId="0" fontId="20" fillId="0" borderId="0"/>
    <xf numFmtId="167" fontId="2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67" fontId="2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0" fontId="20" fillId="0" borderId="0"/>
    <xf numFmtId="0" fontId="2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67" fontId="2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0" fontId="20" fillId="0" borderId="0"/>
    <xf numFmtId="0" fontId="2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67" fontId="20" fillId="0" borderId="0"/>
    <xf numFmtId="0" fontId="32" fillId="0" borderId="0"/>
    <xf numFmtId="0" fontId="32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20" fillId="0" borderId="0"/>
    <xf numFmtId="0" fontId="2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76" fontId="20" fillId="0" borderId="0"/>
    <xf numFmtId="174" fontId="20" fillId="0" borderId="0"/>
    <xf numFmtId="0" fontId="32" fillId="0" borderId="0"/>
    <xf numFmtId="167" fontId="20" fillId="0" borderId="0"/>
    <xf numFmtId="0" fontId="32" fillId="0" borderId="0"/>
    <xf numFmtId="167" fontId="20" fillId="0" borderId="0"/>
    <xf numFmtId="0" fontId="32" fillId="0" borderId="0"/>
    <xf numFmtId="167" fontId="20" fillId="0" borderId="0"/>
    <xf numFmtId="0" fontId="32" fillId="0" borderId="0"/>
    <xf numFmtId="167" fontId="20" fillId="0" borderId="0"/>
    <xf numFmtId="168" fontId="20" fillId="0" borderId="0"/>
    <xf numFmtId="167" fontId="20" fillId="0" borderId="0"/>
    <xf numFmtId="168" fontId="20" fillId="0" borderId="0"/>
    <xf numFmtId="167" fontId="20" fillId="0" borderId="0"/>
    <xf numFmtId="168" fontId="20" fillId="0" borderId="0"/>
    <xf numFmtId="167" fontId="20" fillId="0" borderId="0"/>
    <xf numFmtId="168" fontId="20" fillId="0" borderId="0"/>
    <xf numFmtId="0" fontId="32" fillId="0" borderId="0"/>
    <xf numFmtId="176" fontId="20" fillId="0" borderId="0"/>
    <xf numFmtId="167" fontId="20" fillId="0" borderId="0"/>
    <xf numFmtId="176" fontId="20" fillId="0" borderId="0"/>
    <xf numFmtId="176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6" fontId="20" fillId="0" borderId="0"/>
    <xf numFmtId="176" fontId="20" fillId="0" borderId="0"/>
    <xf numFmtId="176" fontId="20" fillId="0" borderId="0"/>
    <xf numFmtId="176" fontId="20" fillId="0" borderId="0"/>
    <xf numFmtId="176" fontId="20" fillId="0" borderId="0"/>
    <xf numFmtId="176" fontId="20" fillId="0" borderId="0"/>
    <xf numFmtId="176" fontId="20" fillId="0" borderId="0"/>
    <xf numFmtId="176" fontId="20" fillId="0" borderId="0"/>
    <xf numFmtId="0" fontId="32" fillId="0" borderId="0"/>
    <xf numFmtId="176" fontId="20" fillId="0" borderId="0"/>
    <xf numFmtId="176" fontId="20" fillId="0" borderId="0"/>
    <xf numFmtId="176" fontId="20" fillId="0" borderId="0"/>
    <xf numFmtId="176" fontId="20" fillId="0" borderId="0"/>
    <xf numFmtId="176" fontId="20" fillId="0" borderId="0"/>
    <xf numFmtId="176" fontId="20" fillId="0" borderId="0"/>
    <xf numFmtId="176" fontId="20" fillId="0" borderId="0"/>
    <xf numFmtId="176" fontId="20" fillId="0" borderId="0"/>
    <xf numFmtId="176" fontId="20" fillId="0" borderId="0"/>
    <xf numFmtId="176" fontId="20" fillId="0" borderId="0"/>
    <xf numFmtId="176" fontId="20" fillId="0" borderId="0"/>
    <xf numFmtId="176" fontId="20" fillId="0" borderId="0"/>
    <xf numFmtId="176" fontId="20" fillId="0" borderId="0"/>
    <xf numFmtId="176" fontId="20" fillId="0" borderId="0"/>
    <xf numFmtId="176" fontId="20" fillId="0" borderId="0"/>
    <xf numFmtId="0" fontId="32" fillId="0" borderId="0"/>
    <xf numFmtId="176" fontId="20" fillId="0" borderId="0"/>
    <xf numFmtId="176" fontId="20" fillId="0" borderId="0"/>
    <xf numFmtId="176" fontId="20" fillId="0" borderId="0"/>
    <xf numFmtId="176" fontId="20" fillId="0" borderId="0"/>
    <xf numFmtId="176" fontId="20" fillId="0" borderId="0"/>
    <xf numFmtId="176" fontId="20" fillId="0" borderId="0"/>
    <xf numFmtId="176" fontId="20" fillId="0" borderId="0"/>
    <xf numFmtId="174" fontId="20" fillId="0" borderId="0"/>
    <xf numFmtId="0" fontId="32" fillId="0" borderId="0"/>
    <xf numFmtId="174" fontId="20" fillId="0" borderId="0"/>
    <xf numFmtId="0" fontId="32" fillId="0" borderId="0"/>
    <xf numFmtId="174" fontId="20" fillId="0" borderId="0"/>
    <xf numFmtId="176" fontId="20" fillId="0" borderId="0"/>
    <xf numFmtId="174" fontId="20" fillId="0" borderId="0"/>
    <xf numFmtId="167" fontId="20" fillId="0" borderId="0"/>
    <xf numFmtId="176" fontId="20" fillId="0" borderId="0"/>
    <xf numFmtId="167" fontId="20" fillId="0" borderId="0"/>
    <xf numFmtId="176" fontId="20" fillId="0" borderId="0"/>
    <xf numFmtId="167" fontId="20" fillId="0" borderId="0"/>
    <xf numFmtId="176" fontId="20" fillId="0" borderId="0"/>
    <xf numFmtId="167" fontId="20" fillId="0" borderId="0"/>
    <xf numFmtId="176" fontId="20" fillId="0" borderId="0"/>
    <xf numFmtId="167" fontId="20" fillId="0" borderId="0"/>
    <xf numFmtId="176" fontId="20" fillId="0" borderId="0"/>
    <xf numFmtId="167" fontId="20" fillId="0" borderId="0"/>
    <xf numFmtId="176" fontId="20" fillId="0" borderId="0"/>
    <xf numFmtId="167" fontId="20" fillId="0" borderId="0"/>
    <xf numFmtId="176" fontId="20" fillId="0" borderId="0"/>
    <xf numFmtId="0" fontId="32" fillId="0" borderId="0"/>
    <xf numFmtId="176" fontId="20" fillId="0" borderId="0"/>
    <xf numFmtId="0" fontId="32" fillId="0" borderId="0"/>
    <xf numFmtId="176" fontId="20" fillId="0" borderId="0"/>
    <xf numFmtId="0" fontId="32" fillId="0" borderId="0"/>
    <xf numFmtId="176" fontId="20" fillId="0" borderId="0"/>
    <xf numFmtId="167" fontId="20" fillId="0" borderId="0"/>
    <xf numFmtId="0" fontId="32" fillId="0" borderId="0"/>
    <xf numFmtId="176" fontId="20" fillId="0" borderId="0"/>
    <xf numFmtId="167" fontId="20" fillId="0" borderId="0"/>
    <xf numFmtId="176" fontId="20" fillId="0" borderId="0"/>
    <xf numFmtId="167" fontId="20" fillId="0" borderId="0"/>
    <xf numFmtId="176" fontId="20" fillId="0" borderId="0"/>
    <xf numFmtId="0" fontId="7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74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32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32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74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4" fontId="20" fillId="0" borderId="0"/>
    <xf numFmtId="0" fontId="32" fillId="0" borderId="0"/>
    <xf numFmtId="174" fontId="20" fillId="0" borderId="0"/>
    <xf numFmtId="0" fontId="32" fillId="0" borderId="0"/>
    <xf numFmtId="0" fontId="32" fillId="0" borderId="0"/>
    <xf numFmtId="0" fontId="20" fillId="0" borderId="0"/>
    <xf numFmtId="0" fontId="2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" fillId="0" borderId="0"/>
    <xf numFmtId="0" fontId="3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" fillId="0" borderId="0"/>
    <xf numFmtId="0" fontId="3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68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68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68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68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64" fontId="20" fillId="0" borderId="0"/>
    <xf numFmtId="0" fontId="32" fillId="0" borderId="0"/>
    <xf numFmtId="164" fontId="20" fillId="0" borderId="0"/>
    <xf numFmtId="174" fontId="20" fillId="0" borderId="0"/>
    <xf numFmtId="164" fontId="20" fillId="0" borderId="0"/>
    <xf numFmtId="174" fontId="20" fillId="0" borderId="0"/>
    <xf numFmtId="164" fontId="20" fillId="0" borderId="0"/>
    <xf numFmtId="174" fontId="20" fillId="0" borderId="0"/>
    <xf numFmtId="0" fontId="32" fillId="0" borderId="0"/>
    <xf numFmtId="168" fontId="20" fillId="0" borderId="0"/>
    <xf numFmtId="168" fontId="20" fillId="0" borderId="0"/>
    <xf numFmtId="168" fontId="20" fillId="0" borderId="0"/>
    <xf numFmtId="168" fontId="20" fillId="0" borderId="0"/>
    <xf numFmtId="0" fontId="32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32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32" fillId="0" borderId="0"/>
    <xf numFmtId="167" fontId="20" fillId="0" borderId="0"/>
    <xf numFmtId="0" fontId="32" fillId="0" borderId="0"/>
    <xf numFmtId="167" fontId="20" fillId="0" borderId="0"/>
    <xf numFmtId="0" fontId="32" fillId="0" borderId="0"/>
    <xf numFmtId="0" fontId="32" fillId="0" borderId="0"/>
    <xf numFmtId="167" fontId="20" fillId="0" borderId="0"/>
    <xf numFmtId="0" fontId="32" fillId="0" borderId="0"/>
    <xf numFmtId="167" fontId="20" fillId="0" borderId="0"/>
    <xf numFmtId="0" fontId="32" fillId="0" borderId="0"/>
    <xf numFmtId="167" fontId="20" fillId="0" borderId="0"/>
    <xf numFmtId="0" fontId="32" fillId="0" borderId="0"/>
    <xf numFmtId="167" fontId="20" fillId="0" borderId="0"/>
    <xf numFmtId="167" fontId="20" fillId="0" borderId="0"/>
    <xf numFmtId="167" fontId="20" fillId="0" borderId="0"/>
    <xf numFmtId="0" fontId="32" fillId="0" borderId="0"/>
    <xf numFmtId="167" fontId="20" fillId="0" borderId="0"/>
    <xf numFmtId="167" fontId="2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67" fontId="20" fillId="0" borderId="0"/>
    <xf numFmtId="167" fontId="20" fillId="0" borderId="0"/>
    <xf numFmtId="0" fontId="7" fillId="0" borderId="0"/>
    <xf numFmtId="0" fontId="7" fillId="0" borderId="0"/>
    <xf numFmtId="0" fontId="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" fillId="0" borderId="0"/>
    <xf numFmtId="0" fontId="7" fillId="0" borderId="0"/>
    <xf numFmtId="0" fontId="7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32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32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32" fillId="0" borderId="0"/>
    <xf numFmtId="167" fontId="20" fillId="0" borderId="0"/>
    <xf numFmtId="0" fontId="32" fillId="0" borderId="0"/>
    <xf numFmtId="167" fontId="20" fillId="0" borderId="0"/>
    <xf numFmtId="0" fontId="32" fillId="0" borderId="0"/>
    <xf numFmtId="167" fontId="20" fillId="0" borderId="0"/>
    <xf numFmtId="0" fontId="32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7" fillId="0" borderId="0"/>
    <xf numFmtId="0" fontId="7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2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2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67" fontId="20" fillId="0" borderId="0"/>
    <xf numFmtId="167" fontId="20" fillId="0" borderId="0"/>
    <xf numFmtId="0" fontId="32" fillId="0" borderId="0"/>
    <xf numFmtId="167" fontId="20" fillId="0" borderId="0"/>
    <xf numFmtId="0" fontId="32" fillId="0" borderId="0"/>
    <xf numFmtId="167" fontId="20" fillId="0" borderId="0"/>
    <xf numFmtId="0" fontId="32" fillId="0" borderId="0"/>
    <xf numFmtId="0" fontId="32" fillId="0" borderId="0"/>
    <xf numFmtId="167" fontId="20" fillId="0" borderId="0"/>
    <xf numFmtId="0" fontId="32" fillId="0" borderId="0"/>
    <xf numFmtId="167" fontId="20" fillId="0" borderId="0"/>
    <xf numFmtId="0" fontId="32" fillId="0" borderId="0"/>
    <xf numFmtId="167" fontId="20" fillId="0" borderId="0"/>
    <xf numFmtId="0" fontId="32" fillId="0" borderId="0"/>
    <xf numFmtId="167" fontId="20" fillId="0" borderId="0"/>
    <xf numFmtId="167" fontId="20" fillId="0" borderId="0"/>
    <xf numFmtId="167" fontId="20" fillId="0" borderId="0"/>
    <xf numFmtId="177" fontId="2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67" fontId="20" fillId="0" borderId="0"/>
    <xf numFmtId="167" fontId="2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67" fontId="20" fillId="0" borderId="0"/>
    <xf numFmtId="167" fontId="20" fillId="0" borderId="0"/>
    <xf numFmtId="177" fontId="20" fillId="0" borderId="0"/>
    <xf numFmtId="177" fontId="20" fillId="0" borderId="0"/>
    <xf numFmtId="0" fontId="32" fillId="0" borderId="0"/>
    <xf numFmtId="177" fontId="20" fillId="0" borderId="0"/>
    <xf numFmtId="177" fontId="20" fillId="0" borderId="0"/>
    <xf numFmtId="17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32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32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32" fillId="0" borderId="0"/>
    <xf numFmtId="167" fontId="20" fillId="0" borderId="0"/>
    <xf numFmtId="0" fontId="32" fillId="0" borderId="0"/>
    <xf numFmtId="167" fontId="20" fillId="0" borderId="0"/>
    <xf numFmtId="0" fontId="32" fillId="0" borderId="0"/>
    <xf numFmtId="167" fontId="2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74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32" fillId="0" borderId="0"/>
    <xf numFmtId="174" fontId="20" fillId="0" borderId="0"/>
    <xf numFmtId="174" fontId="2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32" fillId="0" borderId="0"/>
    <xf numFmtId="0" fontId="32" fillId="0" borderId="0"/>
    <xf numFmtId="0" fontId="32" fillId="0" borderId="0"/>
    <xf numFmtId="174" fontId="2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74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32" fillId="0" borderId="0"/>
    <xf numFmtId="174" fontId="20" fillId="0" borderId="0"/>
    <xf numFmtId="174" fontId="2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32" fillId="0" borderId="0"/>
    <xf numFmtId="0" fontId="32" fillId="0" borderId="0"/>
    <xf numFmtId="0" fontId="32" fillId="0" borderId="0"/>
    <xf numFmtId="174" fontId="2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74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32" fillId="0" borderId="0"/>
    <xf numFmtId="174" fontId="20" fillId="0" borderId="0"/>
    <xf numFmtId="174" fontId="2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32" fillId="0" borderId="0"/>
    <xf numFmtId="0" fontId="32" fillId="0" borderId="0"/>
    <xf numFmtId="0" fontId="32" fillId="0" borderId="0"/>
    <xf numFmtId="174" fontId="2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74" fontId="2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0" fontId="32" fillId="0" borderId="0"/>
    <xf numFmtId="0" fontId="32" fillId="0" borderId="0"/>
    <xf numFmtId="0" fontId="32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74" fontId="2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0" fontId="32" fillId="0" borderId="0"/>
    <xf numFmtId="0" fontId="32" fillId="0" borderId="0"/>
    <xf numFmtId="167" fontId="20" fillId="0" borderId="0"/>
    <xf numFmtId="167" fontId="20" fillId="0" borderId="0"/>
    <xf numFmtId="168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20" fillId="0" borderId="0"/>
    <xf numFmtId="0" fontId="7" fillId="0" borderId="0"/>
    <xf numFmtId="0" fontId="7" fillId="0" borderId="0"/>
    <xf numFmtId="167" fontId="20" fillId="0" borderId="0"/>
    <xf numFmtId="0" fontId="7" fillId="0" borderId="0"/>
    <xf numFmtId="167" fontId="20" fillId="0" borderId="0"/>
    <xf numFmtId="0" fontId="7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7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7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6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20" fillId="0" borderId="0"/>
    <xf numFmtId="0" fontId="7" fillId="0" borderId="0"/>
    <xf numFmtId="166" fontId="20" fillId="0" borderId="0"/>
    <xf numFmtId="0" fontId="7" fillId="0" borderId="0"/>
    <xf numFmtId="166" fontId="20" fillId="0" borderId="0"/>
    <xf numFmtId="0" fontId="7" fillId="0" borderId="0"/>
    <xf numFmtId="166" fontId="20" fillId="0" borderId="0"/>
    <xf numFmtId="0" fontId="7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6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20" fillId="0" borderId="0"/>
    <xf numFmtId="0" fontId="7" fillId="0" borderId="0"/>
    <xf numFmtId="166" fontId="20" fillId="0" borderId="0"/>
    <xf numFmtId="0" fontId="7" fillId="0" borderId="0"/>
    <xf numFmtId="166" fontId="20" fillId="0" borderId="0"/>
    <xf numFmtId="0" fontId="7" fillId="0" borderId="0"/>
    <xf numFmtId="166" fontId="20" fillId="0" borderId="0"/>
    <xf numFmtId="0" fontId="7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7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0" fontId="7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0" fontId="7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0" fontId="7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0" fontId="7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0" fontId="7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8" fontId="20" fillId="0" borderId="0"/>
    <xf numFmtId="0" fontId="7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0" fontId="6" fillId="0" borderId="0"/>
    <xf numFmtId="168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168" fontId="20" fillId="0" borderId="0"/>
    <xf numFmtId="168" fontId="20" fillId="0" borderId="0"/>
    <xf numFmtId="168" fontId="20" fillId="0" borderId="0"/>
    <xf numFmtId="0" fontId="7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68" fontId="20" fillId="0" borderId="0"/>
    <xf numFmtId="168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68" fontId="20" fillId="0" borderId="0"/>
    <xf numFmtId="168" fontId="20" fillId="0" borderId="0"/>
    <xf numFmtId="168" fontId="20" fillId="0" borderId="0"/>
    <xf numFmtId="168" fontId="20" fillId="0" borderId="0"/>
    <xf numFmtId="0" fontId="7" fillId="0" borderId="0"/>
    <xf numFmtId="174" fontId="20" fillId="0" borderId="0"/>
    <xf numFmtId="166" fontId="20" fillId="0" borderId="0"/>
    <xf numFmtId="174" fontId="20" fillId="0" borderId="0"/>
    <xf numFmtId="166" fontId="20" fillId="0" borderId="0"/>
    <xf numFmtId="174" fontId="20" fillId="0" borderId="0"/>
    <xf numFmtId="166" fontId="20" fillId="0" borderId="0"/>
    <xf numFmtId="174" fontId="20" fillId="0" borderId="0"/>
    <xf numFmtId="166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4" fontId="20" fillId="0" borderId="0"/>
    <xf numFmtId="168" fontId="20" fillId="0" borderId="0"/>
    <xf numFmtId="168" fontId="20" fillId="0" borderId="0"/>
    <xf numFmtId="168" fontId="20" fillId="0" borderId="0"/>
    <xf numFmtId="168" fontId="20" fillId="0" borderId="0"/>
    <xf numFmtId="168" fontId="20" fillId="0" borderId="0"/>
    <xf numFmtId="168" fontId="20" fillId="0" borderId="0"/>
    <xf numFmtId="168" fontId="20" fillId="0" borderId="0"/>
    <xf numFmtId="166" fontId="20" fillId="0" borderId="0"/>
    <xf numFmtId="168" fontId="20" fillId="0" borderId="0"/>
    <xf numFmtId="168" fontId="20" fillId="0" borderId="0"/>
    <xf numFmtId="168" fontId="20" fillId="0" borderId="0"/>
    <xf numFmtId="168" fontId="20" fillId="0" borderId="0"/>
    <xf numFmtId="168" fontId="20" fillId="0" borderId="0"/>
    <xf numFmtId="168" fontId="20" fillId="0" borderId="0"/>
    <xf numFmtId="168" fontId="20" fillId="0" borderId="0"/>
    <xf numFmtId="174" fontId="20" fillId="0" borderId="0"/>
    <xf numFmtId="166" fontId="20" fillId="0" borderId="0"/>
    <xf numFmtId="174" fontId="20" fillId="0" borderId="0"/>
    <xf numFmtId="166" fontId="20" fillId="0" borderId="0"/>
    <xf numFmtId="174" fontId="20" fillId="0" borderId="0"/>
    <xf numFmtId="166" fontId="20" fillId="0" borderId="0"/>
    <xf numFmtId="168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66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0" fontId="7" fillId="0" borderId="0"/>
    <xf numFmtId="166" fontId="20" fillId="0" borderId="0"/>
    <xf numFmtId="0" fontId="7" fillId="0" borderId="0"/>
    <xf numFmtId="166" fontId="20" fillId="0" borderId="0"/>
    <xf numFmtId="0" fontId="7" fillId="0" borderId="0"/>
    <xf numFmtId="166" fontId="20" fillId="0" borderId="0"/>
    <xf numFmtId="0" fontId="7" fillId="0" borderId="0"/>
    <xf numFmtId="166" fontId="20" fillId="0" borderId="0"/>
    <xf numFmtId="0" fontId="6" fillId="0" borderId="0"/>
    <xf numFmtId="168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8" fontId="20" fillId="0" borderId="0"/>
    <xf numFmtId="168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7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74" fontId="20" fillId="0" borderId="0"/>
    <xf numFmtId="174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74" fontId="20" fillId="0" borderId="0"/>
    <xf numFmtId="166" fontId="20" fillId="0" borderId="0"/>
    <xf numFmtId="174" fontId="20" fillId="0" borderId="0"/>
    <xf numFmtId="166" fontId="20" fillId="0" borderId="0"/>
    <xf numFmtId="174" fontId="20" fillId="0" borderId="0"/>
    <xf numFmtId="166" fontId="20" fillId="0" borderId="0"/>
    <xf numFmtId="0" fontId="7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74" fontId="20" fillId="0" borderId="0"/>
    <xf numFmtId="166" fontId="20" fillId="0" borderId="0"/>
    <xf numFmtId="174" fontId="20" fillId="0" borderId="0"/>
    <xf numFmtId="166" fontId="20" fillId="0" borderId="0"/>
    <xf numFmtId="174" fontId="20" fillId="0" borderId="0"/>
    <xf numFmtId="166" fontId="20" fillId="0" borderId="0"/>
    <xf numFmtId="174" fontId="20" fillId="0" borderId="0"/>
    <xf numFmtId="166" fontId="20" fillId="0" borderId="0"/>
    <xf numFmtId="166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66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66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0" fontId="7" fillId="0" borderId="0"/>
    <xf numFmtId="166" fontId="20" fillId="0" borderId="0"/>
    <xf numFmtId="0" fontId="7" fillId="0" borderId="0"/>
    <xf numFmtId="166" fontId="20" fillId="0" borderId="0"/>
    <xf numFmtId="0" fontId="7" fillId="0" borderId="0"/>
    <xf numFmtId="166" fontId="20" fillId="0" borderId="0"/>
    <xf numFmtId="0" fontId="7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20" fillId="0" borderId="0"/>
    <xf numFmtId="0" fontId="7" fillId="0" borderId="0"/>
    <xf numFmtId="0" fontId="7" fillId="0" borderId="0"/>
    <xf numFmtId="0" fontId="7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6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6" fontId="20" fillId="0" borderId="0"/>
    <xf numFmtId="166" fontId="20" fillId="0" borderId="0"/>
    <xf numFmtId="167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20" fillId="0" borderId="0"/>
    <xf numFmtId="0" fontId="7" fillId="0" borderId="0"/>
    <xf numFmtId="0" fontId="7" fillId="0" borderId="0"/>
    <xf numFmtId="0" fontId="7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6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6" fontId="20" fillId="0" borderId="0"/>
    <xf numFmtId="166" fontId="20" fillId="0" borderId="0"/>
    <xf numFmtId="167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1" fillId="0" borderId="0"/>
    <xf numFmtId="0" fontId="21" fillId="0" borderId="0"/>
    <xf numFmtId="167" fontId="20" fillId="0" borderId="0"/>
    <xf numFmtId="0" fontId="7" fillId="0" borderId="0"/>
    <xf numFmtId="0" fontId="7" fillId="0" borderId="0"/>
    <xf numFmtId="0" fontId="7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6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6" fontId="20" fillId="0" borderId="0"/>
    <xf numFmtId="166" fontId="20" fillId="0" borderId="0"/>
    <xf numFmtId="167" fontId="20" fillId="0" borderId="0"/>
    <xf numFmtId="0" fontId="7" fillId="0" borderId="0"/>
    <xf numFmtId="0" fontId="7" fillId="0" borderId="0"/>
    <xf numFmtId="0" fontId="7" fillId="0" borderId="0"/>
    <xf numFmtId="167" fontId="20" fillId="0" borderId="0"/>
    <xf numFmtId="0" fontId="7" fillId="0" borderId="0"/>
    <xf numFmtId="0" fontId="7" fillId="0" borderId="0"/>
    <xf numFmtId="0" fontId="7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6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6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6" fontId="20" fillId="0" borderId="0"/>
    <xf numFmtId="166" fontId="20" fillId="0" borderId="0"/>
    <xf numFmtId="167" fontId="20" fillId="0" borderId="0"/>
    <xf numFmtId="0" fontId="7" fillId="0" borderId="0"/>
    <xf numFmtId="0" fontId="7" fillId="0" borderId="0"/>
    <xf numFmtId="0" fontId="7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6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6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166" fontId="20" fillId="0" borderId="0"/>
    <xf numFmtId="0" fontId="7" fillId="0" borderId="0"/>
    <xf numFmtId="166" fontId="20" fillId="0" borderId="0"/>
    <xf numFmtId="0" fontId="7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6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6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166" fontId="20" fillId="0" borderId="0"/>
    <xf numFmtId="0" fontId="7" fillId="0" borderId="0"/>
    <xf numFmtId="166" fontId="20" fillId="0" borderId="0"/>
    <xf numFmtId="0" fontId="7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6" fillId="0" borderId="0"/>
    <xf numFmtId="0" fontId="6" fillId="0" borderId="0"/>
    <xf numFmtId="167" fontId="20" fillId="0" borderId="0"/>
    <xf numFmtId="174" fontId="20" fillId="0" borderId="0"/>
    <xf numFmtId="0" fontId="7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4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4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4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9" fontId="20" fillId="0" borderId="0"/>
    <xf numFmtId="167" fontId="20" fillId="0" borderId="0"/>
    <xf numFmtId="169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7" fillId="0" borderId="0"/>
    <xf numFmtId="0" fontId="7" fillId="0" borderId="0"/>
    <xf numFmtId="0" fontId="7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7" fillId="0" borderId="0"/>
    <xf numFmtId="0" fontId="7" fillId="0" borderId="0"/>
    <xf numFmtId="0" fontId="7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7" fillId="0" borderId="0"/>
    <xf numFmtId="0" fontId="7" fillId="0" borderId="0"/>
    <xf numFmtId="0" fontId="7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6" fillId="0" borderId="0"/>
    <xf numFmtId="174" fontId="20" fillId="0" borderId="0"/>
    <xf numFmtId="0" fontId="6" fillId="0" borderId="0"/>
    <xf numFmtId="174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67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67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4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67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67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4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4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67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4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4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67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4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4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67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4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4" fontId="20" fillId="0" borderId="0"/>
    <xf numFmtId="0" fontId="7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1" fillId="0" borderId="0"/>
    <xf numFmtId="174" fontId="20" fillId="0" borderId="0"/>
    <xf numFmtId="174" fontId="20" fillId="0" borderId="0"/>
    <xf numFmtId="174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6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4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67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4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4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67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4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1" fillId="0" borderId="0"/>
    <xf numFmtId="0" fontId="21" fillId="0" borderId="0"/>
    <xf numFmtId="0" fontId="6" fillId="0" borderId="0"/>
    <xf numFmtId="0" fontId="6" fillId="0" borderId="0"/>
    <xf numFmtId="0" fontId="21" fillId="0" borderId="0"/>
    <xf numFmtId="0" fontId="21" fillId="0" borderId="0"/>
    <xf numFmtId="0" fontId="21" fillId="0" borderId="0"/>
    <xf numFmtId="0" fontId="6" fillId="0" borderId="0"/>
    <xf numFmtId="0" fontId="6" fillId="0" borderId="0"/>
    <xf numFmtId="0" fontId="6" fillId="0" borderId="0"/>
    <xf numFmtId="174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67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4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4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67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4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4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67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4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4" fontId="2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74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7" fillId="0" borderId="0"/>
    <xf numFmtId="167" fontId="20" fillId="0" borderId="0"/>
    <xf numFmtId="167" fontId="20" fillId="0" borderId="0"/>
    <xf numFmtId="167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20" fillId="0" borderId="0"/>
    <xf numFmtId="0" fontId="7" fillId="0" borderId="0"/>
    <xf numFmtId="167" fontId="20" fillId="0" borderId="0"/>
    <xf numFmtId="0" fontId="7" fillId="0" borderId="0"/>
    <xf numFmtId="167" fontId="20" fillId="0" borderId="0"/>
    <xf numFmtId="0" fontId="7" fillId="0" borderId="0"/>
    <xf numFmtId="0" fontId="7" fillId="0" borderId="0"/>
    <xf numFmtId="0" fontId="7" fillId="0" borderId="0"/>
    <xf numFmtId="167" fontId="20" fillId="0" borderId="0"/>
    <xf numFmtId="2" fontId="7" fillId="0" borderId="0" applyProtection="0"/>
    <xf numFmtId="2" fontId="7" fillId="0" borderId="0" applyProtection="0"/>
    <xf numFmtId="2" fontId="7" fillId="0" borderId="0" applyProtection="0"/>
    <xf numFmtId="2" fontId="7" fillId="0" borderId="0" applyProtection="0"/>
    <xf numFmtId="2" fontId="7" fillId="0" borderId="0" applyProtection="0"/>
    <xf numFmtId="2" fontId="7" fillId="0" borderId="0" applyProtection="0"/>
    <xf numFmtId="2" fontId="7" fillId="0" borderId="0" applyProtection="0"/>
    <xf numFmtId="2" fontId="7" fillId="0" borderId="0" applyProtection="0"/>
    <xf numFmtId="2" fontId="7" fillId="0" borderId="0" applyProtection="0"/>
    <xf numFmtId="2" fontId="7" fillId="0" borderId="0" applyProtection="0"/>
    <xf numFmtId="2" fontId="7" fillId="0" borderId="0" applyProtection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2" fontId="7" fillId="0" borderId="0" applyProtection="0"/>
    <xf numFmtId="2" fontId="7" fillId="0" borderId="0" applyProtection="0"/>
    <xf numFmtId="2" fontId="7" fillId="0" borderId="0" applyProtection="0"/>
    <xf numFmtId="2" fontId="7" fillId="0" borderId="0" applyProtection="0"/>
    <xf numFmtId="167" fontId="20" fillId="0" borderId="0"/>
    <xf numFmtId="0" fontId="7" fillId="0" borderId="0"/>
    <xf numFmtId="0" fontId="7" fillId="0" borderId="0"/>
    <xf numFmtId="2" fontId="7" fillId="0" borderId="0" applyProtection="0"/>
    <xf numFmtId="0" fontId="7" fillId="0" borderId="0"/>
    <xf numFmtId="2" fontId="7" fillId="0" borderId="0" applyProtection="0"/>
    <xf numFmtId="0" fontId="7" fillId="0" borderId="0"/>
    <xf numFmtId="2" fontId="7" fillId="0" borderId="0" applyProtection="0"/>
    <xf numFmtId="0" fontId="7" fillId="0" borderId="0"/>
    <xf numFmtId="2" fontId="7" fillId="0" borderId="0" applyProtection="0"/>
    <xf numFmtId="2" fontId="7" fillId="0" borderId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20" fillId="0" borderId="0"/>
    <xf numFmtId="2" fontId="7" fillId="0" borderId="0" applyProtection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2" fontId="7" fillId="0" borderId="0" applyProtection="0"/>
    <xf numFmtId="2" fontId="7" fillId="0" borderId="0" applyProtection="0"/>
    <xf numFmtId="2" fontId="7" fillId="0" borderId="0" applyProtection="0"/>
    <xf numFmtId="2" fontId="7" fillId="0" borderId="0" applyProtection="0"/>
    <xf numFmtId="2" fontId="7" fillId="0" borderId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2" fontId="7" fillId="0" borderId="0" applyProtection="0"/>
    <xf numFmtId="2" fontId="7" fillId="0" borderId="0" applyProtection="0"/>
    <xf numFmtId="2" fontId="7" fillId="0" borderId="0" applyProtection="0"/>
    <xf numFmtId="2" fontId="7" fillId="0" borderId="0" applyProtection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2" fontId="7" fillId="0" borderId="0" applyProtection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2" fontId="7" fillId="0" borderId="0" applyProtection="0"/>
    <xf numFmtId="167" fontId="20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167" fontId="20" fillId="0" borderId="0"/>
    <xf numFmtId="0" fontId="7" fillId="0" borderId="0"/>
    <xf numFmtId="167" fontId="20" fillId="0" borderId="0"/>
    <xf numFmtId="0" fontId="7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20" fillId="0" borderId="0"/>
    <xf numFmtId="0" fontId="7" fillId="0" borderId="0"/>
    <xf numFmtId="167" fontId="20" fillId="0" borderId="0"/>
    <xf numFmtId="0" fontId="7" fillId="0" borderId="0"/>
    <xf numFmtId="167" fontId="20" fillId="0" borderId="0"/>
    <xf numFmtId="0" fontId="7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7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7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7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46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7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7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7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7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20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0" fontId="7" fillId="17" borderId="48" applyNumberFormat="0" applyFont="0" applyAlignment="0" applyProtection="0"/>
    <xf numFmtId="178" fontId="40" fillId="0" borderId="0">
      <protection locked="0"/>
    </xf>
    <xf numFmtId="179" fontId="40" fillId="0" borderId="0">
      <protection locked="0"/>
    </xf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5" borderId="49" applyNumberFormat="0" applyAlignment="0" applyProtection="0"/>
    <xf numFmtId="0" fontId="47" fillId="25" borderId="49" applyNumberFormat="0" applyAlignment="0" applyProtection="0"/>
    <xf numFmtId="0" fontId="47" fillId="25" borderId="49" applyNumberFormat="0" applyAlignment="0" applyProtection="0"/>
    <xf numFmtId="0" fontId="47" fillId="25" borderId="49" applyNumberFormat="0" applyAlignment="0" applyProtection="0"/>
    <xf numFmtId="0" fontId="47" fillId="25" borderId="49" applyNumberFormat="0" applyAlignment="0" applyProtection="0"/>
    <xf numFmtId="0" fontId="47" fillId="25" borderId="49" applyNumberFormat="0" applyAlignment="0" applyProtection="0"/>
    <xf numFmtId="0" fontId="47" fillId="24" borderId="49" applyNumberFormat="0" applyAlignment="0" applyProtection="0"/>
    <xf numFmtId="0" fontId="47" fillId="25" borderId="49" applyNumberFormat="0" applyAlignment="0" applyProtection="0"/>
    <xf numFmtId="0" fontId="47" fillId="25" borderId="49" applyNumberFormat="0" applyAlignment="0" applyProtection="0"/>
    <xf numFmtId="0" fontId="47" fillId="25" borderId="49" applyNumberFormat="0" applyAlignment="0" applyProtection="0"/>
    <xf numFmtId="0" fontId="47" fillId="25" borderId="49" applyNumberFormat="0" applyAlignment="0" applyProtection="0"/>
    <xf numFmtId="0" fontId="47" fillId="25" borderId="49" applyNumberFormat="0" applyAlignment="0" applyProtection="0"/>
    <xf numFmtId="0" fontId="47" fillId="25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5" borderId="49" applyNumberFormat="0" applyAlignment="0" applyProtection="0"/>
    <xf numFmtId="0" fontId="47" fillId="25" borderId="49" applyNumberFormat="0" applyAlignment="0" applyProtection="0"/>
    <xf numFmtId="0" fontId="47" fillId="25" borderId="49" applyNumberFormat="0" applyAlignment="0" applyProtection="0"/>
    <xf numFmtId="0" fontId="47" fillId="25" borderId="49" applyNumberFormat="0" applyAlignment="0" applyProtection="0"/>
    <xf numFmtId="0" fontId="47" fillId="25" borderId="49" applyNumberFormat="0" applyAlignment="0" applyProtection="0"/>
    <xf numFmtId="0" fontId="47" fillId="25" borderId="49" applyNumberFormat="0" applyAlignment="0" applyProtection="0"/>
    <xf numFmtId="0" fontId="47" fillId="24" borderId="49" applyNumberFormat="0" applyAlignment="0" applyProtection="0"/>
    <xf numFmtId="0" fontId="47" fillId="25" borderId="49" applyNumberFormat="0" applyAlignment="0" applyProtection="0"/>
    <xf numFmtId="0" fontId="47" fillId="25" borderId="49" applyNumberFormat="0" applyAlignment="0" applyProtection="0"/>
    <xf numFmtId="0" fontId="47" fillId="25" borderId="49" applyNumberFormat="0" applyAlignment="0" applyProtection="0"/>
    <xf numFmtId="0" fontId="47" fillId="25" borderId="49" applyNumberFormat="0" applyAlignment="0" applyProtection="0"/>
    <xf numFmtId="0" fontId="47" fillId="25" borderId="49" applyNumberFormat="0" applyAlignment="0" applyProtection="0"/>
    <xf numFmtId="0" fontId="47" fillId="25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5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5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5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5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5" borderId="49" applyNumberFormat="0" applyAlignment="0" applyProtection="0"/>
    <xf numFmtId="0" fontId="47" fillId="25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5" borderId="49" applyNumberFormat="0" applyAlignment="0" applyProtection="0"/>
    <xf numFmtId="0" fontId="47" fillId="25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5" borderId="49" applyNumberFormat="0" applyAlignment="0" applyProtection="0"/>
    <xf numFmtId="0" fontId="47" fillId="25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5" borderId="49" applyNumberFormat="0" applyAlignment="0" applyProtection="0"/>
    <xf numFmtId="0" fontId="47" fillId="25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0" fontId="47" fillId="24" borderId="49" applyNumberFormat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71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32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0" fontId="2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0" fontId="2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0" fontId="2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50" fillId="0" borderId="51" applyNumberFormat="0" applyFill="0" applyAlignment="0" applyProtection="0"/>
    <xf numFmtId="0" fontId="50" fillId="0" borderId="51" applyNumberFormat="0" applyFill="0" applyAlignment="0" applyProtection="0"/>
    <xf numFmtId="0" fontId="50" fillId="0" borderId="51" applyNumberFormat="0" applyFill="0" applyAlignment="0" applyProtection="0"/>
    <xf numFmtId="0" fontId="50" fillId="0" borderId="51" applyNumberFormat="0" applyFill="0" applyAlignment="0" applyProtection="0"/>
    <xf numFmtId="0" fontId="50" fillId="0" borderId="51" applyNumberFormat="0" applyFill="0" applyAlignment="0" applyProtection="0"/>
    <xf numFmtId="0" fontId="50" fillId="0" borderId="51" applyNumberFormat="0" applyFill="0" applyAlignment="0" applyProtection="0"/>
    <xf numFmtId="0" fontId="49" fillId="0" borderId="50" applyNumberFormat="0" applyFill="0" applyAlignment="0" applyProtection="0"/>
    <xf numFmtId="0" fontId="50" fillId="0" borderId="51" applyNumberFormat="0" applyFill="0" applyAlignment="0" applyProtection="0"/>
    <xf numFmtId="0" fontId="50" fillId="0" borderId="51" applyNumberFormat="0" applyFill="0" applyAlignment="0" applyProtection="0"/>
    <xf numFmtId="0" fontId="50" fillId="0" borderId="51" applyNumberFormat="0" applyFill="0" applyAlignment="0" applyProtection="0"/>
    <xf numFmtId="0" fontId="50" fillId="0" borderId="51" applyNumberFormat="0" applyFill="0" applyAlignment="0" applyProtection="0"/>
    <xf numFmtId="0" fontId="50" fillId="0" borderId="51" applyNumberFormat="0" applyFill="0" applyAlignment="0" applyProtection="0"/>
    <xf numFmtId="0" fontId="50" fillId="0" borderId="51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50" fillId="0" borderId="51" applyNumberFormat="0" applyFill="0" applyAlignment="0" applyProtection="0"/>
    <xf numFmtId="0" fontId="50" fillId="0" borderId="51" applyNumberFormat="0" applyFill="0" applyAlignment="0" applyProtection="0"/>
    <xf numFmtId="0" fontId="50" fillId="0" borderId="51" applyNumberFormat="0" applyFill="0" applyAlignment="0" applyProtection="0"/>
    <xf numFmtId="0" fontId="50" fillId="0" borderId="51" applyNumberFormat="0" applyFill="0" applyAlignment="0" applyProtection="0"/>
    <xf numFmtId="0" fontId="50" fillId="0" borderId="51" applyNumberFormat="0" applyFill="0" applyAlignment="0" applyProtection="0"/>
    <xf numFmtId="0" fontId="50" fillId="0" borderId="51" applyNumberFormat="0" applyFill="0" applyAlignment="0" applyProtection="0"/>
    <xf numFmtId="0" fontId="49" fillId="0" borderId="50" applyNumberFormat="0" applyFill="0" applyAlignment="0" applyProtection="0"/>
    <xf numFmtId="0" fontId="50" fillId="0" borderId="51" applyNumberFormat="0" applyFill="0" applyAlignment="0" applyProtection="0"/>
    <xf numFmtId="0" fontId="50" fillId="0" borderId="51" applyNumberFormat="0" applyFill="0" applyAlignment="0" applyProtection="0"/>
    <xf numFmtId="0" fontId="50" fillId="0" borderId="51" applyNumberFormat="0" applyFill="0" applyAlignment="0" applyProtection="0"/>
    <xf numFmtId="0" fontId="50" fillId="0" borderId="51" applyNumberFormat="0" applyFill="0" applyAlignment="0" applyProtection="0"/>
    <xf numFmtId="0" fontId="50" fillId="0" borderId="51" applyNumberFormat="0" applyFill="0" applyAlignment="0" applyProtection="0"/>
    <xf numFmtId="0" fontId="50" fillId="0" borderId="51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50" fillId="0" borderId="51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50" fillId="0" borderId="51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50" fillId="0" borderId="51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50" fillId="0" borderId="51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50" fillId="0" borderId="51" applyNumberFormat="0" applyFill="0" applyAlignment="0" applyProtection="0"/>
    <xf numFmtId="0" fontId="50" fillId="0" borderId="51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50" fillId="0" borderId="51" applyNumberFormat="0" applyFill="0" applyAlignment="0" applyProtection="0"/>
    <xf numFmtId="0" fontId="50" fillId="0" borderId="51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50" fillId="0" borderId="51" applyNumberFormat="0" applyFill="0" applyAlignment="0" applyProtection="0"/>
    <xf numFmtId="0" fontId="50" fillId="0" borderId="51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50" fillId="0" borderId="51" applyNumberFormat="0" applyFill="0" applyAlignment="0" applyProtection="0"/>
    <xf numFmtId="0" fontId="50" fillId="0" borderId="51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3" fillId="0" borderId="53" applyNumberFormat="0" applyFill="0" applyAlignment="0" applyProtection="0"/>
    <xf numFmtId="0" fontId="53" fillId="0" borderId="53" applyNumberFormat="0" applyFill="0" applyAlignment="0" applyProtection="0"/>
    <xf numFmtId="0" fontId="53" fillId="0" borderId="53" applyNumberFormat="0" applyFill="0" applyAlignment="0" applyProtection="0"/>
    <xf numFmtId="0" fontId="53" fillId="0" borderId="53" applyNumberFormat="0" applyFill="0" applyAlignment="0" applyProtection="0"/>
    <xf numFmtId="0" fontId="53" fillId="0" borderId="53" applyNumberFormat="0" applyFill="0" applyAlignment="0" applyProtection="0"/>
    <xf numFmtId="0" fontId="53" fillId="0" borderId="53" applyNumberFormat="0" applyFill="0" applyAlignment="0" applyProtection="0"/>
    <xf numFmtId="0" fontId="52" fillId="0" borderId="52" applyNumberFormat="0" applyFill="0" applyAlignment="0" applyProtection="0"/>
    <xf numFmtId="0" fontId="53" fillId="0" borderId="53" applyNumberFormat="0" applyFill="0" applyAlignment="0" applyProtection="0"/>
    <xf numFmtId="0" fontId="53" fillId="0" borderId="53" applyNumberFormat="0" applyFill="0" applyAlignment="0" applyProtection="0"/>
    <xf numFmtId="0" fontId="53" fillId="0" borderId="53" applyNumberFormat="0" applyFill="0" applyAlignment="0" applyProtection="0"/>
    <xf numFmtId="0" fontId="53" fillId="0" borderId="53" applyNumberFormat="0" applyFill="0" applyAlignment="0" applyProtection="0"/>
    <xf numFmtId="0" fontId="53" fillId="0" borderId="53" applyNumberFormat="0" applyFill="0" applyAlignment="0" applyProtection="0"/>
    <xf numFmtId="0" fontId="53" fillId="0" borderId="53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3" fillId="0" borderId="53" applyNumberFormat="0" applyFill="0" applyAlignment="0" applyProtection="0"/>
    <xf numFmtId="0" fontId="53" fillId="0" borderId="53" applyNumberFormat="0" applyFill="0" applyAlignment="0" applyProtection="0"/>
    <xf numFmtId="0" fontId="53" fillId="0" borderId="53" applyNumberFormat="0" applyFill="0" applyAlignment="0" applyProtection="0"/>
    <xf numFmtId="0" fontId="53" fillId="0" borderId="53" applyNumberFormat="0" applyFill="0" applyAlignment="0" applyProtection="0"/>
    <xf numFmtId="0" fontId="53" fillId="0" borderId="53" applyNumberFormat="0" applyFill="0" applyAlignment="0" applyProtection="0"/>
    <xf numFmtId="0" fontId="53" fillId="0" borderId="53" applyNumberFormat="0" applyFill="0" applyAlignment="0" applyProtection="0"/>
    <xf numFmtId="0" fontId="52" fillId="0" borderId="52" applyNumberFormat="0" applyFill="0" applyAlignment="0" applyProtection="0"/>
    <xf numFmtId="0" fontId="53" fillId="0" borderId="53" applyNumberFormat="0" applyFill="0" applyAlignment="0" applyProtection="0"/>
    <xf numFmtId="0" fontId="53" fillId="0" borderId="53" applyNumberFormat="0" applyFill="0" applyAlignment="0" applyProtection="0"/>
    <xf numFmtId="0" fontId="53" fillId="0" borderId="53" applyNumberFormat="0" applyFill="0" applyAlignment="0" applyProtection="0"/>
    <xf numFmtId="0" fontId="53" fillId="0" borderId="53" applyNumberFormat="0" applyFill="0" applyAlignment="0" applyProtection="0"/>
    <xf numFmtId="0" fontId="53" fillId="0" borderId="53" applyNumberFormat="0" applyFill="0" applyAlignment="0" applyProtection="0"/>
    <xf numFmtId="0" fontId="53" fillId="0" borderId="53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3" fillId="0" borderId="53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3" fillId="0" borderId="53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3" fillId="0" borderId="53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3" fillId="0" borderId="53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3" fillId="0" borderId="53" applyNumberFormat="0" applyFill="0" applyAlignment="0" applyProtection="0"/>
    <xf numFmtId="0" fontId="53" fillId="0" borderId="53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3" fillId="0" borderId="53" applyNumberFormat="0" applyFill="0" applyAlignment="0" applyProtection="0"/>
    <xf numFmtId="0" fontId="53" fillId="0" borderId="53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3" fillId="0" borderId="53" applyNumberFormat="0" applyFill="0" applyAlignment="0" applyProtection="0"/>
    <xf numFmtId="0" fontId="53" fillId="0" borderId="53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3" fillId="0" borderId="53" applyNumberFormat="0" applyFill="0" applyAlignment="0" applyProtection="0"/>
    <xf numFmtId="0" fontId="53" fillId="0" borderId="53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5" fillId="0" borderId="54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5" fillId="0" borderId="54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6" fillId="0" borderId="55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6" fillId="0" borderId="55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6" fillId="0" borderId="55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6" fillId="0" borderId="55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180" fontId="57" fillId="0" borderId="0">
      <protection locked="0"/>
    </xf>
    <xf numFmtId="180" fontId="57" fillId="0" borderId="0">
      <protection locked="0"/>
    </xf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7" applyNumberFormat="0" applyFill="0" applyAlignment="0" applyProtection="0"/>
    <xf numFmtId="0" fontId="58" fillId="0" borderId="57" applyNumberFormat="0" applyFill="0" applyAlignment="0" applyProtection="0"/>
    <xf numFmtId="0" fontId="58" fillId="0" borderId="57" applyNumberFormat="0" applyFill="0" applyAlignment="0" applyProtection="0"/>
    <xf numFmtId="0" fontId="58" fillId="0" borderId="57" applyNumberFormat="0" applyFill="0" applyAlignment="0" applyProtection="0"/>
    <xf numFmtId="0" fontId="58" fillId="0" borderId="57" applyNumberFormat="0" applyFill="0" applyAlignment="0" applyProtection="0"/>
    <xf numFmtId="0" fontId="58" fillId="0" borderId="57" applyNumberFormat="0" applyFill="0" applyAlignment="0" applyProtection="0"/>
    <xf numFmtId="0" fontId="58" fillId="0" borderId="56" applyNumberFormat="0" applyFill="0" applyAlignment="0" applyProtection="0"/>
    <xf numFmtId="0" fontId="58" fillId="0" borderId="57" applyNumberFormat="0" applyFill="0" applyAlignment="0" applyProtection="0"/>
    <xf numFmtId="0" fontId="58" fillId="0" borderId="57" applyNumberFormat="0" applyFill="0" applyAlignment="0" applyProtection="0"/>
    <xf numFmtId="0" fontId="58" fillId="0" borderId="57" applyNumberFormat="0" applyFill="0" applyAlignment="0" applyProtection="0"/>
    <xf numFmtId="0" fontId="58" fillId="0" borderId="57" applyNumberFormat="0" applyFill="0" applyAlignment="0" applyProtection="0"/>
    <xf numFmtId="0" fontId="58" fillId="0" borderId="57" applyNumberFormat="0" applyFill="0" applyAlignment="0" applyProtection="0"/>
    <xf numFmtId="0" fontId="58" fillId="0" borderId="57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7" applyNumberFormat="0" applyFill="0" applyAlignment="0" applyProtection="0"/>
    <xf numFmtId="0" fontId="58" fillId="0" borderId="57" applyNumberFormat="0" applyFill="0" applyAlignment="0" applyProtection="0"/>
    <xf numFmtId="0" fontId="58" fillId="0" borderId="57" applyNumberFormat="0" applyFill="0" applyAlignment="0" applyProtection="0"/>
    <xf numFmtId="0" fontId="58" fillId="0" borderId="57" applyNumberFormat="0" applyFill="0" applyAlignment="0" applyProtection="0"/>
    <xf numFmtId="0" fontId="58" fillId="0" borderId="57" applyNumberFormat="0" applyFill="0" applyAlignment="0" applyProtection="0"/>
    <xf numFmtId="0" fontId="58" fillId="0" borderId="57" applyNumberFormat="0" applyFill="0" applyAlignment="0" applyProtection="0"/>
    <xf numFmtId="0" fontId="58" fillId="0" borderId="56" applyNumberFormat="0" applyFill="0" applyAlignment="0" applyProtection="0"/>
    <xf numFmtId="0" fontId="58" fillId="0" borderId="57" applyNumberFormat="0" applyFill="0" applyAlignment="0" applyProtection="0"/>
    <xf numFmtId="0" fontId="58" fillId="0" borderId="57" applyNumberFormat="0" applyFill="0" applyAlignment="0" applyProtection="0"/>
    <xf numFmtId="0" fontId="58" fillId="0" borderId="57" applyNumberFormat="0" applyFill="0" applyAlignment="0" applyProtection="0"/>
    <xf numFmtId="0" fontId="58" fillId="0" borderId="57" applyNumberFormat="0" applyFill="0" applyAlignment="0" applyProtection="0"/>
    <xf numFmtId="0" fontId="58" fillId="0" borderId="57" applyNumberFormat="0" applyFill="0" applyAlignment="0" applyProtection="0"/>
    <xf numFmtId="0" fontId="58" fillId="0" borderId="57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7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7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7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7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7" applyNumberFormat="0" applyFill="0" applyAlignment="0" applyProtection="0"/>
    <xf numFmtId="0" fontId="58" fillId="0" borderId="57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7" applyNumberFormat="0" applyFill="0" applyAlignment="0" applyProtection="0"/>
    <xf numFmtId="0" fontId="58" fillId="0" borderId="57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7" applyNumberFormat="0" applyFill="0" applyAlignment="0" applyProtection="0"/>
    <xf numFmtId="0" fontId="58" fillId="0" borderId="57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7" applyNumberFormat="0" applyFill="0" applyAlignment="0" applyProtection="0"/>
    <xf numFmtId="0" fontId="58" fillId="0" borderId="57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0" fontId="58" fillId="0" borderId="56" applyNumberFormat="0" applyFill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46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0" fontId="5" fillId="0" borderId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9" fontId="5" fillId="0" borderId="0" applyFont="0" applyFill="0" applyBorder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165" fontId="5" fillId="0" borderId="0" applyFont="0" applyFill="0" applyBorder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165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5" fillId="0" borderId="0"/>
    <xf numFmtId="0" fontId="20" fillId="6" borderId="0" applyNumberFormat="0" applyBorder="0" applyAlignment="0" applyProtection="0"/>
    <xf numFmtId="0" fontId="20" fillId="0" borderId="0" applyNumberFormat="0" applyFill="0" applyAlignment="0" applyProtection="0"/>
    <xf numFmtId="0" fontId="20" fillId="7" borderId="0" applyNumberFormat="0" applyBorder="0" applyAlignment="0" applyProtection="0"/>
    <xf numFmtId="0" fontId="20" fillId="6" borderId="0" applyNumberFormat="0" applyBorder="0" applyAlignment="0" applyProtection="0"/>
    <xf numFmtId="0" fontId="20" fillId="4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94" applyNumberFormat="0" applyAlignment="0" applyProtection="0"/>
    <xf numFmtId="0" fontId="20" fillId="0" borderId="0" applyNumberFormat="0" applyBorder="0" applyAlignment="0" applyProtection="0"/>
    <xf numFmtId="0" fontId="20" fillId="3" borderId="0" applyNumberFormat="0" applyBorder="0" applyAlignment="0" applyProtection="0"/>
    <xf numFmtId="0" fontId="20" fillId="2" borderId="0" applyNumberFormat="0" applyBorder="0" applyAlignment="0" applyProtection="0"/>
    <xf numFmtId="0" fontId="20" fillId="0" borderId="0" applyNumberFormat="0" applyBorder="0" applyAlignment="0" applyProtection="0"/>
    <xf numFmtId="0" fontId="20" fillId="8" borderId="94" applyNumberFormat="0" applyAlignment="0" applyProtection="0"/>
    <xf numFmtId="164" fontId="5" fillId="0" borderId="0" applyFont="0" applyFill="0" applyBorder="0" applyAlignment="0" applyProtection="0"/>
    <xf numFmtId="0" fontId="35" fillId="24" borderId="94" applyNumberFormat="0" applyAlignment="0" applyProtection="0"/>
    <xf numFmtId="0" fontId="41" fillId="19" borderId="94" applyNumberFormat="0" applyAlignment="0" applyProtection="0"/>
    <xf numFmtId="0" fontId="7" fillId="17" borderId="95" applyNumberFormat="0" applyFont="0" applyAlignment="0" applyProtection="0"/>
    <xf numFmtId="0" fontId="47" fillId="24" borderId="96" applyNumberFormat="0" applyAlignment="0" applyProtection="0"/>
    <xf numFmtId="0" fontId="58" fillId="0" borderId="97" applyNumberFormat="0" applyFill="0" applyAlignment="0" applyProtection="0"/>
    <xf numFmtId="0" fontId="20" fillId="4" borderId="0" applyNumberFormat="0" applyBorder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6" fillId="25" borderId="94" applyNumberFormat="0" applyAlignment="0" applyProtection="0"/>
    <xf numFmtId="0" fontId="36" fillId="25" borderId="94" applyNumberFormat="0" applyAlignment="0" applyProtection="0"/>
    <xf numFmtId="0" fontId="36" fillId="25" borderId="94" applyNumberFormat="0" applyAlignment="0" applyProtection="0"/>
    <xf numFmtId="0" fontId="36" fillId="25" borderId="94" applyNumberFormat="0" applyAlignment="0" applyProtection="0"/>
    <xf numFmtId="0" fontId="36" fillId="25" borderId="94" applyNumberFormat="0" applyAlignment="0" applyProtection="0"/>
    <xf numFmtId="0" fontId="36" fillId="25" borderId="94" applyNumberFormat="0" applyAlignment="0" applyProtection="0"/>
    <xf numFmtId="0" fontId="35" fillId="24" borderId="94" applyNumberFormat="0" applyAlignment="0" applyProtection="0"/>
    <xf numFmtId="0" fontId="36" fillId="25" borderId="94" applyNumberFormat="0" applyAlignment="0" applyProtection="0"/>
    <xf numFmtId="0" fontId="36" fillId="25" borderId="94" applyNumberFormat="0" applyAlignment="0" applyProtection="0"/>
    <xf numFmtId="0" fontId="36" fillId="25" borderId="94" applyNumberFormat="0" applyAlignment="0" applyProtection="0"/>
    <xf numFmtId="0" fontId="36" fillId="25" borderId="94" applyNumberFormat="0" applyAlignment="0" applyProtection="0"/>
    <xf numFmtId="0" fontId="36" fillId="25" borderId="94" applyNumberFormat="0" applyAlignment="0" applyProtection="0"/>
    <xf numFmtId="0" fontId="36" fillId="25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6" fillId="25" borderId="94" applyNumberFormat="0" applyAlignment="0" applyProtection="0"/>
    <xf numFmtId="0" fontId="36" fillId="25" borderId="94" applyNumberFormat="0" applyAlignment="0" applyProtection="0"/>
    <xf numFmtId="0" fontId="36" fillId="25" borderId="94" applyNumberFormat="0" applyAlignment="0" applyProtection="0"/>
    <xf numFmtId="0" fontId="36" fillId="25" borderId="94" applyNumberFormat="0" applyAlignment="0" applyProtection="0"/>
    <xf numFmtId="0" fontId="36" fillId="25" borderId="94" applyNumberFormat="0" applyAlignment="0" applyProtection="0"/>
    <xf numFmtId="0" fontId="36" fillId="25" borderId="94" applyNumberFormat="0" applyAlignment="0" applyProtection="0"/>
    <xf numFmtId="0" fontId="35" fillId="24" borderId="94" applyNumberFormat="0" applyAlignment="0" applyProtection="0"/>
    <xf numFmtId="0" fontId="36" fillId="25" borderId="94" applyNumberFormat="0" applyAlignment="0" applyProtection="0"/>
    <xf numFmtId="0" fontId="36" fillId="25" borderId="94" applyNumberFormat="0" applyAlignment="0" applyProtection="0"/>
    <xf numFmtId="0" fontId="36" fillId="25" borderId="94" applyNumberFormat="0" applyAlignment="0" applyProtection="0"/>
    <xf numFmtId="0" fontId="36" fillId="25" borderId="94" applyNumberFormat="0" applyAlignment="0" applyProtection="0"/>
    <xf numFmtId="0" fontId="36" fillId="25" borderId="94" applyNumberFormat="0" applyAlignment="0" applyProtection="0"/>
    <xf numFmtId="0" fontId="36" fillId="25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6" fillId="25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6" fillId="25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6" fillId="25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6" fillId="25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6" fillId="25" borderId="94" applyNumberFormat="0" applyAlignment="0" applyProtection="0"/>
    <xf numFmtId="0" fontId="36" fillId="25" borderId="94" applyNumberFormat="0" applyAlignment="0" applyProtection="0"/>
    <xf numFmtId="0" fontId="36" fillId="25" borderId="94" applyNumberFormat="0" applyAlignment="0" applyProtection="0"/>
    <xf numFmtId="0" fontId="36" fillId="25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6" fillId="25" borderId="94" applyNumberFormat="0" applyAlignment="0" applyProtection="0"/>
    <xf numFmtId="0" fontId="36" fillId="25" borderId="94" applyNumberFormat="0" applyAlignment="0" applyProtection="0"/>
    <xf numFmtId="0" fontId="36" fillId="25" borderId="94" applyNumberFormat="0" applyAlignment="0" applyProtection="0"/>
    <xf numFmtId="0" fontId="36" fillId="25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35" fillId="24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4" borderId="94" applyNumberFormat="0" applyAlignment="0" applyProtection="0"/>
    <xf numFmtId="0" fontId="41" fillId="4" borderId="94" applyNumberFormat="0" applyAlignment="0" applyProtection="0"/>
    <xf numFmtId="0" fontId="41" fillId="4" borderId="94" applyNumberFormat="0" applyAlignment="0" applyProtection="0"/>
    <xf numFmtId="0" fontId="41" fillId="4" borderId="94" applyNumberFormat="0" applyAlignment="0" applyProtection="0"/>
    <xf numFmtId="0" fontId="41" fillId="4" borderId="94" applyNumberFormat="0" applyAlignment="0" applyProtection="0"/>
    <xf numFmtId="0" fontId="41" fillId="4" borderId="94" applyNumberFormat="0" applyAlignment="0" applyProtection="0"/>
    <xf numFmtId="0" fontId="41" fillId="19" borderId="94" applyNumberFormat="0" applyAlignment="0" applyProtection="0"/>
    <xf numFmtId="0" fontId="41" fillId="4" borderId="94" applyNumberFormat="0" applyAlignment="0" applyProtection="0"/>
    <xf numFmtId="0" fontId="41" fillId="4" borderId="94" applyNumberFormat="0" applyAlignment="0" applyProtection="0"/>
    <xf numFmtId="0" fontId="41" fillId="4" borderId="94" applyNumberFormat="0" applyAlignment="0" applyProtection="0"/>
    <xf numFmtId="0" fontId="41" fillId="4" borderId="94" applyNumberFormat="0" applyAlignment="0" applyProtection="0"/>
    <xf numFmtId="0" fontId="41" fillId="4" borderId="94" applyNumberFormat="0" applyAlignment="0" applyProtection="0"/>
    <xf numFmtId="0" fontId="41" fillId="4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4" borderId="94" applyNumberFormat="0" applyAlignment="0" applyProtection="0"/>
    <xf numFmtId="0" fontId="41" fillId="4" borderId="94" applyNumberFormat="0" applyAlignment="0" applyProtection="0"/>
    <xf numFmtId="0" fontId="41" fillId="4" borderId="94" applyNumberFormat="0" applyAlignment="0" applyProtection="0"/>
    <xf numFmtId="0" fontId="41" fillId="4" borderId="94" applyNumberFormat="0" applyAlignment="0" applyProtection="0"/>
    <xf numFmtId="0" fontId="41" fillId="4" borderId="94" applyNumberFormat="0" applyAlignment="0" applyProtection="0"/>
    <xf numFmtId="0" fontId="41" fillId="4" borderId="94" applyNumberFormat="0" applyAlignment="0" applyProtection="0"/>
    <xf numFmtId="0" fontId="41" fillId="19" borderId="94" applyNumberFormat="0" applyAlignment="0" applyProtection="0"/>
    <xf numFmtId="0" fontId="41" fillId="4" borderId="94" applyNumberFormat="0" applyAlignment="0" applyProtection="0"/>
    <xf numFmtId="0" fontId="41" fillId="4" borderId="94" applyNumberFormat="0" applyAlignment="0" applyProtection="0"/>
    <xf numFmtId="0" fontId="41" fillId="4" borderId="94" applyNumberFormat="0" applyAlignment="0" applyProtection="0"/>
    <xf numFmtId="0" fontId="41" fillId="4" borderId="94" applyNumberFormat="0" applyAlignment="0" applyProtection="0"/>
    <xf numFmtId="0" fontId="41" fillId="4" borderId="94" applyNumberFormat="0" applyAlignment="0" applyProtection="0"/>
    <xf numFmtId="0" fontId="41" fillId="4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4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4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4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4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4" borderId="94" applyNumberFormat="0" applyAlignment="0" applyProtection="0"/>
    <xf numFmtId="0" fontId="41" fillId="4" borderId="94" applyNumberFormat="0" applyAlignment="0" applyProtection="0"/>
    <xf numFmtId="0" fontId="41" fillId="4" borderId="94" applyNumberFormat="0" applyAlignment="0" applyProtection="0"/>
    <xf numFmtId="0" fontId="41" fillId="4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4" borderId="94" applyNumberFormat="0" applyAlignment="0" applyProtection="0"/>
    <xf numFmtId="0" fontId="41" fillId="4" borderId="94" applyNumberFormat="0" applyAlignment="0" applyProtection="0"/>
    <xf numFmtId="0" fontId="41" fillId="4" borderId="94" applyNumberFormat="0" applyAlignment="0" applyProtection="0"/>
    <xf numFmtId="0" fontId="41" fillId="4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41" fillId="19" borderId="94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7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7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7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7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7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7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20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0" fontId="7" fillId="17" borderId="95" applyNumberFormat="0" applyFont="0" applyAlignment="0" applyProtection="0"/>
    <xf numFmtId="9" fontId="5" fillId="0" borderId="0" applyFont="0" applyFill="0" applyBorder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5" borderId="96" applyNumberFormat="0" applyAlignment="0" applyProtection="0"/>
    <xf numFmtId="0" fontId="47" fillId="25" borderId="96" applyNumberFormat="0" applyAlignment="0" applyProtection="0"/>
    <xf numFmtId="0" fontId="47" fillId="25" borderId="96" applyNumberFormat="0" applyAlignment="0" applyProtection="0"/>
    <xf numFmtId="0" fontId="47" fillId="25" borderId="96" applyNumberFormat="0" applyAlignment="0" applyProtection="0"/>
    <xf numFmtId="0" fontId="47" fillId="25" borderId="96" applyNumberFormat="0" applyAlignment="0" applyProtection="0"/>
    <xf numFmtId="0" fontId="47" fillId="25" borderId="96" applyNumberFormat="0" applyAlignment="0" applyProtection="0"/>
    <xf numFmtId="0" fontId="47" fillId="24" borderId="96" applyNumberFormat="0" applyAlignment="0" applyProtection="0"/>
    <xf numFmtId="0" fontId="47" fillId="25" borderId="96" applyNumberFormat="0" applyAlignment="0" applyProtection="0"/>
    <xf numFmtId="0" fontId="47" fillId="25" borderId="96" applyNumberFormat="0" applyAlignment="0" applyProtection="0"/>
    <xf numFmtId="0" fontId="47" fillId="25" borderId="96" applyNumberFormat="0" applyAlignment="0" applyProtection="0"/>
    <xf numFmtId="0" fontId="47" fillId="25" borderId="96" applyNumberFormat="0" applyAlignment="0" applyProtection="0"/>
    <xf numFmtId="0" fontId="47" fillId="25" borderId="96" applyNumberFormat="0" applyAlignment="0" applyProtection="0"/>
    <xf numFmtId="0" fontId="47" fillId="25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5" borderId="96" applyNumberFormat="0" applyAlignment="0" applyProtection="0"/>
    <xf numFmtId="0" fontId="47" fillId="25" borderId="96" applyNumberFormat="0" applyAlignment="0" applyProtection="0"/>
    <xf numFmtId="0" fontId="47" fillId="25" borderId="96" applyNumberFormat="0" applyAlignment="0" applyProtection="0"/>
    <xf numFmtId="0" fontId="47" fillId="25" borderId="96" applyNumberFormat="0" applyAlignment="0" applyProtection="0"/>
    <xf numFmtId="0" fontId="47" fillId="25" borderId="96" applyNumberFormat="0" applyAlignment="0" applyProtection="0"/>
    <xf numFmtId="0" fontId="47" fillId="25" borderId="96" applyNumberFormat="0" applyAlignment="0" applyProtection="0"/>
    <xf numFmtId="0" fontId="47" fillId="24" borderId="96" applyNumberFormat="0" applyAlignment="0" applyProtection="0"/>
    <xf numFmtId="0" fontId="47" fillId="25" borderId="96" applyNumberFormat="0" applyAlignment="0" applyProtection="0"/>
    <xf numFmtId="0" fontId="47" fillId="25" borderId="96" applyNumberFormat="0" applyAlignment="0" applyProtection="0"/>
    <xf numFmtId="0" fontId="47" fillId="25" borderId="96" applyNumberFormat="0" applyAlignment="0" applyProtection="0"/>
    <xf numFmtId="0" fontId="47" fillId="25" borderId="96" applyNumberFormat="0" applyAlignment="0" applyProtection="0"/>
    <xf numFmtId="0" fontId="47" fillId="25" borderId="96" applyNumberFormat="0" applyAlignment="0" applyProtection="0"/>
    <xf numFmtId="0" fontId="47" fillId="25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5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5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5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5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5" borderId="96" applyNumberFormat="0" applyAlignment="0" applyProtection="0"/>
    <xf numFmtId="0" fontId="47" fillId="25" borderId="96" applyNumberFormat="0" applyAlignment="0" applyProtection="0"/>
    <xf numFmtId="0" fontId="47" fillId="25" borderId="96" applyNumberFormat="0" applyAlignment="0" applyProtection="0"/>
    <xf numFmtId="0" fontId="47" fillId="25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5" borderId="96" applyNumberFormat="0" applyAlignment="0" applyProtection="0"/>
    <xf numFmtId="0" fontId="47" fillId="25" borderId="96" applyNumberFormat="0" applyAlignment="0" applyProtection="0"/>
    <xf numFmtId="0" fontId="47" fillId="25" borderId="96" applyNumberFormat="0" applyAlignment="0" applyProtection="0"/>
    <xf numFmtId="0" fontId="47" fillId="25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0" fontId="47" fillId="24" borderId="96" applyNumberFormat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8" applyNumberFormat="0" applyFill="0" applyAlignment="0" applyProtection="0"/>
    <xf numFmtId="0" fontId="58" fillId="0" borderId="98" applyNumberFormat="0" applyFill="0" applyAlignment="0" applyProtection="0"/>
    <xf numFmtId="0" fontId="58" fillId="0" borderId="98" applyNumberFormat="0" applyFill="0" applyAlignment="0" applyProtection="0"/>
    <xf numFmtId="0" fontId="58" fillId="0" borderId="98" applyNumberFormat="0" applyFill="0" applyAlignment="0" applyProtection="0"/>
    <xf numFmtId="0" fontId="58" fillId="0" borderId="98" applyNumberFormat="0" applyFill="0" applyAlignment="0" applyProtection="0"/>
    <xf numFmtId="0" fontId="58" fillId="0" borderId="98" applyNumberFormat="0" applyFill="0" applyAlignment="0" applyProtection="0"/>
    <xf numFmtId="0" fontId="58" fillId="0" borderId="97" applyNumberFormat="0" applyFill="0" applyAlignment="0" applyProtection="0"/>
    <xf numFmtId="0" fontId="58" fillId="0" borderId="98" applyNumberFormat="0" applyFill="0" applyAlignment="0" applyProtection="0"/>
    <xf numFmtId="0" fontId="58" fillId="0" borderId="98" applyNumberFormat="0" applyFill="0" applyAlignment="0" applyProtection="0"/>
    <xf numFmtId="0" fontId="58" fillId="0" borderId="98" applyNumberFormat="0" applyFill="0" applyAlignment="0" applyProtection="0"/>
    <xf numFmtId="0" fontId="58" fillId="0" borderId="98" applyNumberFormat="0" applyFill="0" applyAlignment="0" applyProtection="0"/>
    <xf numFmtId="0" fontId="58" fillId="0" borderId="98" applyNumberFormat="0" applyFill="0" applyAlignment="0" applyProtection="0"/>
    <xf numFmtId="0" fontId="58" fillId="0" borderId="98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8" applyNumberFormat="0" applyFill="0" applyAlignment="0" applyProtection="0"/>
    <xf numFmtId="0" fontId="58" fillId="0" borderId="98" applyNumberFormat="0" applyFill="0" applyAlignment="0" applyProtection="0"/>
    <xf numFmtId="0" fontId="58" fillId="0" borderId="98" applyNumberFormat="0" applyFill="0" applyAlignment="0" applyProtection="0"/>
    <xf numFmtId="0" fontId="58" fillId="0" borderId="98" applyNumberFormat="0" applyFill="0" applyAlignment="0" applyProtection="0"/>
    <xf numFmtId="0" fontId="58" fillId="0" borderId="98" applyNumberFormat="0" applyFill="0" applyAlignment="0" applyProtection="0"/>
    <xf numFmtId="0" fontId="58" fillId="0" borderId="98" applyNumberFormat="0" applyFill="0" applyAlignment="0" applyProtection="0"/>
    <xf numFmtId="0" fontId="58" fillId="0" borderId="97" applyNumberFormat="0" applyFill="0" applyAlignment="0" applyProtection="0"/>
    <xf numFmtId="0" fontId="58" fillId="0" borderId="98" applyNumberFormat="0" applyFill="0" applyAlignment="0" applyProtection="0"/>
    <xf numFmtId="0" fontId="58" fillId="0" borderId="98" applyNumberFormat="0" applyFill="0" applyAlignment="0" applyProtection="0"/>
    <xf numFmtId="0" fontId="58" fillId="0" borderId="98" applyNumberFormat="0" applyFill="0" applyAlignment="0" applyProtection="0"/>
    <xf numFmtId="0" fontId="58" fillId="0" borderId="98" applyNumberFormat="0" applyFill="0" applyAlignment="0" applyProtection="0"/>
    <xf numFmtId="0" fontId="58" fillId="0" borderId="98" applyNumberFormat="0" applyFill="0" applyAlignment="0" applyProtection="0"/>
    <xf numFmtId="0" fontId="58" fillId="0" borderId="98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8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8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8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8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8" applyNumberFormat="0" applyFill="0" applyAlignment="0" applyProtection="0"/>
    <xf numFmtId="0" fontId="58" fillId="0" borderId="98" applyNumberFormat="0" applyFill="0" applyAlignment="0" applyProtection="0"/>
    <xf numFmtId="0" fontId="58" fillId="0" borderId="98" applyNumberFormat="0" applyFill="0" applyAlignment="0" applyProtection="0"/>
    <xf numFmtId="0" fontId="58" fillId="0" borderId="98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8" applyNumberFormat="0" applyFill="0" applyAlignment="0" applyProtection="0"/>
    <xf numFmtId="0" fontId="58" fillId="0" borderId="98" applyNumberFormat="0" applyFill="0" applyAlignment="0" applyProtection="0"/>
    <xf numFmtId="0" fontId="58" fillId="0" borderId="98" applyNumberFormat="0" applyFill="0" applyAlignment="0" applyProtection="0"/>
    <xf numFmtId="0" fontId="58" fillId="0" borderId="98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0" fontId="58" fillId="0" borderId="97" applyNumberFormat="0" applyFill="0" applyAlignment="0" applyProtection="0"/>
    <xf numFmtId="176" fontId="7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38" fillId="0" borderId="99" applyNumberFormat="0" applyFill="0" applyAlignment="0" applyProtection="0"/>
    <xf numFmtId="171" fontId="20" fillId="0" borderId="0" applyFont="0" applyFill="0" applyBorder="0" applyAlignment="0" applyProtection="0"/>
    <xf numFmtId="0" fontId="7" fillId="17" borderId="100" applyNumberFormat="0" applyFont="0" applyAlignment="0" applyProtection="0"/>
    <xf numFmtId="0" fontId="47" fillId="24" borderId="101" applyNumberFormat="0" applyAlignment="0" applyProtection="0"/>
    <xf numFmtId="0" fontId="58" fillId="0" borderId="102" applyNumberFormat="0" applyFill="0" applyAlignment="0" applyProtection="0"/>
    <xf numFmtId="0" fontId="39" fillId="0" borderId="103" applyNumberFormat="0" applyFill="0" applyAlignment="0" applyProtection="0"/>
    <xf numFmtId="0" fontId="20" fillId="17" borderId="100" applyNumberFormat="0" applyFont="0" applyAlignment="0" applyProtection="0"/>
    <xf numFmtId="0" fontId="47" fillId="25" borderId="101" applyNumberFormat="0" applyAlignment="0" applyProtection="0"/>
    <xf numFmtId="0" fontId="58" fillId="0" borderId="104" applyNumberFormat="0" applyFill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6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15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6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3" fillId="2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7" fillId="26" borderId="45" applyNumberFormat="0" applyAlignment="0" applyProtection="0"/>
    <xf numFmtId="0" fontId="38" fillId="0" borderId="99" applyNumberFormat="0" applyFill="0" applyAlignment="0" applyProtection="0"/>
    <xf numFmtId="0" fontId="38" fillId="0" borderId="99" applyNumberFormat="0" applyFill="0" applyAlignment="0" applyProtection="0"/>
    <xf numFmtId="0" fontId="38" fillId="0" borderId="99" applyNumberFormat="0" applyFill="0" applyAlignment="0" applyProtection="0"/>
    <xf numFmtId="0" fontId="38" fillId="0" borderId="99" applyNumberFormat="0" applyFill="0" applyAlignment="0" applyProtection="0"/>
    <xf numFmtId="0" fontId="38" fillId="0" borderId="99" applyNumberFormat="0" applyFill="0" applyAlignment="0" applyProtection="0"/>
    <xf numFmtId="0" fontId="38" fillId="0" borderId="99" applyNumberFormat="0" applyFill="0" applyAlignment="0" applyProtection="0"/>
    <xf numFmtId="0" fontId="38" fillId="0" borderId="99" applyNumberFormat="0" applyFill="0" applyAlignment="0" applyProtection="0"/>
    <xf numFmtId="0" fontId="38" fillId="0" borderId="99" applyNumberFormat="0" applyFill="0" applyAlignment="0" applyProtection="0"/>
    <xf numFmtId="0" fontId="38" fillId="0" borderId="99" applyNumberFormat="0" applyFill="0" applyAlignment="0" applyProtection="0"/>
    <xf numFmtId="0" fontId="38" fillId="0" borderId="99" applyNumberFormat="0" applyFill="0" applyAlignment="0" applyProtection="0"/>
    <xf numFmtId="0" fontId="38" fillId="0" borderId="99" applyNumberFormat="0" applyFill="0" applyAlignment="0" applyProtection="0"/>
    <xf numFmtId="0" fontId="38" fillId="0" borderId="99" applyNumberFormat="0" applyFill="0" applyAlignment="0" applyProtection="0"/>
    <xf numFmtId="0" fontId="38" fillId="0" borderId="99" applyNumberFormat="0" applyFill="0" applyAlignment="0" applyProtection="0"/>
    <xf numFmtId="0" fontId="38" fillId="0" borderId="99" applyNumberFormat="0" applyFill="0" applyAlignment="0" applyProtection="0"/>
    <xf numFmtId="0" fontId="38" fillId="0" borderId="99" applyNumberFormat="0" applyFill="0" applyAlignment="0" applyProtection="0"/>
    <xf numFmtId="0" fontId="38" fillId="0" borderId="99" applyNumberFormat="0" applyFill="0" applyAlignment="0" applyProtection="0"/>
    <xf numFmtId="0" fontId="38" fillId="0" borderId="99" applyNumberFormat="0" applyFill="0" applyAlignment="0" applyProtection="0"/>
    <xf numFmtId="0" fontId="38" fillId="0" borderId="99" applyNumberFormat="0" applyFill="0" applyAlignment="0" applyProtection="0"/>
    <xf numFmtId="0" fontId="38" fillId="0" borderId="99" applyNumberFormat="0" applyFill="0" applyAlignment="0" applyProtection="0"/>
    <xf numFmtId="0" fontId="38" fillId="0" borderId="99" applyNumberFormat="0" applyFill="0" applyAlignment="0" applyProtection="0"/>
    <xf numFmtId="0" fontId="38" fillId="0" borderId="99" applyNumberFormat="0" applyFill="0" applyAlignment="0" applyProtection="0"/>
    <xf numFmtId="0" fontId="38" fillId="0" borderId="99" applyNumberFormat="0" applyFill="0" applyAlignment="0" applyProtection="0"/>
    <xf numFmtId="0" fontId="38" fillId="0" borderId="99" applyNumberFormat="0" applyFill="0" applyAlignment="0" applyProtection="0"/>
    <xf numFmtId="0" fontId="38" fillId="0" borderId="99" applyNumberFormat="0" applyFill="0" applyAlignment="0" applyProtection="0"/>
    <xf numFmtId="0" fontId="38" fillId="0" borderId="99" applyNumberFormat="0" applyFill="0" applyAlignment="0" applyProtection="0"/>
    <xf numFmtId="0" fontId="38" fillId="0" borderId="99" applyNumberFormat="0" applyFill="0" applyAlignment="0" applyProtection="0"/>
    <xf numFmtId="0" fontId="38" fillId="0" borderId="99" applyNumberFormat="0" applyFill="0" applyAlignment="0" applyProtection="0"/>
    <xf numFmtId="0" fontId="38" fillId="0" borderId="99" applyNumberFormat="0" applyFill="0" applyAlignment="0" applyProtection="0"/>
    <xf numFmtId="0" fontId="38" fillId="0" borderId="99" applyNumberFormat="0" applyFill="0" applyAlignment="0" applyProtection="0"/>
    <xf numFmtId="0" fontId="38" fillId="0" borderId="99" applyNumberFormat="0" applyFill="0" applyAlignment="0" applyProtection="0"/>
    <xf numFmtId="0" fontId="38" fillId="0" borderId="99" applyNumberFormat="0" applyFill="0" applyAlignment="0" applyProtection="0"/>
    <xf numFmtId="0" fontId="38" fillId="0" borderId="99" applyNumberFormat="0" applyFill="0" applyAlignment="0" applyProtection="0"/>
    <xf numFmtId="0" fontId="38" fillId="0" borderId="99" applyNumberFormat="0" applyFill="0" applyAlignment="0" applyProtection="0"/>
    <xf numFmtId="0" fontId="38" fillId="0" borderId="99" applyNumberFormat="0" applyFill="0" applyAlignment="0" applyProtection="0"/>
    <xf numFmtId="0" fontId="38" fillId="0" borderId="99" applyNumberFormat="0" applyFill="0" applyAlignment="0" applyProtection="0"/>
    <xf numFmtId="0" fontId="38" fillId="0" borderId="99" applyNumberFormat="0" applyFill="0" applyAlignment="0" applyProtection="0"/>
    <xf numFmtId="0" fontId="38" fillId="0" borderId="99" applyNumberFormat="0" applyFill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7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171" fontId="20" fillId="0" borderId="0" applyFont="0" applyFill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76" fontId="20" fillId="0" borderId="0"/>
    <xf numFmtId="176" fontId="20" fillId="0" borderId="0"/>
    <xf numFmtId="0" fontId="32" fillId="0" borderId="0"/>
    <xf numFmtId="176" fontId="20" fillId="0" borderId="0"/>
    <xf numFmtId="0" fontId="32" fillId="0" borderId="0"/>
    <xf numFmtId="176" fontId="20" fillId="0" borderId="0"/>
    <xf numFmtId="176" fontId="20" fillId="0" borderId="0"/>
    <xf numFmtId="176" fontId="20" fillId="0" borderId="0"/>
    <xf numFmtId="176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0" fontId="7" fillId="0" borderId="0"/>
    <xf numFmtId="174" fontId="20" fillId="0" borderId="0"/>
    <xf numFmtId="174" fontId="20" fillId="0" borderId="0"/>
    <xf numFmtId="174" fontId="20" fillId="0" borderId="0"/>
    <xf numFmtId="0" fontId="7" fillId="0" borderId="0"/>
    <xf numFmtId="174" fontId="20" fillId="0" borderId="0"/>
    <xf numFmtId="174" fontId="20" fillId="0" borderId="0"/>
    <xf numFmtId="174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74" fontId="20" fillId="0" borderId="0"/>
    <xf numFmtId="174" fontId="20" fillId="0" borderId="0"/>
    <xf numFmtId="174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7" fillId="0" borderId="0"/>
    <xf numFmtId="167" fontId="20" fillId="0" borderId="0"/>
    <xf numFmtId="174" fontId="20" fillId="0" borderId="0"/>
    <xf numFmtId="174" fontId="20" fillId="0" borderId="0"/>
    <xf numFmtId="174" fontId="20" fillId="0" borderId="0"/>
    <xf numFmtId="167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0" fontId="7" fillId="0" borderId="0"/>
    <xf numFmtId="174" fontId="20" fillId="0" borderId="0"/>
    <xf numFmtId="174" fontId="20" fillId="0" borderId="0"/>
    <xf numFmtId="174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7" fillId="0" borderId="0"/>
    <xf numFmtId="0" fontId="7" fillId="0" borderId="0"/>
    <xf numFmtId="167" fontId="20" fillId="0" borderId="0"/>
    <xf numFmtId="167" fontId="20" fillId="0" borderId="0"/>
    <xf numFmtId="167" fontId="20" fillId="0" borderId="0"/>
    <xf numFmtId="0" fontId="7" fillId="0" borderId="0"/>
    <xf numFmtId="174" fontId="20" fillId="0" borderId="0"/>
    <xf numFmtId="174" fontId="20" fillId="0" borderId="0"/>
    <xf numFmtId="174" fontId="20" fillId="0" borderId="0"/>
    <xf numFmtId="0" fontId="21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74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7" fillId="0" borderId="0"/>
    <xf numFmtId="0" fontId="7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7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7" fillId="0" borderId="0"/>
    <xf numFmtId="167" fontId="20" fillId="0" borderId="0"/>
    <xf numFmtId="167" fontId="20" fillId="0" borderId="0"/>
    <xf numFmtId="167" fontId="20" fillId="0" borderId="0"/>
    <xf numFmtId="0" fontId="7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167" fontId="20" fillId="0" borderId="0"/>
    <xf numFmtId="0" fontId="7" fillId="0" borderId="0"/>
    <xf numFmtId="0" fontId="7" fillId="0" borderId="0"/>
    <xf numFmtId="0" fontId="7" fillId="0" borderId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9" fontId="21" fillId="0" borderId="0" applyFont="0" applyFill="0" applyBorder="0" applyAlignment="0" applyProtection="0"/>
    <xf numFmtId="0" fontId="47" fillId="24" borderId="101" applyNumberFormat="0" applyAlignment="0" applyProtection="0"/>
    <xf numFmtId="0" fontId="47" fillId="24" borderId="101" applyNumberFormat="0" applyAlignment="0" applyProtection="0"/>
    <xf numFmtId="0" fontId="47" fillId="24" borderId="101" applyNumberFormat="0" applyAlignment="0" applyProtection="0"/>
    <xf numFmtId="0" fontId="47" fillId="24" borderId="101" applyNumberFormat="0" applyAlignment="0" applyProtection="0"/>
    <xf numFmtId="0" fontId="47" fillId="24" borderId="101" applyNumberFormat="0" applyAlignment="0" applyProtection="0"/>
    <xf numFmtId="0" fontId="47" fillId="24" borderId="101" applyNumberFormat="0" applyAlignment="0" applyProtection="0"/>
    <xf numFmtId="0" fontId="47" fillId="24" borderId="101" applyNumberFormat="0" applyAlignment="0" applyProtection="0"/>
    <xf numFmtId="0" fontId="47" fillId="24" borderId="101" applyNumberFormat="0" applyAlignment="0" applyProtection="0"/>
    <xf numFmtId="0" fontId="47" fillId="24" borderId="101" applyNumberFormat="0" applyAlignment="0" applyProtection="0"/>
    <xf numFmtId="0" fontId="47" fillId="24" borderId="101" applyNumberFormat="0" applyAlignment="0" applyProtection="0"/>
    <xf numFmtId="0" fontId="47" fillId="24" borderId="101" applyNumberFormat="0" applyAlignment="0" applyProtection="0"/>
    <xf numFmtId="0" fontId="47" fillId="24" borderId="101" applyNumberFormat="0" applyAlignment="0" applyProtection="0"/>
    <xf numFmtId="0" fontId="47" fillId="24" borderId="101" applyNumberFormat="0" applyAlignment="0" applyProtection="0"/>
    <xf numFmtId="0" fontId="47" fillId="24" borderId="101" applyNumberFormat="0" applyAlignment="0" applyProtection="0"/>
    <xf numFmtId="0" fontId="47" fillId="24" borderId="101" applyNumberFormat="0" applyAlignment="0" applyProtection="0"/>
    <xf numFmtId="0" fontId="47" fillId="24" borderId="101" applyNumberFormat="0" applyAlignment="0" applyProtection="0"/>
    <xf numFmtId="0" fontId="47" fillId="24" borderId="101" applyNumberFormat="0" applyAlignment="0" applyProtection="0"/>
    <xf numFmtId="0" fontId="47" fillId="24" borderId="101" applyNumberFormat="0" applyAlignment="0" applyProtection="0"/>
    <xf numFmtId="0" fontId="47" fillId="24" borderId="101" applyNumberFormat="0" applyAlignment="0" applyProtection="0"/>
    <xf numFmtId="0" fontId="47" fillId="24" borderId="101" applyNumberFormat="0" applyAlignment="0" applyProtection="0"/>
    <xf numFmtId="0" fontId="47" fillId="24" borderId="101" applyNumberFormat="0" applyAlignment="0" applyProtection="0"/>
    <xf numFmtId="0" fontId="47" fillId="24" borderId="101" applyNumberFormat="0" applyAlignment="0" applyProtection="0"/>
    <xf numFmtId="0" fontId="47" fillId="24" borderId="101" applyNumberFormat="0" applyAlignment="0" applyProtection="0"/>
    <xf numFmtId="0" fontId="47" fillId="24" borderId="101" applyNumberFormat="0" applyAlignment="0" applyProtection="0"/>
    <xf numFmtId="0" fontId="47" fillId="24" borderId="101" applyNumberFormat="0" applyAlignment="0" applyProtection="0"/>
    <xf numFmtId="0" fontId="47" fillId="24" borderId="101" applyNumberFormat="0" applyAlignment="0" applyProtection="0"/>
    <xf numFmtId="0" fontId="47" fillId="24" borderId="101" applyNumberFormat="0" applyAlignment="0" applyProtection="0"/>
    <xf numFmtId="0" fontId="47" fillId="24" borderId="101" applyNumberFormat="0" applyAlignment="0" applyProtection="0"/>
    <xf numFmtId="0" fontId="47" fillId="24" borderId="101" applyNumberFormat="0" applyAlignment="0" applyProtection="0"/>
    <xf numFmtId="0" fontId="47" fillId="24" borderId="101" applyNumberFormat="0" applyAlignment="0" applyProtection="0"/>
    <xf numFmtId="0" fontId="47" fillId="24" borderId="101" applyNumberFormat="0" applyAlignment="0" applyProtection="0"/>
    <xf numFmtId="0" fontId="47" fillId="24" borderId="101" applyNumberFormat="0" applyAlignment="0" applyProtection="0"/>
    <xf numFmtId="0" fontId="47" fillId="24" borderId="101" applyNumberFormat="0" applyAlignment="0" applyProtection="0"/>
    <xf numFmtId="0" fontId="47" fillId="24" borderId="101" applyNumberFormat="0" applyAlignment="0" applyProtection="0"/>
    <xf numFmtId="0" fontId="47" fillId="24" borderId="101" applyNumberFormat="0" applyAlignment="0" applyProtection="0"/>
    <xf numFmtId="0" fontId="47" fillId="24" borderId="101" applyNumberFormat="0" applyAlignment="0" applyProtection="0"/>
    <xf numFmtId="0" fontId="47" fillId="24" borderId="101" applyNumberFormat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49" fillId="0" borderId="50" applyNumberFormat="0" applyFill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2" fillId="0" borderId="52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54" applyNumberFormat="0" applyFill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8" fillId="0" borderId="102" applyNumberFormat="0" applyFill="0" applyAlignment="0" applyProtection="0"/>
    <xf numFmtId="0" fontId="58" fillId="0" borderId="102" applyNumberFormat="0" applyFill="0" applyAlignment="0" applyProtection="0"/>
    <xf numFmtId="0" fontId="58" fillId="0" borderId="102" applyNumberFormat="0" applyFill="0" applyAlignment="0" applyProtection="0"/>
    <xf numFmtId="0" fontId="58" fillId="0" borderId="102" applyNumberFormat="0" applyFill="0" applyAlignment="0" applyProtection="0"/>
    <xf numFmtId="0" fontId="58" fillId="0" borderId="102" applyNumberFormat="0" applyFill="0" applyAlignment="0" applyProtection="0"/>
    <xf numFmtId="0" fontId="58" fillId="0" borderId="102" applyNumberFormat="0" applyFill="0" applyAlignment="0" applyProtection="0"/>
    <xf numFmtId="0" fontId="58" fillId="0" borderId="102" applyNumberFormat="0" applyFill="0" applyAlignment="0" applyProtection="0"/>
    <xf numFmtId="0" fontId="58" fillId="0" borderId="102" applyNumberFormat="0" applyFill="0" applyAlignment="0" applyProtection="0"/>
    <xf numFmtId="0" fontId="58" fillId="0" borderId="102" applyNumberFormat="0" applyFill="0" applyAlignment="0" applyProtection="0"/>
    <xf numFmtId="0" fontId="58" fillId="0" borderId="102" applyNumberFormat="0" applyFill="0" applyAlignment="0" applyProtection="0"/>
    <xf numFmtId="0" fontId="58" fillId="0" borderId="102" applyNumberFormat="0" applyFill="0" applyAlignment="0" applyProtection="0"/>
    <xf numFmtId="0" fontId="58" fillId="0" borderId="102" applyNumberFormat="0" applyFill="0" applyAlignment="0" applyProtection="0"/>
    <xf numFmtId="0" fontId="58" fillId="0" borderId="102" applyNumberFormat="0" applyFill="0" applyAlignment="0" applyProtection="0"/>
    <xf numFmtId="0" fontId="58" fillId="0" borderId="102" applyNumberFormat="0" applyFill="0" applyAlignment="0" applyProtection="0"/>
    <xf numFmtId="0" fontId="58" fillId="0" borderId="102" applyNumberFormat="0" applyFill="0" applyAlignment="0" applyProtection="0"/>
    <xf numFmtId="0" fontId="58" fillId="0" borderId="102" applyNumberFormat="0" applyFill="0" applyAlignment="0" applyProtection="0"/>
    <xf numFmtId="0" fontId="58" fillId="0" borderId="102" applyNumberFormat="0" applyFill="0" applyAlignment="0" applyProtection="0"/>
    <xf numFmtId="0" fontId="58" fillId="0" borderId="102" applyNumberFormat="0" applyFill="0" applyAlignment="0" applyProtection="0"/>
    <xf numFmtId="0" fontId="58" fillId="0" borderId="102" applyNumberFormat="0" applyFill="0" applyAlignment="0" applyProtection="0"/>
    <xf numFmtId="0" fontId="58" fillId="0" borderId="102" applyNumberFormat="0" applyFill="0" applyAlignment="0" applyProtection="0"/>
    <xf numFmtId="0" fontId="58" fillId="0" borderId="102" applyNumberFormat="0" applyFill="0" applyAlignment="0" applyProtection="0"/>
    <xf numFmtId="0" fontId="58" fillId="0" borderId="102" applyNumberFormat="0" applyFill="0" applyAlignment="0" applyProtection="0"/>
    <xf numFmtId="0" fontId="58" fillId="0" borderId="102" applyNumberFormat="0" applyFill="0" applyAlignment="0" applyProtection="0"/>
    <xf numFmtId="0" fontId="58" fillId="0" borderId="102" applyNumberFormat="0" applyFill="0" applyAlignment="0" applyProtection="0"/>
    <xf numFmtId="0" fontId="58" fillId="0" borderId="102" applyNumberFormat="0" applyFill="0" applyAlignment="0" applyProtection="0"/>
    <xf numFmtId="0" fontId="58" fillId="0" borderId="102" applyNumberFormat="0" applyFill="0" applyAlignment="0" applyProtection="0"/>
    <xf numFmtId="0" fontId="58" fillId="0" borderId="102" applyNumberFormat="0" applyFill="0" applyAlignment="0" applyProtection="0"/>
    <xf numFmtId="0" fontId="58" fillId="0" borderId="102" applyNumberFormat="0" applyFill="0" applyAlignment="0" applyProtection="0"/>
    <xf numFmtId="0" fontId="58" fillId="0" borderId="102" applyNumberFormat="0" applyFill="0" applyAlignment="0" applyProtection="0"/>
    <xf numFmtId="0" fontId="58" fillId="0" borderId="102" applyNumberFormat="0" applyFill="0" applyAlignment="0" applyProtection="0"/>
    <xf numFmtId="0" fontId="58" fillId="0" borderId="102" applyNumberFormat="0" applyFill="0" applyAlignment="0" applyProtection="0"/>
    <xf numFmtId="0" fontId="58" fillId="0" borderId="102" applyNumberFormat="0" applyFill="0" applyAlignment="0" applyProtection="0"/>
    <xf numFmtId="0" fontId="58" fillId="0" borderId="102" applyNumberFormat="0" applyFill="0" applyAlignment="0" applyProtection="0"/>
    <xf numFmtId="0" fontId="58" fillId="0" borderId="102" applyNumberFormat="0" applyFill="0" applyAlignment="0" applyProtection="0"/>
    <xf numFmtId="0" fontId="58" fillId="0" borderId="102" applyNumberFormat="0" applyFill="0" applyAlignment="0" applyProtection="0"/>
    <xf numFmtId="0" fontId="58" fillId="0" borderId="102" applyNumberFormat="0" applyFill="0" applyAlignment="0" applyProtection="0"/>
    <xf numFmtId="0" fontId="58" fillId="0" borderId="102" applyNumberFormat="0" applyFill="0" applyAlignment="0" applyProtection="0"/>
    <xf numFmtId="176" fontId="7" fillId="0" borderId="0" applyFont="0" applyFill="0" applyBorder="0" applyAlignment="0" applyProtection="0"/>
    <xf numFmtId="0" fontId="32" fillId="13" borderId="0" applyNumberFormat="0" applyBorder="0" applyAlignment="0" applyProtection="0"/>
    <xf numFmtId="0" fontId="32" fillId="15" borderId="0" applyNumberFormat="0" applyBorder="0" applyAlignment="0" applyProtection="0"/>
    <xf numFmtId="0" fontId="32" fillId="17" borderId="0" applyNumberFormat="0" applyBorder="0" applyAlignment="0" applyProtection="0"/>
    <xf numFmtId="0" fontId="32" fillId="19" borderId="0" applyNumberFormat="0" applyBorder="0" applyAlignment="0" applyProtection="0"/>
    <xf numFmtId="0" fontId="32" fillId="17" borderId="0" applyNumberFormat="0" applyBorder="0" applyAlignment="0" applyProtection="0"/>
    <xf numFmtId="0" fontId="32" fillId="20" borderId="0" applyNumberFormat="0" applyBorder="0" applyAlignment="0" applyProtection="0"/>
    <xf numFmtId="0" fontId="32" fillId="4" borderId="0" applyNumberFormat="0" applyBorder="0" applyAlignment="0" applyProtection="0"/>
    <xf numFmtId="0" fontId="32" fillId="14" borderId="0" applyNumberFormat="0" applyBorder="0" applyAlignment="0" applyProtection="0"/>
    <xf numFmtId="0" fontId="32" fillId="20" borderId="0" applyNumberFormat="0" applyBorder="0" applyAlignment="0" applyProtection="0"/>
    <xf numFmtId="0" fontId="32" fillId="17" borderId="0" applyNumberFormat="0" applyBorder="0" applyAlignment="0" applyProtection="0"/>
    <xf numFmtId="0" fontId="33" fillId="20" borderId="0" applyNumberFormat="0" applyBorder="0" applyAlignment="0" applyProtection="0"/>
    <xf numFmtId="0" fontId="33" fillId="22" borderId="0" applyNumberFormat="0" applyBorder="0" applyAlignment="0" applyProtection="0"/>
    <xf numFmtId="0" fontId="33" fillId="5" borderId="0" applyNumberFormat="0" applyBorder="0" applyAlignment="0" applyProtection="0"/>
    <xf numFmtId="0" fontId="33" fillId="14" borderId="0" applyNumberFormat="0" applyBorder="0" applyAlignment="0" applyProtection="0"/>
    <xf numFmtId="0" fontId="33" fillId="20" borderId="0" applyNumberFormat="0" applyBorder="0" applyAlignment="0" applyProtection="0"/>
    <xf numFmtId="0" fontId="33" fillId="15" borderId="0" applyNumberFormat="0" applyBorder="0" applyAlignment="0" applyProtection="0"/>
    <xf numFmtId="0" fontId="34" fillId="20" borderId="0" applyNumberFormat="0" applyBorder="0" applyAlignment="0" applyProtection="0"/>
    <xf numFmtId="0" fontId="36" fillId="25" borderId="94" applyNumberFormat="0" applyAlignment="0" applyProtection="0"/>
    <xf numFmtId="0" fontId="39" fillId="0" borderId="103" applyNumberFormat="0" applyFill="0" applyAlignment="0" applyProtection="0"/>
    <xf numFmtId="0" fontId="33" fillId="28" borderId="0" applyNumberFormat="0" applyBorder="0" applyAlignment="0" applyProtection="0"/>
    <xf numFmtId="0" fontId="33" fillId="22" borderId="0" applyNumberFormat="0" applyBorder="0" applyAlignment="0" applyProtection="0"/>
    <xf numFmtId="0" fontId="33" fillId="5" borderId="0" applyNumberFormat="0" applyBorder="0" applyAlignment="0" applyProtection="0"/>
    <xf numFmtId="0" fontId="33" fillId="31" borderId="0" applyNumberFormat="0" applyBorder="0" applyAlignment="0" applyProtection="0"/>
    <xf numFmtId="0" fontId="33" fillId="29" borderId="0" applyNumberFormat="0" applyBorder="0" applyAlignment="0" applyProtection="0"/>
    <xf numFmtId="0" fontId="41" fillId="4" borderId="94" applyNumberFormat="0" applyAlignment="0" applyProtection="0"/>
    <xf numFmtId="0" fontId="43" fillId="18" borderId="0" applyNumberFormat="0" applyBorder="0" applyAlignment="0" applyProtection="0"/>
    <xf numFmtId="0" fontId="45" fillId="4" borderId="0" applyNumberFormat="0" applyBorder="0" applyAlignment="0" applyProtection="0"/>
    <xf numFmtId="0" fontId="20" fillId="17" borderId="100" applyNumberFormat="0" applyFont="0" applyAlignment="0" applyProtection="0"/>
    <xf numFmtId="0" fontId="47" fillId="25" borderId="101" applyNumberFormat="0" applyAlignment="0" applyProtection="0"/>
    <xf numFmtId="0" fontId="54" fillId="0" borderId="0" applyNumberFormat="0" applyFill="0" applyBorder="0" applyAlignment="0" applyProtection="0"/>
    <xf numFmtId="0" fontId="50" fillId="0" borderId="51" applyNumberFormat="0" applyFill="0" applyAlignment="0" applyProtection="0"/>
    <xf numFmtId="0" fontId="53" fillId="0" borderId="53" applyNumberFormat="0" applyFill="0" applyAlignment="0" applyProtection="0"/>
    <xf numFmtId="0" fontId="56" fillId="0" borderId="55" applyNumberFormat="0" applyFill="0" applyAlignment="0" applyProtection="0"/>
    <xf numFmtId="0" fontId="56" fillId="0" borderId="0" applyNumberFormat="0" applyFill="0" applyBorder="0" applyAlignment="0" applyProtection="0"/>
    <xf numFmtId="0" fontId="58" fillId="0" borderId="104" applyNumberFormat="0" applyFill="0" applyAlignment="0" applyProtection="0"/>
    <xf numFmtId="0" fontId="32" fillId="13" borderId="0" applyNumberFormat="0" applyBorder="0" applyAlignment="0" applyProtection="0"/>
    <xf numFmtId="0" fontId="32" fillId="15" borderId="0" applyNumberFormat="0" applyBorder="0" applyAlignment="0" applyProtection="0"/>
    <xf numFmtId="0" fontId="32" fillId="17" borderId="0" applyNumberFormat="0" applyBorder="0" applyAlignment="0" applyProtection="0"/>
    <xf numFmtId="0" fontId="32" fillId="19" borderId="0" applyNumberFormat="0" applyBorder="0" applyAlignment="0" applyProtection="0"/>
    <xf numFmtId="0" fontId="32" fillId="17" borderId="0" applyNumberFormat="0" applyBorder="0" applyAlignment="0" applyProtection="0"/>
    <xf numFmtId="0" fontId="32" fillId="20" borderId="0" applyNumberFormat="0" applyBorder="0" applyAlignment="0" applyProtection="0"/>
    <xf numFmtId="0" fontId="32" fillId="4" borderId="0" applyNumberFormat="0" applyBorder="0" applyAlignment="0" applyProtection="0"/>
    <xf numFmtId="0" fontId="32" fillId="14" borderId="0" applyNumberFormat="0" applyBorder="0" applyAlignment="0" applyProtection="0"/>
    <xf numFmtId="0" fontId="32" fillId="20" borderId="0" applyNumberFormat="0" applyBorder="0" applyAlignment="0" applyProtection="0"/>
    <xf numFmtId="0" fontId="32" fillId="17" borderId="0" applyNumberFormat="0" applyBorder="0" applyAlignment="0" applyProtection="0"/>
    <xf numFmtId="0" fontId="33" fillId="20" borderId="0" applyNumberFormat="0" applyBorder="0" applyAlignment="0" applyProtection="0"/>
    <xf numFmtId="0" fontId="33" fillId="22" borderId="0" applyNumberFormat="0" applyBorder="0" applyAlignment="0" applyProtection="0"/>
    <xf numFmtId="0" fontId="33" fillId="5" borderId="0" applyNumberFormat="0" applyBorder="0" applyAlignment="0" applyProtection="0"/>
    <xf numFmtId="0" fontId="33" fillId="14" borderId="0" applyNumberFormat="0" applyBorder="0" applyAlignment="0" applyProtection="0"/>
    <xf numFmtId="0" fontId="33" fillId="20" borderId="0" applyNumberFormat="0" applyBorder="0" applyAlignment="0" applyProtection="0"/>
    <xf numFmtId="0" fontId="33" fillId="15" borderId="0" applyNumberFormat="0" applyBorder="0" applyAlignment="0" applyProtection="0"/>
    <xf numFmtId="0" fontId="34" fillId="20" borderId="0" applyNumberFormat="0" applyBorder="0" applyAlignment="0" applyProtection="0"/>
    <xf numFmtId="0" fontId="36" fillId="25" borderId="94" applyNumberFormat="0" applyAlignment="0" applyProtection="0"/>
    <xf numFmtId="0" fontId="39" fillId="0" borderId="103" applyNumberFormat="0" applyFill="0" applyAlignment="0" applyProtection="0"/>
    <xf numFmtId="0" fontId="33" fillId="28" borderId="0" applyNumberFormat="0" applyBorder="0" applyAlignment="0" applyProtection="0"/>
    <xf numFmtId="0" fontId="33" fillId="22" borderId="0" applyNumberFormat="0" applyBorder="0" applyAlignment="0" applyProtection="0"/>
    <xf numFmtId="0" fontId="33" fillId="5" borderId="0" applyNumberFormat="0" applyBorder="0" applyAlignment="0" applyProtection="0"/>
    <xf numFmtId="0" fontId="33" fillId="31" borderId="0" applyNumberFormat="0" applyBorder="0" applyAlignment="0" applyProtection="0"/>
    <xf numFmtId="0" fontId="33" fillId="29" borderId="0" applyNumberFormat="0" applyBorder="0" applyAlignment="0" applyProtection="0"/>
    <xf numFmtId="0" fontId="41" fillId="4" borderId="94" applyNumberFormat="0" applyAlignment="0" applyProtection="0"/>
    <xf numFmtId="0" fontId="43" fillId="18" borderId="0" applyNumberFormat="0" applyBorder="0" applyAlignment="0" applyProtection="0"/>
    <xf numFmtId="0" fontId="45" fillId="4" borderId="0" applyNumberFormat="0" applyBorder="0" applyAlignment="0" applyProtection="0"/>
    <xf numFmtId="0" fontId="20" fillId="17" borderId="100" applyNumberFormat="0" applyFont="0" applyAlignment="0" applyProtection="0"/>
    <xf numFmtId="0" fontId="47" fillId="25" borderId="101" applyNumberFormat="0" applyAlignment="0" applyProtection="0"/>
    <xf numFmtId="0" fontId="54" fillId="0" borderId="0" applyNumberFormat="0" applyFill="0" applyBorder="0" applyAlignment="0" applyProtection="0"/>
    <xf numFmtId="0" fontId="50" fillId="0" borderId="51" applyNumberFormat="0" applyFill="0" applyAlignment="0" applyProtection="0"/>
    <xf numFmtId="0" fontId="53" fillId="0" borderId="53" applyNumberFormat="0" applyFill="0" applyAlignment="0" applyProtection="0"/>
    <xf numFmtId="0" fontId="56" fillId="0" borderId="55" applyNumberFormat="0" applyFill="0" applyAlignment="0" applyProtection="0"/>
    <xf numFmtId="0" fontId="56" fillId="0" borderId="0" applyNumberFormat="0" applyFill="0" applyBorder="0" applyAlignment="0" applyProtection="0"/>
    <xf numFmtId="0" fontId="58" fillId="0" borderId="104" applyNumberFormat="0" applyFill="0" applyAlignment="0" applyProtection="0"/>
    <xf numFmtId="165" fontId="7" fillId="0" borderId="0" applyFont="0" applyFill="0" applyBorder="0" applyAlignment="0" applyProtection="0"/>
    <xf numFmtId="0" fontId="39" fillId="0" borderId="103" applyNumberFormat="0" applyFill="0" applyAlignment="0" applyProtection="0"/>
    <xf numFmtId="0" fontId="20" fillId="17" borderId="100" applyNumberFormat="0" applyFont="0" applyAlignment="0" applyProtection="0"/>
    <xf numFmtId="0" fontId="47" fillId="25" borderId="101" applyNumberFormat="0" applyAlignment="0" applyProtection="0"/>
    <xf numFmtId="0" fontId="58" fillId="0" borderId="104" applyNumberFormat="0" applyFill="0" applyAlignment="0" applyProtection="0"/>
    <xf numFmtId="9" fontId="7" fillId="0" borderId="0" applyFont="0" applyFill="0" applyBorder="0" applyAlignment="0" applyProtection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0" fontId="7" fillId="17" borderId="100" applyNumberFormat="0" applyFont="0" applyAlignment="0" applyProtection="0"/>
    <xf numFmtId="9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0" fontId="38" fillId="0" borderId="99" applyNumberFormat="0" applyFill="0" applyAlignment="0" applyProtection="0"/>
    <xf numFmtId="167" fontId="20" fillId="0" borderId="0"/>
    <xf numFmtId="0" fontId="7" fillId="0" borderId="0"/>
    <xf numFmtId="167" fontId="20" fillId="0" borderId="0"/>
    <xf numFmtId="0" fontId="7" fillId="0" borderId="0"/>
    <xf numFmtId="0" fontId="7" fillId="17" borderId="100" applyNumberFormat="0" applyFont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47" fillId="24" borderId="101" applyNumberFormat="0" applyAlignment="0" applyProtection="0"/>
    <xf numFmtId="40" fontId="21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58" fillId="0" borderId="102" applyNumberFormat="0" applyFill="0" applyAlignment="0" applyProtection="0"/>
    <xf numFmtId="165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7" fontId="19" fillId="0" borderId="0"/>
    <xf numFmtId="0" fontId="76" fillId="0" borderId="0"/>
    <xf numFmtId="0" fontId="4" fillId="0" borderId="0"/>
    <xf numFmtId="0" fontId="83" fillId="0" borderId="0" applyNumberFormat="0" applyFill="0" applyBorder="0" applyAlignment="0" applyProtection="0">
      <alignment vertical="top"/>
      <protection locked="0"/>
    </xf>
    <xf numFmtId="0" fontId="86" fillId="0" borderId="0"/>
    <xf numFmtId="164" fontId="105" fillId="0" borderId="0" applyFont="0" applyFill="0" applyBorder="0" applyAlignment="0" applyProtection="0"/>
    <xf numFmtId="0" fontId="116" fillId="0" borderId="0"/>
    <xf numFmtId="0" fontId="116" fillId="0" borderId="0"/>
    <xf numFmtId="208" fontId="7" fillId="0" borderId="0"/>
    <xf numFmtId="0" fontId="3" fillId="0" borderId="0"/>
    <xf numFmtId="174" fontId="19" fillId="0" borderId="0"/>
    <xf numFmtId="167" fontId="19" fillId="0" borderId="0"/>
    <xf numFmtId="0" fontId="116" fillId="0" borderId="0"/>
    <xf numFmtId="0" fontId="2" fillId="0" borderId="0"/>
    <xf numFmtId="0" fontId="2" fillId="0" borderId="0"/>
    <xf numFmtId="208" fontId="7" fillId="0" borderId="0"/>
    <xf numFmtId="165" fontId="7" fillId="0" borderId="0" applyFont="0" applyFill="0" applyBorder="0" applyAlignment="0" applyProtection="0"/>
    <xf numFmtId="167" fontId="19" fillId="0" borderId="0"/>
    <xf numFmtId="208" fontId="7" fillId="0" borderId="0"/>
    <xf numFmtId="43" fontId="7" fillId="0" borderId="0" applyFont="0" applyFill="0" applyBorder="0" applyAlignment="0" applyProtection="0"/>
    <xf numFmtId="208" fontId="176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3214">
    <xf numFmtId="167" fontId="9" fillId="0" borderId="0" xfId="0" applyFont="1"/>
    <xf numFmtId="165" fontId="7" fillId="0" borderId="2" xfId="21" applyFont="1" applyBorder="1" applyAlignment="1">
      <alignment horizontal="right" vertical="top" wrapText="1"/>
    </xf>
    <xf numFmtId="0" fontId="7" fillId="0" borderId="2" xfId="17" applyBorder="1" applyAlignment="1">
      <alignment horizontal="center" vertical="top" wrapText="1"/>
    </xf>
    <xf numFmtId="0" fontId="7" fillId="0" borderId="0" xfId="0" applyNumberFormat="1" applyFont="1" applyAlignment="1">
      <alignment vertical="center"/>
    </xf>
    <xf numFmtId="0" fontId="7" fillId="0" borderId="0" xfId="0" applyNumberFormat="1" applyFont="1" applyAlignment="1">
      <alignment vertical="top"/>
    </xf>
    <xf numFmtId="167" fontId="7" fillId="0" borderId="0" xfId="0" applyFont="1" applyAlignment="1">
      <alignment horizontal="center" vertical="center" wrapText="1"/>
    </xf>
    <xf numFmtId="167" fontId="26" fillId="0" borderId="0" xfId="0" applyFont="1" applyAlignment="1">
      <alignment horizontal="center" vertical="center" wrapText="1"/>
    </xf>
    <xf numFmtId="167" fontId="7" fillId="0" borderId="21" xfId="0" applyFont="1" applyBorder="1" applyAlignment="1">
      <alignment horizontal="center" vertical="center" wrapText="1"/>
    </xf>
    <xf numFmtId="167" fontId="7" fillId="0" borderId="2" xfId="0" applyFont="1" applyBorder="1" applyAlignment="1">
      <alignment horizontal="center" vertical="center" wrapText="1"/>
    </xf>
    <xf numFmtId="167" fontId="8" fillId="0" borderId="0" xfId="0" applyFont="1" applyAlignment="1">
      <alignment horizontal="center" vertical="center" wrapText="1"/>
    </xf>
    <xf numFmtId="167" fontId="14" fillId="0" borderId="0" xfId="0" applyFont="1" applyAlignment="1">
      <alignment horizontal="center" vertical="center" wrapText="1"/>
    </xf>
    <xf numFmtId="167" fontId="8" fillId="9" borderId="2" xfId="0" applyFont="1" applyFill="1" applyBorder="1" applyAlignment="1">
      <alignment horizontal="center" vertical="center" wrapText="1"/>
    </xf>
    <xf numFmtId="167" fontId="7" fillId="9" borderId="24" xfId="0" applyFont="1" applyFill="1" applyBorder="1" applyAlignment="1">
      <alignment horizontal="center" vertical="center" wrapText="1"/>
    </xf>
    <xf numFmtId="39" fontId="8" fillId="0" borderId="0" xfId="0" applyNumberFormat="1" applyFont="1" applyAlignment="1">
      <alignment horizontal="center" vertical="center" wrapText="1"/>
    </xf>
    <xf numFmtId="37" fontId="7" fillId="0" borderId="0" xfId="0" applyNumberFormat="1" applyFont="1" applyAlignment="1">
      <alignment horizontal="center" vertical="center" wrapText="1"/>
    </xf>
    <xf numFmtId="39" fontId="26" fillId="0" borderId="0" xfId="0" applyNumberFormat="1" applyFont="1" applyAlignment="1">
      <alignment horizontal="center" vertical="center" wrapText="1"/>
    </xf>
    <xf numFmtId="37" fontId="13" fillId="0" borderId="0" xfId="0" applyNumberFormat="1" applyFont="1" applyAlignment="1">
      <alignment horizontal="center" vertical="center" wrapText="1"/>
    </xf>
    <xf numFmtId="37" fontId="14" fillId="0" borderId="26" xfId="0" applyNumberFormat="1" applyFont="1" applyBorder="1" applyAlignment="1">
      <alignment horizontal="center" vertical="center" wrapText="1"/>
    </xf>
    <xf numFmtId="37" fontId="7" fillId="0" borderId="2" xfId="0" applyNumberFormat="1" applyFont="1" applyBorder="1" applyAlignment="1">
      <alignment horizontal="center" vertical="center" wrapText="1"/>
    </xf>
    <xf numFmtId="39" fontId="7" fillId="0" borderId="19" xfId="0" applyNumberFormat="1" applyFont="1" applyBorder="1" applyAlignment="1">
      <alignment horizontal="center" vertical="center" wrapText="1"/>
    </xf>
    <xf numFmtId="40" fontId="7" fillId="0" borderId="0" xfId="0" applyNumberFormat="1" applyFont="1"/>
    <xf numFmtId="167" fontId="7" fillId="0" borderId="0" xfId="0" applyFont="1"/>
    <xf numFmtId="37" fontId="7" fillId="0" borderId="0" xfId="23422" applyNumberFormat="1" applyFont="1"/>
    <xf numFmtId="40" fontId="7" fillId="0" borderId="0" xfId="23422" applyFont="1"/>
    <xf numFmtId="38" fontId="7" fillId="0" borderId="0" xfId="23422" applyNumberFormat="1" applyFont="1"/>
    <xf numFmtId="40" fontId="7" fillId="0" borderId="0" xfId="23422" applyFont="1" applyAlignment="1">
      <alignment horizontal="center"/>
    </xf>
    <xf numFmtId="4" fontId="7" fillId="0" borderId="0" xfId="23422" applyNumberFormat="1" applyFont="1"/>
    <xf numFmtId="167" fontId="7" fillId="0" borderId="0" xfId="23422" applyNumberFormat="1" applyFont="1"/>
    <xf numFmtId="167" fontId="8" fillId="0" borderId="0" xfId="23422" applyNumberFormat="1" applyFont="1"/>
    <xf numFmtId="181" fontId="7" fillId="0" borderId="0" xfId="23422" applyNumberFormat="1" applyFont="1"/>
    <xf numFmtId="174" fontId="7" fillId="0" borderId="0" xfId="23422" applyNumberFormat="1" applyFont="1"/>
    <xf numFmtId="40" fontId="7" fillId="0" borderId="0" xfId="0" applyNumberFormat="1" applyFont="1" applyAlignment="1">
      <alignment vertical="center"/>
    </xf>
    <xf numFmtId="40" fontId="7" fillId="0" borderId="0" xfId="23422" applyFont="1" applyAlignment="1">
      <alignment vertical="center"/>
    </xf>
    <xf numFmtId="40" fontId="7" fillId="0" borderId="0" xfId="23422" applyFont="1" applyAlignment="1">
      <alignment horizontal="center" vertical="center"/>
    </xf>
    <xf numFmtId="40" fontId="7" fillId="0" borderId="0" xfId="0" applyNumberFormat="1" applyFont="1" applyAlignment="1">
      <alignment horizontal="center" vertical="center"/>
    </xf>
    <xf numFmtId="167" fontId="7" fillId="0" borderId="0" xfId="0" applyFont="1" applyAlignment="1">
      <alignment vertical="center"/>
    </xf>
    <xf numFmtId="37" fontId="59" fillId="0" borderId="0" xfId="23422" applyNumberFormat="1" applyFont="1" applyAlignment="1">
      <alignment horizontal="left" vertical="center"/>
    </xf>
    <xf numFmtId="40" fontId="8" fillId="0" borderId="0" xfId="23422" applyFont="1" applyAlignment="1">
      <alignment horizontal="right" vertical="center"/>
    </xf>
    <xf numFmtId="40" fontId="8" fillId="0" borderId="0" xfId="23422" applyFont="1" applyAlignment="1">
      <alignment horizontal="centerContinuous" vertical="center"/>
    </xf>
    <xf numFmtId="40" fontId="7" fillId="0" borderId="0" xfId="23422" applyFont="1" applyAlignment="1">
      <alignment horizontal="centerContinuous" vertical="center"/>
    </xf>
    <xf numFmtId="40" fontId="17" fillId="0" borderId="0" xfId="23422" applyFont="1" applyAlignment="1">
      <alignment horizontal="centerContinuous" vertical="center"/>
    </xf>
    <xf numFmtId="37" fontId="7" fillId="0" borderId="0" xfId="23422" applyNumberFormat="1" applyFont="1" applyAlignment="1">
      <alignment vertical="center"/>
    </xf>
    <xf numFmtId="38" fontId="7" fillId="0" borderId="0" xfId="23422" applyNumberFormat="1" applyFont="1" applyAlignment="1">
      <alignment horizontal="center" vertical="center"/>
    </xf>
    <xf numFmtId="167" fontId="61" fillId="0" borderId="0" xfId="0" applyFont="1" applyAlignment="1">
      <alignment horizontal="center" vertical="center"/>
    </xf>
    <xf numFmtId="0" fontId="61" fillId="0" borderId="0" xfId="0" applyNumberFormat="1" applyFont="1" applyAlignment="1">
      <alignment horizontal="center" vertical="center"/>
    </xf>
    <xf numFmtId="167" fontId="61" fillId="0" borderId="0" xfId="0" applyFont="1" applyAlignment="1">
      <alignment vertical="center"/>
    </xf>
    <xf numFmtId="167" fontId="7" fillId="0" borderId="0" xfId="0" applyFont="1" applyAlignment="1">
      <alignment horizontal="left" vertical="center"/>
    </xf>
    <xf numFmtId="167" fontId="7" fillId="0" borderId="0" xfId="0" applyFont="1" applyAlignment="1">
      <alignment horizontal="center" vertical="center"/>
    </xf>
    <xf numFmtId="4" fontId="7" fillId="0" borderId="0" xfId="0" applyNumberFormat="1" applyFont="1" applyAlignment="1">
      <alignment horizontal="left" vertical="center"/>
    </xf>
    <xf numFmtId="174" fontId="7" fillId="0" borderId="0" xfId="23422" applyNumberFormat="1" applyFont="1" applyAlignment="1">
      <alignment horizontal="fill" vertical="center"/>
    </xf>
    <xf numFmtId="38" fontId="8" fillId="0" borderId="0" xfId="23422" applyNumberFormat="1" applyFont="1" applyAlignment="1">
      <alignment horizontal="center" vertical="center"/>
    </xf>
    <xf numFmtId="167" fontId="12" fillId="0" borderId="0" xfId="0" applyFont="1" applyAlignment="1">
      <alignment horizontal="center" vertical="center"/>
    </xf>
    <xf numFmtId="37" fontId="22" fillId="0" borderId="0" xfId="23422" applyNumberFormat="1" applyFont="1" applyAlignment="1">
      <alignment horizontal="right" vertical="top"/>
    </xf>
    <xf numFmtId="40" fontId="8" fillId="0" borderId="0" xfId="23422" applyFont="1" applyAlignment="1">
      <alignment horizontal="left" vertical="center"/>
    </xf>
    <xf numFmtId="40" fontId="8" fillId="32" borderId="64" xfId="23422" applyFont="1" applyFill="1" applyBorder="1" applyAlignment="1">
      <alignment horizontal="centerContinuous" vertical="center"/>
    </xf>
    <xf numFmtId="40" fontId="8" fillId="32" borderId="59" xfId="23422" applyFont="1" applyFill="1" applyBorder="1" applyAlignment="1">
      <alignment horizontal="centerContinuous" vertical="center"/>
    </xf>
    <xf numFmtId="40" fontId="8" fillId="32" borderId="65" xfId="23422" applyFont="1" applyFill="1" applyBorder="1" applyAlignment="1">
      <alignment horizontal="centerContinuous" vertical="center"/>
    </xf>
    <xf numFmtId="38" fontId="7" fillId="0" borderId="0" xfId="23422" applyNumberFormat="1" applyFont="1" applyAlignment="1">
      <alignment horizontal="left" vertical="center"/>
    </xf>
    <xf numFmtId="38" fontId="7" fillId="0" borderId="0" xfId="23422" applyNumberFormat="1" applyFont="1" applyAlignment="1">
      <alignment vertical="center"/>
    </xf>
    <xf numFmtId="0" fontId="30" fillId="0" borderId="0" xfId="0" applyNumberFormat="1" applyFont="1" applyAlignment="1" applyProtection="1">
      <alignment horizontal="center" vertical="center"/>
      <protection locked="0"/>
    </xf>
    <xf numFmtId="167" fontId="8" fillId="0" borderId="0" xfId="0" applyFont="1" applyAlignment="1" applyProtection="1">
      <alignment horizontal="center" vertical="center"/>
      <protection locked="0"/>
    </xf>
    <xf numFmtId="167" fontId="31" fillId="0" borderId="0" xfId="0" applyFont="1" applyAlignment="1" applyProtection="1">
      <alignment horizontal="center" vertical="center"/>
      <protection locked="0"/>
    </xf>
    <xf numFmtId="39" fontId="31" fillId="0" borderId="0" xfId="0" applyNumberFormat="1" applyFont="1" applyAlignment="1" applyProtection="1">
      <alignment horizontal="center" vertical="center"/>
      <protection locked="0"/>
    </xf>
    <xf numFmtId="167" fontId="7" fillId="0" borderId="0" xfId="0" applyFont="1" applyAlignment="1" applyProtection="1">
      <alignment horizontal="center" vertical="center"/>
      <protection locked="0"/>
    </xf>
    <xf numFmtId="167" fontId="30" fillId="0" borderId="0" xfId="0" applyFont="1" applyAlignment="1" applyProtection="1">
      <alignment horizontal="center" vertical="center"/>
      <protection locked="0"/>
    </xf>
    <xf numFmtId="167" fontId="29" fillId="0" borderId="0" xfId="0" applyFont="1" applyAlignment="1" applyProtection="1">
      <alignment horizontal="center" vertical="center"/>
      <protection locked="0"/>
    </xf>
    <xf numFmtId="39" fontId="29" fillId="0" borderId="0" xfId="0" applyNumberFormat="1" applyFont="1" applyAlignment="1" applyProtection="1">
      <alignment horizontal="center" vertical="center"/>
      <protection locked="0"/>
    </xf>
    <xf numFmtId="0" fontId="7" fillId="0" borderId="0" xfId="0" applyNumberFormat="1" applyFont="1" applyAlignment="1" applyProtection="1">
      <alignment horizontal="center" vertical="center"/>
      <protection locked="0"/>
    </xf>
    <xf numFmtId="37" fontId="26" fillId="0" borderId="0" xfId="0" applyNumberFormat="1" applyFont="1" applyAlignment="1">
      <alignment horizontal="center" vertical="center" wrapText="1"/>
    </xf>
    <xf numFmtId="169" fontId="63" fillId="0" borderId="0" xfId="0" applyNumberFormat="1" applyFont="1" applyAlignment="1">
      <alignment horizontal="right"/>
    </xf>
    <xf numFmtId="37" fontId="64" fillId="0" borderId="0" xfId="0" applyNumberFormat="1" applyFont="1" applyAlignment="1">
      <alignment horizontal="center" vertical="center"/>
    </xf>
    <xf numFmtId="39" fontId="7" fillId="0" borderId="0" xfId="0" applyNumberFormat="1" applyFont="1" applyAlignment="1" applyProtection="1">
      <alignment horizontal="center"/>
      <protection locked="0"/>
    </xf>
    <xf numFmtId="167" fontId="8" fillId="0" borderId="0" xfId="0" applyFont="1" applyAlignment="1" applyProtection="1">
      <alignment vertical="center"/>
      <protection locked="0"/>
    </xf>
    <xf numFmtId="167" fontId="7" fillId="0" borderId="0" xfId="0" applyFont="1" applyAlignment="1" applyProtection="1">
      <alignment horizontal="center"/>
      <protection locked="0"/>
    </xf>
    <xf numFmtId="37" fontId="7" fillId="0" borderId="0" xfId="0" applyNumberFormat="1" applyFont="1" applyAlignment="1" applyProtection="1">
      <alignment horizontal="center"/>
      <protection locked="0"/>
    </xf>
    <xf numFmtId="167" fontId="0" fillId="0" borderId="0" xfId="0" applyProtection="1">
      <protection locked="0"/>
    </xf>
    <xf numFmtId="38" fontId="7" fillId="0" borderId="0" xfId="0" applyNumberFormat="1" applyFont="1" applyAlignment="1">
      <alignment vertical="center"/>
    </xf>
    <xf numFmtId="38" fontId="16" fillId="0" borderId="0" xfId="0" applyNumberFormat="1" applyFont="1" applyAlignment="1">
      <alignment vertical="center"/>
    </xf>
    <xf numFmtId="40" fontId="9" fillId="0" borderId="0" xfId="0" applyNumberFormat="1" applyFont="1" applyAlignment="1">
      <alignment vertical="center"/>
    </xf>
    <xf numFmtId="40" fontId="9" fillId="0" borderId="0" xfId="0" applyNumberFormat="1" applyFont="1" applyAlignment="1">
      <alignment horizontal="right" vertical="center"/>
    </xf>
    <xf numFmtId="37" fontId="10" fillId="0" borderId="0" xfId="23422" applyNumberFormat="1" applyFont="1" applyAlignment="1">
      <alignment horizontal="left" vertical="center"/>
    </xf>
    <xf numFmtId="38" fontId="7" fillId="0" borderId="0" xfId="0" applyNumberFormat="1" applyFont="1" applyAlignment="1">
      <alignment horizontal="right" vertical="center"/>
    </xf>
    <xf numFmtId="38" fontId="16" fillId="0" borderId="0" xfId="0" applyNumberFormat="1" applyFont="1" applyAlignment="1">
      <alignment horizontal="left" vertical="center"/>
    </xf>
    <xf numFmtId="38" fontId="8" fillId="0" borderId="0" xfId="0" applyNumberFormat="1" applyFont="1" applyAlignment="1">
      <alignment horizontal="center" vertical="center"/>
    </xf>
    <xf numFmtId="38" fontId="16" fillId="0" borderId="0" xfId="0" applyNumberFormat="1" applyFont="1" applyAlignment="1">
      <alignment horizontal="center" vertical="center"/>
    </xf>
    <xf numFmtId="167" fontId="9" fillId="0" borderId="0" xfId="0" applyFont="1" applyAlignment="1">
      <alignment horizontal="left" vertical="center"/>
    </xf>
    <xf numFmtId="38" fontId="7" fillId="0" borderId="0" xfId="0" applyNumberFormat="1" applyFont="1"/>
    <xf numFmtId="38" fontId="16" fillId="0" borderId="0" xfId="0" applyNumberFormat="1" applyFont="1"/>
    <xf numFmtId="40" fontId="16" fillId="0" borderId="0" xfId="0" applyNumberFormat="1" applyFont="1" applyAlignment="1">
      <alignment horizontal="center"/>
    </xf>
    <xf numFmtId="38" fontId="16" fillId="0" borderId="68" xfId="0" applyNumberFormat="1" applyFont="1" applyBorder="1" applyAlignment="1">
      <alignment horizontal="centerContinuous" vertical="center"/>
    </xf>
    <xf numFmtId="38" fontId="16" fillId="0" borderId="74" xfId="0" applyNumberFormat="1" applyFont="1" applyBorder="1" applyAlignment="1">
      <alignment horizontal="center" vertical="center"/>
    </xf>
    <xf numFmtId="38" fontId="16" fillId="0" borderId="74" xfId="0" applyNumberFormat="1" applyFont="1" applyBorder="1" applyAlignment="1">
      <alignment horizontal="centerContinuous" vertical="center"/>
    </xf>
    <xf numFmtId="40" fontId="16" fillId="0" borderId="19" xfId="0" applyNumberFormat="1" applyFont="1" applyBorder="1" applyAlignment="1">
      <alignment horizontal="center" vertical="center"/>
    </xf>
    <xf numFmtId="40" fontId="9" fillId="0" borderId="0" xfId="0" applyNumberFormat="1" applyFont="1"/>
    <xf numFmtId="0" fontId="10" fillId="0" borderId="0" xfId="11593" applyFont="1" applyAlignment="1">
      <alignment horizontal="justify" vertical="center"/>
    </xf>
    <xf numFmtId="0" fontId="12" fillId="0" borderId="0" xfId="11593" applyFont="1" applyAlignment="1">
      <alignment horizontal="justify" vertical="center"/>
    </xf>
    <xf numFmtId="0" fontId="12" fillId="0" borderId="0" xfId="11593" applyFont="1" applyAlignment="1">
      <alignment horizontal="center" vertical="center"/>
    </xf>
    <xf numFmtId="0" fontId="12" fillId="0" borderId="0" xfId="11593" applyFont="1" applyAlignment="1">
      <alignment vertical="center"/>
    </xf>
    <xf numFmtId="0" fontId="7" fillId="0" borderId="0" xfId="11593"/>
    <xf numFmtId="0" fontId="7" fillId="0" borderId="0" xfId="11593" applyAlignment="1">
      <alignment horizontal="center"/>
    </xf>
    <xf numFmtId="0" fontId="15" fillId="0" borderId="0" xfId="11593" applyFont="1"/>
    <xf numFmtId="0" fontId="7" fillId="0" borderId="0" xfId="11593" applyAlignment="1">
      <alignment horizontal="centerContinuous"/>
    </xf>
    <xf numFmtId="0" fontId="15" fillId="0" borderId="0" xfId="11593" applyFont="1" applyAlignment="1">
      <alignment horizontal="centerContinuous"/>
    </xf>
    <xf numFmtId="167" fontId="20" fillId="0" borderId="11" xfId="11464" applyNumberFormat="1" applyBorder="1"/>
    <xf numFmtId="167" fontId="20" fillId="0" borderId="0" xfId="11464" applyNumberFormat="1"/>
    <xf numFmtId="167" fontId="22" fillId="0" borderId="0" xfId="11464" applyNumberFormat="1" applyFont="1" applyAlignment="1">
      <alignment vertical="center"/>
    </xf>
    <xf numFmtId="9" fontId="22" fillId="0" borderId="0" xfId="22756" applyFont="1" applyAlignment="1">
      <alignment horizontal="center" vertical="center"/>
    </xf>
    <xf numFmtId="37" fontId="23" fillId="34" borderId="35" xfId="11464" applyNumberFormat="1" applyFont="1" applyFill="1" applyBorder="1" applyAlignment="1">
      <alignment horizontal="center" vertical="center"/>
    </xf>
    <xf numFmtId="37" fontId="23" fillId="34" borderId="36" xfId="11464" applyNumberFormat="1" applyFont="1" applyFill="1" applyBorder="1" applyAlignment="1">
      <alignment horizontal="center" vertical="center"/>
    </xf>
    <xf numFmtId="167" fontId="20" fillId="11" borderId="0" xfId="11464" applyNumberFormat="1" applyFill="1" applyAlignment="1">
      <alignment vertical="center"/>
    </xf>
    <xf numFmtId="167" fontId="20" fillId="0" borderId="0" xfId="11464" applyNumberFormat="1" applyAlignment="1">
      <alignment vertical="center"/>
    </xf>
    <xf numFmtId="37" fontId="23" fillId="34" borderId="17" xfId="11464" applyNumberFormat="1" applyFont="1" applyFill="1" applyBorder="1" applyAlignment="1">
      <alignment horizontal="center" vertical="center"/>
    </xf>
    <xf numFmtId="37" fontId="23" fillId="34" borderId="38" xfId="11464" applyNumberFormat="1" applyFont="1" applyFill="1" applyBorder="1" applyAlignment="1">
      <alignment horizontal="center" vertical="center"/>
    </xf>
    <xf numFmtId="167" fontId="14" fillId="11" borderId="0" xfId="11464" applyNumberFormat="1" applyFont="1" applyFill="1" applyAlignment="1">
      <alignment horizontal="center" vertical="center"/>
    </xf>
    <xf numFmtId="167" fontId="14" fillId="0" borderId="0" xfId="11464" applyNumberFormat="1" applyFont="1" applyAlignment="1">
      <alignment horizontal="center" vertical="center"/>
    </xf>
    <xf numFmtId="39" fontId="8" fillId="0" borderId="75" xfId="11464" applyNumberFormat="1" applyFont="1" applyBorder="1" applyAlignment="1">
      <alignment horizontal="right" vertical="center" wrapText="1"/>
    </xf>
    <xf numFmtId="9" fontId="8" fillId="0" borderId="79" xfId="22756" applyFont="1" applyBorder="1" applyAlignment="1">
      <alignment horizontal="center" vertical="center" wrapText="1"/>
    </xf>
    <xf numFmtId="164" fontId="8" fillId="0" borderId="80" xfId="10257" applyNumberFormat="1" applyFont="1" applyBorder="1" applyAlignment="1">
      <alignment horizontal="center" vertical="center"/>
    </xf>
    <xf numFmtId="167" fontId="8" fillId="11" borderId="0" xfId="11464" applyNumberFormat="1" applyFont="1" applyFill="1" applyAlignment="1">
      <alignment horizontal="center" vertical="center"/>
    </xf>
    <xf numFmtId="167" fontId="8" fillId="0" borderId="0" xfId="11464" applyNumberFormat="1" applyFont="1" applyAlignment="1">
      <alignment horizontal="center" vertical="center"/>
    </xf>
    <xf numFmtId="10" fontId="8" fillId="0" borderId="82" xfId="22756" applyNumberFormat="1" applyFont="1" applyBorder="1" applyAlignment="1">
      <alignment horizontal="center" vertical="center"/>
    </xf>
    <xf numFmtId="164" fontId="8" fillId="0" borderId="83" xfId="10257" applyNumberFormat="1" applyFont="1" applyBorder="1" applyAlignment="1">
      <alignment horizontal="center" vertical="center"/>
    </xf>
    <xf numFmtId="164" fontId="8" fillId="0" borderId="84" xfId="10257" applyNumberFormat="1" applyFont="1" applyBorder="1" applyAlignment="1">
      <alignment horizontal="center" vertical="center"/>
    </xf>
    <xf numFmtId="167" fontId="8" fillId="0" borderId="0" xfId="11464" applyNumberFormat="1" applyFont="1" applyAlignment="1">
      <alignment vertical="center"/>
    </xf>
    <xf numFmtId="164" fontId="14" fillId="34" borderId="88" xfId="10257" applyNumberFormat="1" applyFont="1" applyFill="1" applyBorder="1" applyAlignment="1">
      <alignment vertical="center"/>
    </xf>
    <xf numFmtId="40" fontId="14" fillId="35" borderId="89" xfId="24092" applyFont="1" applyFill="1" applyBorder="1" applyAlignment="1">
      <alignment vertical="center"/>
    </xf>
    <xf numFmtId="40" fontId="14" fillId="35" borderId="85" xfId="24092" applyFont="1" applyFill="1" applyBorder="1" applyAlignment="1">
      <alignment vertical="center"/>
    </xf>
    <xf numFmtId="9" fontId="20" fillId="11" borderId="0" xfId="22756" applyFont="1" applyFill="1" applyAlignment="1">
      <alignment horizontal="center" vertical="center"/>
    </xf>
    <xf numFmtId="9" fontId="20" fillId="0" borderId="0" xfId="22756" applyFont="1" applyAlignment="1">
      <alignment horizontal="center"/>
    </xf>
    <xf numFmtId="0" fontId="13" fillId="0" borderId="0" xfId="11593" applyFont="1" applyAlignment="1">
      <alignment horizontal="right" vertical="top"/>
    </xf>
    <xf numFmtId="167" fontId="66" fillId="0" borderId="0" xfId="11464" applyNumberFormat="1" applyFont="1"/>
    <xf numFmtId="40" fontId="8" fillId="34" borderId="36" xfId="23422" applyFont="1" applyFill="1" applyBorder="1" applyAlignment="1">
      <alignment horizontal="center" vertical="center"/>
    </xf>
    <xf numFmtId="165" fontId="7" fillId="0" borderId="2" xfId="23420" applyBorder="1" applyAlignment="1">
      <alignment horizontal="center" vertical="top" wrapText="1"/>
    </xf>
    <xf numFmtId="39" fontId="7" fillId="0" borderId="0" xfId="0" applyNumberFormat="1" applyFont="1" applyAlignment="1">
      <alignment horizontal="center" vertical="center" wrapText="1"/>
    </xf>
    <xf numFmtId="39" fontId="7" fillId="0" borderId="2" xfId="0" applyNumberFormat="1" applyFont="1" applyBorder="1" applyAlignment="1">
      <alignment horizontal="center" vertical="center" wrapText="1"/>
    </xf>
    <xf numFmtId="39" fontId="7" fillId="0" borderId="28" xfId="0" applyNumberFormat="1" applyFont="1" applyBorder="1" applyAlignment="1">
      <alignment horizontal="center" vertical="center" wrapText="1"/>
    </xf>
    <xf numFmtId="39" fontId="7" fillId="0" borderId="2" xfId="0" applyNumberFormat="1" applyFont="1" applyBorder="1" applyAlignment="1">
      <alignment horizontal="center" vertical="center"/>
    </xf>
    <xf numFmtId="39" fontId="16" fillId="0" borderId="3" xfId="0" applyNumberFormat="1" applyFont="1" applyBorder="1" applyAlignment="1">
      <alignment horizontal="center" vertical="center"/>
    </xf>
    <xf numFmtId="39" fontId="16" fillId="0" borderId="0" xfId="0" applyNumberFormat="1" applyFont="1" applyAlignment="1">
      <alignment horizontal="center" vertical="center"/>
    </xf>
    <xf numFmtId="39" fontId="16" fillId="0" borderId="4" xfId="0" applyNumberFormat="1" applyFont="1" applyBorder="1" applyAlignment="1">
      <alignment horizontal="center" vertical="center"/>
    </xf>
    <xf numFmtId="181" fontId="7" fillId="0" borderId="2" xfId="23422" applyNumberFormat="1" applyFont="1" applyBorder="1" applyAlignment="1">
      <alignment horizontal="center" vertical="center"/>
    </xf>
    <xf numFmtId="181" fontId="7" fillId="0" borderId="0" xfId="23422" applyNumberFormat="1" applyFont="1" applyAlignment="1">
      <alignment horizontal="center" vertical="center"/>
    </xf>
    <xf numFmtId="174" fontId="9" fillId="0" borderId="2" xfId="0" applyNumberFormat="1" applyFont="1" applyBorder="1" applyAlignment="1">
      <alignment horizontal="center" vertical="center"/>
    </xf>
    <xf numFmtId="174" fontId="7" fillId="0" borderId="2" xfId="0" applyNumberFormat="1" applyFont="1" applyBorder="1" applyAlignment="1">
      <alignment horizontal="center" vertical="center"/>
    </xf>
    <xf numFmtId="40" fontId="7" fillId="0" borderId="2" xfId="0" applyNumberFormat="1" applyFont="1" applyBorder="1" applyAlignment="1">
      <alignment horizontal="center" vertical="center"/>
    </xf>
    <xf numFmtId="4" fontId="7" fillId="0" borderId="0" xfId="0" applyNumberFormat="1" applyFont="1" applyAlignment="1">
      <alignment horizontal="center" vertical="center"/>
    </xf>
    <xf numFmtId="40" fontId="7" fillId="0" borderId="2" xfId="23422" applyFont="1" applyBorder="1" applyAlignment="1">
      <alignment horizontal="center" vertical="center"/>
    </xf>
    <xf numFmtId="174" fontId="9" fillId="0" borderId="0" xfId="0" applyNumberFormat="1" applyFont="1" applyAlignment="1">
      <alignment horizontal="center" vertical="center"/>
    </xf>
    <xf numFmtId="38" fontId="7" fillId="0" borderId="2" xfId="23422" applyNumberFormat="1" applyFont="1" applyBorder="1" applyAlignment="1">
      <alignment horizontal="center" vertical="center"/>
    </xf>
    <xf numFmtId="174" fontId="9" fillId="0" borderId="0" xfId="23422" applyNumberFormat="1" applyFont="1" applyAlignment="1">
      <alignment vertical="center"/>
    </xf>
    <xf numFmtId="40" fontId="64" fillId="0" borderId="0" xfId="23422" applyFont="1" applyAlignment="1">
      <alignment vertical="center"/>
    </xf>
    <xf numFmtId="38" fontId="65" fillId="0" borderId="0" xfId="0" applyNumberFormat="1" applyFont="1" applyAlignment="1">
      <alignment horizontal="center" vertical="center"/>
    </xf>
    <xf numFmtId="37" fontId="9" fillId="0" borderId="2" xfId="0" applyNumberFormat="1" applyFont="1" applyBorder="1" applyAlignment="1">
      <alignment horizontal="center" vertical="center"/>
    </xf>
    <xf numFmtId="37" fontId="9" fillId="0" borderId="0" xfId="0" applyNumberFormat="1" applyFont="1" applyAlignment="1">
      <alignment horizontal="center" vertical="center"/>
    </xf>
    <xf numFmtId="37" fontId="9" fillId="0" borderId="4" xfId="0" applyNumberFormat="1" applyFont="1" applyBorder="1" applyAlignment="1">
      <alignment horizontal="center" vertical="center"/>
    </xf>
    <xf numFmtId="40" fontId="16" fillId="0" borderId="2" xfId="0" applyNumberFormat="1" applyFont="1" applyBorder="1" applyAlignment="1">
      <alignment horizontal="center" vertical="center"/>
    </xf>
    <xf numFmtId="37" fontId="13" fillId="0" borderId="26" xfId="0" applyNumberFormat="1" applyFont="1" applyBorder="1" applyAlignment="1">
      <alignment horizontal="center" vertical="center" wrapText="1"/>
    </xf>
    <xf numFmtId="9" fontId="7" fillId="0" borderId="2" xfId="19" applyFont="1" applyBorder="1" applyAlignment="1">
      <alignment horizontal="center" vertical="center" wrapText="1"/>
    </xf>
    <xf numFmtId="183" fontId="7" fillId="0" borderId="2" xfId="0" applyNumberFormat="1" applyFont="1" applyBorder="1" applyAlignment="1">
      <alignment horizontal="center" vertical="center" wrapText="1"/>
    </xf>
    <xf numFmtId="183" fontId="8" fillId="9" borderId="2" xfId="0" applyNumberFormat="1" applyFont="1" applyFill="1" applyBorder="1" applyAlignment="1">
      <alignment horizontal="center" vertical="center" wrapText="1"/>
    </xf>
    <xf numFmtId="39" fontId="8" fillId="9" borderId="2" xfId="0" applyNumberFormat="1" applyFont="1" applyFill="1" applyBorder="1" applyAlignment="1">
      <alignment horizontal="center" vertical="center" wrapText="1"/>
    </xf>
    <xf numFmtId="167" fontId="8" fillId="0" borderId="0" xfId="0" applyFont="1" applyAlignment="1">
      <alignment horizontal="center" vertical="center"/>
    </xf>
    <xf numFmtId="167" fontId="7" fillId="8" borderId="2" xfId="0" applyFont="1" applyFill="1" applyBorder="1" applyAlignment="1">
      <alignment horizontal="center" vertical="center" wrapText="1"/>
    </xf>
    <xf numFmtId="167" fontId="68" fillId="36" borderId="0" xfId="11464" applyNumberFormat="1" applyFont="1" applyFill="1" applyAlignment="1">
      <alignment horizontal="right" vertical="center"/>
    </xf>
    <xf numFmtId="0" fontId="13" fillId="0" borderId="0" xfId="11593" applyFont="1" applyAlignment="1">
      <alignment horizontal="left" vertical="top"/>
    </xf>
    <xf numFmtId="40" fontId="16" fillId="0" borderId="105" xfId="0" applyNumberFormat="1" applyFont="1" applyBorder="1" applyAlignment="1">
      <alignment horizontal="center" vertical="center"/>
    </xf>
    <xf numFmtId="167" fontId="7" fillId="0" borderId="0" xfId="41054" applyFont="1" applyProtection="1">
      <protection locked="0"/>
    </xf>
    <xf numFmtId="167" fontId="7" fillId="0" borderId="0" xfId="41054" applyFont="1" applyAlignment="1" applyProtection="1">
      <alignment horizontal="center" vertical="center" wrapText="1"/>
      <protection locked="0"/>
    </xf>
    <xf numFmtId="182" fontId="7" fillId="0" borderId="0" xfId="41054" applyNumberFormat="1" applyFont="1" applyAlignment="1" applyProtection="1">
      <alignment horizontal="center" vertical="center" wrapText="1"/>
      <protection locked="0"/>
    </xf>
    <xf numFmtId="37" fontId="7" fillId="0" borderId="0" xfId="41054" applyNumberFormat="1" applyFont="1" applyAlignment="1" applyProtection="1">
      <alignment horizontal="center" vertical="center" wrapText="1"/>
      <protection locked="0"/>
    </xf>
    <xf numFmtId="182" fontId="7" fillId="0" borderId="0" xfId="41054" applyNumberFormat="1" applyFont="1" applyAlignment="1">
      <alignment horizontal="center" vertical="center" wrapText="1"/>
    </xf>
    <xf numFmtId="167" fontId="8" fillId="0" borderId="0" xfId="41054" applyFont="1" applyAlignment="1" applyProtection="1">
      <alignment horizontal="center" vertical="center"/>
      <protection locked="0"/>
    </xf>
    <xf numFmtId="167" fontId="7" fillId="0" borderId="0" xfId="41054" applyFont="1" applyAlignment="1" applyProtection="1">
      <alignment vertical="center" wrapText="1"/>
      <protection locked="0"/>
    </xf>
    <xf numFmtId="167" fontId="7" fillId="0" borderId="0" xfId="41054" applyFont="1" applyAlignment="1" applyProtection="1">
      <alignment wrapText="1"/>
      <protection locked="0"/>
    </xf>
    <xf numFmtId="186" fontId="7" fillId="0" borderId="0" xfId="41054" applyNumberFormat="1" applyFont="1" applyAlignment="1">
      <alignment horizontal="center" vertical="center" wrapText="1"/>
    </xf>
    <xf numFmtId="0" fontId="13" fillId="0" borderId="0" xfId="11593" applyFont="1" applyAlignment="1">
      <alignment vertical="top" wrapText="1"/>
    </xf>
    <xf numFmtId="0" fontId="13" fillId="0" borderId="118" xfId="11593" applyFont="1" applyBorder="1" applyAlignment="1">
      <alignment vertical="top" wrapText="1"/>
    </xf>
    <xf numFmtId="40" fontId="8" fillId="34" borderId="106" xfId="23422" applyFont="1" applyFill="1" applyBorder="1" applyAlignment="1">
      <alignment horizontal="center" vertical="center"/>
    </xf>
    <xf numFmtId="167" fontId="14" fillId="34" borderId="119" xfId="11464" applyNumberFormat="1" applyFont="1" applyFill="1" applyBorder="1" applyAlignment="1">
      <alignment vertical="center"/>
    </xf>
    <xf numFmtId="167" fontId="14" fillId="34" borderId="124" xfId="11464" applyNumberFormat="1" applyFont="1" applyFill="1" applyBorder="1" applyAlignment="1">
      <alignment vertical="center"/>
    </xf>
    <xf numFmtId="167" fontId="14" fillId="34" borderId="125" xfId="11464" applyNumberFormat="1" applyFont="1" applyFill="1" applyBorder="1" applyAlignment="1">
      <alignment vertical="center"/>
    </xf>
    <xf numFmtId="164" fontId="14" fillId="34" borderId="126" xfId="10257" applyNumberFormat="1" applyFont="1" applyFill="1" applyBorder="1" applyAlignment="1">
      <alignment vertical="center"/>
    </xf>
    <xf numFmtId="9" fontId="14" fillId="34" borderId="88" xfId="19" applyFont="1" applyFill="1" applyBorder="1" applyAlignment="1">
      <alignment vertical="center"/>
    </xf>
    <xf numFmtId="167" fontId="14" fillId="34" borderId="120" xfId="11464" applyNumberFormat="1" applyFont="1" applyFill="1" applyBorder="1" applyAlignment="1">
      <alignment vertical="center"/>
    </xf>
    <xf numFmtId="184" fontId="8" fillId="34" borderId="110" xfId="22756" applyNumberFormat="1" applyFont="1" applyFill="1" applyBorder="1" applyAlignment="1">
      <alignment horizontal="center" vertical="center" wrapText="1"/>
    </xf>
    <xf numFmtId="9" fontId="8" fillId="34" borderId="89" xfId="22756" applyFont="1" applyFill="1" applyBorder="1" applyAlignment="1">
      <alignment horizontal="center" vertical="center" wrapText="1"/>
    </xf>
    <xf numFmtId="10" fontId="8" fillId="34" borderId="19" xfId="19" applyNumberFormat="1" applyFont="1" applyFill="1" applyBorder="1" applyAlignment="1">
      <alignment horizontal="center" vertical="center"/>
    </xf>
    <xf numFmtId="39" fontId="14" fillId="0" borderId="71" xfId="0" applyNumberFormat="1" applyFont="1" applyBorder="1" applyAlignment="1">
      <alignment horizontal="center" vertical="center" wrapText="1"/>
    </xf>
    <xf numFmtId="37" fontId="14" fillId="0" borderId="71" xfId="0" applyNumberFormat="1" applyFont="1" applyBorder="1" applyAlignment="1">
      <alignment horizontal="center" vertical="center" wrapText="1"/>
    </xf>
    <xf numFmtId="0" fontId="24" fillId="0" borderId="0" xfId="11593" applyFont="1" applyAlignment="1">
      <alignment horizontal="left" vertical="center"/>
    </xf>
    <xf numFmtId="167" fontId="8" fillId="9" borderId="19" xfId="0" applyFont="1" applyFill="1" applyBorder="1" applyAlignment="1">
      <alignment horizontal="center" vertical="center" wrapText="1"/>
    </xf>
    <xf numFmtId="167" fontId="26" fillId="0" borderId="0" xfId="0" applyFont="1" applyAlignment="1" applyProtection="1">
      <alignment horizontal="center" vertical="center"/>
      <protection locked="0"/>
    </xf>
    <xf numFmtId="169" fontId="64" fillId="0" borderId="0" xfId="0" applyNumberFormat="1" applyFont="1" applyAlignment="1">
      <alignment horizontal="right" vertical="center"/>
    </xf>
    <xf numFmtId="0" fontId="9" fillId="0" borderId="44" xfId="0" applyNumberFormat="1" applyFont="1" applyBorder="1" applyAlignment="1" applyProtection="1">
      <alignment horizontal="left" vertical="center"/>
      <protection locked="0"/>
    </xf>
    <xf numFmtId="0" fontId="7" fillId="0" borderId="44" xfId="0" applyNumberFormat="1" applyFont="1" applyBorder="1" applyAlignment="1" applyProtection="1">
      <alignment horizontal="center" vertical="center"/>
      <protection locked="0"/>
    </xf>
    <xf numFmtId="169" fontId="9" fillId="0" borderId="0" xfId="0" applyNumberFormat="1" applyFont="1" applyAlignment="1">
      <alignment horizontal="right" vertical="center"/>
    </xf>
    <xf numFmtId="167" fontId="9" fillId="0" borderId="0" xfId="0" applyFont="1" applyAlignment="1">
      <alignment horizontal="right" vertical="center"/>
    </xf>
    <xf numFmtId="167" fontId="9" fillId="0" borderId="0" xfId="0" applyFont="1" applyAlignment="1">
      <alignment horizontal="center" vertical="center"/>
    </xf>
    <xf numFmtId="0" fontId="0" fillId="0" borderId="0" xfId="0" applyNumberFormat="1"/>
    <xf numFmtId="167" fontId="7" fillId="0" borderId="0" xfId="41054" applyFont="1" applyAlignment="1" applyProtection="1">
      <alignment horizontal="center" vertical="center"/>
      <protection locked="0"/>
    </xf>
    <xf numFmtId="182" fontId="61" fillId="0" borderId="0" xfId="41054" applyNumberFormat="1" applyFont="1" applyAlignment="1">
      <alignment horizontal="center" vertical="center"/>
    </xf>
    <xf numFmtId="186" fontId="61" fillId="0" borderId="0" xfId="41054" applyNumberFormat="1" applyFont="1" applyAlignment="1">
      <alignment horizontal="center" vertical="center"/>
    </xf>
    <xf numFmtId="39" fontId="77" fillId="0" borderId="0" xfId="41054" applyNumberFormat="1" applyFont="1" applyAlignment="1">
      <alignment horizontal="center" vertical="center"/>
    </xf>
    <xf numFmtId="0" fontId="8" fillId="0" borderId="0" xfId="0" applyNumberFormat="1" applyFont="1" applyAlignment="1">
      <alignment horizontal="center" vertical="center" wrapText="1"/>
    </xf>
    <xf numFmtId="0" fontId="7" fillId="0" borderId="0" xfId="0" applyNumberFormat="1" applyFont="1" applyAlignment="1">
      <alignment horizontal="center"/>
    </xf>
    <xf numFmtId="0" fontId="7" fillId="0" borderId="0" xfId="0" applyNumberFormat="1" applyFont="1" applyAlignment="1">
      <alignment horizontal="center" vertical="center"/>
    </xf>
    <xf numFmtId="167" fontId="7" fillId="0" borderId="0" xfId="41054" applyFont="1" applyAlignment="1" applyProtection="1">
      <alignment vertical="center"/>
      <protection locked="0"/>
    </xf>
    <xf numFmtId="0" fontId="0" fillId="0" borderId="0" xfId="0" applyNumberFormat="1" applyAlignment="1">
      <alignment vertical="center"/>
    </xf>
    <xf numFmtId="37" fontId="7" fillId="0" borderId="19" xfId="0" applyNumberFormat="1" applyFont="1" applyBorder="1" applyAlignment="1">
      <alignment horizontal="center" vertical="center" wrapText="1"/>
    </xf>
    <xf numFmtId="186" fontId="7" fillId="0" borderId="0" xfId="0" applyNumberFormat="1" applyFont="1" applyAlignment="1">
      <alignment horizontal="center" vertical="center"/>
    </xf>
    <xf numFmtId="186" fontId="7" fillId="0" borderId="0" xfId="0" applyNumberFormat="1" applyFont="1" applyAlignment="1">
      <alignment horizontal="center" vertical="center" wrapText="1"/>
    </xf>
    <xf numFmtId="167" fontId="14" fillId="10" borderId="146" xfId="0" applyFont="1" applyFill="1" applyBorder="1" applyAlignment="1">
      <alignment horizontal="center" vertical="center" wrapText="1"/>
    </xf>
    <xf numFmtId="167" fontId="14" fillId="10" borderId="26" xfId="0" applyFont="1" applyFill="1" applyBorder="1" applyAlignment="1">
      <alignment horizontal="center" vertical="center" wrapText="1"/>
    </xf>
    <xf numFmtId="186" fontId="14" fillId="10" borderId="26" xfId="0" applyNumberFormat="1" applyFont="1" applyFill="1" applyBorder="1" applyAlignment="1">
      <alignment horizontal="center" vertical="center" wrapText="1"/>
    </xf>
    <xf numFmtId="167" fontId="14" fillId="10" borderId="27" xfId="0" applyFont="1" applyFill="1" applyBorder="1" applyAlignment="1">
      <alignment horizontal="center" vertical="center" wrapText="1"/>
    </xf>
    <xf numFmtId="167" fontId="7" fillId="0" borderId="16" xfId="0" applyFont="1" applyBorder="1" applyAlignment="1">
      <alignment horizontal="center" vertical="center" wrapText="1"/>
    </xf>
    <xf numFmtId="167" fontId="7" fillId="0" borderId="13" xfId="0" applyFont="1" applyBorder="1" applyAlignment="1">
      <alignment horizontal="center" vertical="center" wrapText="1"/>
    </xf>
    <xf numFmtId="167" fontId="14" fillId="10" borderId="163" xfId="0" applyFont="1" applyFill="1" applyBorder="1" applyAlignment="1">
      <alignment horizontal="center" vertical="center" wrapText="1"/>
    </xf>
    <xf numFmtId="167" fontId="7" fillId="8" borderId="13" xfId="0" applyFont="1" applyFill="1" applyBorder="1" applyAlignment="1">
      <alignment horizontal="center" vertical="center" wrapText="1"/>
    </xf>
    <xf numFmtId="39" fontId="8" fillId="9" borderId="19" xfId="0" applyNumberFormat="1" applyFont="1" applyFill="1" applyBorder="1" applyAlignment="1">
      <alignment horizontal="center" vertical="center" wrapText="1"/>
    </xf>
    <xf numFmtId="39" fontId="14" fillId="0" borderId="70" xfId="0" applyNumberFormat="1" applyFont="1" applyBorder="1" applyAlignment="1">
      <alignment horizontal="center" vertical="center" wrapText="1"/>
    </xf>
    <xf numFmtId="167" fontId="8" fillId="9" borderId="135" xfId="0" applyFont="1" applyFill="1" applyBorder="1" applyAlignment="1">
      <alignment horizontal="center" vertical="center" wrapText="1"/>
    </xf>
    <xf numFmtId="39" fontId="7" fillId="0" borderId="135" xfId="0" applyNumberFormat="1" applyFont="1" applyBorder="1" applyAlignment="1">
      <alignment horizontal="center" vertical="center" wrapText="1"/>
    </xf>
    <xf numFmtId="37" fontId="7" fillId="0" borderId="135" xfId="0" applyNumberFormat="1" applyFont="1" applyBorder="1" applyAlignment="1">
      <alignment horizontal="center" vertical="center" wrapText="1"/>
    </xf>
    <xf numFmtId="37" fontId="14" fillId="10" borderId="27" xfId="0" applyNumberFormat="1" applyFont="1" applyFill="1" applyBorder="1" applyAlignment="1">
      <alignment horizontal="center" vertical="center" wrapText="1"/>
    </xf>
    <xf numFmtId="37" fontId="14" fillId="10" borderId="26" xfId="0" applyNumberFormat="1" applyFont="1" applyFill="1" applyBorder="1" applyAlignment="1">
      <alignment horizontal="center" vertical="center" wrapText="1"/>
    </xf>
    <xf numFmtId="165" fontId="8" fillId="0" borderId="0" xfId="0" applyNumberFormat="1" applyFont="1" applyAlignment="1">
      <alignment horizontal="right" vertical="top"/>
    </xf>
    <xf numFmtId="39" fontId="7" fillId="0" borderId="105" xfId="0" applyNumberFormat="1" applyFont="1" applyBorder="1" applyAlignment="1">
      <alignment horizontal="center" vertical="center" wrapText="1"/>
    </xf>
    <xf numFmtId="37" fontId="7" fillId="0" borderId="13" xfId="0" applyNumberFormat="1" applyFont="1" applyBorder="1" applyAlignment="1">
      <alignment horizontal="center" vertical="center" wrapText="1"/>
    </xf>
    <xf numFmtId="167" fontId="8" fillId="9" borderId="13" xfId="0" applyFont="1" applyFill="1" applyBorder="1" applyAlignment="1">
      <alignment horizontal="center" vertical="center" wrapText="1"/>
    </xf>
    <xf numFmtId="39" fontId="14" fillId="0" borderId="179" xfId="0" applyNumberFormat="1" applyFont="1" applyBorder="1" applyAlignment="1">
      <alignment horizontal="center" vertical="center" wrapText="1"/>
    </xf>
    <xf numFmtId="39" fontId="8" fillId="0" borderId="16" xfId="0" applyNumberFormat="1" applyFont="1" applyBorder="1" applyAlignment="1">
      <alignment horizontal="center" vertical="center" wrapText="1"/>
    </xf>
    <xf numFmtId="167" fontId="8" fillId="9" borderId="16" xfId="0" applyFont="1" applyFill="1" applyBorder="1" applyAlignment="1">
      <alignment horizontal="center" vertical="center" wrapText="1"/>
    </xf>
    <xf numFmtId="39" fontId="7" fillId="0" borderId="16" xfId="0" applyNumberFormat="1" applyFont="1" applyBorder="1" applyAlignment="1">
      <alignment horizontal="center" vertical="center" wrapText="1"/>
    </xf>
    <xf numFmtId="39" fontId="8" fillId="9" borderId="16" xfId="0" applyNumberFormat="1" applyFont="1" applyFill="1" applyBorder="1" applyAlignment="1">
      <alignment horizontal="center" vertical="center" wrapText="1"/>
    </xf>
    <xf numFmtId="39" fontId="7" fillId="0" borderId="13" xfId="0" applyNumberFormat="1" applyFont="1" applyBorder="1" applyAlignment="1">
      <alignment horizontal="center" vertical="center" wrapText="1"/>
    </xf>
    <xf numFmtId="39" fontId="8" fillId="9" borderId="13" xfId="0" applyNumberFormat="1" applyFont="1" applyFill="1" applyBorder="1" applyAlignment="1">
      <alignment horizontal="center" vertical="center" wrapText="1"/>
    </xf>
    <xf numFmtId="183" fontId="8" fillId="9" borderId="16" xfId="0" applyNumberFormat="1" applyFont="1" applyFill="1" applyBorder="1" applyAlignment="1">
      <alignment horizontal="center" vertical="center" wrapText="1"/>
    </xf>
    <xf numFmtId="183" fontId="7" fillId="0" borderId="13" xfId="0" applyNumberFormat="1" applyFont="1" applyBorder="1" applyAlignment="1">
      <alignment horizontal="center" vertical="center" wrapText="1"/>
    </xf>
    <xf numFmtId="183" fontId="7" fillId="0" borderId="16" xfId="0" applyNumberFormat="1" applyFont="1" applyBorder="1" applyAlignment="1">
      <alignment horizontal="center" vertical="center" wrapText="1"/>
    </xf>
    <xf numFmtId="37" fontId="7" fillId="0" borderId="173" xfId="0" applyNumberFormat="1" applyFont="1" applyBorder="1" applyAlignment="1">
      <alignment horizontal="center" vertical="center" wrapText="1"/>
    </xf>
    <xf numFmtId="183" fontId="8" fillId="9" borderId="13" xfId="0" applyNumberFormat="1" applyFont="1" applyFill="1" applyBorder="1" applyAlignment="1">
      <alignment horizontal="center" vertical="center" wrapText="1"/>
    </xf>
    <xf numFmtId="39" fontId="7" fillId="0" borderId="173" xfId="0" applyNumberFormat="1" applyFont="1" applyBorder="1" applyAlignment="1">
      <alignment horizontal="center" vertical="center" wrapText="1"/>
    </xf>
    <xf numFmtId="167" fontId="7" fillId="0" borderId="173" xfId="0" applyFont="1" applyBorder="1" applyAlignment="1">
      <alignment horizontal="center" vertical="center" wrapText="1"/>
    </xf>
    <xf numFmtId="39" fontId="7" fillId="0" borderId="188" xfId="0" applyNumberFormat="1" applyFont="1" applyBorder="1" applyAlignment="1">
      <alignment horizontal="center" vertical="center" wrapText="1"/>
    </xf>
    <xf numFmtId="49" fontId="7" fillId="0" borderId="36" xfId="41054" applyNumberFormat="1" applyFont="1" applyBorder="1" applyAlignment="1" applyProtection="1">
      <alignment horizontal="center" vertical="center"/>
      <protection locked="0"/>
    </xf>
    <xf numFmtId="11" fontId="8" fillId="0" borderId="87" xfId="0" applyNumberFormat="1" applyFont="1" applyBorder="1" applyAlignment="1">
      <alignment horizontal="center" vertical="center"/>
    </xf>
    <xf numFmtId="167" fontId="7" fillId="0" borderId="89" xfId="41054" applyFont="1" applyBorder="1" applyAlignment="1" applyProtection="1">
      <alignment horizontal="center" vertical="center" wrapText="1"/>
      <protection locked="0"/>
    </xf>
    <xf numFmtId="167" fontId="7" fillId="0" borderId="89" xfId="41054" applyFont="1" applyBorder="1" applyAlignment="1" applyProtection="1">
      <alignment horizontal="center" vertical="center"/>
      <protection locked="0"/>
    </xf>
    <xf numFmtId="40" fontId="8" fillId="38" borderId="63" xfId="23422" applyFont="1" applyFill="1" applyBorder="1" applyAlignment="1">
      <alignment horizontal="right" vertical="center"/>
    </xf>
    <xf numFmtId="181" fontId="8" fillId="38" borderId="0" xfId="23422" applyNumberFormat="1" applyFont="1" applyFill="1" applyAlignment="1">
      <alignment horizontal="left" vertical="center"/>
    </xf>
    <xf numFmtId="40" fontId="8" fillId="38" borderId="4" xfId="23422" applyFont="1" applyFill="1" applyBorder="1" applyAlignment="1">
      <alignment horizontal="right" vertical="center"/>
    </xf>
    <xf numFmtId="38" fontId="8" fillId="38" borderId="62" xfId="23422" applyNumberFormat="1" applyFont="1" applyFill="1" applyBorder="1" applyAlignment="1">
      <alignment horizontal="left" vertical="center"/>
    </xf>
    <xf numFmtId="181" fontId="8" fillId="38" borderId="62" xfId="23422" applyNumberFormat="1" applyFont="1" applyFill="1" applyBorder="1" applyAlignment="1">
      <alignment horizontal="left" vertical="center"/>
    </xf>
    <xf numFmtId="40" fontId="8" fillId="38" borderId="61" xfId="23422" applyFont="1" applyFill="1" applyBorder="1" applyAlignment="1">
      <alignment horizontal="right" vertical="center"/>
    </xf>
    <xf numFmtId="38" fontId="13" fillId="38" borderId="137" xfId="23422" applyNumberFormat="1" applyFont="1" applyFill="1" applyBorder="1" applyAlignment="1">
      <alignment horizontal="left" vertical="center"/>
    </xf>
    <xf numFmtId="38" fontId="8" fillId="38" borderId="139" xfId="23422" quotePrefix="1" applyNumberFormat="1" applyFont="1" applyFill="1" applyBorder="1" applyAlignment="1">
      <alignment horizontal="centerContinuous" vertical="center" wrapText="1"/>
    </xf>
    <xf numFmtId="167" fontId="14" fillId="12" borderId="10" xfId="0" applyFont="1" applyFill="1" applyBorder="1" applyAlignment="1">
      <alignment horizontal="centerContinuous" vertical="center" wrapText="1"/>
    </xf>
    <xf numFmtId="37" fontId="14" fillId="12" borderId="10" xfId="0" applyNumberFormat="1" applyFont="1" applyFill="1" applyBorder="1" applyAlignment="1">
      <alignment horizontal="centerContinuous" vertical="center"/>
    </xf>
    <xf numFmtId="182" fontId="14" fillId="12" borderId="10" xfId="0" applyNumberFormat="1" applyFont="1" applyFill="1" applyBorder="1" applyAlignment="1">
      <alignment horizontal="centerContinuous" vertical="center"/>
    </xf>
    <xf numFmtId="167" fontId="14" fillId="12" borderId="201" xfId="0" applyFont="1" applyFill="1" applyBorder="1" applyAlignment="1">
      <alignment horizontal="centerContinuous" vertical="center"/>
    </xf>
    <xf numFmtId="182" fontId="14" fillId="12" borderId="87" xfId="0" applyNumberFormat="1" applyFont="1" applyFill="1" applyBorder="1" applyAlignment="1">
      <alignment horizontal="centerContinuous" vertical="center"/>
    </xf>
    <xf numFmtId="37" fontId="14" fillId="12" borderId="87" xfId="0" applyNumberFormat="1" applyFont="1" applyFill="1" applyBorder="1" applyAlignment="1">
      <alignment horizontal="centerContinuous" vertical="center"/>
    </xf>
    <xf numFmtId="170" fontId="14" fillId="12" borderId="143" xfId="0" applyNumberFormat="1" applyFont="1" applyFill="1" applyBorder="1" applyAlignment="1">
      <alignment horizontal="centerContinuous" vertical="center"/>
    </xf>
    <xf numFmtId="182" fontId="14" fillId="12" borderId="8" xfId="0" applyNumberFormat="1" applyFont="1" applyFill="1" applyBorder="1" applyAlignment="1">
      <alignment horizontal="center" vertical="center"/>
    </xf>
    <xf numFmtId="37" fontId="14" fillId="12" borderId="8" xfId="0" applyNumberFormat="1" applyFont="1" applyFill="1" applyBorder="1" applyAlignment="1">
      <alignment horizontal="center" vertical="center"/>
    </xf>
    <xf numFmtId="167" fontId="14" fillId="12" borderId="203" xfId="0" applyFont="1" applyFill="1" applyBorder="1" applyAlignment="1">
      <alignment horizontal="center" vertical="center"/>
    </xf>
    <xf numFmtId="167" fontId="9" fillId="0" borderId="145" xfId="0" applyFont="1" applyBorder="1"/>
    <xf numFmtId="167" fontId="9" fillId="0" borderId="194" xfId="0" applyFont="1" applyBorder="1"/>
    <xf numFmtId="167" fontId="9" fillId="0" borderId="162" xfId="0" applyFont="1" applyBorder="1"/>
    <xf numFmtId="167" fontId="9" fillId="0" borderId="93" xfId="0" applyFont="1" applyBorder="1"/>
    <xf numFmtId="167" fontId="9" fillId="0" borderId="147" xfId="0" applyFont="1" applyBorder="1"/>
    <xf numFmtId="167" fontId="9" fillId="0" borderId="166" xfId="0" applyFont="1" applyBorder="1"/>
    <xf numFmtId="167" fontId="85" fillId="39" borderId="6" xfId="0" applyFont="1" applyFill="1" applyBorder="1" applyAlignment="1">
      <alignment horizontal="centerContinuous" vertical="center"/>
    </xf>
    <xf numFmtId="4" fontId="85" fillId="39" borderId="6" xfId="0" applyNumberFormat="1" applyFont="1" applyFill="1" applyBorder="1" applyAlignment="1">
      <alignment horizontal="centerContinuous" vertical="center"/>
    </xf>
    <xf numFmtId="167" fontId="85" fillId="39" borderId="73" xfId="23422" applyNumberFormat="1" applyFont="1" applyFill="1" applyBorder="1" applyAlignment="1">
      <alignment horizontal="center" vertical="center"/>
    </xf>
    <xf numFmtId="167" fontId="85" fillId="39" borderId="68" xfId="23422" applyNumberFormat="1" applyFont="1" applyFill="1" applyBorder="1" applyAlignment="1">
      <alignment horizontal="centerContinuous" vertical="center"/>
    </xf>
    <xf numFmtId="4" fontId="85" fillId="39" borderId="73" xfId="23422" applyNumberFormat="1" applyFont="1" applyFill="1" applyBorder="1" applyAlignment="1">
      <alignment horizontal="center" vertical="center"/>
    </xf>
    <xf numFmtId="40" fontId="14" fillId="39" borderId="59" xfId="23422" applyFont="1" applyFill="1" applyBorder="1" applyAlignment="1">
      <alignment horizontal="centerContinuous" vertical="center"/>
    </xf>
    <xf numFmtId="174" fontId="14" fillId="39" borderId="58" xfId="23422" applyNumberFormat="1" applyFont="1" applyFill="1" applyBorder="1" applyAlignment="1">
      <alignment horizontal="center" vertical="center"/>
    </xf>
    <xf numFmtId="174" fontId="85" fillId="39" borderId="58" xfId="23422" applyNumberFormat="1" applyFont="1" applyFill="1" applyBorder="1" applyAlignment="1">
      <alignment horizontal="center" vertical="center"/>
    </xf>
    <xf numFmtId="40" fontId="14" fillId="39" borderId="58" xfId="0" applyNumberFormat="1" applyFont="1" applyFill="1" applyBorder="1" applyAlignment="1">
      <alignment horizontal="center" vertical="center"/>
    </xf>
    <xf numFmtId="181" fontId="14" fillId="39" borderId="58" xfId="23422" applyNumberFormat="1" applyFont="1" applyFill="1" applyBorder="1" applyAlignment="1">
      <alignment horizontal="center" vertical="center"/>
    </xf>
    <xf numFmtId="40" fontId="14" fillId="39" borderId="69" xfId="0" applyNumberFormat="1" applyFont="1" applyFill="1" applyBorder="1" applyAlignment="1">
      <alignment horizontal="center" vertical="center"/>
    </xf>
    <xf numFmtId="167" fontId="85" fillId="39" borderId="69" xfId="23422" applyNumberFormat="1" applyFont="1" applyFill="1" applyBorder="1" applyAlignment="1">
      <alignment horizontal="center" vertical="center"/>
    </xf>
    <xf numFmtId="4" fontId="85" fillId="39" borderId="69" xfId="0" applyNumberFormat="1" applyFont="1" applyFill="1" applyBorder="1" applyAlignment="1">
      <alignment horizontal="center" vertical="center"/>
    </xf>
    <xf numFmtId="40" fontId="14" fillId="39" borderId="58" xfId="23422" applyFont="1" applyFill="1" applyBorder="1" applyAlignment="1">
      <alignment horizontal="center" vertical="center"/>
    </xf>
    <xf numFmtId="40" fontId="14" fillId="39" borderId="58" xfId="23422" applyFont="1" applyFill="1" applyBorder="1" applyAlignment="1">
      <alignment horizontal="center" vertical="center" wrapText="1"/>
    </xf>
    <xf numFmtId="40" fontId="85" fillId="39" borderId="58" xfId="23422" applyFont="1" applyFill="1" applyBorder="1" applyAlignment="1">
      <alignment horizontal="center" vertical="center"/>
    </xf>
    <xf numFmtId="0" fontId="86" fillId="0" borderId="0" xfId="41058"/>
    <xf numFmtId="187" fontId="29" fillId="0" borderId="0" xfId="41058" applyNumberFormat="1" applyFont="1" applyAlignment="1">
      <alignment horizontal="center" vertical="center" wrapText="1"/>
    </xf>
    <xf numFmtId="0" fontId="29" fillId="0" borderId="0" xfId="41058" applyFont="1" applyAlignment="1">
      <alignment horizontal="center" vertical="center" wrapText="1"/>
    </xf>
    <xf numFmtId="167" fontId="8" fillId="0" borderId="0" xfId="41054" applyFont="1" applyAlignment="1" applyProtection="1">
      <alignment horizontal="center" vertical="center" wrapText="1"/>
      <protection locked="0"/>
    </xf>
    <xf numFmtId="0" fontId="8" fillId="0" borderId="4" xfId="41058" applyFont="1" applyBorder="1" applyAlignment="1">
      <alignment horizontal="center" vertical="center"/>
    </xf>
    <xf numFmtId="0" fontId="8" fillId="0" borderId="3" xfId="41058" applyFont="1" applyBorder="1" applyAlignment="1">
      <alignment horizontal="center" vertical="center"/>
    </xf>
    <xf numFmtId="182" fontId="8" fillId="0" borderId="2" xfId="41054" applyNumberFormat="1" applyFont="1" applyBorder="1" applyAlignment="1" applyProtection="1">
      <alignment horizontal="center" vertical="center" wrapText="1"/>
      <protection locked="0"/>
    </xf>
    <xf numFmtId="186" fontId="8" fillId="0" borderId="2" xfId="41054" applyNumberFormat="1" applyFont="1" applyBorder="1" applyAlignment="1" applyProtection="1">
      <alignment horizontal="center" vertical="center" wrapText="1"/>
      <protection locked="0"/>
    </xf>
    <xf numFmtId="167" fontId="8" fillId="0" borderId="2" xfId="41054" applyFont="1" applyBorder="1" applyAlignment="1" applyProtection="1">
      <alignment horizontal="center" vertical="center" wrapText="1"/>
      <protection locked="0"/>
    </xf>
    <xf numFmtId="167" fontId="30" fillId="0" borderId="2" xfId="41054" applyFont="1" applyBorder="1" applyAlignment="1" applyProtection="1">
      <alignment horizontal="center" vertical="center" wrapText="1"/>
      <protection locked="0"/>
    </xf>
    <xf numFmtId="167" fontId="8" fillId="0" borderId="3" xfId="41054" applyFont="1" applyBorder="1" applyAlignment="1" applyProtection="1">
      <alignment horizontal="center" vertical="center" wrapText="1"/>
      <protection locked="0"/>
    </xf>
    <xf numFmtId="0" fontId="8" fillId="0" borderId="132" xfId="41058" applyFont="1" applyBorder="1" applyAlignment="1">
      <alignment horizontal="center" vertical="center"/>
    </xf>
    <xf numFmtId="0" fontId="8" fillId="0" borderId="167" xfId="41058" applyFont="1" applyBorder="1" applyAlignment="1">
      <alignment horizontal="center" vertical="center"/>
    </xf>
    <xf numFmtId="167" fontId="8" fillId="0" borderId="178" xfId="41054" applyFont="1" applyBorder="1" applyAlignment="1" applyProtection="1">
      <alignment horizontal="center" vertical="center" wrapText="1"/>
      <protection locked="0"/>
    </xf>
    <xf numFmtId="182" fontId="8" fillId="0" borderId="13" xfId="41054" applyNumberFormat="1" applyFont="1" applyBorder="1" applyAlignment="1" applyProtection="1">
      <alignment horizontal="center" vertical="center" wrapText="1"/>
      <protection locked="0"/>
    </xf>
    <xf numFmtId="186" fontId="8" fillId="0" borderId="13" xfId="41054" applyNumberFormat="1" applyFont="1" applyBorder="1" applyAlignment="1" applyProtection="1">
      <alignment horizontal="center" vertical="center" wrapText="1"/>
      <protection locked="0"/>
    </xf>
    <xf numFmtId="167" fontId="8" fillId="0" borderId="13" xfId="41054" applyFont="1" applyBorder="1" applyAlignment="1" applyProtection="1">
      <alignment horizontal="center" vertical="center" wrapText="1"/>
      <protection locked="0"/>
    </xf>
    <xf numFmtId="167" fontId="30" fillId="0" borderId="13" xfId="41054" applyFont="1" applyBorder="1" applyAlignment="1" applyProtection="1">
      <alignment horizontal="center" vertical="center" wrapText="1"/>
      <protection locked="0"/>
    </xf>
    <xf numFmtId="182" fontId="8" fillId="40" borderId="90" xfId="41054" applyNumberFormat="1" applyFont="1" applyFill="1" applyBorder="1" applyAlignment="1" applyProtection="1">
      <alignment horizontal="center" vertical="center" wrapText="1"/>
      <protection locked="0"/>
    </xf>
    <xf numFmtId="182" fontId="8" fillId="40" borderId="89" xfId="41054" applyNumberFormat="1" applyFont="1" applyFill="1" applyBorder="1" applyAlignment="1" applyProtection="1">
      <alignment horizontal="center" vertical="center" wrapText="1"/>
      <protection locked="0"/>
    </xf>
    <xf numFmtId="182" fontId="7" fillId="40" borderId="20" xfId="41054" applyNumberFormat="1" applyFont="1" applyFill="1" applyBorder="1" applyAlignment="1">
      <alignment horizontal="centerContinuous" vertical="center" wrapText="1"/>
    </xf>
    <xf numFmtId="182" fontId="7" fillId="40" borderId="75" xfId="41054" applyNumberFormat="1" applyFont="1" applyFill="1" applyBorder="1" applyAlignment="1">
      <alignment horizontal="centerContinuous" vertical="center" wrapText="1"/>
    </xf>
    <xf numFmtId="182" fontId="7" fillId="40" borderId="36" xfId="41054" applyNumberFormat="1" applyFont="1" applyFill="1" applyBorder="1" applyAlignment="1">
      <alignment horizontal="centerContinuous" vertical="center" wrapText="1"/>
    </xf>
    <xf numFmtId="0" fontId="8" fillId="0" borderId="13" xfId="41058" applyFont="1" applyBorder="1" applyAlignment="1">
      <alignment horizontal="center" vertical="center"/>
    </xf>
    <xf numFmtId="37" fontId="22" fillId="0" borderId="0" xfId="23422" applyNumberFormat="1" applyFont="1" applyAlignment="1">
      <alignment horizontal="right" vertical="center"/>
    </xf>
    <xf numFmtId="4" fontId="28" fillId="0" borderId="0" xfId="0" applyNumberFormat="1" applyFont="1" applyAlignment="1">
      <alignment vertical="top"/>
    </xf>
    <xf numFmtId="0" fontId="7" fillId="0" borderId="2" xfId="17" applyBorder="1" applyAlignment="1">
      <alignment horizontal="left" vertical="top" wrapText="1"/>
    </xf>
    <xf numFmtId="0" fontId="11" fillId="0" borderId="0" xfId="0" applyNumberFormat="1" applyFont="1" applyAlignment="1">
      <alignment horizontal="center" vertical="top"/>
    </xf>
    <xf numFmtId="0" fontId="7" fillId="0" borderId="0" xfId="0" applyNumberFormat="1" applyFont="1" applyAlignment="1">
      <alignment horizontal="center" vertical="top"/>
    </xf>
    <xf numFmtId="0" fontId="12" fillId="0" borderId="0" xfId="0" applyNumberFormat="1" applyFont="1" applyAlignment="1">
      <alignment horizontal="center" vertical="top"/>
    </xf>
    <xf numFmtId="165" fontId="12" fillId="0" borderId="0" xfId="21" applyFont="1" applyAlignment="1">
      <alignment horizontal="center" vertical="top"/>
    </xf>
    <xf numFmtId="0" fontId="10" fillId="0" borderId="0" xfId="0" applyNumberFormat="1" applyFont="1" applyAlignment="1">
      <alignment horizontal="left" vertical="top"/>
    </xf>
    <xf numFmtId="0" fontId="15" fillId="0" borderId="0" xfId="0" applyNumberFormat="1" applyFont="1" applyAlignment="1">
      <alignment vertical="top"/>
    </xf>
    <xf numFmtId="165" fontId="15" fillId="0" borderId="0" xfId="21" applyFont="1" applyAlignment="1">
      <alignment vertical="top"/>
    </xf>
    <xf numFmtId="0" fontId="13" fillId="0" borderId="0" xfId="0" applyNumberFormat="1" applyFont="1" applyAlignment="1">
      <alignment vertical="top"/>
    </xf>
    <xf numFmtId="3" fontId="8" fillId="0" borderId="0" xfId="0" applyNumberFormat="1" applyFont="1" applyAlignment="1">
      <alignment vertical="top"/>
    </xf>
    <xf numFmtId="167" fontId="9" fillId="0" borderId="0" xfId="0" applyFont="1" applyAlignment="1">
      <alignment vertical="top"/>
    </xf>
    <xf numFmtId="165" fontId="13" fillId="8" borderId="0" xfId="21" applyFont="1" applyFill="1" applyAlignment="1">
      <alignment vertical="center" wrapText="1"/>
    </xf>
    <xf numFmtId="0" fontId="7" fillId="8" borderId="0" xfId="0" applyNumberFormat="1" applyFont="1" applyFill="1" applyAlignment="1">
      <alignment vertical="center"/>
    </xf>
    <xf numFmtId="39" fontId="14" fillId="0" borderId="129" xfId="0" applyNumberFormat="1" applyFont="1" applyBorder="1" applyAlignment="1">
      <alignment horizontal="center" vertical="center" wrapText="1"/>
    </xf>
    <xf numFmtId="38" fontId="14" fillId="39" borderId="40" xfId="23422" applyNumberFormat="1" applyFont="1" applyFill="1" applyBorder="1" applyAlignment="1">
      <alignment horizontal="centerContinuous" vertical="center" wrapText="1"/>
    </xf>
    <xf numFmtId="37" fontId="62" fillId="11" borderId="21" xfId="0" applyNumberFormat="1" applyFont="1" applyFill="1" applyBorder="1" applyAlignment="1">
      <alignment horizontal="center" vertical="center" wrapText="1"/>
    </xf>
    <xf numFmtId="167" fontId="8" fillId="9" borderId="21" xfId="0" applyFont="1" applyFill="1" applyBorder="1" applyAlignment="1">
      <alignment horizontal="center" vertical="center" wrapText="1"/>
    </xf>
    <xf numFmtId="39" fontId="62" fillId="11" borderId="19" xfId="0" applyNumberFormat="1" applyFont="1" applyFill="1" applyBorder="1" applyAlignment="1">
      <alignment horizontal="center" vertical="center" wrapText="1"/>
    </xf>
    <xf numFmtId="39" fontId="62" fillId="11" borderId="105" xfId="0" applyNumberFormat="1" applyFont="1" applyFill="1" applyBorder="1" applyAlignment="1">
      <alignment horizontal="center" vertical="center" wrapText="1"/>
    </xf>
    <xf numFmtId="167" fontId="8" fillId="9" borderId="105" xfId="0" applyFont="1" applyFill="1" applyBorder="1" applyAlignment="1">
      <alignment horizontal="center" vertical="center" wrapText="1"/>
    </xf>
    <xf numFmtId="39" fontId="62" fillId="11" borderId="2" xfId="0" applyNumberFormat="1" applyFont="1" applyFill="1" applyBorder="1" applyAlignment="1">
      <alignment horizontal="center" vertical="center" wrapText="1"/>
    </xf>
    <xf numFmtId="9" fontId="7" fillId="0" borderId="105" xfId="19" applyFont="1" applyBorder="1" applyAlignment="1">
      <alignment horizontal="center" vertical="center" wrapText="1"/>
    </xf>
    <xf numFmtId="9" fontId="7" fillId="0" borderId="19" xfId="19" applyFont="1" applyBorder="1" applyAlignment="1">
      <alignment horizontal="center" vertical="center" wrapText="1"/>
    </xf>
    <xf numFmtId="37" fontId="7" fillId="0" borderId="105" xfId="0" applyNumberFormat="1" applyFont="1" applyBorder="1" applyAlignment="1">
      <alignment horizontal="center" vertical="center" wrapText="1"/>
    </xf>
    <xf numFmtId="39" fontId="8" fillId="9" borderId="105" xfId="0" applyNumberFormat="1" applyFont="1" applyFill="1" applyBorder="1" applyAlignment="1">
      <alignment horizontal="center" vertical="center" wrapText="1"/>
    </xf>
    <xf numFmtId="37" fontId="7" fillId="0" borderId="151" xfId="0" applyNumberFormat="1" applyFont="1" applyBorder="1" applyAlignment="1">
      <alignment horizontal="center" vertical="center" wrapText="1"/>
    </xf>
    <xf numFmtId="167" fontId="8" fillId="9" borderId="151" xfId="0" applyFont="1" applyFill="1" applyBorder="1" applyAlignment="1">
      <alignment horizontal="center" vertical="center" wrapText="1"/>
    </xf>
    <xf numFmtId="39" fontId="7" fillId="0" borderId="151" xfId="0" applyNumberFormat="1" applyFont="1" applyBorder="1" applyAlignment="1">
      <alignment horizontal="center" vertical="center" wrapText="1"/>
    </xf>
    <xf numFmtId="37" fontId="22" fillId="0" borderId="0" xfId="23422" applyNumberFormat="1" applyFont="1" applyAlignment="1">
      <alignment horizontal="left" vertical="center"/>
    </xf>
    <xf numFmtId="39" fontId="7" fillId="0" borderId="3" xfId="0" applyNumberFormat="1" applyFont="1" applyBorder="1" applyAlignment="1">
      <alignment horizontal="center" vertical="center" wrapText="1"/>
    </xf>
    <xf numFmtId="39" fontId="62" fillId="11" borderId="209" xfId="0" applyNumberFormat="1" applyFont="1" applyFill="1" applyBorder="1" applyAlignment="1">
      <alignment horizontal="center" vertical="center" wrapText="1"/>
    </xf>
    <xf numFmtId="37" fontId="14" fillId="0" borderId="206" xfId="0" applyNumberFormat="1" applyFont="1" applyBorder="1" applyAlignment="1">
      <alignment horizontal="center" vertical="center" wrapText="1"/>
    </xf>
    <xf numFmtId="39" fontId="14" fillId="0" borderId="206" xfId="0" applyNumberFormat="1" applyFont="1" applyBorder="1" applyAlignment="1">
      <alignment horizontal="center" vertical="center" wrapText="1"/>
    </xf>
    <xf numFmtId="167" fontId="14" fillId="9" borderId="24" xfId="0" applyFont="1" applyFill="1" applyBorder="1" applyAlignment="1">
      <alignment horizontal="center" vertical="center" wrapText="1"/>
    </xf>
    <xf numFmtId="37" fontId="13" fillId="0" borderId="24" xfId="0" applyNumberFormat="1" applyFont="1" applyBorder="1" applyAlignment="1">
      <alignment horizontal="center" vertical="center" wrapText="1"/>
    </xf>
    <xf numFmtId="183" fontId="13" fillId="0" borderId="24" xfId="0" applyNumberFormat="1" applyFont="1" applyBorder="1" applyAlignment="1">
      <alignment horizontal="center" vertical="center" wrapText="1"/>
    </xf>
    <xf numFmtId="183" fontId="14" fillId="9" borderId="24" xfId="0" applyNumberFormat="1" applyFont="1" applyFill="1" applyBorder="1" applyAlignment="1">
      <alignment horizontal="center" vertical="center" wrapText="1"/>
    </xf>
    <xf numFmtId="39" fontId="13" fillId="0" borderId="187" xfId="0" applyNumberFormat="1" applyFont="1" applyBorder="1" applyAlignment="1">
      <alignment horizontal="center" vertical="center" wrapText="1"/>
    </xf>
    <xf numFmtId="39" fontId="14" fillId="9" borderId="130" xfId="0" applyNumberFormat="1" applyFont="1" applyFill="1" applyBorder="1" applyAlignment="1">
      <alignment horizontal="center" vertical="center" wrapText="1"/>
    </xf>
    <xf numFmtId="167" fontId="14" fillId="9" borderId="157" xfId="0" applyFont="1" applyFill="1" applyBorder="1" applyAlignment="1">
      <alignment horizontal="center" vertical="center" wrapText="1"/>
    </xf>
    <xf numFmtId="39" fontId="14" fillId="9" borderId="157" xfId="0" applyNumberFormat="1" applyFont="1" applyFill="1" applyBorder="1" applyAlignment="1">
      <alignment horizontal="center" vertical="center" wrapText="1"/>
    </xf>
    <xf numFmtId="39" fontId="8" fillId="9" borderId="173" xfId="0" applyNumberFormat="1" applyFont="1" applyFill="1" applyBorder="1" applyAlignment="1">
      <alignment horizontal="center" vertical="center" wrapText="1"/>
    </xf>
    <xf numFmtId="39" fontId="14" fillId="9" borderId="174" xfId="0" applyNumberFormat="1" applyFont="1" applyFill="1" applyBorder="1" applyAlignment="1">
      <alignment horizontal="center" vertical="center" wrapText="1"/>
    </xf>
    <xf numFmtId="37" fontId="13" fillId="0" borderId="157" xfId="0" applyNumberFormat="1" applyFont="1" applyBorder="1" applyAlignment="1">
      <alignment horizontal="center" vertical="center" wrapText="1"/>
    </xf>
    <xf numFmtId="37" fontId="7" fillId="0" borderId="16" xfId="0" applyNumberFormat="1" applyFont="1" applyBorder="1" applyAlignment="1">
      <alignment horizontal="center" vertical="center" wrapText="1"/>
    </xf>
    <xf numFmtId="37" fontId="13" fillId="0" borderId="130" xfId="0" applyNumberFormat="1" applyFont="1" applyBorder="1" applyAlignment="1">
      <alignment horizontal="center" vertical="center" wrapText="1"/>
    </xf>
    <xf numFmtId="183" fontId="13" fillId="0" borderId="130" xfId="0" applyNumberFormat="1" applyFont="1" applyBorder="1" applyAlignment="1">
      <alignment horizontal="center" vertical="center" wrapText="1"/>
    </xf>
    <xf numFmtId="183" fontId="13" fillId="0" borderId="157" xfId="0" applyNumberFormat="1" applyFont="1" applyBorder="1" applyAlignment="1">
      <alignment horizontal="center" vertical="center" wrapText="1"/>
    </xf>
    <xf numFmtId="183" fontId="14" fillId="9" borderId="157" xfId="0" applyNumberFormat="1" applyFont="1" applyFill="1" applyBorder="1" applyAlignment="1">
      <alignment horizontal="center" vertical="center" wrapText="1"/>
    </xf>
    <xf numFmtId="167" fontId="8" fillId="9" borderId="173" xfId="0" applyFont="1" applyFill="1" applyBorder="1" applyAlignment="1">
      <alignment horizontal="center" vertical="center" wrapText="1"/>
    </xf>
    <xf numFmtId="183" fontId="7" fillId="0" borderId="173" xfId="0" applyNumberFormat="1" applyFont="1" applyBorder="1" applyAlignment="1">
      <alignment horizontal="center" vertical="center" wrapText="1"/>
    </xf>
    <xf numFmtId="183" fontId="13" fillId="0" borderId="174" xfId="0" applyNumberFormat="1" applyFont="1" applyBorder="1" applyAlignment="1">
      <alignment horizontal="center" vertical="center" wrapText="1"/>
    </xf>
    <xf numFmtId="37" fontId="13" fillId="10" borderId="27" xfId="0" applyNumberFormat="1" applyFont="1" applyFill="1" applyBorder="1" applyAlignment="1">
      <alignment horizontal="center" vertical="center" wrapText="1"/>
    </xf>
    <xf numFmtId="9" fontId="7" fillId="8" borderId="2" xfId="19" applyFont="1" applyFill="1" applyBorder="1" applyAlignment="1">
      <alignment horizontal="center" vertical="center" wrapText="1"/>
    </xf>
    <xf numFmtId="167" fontId="93" fillId="0" borderId="0" xfId="0" applyFont="1" applyAlignment="1">
      <alignment horizontal="centerContinuous" vertical="center"/>
    </xf>
    <xf numFmtId="165" fontId="7" fillId="0" borderId="0" xfId="21" applyFont="1" applyAlignment="1">
      <alignment vertical="center"/>
    </xf>
    <xf numFmtId="167" fontId="7" fillId="0" borderId="0" xfId="0" applyFont="1" applyAlignment="1">
      <alignment horizontal="justify" vertical="center"/>
    </xf>
    <xf numFmtId="167" fontId="7" fillId="0" borderId="0" xfId="0" applyFont="1" applyAlignment="1">
      <alignment horizontal="right" vertical="center"/>
    </xf>
    <xf numFmtId="10" fontId="7" fillId="0" borderId="0" xfId="0" applyNumberFormat="1" applyFont="1" applyAlignment="1">
      <alignment horizontal="left" vertical="center"/>
    </xf>
    <xf numFmtId="0" fontId="7" fillId="0" borderId="200" xfId="15007" applyNumberFormat="1" applyFont="1" applyBorder="1" applyAlignment="1">
      <alignment horizontal="center" vertical="center"/>
    </xf>
    <xf numFmtId="0" fontId="7" fillId="0" borderId="0" xfId="15007" applyNumberFormat="1" applyFont="1"/>
    <xf numFmtId="167" fontId="7" fillId="0" borderId="216" xfId="0" applyFont="1" applyBorder="1" applyAlignment="1">
      <alignment horizontal="center" vertical="center"/>
    </xf>
    <xf numFmtId="0" fontId="7" fillId="0" borderId="0" xfId="15007" applyNumberFormat="1" applyFont="1" applyAlignment="1">
      <alignment vertical="center"/>
    </xf>
    <xf numFmtId="0" fontId="7" fillId="0" borderId="0" xfId="15007" applyNumberFormat="1" applyFont="1" applyAlignment="1">
      <alignment horizontal="center" vertical="center"/>
    </xf>
    <xf numFmtId="0" fontId="8" fillId="0" borderId="41" xfId="0" quotePrefix="1" applyNumberFormat="1" applyFont="1" applyBorder="1" applyAlignment="1">
      <alignment horizontal="center" vertical="center" wrapText="1"/>
    </xf>
    <xf numFmtId="40" fontId="8" fillId="0" borderId="3" xfId="21" applyNumberFormat="1" applyFont="1" applyBorder="1" applyAlignment="1">
      <alignment horizontal="center" vertical="center"/>
    </xf>
    <xf numFmtId="40" fontId="8" fillId="0" borderId="62" xfId="21" applyNumberFormat="1" applyFont="1" applyBorder="1" applyAlignment="1">
      <alignment vertical="center"/>
    </xf>
    <xf numFmtId="167" fontId="8" fillId="0" borderId="0" xfId="0" applyFont="1" applyAlignment="1">
      <alignment vertical="center"/>
    </xf>
    <xf numFmtId="0" fontId="8" fillId="0" borderId="41" xfId="0" applyNumberFormat="1" applyFont="1" applyBorder="1" applyAlignment="1">
      <alignment horizontal="center" vertical="center" wrapText="1"/>
    </xf>
    <xf numFmtId="0" fontId="8" fillId="0" borderId="31" xfId="0" applyNumberFormat="1" applyFont="1" applyBorder="1" applyAlignment="1">
      <alignment vertical="center" wrapText="1"/>
    </xf>
    <xf numFmtId="167" fontId="7" fillId="0" borderId="204" xfId="0" applyFont="1" applyBorder="1" applyAlignment="1">
      <alignment horizontal="justify" vertical="center"/>
    </xf>
    <xf numFmtId="40" fontId="7" fillId="0" borderId="219" xfId="0" applyNumberFormat="1" applyFont="1" applyBorder="1" applyAlignment="1">
      <alignment horizontal="center" vertical="center"/>
    </xf>
    <xf numFmtId="190" fontId="7" fillId="0" borderId="219" xfId="0" applyNumberFormat="1" applyFont="1" applyBorder="1" applyAlignment="1">
      <alignment horizontal="center" vertical="center"/>
    </xf>
    <xf numFmtId="191" fontId="7" fillId="0" borderId="219" xfId="0" applyNumberFormat="1" applyFont="1" applyBorder="1" applyAlignment="1">
      <alignment horizontal="center" vertical="center"/>
    </xf>
    <xf numFmtId="40" fontId="7" fillId="0" borderId="139" xfId="21" applyNumberFormat="1" applyFont="1" applyBorder="1" applyAlignment="1">
      <alignment vertical="center"/>
    </xf>
    <xf numFmtId="0" fontId="8" fillId="0" borderId="185" xfId="0" applyNumberFormat="1" applyFont="1" applyBorder="1" applyAlignment="1">
      <alignment vertical="center" wrapText="1"/>
    </xf>
    <xf numFmtId="167" fontId="7" fillId="0" borderId="185" xfId="0" applyFont="1" applyBorder="1" applyAlignment="1">
      <alignment horizontal="justify" vertical="center"/>
    </xf>
    <xf numFmtId="40" fontId="7" fillId="0" borderId="185" xfId="0" applyNumberFormat="1" applyFont="1" applyBorder="1" applyAlignment="1">
      <alignment vertical="center"/>
    </xf>
    <xf numFmtId="167" fontId="7" fillId="0" borderId="185" xfId="0" applyFont="1" applyBorder="1" applyAlignment="1">
      <alignment vertical="center"/>
    </xf>
    <xf numFmtId="0" fontId="8" fillId="0" borderId="0" xfId="0" applyNumberFormat="1" applyFont="1" applyAlignment="1">
      <alignment vertical="center" wrapText="1"/>
    </xf>
    <xf numFmtId="167" fontId="94" fillId="0" borderId="0" xfId="0" applyFont="1" applyAlignment="1">
      <alignment horizontal="center" vertical="center"/>
    </xf>
    <xf numFmtId="4" fontId="94" fillId="0" borderId="0" xfId="0" applyNumberFormat="1" applyFont="1" applyAlignment="1">
      <alignment horizontal="right" vertical="center"/>
    </xf>
    <xf numFmtId="192" fontId="94" fillId="0" borderId="0" xfId="0" applyNumberFormat="1" applyFont="1" applyAlignment="1">
      <alignment horizontal="right" vertical="center"/>
    </xf>
    <xf numFmtId="0" fontId="8" fillId="0" borderId="31" xfId="0" applyNumberFormat="1" applyFont="1" applyBorder="1" applyAlignment="1">
      <alignment horizontal="center" vertical="center" wrapText="1"/>
    </xf>
    <xf numFmtId="40" fontId="7" fillId="0" borderId="0" xfId="21" applyNumberFormat="1" applyFont="1" applyAlignment="1">
      <alignment vertical="center"/>
    </xf>
    <xf numFmtId="40" fontId="7" fillId="0" borderId="0" xfId="0" applyNumberFormat="1" applyFont="1" applyAlignment="1">
      <alignment horizontal="left" vertical="center"/>
    </xf>
    <xf numFmtId="193" fontId="7" fillId="0" borderId="0" xfId="21" applyNumberFormat="1" applyFont="1" applyAlignment="1">
      <alignment vertical="center"/>
    </xf>
    <xf numFmtId="165" fontId="7" fillId="0" borderId="0" xfId="24466"/>
    <xf numFmtId="167" fontId="7" fillId="0" borderId="221" xfId="0" applyFont="1" applyBorder="1" applyAlignment="1">
      <alignment horizontal="left" vertical="center"/>
    </xf>
    <xf numFmtId="167" fontId="7" fillId="0" borderId="222" xfId="0" applyFont="1" applyBorder="1" applyAlignment="1">
      <alignment vertical="center"/>
    </xf>
    <xf numFmtId="165" fontId="7" fillId="0" borderId="222" xfId="21" applyFont="1" applyBorder="1" applyAlignment="1">
      <alignment vertical="center"/>
    </xf>
    <xf numFmtId="2" fontId="7" fillId="0" borderId="222" xfId="0" applyNumberFormat="1" applyFont="1" applyBorder="1" applyAlignment="1">
      <alignment vertical="center"/>
    </xf>
    <xf numFmtId="40" fontId="7" fillId="0" borderId="222" xfId="21" applyNumberFormat="1" applyFont="1" applyBorder="1" applyAlignment="1">
      <alignment horizontal="right" vertical="center"/>
    </xf>
    <xf numFmtId="40" fontId="7" fillId="0" borderId="223" xfId="21" applyNumberFormat="1" applyFont="1" applyBorder="1" applyAlignment="1">
      <alignment vertical="center"/>
    </xf>
    <xf numFmtId="165" fontId="7" fillId="0" borderId="0" xfId="23420"/>
    <xf numFmtId="0" fontId="7" fillId="0" borderId="0" xfId="15007" applyNumberFormat="1" applyFont="1" applyAlignment="1">
      <alignment horizontal="justify" vertical="top"/>
    </xf>
    <xf numFmtId="186" fontId="7" fillId="0" borderId="8" xfId="0" applyNumberFormat="1" applyFont="1" applyBorder="1" applyAlignment="1">
      <alignment horizontal="center" vertical="center"/>
    </xf>
    <xf numFmtId="0" fontId="8" fillId="0" borderId="41" xfId="0" applyNumberFormat="1" applyFont="1" applyBorder="1" applyAlignment="1">
      <alignment horizontal="center" vertical="top" wrapText="1"/>
    </xf>
    <xf numFmtId="49" fontId="7" fillId="0" borderId="31" xfId="41057" applyNumberFormat="1" applyFont="1" applyBorder="1" applyAlignment="1" applyProtection="1">
      <alignment horizontal="center" vertical="center" wrapText="1"/>
    </xf>
    <xf numFmtId="39" fontId="7" fillId="0" borderId="127" xfId="0" applyNumberFormat="1" applyFont="1" applyBorder="1" applyAlignment="1">
      <alignment horizontal="center" vertical="center" wrapText="1"/>
    </xf>
    <xf numFmtId="167" fontId="13" fillId="0" borderId="157" xfId="0" applyFont="1" applyBorder="1" applyAlignment="1">
      <alignment horizontal="center" vertical="center" wrapText="1"/>
    </xf>
    <xf numFmtId="167" fontId="13" fillId="0" borderId="130" xfId="0" applyFont="1" applyBorder="1" applyAlignment="1">
      <alignment horizontal="center" vertical="center" wrapText="1"/>
    </xf>
    <xf numFmtId="167" fontId="13" fillId="0" borderId="0" xfId="0" applyFont="1" applyAlignment="1">
      <alignment horizontal="center" vertical="center" wrapText="1"/>
    </xf>
    <xf numFmtId="37" fontId="14" fillId="0" borderId="228" xfId="0" applyNumberFormat="1" applyFont="1" applyBorder="1" applyAlignment="1">
      <alignment horizontal="center" vertical="center" wrapText="1"/>
    </xf>
    <xf numFmtId="39" fontId="14" fillId="9" borderId="24" xfId="0" applyNumberFormat="1" applyFont="1" applyFill="1" applyBorder="1" applyAlignment="1">
      <alignment horizontal="center" vertical="center" wrapText="1"/>
    </xf>
    <xf numFmtId="39" fontId="13" fillId="0" borderId="0" xfId="0" applyNumberFormat="1" applyFont="1" applyAlignment="1">
      <alignment horizontal="center" vertical="center" wrapText="1"/>
    </xf>
    <xf numFmtId="39" fontId="14" fillId="0" borderId="228" xfId="0" applyNumberFormat="1" applyFont="1" applyBorder="1" applyAlignment="1">
      <alignment horizontal="center" vertical="center" wrapText="1"/>
    </xf>
    <xf numFmtId="183" fontId="8" fillId="9" borderId="19" xfId="0" applyNumberFormat="1" applyFont="1" applyFill="1" applyBorder="1" applyAlignment="1">
      <alignment horizontal="center" vertical="center" wrapText="1"/>
    </xf>
    <xf numFmtId="167" fontId="7" fillId="8" borderId="19" xfId="0" applyFont="1" applyFill="1" applyBorder="1" applyAlignment="1">
      <alignment horizontal="center" vertical="center" wrapText="1"/>
    </xf>
    <xf numFmtId="9" fontId="7" fillId="8" borderId="13" xfId="19" applyFont="1" applyFill="1" applyBorder="1" applyAlignment="1">
      <alignment horizontal="center" vertical="center" wrapText="1"/>
    </xf>
    <xf numFmtId="167" fontId="13" fillId="0" borderId="24" xfId="0" applyFont="1" applyBorder="1" applyAlignment="1">
      <alignment horizontal="center" vertical="center" wrapText="1"/>
    </xf>
    <xf numFmtId="186" fontId="7" fillId="8" borderId="2" xfId="0" applyNumberFormat="1" applyFont="1" applyFill="1" applyBorder="1" applyAlignment="1">
      <alignment horizontal="center" vertical="center" wrapText="1"/>
    </xf>
    <xf numFmtId="167" fontId="13" fillId="10" borderId="27" xfId="0" applyFont="1" applyFill="1" applyBorder="1" applyAlignment="1">
      <alignment horizontal="center" vertical="center" wrapText="1"/>
    </xf>
    <xf numFmtId="167" fontId="13" fillId="9" borderId="24" xfId="0" applyFont="1" applyFill="1" applyBorder="1" applyAlignment="1">
      <alignment horizontal="center" vertical="center" wrapText="1"/>
    </xf>
    <xf numFmtId="167" fontId="7" fillId="9" borderId="130" xfId="0" applyFont="1" applyFill="1" applyBorder="1" applyAlignment="1">
      <alignment horizontal="center" vertical="center" wrapText="1"/>
    </xf>
    <xf numFmtId="167" fontId="7" fillId="9" borderId="157" xfId="0" applyFont="1" applyFill="1" applyBorder="1" applyAlignment="1">
      <alignment horizontal="center" vertical="center" wrapText="1"/>
    </xf>
    <xf numFmtId="4" fontId="7" fillId="0" borderId="235" xfId="0" applyNumberFormat="1" applyFont="1" applyBorder="1" applyAlignment="1">
      <alignment horizontal="center" vertical="center" wrapText="1"/>
    </xf>
    <xf numFmtId="185" fontId="7" fillId="0" borderId="227" xfId="0" applyNumberFormat="1" applyFont="1" applyBorder="1" applyAlignment="1">
      <alignment horizontal="center" vertical="center" wrapText="1"/>
    </xf>
    <xf numFmtId="185" fontId="7" fillId="39" borderId="227" xfId="0" applyNumberFormat="1" applyFont="1" applyFill="1" applyBorder="1" applyAlignment="1">
      <alignment horizontal="center" vertical="center" wrapText="1"/>
    </xf>
    <xf numFmtId="167" fontId="13" fillId="0" borderId="228" xfId="0" applyFont="1" applyBorder="1" applyAlignment="1">
      <alignment horizontal="center" vertical="center" wrapText="1"/>
    </xf>
    <xf numFmtId="186" fontId="13" fillId="0" borderId="228" xfId="0" applyNumberFormat="1" applyFont="1" applyBorder="1" applyAlignment="1">
      <alignment horizontal="center" vertical="center" wrapText="1"/>
    </xf>
    <xf numFmtId="183" fontId="14" fillId="9" borderId="130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Alignment="1">
      <alignment vertical="top"/>
    </xf>
    <xf numFmtId="0" fontId="13" fillId="0" borderId="0" xfId="0" applyNumberFormat="1" applyFont="1" applyAlignment="1">
      <alignment horizontal="left" vertical="top"/>
    </xf>
    <xf numFmtId="0" fontId="13" fillId="0" borderId="0" xfId="29073" applyFont="1" applyAlignment="1">
      <alignment horizontal="left" vertical="top"/>
    </xf>
    <xf numFmtId="39" fontId="14" fillId="0" borderId="123" xfId="0" applyNumberFormat="1" applyFont="1" applyBorder="1" applyAlignment="1">
      <alignment horizontal="center" vertical="center" wrapText="1"/>
    </xf>
    <xf numFmtId="37" fontId="8" fillId="0" borderId="13" xfId="0" applyNumberFormat="1" applyFont="1" applyBorder="1" applyAlignment="1">
      <alignment horizontal="center" vertical="center" wrapText="1"/>
    </xf>
    <xf numFmtId="39" fontId="8" fillId="0" borderId="2" xfId="0" applyNumberFormat="1" applyFont="1" applyBorder="1" applyAlignment="1">
      <alignment horizontal="center" vertical="center" wrapText="1"/>
    </xf>
    <xf numFmtId="39" fontId="8" fillId="0" borderId="13" xfId="0" applyNumberFormat="1" applyFont="1" applyBorder="1" applyAlignment="1">
      <alignment horizontal="center" vertical="center" wrapText="1"/>
    </xf>
    <xf numFmtId="39" fontId="8" fillId="0" borderId="173" xfId="0" applyNumberFormat="1" applyFont="1" applyBorder="1" applyAlignment="1">
      <alignment horizontal="center" vertical="center" wrapText="1"/>
    </xf>
    <xf numFmtId="39" fontId="8" fillId="0" borderId="188" xfId="0" applyNumberFormat="1" applyFont="1" applyBorder="1" applyAlignment="1">
      <alignment horizontal="center" vertical="center" wrapText="1"/>
    </xf>
    <xf numFmtId="167" fontId="28" fillId="44" borderId="0" xfId="11464" applyNumberFormat="1" applyFont="1" applyFill="1" applyAlignment="1">
      <alignment horizontal="left" vertical="center"/>
    </xf>
    <xf numFmtId="167" fontId="28" fillId="44" borderId="0" xfId="11464" applyNumberFormat="1" applyFont="1" applyFill="1" applyAlignment="1">
      <alignment horizontal="center" vertical="center"/>
    </xf>
    <xf numFmtId="184" fontId="28" fillId="44" borderId="0" xfId="19" applyNumberFormat="1" applyFont="1" applyFill="1" applyAlignment="1">
      <alignment horizontal="center" vertical="center"/>
    </xf>
    <xf numFmtId="167" fontId="28" fillId="44" borderId="0" xfId="11464" quotePrefix="1" applyNumberFormat="1" applyFont="1" applyFill="1" applyAlignment="1">
      <alignment horizontal="center" vertical="center"/>
    </xf>
    <xf numFmtId="167" fontId="7" fillId="0" borderId="167" xfId="0" applyFont="1" applyBorder="1" applyAlignment="1">
      <alignment horizontal="center" vertical="center" wrapText="1"/>
    </xf>
    <xf numFmtId="167" fontId="8" fillId="0" borderId="249" xfId="0" applyFont="1" applyBorder="1" applyAlignment="1">
      <alignment horizontal="center" vertical="center" wrapText="1"/>
    </xf>
    <xf numFmtId="167" fontId="14" fillId="0" borderId="128" xfId="41054" applyFont="1" applyBorder="1" applyAlignment="1">
      <alignment horizontal="center" vertical="center"/>
    </xf>
    <xf numFmtId="167" fontId="14" fillId="0" borderId="128" xfId="41054" applyFont="1" applyBorder="1" applyAlignment="1">
      <alignment horizontal="center" vertical="center" wrapText="1"/>
    </xf>
    <xf numFmtId="0" fontId="14" fillId="0" borderId="128" xfId="0" applyNumberFormat="1" applyFont="1" applyBorder="1" applyAlignment="1">
      <alignment horizontal="center" vertical="center"/>
    </xf>
    <xf numFmtId="0" fontId="14" fillId="0" borderId="197" xfId="0" applyNumberFormat="1" applyFont="1" applyBorder="1" applyAlignment="1">
      <alignment horizontal="center" vertical="center"/>
    </xf>
    <xf numFmtId="167" fontId="14" fillId="0" borderId="251" xfId="0" applyFont="1" applyBorder="1" applyAlignment="1">
      <alignment horizontal="center" vertical="center" wrapText="1"/>
    </xf>
    <xf numFmtId="183" fontId="8" fillId="9" borderId="105" xfId="0" applyNumberFormat="1" applyFont="1" applyFill="1" applyBorder="1" applyAlignment="1">
      <alignment horizontal="center" vertical="center" wrapText="1"/>
    </xf>
    <xf numFmtId="183" fontId="7" fillId="0" borderId="105" xfId="0" applyNumberFormat="1" applyFont="1" applyBorder="1" applyAlignment="1">
      <alignment horizontal="center" vertical="center" wrapText="1"/>
    </xf>
    <xf numFmtId="0" fontId="96" fillId="0" borderId="0" xfId="0" applyNumberFormat="1" applyFont="1" applyAlignment="1">
      <alignment horizontal="left" vertical="center"/>
    </xf>
    <xf numFmtId="0" fontId="10" fillId="0" borderId="0" xfId="0" applyNumberFormat="1" applyFont="1" applyAlignment="1">
      <alignment horizontal="left" vertical="center"/>
    </xf>
    <xf numFmtId="167" fontId="9" fillId="0" borderId="108" xfId="0" applyFont="1" applyBorder="1"/>
    <xf numFmtId="0" fontId="13" fillId="0" borderId="0" xfId="0" applyNumberFormat="1" applyFont="1" applyAlignment="1">
      <alignment vertical="center"/>
    </xf>
    <xf numFmtId="0" fontId="14" fillId="34" borderId="253" xfId="0" applyNumberFormat="1" applyFont="1" applyFill="1" applyBorder="1" applyAlignment="1">
      <alignment horizontal="center" vertical="center" wrapText="1"/>
    </xf>
    <xf numFmtId="0" fontId="14" fillId="34" borderId="253" xfId="0" applyNumberFormat="1" applyFont="1" applyFill="1" applyBorder="1" applyAlignment="1">
      <alignment horizontal="center" vertical="center"/>
    </xf>
    <xf numFmtId="165" fontId="14" fillId="34" borderId="253" xfId="0" applyNumberFormat="1" applyFont="1" applyFill="1" applyBorder="1" applyAlignment="1">
      <alignment horizontal="center" vertical="center"/>
    </xf>
    <xf numFmtId="165" fontId="14" fillId="34" borderId="253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Alignment="1">
      <alignment horizontal="left" vertical="center"/>
    </xf>
    <xf numFmtId="165" fontId="7" fillId="0" borderId="0" xfId="21" applyFont="1" applyAlignment="1">
      <alignment horizontal="left" vertical="center"/>
    </xf>
    <xf numFmtId="10" fontId="7" fillId="0" borderId="0" xfId="19" applyNumberFormat="1" applyFont="1" applyAlignment="1">
      <alignment vertical="center"/>
    </xf>
    <xf numFmtId="165" fontId="13" fillId="0" borderId="0" xfId="0" applyNumberFormat="1" applyFont="1" applyAlignment="1">
      <alignment vertical="center"/>
    </xf>
    <xf numFmtId="0" fontId="14" fillId="34" borderId="8" xfId="0" applyNumberFormat="1" applyFont="1" applyFill="1" applyBorder="1" applyAlignment="1">
      <alignment horizontal="center" vertical="center" wrapText="1"/>
    </xf>
    <xf numFmtId="0" fontId="14" fillId="34" borderId="203" xfId="0" applyNumberFormat="1" applyFont="1" applyFill="1" applyBorder="1" applyAlignment="1">
      <alignment horizontal="center" vertical="center" wrapText="1"/>
    </xf>
    <xf numFmtId="165" fontId="13" fillId="34" borderId="0" xfId="21" applyFont="1" applyFill="1" applyAlignment="1">
      <alignment vertical="center"/>
    </xf>
    <xf numFmtId="165" fontId="13" fillId="34" borderId="0" xfId="0" applyNumberFormat="1" applyFont="1" applyFill="1" applyAlignment="1">
      <alignment vertical="center"/>
    </xf>
    <xf numFmtId="10" fontId="13" fillId="34" borderId="0" xfId="19" applyNumberFormat="1" applyFont="1" applyFill="1" applyAlignment="1">
      <alignment vertical="center"/>
    </xf>
    <xf numFmtId="0" fontId="13" fillId="34" borderId="0" xfId="0" applyNumberFormat="1" applyFont="1" applyFill="1" applyAlignment="1">
      <alignment vertical="center"/>
    </xf>
    <xf numFmtId="0" fontId="13" fillId="34" borderId="0" xfId="0" applyNumberFormat="1" applyFont="1" applyFill="1" applyAlignment="1">
      <alignment horizontal="center" vertical="center"/>
    </xf>
    <xf numFmtId="0" fontId="13" fillId="34" borderId="0" xfId="0" applyNumberFormat="1" applyFont="1" applyFill="1" applyAlignment="1">
      <alignment horizontal="right" vertical="center"/>
    </xf>
    <xf numFmtId="0" fontId="96" fillId="0" borderId="0" xfId="11593" applyFont="1" applyAlignment="1">
      <alignment vertical="center"/>
    </xf>
    <xf numFmtId="0" fontId="59" fillId="0" borderId="0" xfId="0" applyNumberFormat="1" applyFont="1" applyAlignment="1">
      <alignment horizontal="centerContinuous" vertical="center"/>
    </xf>
    <xf numFmtId="9" fontId="13" fillId="43" borderId="0" xfId="21" applyNumberFormat="1" applyFont="1" applyFill="1" applyAlignment="1">
      <alignment horizontal="center" vertical="center"/>
    </xf>
    <xf numFmtId="9" fontId="13" fillId="48" borderId="0" xfId="21" applyNumberFormat="1" applyFont="1" applyFill="1" applyAlignment="1">
      <alignment horizontal="center" vertical="center"/>
    </xf>
    <xf numFmtId="9" fontId="13" fillId="49" borderId="0" xfId="21" applyNumberFormat="1" applyFont="1" applyFill="1" applyAlignment="1">
      <alignment horizontal="center" vertical="center"/>
    </xf>
    <xf numFmtId="0" fontId="7" fillId="0" borderId="0" xfId="0" applyNumberFormat="1" applyFont="1" applyAlignment="1" applyProtection="1">
      <alignment vertical="center"/>
      <protection locked="0"/>
    </xf>
    <xf numFmtId="167" fontId="19" fillId="0" borderId="0" xfId="0" applyFont="1" applyAlignment="1" applyProtection="1">
      <alignment horizontal="left" vertical="center" wrapText="1"/>
      <protection locked="0"/>
    </xf>
    <xf numFmtId="168" fontId="17" fillId="0" borderId="0" xfId="22" quotePrefix="1" applyNumberFormat="1" applyFont="1" applyAlignment="1" applyProtection="1">
      <alignment vertical="center"/>
      <protection locked="0"/>
    </xf>
    <xf numFmtId="0" fontId="8" fillId="0" borderId="0" xfId="0" applyNumberFormat="1" applyFont="1" applyAlignment="1" applyProtection="1">
      <alignment horizontal="left" vertical="center"/>
      <protection locked="0"/>
    </xf>
    <xf numFmtId="0" fontId="8" fillId="0" borderId="0" xfId="0" applyNumberFormat="1" applyFont="1" applyAlignment="1" applyProtection="1">
      <alignment horizontal="right" vertical="center"/>
      <protection locked="0"/>
    </xf>
    <xf numFmtId="168" fontId="85" fillId="0" borderId="0" xfId="22" quotePrefix="1" applyNumberFormat="1" applyFont="1" applyAlignment="1" applyProtection="1">
      <alignment horizontal="right" vertical="center"/>
      <protection locked="0"/>
    </xf>
    <xf numFmtId="37" fontId="7" fillId="33" borderId="0" xfId="0" applyNumberFormat="1" applyFont="1" applyFill="1" applyAlignment="1" applyProtection="1">
      <alignment horizontal="center"/>
      <protection locked="0"/>
    </xf>
    <xf numFmtId="39" fontId="13" fillId="9" borderId="24" xfId="0" applyNumberFormat="1" applyFont="1" applyFill="1" applyBorder="1" applyAlignment="1">
      <alignment horizontal="center" vertical="center" wrapText="1"/>
    </xf>
    <xf numFmtId="185" fontId="7" fillId="0" borderId="0" xfId="0" applyNumberFormat="1" applyFont="1" applyAlignment="1">
      <alignment horizontal="center" vertical="center" wrapText="1"/>
    </xf>
    <xf numFmtId="185" fontId="7" fillId="9" borderId="24" xfId="0" applyNumberFormat="1" applyFont="1" applyFill="1" applyBorder="1" applyAlignment="1">
      <alignment horizontal="center" vertical="center" wrapText="1"/>
    </xf>
    <xf numFmtId="185" fontId="13" fillId="0" borderId="130" xfId="0" applyNumberFormat="1" applyFont="1" applyBorder="1" applyAlignment="1">
      <alignment horizontal="center" vertical="center" wrapText="1"/>
    </xf>
    <xf numFmtId="185" fontId="13" fillId="0" borderId="157" xfId="0" applyNumberFormat="1" applyFont="1" applyBorder="1" applyAlignment="1">
      <alignment horizontal="center" vertical="center" wrapText="1"/>
    </xf>
    <xf numFmtId="185" fontId="13" fillId="0" borderId="24" xfId="0" applyNumberFormat="1" applyFont="1" applyBorder="1" applyAlignment="1">
      <alignment horizontal="center" vertical="center" wrapText="1"/>
    </xf>
    <xf numFmtId="185" fontId="7" fillId="8" borderId="181" xfId="0" applyNumberFormat="1" applyFont="1" applyFill="1" applyBorder="1" applyAlignment="1">
      <alignment horizontal="center" vertical="center" wrapText="1"/>
    </xf>
    <xf numFmtId="185" fontId="13" fillId="9" borderId="157" xfId="0" applyNumberFormat="1" applyFont="1" applyFill="1" applyBorder="1" applyAlignment="1">
      <alignment horizontal="center" vertical="center" wrapText="1"/>
    </xf>
    <xf numFmtId="185" fontId="13" fillId="9" borderId="24" xfId="0" applyNumberFormat="1" applyFont="1" applyFill="1" applyBorder="1" applyAlignment="1">
      <alignment horizontal="center" vertical="center" wrapText="1"/>
    </xf>
    <xf numFmtId="185" fontId="8" fillId="0" borderId="181" xfId="0" applyNumberFormat="1" applyFont="1" applyBorder="1" applyAlignment="1">
      <alignment horizontal="center" vertical="center" wrapText="1"/>
    </xf>
    <xf numFmtId="185" fontId="8" fillId="0" borderId="255" xfId="0" applyNumberFormat="1" applyFont="1" applyBorder="1" applyAlignment="1">
      <alignment horizontal="center" vertical="center" wrapText="1"/>
    </xf>
    <xf numFmtId="167" fontId="8" fillId="0" borderId="247" xfId="0" applyFont="1" applyBorder="1" applyAlignment="1">
      <alignment horizontal="center" vertical="center" wrapText="1"/>
    </xf>
    <xf numFmtId="167" fontId="8" fillId="0" borderId="128" xfId="0" applyFont="1" applyBorder="1" applyAlignment="1">
      <alignment horizontal="center" vertical="center" wrapText="1"/>
    </xf>
    <xf numFmtId="9" fontId="8" fillId="9" borderId="2" xfId="19" applyFont="1" applyFill="1" applyBorder="1" applyAlignment="1">
      <alignment horizontal="center" vertical="center" wrapText="1"/>
    </xf>
    <xf numFmtId="9" fontId="7" fillId="0" borderId="0" xfId="19" applyFont="1" applyAlignment="1">
      <alignment horizontal="center" vertical="center" wrapText="1"/>
    </xf>
    <xf numFmtId="9" fontId="8" fillId="9" borderId="19" xfId="19" applyFont="1" applyFill="1" applyBorder="1" applyAlignment="1">
      <alignment horizontal="center" vertical="center" wrapText="1"/>
    </xf>
    <xf numFmtId="183" fontId="13" fillId="0" borderId="39" xfId="0" applyNumberFormat="1" applyFont="1" applyBorder="1" applyAlignment="1">
      <alignment horizontal="center" vertical="center" wrapText="1"/>
    </xf>
    <xf numFmtId="185" fontId="14" fillId="10" borderId="163" xfId="0" applyNumberFormat="1" applyFont="1" applyFill="1" applyBorder="1" applyAlignment="1">
      <alignment horizontal="center" vertical="center" wrapText="1"/>
    </xf>
    <xf numFmtId="185" fontId="14" fillId="9" borderId="93" xfId="0" applyNumberFormat="1" applyFont="1" applyFill="1" applyBorder="1" applyAlignment="1">
      <alignment horizontal="center" vertical="center" wrapText="1"/>
    </xf>
    <xf numFmtId="185" fontId="13" fillId="0" borderId="165" xfId="0" applyNumberFormat="1" applyFont="1" applyBorder="1" applyAlignment="1">
      <alignment horizontal="center" vertical="center" wrapText="1"/>
    </xf>
    <xf numFmtId="185" fontId="13" fillId="0" borderId="93" xfId="0" applyNumberFormat="1" applyFont="1" applyBorder="1" applyAlignment="1">
      <alignment horizontal="center" vertical="center" wrapText="1"/>
    </xf>
    <xf numFmtId="185" fontId="13" fillId="0" borderId="164" xfId="0" applyNumberFormat="1" applyFont="1" applyBorder="1" applyAlignment="1">
      <alignment horizontal="center" vertical="center" wrapText="1"/>
    </xf>
    <xf numFmtId="185" fontId="13" fillId="0" borderId="0" xfId="0" applyNumberFormat="1" applyFont="1" applyAlignment="1">
      <alignment horizontal="center" vertical="center" wrapText="1"/>
    </xf>
    <xf numFmtId="10" fontId="13" fillId="11" borderId="0" xfId="19" applyNumberFormat="1" applyFont="1" applyFill="1" applyAlignment="1">
      <alignment vertical="center"/>
    </xf>
    <xf numFmtId="165" fontId="13" fillId="11" borderId="0" xfId="0" applyNumberFormat="1" applyFont="1" applyFill="1" applyAlignment="1">
      <alignment vertical="center"/>
    </xf>
    <xf numFmtId="0" fontId="96" fillId="0" borderId="0" xfId="11593" applyFont="1" applyAlignment="1">
      <alignment horizontal="centerContinuous" vertical="center"/>
    </xf>
    <xf numFmtId="0" fontId="7" fillId="0" borderId="0" xfId="0" applyNumberFormat="1" applyFont="1" applyAlignment="1">
      <alignment horizontal="left" vertical="top" wrapText="1"/>
    </xf>
    <xf numFmtId="185" fontId="7" fillId="0" borderId="0" xfId="0" applyNumberFormat="1" applyFont="1" applyAlignment="1">
      <alignment vertical="top"/>
    </xf>
    <xf numFmtId="10" fontId="7" fillId="0" borderId="0" xfId="19" applyNumberFormat="1" applyFont="1" applyAlignment="1">
      <alignment vertical="top"/>
    </xf>
    <xf numFmtId="194" fontId="13" fillId="43" borderId="0" xfId="21" applyNumberFormat="1" applyFont="1" applyFill="1" applyAlignment="1">
      <alignment horizontal="center" vertical="center"/>
    </xf>
    <xf numFmtId="10" fontId="13" fillId="48" borderId="0" xfId="21" applyNumberFormat="1" applyFont="1" applyFill="1" applyAlignment="1">
      <alignment horizontal="center" vertical="center"/>
    </xf>
    <xf numFmtId="0" fontId="13" fillId="49" borderId="0" xfId="21" applyNumberFormat="1" applyFont="1" applyFill="1" applyAlignment="1">
      <alignment horizontal="center" vertical="center"/>
    </xf>
    <xf numFmtId="185" fontId="14" fillId="10" borderId="26" xfId="0" applyNumberFormat="1" applyFont="1" applyFill="1" applyBorder="1" applyAlignment="1">
      <alignment horizontal="center" vertical="center" wrapText="1"/>
    </xf>
    <xf numFmtId="165" fontId="13" fillId="34" borderId="262" xfId="0" applyNumberFormat="1" applyFont="1" applyFill="1" applyBorder="1" applyAlignment="1">
      <alignment horizontal="center" vertical="center" wrapText="1"/>
    </xf>
    <xf numFmtId="167" fontId="9" fillId="0" borderId="0" xfId="0" applyFont="1" applyAlignment="1">
      <alignment horizontal="center" vertical="top"/>
    </xf>
    <xf numFmtId="167" fontId="9" fillId="0" borderId="264" xfId="0" applyFont="1" applyBorder="1"/>
    <xf numFmtId="165" fontId="13" fillId="8" borderId="0" xfId="21" applyFont="1" applyFill="1" applyAlignment="1">
      <alignment horizontal="left" vertical="center"/>
    </xf>
    <xf numFmtId="0" fontId="13" fillId="8" borderId="0" xfId="0" applyNumberFormat="1" applyFont="1" applyFill="1" applyAlignment="1">
      <alignment horizontal="center" vertical="center" wrapText="1"/>
    </xf>
    <xf numFmtId="0" fontId="7" fillId="8" borderId="0" xfId="0" applyNumberFormat="1" applyFont="1" applyFill="1" applyAlignment="1">
      <alignment horizontal="center" vertical="center"/>
    </xf>
    <xf numFmtId="0" fontId="99" fillId="8" borderId="0" xfId="0" applyNumberFormat="1" applyFont="1" applyFill="1" applyAlignment="1">
      <alignment horizontal="center" vertical="center"/>
    </xf>
    <xf numFmtId="0" fontId="28" fillId="8" borderId="0" xfId="0" applyNumberFormat="1" applyFont="1" applyFill="1" applyAlignment="1">
      <alignment horizontal="left" vertical="center"/>
    </xf>
    <xf numFmtId="185" fontId="7" fillId="9" borderId="165" xfId="0" applyNumberFormat="1" applyFont="1" applyFill="1" applyBorder="1" applyAlignment="1">
      <alignment horizontal="center" vertical="center" wrapText="1"/>
    </xf>
    <xf numFmtId="185" fontId="7" fillId="9" borderId="93" xfId="0" applyNumberFormat="1" applyFont="1" applyFill="1" applyBorder="1" applyAlignment="1">
      <alignment horizontal="center" vertical="center" wrapText="1"/>
    </xf>
    <xf numFmtId="9" fontId="67" fillId="0" borderId="2" xfId="19" applyFont="1" applyBorder="1" applyAlignment="1">
      <alignment horizontal="center" vertical="center" wrapText="1"/>
    </xf>
    <xf numFmtId="165" fontId="8" fillId="0" borderId="0" xfId="0" applyNumberFormat="1" applyFont="1" applyAlignment="1">
      <alignment horizontal="right" vertical="center"/>
    </xf>
    <xf numFmtId="4" fontId="28" fillId="0" borderId="0" xfId="0" applyNumberFormat="1" applyFont="1" applyAlignment="1">
      <alignment vertical="center"/>
    </xf>
    <xf numFmtId="10" fontId="28" fillId="0" borderId="0" xfId="19" applyNumberFormat="1" applyFont="1" applyAlignment="1">
      <alignment horizontal="left" vertical="center"/>
    </xf>
    <xf numFmtId="0" fontId="101" fillId="0" borderId="0" xfId="0" applyNumberFormat="1" applyFont="1" applyAlignment="1">
      <alignment horizontal="left" vertical="center"/>
    </xf>
    <xf numFmtId="169" fontId="7" fillId="0" borderId="0" xfId="0" applyNumberFormat="1" applyFont="1" applyAlignment="1">
      <alignment horizontal="center" vertical="center" wrapText="1"/>
    </xf>
    <xf numFmtId="169" fontId="0" fillId="0" borderId="0" xfId="0" applyNumberFormat="1"/>
    <xf numFmtId="167" fontId="14" fillId="0" borderId="20" xfId="0" applyFont="1" applyBorder="1" applyAlignment="1">
      <alignment horizontal="center" vertical="center" wrapText="1"/>
    </xf>
    <xf numFmtId="167" fontId="14" fillId="0" borderId="128" xfId="0" applyFont="1" applyBorder="1" applyAlignment="1">
      <alignment horizontal="center" vertical="center" wrapText="1"/>
    </xf>
    <xf numFmtId="167" fontId="14" fillId="0" borderId="247" xfId="0" applyFont="1" applyBorder="1" applyAlignment="1">
      <alignment horizontal="center" vertical="center" wrapText="1"/>
    </xf>
    <xf numFmtId="167" fontId="26" fillId="0" borderId="0" xfId="0" applyFont="1" applyAlignment="1">
      <alignment horizontal="center" vertical="center"/>
    </xf>
    <xf numFmtId="167" fontId="14" fillId="0" borderId="90" xfId="0" applyFont="1" applyBorder="1" applyAlignment="1">
      <alignment horizontal="center" vertical="center" wrapText="1"/>
    </xf>
    <xf numFmtId="167" fontId="14" fillId="0" borderId="241" xfId="0" applyFont="1" applyBorder="1" applyAlignment="1">
      <alignment horizontal="center" vertical="center" wrapText="1"/>
    </xf>
    <xf numFmtId="167" fontId="14" fillId="0" borderId="243" xfId="0" applyFont="1" applyBorder="1" applyAlignment="1">
      <alignment horizontal="center" vertical="center" wrapText="1"/>
    </xf>
    <xf numFmtId="185" fontId="14" fillId="0" borderId="128" xfId="0" applyNumberFormat="1" applyFont="1" applyBorder="1" applyAlignment="1">
      <alignment horizontal="center" vertical="center" wrapText="1"/>
    </xf>
    <xf numFmtId="39" fontId="14" fillId="0" borderId="20" xfId="0" applyNumberFormat="1" applyFont="1" applyBorder="1" applyAlignment="1">
      <alignment horizontal="center" vertical="center" wrapText="1"/>
    </xf>
    <xf numFmtId="37" fontId="14" fillId="0" borderId="242" xfId="0" applyNumberFormat="1" applyFont="1" applyBorder="1" applyAlignment="1">
      <alignment horizontal="center" vertical="center" wrapText="1"/>
    </xf>
    <xf numFmtId="37" fontId="14" fillId="0" borderId="20" xfId="0" applyNumberFormat="1" applyFont="1" applyBorder="1" applyAlignment="1">
      <alignment horizontal="center" vertical="center" wrapText="1"/>
    </xf>
    <xf numFmtId="167" fontId="8" fillId="0" borderId="181" xfId="0" applyFont="1" applyBorder="1" applyAlignment="1">
      <alignment horizontal="center" vertical="center" wrapText="1"/>
    </xf>
    <xf numFmtId="167" fontId="14" fillId="0" borderId="199" xfId="0" applyFont="1" applyBorder="1" applyAlignment="1">
      <alignment horizontal="centerContinuous" vertical="center" wrapText="1"/>
    </xf>
    <xf numFmtId="167" fontId="14" fillId="0" borderId="196" xfId="0" applyFont="1" applyBorder="1" applyAlignment="1">
      <alignment horizontal="centerContinuous" vertical="center" wrapText="1"/>
    </xf>
    <xf numFmtId="167" fontId="14" fillId="0" borderId="20" xfId="0" applyFont="1" applyBorder="1" applyAlignment="1">
      <alignment horizontal="centerContinuous" vertical="center" wrapText="1"/>
    </xf>
    <xf numFmtId="167" fontId="14" fillId="0" borderId="128" xfId="0" applyFont="1" applyBorder="1" applyAlignment="1">
      <alignment horizontal="centerContinuous" vertical="center" wrapText="1"/>
    </xf>
    <xf numFmtId="167" fontId="14" fillId="0" borderId="197" xfId="0" applyFont="1" applyBorder="1" applyAlignment="1">
      <alignment horizontal="center" vertical="center" wrapText="1"/>
    </xf>
    <xf numFmtId="39" fontId="14" fillId="0" borderId="247" xfId="0" applyNumberFormat="1" applyFont="1" applyBorder="1" applyAlignment="1">
      <alignment horizontal="center" vertical="center" wrapText="1"/>
    </xf>
    <xf numFmtId="185" fontId="14" fillId="0" borderId="20" xfId="0" applyNumberFormat="1" applyFont="1" applyBorder="1" applyAlignment="1">
      <alignment horizontal="centerContinuous" vertical="center" wrapText="1"/>
    </xf>
    <xf numFmtId="185" fontId="14" fillId="0" borderId="242" xfId="0" applyNumberFormat="1" applyFont="1" applyBorder="1" applyAlignment="1">
      <alignment horizontal="centerContinuous" vertical="center" wrapText="1"/>
    </xf>
    <xf numFmtId="185" fontId="14" fillId="0" borderId="90" xfId="0" applyNumberFormat="1" applyFont="1" applyBorder="1" applyAlignment="1">
      <alignment horizontal="centerContinuous" vertical="center" wrapText="1"/>
    </xf>
    <xf numFmtId="185" fontId="14" fillId="0" borderId="247" xfId="0" applyNumberFormat="1" applyFont="1" applyBorder="1" applyAlignment="1">
      <alignment horizontal="centerContinuous" vertical="center" wrapText="1"/>
    </xf>
    <xf numFmtId="39" fontId="8" fillId="0" borderId="127" xfId="0" applyNumberFormat="1" applyFont="1" applyBorder="1" applyAlignment="1">
      <alignment horizontal="center" vertical="center" wrapText="1"/>
    </xf>
    <xf numFmtId="39" fontId="14" fillId="0" borderId="264" xfId="0" applyNumberFormat="1" applyFont="1" applyBorder="1" applyAlignment="1">
      <alignment horizontal="center" vertical="center" wrapText="1"/>
    </xf>
    <xf numFmtId="39" fontId="14" fillId="0" borderId="90" xfId="0" applyNumberFormat="1" applyFont="1" applyBorder="1" applyAlignment="1">
      <alignment horizontal="center" vertical="center" wrapText="1"/>
    </xf>
    <xf numFmtId="39" fontId="14" fillId="0" borderId="128" xfId="0" applyNumberFormat="1" applyFont="1" applyBorder="1" applyAlignment="1">
      <alignment horizontal="center" vertical="center" wrapText="1"/>
    </xf>
    <xf numFmtId="39" fontId="14" fillId="0" borderId="197" xfId="0" applyNumberFormat="1" applyFont="1" applyBorder="1" applyAlignment="1">
      <alignment horizontal="center" vertical="center" wrapText="1"/>
    </xf>
    <xf numFmtId="39" fontId="14" fillId="0" borderId="242" xfId="0" applyNumberFormat="1" applyFont="1" applyBorder="1" applyAlignment="1">
      <alignment horizontal="center" vertical="center" wrapText="1"/>
    </xf>
    <xf numFmtId="39" fontId="7" fillId="11" borderId="2" xfId="0" applyNumberFormat="1" applyFont="1" applyFill="1" applyBorder="1" applyAlignment="1">
      <alignment horizontal="center" vertical="center" wrapText="1"/>
    </xf>
    <xf numFmtId="167" fontId="8" fillId="11" borderId="105" xfId="0" applyFont="1" applyFill="1" applyBorder="1" applyAlignment="1">
      <alignment horizontal="center" vertical="center" wrapText="1"/>
    </xf>
    <xf numFmtId="39" fontId="7" fillId="11" borderId="19" xfId="0" applyNumberFormat="1" applyFont="1" applyFill="1" applyBorder="1" applyAlignment="1">
      <alignment horizontal="center" vertical="center" wrapText="1"/>
    </xf>
    <xf numFmtId="167" fontId="8" fillId="11" borderId="19" xfId="0" applyFont="1" applyFill="1" applyBorder="1" applyAlignment="1">
      <alignment horizontal="center" vertical="center" wrapText="1"/>
    </xf>
    <xf numFmtId="167" fontId="102" fillId="9" borderId="157" xfId="0" applyFont="1" applyFill="1" applyBorder="1" applyAlignment="1">
      <alignment horizontal="center" vertical="center" wrapText="1"/>
    </xf>
    <xf numFmtId="167" fontId="102" fillId="9" borderId="24" xfId="0" applyFont="1" applyFill="1" applyBorder="1" applyAlignment="1">
      <alignment horizontal="center" vertical="center" wrapText="1"/>
    </xf>
    <xf numFmtId="167" fontId="102" fillId="9" borderId="130" xfId="0" applyFont="1" applyFill="1" applyBorder="1" applyAlignment="1">
      <alignment horizontal="center" vertical="center" wrapText="1"/>
    </xf>
    <xf numFmtId="167" fontId="102" fillId="9" borderId="266" xfId="0" applyFont="1" applyFill="1" applyBorder="1" applyAlignment="1">
      <alignment horizontal="center" vertical="center" wrapText="1"/>
    </xf>
    <xf numFmtId="37" fontId="13" fillId="8" borderId="0" xfId="0" applyNumberFormat="1" applyFont="1" applyFill="1" applyAlignment="1">
      <alignment horizontal="center" vertical="center" wrapText="1"/>
    </xf>
    <xf numFmtId="39" fontId="7" fillId="8" borderId="0" xfId="0" applyNumberFormat="1" applyFont="1" applyFill="1" applyAlignment="1">
      <alignment horizontal="center" vertical="center" wrapText="1"/>
    </xf>
    <xf numFmtId="39" fontId="7" fillId="11" borderId="0" xfId="0" applyNumberFormat="1" applyFont="1" applyFill="1" applyAlignment="1">
      <alignment horizontal="center" vertical="center" wrapText="1"/>
    </xf>
    <xf numFmtId="40" fontId="8" fillId="0" borderId="267" xfId="21" applyNumberFormat="1" applyFont="1" applyBorder="1" applyAlignment="1">
      <alignment vertical="center"/>
    </xf>
    <xf numFmtId="167" fontId="10" fillId="10" borderId="183" xfId="41057" applyNumberFormat="1" applyFont="1" applyFill="1" applyBorder="1" applyAlignment="1" applyProtection="1">
      <alignment horizontal="center" vertical="center" wrapText="1"/>
    </xf>
    <xf numFmtId="167" fontId="14" fillId="0" borderId="109" xfId="0" applyFont="1" applyBorder="1" applyAlignment="1">
      <alignment horizontal="center" vertical="center" wrapText="1"/>
    </xf>
    <xf numFmtId="167" fontId="14" fillId="0" borderId="207" xfId="0" applyFont="1" applyBorder="1" applyAlignment="1">
      <alignment horizontal="center" vertical="center" wrapText="1"/>
    </xf>
    <xf numFmtId="167" fontId="14" fillId="10" borderId="252" xfId="41057" applyNumberFormat="1" applyFont="1" applyFill="1" applyBorder="1" applyAlignment="1" applyProtection="1">
      <alignment horizontal="center" vertical="center" wrapText="1"/>
    </xf>
    <xf numFmtId="199" fontId="8" fillId="11" borderId="0" xfId="22756" applyNumberFormat="1" applyFont="1" applyFill="1" applyAlignment="1">
      <alignment horizontal="center" vertical="center"/>
    </xf>
    <xf numFmtId="167" fontId="14" fillId="0" borderId="149" xfId="0" applyFont="1" applyBorder="1" applyAlignment="1">
      <alignment horizontal="center" vertical="center" wrapText="1"/>
    </xf>
    <xf numFmtId="167" fontId="14" fillId="0" borderId="150" xfId="0" applyFont="1" applyBorder="1" applyAlignment="1">
      <alignment horizontal="center" vertical="center" wrapText="1"/>
    </xf>
    <xf numFmtId="186" fontId="102" fillId="9" borderId="24" xfId="0" applyNumberFormat="1" applyFont="1" applyFill="1" applyBorder="1" applyAlignment="1">
      <alignment horizontal="center" vertical="center" wrapText="1"/>
    </xf>
    <xf numFmtId="183" fontId="7" fillId="0" borderId="0" xfId="0" applyNumberFormat="1" applyFont="1" applyAlignment="1">
      <alignment horizontal="center" vertical="center" wrapText="1"/>
    </xf>
    <xf numFmtId="183" fontId="14" fillId="0" borderId="128" xfId="0" applyNumberFormat="1" applyFont="1" applyBorder="1" applyAlignment="1">
      <alignment horizontal="center" vertical="center" wrapText="1"/>
    </xf>
    <xf numFmtId="183" fontId="8" fillId="0" borderId="3" xfId="0" applyNumberFormat="1" applyFont="1" applyBorder="1" applyAlignment="1">
      <alignment horizontal="center" vertical="center" wrapText="1"/>
    </xf>
    <xf numFmtId="183" fontId="7" fillId="9" borderId="157" xfId="0" applyNumberFormat="1" applyFont="1" applyFill="1" applyBorder="1" applyAlignment="1">
      <alignment horizontal="center" vertical="center" wrapText="1"/>
    </xf>
    <xf numFmtId="183" fontId="14" fillId="0" borderId="247" xfId="0" applyNumberFormat="1" applyFont="1" applyBorder="1" applyAlignment="1">
      <alignment horizontal="center" vertical="center" wrapText="1"/>
    </xf>
    <xf numFmtId="183" fontId="7" fillId="9" borderId="24" xfId="0" applyNumberFormat="1" applyFont="1" applyFill="1" applyBorder="1" applyAlignment="1">
      <alignment horizontal="center" vertical="center" wrapText="1"/>
    </xf>
    <xf numFmtId="183" fontId="7" fillId="0" borderId="19" xfId="0" applyNumberFormat="1" applyFont="1" applyBorder="1" applyAlignment="1">
      <alignment horizontal="center" vertical="center" wrapText="1"/>
    </xf>
    <xf numFmtId="183" fontId="13" fillId="0" borderId="114" xfId="0" applyNumberFormat="1" applyFont="1" applyBorder="1" applyAlignment="1">
      <alignment horizontal="center" vertical="center" wrapText="1"/>
    </xf>
    <xf numFmtId="183" fontId="14" fillId="0" borderId="197" xfId="0" applyNumberFormat="1" applyFont="1" applyBorder="1" applyAlignment="1">
      <alignment horizontal="center" vertical="center" wrapText="1"/>
    </xf>
    <xf numFmtId="183" fontId="14" fillId="0" borderId="242" xfId="0" applyNumberFormat="1" applyFont="1" applyBorder="1" applyAlignment="1">
      <alignment horizontal="center" vertical="center" wrapText="1"/>
    </xf>
    <xf numFmtId="183" fontId="7" fillId="0" borderId="3" xfId="0" applyNumberFormat="1" applyFont="1" applyBorder="1" applyAlignment="1">
      <alignment horizontal="center" vertical="center" wrapText="1"/>
    </xf>
    <xf numFmtId="183" fontId="8" fillId="9" borderId="24" xfId="0" applyNumberFormat="1" applyFont="1" applyFill="1" applyBorder="1" applyAlignment="1">
      <alignment horizontal="center" vertical="center" wrapText="1"/>
    </xf>
    <xf numFmtId="183" fontId="7" fillId="0" borderId="258" xfId="0" applyNumberFormat="1" applyFont="1" applyBorder="1" applyAlignment="1">
      <alignment horizontal="center" vertical="center" wrapText="1"/>
    </xf>
    <xf numFmtId="39" fontId="7" fillId="0" borderId="261" xfId="0" applyNumberFormat="1" applyFont="1" applyBorder="1" applyAlignment="1">
      <alignment horizontal="center" vertical="center" wrapText="1"/>
    </xf>
    <xf numFmtId="167" fontId="13" fillId="10" borderId="258" xfId="41054" applyFont="1" applyFill="1" applyBorder="1" applyAlignment="1" applyProtection="1">
      <alignment horizontal="center" vertical="center" wrapText="1"/>
      <protection locked="0"/>
    </xf>
    <xf numFmtId="167" fontId="13" fillId="10" borderId="173" xfId="41054" applyFont="1" applyFill="1" applyBorder="1" applyAlignment="1" applyProtection="1">
      <alignment horizontal="center" vertical="center" wrapText="1"/>
      <protection locked="0"/>
    </xf>
    <xf numFmtId="167" fontId="13" fillId="10" borderId="249" xfId="41054" applyFont="1" applyFill="1" applyBorder="1" applyAlignment="1" applyProtection="1">
      <alignment horizontal="center" vertical="center" wrapText="1"/>
      <protection locked="0"/>
    </xf>
    <xf numFmtId="186" fontId="13" fillId="0" borderId="81" xfId="41054" applyNumberFormat="1" applyFont="1" applyBorder="1" applyAlignment="1">
      <alignment horizontal="center" vertical="center"/>
    </xf>
    <xf numFmtId="186" fontId="13" fillId="0" borderId="2" xfId="41054" applyNumberFormat="1" applyFont="1" applyBorder="1" applyAlignment="1">
      <alignment horizontal="center" vertical="center"/>
    </xf>
    <xf numFmtId="187" fontId="7" fillId="38" borderId="81" xfId="41054" applyNumberFormat="1" applyFont="1" applyFill="1" applyBorder="1" applyAlignment="1">
      <alignment horizontal="center" vertical="center" wrapText="1"/>
    </xf>
    <xf numFmtId="187" fontId="7" fillId="38" borderId="2" xfId="41054" applyNumberFormat="1" applyFont="1" applyFill="1" applyBorder="1" applyAlignment="1">
      <alignment horizontal="center" vertical="center" wrapText="1"/>
    </xf>
    <xf numFmtId="187" fontId="7" fillId="38" borderId="241" xfId="41054" applyNumberFormat="1" applyFont="1" applyFill="1" applyBorder="1" applyAlignment="1">
      <alignment horizontal="center" vertical="center" wrapText="1"/>
    </xf>
    <xf numFmtId="182" fontId="7" fillId="0" borderId="81" xfId="41054" applyNumberFormat="1" applyFont="1" applyBorder="1" applyAlignment="1">
      <alignment horizontal="center" vertical="center"/>
    </xf>
    <xf numFmtId="182" fontId="7" fillId="0" borderId="2" xfId="41054" applyNumberFormat="1" applyFont="1" applyBorder="1" applyAlignment="1">
      <alignment horizontal="center" vertical="center"/>
    </xf>
    <xf numFmtId="182" fontId="7" fillId="0" borderId="241" xfId="41054" applyNumberFormat="1" applyFont="1" applyBorder="1" applyAlignment="1">
      <alignment horizontal="center" vertical="center"/>
    </xf>
    <xf numFmtId="182" fontId="7" fillId="38" borderId="81" xfId="41054" applyNumberFormat="1" applyFont="1" applyFill="1" applyBorder="1" applyAlignment="1">
      <alignment horizontal="center" vertical="center"/>
    </xf>
    <xf numFmtId="182" fontId="7" fillId="38" borderId="2" xfId="41054" applyNumberFormat="1" applyFont="1" applyFill="1" applyBorder="1" applyAlignment="1">
      <alignment horizontal="center" vertical="center"/>
    </xf>
    <xf numFmtId="182" fontId="7" fillId="38" borderId="241" xfId="41054" applyNumberFormat="1" applyFont="1" applyFill="1" applyBorder="1" applyAlignment="1">
      <alignment horizontal="center" vertical="center"/>
    </xf>
    <xf numFmtId="186" fontId="7" fillId="38" borderId="81" xfId="41054" applyNumberFormat="1" applyFont="1" applyFill="1" applyBorder="1" applyAlignment="1">
      <alignment horizontal="center" vertical="center"/>
    </xf>
    <xf numFmtId="186" fontId="7" fillId="38" borderId="2" xfId="41054" applyNumberFormat="1" applyFont="1" applyFill="1" applyBorder="1" applyAlignment="1">
      <alignment horizontal="center" vertical="center"/>
    </xf>
    <xf numFmtId="186" fontId="7" fillId="38" borderId="241" xfId="41054" applyNumberFormat="1" applyFont="1" applyFill="1" applyBorder="1" applyAlignment="1">
      <alignment horizontal="center" vertical="center"/>
    </xf>
    <xf numFmtId="189" fontId="7" fillId="38" borderId="81" xfId="41054" applyNumberFormat="1" applyFont="1" applyFill="1" applyBorder="1" applyAlignment="1">
      <alignment horizontal="center" vertical="center"/>
    </xf>
    <xf numFmtId="189" fontId="7" fillId="38" borderId="2" xfId="41054" applyNumberFormat="1" applyFont="1" applyFill="1" applyBorder="1" applyAlignment="1">
      <alignment horizontal="center" vertical="center"/>
    </xf>
    <xf numFmtId="189" fontId="7" fillId="38" borderId="241" xfId="41054" applyNumberFormat="1" applyFont="1" applyFill="1" applyBorder="1" applyAlignment="1">
      <alignment horizontal="center" vertical="center"/>
    </xf>
    <xf numFmtId="37" fontId="7" fillId="0" borderId="81" xfId="41054" applyNumberFormat="1" applyFont="1" applyBorder="1" applyAlignment="1">
      <alignment horizontal="center" vertical="center"/>
    </xf>
    <xf numFmtId="37" fontId="7" fillId="0" borderId="2" xfId="41054" applyNumberFormat="1" applyFont="1" applyBorder="1" applyAlignment="1">
      <alignment horizontal="center" vertical="center"/>
    </xf>
    <xf numFmtId="37" fontId="7" fillId="0" borderId="241" xfId="41054" applyNumberFormat="1" applyFont="1" applyBorder="1" applyAlignment="1">
      <alignment horizontal="center" vertical="center"/>
    </xf>
    <xf numFmtId="37" fontId="7" fillId="38" borderId="81" xfId="41054" applyNumberFormat="1" applyFont="1" applyFill="1" applyBorder="1" applyAlignment="1">
      <alignment horizontal="center" vertical="center"/>
    </xf>
    <xf numFmtId="37" fontId="7" fillId="38" borderId="2" xfId="41054" applyNumberFormat="1" applyFont="1" applyFill="1" applyBorder="1" applyAlignment="1">
      <alignment horizontal="center" vertical="center"/>
    </xf>
    <xf numFmtId="37" fontId="7" fillId="38" borderId="241" xfId="41054" applyNumberFormat="1" applyFont="1" applyFill="1" applyBorder="1" applyAlignment="1">
      <alignment horizontal="center" vertical="center"/>
    </xf>
    <xf numFmtId="37" fontId="13" fillId="0" borderId="81" xfId="41054" applyNumberFormat="1" applyFont="1" applyBorder="1" applyAlignment="1">
      <alignment horizontal="center" vertical="center"/>
    </xf>
    <xf numFmtId="37" fontId="13" fillId="0" borderId="2" xfId="41054" applyNumberFormat="1" applyFont="1" applyBorder="1" applyAlignment="1">
      <alignment horizontal="center" vertical="center"/>
    </xf>
    <xf numFmtId="37" fontId="13" fillId="0" borderId="241" xfId="41054" applyNumberFormat="1" applyFont="1" applyBorder="1" applyAlignment="1">
      <alignment horizontal="center" vertical="center"/>
    </xf>
    <xf numFmtId="186" fontId="7" fillId="38" borderId="182" xfId="41054" applyNumberFormat="1" applyFont="1" applyFill="1" applyBorder="1" applyAlignment="1">
      <alignment horizontal="center" vertical="center"/>
    </xf>
    <xf numFmtId="186" fontId="7" fillId="38" borderId="19" xfId="41054" applyNumberFormat="1" applyFont="1" applyFill="1" applyBorder="1" applyAlignment="1">
      <alignment horizontal="center" vertical="center"/>
    </xf>
    <xf numFmtId="186" fontId="7" fillId="38" borderId="247" xfId="41054" applyNumberFormat="1" applyFont="1" applyFill="1" applyBorder="1" applyAlignment="1">
      <alignment horizontal="center" vertical="center"/>
    </xf>
    <xf numFmtId="186" fontId="7" fillId="38" borderId="81" xfId="41054" applyNumberFormat="1" applyFont="1" applyFill="1" applyBorder="1" applyAlignment="1" applyProtection="1">
      <alignment horizontal="center" vertical="center"/>
      <protection locked="0"/>
    </xf>
    <xf numFmtId="186" fontId="7" fillId="38" borderId="2" xfId="41054" applyNumberFormat="1" applyFont="1" applyFill="1" applyBorder="1" applyAlignment="1" applyProtection="1">
      <alignment horizontal="center" vertical="center"/>
      <protection locked="0"/>
    </xf>
    <xf numFmtId="186" fontId="7" fillId="38" borderId="241" xfId="41054" applyNumberFormat="1" applyFont="1" applyFill="1" applyBorder="1" applyAlignment="1" applyProtection="1">
      <alignment horizontal="center" vertical="center"/>
      <protection locked="0"/>
    </xf>
    <xf numFmtId="182" fontId="7" fillId="0" borderId="14" xfId="41054" applyNumberFormat="1" applyFont="1" applyBorder="1" applyAlignment="1">
      <alignment horizontal="center" vertical="center"/>
    </xf>
    <xf numFmtId="182" fontId="7" fillId="0" borderId="16" xfId="41054" applyNumberFormat="1" applyFont="1" applyBorder="1" applyAlignment="1">
      <alignment horizontal="center" vertical="center"/>
    </xf>
    <xf numFmtId="182" fontId="7" fillId="0" borderId="242" xfId="41054" applyNumberFormat="1" applyFont="1" applyBorder="1" applyAlignment="1">
      <alignment horizontal="center" vertical="center"/>
    </xf>
    <xf numFmtId="167" fontId="61" fillId="0" borderId="0" xfId="41054" applyFont="1" applyAlignment="1">
      <alignment horizontal="center" vertical="center" wrapText="1"/>
    </xf>
    <xf numFmtId="186" fontId="7" fillId="0" borderId="89" xfId="41054" applyNumberFormat="1" applyFont="1" applyBorder="1" applyAlignment="1" applyProtection="1">
      <alignment horizontal="center" vertical="center"/>
      <protection locked="0"/>
    </xf>
    <xf numFmtId="186" fontId="7" fillId="0" borderId="89" xfId="41054" applyNumberFormat="1" applyFont="1" applyBorder="1" applyAlignment="1" applyProtection="1">
      <alignment horizontal="center" vertical="center" wrapText="1"/>
      <protection locked="0"/>
    </xf>
    <xf numFmtId="186" fontId="61" fillId="0" borderId="0" xfId="41054" applyNumberFormat="1" applyFont="1" applyAlignment="1" applyProtection="1">
      <alignment horizontal="center" vertical="center"/>
      <protection locked="0"/>
    </xf>
    <xf numFmtId="187" fontId="61" fillId="0" borderId="0" xfId="41054" applyNumberFormat="1" applyFont="1" applyAlignment="1">
      <alignment horizontal="center" vertical="center"/>
    </xf>
    <xf numFmtId="39" fontId="7" fillId="38" borderId="182" xfId="41054" applyNumberFormat="1" applyFont="1" applyFill="1" applyBorder="1" applyAlignment="1">
      <alignment horizontal="center" vertical="center"/>
    </xf>
    <xf numFmtId="39" fontId="7" fillId="38" borderId="19" xfId="41054" applyNumberFormat="1" applyFont="1" applyFill="1" applyBorder="1" applyAlignment="1">
      <alignment horizontal="center" vertical="center"/>
    </xf>
    <xf numFmtId="39" fontId="7" fillId="38" borderId="247" xfId="41054" applyNumberFormat="1" applyFont="1" applyFill="1" applyBorder="1" applyAlignment="1">
      <alignment horizontal="center" vertical="center"/>
    </xf>
    <xf numFmtId="182" fontId="7" fillId="38" borderId="182" xfId="41054" applyNumberFormat="1" applyFont="1" applyFill="1" applyBorder="1" applyAlignment="1">
      <alignment horizontal="center" vertical="center"/>
    </xf>
    <xf numFmtId="182" fontId="7" fillId="38" borderId="19" xfId="41054" applyNumberFormat="1" applyFont="1" applyFill="1" applyBorder="1" applyAlignment="1">
      <alignment horizontal="center" vertical="center"/>
    </xf>
    <xf numFmtId="182" fontId="7" fillId="38" borderId="247" xfId="41054" applyNumberFormat="1" applyFont="1" applyFill="1" applyBorder="1" applyAlignment="1">
      <alignment horizontal="center" vertical="center"/>
    </xf>
    <xf numFmtId="39" fontId="9" fillId="38" borderId="182" xfId="41054" applyNumberFormat="1" applyFont="1" applyFill="1" applyBorder="1" applyAlignment="1">
      <alignment horizontal="center" vertical="center"/>
    </xf>
    <xf numFmtId="39" fontId="9" fillId="38" borderId="19" xfId="41054" applyNumberFormat="1" applyFont="1" applyFill="1" applyBorder="1" applyAlignment="1">
      <alignment horizontal="center" vertical="center"/>
    </xf>
    <xf numFmtId="39" fontId="9" fillId="38" borderId="247" xfId="41054" applyNumberFormat="1" applyFont="1" applyFill="1" applyBorder="1" applyAlignment="1">
      <alignment horizontal="center" vertical="center"/>
    </xf>
    <xf numFmtId="186" fontId="7" fillId="38" borderId="177" xfId="41054" applyNumberFormat="1" applyFont="1" applyFill="1" applyBorder="1" applyAlignment="1">
      <alignment horizontal="center" vertical="center"/>
    </xf>
    <xf numFmtId="186" fontId="7" fillId="38" borderId="105" xfId="41054" applyNumberFormat="1" applyFont="1" applyFill="1" applyBorder="1" applyAlignment="1">
      <alignment horizontal="center" vertical="center"/>
    </xf>
    <xf numFmtId="186" fontId="7" fillId="0" borderId="0" xfId="41054" applyNumberFormat="1" applyFont="1" applyAlignment="1" applyProtection="1">
      <alignment horizontal="center" vertical="center"/>
      <protection locked="0"/>
    </xf>
    <xf numFmtId="186" fontId="7" fillId="38" borderId="197" xfId="41054" applyNumberFormat="1" applyFont="1" applyFill="1" applyBorder="1" applyAlignment="1">
      <alignment horizontal="center" vertical="center"/>
    </xf>
    <xf numFmtId="182" fontId="7" fillId="0" borderId="0" xfId="41054" applyNumberFormat="1" applyFont="1" applyAlignment="1">
      <alignment horizontal="left" vertical="center"/>
    </xf>
    <xf numFmtId="37" fontId="14" fillId="10" borderId="146" xfId="0" applyNumberFormat="1" applyFont="1" applyFill="1" applyBorder="1" applyAlignment="1">
      <alignment horizontal="center" vertical="center" wrapText="1"/>
    </xf>
    <xf numFmtId="37" fontId="14" fillId="0" borderId="128" xfId="0" applyNumberFormat="1" applyFont="1" applyBorder="1" applyAlignment="1">
      <alignment horizontal="center" vertical="center" wrapText="1"/>
    </xf>
    <xf numFmtId="40" fontId="8" fillId="0" borderId="62" xfId="21" applyNumberFormat="1" applyFont="1" applyBorder="1" applyAlignment="1">
      <alignment vertical="top"/>
    </xf>
    <xf numFmtId="185" fontId="14" fillId="0" borderId="247" xfId="0" applyNumberFormat="1" applyFont="1" applyBorder="1" applyAlignment="1">
      <alignment horizontal="center" vertical="center" wrapText="1"/>
    </xf>
    <xf numFmtId="185" fontId="7" fillId="9" borderId="164" xfId="0" applyNumberFormat="1" applyFont="1" applyFill="1" applyBorder="1" applyAlignment="1">
      <alignment horizontal="center" vertical="center" wrapText="1"/>
    </xf>
    <xf numFmtId="0" fontId="13" fillId="34" borderId="262" xfId="0" applyNumberFormat="1" applyFont="1" applyFill="1" applyBorder="1" applyAlignment="1">
      <alignment horizontal="center" vertical="center" wrapText="1"/>
    </xf>
    <xf numFmtId="0" fontId="13" fillId="34" borderId="262" xfId="0" applyNumberFormat="1" applyFont="1" applyFill="1" applyBorder="1" applyAlignment="1">
      <alignment horizontal="center" vertical="center"/>
    </xf>
    <xf numFmtId="39" fontId="7" fillId="9" borderId="0" xfId="0" applyNumberFormat="1" applyFont="1" applyFill="1" applyAlignment="1">
      <alignment horizontal="center" vertical="center" wrapText="1"/>
    </xf>
    <xf numFmtId="167" fontId="14" fillId="0" borderId="247" xfId="0" applyFont="1" applyBorder="1" applyAlignment="1">
      <alignment horizontal="centerContinuous" vertical="center" wrapText="1"/>
    </xf>
    <xf numFmtId="167" fontId="14" fillId="0" borderId="90" xfId="0" applyFont="1" applyBorder="1" applyAlignment="1">
      <alignment horizontal="centerContinuous" vertical="center" wrapText="1"/>
    </xf>
    <xf numFmtId="185" fontId="7" fillId="0" borderId="0" xfId="0" applyNumberFormat="1" applyFont="1" applyAlignment="1">
      <alignment horizontal="left" vertical="center"/>
    </xf>
    <xf numFmtId="185" fontId="7" fillId="9" borderId="130" xfId="0" applyNumberFormat="1" applyFont="1" applyFill="1" applyBorder="1" applyAlignment="1">
      <alignment horizontal="center" vertical="center" wrapText="1"/>
    </xf>
    <xf numFmtId="186" fontId="7" fillId="8" borderId="13" xfId="0" applyNumberFormat="1" applyFont="1" applyFill="1" applyBorder="1" applyAlignment="1">
      <alignment horizontal="center" vertical="center" wrapText="1"/>
    </xf>
    <xf numFmtId="186" fontId="7" fillId="8" borderId="16" xfId="0" applyNumberFormat="1" applyFont="1" applyFill="1" applyBorder="1" applyAlignment="1">
      <alignment horizontal="center" vertical="center" wrapText="1"/>
    </xf>
    <xf numFmtId="167" fontId="109" fillId="10" borderId="27" xfId="0" applyFont="1" applyFill="1" applyBorder="1" applyAlignment="1">
      <alignment horizontal="center" vertical="center" wrapText="1"/>
    </xf>
    <xf numFmtId="167" fontId="110" fillId="0" borderId="0" xfId="0" applyFont="1" applyAlignment="1">
      <alignment horizontal="center" vertical="center" wrapText="1"/>
    </xf>
    <xf numFmtId="167" fontId="109" fillId="0" borderId="0" xfId="0" applyFont="1" applyAlignment="1">
      <alignment horizontal="center" vertical="center" wrapText="1"/>
    </xf>
    <xf numFmtId="185" fontId="112" fillId="0" borderId="0" xfId="0" applyNumberFormat="1" applyFont="1" applyAlignment="1">
      <alignment horizontal="center" vertical="center" wrapText="1"/>
    </xf>
    <xf numFmtId="185" fontId="109" fillId="9" borderId="157" xfId="0" applyNumberFormat="1" applyFont="1" applyFill="1" applyBorder="1" applyAlignment="1">
      <alignment horizontal="center" vertical="center" wrapText="1"/>
    </xf>
    <xf numFmtId="167" fontId="112" fillId="0" borderId="0" xfId="0" applyFont="1" applyAlignment="1">
      <alignment horizontal="center" vertical="center" wrapText="1"/>
    </xf>
    <xf numFmtId="167" fontId="112" fillId="9" borderId="24" xfId="0" applyFont="1" applyFill="1" applyBorder="1" applyAlignment="1">
      <alignment horizontal="center" vertical="center" wrapText="1"/>
    </xf>
    <xf numFmtId="167" fontId="112" fillId="0" borderId="0" xfId="0" applyFont="1" applyAlignment="1">
      <alignment horizontal="center" vertical="center"/>
    </xf>
    <xf numFmtId="167" fontId="111" fillId="0" borderId="0" xfId="0" applyFont="1" applyAlignment="1">
      <alignment horizontal="center" vertical="center"/>
    </xf>
    <xf numFmtId="167" fontId="111" fillId="0" borderId="0" xfId="0" applyFont="1" applyAlignment="1">
      <alignment horizontal="center" vertical="center" wrapText="1"/>
    </xf>
    <xf numFmtId="0" fontId="13" fillId="34" borderId="268" xfId="0" applyNumberFormat="1" applyFont="1" applyFill="1" applyBorder="1" applyAlignment="1">
      <alignment horizontal="center" vertical="center" wrapText="1"/>
    </xf>
    <xf numFmtId="0" fontId="99" fillId="34" borderId="262" xfId="0" applyNumberFormat="1" applyFont="1" applyFill="1" applyBorder="1" applyAlignment="1">
      <alignment horizontal="center" vertical="center"/>
    </xf>
    <xf numFmtId="165" fontId="14" fillId="8" borderId="0" xfId="0" applyNumberFormat="1" applyFont="1" applyFill="1" applyAlignment="1">
      <alignment horizontal="center" vertical="center"/>
    </xf>
    <xf numFmtId="185" fontId="7" fillId="0" borderId="0" xfId="0" applyNumberFormat="1" applyFont="1" applyAlignment="1">
      <alignment horizontal="center" vertical="top"/>
    </xf>
    <xf numFmtId="0" fontId="13" fillId="0" borderId="0" xfId="21" applyNumberFormat="1" applyFont="1" applyAlignment="1">
      <alignment horizontal="center" vertical="center"/>
    </xf>
    <xf numFmtId="185" fontId="7" fillId="8" borderId="3" xfId="0" applyNumberFormat="1" applyFont="1" applyFill="1" applyBorder="1" applyAlignment="1">
      <alignment horizontal="center" vertical="center" wrapText="1"/>
    </xf>
    <xf numFmtId="167" fontId="7" fillId="0" borderId="261" xfId="0" applyFont="1" applyBorder="1" applyAlignment="1">
      <alignment horizontal="center" vertical="center" wrapText="1"/>
    </xf>
    <xf numFmtId="0" fontId="8" fillId="0" borderId="0" xfId="0" applyNumberFormat="1" applyFont="1" applyAlignment="1">
      <alignment horizontal="center" vertical="center"/>
    </xf>
    <xf numFmtId="0" fontId="8" fillId="0" borderId="0" xfId="0" applyNumberFormat="1" applyFont="1" applyAlignment="1">
      <alignment horizontal="left" vertical="top"/>
    </xf>
    <xf numFmtId="0" fontId="67" fillId="41" borderId="0" xfId="0" applyNumberFormat="1" applyFont="1" applyFill="1" applyAlignment="1">
      <alignment horizontal="center" vertical="top"/>
    </xf>
    <xf numFmtId="184" fontId="8" fillId="0" borderId="19" xfId="22756" applyNumberFormat="1" applyFont="1" applyBorder="1" applyAlignment="1">
      <alignment horizontal="center" vertical="center"/>
    </xf>
    <xf numFmtId="0" fontId="7" fillId="0" borderId="0" xfId="0" applyNumberFormat="1" applyFont="1" applyAlignment="1">
      <alignment horizontal="left" vertical="center" wrapText="1"/>
    </xf>
    <xf numFmtId="0" fontId="13" fillId="36" borderId="0" xfId="0" applyNumberFormat="1" applyFont="1" applyFill="1" applyAlignment="1">
      <alignment horizontal="center" vertical="center"/>
    </xf>
    <xf numFmtId="0" fontId="13" fillId="36" borderId="0" xfId="0" applyNumberFormat="1" applyFont="1" applyFill="1" applyAlignment="1">
      <alignment horizontal="right" vertical="center"/>
    </xf>
    <xf numFmtId="165" fontId="13" fillId="36" borderId="0" xfId="21" applyFont="1" applyFill="1" applyAlignment="1">
      <alignment vertical="center"/>
    </xf>
    <xf numFmtId="165" fontId="13" fillId="36" borderId="0" xfId="0" applyNumberFormat="1" applyFont="1" applyFill="1" applyAlignment="1">
      <alignment vertical="center"/>
    </xf>
    <xf numFmtId="10" fontId="13" fillId="36" borderId="0" xfId="19" applyNumberFormat="1" applyFont="1" applyFill="1" applyAlignment="1">
      <alignment vertical="center"/>
    </xf>
    <xf numFmtId="0" fontId="13" fillId="36" borderId="0" xfId="0" applyNumberFormat="1" applyFont="1" applyFill="1" applyAlignment="1">
      <alignment vertical="center"/>
    </xf>
    <xf numFmtId="165" fontId="7" fillId="0" borderId="0" xfId="0" applyNumberFormat="1" applyFont="1" applyAlignment="1">
      <alignment horizontal="center" vertical="center"/>
    </xf>
    <xf numFmtId="165" fontId="13" fillId="34" borderId="0" xfId="0" applyNumberFormat="1" applyFont="1" applyFill="1" applyAlignment="1">
      <alignment horizontal="center" vertical="center"/>
    </xf>
    <xf numFmtId="165" fontId="7" fillId="0" borderId="0" xfId="21" applyFont="1" applyAlignment="1">
      <alignment horizontal="center" vertical="center"/>
    </xf>
    <xf numFmtId="165" fontId="13" fillId="34" borderId="0" xfId="21" applyFont="1" applyFill="1" applyAlignment="1">
      <alignment horizontal="center" vertical="center"/>
    </xf>
    <xf numFmtId="165" fontId="13" fillId="36" borderId="0" xfId="21" applyFont="1" applyFill="1" applyAlignment="1">
      <alignment horizontal="center" vertical="center"/>
    </xf>
    <xf numFmtId="167" fontId="8" fillId="47" borderId="0" xfId="11464" applyNumberFormat="1" applyFont="1" applyFill="1" applyAlignment="1">
      <alignment horizontal="center" vertical="center"/>
    </xf>
    <xf numFmtId="201" fontId="8" fillId="0" borderId="86" xfId="22756" applyNumberFormat="1" applyFont="1" applyBorder="1" applyAlignment="1">
      <alignment horizontal="center" vertical="center" wrapText="1"/>
    </xf>
    <xf numFmtId="201" fontId="8" fillId="0" borderId="0" xfId="19" applyNumberFormat="1" applyFont="1" applyAlignment="1">
      <alignment horizontal="center" vertical="center"/>
    </xf>
    <xf numFmtId="186" fontId="8" fillId="47" borderId="0" xfId="11464" applyNumberFormat="1" applyFont="1" applyFill="1" applyAlignment="1">
      <alignment horizontal="center" vertical="center"/>
    </xf>
    <xf numFmtId="167" fontId="8" fillId="47" borderId="0" xfId="11464" applyNumberFormat="1" applyFont="1" applyFill="1" applyAlignment="1">
      <alignment vertical="center"/>
    </xf>
    <xf numFmtId="202" fontId="8" fillId="9" borderId="0" xfId="11464" applyNumberFormat="1" applyFont="1" applyFill="1" applyAlignment="1">
      <alignment vertical="center"/>
    </xf>
    <xf numFmtId="193" fontId="13" fillId="8" borderId="0" xfId="21" applyNumberFormat="1" applyFont="1" applyFill="1" applyAlignment="1">
      <alignment vertical="center" wrapText="1"/>
    </xf>
    <xf numFmtId="37" fontId="22" fillId="0" borderId="0" xfId="23422" applyNumberFormat="1" applyFont="1" applyAlignment="1">
      <alignment horizontal="left" vertical="top"/>
    </xf>
    <xf numFmtId="0" fontId="13" fillId="0" borderId="0" xfId="14471" applyFont="1" applyAlignment="1">
      <alignment vertical="center"/>
    </xf>
    <xf numFmtId="0" fontId="7" fillId="0" borderId="0" xfId="14471" applyFont="1" applyAlignment="1">
      <alignment vertical="center"/>
    </xf>
    <xf numFmtId="0" fontId="7" fillId="0" borderId="0" xfId="14471" applyFont="1"/>
    <xf numFmtId="40" fontId="14" fillId="32" borderId="0" xfId="23422" applyFont="1" applyFill="1" applyAlignment="1">
      <alignment horizontal="center" vertical="center"/>
    </xf>
    <xf numFmtId="0" fontId="13" fillId="0" borderId="0" xfId="14471" applyFont="1" applyAlignment="1">
      <alignment horizontal="right" vertical="center"/>
    </xf>
    <xf numFmtId="40" fontId="8" fillId="32" borderId="0" xfId="23422" applyFont="1" applyFill="1" applyAlignment="1">
      <alignment horizontal="center" vertical="center"/>
    </xf>
    <xf numFmtId="40" fontId="8" fillId="0" borderId="0" xfId="23422" applyFont="1" applyAlignment="1">
      <alignment horizontal="center" vertical="center"/>
    </xf>
    <xf numFmtId="0" fontId="7" fillId="0" borderId="0" xfId="14471" applyFont="1" applyAlignment="1">
      <alignment horizontal="center" vertical="center"/>
    </xf>
    <xf numFmtId="40" fontId="8" fillId="0" borderId="0" xfId="23422" quotePrefix="1" applyFont="1" applyAlignment="1">
      <alignment horizontal="center" vertical="center" wrapText="1"/>
    </xf>
    <xf numFmtId="0" fontId="7" fillId="0" borderId="0" xfId="14471" applyFont="1" applyAlignment="1">
      <alignment horizontal="right" vertical="center"/>
    </xf>
    <xf numFmtId="40" fontId="7" fillId="0" borderId="0" xfId="14471" applyNumberFormat="1" applyFont="1" applyAlignment="1">
      <alignment horizontal="center" vertical="center"/>
    </xf>
    <xf numFmtId="167" fontId="13" fillId="0" borderId="0" xfId="0" applyFont="1"/>
    <xf numFmtId="174" fontId="8" fillId="0" borderId="0" xfId="23422" applyNumberFormat="1" applyFont="1" applyAlignment="1">
      <alignment horizontal="center" vertical="center"/>
    </xf>
    <xf numFmtId="0" fontId="7" fillId="0" borderId="0" xfId="14471" applyFont="1" applyAlignment="1">
      <alignment horizontal="left" vertical="center"/>
    </xf>
    <xf numFmtId="38" fontId="8" fillId="0" borderId="0" xfId="23422" applyNumberFormat="1" applyFont="1" applyAlignment="1">
      <alignment horizontal="left" vertical="center"/>
    </xf>
    <xf numFmtId="181" fontId="8" fillId="0" borderId="0" xfId="23422" applyNumberFormat="1" applyFont="1" applyAlignment="1">
      <alignment horizontal="left" vertical="center"/>
    </xf>
    <xf numFmtId="4" fontId="7" fillId="0" borderId="0" xfId="14471" applyNumberFormat="1" applyFont="1"/>
    <xf numFmtId="40" fontId="60" fillId="0" borderId="0" xfId="23422" applyFont="1" applyAlignment="1">
      <alignment horizontal="centerContinuous" vertical="center" wrapText="1"/>
    </xf>
    <xf numFmtId="38" fontId="8" fillId="0" borderId="0" xfId="23422" quotePrefix="1" applyNumberFormat="1" applyFont="1" applyAlignment="1">
      <alignment horizontal="centerContinuous" vertical="center" wrapText="1"/>
    </xf>
    <xf numFmtId="203" fontId="7" fillId="0" borderId="0" xfId="14471" applyNumberFormat="1" applyFont="1"/>
    <xf numFmtId="0" fontId="7" fillId="0" borderId="0" xfId="14471" quotePrefix="1" applyFont="1" applyAlignment="1">
      <alignment vertical="center"/>
    </xf>
    <xf numFmtId="4" fontId="7" fillId="0" borderId="0" xfId="14471" applyNumberFormat="1" applyFont="1" applyAlignment="1">
      <alignment horizontal="right" vertical="center"/>
    </xf>
    <xf numFmtId="0" fontId="13" fillId="0" borderId="0" xfId="14471" applyFont="1"/>
    <xf numFmtId="0" fontId="13" fillId="0" borderId="0" xfId="0" applyNumberFormat="1" applyFont="1"/>
    <xf numFmtId="0" fontId="7" fillId="0" borderId="0" xfId="0" applyNumberFormat="1" applyFont="1"/>
    <xf numFmtId="2" fontId="7" fillId="0" borderId="0" xfId="14471" applyNumberFormat="1" applyFont="1"/>
    <xf numFmtId="2" fontId="7" fillId="0" borderId="0" xfId="0" applyNumberFormat="1" applyFont="1" applyAlignment="1">
      <alignment horizontal="center"/>
    </xf>
    <xf numFmtId="204" fontId="7" fillId="0" borderId="0" xfId="0" applyNumberFormat="1" applyFont="1" applyAlignment="1">
      <alignment horizontal="center"/>
    </xf>
    <xf numFmtId="1" fontId="7" fillId="0" borderId="0" xfId="0" applyNumberFormat="1" applyFont="1" applyAlignment="1">
      <alignment horizontal="center"/>
    </xf>
    <xf numFmtId="2" fontId="7" fillId="0" borderId="0" xfId="14471" applyNumberFormat="1" applyFont="1" applyAlignment="1">
      <alignment horizontal="center" vertical="center"/>
    </xf>
    <xf numFmtId="4" fontId="7" fillId="0" borderId="0" xfId="0" applyNumberFormat="1" applyFont="1"/>
    <xf numFmtId="205" fontId="85" fillId="0" borderId="0" xfId="22" quotePrefix="1" applyNumberFormat="1" applyFont="1" applyAlignment="1" applyProtection="1">
      <alignment vertical="center"/>
      <protection locked="0"/>
    </xf>
    <xf numFmtId="0" fontId="13" fillId="39" borderId="0" xfId="14471" applyFont="1" applyFill="1" applyAlignment="1">
      <alignment vertical="center"/>
    </xf>
    <xf numFmtId="0" fontId="7" fillId="39" borderId="0" xfId="14471" applyFont="1" applyFill="1" applyAlignment="1">
      <alignment vertical="center"/>
    </xf>
    <xf numFmtId="37" fontId="117" fillId="0" borderId="44" xfId="23422" applyNumberFormat="1" applyFont="1" applyBorder="1" applyAlignment="1">
      <alignment horizontal="center" vertical="center"/>
    </xf>
    <xf numFmtId="0" fontId="117" fillId="0" borderId="0" xfId="23422" applyNumberFormat="1" applyFont="1" applyAlignment="1">
      <alignment horizontal="center" vertical="center"/>
    </xf>
    <xf numFmtId="0" fontId="7" fillId="0" borderId="0" xfId="14471" quotePrefix="1" applyFont="1" applyAlignment="1">
      <alignment horizontal="right" vertical="center"/>
    </xf>
    <xf numFmtId="206" fontId="7" fillId="0" borderId="0" xfId="14471" quotePrefix="1" applyNumberFormat="1" applyFont="1" applyAlignment="1">
      <alignment horizontal="left" vertical="center"/>
    </xf>
    <xf numFmtId="207" fontId="7" fillId="0" borderId="0" xfId="14471" applyNumberFormat="1" applyFont="1" applyAlignment="1">
      <alignment horizontal="left" vertical="center"/>
    </xf>
    <xf numFmtId="0" fontId="7" fillId="0" borderId="0" xfId="0" quotePrefix="1" applyNumberFormat="1" applyFont="1"/>
    <xf numFmtId="2" fontId="7" fillId="0" borderId="59" xfId="14471" applyNumberFormat="1" applyFont="1" applyBorder="1" applyAlignment="1">
      <alignment horizontal="center" vertical="center"/>
    </xf>
    <xf numFmtId="0" fontId="7" fillId="0" borderId="226" xfId="14471" applyFont="1" applyBorder="1" applyAlignment="1">
      <alignment horizontal="center" vertical="center"/>
    </xf>
    <xf numFmtId="2" fontId="7" fillId="0" borderId="226" xfId="14471" applyNumberFormat="1" applyFont="1" applyBorder="1" applyAlignment="1">
      <alignment horizontal="center" vertical="center"/>
    </xf>
    <xf numFmtId="0" fontId="7" fillId="0" borderId="226" xfId="14471" applyFont="1" applyBorder="1" applyAlignment="1">
      <alignment horizontal="center"/>
    </xf>
    <xf numFmtId="4" fontId="7" fillId="0" borderId="226" xfId="14471" applyNumberFormat="1" applyFont="1" applyBorder="1" applyAlignment="1">
      <alignment horizontal="center" vertical="center"/>
    </xf>
    <xf numFmtId="0" fontId="7" fillId="0" borderId="226" xfId="14471" applyFont="1" applyBorder="1" applyAlignment="1">
      <alignment horizontal="center" vertical="center" wrapText="1"/>
    </xf>
    <xf numFmtId="0" fontId="7" fillId="0" borderId="59" xfId="14471" applyFont="1" applyBorder="1" applyAlignment="1">
      <alignment horizontal="center" vertical="center"/>
    </xf>
    <xf numFmtId="0" fontId="7" fillId="0" borderId="59" xfId="14471" applyFont="1" applyBorder="1" applyAlignment="1">
      <alignment horizontal="center"/>
    </xf>
    <xf numFmtId="4" fontId="7" fillId="0" borderId="59" xfId="14471" applyNumberFormat="1" applyFont="1" applyBorder="1" applyAlignment="1">
      <alignment horizontal="center" vertical="center"/>
    </xf>
    <xf numFmtId="0" fontId="7" fillId="39" borderId="268" xfId="14471" applyFont="1" applyFill="1" applyBorder="1" applyAlignment="1">
      <alignment horizontal="center" vertical="center"/>
    </xf>
    <xf numFmtId="0" fontId="7" fillId="39" borderId="262" xfId="14471" applyFont="1" applyFill="1" applyBorder="1" applyAlignment="1">
      <alignment horizontal="center" vertical="center"/>
    </xf>
    <xf numFmtId="0" fontId="7" fillId="39" borderId="263" xfId="14471" applyFont="1" applyFill="1" applyBorder="1" applyAlignment="1">
      <alignment horizontal="center" vertical="center"/>
    </xf>
    <xf numFmtId="40" fontId="8" fillId="0" borderId="270" xfId="23422" applyFont="1" applyBorder="1" applyAlignment="1">
      <alignment horizontal="right" vertical="center"/>
    </xf>
    <xf numFmtId="181" fontId="8" fillId="0" borderId="270" xfId="23422" applyNumberFormat="1" applyFont="1" applyBorder="1" applyAlignment="1">
      <alignment horizontal="left" vertical="center"/>
    </xf>
    <xf numFmtId="38" fontId="8" fillId="0" borderId="270" xfId="23422" applyNumberFormat="1" applyFont="1" applyBorder="1" applyAlignment="1">
      <alignment horizontal="left" vertical="center"/>
    </xf>
    <xf numFmtId="40" fontId="8" fillId="0" borderId="226" xfId="23422" applyFont="1" applyBorder="1" applyAlignment="1">
      <alignment horizontal="right" vertical="center"/>
    </xf>
    <xf numFmtId="181" fontId="8" fillId="0" borderId="226" xfId="23422" applyNumberFormat="1" applyFont="1" applyBorder="1" applyAlignment="1">
      <alignment horizontal="left" vertical="center"/>
    </xf>
    <xf numFmtId="38" fontId="13" fillId="0" borderId="226" xfId="23422" applyNumberFormat="1" applyFont="1" applyBorder="1" applyAlignment="1">
      <alignment horizontal="left" vertical="center"/>
    </xf>
    <xf numFmtId="40" fontId="8" fillId="0" borderId="226" xfId="23422" applyFont="1" applyBorder="1" applyAlignment="1">
      <alignment horizontal="right" vertical="center" wrapText="1"/>
    </xf>
    <xf numFmtId="0" fontId="7" fillId="39" borderId="67" xfId="0" applyNumberFormat="1" applyFont="1" applyFill="1" applyBorder="1" applyAlignment="1">
      <alignment horizontal="centerContinuous" vertical="center"/>
    </xf>
    <xf numFmtId="49" fontId="8" fillId="39" borderId="202" xfId="0" applyNumberFormat="1" applyFont="1" applyFill="1" applyBorder="1" applyAlignment="1">
      <alignment horizontal="center" vertical="center"/>
    </xf>
    <xf numFmtId="49" fontId="8" fillId="39" borderId="8" xfId="0" applyNumberFormat="1" applyFont="1" applyFill="1" applyBorder="1" applyAlignment="1">
      <alignment horizontal="center" vertical="center"/>
    </xf>
    <xf numFmtId="0" fontId="30" fillId="39" borderId="8" xfId="0" applyNumberFormat="1" applyFont="1" applyFill="1" applyBorder="1" applyAlignment="1">
      <alignment horizontal="center" vertical="center" wrapText="1"/>
    </xf>
    <xf numFmtId="49" fontId="8" fillId="39" borderId="203" xfId="0" applyNumberFormat="1" applyFont="1" applyFill="1" applyBorder="1" applyAlignment="1">
      <alignment horizontal="center" vertical="center"/>
    </xf>
    <xf numFmtId="49" fontId="8" fillId="39" borderId="8" xfId="0" applyNumberFormat="1" applyFont="1" applyFill="1" applyBorder="1" applyAlignment="1">
      <alignment horizontal="center" vertical="center" wrapText="1"/>
    </xf>
    <xf numFmtId="2" fontId="7" fillId="0" borderId="226" xfId="0" applyNumberFormat="1" applyFont="1" applyBorder="1" applyAlignment="1">
      <alignment horizontal="center"/>
    </xf>
    <xf numFmtId="204" fontId="7" fillId="0" borderId="226" xfId="0" applyNumberFormat="1" applyFont="1" applyBorder="1" applyAlignment="1">
      <alignment horizontal="center"/>
    </xf>
    <xf numFmtId="1" fontId="7" fillId="0" borderId="226" xfId="0" applyNumberFormat="1" applyFont="1" applyBorder="1" applyAlignment="1">
      <alignment horizontal="center"/>
    </xf>
    <xf numFmtId="49" fontId="8" fillId="39" borderId="203" xfId="0" applyNumberFormat="1" applyFont="1" applyFill="1" applyBorder="1" applyAlignment="1">
      <alignment horizontal="center" vertical="center" wrapText="1"/>
    </xf>
    <xf numFmtId="0" fontId="7" fillId="0" borderId="0" xfId="14471" quotePrefix="1" applyFont="1" applyAlignment="1">
      <alignment horizontal="center" vertical="center"/>
    </xf>
    <xf numFmtId="167" fontId="119" fillId="0" borderId="0" xfId="0" applyFont="1" applyAlignment="1">
      <alignment horizontal="right" vertical="center"/>
    </xf>
    <xf numFmtId="49" fontId="8" fillId="39" borderId="202" xfId="0" applyNumberFormat="1" applyFont="1" applyFill="1" applyBorder="1" applyAlignment="1">
      <alignment horizontal="center" vertical="center" wrapText="1"/>
    </xf>
    <xf numFmtId="2" fontId="7" fillId="0" borderId="59" xfId="0" applyNumberFormat="1" applyFont="1" applyBorder="1" applyAlignment="1">
      <alignment horizontal="center" vertical="center"/>
    </xf>
    <xf numFmtId="0" fontId="7" fillId="39" borderId="200" xfId="0" applyNumberFormat="1" applyFont="1" applyFill="1" applyBorder="1" applyAlignment="1">
      <alignment horizontal="centerContinuous" vertical="center"/>
    </xf>
    <xf numFmtId="186" fontId="7" fillId="0" borderId="59" xfId="0" applyNumberFormat="1" applyFont="1" applyBorder="1" applyAlignment="1">
      <alignment horizontal="center" vertical="center"/>
    </xf>
    <xf numFmtId="167" fontId="30" fillId="39" borderId="8" xfId="0" applyFont="1" applyFill="1" applyBorder="1" applyAlignment="1">
      <alignment horizontal="center" vertical="center" wrapText="1"/>
    </xf>
    <xf numFmtId="167" fontId="119" fillId="0" borderId="0" xfId="0" applyFont="1" applyAlignment="1">
      <alignment horizontal="left" vertical="center"/>
    </xf>
    <xf numFmtId="37" fontId="13" fillId="0" borderId="0" xfId="23422" applyNumberFormat="1" applyFont="1" applyAlignment="1">
      <alignment horizontal="left" vertical="center"/>
    </xf>
    <xf numFmtId="164" fontId="28" fillId="44" borderId="0" xfId="41059" applyFont="1" applyFill="1" applyAlignment="1">
      <alignment horizontal="center" vertical="center"/>
    </xf>
    <xf numFmtId="39" fontId="7" fillId="50" borderId="2" xfId="0" applyNumberFormat="1" applyFont="1" applyFill="1" applyBorder="1" applyAlignment="1">
      <alignment horizontal="center" vertical="center" wrapText="1"/>
    </xf>
    <xf numFmtId="39" fontId="7" fillId="50" borderId="19" xfId="0" applyNumberFormat="1" applyFont="1" applyFill="1" applyBorder="1" applyAlignment="1">
      <alignment horizontal="center" vertical="center" wrapText="1"/>
    </xf>
    <xf numFmtId="186" fontId="120" fillId="9" borderId="130" xfId="0" applyNumberFormat="1" applyFont="1" applyFill="1" applyBorder="1" applyAlignment="1">
      <alignment horizontal="center" vertical="center" wrapText="1"/>
    </xf>
    <xf numFmtId="186" fontId="120" fillId="9" borderId="24" xfId="0" applyNumberFormat="1" applyFont="1" applyFill="1" applyBorder="1" applyAlignment="1">
      <alignment horizontal="center" vertical="center" wrapText="1"/>
    </xf>
    <xf numFmtId="167" fontId="14" fillId="0" borderId="149" xfId="0" applyFont="1" applyBorder="1" applyAlignment="1">
      <alignment horizontal="centerContinuous" vertical="center" wrapText="1"/>
    </xf>
    <xf numFmtId="186" fontId="7" fillId="0" borderId="2" xfId="0" applyNumberFormat="1" applyFont="1" applyBorder="1" applyAlignment="1">
      <alignment horizontal="center" vertical="center" wrapText="1"/>
    </xf>
    <xf numFmtId="186" fontId="7" fillId="9" borderId="157" xfId="0" applyNumberFormat="1" applyFont="1" applyFill="1" applyBorder="1" applyAlignment="1">
      <alignment horizontal="center" vertical="center" wrapText="1"/>
    </xf>
    <xf numFmtId="167" fontId="8" fillId="0" borderId="4" xfId="0" applyFont="1" applyBorder="1" applyAlignment="1">
      <alignment horizontal="left" vertical="top" wrapText="1"/>
    </xf>
    <xf numFmtId="167" fontId="8" fillId="0" borderId="0" xfId="0" applyFont="1" applyAlignment="1">
      <alignment horizontal="left" vertical="top" wrapText="1"/>
    </xf>
    <xf numFmtId="40" fontId="7" fillId="0" borderId="2" xfId="21" applyNumberFormat="1" applyFont="1" applyBorder="1" applyAlignment="1">
      <alignment horizontal="center" vertical="top"/>
    </xf>
    <xf numFmtId="40" fontId="8" fillId="0" borderId="2" xfId="21" applyNumberFormat="1" applyFont="1" applyBorder="1" applyAlignment="1">
      <alignment horizontal="center" vertical="top"/>
    </xf>
    <xf numFmtId="40" fontId="8" fillId="0" borderId="2" xfId="21" applyNumberFormat="1" applyFont="1" applyBorder="1" applyAlignment="1">
      <alignment horizontal="center" vertical="top" wrapText="1"/>
    </xf>
    <xf numFmtId="185" fontId="14" fillId="0" borderId="20" xfId="0" applyNumberFormat="1" applyFont="1" applyBorder="1" applyAlignment="1">
      <alignment horizontal="center" vertical="center" wrapText="1"/>
    </xf>
    <xf numFmtId="185" fontId="14" fillId="0" borderId="128" xfId="0" applyNumberFormat="1" applyFont="1" applyBorder="1" applyAlignment="1">
      <alignment horizontal="centerContinuous" vertical="center" wrapText="1"/>
    </xf>
    <xf numFmtId="185" fontId="14" fillId="0" borderId="242" xfId="0" applyNumberFormat="1" applyFont="1" applyBorder="1" applyAlignment="1">
      <alignment horizontal="center" vertical="center" wrapText="1"/>
    </xf>
    <xf numFmtId="185" fontId="14" fillId="0" borderId="90" xfId="0" applyNumberFormat="1" applyFont="1" applyBorder="1" applyAlignment="1">
      <alignment horizontal="center" vertical="center" wrapText="1"/>
    </xf>
    <xf numFmtId="0" fontId="122" fillId="0" borderId="0" xfId="0" applyNumberFormat="1" applyFont="1" applyAlignment="1">
      <alignment horizontal="left" vertical="center"/>
    </xf>
    <xf numFmtId="0" fontId="123" fillId="0" borderId="0" xfId="0" applyNumberFormat="1" applyFont="1" applyAlignment="1">
      <alignment horizontal="left" vertical="center"/>
    </xf>
    <xf numFmtId="0" fontId="124" fillId="0" borderId="0" xfId="0" applyNumberFormat="1" applyFont="1" applyAlignment="1">
      <alignment vertical="top"/>
    </xf>
    <xf numFmtId="0" fontId="126" fillId="0" borderId="0" xfId="0" applyNumberFormat="1" applyFont="1" applyAlignment="1">
      <alignment horizontal="center" vertical="top"/>
    </xf>
    <xf numFmtId="0" fontId="124" fillId="0" borderId="0" xfId="0" applyNumberFormat="1" applyFont="1" applyAlignment="1">
      <alignment horizontal="center" vertical="top"/>
    </xf>
    <xf numFmtId="0" fontId="124" fillId="0" borderId="0" xfId="0" applyNumberFormat="1" applyFont="1" applyAlignment="1">
      <alignment horizontal="center" vertical="center"/>
    </xf>
    <xf numFmtId="0" fontId="128" fillId="0" borderId="0" xfId="0" applyNumberFormat="1" applyFont="1" applyAlignment="1">
      <alignment horizontal="left" vertical="center"/>
    </xf>
    <xf numFmtId="0" fontId="129" fillId="0" borderId="0" xfId="0" applyNumberFormat="1" applyFont="1" applyAlignment="1">
      <alignment horizontal="center" vertical="top"/>
    </xf>
    <xf numFmtId="0" fontId="128" fillId="0" borderId="0" xfId="0" applyNumberFormat="1" applyFont="1" applyAlignment="1">
      <alignment vertical="top"/>
    </xf>
    <xf numFmtId="0" fontId="131" fillId="0" borderId="0" xfId="0" applyNumberFormat="1" applyFont="1" applyAlignment="1">
      <alignment vertical="top"/>
    </xf>
    <xf numFmtId="165" fontId="131" fillId="0" borderId="0" xfId="21" applyFont="1" applyAlignment="1">
      <alignment vertical="top"/>
    </xf>
    <xf numFmtId="0" fontId="132" fillId="0" borderId="0" xfId="0" applyNumberFormat="1" applyFont="1" applyAlignment="1">
      <alignment horizontal="left" vertical="center"/>
    </xf>
    <xf numFmtId="0" fontId="132" fillId="0" borderId="0" xfId="0" applyNumberFormat="1" applyFont="1" applyAlignment="1">
      <alignment horizontal="left" vertical="top"/>
    </xf>
    <xf numFmtId="0" fontId="132" fillId="0" borderId="0" xfId="29073" applyFont="1" applyAlignment="1">
      <alignment horizontal="left" vertical="top"/>
    </xf>
    <xf numFmtId="0" fontId="132" fillId="0" borderId="0" xfId="0" applyNumberFormat="1" applyFont="1" applyAlignment="1">
      <alignment vertical="top"/>
    </xf>
    <xf numFmtId="0" fontId="123" fillId="0" borderId="0" xfId="0" applyNumberFormat="1" applyFont="1" applyAlignment="1">
      <alignment horizontal="centerContinuous" vertical="center"/>
    </xf>
    <xf numFmtId="165" fontId="124" fillId="0" borderId="0" xfId="21" applyFont="1" applyAlignment="1">
      <alignment horizontal="centerContinuous" vertical="center"/>
    </xf>
    <xf numFmtId="0" fontId="132" fillId="34" borderId="268" xfId="0" applyNumberFormat="1" applyFont="1" applyFill="1" applyBorder="1" applyAlignment="1">
      <alignment horizontal="center" vertical="center"/>
    </xf>
    <xf numFmtId="0" fontId="132" fillId="34" borderId="262" xfId="0" applyNumberFormat="1" applyFont="1" applyFill="1" applyBorder="1" applyAlignment="1">
      <alignment horizontal="center" vertical="center" wrapText="1"/>
    </xf>
    <xf numFmtId="0" fontId="132" fillId="34" borderId="262" xfId="0" applyNumberFormat="1" applyFont="1" applyFill="1" applyBorder="1" applyAlignment="1">
      <alignment horizontal="center" vertical="center"/>
    </xf>
    <xf numFmtId="165" fontId="132" fillId="34" borderId="262" xfId="0" applyNumberFormat="1" applyFont="1" applyFill="1" applyBorder="1" applyAlignment="1">
      <alignment horizontal="center" vertical="center" wrapText="1"/>
    </xf>
    <xf numFmtId="0" fontId="132" fillId="34" borderId="263" xfId="0" applyNumberFormat="1" applyFont="1" applyFill="1" applyBorder="1" applyAlignment="1">
      <alignment horizontal="center" vertical="center"/>
    </xf>
    <xf numFmtId="0" fontId="124" fillId="0" borderId="0" xfId="0" applyNumberFormat="1" applyFont="1" applyAlignment="1">
      <alignment vertical="center"/>
    </xf>
    <xf numFmtId="0" fontId="124" fillId="0" borderId="2" xfId="17" applyFont="1" applyBorder="1" applyAlignment="1">
      <alignment horizontal="center" vertical="top" wrapText="1"/>
    </xf>
    <xf numFmtId="0" fontId="124" fillId="0" borderId="2" xfId="17" applyFont="1" applyBorder="1" applyAlignment="1">
      <alignment horizontal="left" vertical="top" wrapText="1"/>
    </xf>
    <xf numFmtId="0" fontId="127" fillId="0" borderId="2" xfId="17" applyFont="1" applyBorder="1" applyAlignment="1">
      <alignment horizontal="center" vertical="top" wrapText="1"/>
    </xf>
    <xf numFmtId="165" fontId="124" fillId="0" borderId="2" xfId="21" applyFont="1" applyBorder="1" applyAlignment="1">
      <alignment horizontal="right" vertical="top" wrapText="1"/>
    </xf>
    <xf numFmtId="165" fontId="124" fillId="0" borderId="2" xfId="23420" applyFont="1" applyBorder="1" applyAlignment="1">
      <alignment horizontal="center" vertical="top" wrapText="1"/>
    </xf>
    <xf numFmtId="165" fontId="124" fillId="0" borderId="2" xfId="21" applyFont="1" applyBorder="1" applyAlignment="1">
      <alignment vertical="top" wrapText="1"/>
    </xf>
    <xf numFmtId="0" fontId="124" fillId="0" borderId="2" xfId="17" quotePrefix="1" applyFont="1" applyBorder="1" applyAlignment="1">
      <alignment horizontal="center" vertical="top" wrapText="1"/>
    </xf>
    <xf numFmtId="0" fontId="124" fillId="0" borderId="2" xfId="18" applyFont="1" applyBorder="1" applyAlignment="1">
      <alignment horizontal="center" vertical="top" wrapText="1"/>
    </xf>
    <xf numFmtId="165" fontId="124" fillId="0" borderId="0" xfId="0" applyNumberFormat="1" applyFont="1" applyAlignment="1">
      <alignment vertical="center"/>
    </xf>
    <xf numFmtId="167" fontId="124" fillId="0" borderId="0" xfId="0" applyFont="1" applyAlignment="1">
      <alignment vertical="center"/>
    </xf>
    <xf numFmtId="167" fontId="124" fillId="0" borderId="0" xfId="0" applyFont="1" applyAlignment="1">
      <alignment vertical="top"/>
    </xf>
    <xf numFmtId="167" fontId="134" fillId="0" borderId="0" xfId="0" applyFont="1" applyAlignment="1">
      <alignment vertical="top"/>
    </xf>
    <xf numFmtId="0" fontId="132" fillId="0" borderId="0" xfId="17" applyFont="1" applyAlignment="1">
      <alignment vertical="center" wrapText="1"/>
    </xf>
    <xf numFmtId="165" fontId="134" fillId="0" borderId="0" xfId="21" applyFont="1" applyAlignment="1">
      <alignment vertical="top"/>
    </xf>
    <xf numFmtId="0" fontId="135" fillId="46" borderId="232" xfId="0" applyNumberFormat="1" applyFont="1" applyFill="1" applyBorder="1" applyAlignment="1">
      <alignment horizontal="center" vertical="center" wrapText="1"/>
    </xf>
    <xf numFmtId="167" fontId="132" fillId="46" borderId="232" xfId="0" applyFont="1" applyFill="1" applyBorder="1" applyAlignment="1">
      <alignment horizontal="center" vertical="center"/>
    </xf>
    <xf numFmtId="196" fontId="124" fillId="0" borderId="0" xfId="0" applyNumberFormat="1" applyFont="1" applyAlignment="1">
      <alignment horizontal="center" vertical="center"/>
    </xf>
    <xf numFmtId="198" fontId="124" fillId="0" borderId="0" xfId="0" applyNumberFormat="1" applyFont="1" applyAlignment="1">
      <alignment horizontal="center" vertical="center"/>
    </xf>
    <xf numFmtId="197" fontId="124" fillId="0" borderId="0" xfId="0" applyNumberFormat="1" applyFont="1" applyAlignment="1">
      <alignment horizontal="center" vertical="center"/>
    </xf>
    <xf numFmtId="167" fontId="134" fillId="0" borderId="0" xfId="0" applyFont="1" applyAlignment="1">
      <alignment vertical="center"/>
    </xf>
    <xf numFmtId="0" fontId="59" fillId="0" borderId="0" xfId="0" applyNumberFormat="1" applyFont="1" applyAlignment="1">
      <alignment horizontal="left" vertical="center"/>
    </xf>
    <xf numFmtId="0" fontId="7" fillId="0" borderId="3" xfId="41062" applyNumberFormat="1" applyBorder="1" applyAlignment="1">
      <alignment horizontal="center" vertical="top" wrapText="1"/>
    </xf>
    <xf numFmtId="167" fontId="28" fillId="0" borderId="0" xfId="0" applyFont="1" applyAlignment="1">
      <alignment vertical="center"/>
    </xf>
    <xf numFmtId="167" fontId="7" fillId="0" borderId="201" xfId="0" applyFont="1" applyBorder="1" applyAlignment="1">
      <alignment horizontal="center" vertical="center"/>
    </xf>
    <xf numFmtId="0" fontId="8" fillId="0" borderId="2" xfId="41058" applyFont="1" applyBorder="1" applyAlignment="1">
      <alignment horizontal="center" vertical="center"/>
    </xf>
    <xf numFmtId="182" fontId="13" fillId="0" borderId="0" xfId="41054" applyNumberFormat="1" applyFont="1" applyAlignment="1">
      <alignment horizontal="left" vertical="center"/>
    </xf>
    <xf numFmtId="167" fontId="0" fillId="0" borderId="0" xfId="0"/>
    <xf numFmtId="167" fontId="7" fillId="0" borderId="0" xfId="41054" applyFont="1" applyAlignment="1" applyProtection="1">
      <alignment horizontal="left" vertical="center"/>
      <protection locked="0"/>
    </xf>
    <xf numFmtId="182" fontId="7" fillId="0" borderId="0" xfId="41054" applyNumberFormat="1" applyFont="1" applyAlignment="1" applyProtection="1">
      <alignment horizontal="left" vertical="center"/>
      <protection locked="0"/>
    </xf>
    <xf numFmtId="187" fontId="8" fillId="0" borderId="0" xfId="0" applyNumberFormat="1" applyFont="1" applyAlignment="1">
      <alignment horizontal="center" vertical="center" wrapText="1"/>
    </xf>
    <xf numFmtId="167" fontId="7" fillId="0" borderId="0" xfId="41054" applyFont="1" applyAlignment="1" applyProtection="1">
      <alignment horizontal="left"/>
      <protection locked="0"/>
    </xf>
    <xf numFmtId="0" fontId="7" fillId="0" borderId="3" xfId="18" applyBorder="1" applyAlignment="1">
      <alignment horizontal="center" vertical="top" wrapText="1"/>
    </xf>
    <xf numFmtId="0" fontId="13" fillId="0" borderId="0" xfId="0" applyNumberFormat="1" applyFont="1" applyAlignment="1">
      <alignment horizontal="right" vertical="center"/>
    </xf>
    <xf numFmtId="167" fontId="13" fillId="46" borderId="232" xfId="0" applyFont="1" applyFill="1" applyBorder="1" applyAlignment="1">
      <alignment horizontal="center" vertical="center"/>
    </xf>
    <xf numFmtId="165" fontId="7" fillId="0" borderId="0" xfId="0" applyNumberFormat="1" applyFont="1" applyAlignment="1">
      <alignment vertical="center"/>
    </xf>
    <xf numFmtId="39" fontId="8" fillId="0" borderId="105" xfId="41064" applyNumberFormat="1" applyFont="1" applyBorder="1" applyAlignment="1">
      <alignment horizontal="center" vertical="center"/>
    </xf>
    <xf numFmtId="39" fontId="14" fillId="51" borderId="105" xfId="41064" applyNumberFormat="1" applyFont="1" applyFill="1" applyBorder="1" applyAlignment="1">
      <alignment horizontal="center" vertical="center"/>
    </xf>
    <xf numFmtId="39" fontId="69" fillId="0" borderId="79" xfId="41064" applyNumberFormat="1" applyFont="1" applyBorder="1" applyAlignment="1">
      <alignment horizontal="center" vertical="center"/>
    </xf>
    <xf numFmtId="185" fontId="9" fillId="0" borderId="0" xfId="0" applyNumberFormat="1" applyFont="1" applyAlignment="1">
      <alignment vertical="top"/>
    </xf>
    <xf numFmtId="0" fontId="84" fillId="0" borderId="0" xfId="0" applyNumberFormat="1" applyFont="1" applyAlignment="1">
      <alignment vertical="top"/>
    </xf>
    <xf numFmtId="167" fontId="138" fillId="0" borderId="0" xfId="0" applyFont="1" applyAlignment="1">
      <alignment vertical="center"/>
    </xf>
    <xf numFmtId="0" fontId="13" fillId="0" borderId="0" xfId="29073" applyFont="1" applyAlignment="1">
      <alignment vertical="center"/>
    </xf>
    <xf numFmtId="9" fontId="7" fillId="8" borderId="3" xfId="19" applyFont="1" applyFill="1" applyBorder="1" applyAlignment="1">
      <alignment horizontal="center" vertical="center" wrapText="1"/>
    </xf>
    <xf numFmtId="165" fontId="7" fillId="0" borderId="2" xfId="23420" applyFont="1" applyBorder="1" applyAlignment="1">
      <alignment horizontal="center" vertical="top" wrapText="1"/>
    </xf>
    <xf numFmtId="0" fontId="7" fillId="0" borderId="2" xfId="18" applyBorder="1" applyAlignment="1">
      <alignment horizontal="center" vertical="top" wrapText="1"/>
    </xf>
    <xf numFmtId="9" fontId="8" fillId="9" borderId="13" xfId="19" applyFont="1" applyFill="1" applyBorder="1" applyAlignment="1">
      <alignment horizontal="center" vertical="center" wrapText="1"/>
    </xf>
    <xf numFmtId="9" fontId="14" fillId="9" borderId="157" xfId="19" applyFont="1" applyFill="1" applyBorder="1" applyAlignment="1">
      <alignment horizontal="center" vertical="center" wrapText="1"/>
    </xf>
    <xf numFmtId="167" fontId="61" fillId="0" borderId="0" xfId="41054" applyFont="1" applyAlignment="1" applyProtection="1">
      <alignment horizontal="center" vertical="center" wrapText="1"/>
      <protection locked="0"/>
    </xf>
    <xf numFmtId="182" fontId="7" fillId="38" borderId="177" xfId="41054" applyNumberFormat="1" applyFont="1" applyFill="1" applyBorder="1" applyAlignment="1">
      <alignment horizontal="center" vertical="center"/>
    </xf>
    <xf numFmtId="182" fontId="7" fillId="38" borderId="105" xfId="41054" applyNumberFormat="1" applyFont="1" applyFill="1" applyBorder="1" applyAlignment="1">
      <alignment horizontal="center" vertical="center"/>
    </xf>
    <xf numFmtId="182" fontId="7" fillId="38" borderId="197" xfId="41054" applyNumberFormat="1" applyFont="1" applyFill="1" applyBorder="1" applyAlignment="1">
      <alignment horizontal="center" vertical="center"/>
    </xf>
    <xf numFmtId="185" fontId="0" fillId="0" borderId="0" xfId="0" applyNumberFormat="1"/>
    <xf numFmtId="182" fontId="0" fillId="0" borderId="0" xfId="0" applyNumberFormat="1"/>
    <xf numFmtId="186" fontId="0" fillId="0" borderId="0" xfId="0" applyNumberFormat="1"/>
    <xf numFmtId="185" fontId="13" fillId="0" borderId="34" xfId="0" applyNumberFormat="1" applyFont="1" applyBorder="1" applyAlignment="1">
      <alignment horizontal="center" vertical="center" wrapText="1"/>
    </xf>
    <xf numFmtId="185" fontId="13" fillId="0" borderId="228" xfId="0" applyNumberFormat="1" applyFont="1" applyBorder="1" applyAlignment="1">
      <alignment horizontal="center" vertical="center" wrapText="1"/>
    </xf>
    <xf numFmtId="0" fontId="29" fillId="0" borderId="0" xfId="41058" applyFont="1" applyAlignment="1">
      <alignment horizontal="center" vertical="center"/>
    </xf>
    <xf numFmtId="211" fontId="29" fillId="0" borderId="0" xfId="41058" applyNumberFormat="1" applyFont="1" applyAlignment="1">
      <alignment horizontal="center" vertical="center" wrapText="1"/>
    </xf>
    <xf numFmtId="0" fontId="132" fillId="0" borderId="0" xfId="0" applyNumberFormat="1" applyFont="1" applyAlignment="1">
      <alignment horizontal="center" vertical="center"/>
    </xf>
    <xf numFmtId="0" fontId="124" fillId="0" borderId="0" xfId="0" applyNumberFormat="1" applyFont="1" applyAlignment="1">
      <alignment horizontal="right" vertical="center"/>
    </xf>
    <xf numFmtId="165" fontId="13" fillId="0" borderId="0" xfId="21" applyFont="1" applyFill="1" applyAlignment="1">
      <alignment horizontal="left" vertical="center"/>
    </xf>
    <xf numFmtId="0" fontId="13" fillId="0" borderId="0" xfId="29073" applyFont="1" applyAlignment="1">
      <alignment vertical="center" wrapText="1"/>
    </xf>
    <xf numFmtId="212" fontId="7" fillId="0" borderId="0" xfId="0" applyNumberFormat="1" applyFont="1" applyAlignment="1">
      <alignment vertical="center"/>
    </xf>
    <xf numFmtId="39" fontId="7" fillId="0" borderId="0" xfId="0" applyNumberFormat="1" applyFont="1" applyAlignment="1">
      <alignment vertical="center"/>
    </xf>
    <xf numFmtId="167" fontId="142" fillId="0" borderId="0" xfId="0" applyFont="1" applyAlignment="1">
      <alignment vertical="top"/>
    </xf>
    <xf numFmtId="0" fontId="9" fillId="0" borderId="0" xfId="0" pivotButton="1" applyNumberFormat="1" applyFont="1"/>
    <xf numFmtId="0" fontId="9" fillId="0" borderId="0" xfId="0" applyNumberFormat="1" applyFont="1" applyAlignment="1">
      <alignment horizontal="left"/>
    </xf>
    <xf numFmtId="0" fontId="9" fillId="0" borderId="0" xfId="0" applyNumberFormat="1" applyFont="1"/>
    <xf numFmtId="185" fontId="8" fillId="0" borderId="276" xfId="0" applyNumberFormat="1" applyFont="1" applyBorder="1" applyAlignment="1">
      <alignment horizontal="center" vertical="center" wrapText="1"/>
    </xf>
    <xf numFmtId="167" fontId="134" fillId="0" borderId="0" xfId="0" applyFont="1" applyAlignment="1">
      <alignment horizontal="center" vertical="center"/>
    </xf>
    <xf numFmtId="0" fontId="123" fillId="0" borderId="0" xfId="0" applyNumberFormat="1" applyFont="1" applyAlignment="1">
      <alignment horizontal="center" vertical="center"/>
    </xf>
    <xf numFmtId="165" fontId="132" fillId="0" borderId="0" xfId="21" applyFont="1" applyFill="1" applyAlignment="1">
      <alignment horizontal="left" vertical="center"/>
    </xf>
    <xf numFmtId="165" fontId="132" fillId="0" borderId="0" xfId="21" applyFont="1" applyFill="1" applyAlignment="1">
      <alignment vertical="center"/>
    </xf>
    <xf numFmtId="165" fontId="132" fillId="0" borderId="0" xfId="21" applyFont="1" applyFill="1" applyAlignment="1">
      <alignment horizontal="right" vertical="center"/>
    </xf>
    <xf numFmtId="167" fontId="7" fillId="0" borderId="232" xfId="0" applyFont="1" applyBorder="1" applyAlignment="1">
      <alignment horizontal="center" vertical="center"/>
    </xf>
    <xf numFmtId="167" fontId="7" fillId="0" borderId="232" xfId="0" applyFont="1" applyBorder="1" applyAlignment="1">
      <alignment horizontal="center" vertical="center" wrapText="1"/>
    </xf>
    <xf numFmtId="186" fontId="7" fillId="0" borderId="232" xfId="0" applyNumberFormat="1" applyFont="1" applyBorder="1" applyAlignment="1">
      <alignment horizontal="center" vertical="center" wrapText="1"/>
    </xf>
    <xf numFmtId="185" fontId="7" fillId="0" borderId="232" xfId="0" applyNumberFormat="1" applyFont="1" applyBorder="1" applyAlignment="1">
      <alignment horizontal="center" vertical="center" wrapText="1"/>
    </xf>
    <xf numFmtId="182" fontId="7" fillId="0" borderId="232" xfId="0" applyNumberFormat="1" applyFont="1" applyBorder="1" applyAlignment="1">
      <alignment horizontal="center" vertical="center" wrapText="1"/>
    </xf>
    <xf numFmtId="2" fontId="7" fillId="0" borderId="232" xfId="0" applyNumberFormat="1" applyFont="1" applyBorder="1" applyAlignment="1">
      <alignment horizontal="center" vertical="center"/>
    </xf>
    <xf numFmtId="2" fontId="7" fillId="0" borderId="105" xfId="0" applyNumberFormat="1" applyFont="1" applyBorder="1" applyAlignment="1">
      <alignment horizontal="center" vertical="center"/>
    </xf>
    <xf numFmtId="2" fontId="7" fillId="0" borderId="19" xfId="0" applyNumberFormat="1" applyFont="1" applyBorder="1" applyAlignment="1">
      <alignment horizontal="center" vertical="center"/>
    </xf>
    <xf numFmtId="39" fontId="7" fillId="37" borderId="0" xfId="0" applyNumberFormat="1" applyFont="1" applyFill="1" applyAlignment="1">
      <alignment horizontal="center" vertical="center" wrapText="1"/>
    </xf>
    <xf numFmtId="167" fontId="148" fillId="0" borderId="0" xfId="0" applyFont="1" applyAlignment="1" applyProtection="1">
      <alignment horizontal="center" vertical="center"/>
      <protection locked="0"/>
    </xf>
    <xf numFmtId="39" fontId="149" fillId="0" borderId="0" xfId="0" applyNumberFormat="1" applyFont="1" applyAlignment="1">
      <alignment horizontal="center" vertical="center" wrapText="1"/>
    </xf>
    <xf numFmtId="37" fontId="148" fillId="0" borderId="0" xfId="0" applyNumberFormat="1" applyFont="1" applyAlignment="1">
      <alignment horizontal="center" vertical="center" wrapText="1"/>
    </xf>
    <xf numFmtId="39" fontId="148" fillId="0" borderId="0" xfId="0" applyNumberFormat="1" applyFont="1" applyAlignment="1">
      <alignment horizontal="center" vertical="center" wrapText="1"/>
    </xf>
    <xf numFmtId="9" fontId="148" fillId="0" borderId="0" xfId="19" applyFont="1" applyAlignment="1">
      <alignment horizontal="center" vertical="center" wrapText="1"/>
    </xf>
    <xf numFmtId="37" fontId="7" fillId="0" borderId="2" xfId="23422" applyNumberFormat="1" applyFont="1" applyFill="1" applyBorder="1" applyAlignment="1">
      <alignment horizontal="center" vertical="center"/>
    </xf>
    <xf numFmtId="167" fontId="8" fillId="11" borderId="2" xfId="0" applyFont="1" applyFill="1" applyBorder="1" applyAlignment="1">
      <alignment horizontal="center" vertical="center" wrapText="1"/>
    </xf>
    <xf numFmtId="167" fontId="8" fillId="0" borderId="19" xfId="0" applyFont="1" applyBorder="1" applyAlignment="1">
      <alignment horizontal="center" vertical="center" wrapText="1"/>
    </xf>
    <xf numFmtId="37" fontId="13" fillId="0" borderId="19" xfId="0" applyNumberFormat="1" applyFont="1" applyBorder="1" applyAlignment="1">
      <alignment horizontal="center" vertical="center" wrapText="1"/>
    </xf>
    <xf numFmtId="39" fontId="27" fillId="0" borderId="0" xfId="0" applyNumberFormat="1" applyFont="1" applyAlignment="1">
      <alignment horizontal="center" vertical="center" wrapText="1"/>
    </xf>
    <xf numFmtId="183" fontId="26" fillId="0" borderId="178" xfId="0" applyNumberFormat="1" applyFont="1" applyBorder="1" applyAlignment="1">
      <alignment horizontal="center" vertical="center" wrapText="1"/>
    </xf>
    <xf numFmtId="183" fontId="26" fillId="0" borderId="0" xfId="0" applyNumberFormat="1" applyFont="1" applyAlignment="1">
      <alignment horizontal="center" vertical="center" wrapText="1"/>
    </xf>
    <xf numFmtId="183" fontId="14" fillId="0" borderId="90" xfId="0" applyNumberFormat="1" applyFont="1" applyBorder="1" applyAlignment="1">
      <alignment horizontal="center" vertical="center" wrapText="1"/>
    </xf>
    <xf numFmtId="183" fontId="14" fillId="0" borderId="20" xfId="0" applyNumberFormat="1" applyFont="1" applyBorder="1" applyAlignment="1">
      <alignment horizontal="center" vertical="center" wrapText="1"/>
    </xf>
    <xf numFmtId="183" fontId="26" fillId="9" borderId="130" xfId="0" applyNumberFormat="1" applyFont="1" applyFill="1" applyBorder="1" applyAlignment="1">
      <alignment horizontal="center" vertical="center" wrapText="1"/>
    </xf>
    <xf numFmtId="183" fontId="26" fillId="0" borderId="13" xfId="0" applyNumberFormat="1" applyFont="1" applyBorder="1" applyAlignment="1">
      <alignment horizontal="center" vertical="center" wrapText="1"/>
    </xf>
    <xf numFmtId="183" fontId="26" fillId="0" borderId="2" xfId="0" applyNumberFormat="1" applyFont="1" applyBorder="1" applyAlignment="1">
      <alignment horizontal="center" vertical="center" wrapText="1"/>
    </xf>
    <xf numFmtId="183" fontId="27" fillId="9" borderId="2" xfId="0" applyNumberFormat="1" applyFont="1" applyFill="1" applyBorder="1" applyAlignment="1">
      <alignment horizontal="center" vertical="center" wrapText="1"/>
    </xf>
    <xf numFmtId="183" fontId="26" fillId="0" borderId="105" xfId="0" applyNumberFormat="1" applyFont="1" applyBorder="1" applyAlignment="1">
      <alignment horizontal="center" vertical="center" wrapText="1"/>
    </xf>
    <xf numFmtId="183" fontId="27" fillId="9" borderId="105" xfId="0" applyNumberFormat="1" applyFont="1" applyFill="1" applyBorder="1" applyAlignment="1">
      <alignment horizontal="center" vertical="center" wrapText="1"/>
    </xf>
    <xf numFmtId="183" fontId="26" fillId="0" borderId="19" xfId="0" applyNumberFormat="1" applyFont="1" applyBorder="1" applyAlignment="1">
      <alignment horizontal="center" vertical="center" wrapText="1"/>
    </xf>
    <xf numFmtId="183" fontId="27" fillId="9" borderId="19" xfId="0" applyNumberFormat="1" applyFont="1" applyFill="1" applyBorder="1" applyAlignment="1">
      <alignment horizontal="center" vertical="center" wrapText="1"/>
    </xf>
    <xf numFmtId="183" fontId="26" fillId="0" borderId="16" xfId="0" applyNumberFormat="1" applyFont="1" applyBorder="1" applyAlignment="1">
      <alignment horizontal="center" vertical="center" wrapText="1"/>
    </xf>
    <xf numFmtId="183" fontId="27" fillId="0" borderId="20" xfId="0" applyNumberFormat="1" applyFont="1" applyBorder="1" applyAlignment="1">
      <alignment horizontal="center" vertical="center" wrapText="1"/>
    </xf>
    <xf numFmtId="183" fontId="26" fillId="0" borderId="157" xfId="0" applyNumberFormat="1" applyFont="1" applyBorder="1" applyAlignment="1">
      <alignment horizontal="center" vertical="center" wrapText="1"/>
    </xf>
    <xf numFmtId="183" fontId="27" fillId="0" borderId="128" xfId="0" applyNumberFormat="1" applyFont="1" applyBorder="1" applyAlignment="1">
      <alignment horizontal="center" vertical="center" wrapText="1"/>
    </xf>
    <xf numFmtId="183" fontId="26" fillId="0" borderId="24" xfId="0" applyNumberFormat="1" applyFont="1" applyBorder="1" applyAlignment="1">
      <alignment horizontal="center" vertical="center" wrapText="1"/>
    </xf>
    <xf numFmtId="183" fontId="27" fillId="0" borderId="197" xfId="0" applyNumberFormat="1" applyFont="1" applyBorder="1" applyAlignment="1">
      <alignment horizontal="center" vertical="center" wrapText="1"/>
    </xf>
    <xf numFmtId="183" fontId="26" fillId="0" borderId="114" xfId="0" applyNumberFormat="1" applyFont="1" applyBorder="1" applyAlignment="1">
      <alignment horizontal="center" vertical="center" wrapText="1"/>
    </xf>
    <xf numFmtId="183" fontId="26" fillId="0" borderId="39" xfId="0" applyNumberFormat="1" applyFont="1" applyBorder="1" applyAlignment="1">
      <alignment horizontal="center" vertical="center" wrapText="1"/>
    </xf>
    <xf numFmtId="183" fontId="27" fillId="0" borderId="247" xfId="0" applyNumberFormat="1" applyFont="1" applyBorder="1" applyAlignment="1">
      <alignment horizontal="center" vertical="center" wrapText="1"/>
    </xf>
    <xf numFmtId="183" fontId="27" fillId="0" borderId="242" xfId="0" applyNumberFormat="1" applyFont="1" applyBorder="1" applyAlignment="1">
      <alignment horizontal="center" vertical="center" wrapText="1"/>
    </xf>
    <xf numFmtId="37" fontId="27" fillId="0" borderId="212" xfId="0" applyNumberFormat="1" applyFont="1" applyBorder="1" applyAlignment="1">
      <alignment horizontal="center" vertical="center" wrapText="1"/>
    </xf>
    <xf numFmtId="37" fontId="27" fillId="0" borderId="170" xfId="0" applyNumberFormat="1" applyFont="1" applyBorder="1" applyAlignment="1">
      <alignment horizontal="center" vertical="center" wrapText="1"/>
    </xf>
    <xf numFmtId="183" fontId="26" fillId="0" borderId="36" xfId="0" applyNumberFormat="1" applyFont="1" applyBorder="1" applyAlignment="1">
      <alignment horizontal="center" vertical="center" wrapText="1"/>
    </xf>
    <xf numFmtId="183" fontId="26" fillId="9" borderId="168" xfId="0" applyNumberFormat="1" applyFont="1" applyFill="1" applyBorder="1" applyAlignment="1">
      <alignment horizontal="center" vertical="center" wrapText="1"/>
    </xf>
    <xf numFmtId="183" fontId="27" fillId="9" borderId="16" xfId="0" applyNumberFormat="1" applyFont="1" applyFill="1" applyBorder="1" applyAlignment="1">
      <alignment horizontal="center" vertical="center" wrapText="1"/>
    </xf>
    <xf numFmtId="183" fontId="27" fillId="0" borderId="90" xfId="0" applyNumberFormat="1" applyFont="1" applyBorder="1" applyAlignment="1">
      <alignment horizontal="center" vertical="center" wrapText="1"/>
    </xf>
    <xf numFmtId="183" fontId="26" fillId="0" borderId="130" xfId="0" applyNumberFormat="1" applyFont="1" applyBorder="1" applyAlignment="1">
      <alignment horizontal="center" vertical="center" wrapText="1"/>
    </xf>
    <xf numFmtId="183" fontId="27" fillId="9" borderId="36" xfId="0" applyNumberFormat="1" applyFont="1" applyFill="1" applyBorder="1" applyAlignment="1">
      <alignment horizontal="center" vertical="center" wrapText="1"/>
    </xf>
    <xf numFmtId="39" fontId="7" fillId="43" borderId="0" xfId="0" applyNumberFormat="1" applyFont="1" applyFill="1" applyAlignment="1">
      <alignment horizontal="center" vertical="center" wrapText="1"/>
    </xf>
    <xf numFmtId="2" fontId="14" fillId="0" borderId="20" xfId="0" applyNumberFormat="1" applyFont="1" applyBorder="1" applyAlignment="1">
      <alignment horizontal="center" vertical="center" wrapText="1"/>
    </xf>
    <xf numFmtId="2" fontId="14" fillId="0" borderId="128" xfId="0" applyNumberFormat="1" applyFont="1" applyBorder="1" applyAlignment="1">
      <alignment horizontal="center" vertical="center" wrapText="1"/>
    </xf>
    <xf numFmtId="2" fontId="14" fillId="0" borderId="90" xfId="0" applyNumberFormat="1" applyFont="1" applyBorder="1" applyAlignment="1">
      <alignment horizontal="center" vertical="center" wrapText="1"/>
    </xf>
    <xf numFmtId="213" fontId="150" fillId="0" borderId="0" xfId="0" applyNumberFormat="1" applyFont="1"/>
    <xf numFmtId="37" fontId="13" fillId="0" borderId="174" xfId="0" applyNumberFormat="1" applyFont="1" applyBorder="1" applyAlignment="1">
      <alignment horizontal="center" vertical="center" wrapText="1"/>
    </xf>
    <xf numFmtId="40" fontId="7" fillId="0" borderId="0" xfId="0" applyNumberFormat="1" applyFont="1" applyAlignment="1">
      <alignment horizontal="center" vertical="center" wrapText="1"/>
    </xf>
    <xf numFmtId="40" fontId="8" fillId="0" borderId="0" xfId="0" applyNumberFormat="1" applyFont="1" applyAlignment="1">
      <alignment horizontal="center" vertical="center"/>
    </xf>
    <xf numFmtId="40" fontId="14" fillId="39" borderId="202" xfId="0" applyNumberFormat="1" applyFont="1" applyFill="1" applyBorder="1" applyAlignment="1">
      <alignment horizontal="center" vertical="center" wrapText="1"/>
    </xf>
    <xf numFmtId="40" fontId="14" fillId="39" borderId="8" xfId="0" applyNumberFormat="1" applyFont="1" applyFill="1" applyBorder="1" applyAlignment="1">
      <alignment horizontal="center" vertical="center" wrapText="1"/>
    </xf>
    <xf numFmtId="37" fontId="7" fillId="0" borderId="232" xfId="0" applyNumberFormat="1" applyFont="1" applyBorder="1" applyAlignment="1">
      <alignment horizontal="center" vertical="center" wrapText="1"/>
    </xf>
    <xf numFmtId="37" fontId="14" fillId="0" borderId="114" xfId="0" applyNumberFormat="1" applyFont="1" applyBorder="1" applyAlignment="1">
      <alignment horizontal="center" vertical="center" wrapText="1"/>
    </xf>
    <xf numFmtId="39" fontId="7" fillId="11" borderId="232" xfId="0" applyNumberFormat="1" applyFont="1" applyFill="1" applyBorder="1" applyAlignment="1">
      <alignment horizontal="center" vertical="center" wrapText="1"/>
    </xf>
    <xf numFmtId="195" fontId="8" fillId="0" borderId="0" xfId="0" applyNumberFormat="1" applyFont="1" applyAlignment="1">
      <alignment horizontal="center" vertical="center" wrapText="1"/>
    </xf>
    <xf numFmtId="0" fontId="150" fillId="0" borderId="0" xfId="0" applyNumberFormat="1" applyFont="1"/>
    <xf numFmtId="37" fontId="14" fillId="50" borderId="128" xfId="0" applyNumberFormat="1" applyFont="1" applyFill="1" applyBorder="1" applyAlignment="1">
      <alignment horizontal="center" vertical="center" wrapText="1"/>
    </xf>
    <xf numFmtId="188" fontId="8" fillId="0" borderId="0" xfId="0" applyNumberFormat="1" applyFont="1" applyAlignment="1">
      <alignment horizontal="center" vertical="center" wrapText="1"/>
    </xf>
    <xf numFmtId="37" fontId="14" fillId="10" borderId="146" xfId="41057" applyNumberFormat="1" applyFont="1" applyFill="1" applyBorder="1" applyAlignment="1" applyProtection="1">
      <alignment horizontal="center" vertical="center" wrapText="1"/>
    </xf>
    <xf numFmtId="39" fontId="14" fillId="0" borderId="241" xfId="0" applyNumberFormat="1" applyFont="1" applyBorder="1" applyAlignment="1">
      <alignment horizontal="center" vertical="center" wrapText="1"/>
    </xf>
    <xf numFmtId="37" fontId="14" fillId="0" borderId="90" xfId="0" applyNumberFormat="1" applyFont="1" applyBorder="1" applyAlignment="1">
      <alignment horizontal="center" vertical="center" wrapText="1"/>
    </xf>
    <xf numFmtId="167" fontId="14" fillId="0" borderId="80" xfId="0" applyFont="1" applyBorder="1" applyAlignment="1">
      <alignment horizontal="center" vertical="center" wrapText="1"/>
    </xf>
    <xf numFmtId="37" fontId="8" fillId="0" borderId="2" xfId="0" applyNumberFormat="1" applyFont="1" applyBorder="1" applyAlignment="1">
      <alignment horizontal="center" vertical="center" wrapText="1"/>
    </xf>
    <xf numFmtId="185" fontId="14" fillId="0" borderId="197" xfId="0" applyNumberFormat="1" applyFont="1" applyBorder="1" applyAlignment="1">
      <alignment horizontal="centerContinuous" vertical="center" wrapText="1"/>
    </xf>
    <xf numFmtId="10" fontId="7" fillId="8" borderId="167" xfId="19" applyNumberFormat="1" applyFont="1" applyFill="1" applyBorder="1" applyAlignment="1">
      <alignment horizontal="center" vertical="center" wrapText="1"/>
    </xf>
    <xf numFmtId="167" fontId="109" fillId="9" borderId="157" xfId="0" applyFont="1" applyFill="1" applyBorder="1" applyAlignment="1">
      <alignment horizontal="center" vertical="center" wrapText="1"/>
    </xf>
    <xf numFmtId="167" fontId="84" fillId="0" borderId="0" xfId="0" applyFont="1" applyAlignment="1">
      <alignment horizontal="center" vertical="center" wrapText="1"/>
    </xf>
    <xf numFmtId="167" fontId="84" fillId="0" borderId="120" xfId="0" applyFont="1" applyBorder="1" applyAlignment="1">
      <alignment horizontal="center" vertical="center" wrapText="1"/>
    </xf>
    <xf numFmtId="37" fontId="152" fillId="10" borderId="257" xfId="41057" applyNumberFormat="1" applyFont="1" applyFill="1" applyBorder="1" applyAlignment="1" applyProtection="1">
      <alignment vertical="center" wrapText="1"/>
    </xf>
    <xf numFmtId="39" fontId="84" fillId="0" borderId="178" xfId="0" applyNumberFormat="1" applyFont="1" applyBorder="1" applyAlignment="1">
      <alignment horizontal="center" vertical="center" wrapText="1"/>
    </xf>
    <xf numFmtId="39" fontId="84" fillId="0" borderId="0" xfId="0" applyNumberFormat="1" applyFont="1" applyAlignment="1">
      <alignment horizontal="center" vertical="center" wrapText="1"/>
    </xf>
    <xf numFmtId="39" fontId="84" fillId="0" borderId="118" xfId="0" applyNumberFormat="1" applyFont="1" applyBorder="1" applyAlignment="1">
      <alignment horizontal="center" vertical="center" wrapText="1"/>
    </xf>
    <xf numFmtId="39" fontId="84" fillId="0" borderId="3" xfId="0" applyNumberFormat="1" applyFont="1" applyBorder="1" applyAlignment="1">
      <alignment horizontal="center" vertical="center" wrapText="1"/>
    </xf>
    <xf numFmtId="39" fontId="84" fillId="0" borderId="127" xfId="0" applyNumberFormat="1" applyFont="1" applyBorder="1" applyAlignment="1">
      <alignment horizontal="center" vertical="center" wrapText="1"/>
    </xf>
    <xf numFmtId="39" fontId="24" fillId="0" borderId="264" xfId="0" applyNumberFormat="1" applyFont="1" applyBorder="1" applyAlignment="1">
      <alignment horizontal="center" vertical="center" wrapText="1"/>
    </xf>
    <xf numFmtId="37" fontId="152" fillId="10" borderId="183" xfId="41057" applyNumberFormat="1" applyFont="1" applyFill="1" applyBorder="1" applyAlignment="1" applyProtection="1">
      <alignment vertical="center" wrapText="1"/>
    </xf>
    <xf numFmtId="39" fontId="84" fillId="0" borderId="234" xfId="0" applyNumberFormat="1" applyFont="1" applyBorder="1" applyAlignment="1">
      <alignment horizontal="center" vertical="center" wrapText="1"/>
    </xf>
    <xf numFmtId="37" fontId="84" fillId="0" borderId="178" xfId="0" applyNumberFormat="1" applyFont="1" applyBorder="1" applyAlignment="1">
      <alignment horizontal="center" vertical="center" wrapText="1"/>
    </xf>
    <xf numFmtId="39" fontId="84" fillId="0" borderId="176" xfId="0" applyNumberFormat="1" applyFont="1" applyBorder="1" applyAlignment="1">
      <alignment horizontal="center" vertical="center" wrapText="1"/>
    </xf>
    <xf numFmtId="39" fontId="84" fillId="0" borderId="281" xfId="0" applyNumberFormat="1" applyFont="1" applyBorder="1" applyAlignment="1">
      <alignment horizontal="center" vertical="center" wrapText="1"/>
    </xf>
    <xf numFmtId="37" fontId="24" fillId="0" borderId="119" xfId="0" applyNumberFormat="1" applyFont="1" applyBorder="1" applyAlignment="1">
      <alignment horizontal="center" vertical="center" wrapText="1"/>
    </xf>
    <xf numFmtId="39" fontId="24" fillId="0" borderId="195" xfId="0" applyNumberFormat="1" applyFont="1" applyBorder="1" applyAlignment="1">
      <alignment horizontal="center" vertical="center" wrapText="1"/>
    </xf>
    <xf numFmtId="39" fontId="24" fillId="0" borderId="120" xfId="0" applyNumberFormat="1" applyFont="1" applyBorder="1" applyAlignment="1">
      <alignment horizontal="center" vertical="center" wrapText="1"/>
    </xf>
    <xf numFmtId="37" fontId="24" fillId="0" borderId="178" xfId="0" applyNumberFormat="1" applyFont="1" applyBorder="1" applyAlignment="1">
      <alignment horizontal="center" vertical="center" wrapText="1"/>
    </xf>
    <xf numFmtId="37" fontId="24" fillId="0" borderId="118" xfId="0" applyNumberFormat="1" applyFont="1" applyBorder="1" applyAlignment="1">
      <alignment horizontal="center" vertical="center" wrapText="1"/>
    </xf>
    <xf numFmtId="39" fontId="24" fillId="0" borderId="176" xfId="0" applyNumberFormat="1" applyFont="1" applyBorder="1" applyAlignment="1">
      <alignment horizontal="center" vertical="center" wrapText="1"/>
    </xf>
    <xf numFmtId="39" fontId="24" fillId="0" borderId="178" xfId="0" applyNumberFormat="1" applyFont="1" applyBorder="1" applyAlignment="1">
      <alignment horizontal="center" vertical="center" wrapText="1"/>
    </xf>
    <xf numFmtId="39" fontId="24" fillId="0" borderId="0" xfId="0" applyNumberFormat="1" applyFont="1" applyAlignment="1">
      <alignment horizontal="center" vertical="center" wrapText="1"/>
    </xf>
    <xf numFmtId="39" fontId="24" fillId="0" borderId="118" xfId="0" applyNumberFormat="1" applyFont="1" applyBorder="1" applyAlignment="1">
      <alignment horizontal="center" vertical="center" wrapText="1"/>
    </xf>
    <xf numFmtId="2" fontId="24" fillId="0" borderId="178" xfId="0" applyNumberFormat="1" applyFont="1" applyBorder="1" applyAlignment="1">
      <alignment horizontal="center" vertical="center" wrapText="1"/>
    </xf>
    <xf numFmtId="2" fontId="24" fillId="0" borderId="0" xfId="0" applyNumberFormat="1" applyFont="1" applyAlignment="1">
      <alignment horizontal="center" vertical="center" wrapText="1"/>
    </xf>
    <xf numFmtId="2" fontId="24" fillId="0" borderId="118" xfId="0" applyNumberFormat="1" applyFont="1" applyBorder="1" applyAlignment="1">
      <alignment horizontal="center" vertical="center" wrapText="1"/>
    </xf>
    <xf numFmtId="37" fontId="24" fillId="0" borderId="0" xfId="0" applyNumberFormat="1" applyFont="1" applyAlignment="1">
      <alignment horizontal="center" vertical="center" wrapText="1"/>
    </xf>
    <xf numFmtId="37" fontId="24" fillId="0" borderId="59" xfId="0" applyNumberFormat="1" applyFont="1" applyBorder="1" applyAlignment="1">
      <alignment horizontal="center" vertical="center" wrapText="1"/>
    </xf>
    <xf numFmtId="39" fontId="24" fillId="0" borderId="59" xfId="0" applyNumberFormat="1" applyFont="1" applyBorder="1" applyAlignment="1">
      <alignment horizontal="center" vertical="center" wrapText="1"/>
    </xf>
    <xf numFmtId="37" fontId="7" fillId="0" borderId="119" xfId="0" applyNumberFormat="1" applyFont="1" applyBorder="1" applyAlignment="1">
      <alignment horizontal="center" vertical="center" wrapText="1"/>
    </xf>
    <xf numFmtId="37" fontId="7" fillId="0" borderId="195" xfId="0" applyNumberFormat="1" applyFont="1" applyBorder="1" applyAlignment="1">
      <alignment horizontal="center" vertical="center" wrapText="1"/>
    </xf>
    <xf numFmtId="37" fontId="7" fillId="0" borderId="120" xfId="0" applyNumberFormat="1" applyFont="1" applyBorder="1" applyAlignment="1">
      <alignment horizontal="center" vertical="center" wrapText="1"/>
    </xf>
    <xf numFmtId="39" fontId="7" fillId="0" borderId="195" xfId="0" applyNumberFormat="1" applyFont="1" applyBorder="1" applyAlignment="1">
      <alignment horizontal="center" vertical="center" wrapText="1"/>
    </xf>
    <xf numFmtId="37" fontId="7" fillId="0" borderId="175" xfId="0" applyNumberFormat="1" applyFont="1" applyBorder="1" applyAlignment="1">
      <alignment horizontal="center" vertical="center" wrapText="1"/>
    </xf>
    <xf numFmtId="39" fontId="7" fillId="0" borderId="175" xfId="0" applyNumberFormat="1" applyFont="1" applyBorder="1" applyAlignment="1">
      <alignment horizontal="center" vertical="center" wrapText="1"/>
    </xf>
    <xf numFmtId="39" fontId="7" fillId="36" borderId="0" xfId="0" applyNumberFormat="1" applyFont="1" applyFill="1" applyAlignment="1">
      <alignment horizontal="center" vertical="center" wrapText="1"/>
    </xf>
    <xf numFmtId="188" fontId="7" fillId="0" borderId="0" xfId="0" applyNumberFormat="1" applyFont="1" applyAlignment="1">
      <alignment horizontal="center" vertical="center" wrapText="1"/>
    </xf>
    <xf numFmtId="39" fontId="13" fillId="9" borderId="157" xfId="0" applyNumberFormat="1" applyFont="1" applyFill="1" applyBorder="1" applyAlignment="1">
      <alignment horizontal="center" vertical="center" wrapText="1"/>
    </xf>
    <xf numFmtId="39" fontId="13" fillId="9" borderId="114" xfId="0" applyNumberFormat="1" applyFont="1" applyFill="1" applyBorder="1" applyAlignment="1">
      <alignment horizontal="center" vertical="center" wrapText="1"/>
    </xf>
    <xf numFmtId="9" fontId="7" fillId="8" borderId="105" xfId="19" applyFont="1" applyFill="1" applyBorder="1" applyAlignment="1">
      <alignment horizontal="center" vertical="center" wrapText="1"/>
    </xf>
    <xf numFmtId="185" fontId="67" fillId="0" borderId="2" xfId="0" applyNumberFormat="1" applyFont="1" applyBorder="1" applyAlignment="1">
      <alignment horizontal="center" vertical="center" wrapText="1"/>
    </xf>
    <xf numFmtId="185" fontId="7" fillId="36" borderId="24" xfId="0" applyNumberFormat="1" applyFont="1" applyFill="1" applyBorder="1" applyAlignment="1">
      <alignment horizontal="center" vertical="center" wrapText="1"/>
    </xf>
    <xf numFmtId="195" fontId="8" fillId="8" borderId="105" xfId="0" applyNumberFormat="1" applyFont="1" applyFill="1" applyBorder="1" applyAlignment="1">
      <alignment horizontal="center" vertical="center" wrapText="1"/>
    </xf>
    <xf numFmtId="0" fontId="8" fillId="8" borderId="2" xfId="0" quotePrefix="1" applyNumberFormat="1" applyFont="1" applyFill="1" applyBorder="1" applyAlignment="1">
      <alignment horizontal="center" vertical="center" wrapText="1"/>
    </xf>
    <xf numFmtId="215" fontId="8" fillId="8" borderId="19" xfId="0" quotePrefix="1" applyNumberFormat="1" applyFont="1" applyFill="1" applyBorder="1" applyAlignment="1">
      <alignment horizontal="center" vertical="center" wrapText="1"/>
    </xf>
    <xf numFmtId="216" fontId="8" fillId="8" borderId="19" xfId="0" quotePrefix="1" applyNumberFormat="1" applyFont="1" applyFill="1" applyBorder="1" applyAlignment="1">
      <alignment horizontal="center" vertical="center" wrapText="1"/>
    </xf>
    <xf numFmtId="219" fontId="7" fillId="8" borderId="0" xfId="0" applyNumberFormat="1" applyFont="1" applyFill="1" applyAlignment="1">
      <alignment horizontal="center" vertical="center" wrapText="1"/>
    </xf>
    <xf numFmtId="219" fontId="7" fillId="8" borderId="231" xfId="0" applyNumberFormat="1" applyFont="1" applyFill="1" applyBorder="1" applyAlignment="1">
      <alignment horizontal="center" vertical="center" wrapText="1"/>
    </xf>
    <xf numFmtId="219" fontId="7" fillId="8" borderId="3" xfId="0" applyNumberFormat="1" applyFont="1" applyFill="1" applyBorder="1" applyAlignment="1">
      <alignment horizontal="center" vertical="center" wrapText="1"/>
    </xf>
    <xf numFmtId="185" fontId="13" fillId="8" borderId="111" xfId="0" applyNumberFormat="1" applyFont="1" applyFill="1" applyBorder="1" applyAlignment="1">
      <alignment horizontal="center" vertical="center"/>
    </xf>
    <xf numFmtId="167" fontId="13" fillId="8" borderId="111" xfId="0" applyFont="1" applyFill="1" applyBorder="1" applyAlignment="1">
      <alignment horizontal="center" vertical="center" wrapText="1"/>
    </xf>
    <xf numFmtId="195" fontId="8" fillId="8" borderId="2" xfId="0" applyNumberFormat="1" applyFont="1" applyFill="1" applyBorder="1" applyAlignment="1">
      <alignment horizontal="center" vertical="center" wrapText="1"/>
    </xf>
    <xf numFmtId="217" fontId="8" fillId="8" borderId="19" xfId="0" quotePrefix="1" applyNumberFormat="1" applyFont="1" applyFill="1" applyBorder="1" applyAlignment="1">
      <alignment horizontal="center" vertical="center" wrapText="1"/>
    </xf>
    <xf numFmtId="216" fontId="8" fillId="8" borderId="18" xfId="0" quotePrefix="1" applyNumberFormat="1" applyFont="1" applyFill="1" applyBorder="1" applyAlignment="1">
      <alignment horizontal="center" vertical="center" wrapText="1"/>
    </xf>
    <xf numFmtId="214" fontId="8" fillId="8" borderId="19" xfId="0" quotePrefix="1" applyNumberFormat="1" applyFont="1" applyFill="1" applyBorder="1" applyAlignment="1">
      <alignment horizontal="center" vertical="center" wrapText="1"/>
    </xf>
    <xf numFmtId="218" fontId="8" fillId="8" borderId="19" xfId="0" quotePrefix="1" applyNumberFormat="1" applyFont="1" applyFill="1" applyBorder="1" applyAlignment="1">
      <alignment horizontal="center" vertical="center" wrapText="1"/>
    </xf>
    <xf numFmtId="188" fontId="8" fillId="8" borderId="0" xfId="0" applyNumberFormat="1" applyFont="1" applyFill="1" applyAlignment="1">
      <alignment horizontal="center" vertical="center" wrapText="1"/>
    </xf>
    <xf numFmtId="188" fontId="8" fillId="8" borderId="231" xfId="0" applyNumberFormat="1" applyFont="1" applyFill="1" applyBorder="1" applyAlignment="1">
      <alignment horizontal="center" vertical="center" wrapText="1"/>
    </xf>
    <xf numFmtId="188" fontId="8" fillId="8" borderId="3" xfId="0" applyNumberFormat="1" applyFont="1" applyFill="1" applyBorder="1" applyAlignment="1">
      <alignment horizontal="center" vertical="center" wrapText="1"/>
    </xf>
    <xf numFmtId="188" fontId="8" fillId="8" borderId="2" xfId="0" applyNumberFormat="1" applyFont="1" applyFill="1" applyBorder="1" applyAlignment="1">
      <alignment horizontal="center" vertical="center" wrapText="1"/>
    </xf>
    <xf numFmtId="0" fontId="150" fillId="8" borderId="0" xfId="0" applyNumberFormat="1" applyFont="1" applyFill="1"/>
    <xf numFmtId="0" fontId="150" fillId="8" borderId="3" xfId="0" applyNumberFormat="1" applyFont="1" applyFill="1" applyBorder="1"/>
    <xf numFmtId="213" fontId="150" fillId="8" borderId="0" xfId="0" applyNumberFormat="1" applyFont="1" applyFill="1"/>
    <xf numFmtId="213" fontId="150" fillId="8" borderId="3" xfId="0" applyNumberFormat="1" applyFont="1" applyFill="1" applyBorder="1"/>
    <xf numFmtId="4" fontId="0" fillId="8" borderId="0" xfId="0" applyNumberFormat="1" applyFill="1"/>
    <xf numFmtId="188" fontId="8" fillId="8" borderId="4" xfId="0" applyNumberFormat="1" applyFont="1" applyFill="1" applyBorder="1" applyAlignment="1">
      <alignment horizontal="center" vertical="center" wrapText="1"/>
    </xf>
    <xf numFmtId="215" fontId="8" fillId="8" borderId="105" xfId="0" quotePrefix="1" applyNumberFormat="1" applyFont="1" applyFill="1" applyBorder="1" applyAlignment="1">
      <alignment horizontal="center" vertical="center" wrapText="1"/>
    </xf>
    <xf numFmtId="216" fontId="8" fillId="8" borderId="105" xfId="0" quotePrefix="1" applyNumberFormat="1" applyFont="1" applyFill="1" applyBorder="1" applyAlignment="1">
      <alignment horizontal="center" vertical="center" wrapText="1"/>
    </xf>
    <xf numFmtId="188" fontId="7" fillId="8" borderId="2" xfId="0" applyNumberFormat="1" applyFont="1" applyFill="1" applyBorder="1" applyAlignment="1">
      <alignment horizontal="center" vertical="center" wrapText="1"/>
    </xf>
    <xf numFmtId="167" fontId="8" fillId="0" borderId="20" xfId="0" applyFont="1" applyBorder="1" applyAlignment="1">
      <alignment horizontal="center" vertical="center" wrapText="1"/>
    </xf>
    <xf numFmtId="167" fontId="8" fillId="0" borderId="90" xfId="0" applyFont="1" applyBorder="1" applyAlignment="1">
      <alignment horizontal="center" vertical="center" wrapText="1"/>
    </xf>
    <xf numFmtId="167" fontId="14" fillId="10" borderId="282" xfId="0" applyFont="1" applyFill="1" applyBorder="1" applyAlignment="1">
      <alignment horizontal="center" vertical="center" wrapText="1"/>
    </xf>
    <xf numFmtId="167" fontId="8" fillId="8" borderId="90" xfId="0" applyFont="1" applyFill="1" applyBorder="1" applyAlignment="1">
      <alignment horizontal="center" vertical="center" wrapText="1"/>
    </xf>
    <xf numFmtId="167" fontId="7" fillId="0" borderId="188" xfId="0" applyFont="1" applyBorder="1" applyAlignment="1">
      <alignment horizontal="center" vertical="center" wrapText="1"/>
    </xf>
    <xf numFmtId="167" fontId="8" fillId="0" borderId="75" xfId="0" applyFont="1" applyBorder="1" applyAlignment="1">
      <alignment horizontal="center" vertical="center" wrapText="1"/>
    </xf>
    <xf numFmtId="167" fontId="8" fillId="0" borderId="154" xfId="0" applyFont="1" applyBorder="1" applyAlignment="1">
      <alignment horizontal="center" vertical="center" wrapText="1"/>
    </xf>
    <xf numFmtId="167" fontId="8" fillId="8" borderId="128" xfId="0" applyFont="1" applyFill="1" applyBorder="1" applyAlignment="1">
      <alignment horizontal="center" vertical="center" wrapText="1"/>
    </xf>
    <xf numFmtId="167" fontId="8" fillId="8" borderId="20" xfId="0" applyFont="1" applyFill="1" applyBorder="1" applyAlignment="1">
      <alignment horizontal="center" vertical="center" wrapText="1"/>
    </xf>
    <xf numFmtId="167" fontId="84" fillId="0" borderId="284" xfId="0" applyFont="1" applyBorder="1" applyAlignment="1">
      <alignment horizontal="center" vertical="center" wrapText="1"/>
    </xf>
    <xf numFmtId="167" fontId="84" fillId="0" borderId="119" xfId="0" applyFont="1" applyBorder="1" applyAlignment="1">
      <alignment horizontal="center" vertical="center" wrapText="1"/>
    </xf>
    <xf numFmtId="167" fontId="84" fillId="0" borderId="195" xfId="0" applyFont="1" applyBorder="1" applyAlignment="1">
      <alignment horizontal="center" vertical="center" wrapText="1"/>
    </xf>
    <xf numFmtId="167" fontId="84" fillId="0" borderId="124" xfId="0" applyFont="1" applyBorder="1" applyAlignment="1">
      <alignment horizontal="center" vertical="center" wrapText="1"/>
    </xf>
    <xf numFmtId="167" fontId="84" fillId="0" borderId="125" xfId="0" applyFont="1" applyBorder="1" applyAlignment="1">
      <alignment horizontal="center" vertical="center" wrapText="1"/>
    </xf>
    <xf numFmtId="167" fontId="7" fillId="50" borderId="2" xfId="0" applyFont="1" applyFill="1" applyBorder="1" applyAlignment="1">
      <alignment horizontal="center" vertical="center" wrapText="1"/>
    </xf>
    <xf numFmtId="9" fontId="7" fillId="0" borderId="18" xfId="19" applyFont="1" applyBorder="1" applyAlignment="1">
      <alignment horizontal="center" vertical="center" wrapText="1"/>
    </xf>
    <xf numFmtId="9" fontId="7" fillId="0" borderId="2" xfId="19" applyFont="1" applyFill="1" applyBorder="1" applyAlignment="1">
      <alignment horizontal="center" vertical="center" wrapText="1"/>
    </xf>
    <xf numFmtId="167" fontId="84" fillId="0" borderId="136" xfId="0" applyFont="1" applyBorder="1" applyAlignment="1">
      <alignment horizontal="center" vertical="center" wrapText="1"/>
    </xf>
    <xf numFmtId="39" fontId="14" fillId="0" borderId="249" xfId="0" applyNumberFormat="1" applyFont="1" applyBorder="1" applyAlignment="1">
      <alignment horizontal="center" vertical="center" wrapText="1"/>
    </xf>
    <xf numFmtId="167" fontId="14" fillId="0" borderId="196" xfId="0" applyFont="1" applyBorder="1" applyAlignment="1">
      <alignment horizontal="center" vertical="center" wrapText="1"/>
    </xf>
    <xf numFmtId="167" fontId="14" fillId="0" borderId="242" xfId="0" applyFont="1" applyBorder="1" applyAlignment="1">
      <alignment horizontal="center" vertical="center" wrapText="1"/>
    </xf>
    <xf numFmtId="167" fontId="8" fillId="0" borderId="16" xfId="0" applyFont="1" applyBorder="1" applyAlignment="1">
      <alignment horizontal="center" vertical="center" wrapText="1"/>
    </xf>
    <xf numFmtId="167" fontId="7" fillId="0" borderId="19" xfId="0" applyFont="1" applyBorder="1" applyAlignment="1">
      <alignment horizontal="center" vertical="center" wrapText="1"/>
    </xf>
    <xf numFmtId="167" fontId="13" fillId="8" borderId="105" xfId="0" applyFont="1" applyFill="1" applyBorder="1" applyAlignment="1">
      <alignment horizontal="center" vertical="center" wrapText="1"/>
    </xf>
    <xf numFmtId="167" fontId="13" fillId="8" borderId="2" xfId="0" applyFont="1" applyFill="1" applyBorder="1" applyAlignment="1">
      <alignment horizontal="center" vertical="center" wrapText="1"/>
    </xf>
    <xf numFmtId="185" fontId="13" fillId="9" borderId="114" xfId="0" applyNumberFormat="1" applyFont="1" applyFill="1" applyBorder="1" applyAlignment="1">
      <alignment horizontal="center" vertical="center" wrapText="1"/>
    </xf>
    <xf numFmtId="185" fontId="7" fillId="9" borderId="114" xfId="0" applyNumberFormat="1" applyFont="1" applyFill="1" applyBorder="1" applyAlignment="1">
      <alignment horizontal="center" vertical="center" wrapText="1"/>
    </xf>
    <xf numFmtId="185" fontId="120" fillId="9" borderId="24" xfId="0" applyNumberFormat="1" applyFont="1" applyFill="1" applyBorder="1" applyAlignment="1">
      <alignment horizontal="center" vertical="center" wrapText="1"/>
    </xf>
    <xf numFmtId="185" fontId="120" fillId="9" borderId="164" xfId="0" applyNumberFormat="1" applyFont="1" applyFill="1" applyBorder="1" applyAlignment="1">
      <alignment horizontal="center" vertical="center" wrapText="1"/>
    </xf>
    <xf numFmtId="185" fontId="8" fillId="9" borderId="93" xfId="0" applyNumberFormat="1" applyFont="1" applyFill="1" applyBorder="1" applyAlignment="1">
      <alignment horizontal="center" vertical="center" wrapText="1"/>
    </xf>
    <xf numFmtId="185" fontId="120" fillId="9" borderId="130" xfId="0" applyNumberFormat="1" applyFont="1" applyFill="1" applyBorder="1" applyAlignment="1">
      <alignment horizontal="center" vertical="center" wrapText="1"/>
    </xf>
    <xf numFmtId="185" fontId="7" fillId="9" borderId="169" xfId="0" applyNumberFormat="1" applyFont="1" applyFill="1" applyBorder="1" applyAlignment="1">
      <alignment horizontal="center" vertical="center" wrapText="1"/>
    </xf>
    <xf numFmtId="185" fontId="26" fillId="36" borderId="2" xfId="0" applyNumberFormat="1" applyFont="1" applyFill="1" applyBorder="1" applyAlignment="1">
      <alignment horizontal="center" vertical="center" wrapText="1"/>
    </xf>
    <xf numFmtId="183" fontId="14" fillId="0" borderId="241" xfId="0" applyNumberFormat="1" applyFont="1" applyBorder="1" applyAlignment="1">
      <alignment horizontal="center" vertical="center" wrapText="1"/>
    </xf>
    <xf numFmtId="9" fontId="7" fillId="0" borderId="13" xfId="19" applyFont="1" applyFill="1" applyBorder="1" applyAlignment="1">
      <alignment horizontal="center" vertical="center" wrapText="1"/>
    </xf>
    <xf numFmtId="37" fontId="13" fillId="0" borderId="0" xfId="0" applyNumberFormat="1" applyFont="1" applyAlignment="1">
      <alignment horizontal="left" vertical="center"/>
    </xf>
    <xf numFmtId="39" fontId="7" fillId="0" borderId="0" xfId="0" applyNumberFormat="1" applyFont="1" applyAlignment="1">
      <alignment horizontal="left" vertical="center"/>
    </xf>
    <xf numFmtId="37" fontId="7" fillId="0" borderId="0" xfId="0" applyNumberFormat="1" applyFont="1" applyAlignment="1">
      <alignment horizontal="left" vertical="center"/>
    </xf>
    <xf numFmtId="183" fontId="7" fillId="0" borderId="0" xfId="0" applyNumberFormat="1" applyFont="1" applyAlignment="1">
      <alignment horizontal="left" vertical="center"/>
    </xf>
    <xf numFmtId="37" fontId="26" fillId="0" borderId="0" xfId="0" applyNumberFormat="1" applyFont="1" applyAlignment="1">
      <alignment horizontal="left" vertical="center"/>
    </xf>
    <xf numFmtId="183" fontId="26" fillId="0" borderId="0" xfId="0" applyNumberFormat="1" applyFont="1" applyAlignment="1">
      <alignment horizontal="left" vertical="center"/>
    </xf>
    <xf numFmtId="9" fontId="7" fillId="0" borderId="0" xfId="19" applyFont="1" applyAlignment="1">
      <alignment horizontal="left" vertical="center"/>
    </xf>
    <xf numFmtId="183" fontId="8" fillId="9" borderId="173" xfId="0" applyNumberFormat="1" applyFont="1" applyFill="1" applyBorder="1" applyAlignment="1">
      <alignment horizontal="center" vertical="center" wrapText="1"/>
    </xf>
    <xf numFmtId="220" fontId="7" fillId="0" borderId="13" xfId="0" applyNumberFormat="1" applyFont="1" applyBorder="1" applyAlignment="1">
      <alignment horizontal="center" vertical="center" wrapText="1"/>
    </xf>
    <xf numFmtId="220" fontId="8" fillId="9" borderId="13" xfId="0" applyNumberFormat="1" applyFont="1" applyFill="1" applyBorder="1" applyAlignment="1">
      <alignment horizontal="center" vertical="center" wrapText="1"/>
    </xf>
    <xf numFmtId="220" fontId="13" fillId="0" borderId="157" xfId="0" applyNumberFormat="1" applyFont="1" applyBorder="1" applyAlignment="1">
      <alignment horizontal="center" vertical="center" wrapText="1"/>
    </xf>
    <xf numFmtId="220" fontId="7" fillId="0" borderId="16" xfId="0" applyNumberFormat="1" applyFont="1" applyBorder="1" applyAlignment="1">
      <alignment horizontal="center" vertical="center" wrapText="1"/>
    </xf>
    <xf numFmtId="220" fontId="13" fillId="0" borderId="130" xfId="0" applyNumberFormat="1" applyFont="1" applyBorder="1" applyAlignment="1">
      <alignment horizontal="center" vertical="center" wrapText="1"/>
    </xf>
    <xf numFmtId="1" fontId="7" fillId="0" borderId="13" xfId="0" applyNumberFormat="1" applyFont="1" applyBorder="1" applyAlignment="1">
      <alignment horizontal="center" vertical="center" wrapText="1"/>
    </xf>
    <xf numFmtId="1" fontId="8" fillId="9" borderId="13" xfId="0" applyNumberFormat="1" applyFont="1" applyFill="1" applyBorder="1" applyAlignment="1">
      <alignment horizontal="center" vertical="center" wrapText="1"/>
    </xf>
    <xf numFmtId="1" fontId="13" fillId="0" borderId="157" xfId="0" applyNumberFormat="1" applyFont="1" applyBorder="1" applyAlignment="1">
      <alignment horizontal="center" vertical="center" wrapText="1"/>
    </xf>
    <xf numFmtId="1" fontId="7" fillId="0" borderId="16" xfId="0" applyNumberFormat="1" applyFont="1" applyBorder="1" applyAlignment="1">
      <alignment horizontal="center" vertical="center" wrapText="1"/>
    </xf>
    <xf numFmtId="1" fontId="8" fillId="9" borderId="16" xfId="0" applyNumberFormat="1" applyFont="1" applyFill="1" applyBorder="1" applyAlignment="1">
      <alignment horizontal="center" vertical="center" wrapText="1"/>
    </xf>
    <xf numFmtId="1" fontId="13" fillId="0" borderId="130" xfId="0" applyNumberFormat="1" applyFont="1" applyBorder="1" applyAlignment="1">
      <alignment horizontal="center" vertical="center" wrapText="1"/>
    </xf>
    <xf numFmtId="1" fontId="7" fillId="0" borderId="2" xfId="0" applyNumberFormat="1" applyFont="1" applyBorder="1" applyAlignment="1">
      <alignment horizontal="center" vertical="center" wrapText="1"/>
    </xf>
    <xf numFmtId="1" fontId="8" fillId="9" borderId="2" xfId="0" applyNumberFormat="1" applyFont="1" applyFill="1" applyBorder="1" applyAlignment="1">
      <alignment horizontal="center" vertical="center" wrapText="1"/>
    </xf>
    <xf numFmtId="1" fontId="13" fillId="0" borderId="24" xfId="0" applyNumberFormat="1" applyFont="1" applyBorder="1" applyAlignment="1">
      <alignment horizontal="center" vertical="center" wrapText="1"/>
    </xf>
    <xf numFmtId="1" fontId="7" fillId="0" borderId="19" xfId="0" applyNumberFormat="1" applyFont="1" applyBorder="1" applyAlignment="1">
      <alignment horizontal="center" vertical="center" wrapText="1"/>
    </xf>
    <xf numFmtId="1" fontId="8" fillId="9" borderId="19" xfId="0" applyNumberFormat="1" applyFont="1" applyFill="1" applyBorder="1" applyAlignment="1">
      <alignment horizontal="center" vertical="center" wrapText="1"/>
    </xf>
    <xf numFmtId="1" fontId="13" fillId="0" borderId="39" xfId="0" applyNumberFormat="1" applyFont="1" applyBorder="1" applyAlignment="1">
      <alignment horizontal="center" vertical="center" wrapText="1"/>
    </xf>
    <xf numFmtId="1" fontId="7" fillId="9" borderId="157" xfId="0" applyNumberFormat="1" applyFont="1" applyFill="1" applyBorder="1" applyAlignment="1">
      <alignment horizontal="center" vertical="center" wrapText="1"/>
    </xf>
    <xf numFmtId="1" fontId="7" fillId="9" borderId="24" xfId="0" applyNumberFormat="1" applyFont="1" applyFill="1" applyBorder="1" applyAlignment="1">
      <alignment horizontal="center" vertical="center" wrapText="1"/>
    </xf>
    <xf numFmtId="1" fontId="7" fillId="9" borderId="39" xfId="0" applyNumberFormat="1" applyFont="1" applyFill="1" applyBorder="1" applyAlignment="1">
      <alignment horizontal="center" vertical="center" wrapText="1"/>
    </xf>
    <xf numFmtId="204" fontId="7" fillId="0" borderId="2" xfId="0" applyNumberFormat="1" applyFont="1" applyBorder="1" applyAlignment="1">
      <alignment horizontal="center" vertical="center" wrapText="1"/>
    </xf>
    <xf numFmtId="204" fontId="8" fillId="9" borderId="2" xfId="0" applyNumberFormat="1" applyFont="1" applyFill="1" applyBorder="1" applyAlignment="1">
      <alignment horizontal="center" vertical="center" wrapText="1"/>
    </xf>
    <xf numFmtId="204" fontId="13" fillId="0" borderId="24" xfId="0" applyNumberFormat="1" applyFont="1" applyBorder="1" applyAlignment="1">
      <alignment horizontal="center" vertical="center" wrapText="1"/>
    </xf>
    <xf numFmtId="204" fontId="7" fillId="0" borderId="19" xfId="0" applyNumberFormat="1" applyFont="1" applyBorder="1" applyAlignment="1">
      <alignment horizontal="center" vertical="center" wrapText="1"/>
    </xf>
    <xf numFmtId="204" fontId="8" fillId="9" borderId="19" xfId="0" applyNumberFormat="1" applyFont="1" applyFill="1" applyBorder="1" applyAlignment="1">
      <alignment horizontal="center" vertical="center" wrapText="1"/>
    </xf>
    <xf numFmtId="204" fontId="13" fillId="0" borderId="39" xfId="0" applyNumberFormat="1" applyFont="1" applyBorder="1" applyAlignment="1">
      <alignment horizontal="center" vertical="center" wrapText="1"/>
    </xf>
    <xf numFmtId="204" fontId="7" fillId="0" borderId="13" xfId="0" applyNumberFormat="1" applyFont="1" applyBorder="1" applyAlignment="1">
      <alignment horizontal="center" vertical="center" wrapText="1"/>
    </xf>
    <xf numFmtId="204" fontId="8" fillId="9" borderId="13" xfId="0" applyNumberFormat="1" applyFont="1" applyFill="1" applyBorder="1" applyAlignment="1">
      <alignment horizontal="center" vertical="center" wrapText="1"/>
    </xf>
    <xf numFmtId="204" fontId="13" fillId="0" borderId="157" xfId="0" applyNumberFormat="1" applyFont="1" applyBorder="1" applyAlignment="1">
      <alignment horizontal="center" vertical="center" wrapText="1"/>
    </xf>
    <xf numFmtId="204" fontId="14" fillId="9" borderId="157" xfId="0" applyNumberFormat="1" applyFont="1" applyFill="1" applyBorder="1" applyAlignment="1">
      <alignment horizontal="center" vertical="center" wrapText="1"/>
    </xf>
    <xf numFmtId="204" fontId="14" fillId="9" borderId="24" xfId="0" applyNumberFormat="1" applyFont="1" applyFill="1" applyBorder="1" applyAlignment="1">
      <alignment horizontal="center" vertical="center" wrapText="1"/>
    </xf>
    <xf numFmtId="204" fontId="7" fillId="0" borderId="16" xfId="0" applyNumberFormat="1" applyFont="1" applyBorder="1" applyAlignment="1">
      <alignment horizontal="center" vertical="center" wrapText="1"/>
    </xf>
    <xf numFmtId="204" fontId="8" fillId="9" borderId="16" xfId="0" applyNumberFormat="1" applyFont="1" applyFill="1" applyBorder="1" applyAlignment="1">
      <alignment horizontal="center" vertical="center" wrapText="1"/>
    </xf>
    <xf numFmtId="204" fontId="13" fillId="0" borderId="130" xfId="0" applyNumberFormat="1" applyFont="1" applyBorder="1" applyAlignment="1">
      <alignment horizontal="center" vertical="center" wrapText="1"/>
    </xf>
    <xf numFmtId="204" fontId="7" fillId="0" borderId="173" xfId="0" applyNumberFormat="1" applyFont="1" applyBorder="1" applyAlignment="1">
      <alignment horizontal="center" vertical="center" wrapText="1"/>
    </xf>
    <xf numFmtId="204" fontId="8" fillId="9" borderId="173" xfId="0" applyNumberFormat="1" applyFont="1" applyFill="1" applyBorder="1" applyAlignment="1">
      <alignment horizontal="center" vertical="center" wrapText="1"/>
    </xf>
    <xf numFmtId="204" fontId="13" fillId="0" borderId="174" xfId="0" applyNumberFormat="1" applyFont="1" applyBorder="1" applyAlignment="1">
      <alignment horizontal="center" vertical="center" wrapText="1"/>
    </xf>
    <xf numFmtId="195" fontId="7" fillId="0" borderId="188" xfId="0" applyNumberFormat="1" applyFont="1" applyBorder="1" applyAlignment="1">
      <alignment horizontal="center" vertical="center" wrapText="1"/>
    </xf>
    <xf numFmtId="195" fontId="13" fillId="0" borderId="187" xfId="0" applyNumberFormat="1" applyFont="1" applyBorder="1" applyAlignment="1">
      <alignment horizontal="center" vertical="center" wrapText="1"/>
    </xf>
    <xf numFmtId="195" fontId="7" fillId="0" borderId="2" xfId="19" applyNumberFormat="1" applyFont="1" applyFill="1" applyBorder="1" applyAlignment="1">
      <alignment horizontal="center" vertical="center" wrapText="1"/>
    </xf>
    <xf numFmtId="195" fontId="102" fillId="9" borderId="24" xfId="0" applyNumberFormat="1" applyFont="1" applyFill="1" applyBorder="1" applyAlignment="1">
      <alignment horizontal="center" vertical="center" wrapText="1"/>
    </xf>
    <xf numFmtId="195" fontId="7" fillId="0" borderId="16" xfId="0" applyNumberFormat="1" applyFont="1" applyBorder="1" applyAlignment="1">
      <alignment horizontal="center" vertical="center" wrapText="1"/>
    </xf>
    <xf numFmtId="195" fontId="7" fillId="9" borderId="130" xfId="0" applyNumberFormat="1" applyFont="1" applyFill="1" applyBorder="1" applyAlignment="1">
      <alignment horizontal="center" vertical="center" wrapText="1"/>
    </xf>
    <xf numFmtId="195" fontId="7" fillId="0" borderId="13" xfId="0" applyNumberFormat="1" applyFont="1" applyBorder="1" applyAlignment="1">
      <alignment horizontal="center" vertical="center" wrapText="1"/>
    </xf>
    <xf numFmtId="195" fontId="102" fillId="9" borderId="157" xfId="0" applyNumberFormat="1" applyFont="1" applyFill="1" applyBorder="1" applyAlignment="1">
      <alignment horizontal="center" vertical="center" wrapText="1"/>
    </xf>
    <xf numFmtId="195" fontId="7" fillId="0" borderId="2" xfId="0" applyNumberFormat="1" applyFont="1" applyBorder="1" applyAlignment="1">
      <alignment horizontal="center" vertical="center" wrapText="1"/>
    </xf>
    <xf numFmtId="195" fontId="13" fillId="0" borderId="24" xfId="0" applyNumberFormat="1" applyFont="1" applyBorder="1" applyAlignment="1">
      <alignment horizontal="center" vertical="center" wrapText="1"/>
    </xf>
    <xf numFmtId="195" fontId="13" fillId="0" borderId="130" xfId="0" applyNumberFormat="1" applyFont="1" applyBorder="1" applyAlignment="1">
      <alignment horizontal="center" vertical="center" wrapText="1"/>
    </xf>
    <xf numFmtId="195" fontId="7" fillId="0" borderId="173" xfId="0" applyNumberFormat="1" applyFont="1" applyBorder="1" applyAlignment="1">
      <alignment horizontal="center" vertical="center" wrapText="1"/>
    </xf>
    <xf numFmtId="195" fontId="13" fillId="0" borderId="174" xfId="0" applyNumberFormat="1" applyFont="1" applyBorder="1" applyAlignment="1">
      <alignment horizontal="center" vertical="center" wrapText="1"/>
    </xf>
    <xf numFmtId="195" fontId="7" fillId="0" borderId="3" xfId="0" applyNumberFormat="1" applyFont="1" applyBorder="1" applyAlignment="1">
      <alignment horizontal="center" vertical="center" wrapText="1"/>
    </xf>
    <xf numFmtId="195" fontId="8" fillId="9" borderId="24" xfId="0" applyNumberFormat="1" applyFont="1" applyFill="1" applyBorder="1" applyAlignment="1">
      <alignment horizontal="center" vertical="center" wrapText="1"/>
    </xf>
    <xf numFmtId="37" fontId="13" fillId="0" borderId="228" xfId="0" applyNumberFormat="1" applyFont="1" applyBorder="1" applyAlignment="1">
      <alignment horizontal="center" vertical="center" wrapText="1"/>
    </xf>
    <xf numFmtId="37" fontId="7" fillId="0" borderId="160" xfId="0" applyNumberFormat="1" applyFont="1" applyBorder="1" applyAlignment="1">
      <alignment horizontal="center" vertical="center" wrapText="1"/>
    </xf>
    <xf numFmtId="37" fontId="13" fillId="0" borderId="179" xfId="0" applyNumberFormat="1" applyFont="1" applyBorder="1" applyAlignment="1">
      <alignment horizontal="center" vertical="center" wrapText="1"/>
    </xf>
    <xf numFmtId="195" fontId="7" fillId="9" borderId="24" xfId="0" applyNumberFormat="1" applyFont="1" applyFill="1" applyBorder="1" applyAlignment="1">
      <alignment horizontal="center" vertical="center" wrapText="1"/>
    </xf>
    <xf numFmtId="220" fontId="7" fillId="0" borderId="21" xfId="0" applyNumberFormat="1" applyFont="1" applyBorder="1" applyAlignment="1">
      <alignment horizontal="center" vertical="center" wrapText="1"/>
    </xf>
    <xf numFmtId="220" fontId="13" fillId="0" borderId="22" xfId="0" applyNumberFormat="1" applyFont="1" applyBorder="1" applyAlignment="1">
      <alignment horizontal="center" vertical="center" wrapText="1"/>
    </xf>
    <xf numFmtId="39" fontId="24" fillId="0" borderId="119" xfId="0" applyNumberFormat="1" applyFont="1" applyBorder="1" applyAlignment="1">
      <alignment horizontal="center" vertical="center" wrapText="1"/>
    </xf>
    <xf numFmtId="220" fontId="14" fillId="9" borderId="157" xfId="0" applyNumberFormat="1" applyFont="1" applyFill="1" applyBorder="1" applyAlignment="1">
      <alignment horizontal="center" vertical="center" wrapText="1"/>
    </xf>
    <xf numFmtId="220" fontId="7" fillId="0" borderId="2" xfId="0" applyNumberFormat="1" applyFont="1" applyBorder="1" applyAlignment="1">
      <alignment horizontal="center" vertical="center" wrapText="1"/>
    </xf>
    <xf numFmtId="220" fontId="7" fillId="9" borderId="24" xfId="0" applyNumberFormat="1" applyFont="1" applyFill="1" applyBorder="1" applyAlignment="1">
      <alignment horizontal="center" vertical="center" wrapText="1"/>
    </xf>
    <xf numFmtId="220" fontId="13" fillId="0" borderId="24" xfId="0" applyNumberFormat="1" applyFont="1" applyBorder="1" applyAlignment="1">
      <alignment horizontal="center" vertical="center" wrapText="1"/>
    </xf>
    <xf numFmtId="220" fontId="13" fillId="0" borderId="39" xfId="0" applyNumberFormat="1" applyFont="1" applyBorder="1" applyAlignment="1">
      <alignment horizontal="center" vertical="center" wrapText="1"/>
    </xf>
    <xf numFmtId="220" fontId="7" fillId="0" borderId="19" xfId="0" applyNumberFormat="1" applyFont="1" applyBorder="1" applyAlignment="1">
      <alignment horizontal="center" vertical="center" wrapText="1"/>
    </xf>
    <xf numFmtId="220" fontId="7" fillId="0" borderId="28" xfId="0" applyNumberFormat="1" applyFont="1" applyBorder="1" applyAlignment="1">
      <alignment horizontal="center" vertical="center" wrapText="1"/>
    </xf>
    <xf numFmtId="220" fontId="102" fillId="9" borderId="266" xfId="0" applyNumberFormat="1" applyFont="1" applyFill="1" applyBorder="1" applyAlignment="1">
      <alignment horizontal="center" vertical="center" wrapText="1"/>
    </xf>
    <xf numFmtId="220" fontId="7" fillId="0" borderId="188" xfId="0" applyNumberFormat="1" applyFont="1" applyBorder="1" applyAlignment="1">
      <alignment horizontal="center" vertical="center" wrapText="1"/>
    </xf>
    <xf numFmtId="220" fontId="13" fillId="0" borderId="187" xfId="0" applyNumberFormat="1" applyFont="1" applyBorder="1" applyAlignment="1">
      <alignment horizontal="center" vertical="center" wrapText="1"/>
    </xf>
    <xf numFmtId="219" fontId="7" fillId="0" borderId="0" xfId="0" applyNumberFormat="1" applyFont="1" applyAlignment="1">
      <alignment horizontal="center" vertical="center" wrapText="1"/>
    </xf>
    <xf numFmtId="195" fontId="7" fillId="8" borderId="255" xfId="0" applyNumberFormat="1" applyFont="1" applyFill="1" applyBorder="1" applyAlignment="1">
      <alignment horizontal="center" vertical="center" wrapText="1"/>
    </xf>
    <xf numFmtId="195" fontId="111" fillId="0" borderId="187" xfId="0" applyNumberFormat="1" applyFont="1" applyBorder="1" applyAlignment="1">
      <alignment horizontal="center" vertical="center" wrapText="1"/>
    </xf>
    <xf numFmtId="195" fontId="7" fillId="8" borderId="181" xfId="0" applyNumberFormat="1" applyFont="1" applyFill="1" applyBorder="1" applyAlignment="1">
      <alignment horizontal="center" vertical="center" wrapText="1"/>
    </xf>
    <xf numFmtId="195" fontId="111" fillId="0" borderId="174" xfId="0" applyNumberFormat="1" applyFont="1" applyBorder="1" applyAlignment="1">
      <alignment horizontal="center" vertical="center" wrapText="1"/>
    </xf>
    <xf numFmtId="195" fontId="112" fillId="9" borderId="24" xfId="0" applyNumberFormat="1" applyFont="1" applyFill="1" applyBorder="1" applyAlignment="1">
      <alignment horizontal="center" vertical="center" wrapText="1"/>
    </xf>
    <xf numFmtId="195" fontId="111" fillId="0" borderId="24" xfId="0" applyNumberFormat="1" applyFont="1" applyBorder="1" applyAlignment="1">
      <alignment horizontal="center" vertical="center" wrapText="1"/>
    </xf>
    <xf numFmtId="195" fontId="7" fillId="8" borderId="167" xfId="0" applyNumberFormat="1" applyFont="1" applyFill="1" applyBorder="1" applyAlignment="1">
      <alignment horizontal="center" vertical="center" wrapText="1"/>
    </xf>
    <xf numFmtId="195" fontId="7" fillId="8" borderId="3" xfId="19" applyNumberFormat="1" applyFont="1" applyFill="1" applyBorder="1" applyAlignment="1">
      <alignment horizontal="center" vertical="center" wrapText="1"/>
    </xf>
    <xf numFmtId="195" fontId="7" fillId="9" borderId="39" xfId="0" applyNumberFormat="1" applyFont="1" applyFill="1" applyBorder="1" applyAlignment="1">
      <alignment horizontal="center" vertical="center" wrapText="1"/>
    </xf>
    <xf numFmtId="195" fontId="109" fillId="9" borderId="24" xfId="0" applyNumberFormat="1" applyFont="1" applyFill="1" applyBorder="1" applyAlignment="1">
      <alignment horizontal="center" vertical="center" wrapText="1"/>
    </xf>
    <xf numFmtId="195" fontId="7" fillId="0" borderId="127" xfId="0" applyNumberFormat="1" applyFont="1" applyBorder="1" applyAlignment="1">
      <alignment horizontal="center" vertical="center" wrapText="1"/>
    </xf>
    <xf numFmtId="195" fontId="111" fillId="0" borderId="130" xfId="0" applyNumberFormat="1" applyFont="1" applyBorder="1" applyAlignment="1">
      <alignment horizontal="center" vertical="center" wrapText="1"/>
    </xf>
    <xf numFmtId="195" fontId="7" fillId="8" borderId="3" xfId="0" applyNumberFormat="1" applyFont="1" applyFill="1" applyBorder="1" applyAlignment="1">
      <alignment horizontal="center" vertical="center" wrapText="1"/>
    </xf>
    <xf numFmtId="195" fontId="112" fillId="9" borderId="157" xfId="0" applyNumberFormat="1" applyFont="1" applyFill="1" applyBorder="1" applyAlignment="1">
      <alignment horizontal="center" vertical="center" wrapText="1"/>
    </xf>
    <xf numFmtId="195" fontId="7" fillId="0" borderId="3" xfId="19" applyNumberFormat="1" applyFont="1" applyFill="1" applyBorder="1" applyAlignment="1">
      <alignment horizontal="center" vertical="center" wrapText="1"/>
    </xf>
    <xf numFmtId="195" fontId="112" fillId="0" borderId="13" xfId="0" applyNumberFormat="1" applyFont="1" applyBorder="1" applyAlignment="1">
      <alignment horizontal="center" vertical="center" wrapText="1"/>
    </xf>
    <xf numFmtId="195" fontId="7" fillId="0" borderId="167" xfId="0" applyNumberFormat="1" applyFont="1" applyBorder="1" applyAlignment="1">
      <alignment horizontal="center" vertical="center" wrapText="1"/>
    </xf>
    <xf numFmtId="195" fontId="111" fillId="0" borderId="157" xfId="0" applyNumberFormat="1" applyFont="1" applyBorder="1" applyAlignment="1">
      <alignment horizontal="center" vertical="center" wrapText="1"/>
    </xf>
    <xf numFmtId="195" fontId="8" fillId="0" borderId="251" xfId="0" applyNumberFormat="1" applyFont="1" applyBorder="1" applyAlignment="1">
      <alignment horizontal="center" vertical="center" wrapText="1"/>
    </xf>
    <xf numFmtId="195" fontId="115" fillId="9" borderId="266" xfId="0" applyNumberFormat="1" applyFont="1" applyFill="1" applyBorder="1" applyAlignment="1">
      <alignment horizontal="center" vertical="center" wrapText="1"/>
    </xf>
    <xf numFmtId="221" fontId="14" fillId="0" borderId="20" xfId="0" applyNumberFormat="1" applyFont="1" applyBorder="1" applyAlignment="1">
      <alignment horizontal="center" vertical="center" wrapText="1"/>
    </xf>
    <xf numFmtId="221" fontId="7" fillId="0" borderId="13" xfId="0" applyNumberFormat="1" applyFont="1" applyBorder="1" applyAlignment="1">
      <alignment horizontal="center" vertical="center" wrapText="1"/>
    </xf>
    <xf numFmtId="221" fontId="14" fillId="9" borderId="157" xfId="0" applyNumberFormat="1" applyFont="1" applyFill="1" applyBorder="1" applyAlignment="1">
      <alignment horizontal="center" vertical="center" wrapText="1"/>
    </xf>
    <xf numFmtId="221" fontId="7" fillId="8" borderId="0" xfId="0" applyNumberFormat="1" applyFont="1" applyFill="1" applyAlignment="1">
      <alignment horizontal="center" vertical="center" wrapText="1"/>
    </xf>
    <xf numFmtId="221" fontId="7" fillId="0" borderId="0" xfId="0" applyNumberFormat="1" applyFont="1" applyAlignment="1">
      <alignment horizontal="center" vertical="center" wrapText="1"/>
    </xf>
    <xf numFmtId="221" fontId="14" fillId="0" borderId="20" xfId="0" applyNumberFormat="1" applyFont="1" applyBorder="1" applyAlignment="1">
      <alignment horizontal="centerContinuous" vertical="center" wrapText="1"/>
    </xf>
    <xf numFmtId="221" fontId="14" fillId="0" borderId="128" xfId="0" applyNumberFormat="1" applyFont="1" applyBorder="1" applyAlignment="1">
      <alignment horizontal="center" vertical="center" wrapText="1"/>
    </xf>
    <xf numFmtId="221" fontId="7" fillId="8" borderId="3" xfId="0" applyNumberFormat="1" applyFont="1" applyFill="1" applyBorder="1" applyAlignment="1">
      <alignment horizontal="center" vertical="center" wrapText="1"/>
    </xf>
    <xf numFmtId="221" fontId="109" fillId="9" borderId="24" xfId="0" applyNumberFormat="1" applyFont="1" applyFill="1" applyBorder="1" applyAlignment="1">
      <alignment horizontal="center" vertical="center" wrapText="1"/>
    </xf>
    <xf numFmtId="221" fontId="112" fillId="0" borderId="0" xfId="0" applyNumberFormat="1" applyFont="1" applyAlignment="1">
      <alignment horizontal="center" vertical="center" wrapText="1"/>
    </xf>
    <xf numFmtId="221" fontId="7" fillId="8" borderId="3" xfId="19" applyNumberFormat="1" applyFont="1" applyFill="1" applyBorder="1" applyAlignment="1">
      <alignment horizontal="center" vertical="center" wrapText="1"/>
    </xf>
    <xf numFmtId="221" fontId="112" fillId="9" borderId="24" xfId="0" applyNumberFormat="1" applyFont="1" applyFill="1" applyBorder="1" applyAlignment="1">
      <alignment horizontal="center" vertical="center" wrapText="1"/>
    </xf>
    <xf numFmtId="221" fontId="14" fillId="0" borderId="247" xfId="0" applyNumberFormat="1" applyFont="1" applyBorder="1" applyAlignment="1">
      <alignment horizontal="center" vertical="center" wrapText="1"/>
    </xf>
    <xf numFmtId="221" fontId="14" fillId="0" borderId="241" xfId="0" applyNumberFormat="1" applyFont="1" applyBorder="1" applyAlignment="1">
      <alignment horizontal="center" vertical="center" wrapText="1"/>
    </xf>
    <xf numFmtId="221" fontId="14" fillId="0" borderId="197" xfId="0" applyNumberFormat="1" applyFont="1" applyBorder="1" applyAlignment="1">
      <alignment horizontal="center" vertical="center" wrapText="1"/>
    </xf>
    <xf numFmtId="221" fontId="7" fillId="9" borderId="24" xfId="0" applyNumberFormat="1" applyFont="1" applyFill="1" applyBorder="1" applyAlignment="1">
      <alignment horizontal="center" vertical="center" wrapText="1"/>
    </xf>
    <xf numFmtId="195" fontId="14" fillId="9" borderId="157" xfId="0" applyNumberFormat="1" applyFont="1" applyFill="1" applyBorder="1" applyAlignment="1">
      <alignment horizontal="center" vertical="center" wrapText="1"/>
    </xf>
    <xf numFmtId="195" fontId="7" fillId="9" borderId="157" xfId="0" applyNumberFormat="1" applyFont="1" applyFill="1" applyBorder="1" applyAlignment="1">
      <alignment horizontal="center" vertical="center" wrapText="1"/>
    </xf>
    <xf numFmtId="195" fontId="7" fillId="8" borderId="2" xfId="0" applyNumberFormat="1" applyFont="1" applyFill="1" applyBorder="1" applyAlignment="1">
      <alignment horizontal="center" vertical="center" wrapText="1"/>
    </xf>
    <xf numFmtId="195" fontId="7" fillId="8" borderId="13" xfId="0" applyNumberFormat="1" applyFont="1" applyFill="1" applyBorder="1" applyAlignment="1">
      <alignment horizontal="center" vertical="center" wrapText="1"/>
    </xf>
    <xf numFmtId="195" fontId="13" fillId="0" borderId="157" xfId="0" applyNumberFormat="1" applyFont="1" applyBorder="1" applyAlignment="1">
      <alignment horizontal="center" vertical="center" wrapText="1"/>
    </xf>
    <xf numFmtId="195" fontId="7" fillId="0" borderId="105" xfId="0" applyNumberFormat="1" applyFont="1" applyBorder="1" applyAlignment="1">
      <alignment horizontal="center" vertical="center" wrapText="1"/>
    </xf>
    <xf numFmtId="195" fontId="13" fillId="0" borderId="114" xfId="0" applyNumberFormat="1" applyFont="1" applyBorder="1" applyAlignment="1">
      <alignment horizontal="center" vertical="center" wrapText="1"/>
    </xf>
    <xf numFmtId="195" fontId="7" fillId="0" borderId="19" xfId="0" applyNumberFormat="1" applyFont="1" applyBorder="1" applyAlignment="1">
      <alignment horizontal="center" vertical="center" wrapText="1"/>
    </xf>
    <xf numFmtId="195" fontId="13" fillId="0" borderId="39" xfId="0" applyNumberFormat="1" applyFont="1" applyBorder="1" applyAlignment="1">
      <alignment horizontal="center" vertical="center" wrapText="1"/>
    </xf>
    <xf numFmtId="221" fontId="7" fillId="8" borderId="2" xfId="0" applyNumberFormat="1" applyFont="1" applyFill="1" applyBorder="1" applyAlignment="1">
      <alignment horizontal="center" vertical="center" wrapText="1"/>
    </xf>
    <xf numFmtId="221" fontId="7" fillId="0" borderId="0" xfId="0" applyNumberFormat="1" applyFont="1" applyAlignment="1">
      <alignment horizontal="left" vertical="center"/>
    </xf>
    <xf numFmtId="221" fontId="26" fillId="0" borderId="0" xfId="0" applyNumberFormat="1" applyFont="1" applyAlignment="1">
      <alignment horizontal="center" vertical="center" wrapText="1"/>
    </xf>
    <xf numFmtId="195" fontId="120" fillId="9" borderId="24" xfId="0" applyNumberFormat="1" applyFont="1" applyFill="1" applyBorder="1" applyAlignment="1">
      <alignment horizontal="center" vertical="center" wrapText="1"/>
    </xf>
    <xf numFmtId="195" fontId="7" fillId="9" borderId="165" xfId="0" applyNumberFormat="1" applyFont="1" applyFill="1" applyBorder="1" applyAlignment="1">
      <alignment horizontal="center" vertical="center" wrapText="1"/>
    </xf>
    <xf numFmtId="195" fontId="14" fillId="9" borderId="93" xfId="0" applyNumberFormat="1" applyFont="1" applyFill="1" applyBorder="1" applyAlignment="1">
      <alignment horizontal="center" vertical="center" wrapText="1"/>
    </xf>
    <xf numFmtId="195" fontId="13" fillId="0" borderId="164" xfId="0" applyNumberFormat="1" applyFont="1" applyBorder="1" applyAlignment="1">
      <alignment horizontal="center" vertical="center" wrapText="1"/>
    </xf>
    <xf numFmtId="195" fontId="13" fillId="9" borderId="165" xfId="0" applyNumberFormat="1" applyFont="1" applyFill="1" applyBorder="1" applyAlignment="1">
      <alignment horizontal="center" vertical="center" wrapText="1"/>
    </xf>
    <xf numFmtId="195" fontId="7" fillId="9" borderId="93" xfId="0" applyNumberFormat="1" applyFont="1" applyFill="1" applyBorder="1" applyAlignment="1">
      <alignment horizontal="center" vertical="center" wrapText="1"/>
    </xf>
    <xf numFmtId="195" fontId="13" fillId="0" borderId="93" xfId="0" applyNumberFormat="1" applyFont="1" applyBorder="1" applyAlignment="1">
      <alignment horizontal="center" vertical="center" wrapText="1"/>
    </xf>
    <xf numFmtId="195" fontId="7" fillId="9" borderId="164" xfId="0" applyNumberFormat="1" applyFont="1" applyFill="1" applyBorder="1" applyAlignment="1">
      <alignment horizontal="center" vertical="center" wrapText="1"/>
    </xf>
    <xf numFmtId="195" fontId="7" fillId="0" borderId="36" xfId="0" applyNumberFormat="1" applyFont="1" applyBorder="1" applyAlignment="1">
      <alignment horizontal="center" vertical="center" wrapText="1"/>
    </xf>
    <xf numFmtId="222" fontId="7" fillId="0" borderId="2" xfId="0" applyNumberFormat="1" applyFont="1" applyBorder="1" applyAlignment="1">
      <alignment horizontal="center" vertical="center" wrapText="1"/>
    </xf>
    <xf numFmtId="222" fontId="14" fillId="9" borderId="93" xfId="0" applyNumberFormat="1" applyFont="1" applyFill="1" applyBorder="1" applyAlignment="1">
      <alignment horizontal="center" vertical="center" wrapText="1"/>
    </xf>
    <xf numFmtId="195" fontId="7" fillId="0" borderId="2" xfId="0" quotePrefix="1" applyNumberFormat="1" applyFont="1" applyBorder="1" applyAlignment="1">
      <alignment horizontal="center" vertical="center" wrapText="1"/>
    </xf>
    <xf numFmtId="195" fontId="13" fillId="0" borderId="171" xfId="0" applyNumberFormat="1" applyFont="1" applyBorder="1" applyAlignment="1">
      <alignment horizontal="center" vertical="center" wrapText="1"/>
    </xf>
    <xf numFmtId="195" fontId="13" fillId="0" borderId="168" xfId="0" applyNumberFormat="1" applyFont="1" applyBorder="1" applyAlignment="1">
      <alignment horizontal="center" vertical="center" wrapText="1"/>
    </xf>
    <xf numFmtId="9" fontId="7" fillId="0" borderId="232" xfId="19" applyFont="1" applyBorder="1" applyAlignment="1">
      <alignment horizontal="center" vertical="center" wrapText="1"/>
    </xf>
    <xf numFmtId="167" fontId="7" fillId="0" borderId="36" xfId="0" applyFont="1" applyBorder="1" applyAlignment="1">
      <alignment horizontal="center" vertical="center" wrapText="1"/>
    </xf>
    <xf numFmtId="222" fontId="7" fillId="9" borderId="93" xfId="0" applyNumberFormat="1" applyFont="1" applyFill="1" applyBorder="1" applyAlignment="1">
      <alignment horizontal="center" vertical="center" wrapText="1"/>
    </xf>
    <xf numFmtId="222" fontId="8" fillId="0" borderId="35" xfId="0" applyNumberFormat="1" applyFont="1" applyBorder="1" applyAlignment="1">
      <alignment horizontal="center" vertical="center" wrapText="1"/>
    </xf>
    <xf numFmtId="222" fontId="7" fillId="0" borderId="36" xfId="0" applyNumberFormat="1" applyFont="1" applyBorder="1" applyAlignment="1">
      <alignment horizontal="center" vertical="center" wrapText="1"/>
    </xf>
    <xf numFmtId="222" fontId="13" fillId="9" borderId="190" xfId="0" applyNumberFormat="1" applyFont="1" applyFill="1" applyBorder="1" applyAlignment="1">
      <alignment horizontal="center" vertical="center" wrapText="1"/>
    </xf>
    <xf numFmtId="167" fontId="84" fillId="0" borderId="175" xfId="0" applyFont="1" applyBorder="1" applyAlignment="1">
      <alignment horizontal="center" vertical="center" wrapText="1"/>
    </xf>
    <xf numFmtId="167" fontId="24" fillId="0" borderId="286" xfId="0" applyFont="1" applyBorder="1" applyAlignment="1">
      <alignment horizontal="center" vertical="center" wrapText="1"/>
    </xf>
    <xf numFmtId="188" fontId="7" fillId="8" borderId="0" xfId="0" applyNumberFormat="1" applyFont="1" applyFill="1" applyAlignment="1">
      <alignment horizontal="center" vertical="center" wrapText="1"/>
    </xf>
    <xf numFmtId="188" fontId="7" fillId="8" borderId="231" xfId="0" applyNumberFormat="1" applyFont="1" applyFill="1" applyBorder="1" applyAlignment="1">
      <alignment horizontal="center" vertical="center" wrapText="1"/>
    </xf>
    <xf numFmtId="188" fontId="7" fillId="8" borderId="3" xfId="0" applyNumberFormat="1" applyFont="1" applyFill="1" applyBorder="1" applyAlignment="1">
      <alignment horizontal="center" vertical="center" wrapText="1"/>
    </xf>
    <xf numFmtId="195" fontId="14" fillId="8" borderId="232" xfId="0" applyNumberFormat="1" applyFont="1" applyFill="1" applyBorder="1" applyAlignment="1">
      <alignment horizontal="center" vertical="center" wrapText="1"/>
    </xf>
    <xf numFmtId="195" fontId="13" fillId="0" borderId="165" xfId="0" applyNumberFormat="1" applyFont="1" applyBorder="1" applyAlignment="1">
      <alignment horizontal="center" vertical="center" wrapText="1"/>
    </xf>
    <xf numFmtId="195" fontId="7" fillId="0" borderId="181" xfId="0" applyNumberFormat="1" applyFont="1" applyBorder="1" applyAlignment="1">
      <alignment horizontal="center" vertical="center" wrapText="1"/>
    </xf>
    <xf numFmtId="195" fontId="13" fillId="0" borderId="180" xfId="0" applyNumberFormat="1" applyFont="1" applyBorder="1" applyAlignment="1">
      <alignment horizontal="center" vertical="center" wrapText="1"/>
    </xf>
    <xf numFmtId="195" fontId="8" fillId="0" borderId="16" xfId="0" applyNumberFormat="1" applyFont="1" applyBorder="1" applyAlignment="1">
      <alignment horizontal="center" vertical="center" wrapText="1"/>
    </xf>
    <xf numFmtId="39" fontId="80" fillId="0" borderId="261" xfId="0" applyNumberFormat="1" applyFont="1" applyBorder="1" applyAlignment="1">
      <alignment vertical="center" wrapText="1"/>
    </xf>
    <xf numFmtId="167" fontId="8" fillId="0" borderId="194" xfId="0" applyFont="1" applyBorder="1" applyAlignment="1">
      <alignment horizontal="center" vertical="center" wrapText="1"/>
    </xf>
    <xf numFmtId="185" fontId="13" fillId="0" borderId="194" xfId="0" applyNumberFormat="1" applyFont="1" applyBorder="1" applyAlignment="1">
      <alignment horizontal="center" vertical="center" wrapText="1"/>
    </xf>
    <xf numFmtId="37" fontId="14" fillId="0" borderId="75" xfId="0" applyNumberFormat="1" applyFont="1" applyBorder="1" applyAlignment="1">
      <alignment horizontal="center" vertical="center" wrapText="1"/>
    </xf>
    <xf numFmtId="39" fontId="14" fillId="0" borderId="154" xfId="0" applyNumberFormat="1" applyFont="1" applyBorder="1" applyAlignment="1">
      <alignment horizontal="center" vertical="center" wrapText="1"/>
    </xf>
    <xf numFmtId="39" fontId="14" fillId="0" borderId="75" xfId="0" applyNumberFormat="1" applyFont="1" applyBorder="1" applyAlignment="1">
      <alignment horizontal="center" vertical="center" wrapText="1"/>
    </xf>
    <xf numFmtId="39" fontId="14" fillId="0" borderId="111" xfId="0" applyNumberFormat="1" applyFont="1" applyBorder="1" applyAlignment="1">
      <alignment horizontal="center" vertical="center" wrapText="1"/>
    </xf>
    <xf numFmtId="39" fontId="14" fillId="0" borderId="40" xfId="0" applyNumberFormat="1" applyFont="1" applyBorder="1" applyAlignment="1">
      <alignment horizontal="center" vertical="center" wrapText="1"/>
    </xf>
    <xf numFmtId="39" fontId="14" fillId="0" borderId="193" xfId="0" applyNumberFormat="1" applyFont="1" applyBorder="1" applyAlignment="1">
      <alignment horizontal="center" vertical="center" wrapText="1"/>
    </xf>
    <xf numFmtId="39" fontId="14" fillId="0" borderId="77" xfId="0" applyNumberFormat="1" applyFont="1" applyBorder="1" applyAlignment="1">
      <alignment horizontal="center" vertical="center" wrapText="1"/>
    </xf>
    <xf numFmtId="39" fontId="7" fillId="0" borderId="194" xfId="0" applyNumberFormat="1" applyFont="1" applyBorder="1" applyAlignment="1">
      <alignment horizontal="center" vertical="center" wrapText="1"/>
    </xf>
    <xf numFmtId="39" fontId="13" fillId="0" borderId="194" xfId="0" applyNumberFormat="1" applyFont="1" applyBorder="1" applyAlignment="1">
      <alignment horizontal="center" vertical="center" wrapText="1"/>
    </xf>
    <xf numFmtId="37" fontId="152" fillId="10" borderId="287" xfId="41057" applyNumberFormat="1" applyFont="1" applyFill="1" applyBorder="1" applyAlignment="1" applyProtection="1">
      <alignment horizontal="center" vertical="center" wrapText="1"/>
    </xf>
    <xf numFmtId="37" fontId="14" fillId="0" borderId="4" xfId="0" applyNumberFormat="1" applyFont="1" applyBorder="1" applyAlignment="1">
      <alignment horizontal="center" vertical="center" wrapText="1"/>
    </xf>
    <xf numFmtId="167" fontId="84" fillId="10" borderId="176" xfId="0" applyFont="1" applyFill="1" applyBorder="1" applyAlignment="1">
      <alignment horizontal="center" vertical="center" wrapText="1"/>
    </xf>
    <xf numFmtId="39" fontId="8" fillId="10" borderId="176" xfId="0" applyNumberFormat="1" applyFont="1" applyFill="1" applyBorder="1" applyAlignment="1">
      <alignment horizontal="center" vertical="center" wrapText="1"/>
    </xf>
    <xf numFmtId="183" fontId="26" fillId="9" borderId="24" xfId="0" applyNumberFormat="1" applyFont="1" applyFill="1" applyBorder="1" applyAlignment="1">
      <alignment horizontal="center" vertical="center" wrapText="1"/>
    </xf>
    <xf numFmtId="195" fontId="7" fillId="0" borderId="255" xfId="0" applyNumberFormat="1" applyFont="1" applyBorder="1" applyAlignment="1">
      <alignment horizontal="center" vertical="center" wrapText="1"/>
    </xf>
    <xf numFmtId="195" fontId="7" fillId="10" borderId="176" xfId="0" applyNumberFormat="1" applyFont="1" applyFill="1" applyBorder="1" applyAlignment="1">
      <alignment horizontal="center" vertical="center" wrapText="1"/>
    </xf>
    <xf numFmtId="195" fontId="13" fillId="10" borderId="180" xfId="0" applyNumberFormat="1" applyFont="1" applyFill="1" applyBorder="1" applyAlignment="1">
      <alignment horizontal="center" vertical="center" wrapText="1"/>
    </xf>
    <xf numFmtId="195" fontId="7" fillId="8" borderId="127" xfId="0" applyNumberFormat="1" applyFont="1" applyFill="1" applyBorder="1" applyAlignment="1">
      <alignment horizontal="center" vertical="center" wrapText="1"/>
    </xf>
    <xf numFmtId="195" fontId="8" fillId="9" borderId="157" xfId="0" applyNumberFormat="1" applyFont="1" applyFill="1" applyBorder="1" applyAlignment="1">
      <alignment horizontal="center" vertical="center" wrapText="1"/>
    </xf>
    <xf numFmtId="195" fontId="7" fillId="0" borderId="116" xfId="0" applyNumberFormat="1" applyFont="1" applyBorder="1" applyAlignment="1">
      <alignment horizontal="center" vertical="center" wrapText="1"/>
    </xf>
    <xf numFmtId="3" fontId="7" fillId="8" borderId="127" xfId="0" applyNumberFormat="1" applyFont="1" applyFill="1" applyBorder="1" applyAlignment="1">
      <alignment horizontal="center" vertical="center" wrapText="1"/>
    </xf>
    <xf numFmtId="39" fontId="14" fillId="8" borderId="105" xfId="0" applyNumberFormat="1" applyFont="1" applyFill="1" applyBorder="1" applyAlignment="1">
      <alignment horizontal="center" vertical="center" wrapText="1"/>
    </xf>
    <xf numFmtId="195" fontId="13" fillId="9" borderId="24" xfId="0" applyNumberFormat="1" applyFont="1" applyFill="1" applyBorder="1" applyAlignment="1">
      <alignment horizontal="center" vertical="center" wrapText="1"/>
    </xf>
    <xf numFmtId="195" fontId="13" fillId="9" borderId="130" xfId="0" applyNumberFormat="1" applyFont="1" applyFill="1" applyBorder="1" applyAlignment="1">
      <alignment horizontal="center" vertical="center" wrapText="1"/>
    </xf>
    <xf numFmtId="223" fontId="8" fillId="8" borderId="19" xfId="0" quotePrefix="1" applyNumberFormat="1" applyFont="1" applyFill="1" applyBorder="1" applyAlignment="1">
      <alignment horizontal="center" vertical="center" wrapText="1"/>
    </xf>
    <xf numFmtId="167" fontId="8" fillId="0" borderId="127" xfId="0" applyFont="1" applyBorder="1" applyAlignment="1">
      <alignment horizontal="center" vertical="center" wrapText="1"/>
    </xf>
    <xf numFmtId="167" fontId="154" fillId="0" borderId="234" xfId="0" applyFont="1" applyBorder="1" applyAlignment="1">
      <alignment horizontal="left" vertical="center"/>
    </xf>
    <xf numFmtId="167" fontId="28" fillId="0" borderId="234" xfId="0" applyFont="1" applyBorder="1" applyAlignment="1">
      <alignment horizontal="left" vertical="center"/>
    </xf>
    <xf numFmtId="167" fontId="67" fillId="0" borderId="187" xfId="0" applyFont="1" applyBorder="1" applyAlignment="1">
      <alignment horizontal="center" vertical="center" wrapText="1"/>
    </xf>
    <xf numFmtId="167" fontId="24" fillId="0" borderId="264" xfId="0" applyFont="1" applyBorder="1" applyAlignment="1">
      <alignment horizontal="center" vertical="center" wrapText="1"/>
    </xf>
    <xf numFmtId="195" fontId="120" fillId="9" borderId="130" xfId="0" applyNumberFormat="1" applyFont="1" applyFill="1" applyBorder="1" applyAlignment="1">
      <alignment horizontal="center" vertical="center" wrapText="1"/>
    </xf>
    <xf numFmtId="167" fontId="13" fillId="9" borderId="157" xfId="0" applyFont="1" applyFill="1" applyBorder="1" applyAlignment="1">
      <alignment horizontal="center" vertical="center" wrapText="1"/>
    </xf>
    <xf numFmtId="167" fontId="7" fillId="9" borderId="39" xfId="0" applyFont="1" applyFill="1" applyBorder="1" applyAlignment="1">
      <alignment horizontal="center" vertical="center" wrapText="1"/>
    </xf>
    <xf numFmtId="186" fontId="7" fillId="8" borderId="19" xfId="0" applyNumberFormat="1" applyFont="1" applyFill="1" applyBorder="1" applyAlignment="1">
      <alignment horizontal="center" vertical="center" wrapText="1"/>
    </xf>
    <xf numFmtId="186" fontId="7" fillId="8" borderId="105" xfId="0" applyNumberFormat="1" applyFont="1" applyFill="1" applyBorder="1" applyAlignment="1">
      <alignment horizontal="center" vertical="center" wrapText="1"/>
    </xf>
    <xf numFmtId="167" fontId="26" fillId="8" borderId="2" xfId="0" applyFont="1" applyFill="1" applyBorder="1" applyAlignment="1">
      <alignment horizontal="center" vertical="center" wrapText="1"/>
    </xf>
    <xf numFmtId="222" fontId="7" fillId="8" borderId="2" xfId="0" applyNumberFormat="1" applyFont="1" applyFill="1" applyBorder="1" applyAlignment="1">
      <alignment horizontal="center" vertical="center" wrapText="1"/>
    </xf>
    <xf numFmtId="167" fontId="13" fillId="0" borderId="39" xfId="0" applyFont="1" applyBorder="1" applyAlignment="1">
      <alignment horizontal="center" vertical="center" wrapText="1"/>
    </xf>
    <xf numFmtId="167" fontId="7" fillId="9" borderId="168" xfId="0" applyFont="1" applyFill="1" applyBorder="1" applyAlignment="1">
      <alignment horizontal="center" vertical="center" wrapText="1"/>
    </xf>
    <xf numFmtId="167" fontId="7" fillId="9" borderId="228" xfId="0" applyFont="1" applyFill="1" applyBorder="1" applyAlignment="1">
      <alignment horizontal="center" vertical="center" wrapText="1"/>
    </xf>
    <xf numFmtId="167" fontId="13" fillId="0" borderId="174" xfId="0" applyFont="1" applyBorder="1" applyAlignment="1">
      <alignment horizontal="center" vertical="center" wrapText="1"/>
    </xf>
    <xf numFmtId="222" fontId="7" fillId="8" borderId="13" xfId="0" applyNumberFormat="1" applyFont="1" applyFill="1" applyBorder="1" applyAlignment="1">
      <alignment horizontal="center" vertical="center" wrapText="1"/>
    </xf>
    <xf numFmtId="39" fontId="14" fillId="0" borderId="0" xfId="0" applyNumberFormat="1" applyFont="1" applyAlignment="1">
      <alignment horizontal="center" vertical="center" wrapText="1"/>
    </xf>
    <xf numFmtId="167" fontId="84" fillId="0" borderId="176" xfId="0" applyFont="1" applyBorder="1" applyAlignment="1">
      <alignment horizontal="center" vertical="center" wrapText="1"/>
    </xf>
    <xf numFmtId="225" fontId="8" fillId="8" borderId="19" xfId="0" quotePrefix="1" applyNumberFormat="1" applyFont="1" applyFill="1" applyBorder="1" applyAlignment="1">
      <alignment horizontal="center" vertical="center" wrapText="1"/>
    </xf>
    <xf numFmtId="0" fontId="7" fillId="0" borderId="0" xfId="0" applyNumberFormat="1" applyFont="1" applyAlignment="1">
      <alignment horizontal="center" vertical="center" wrapText="1"/>
    </xf>
    <xf numFmtId="0" fontId="8" fillId="8" borderId="2" xfId="0" applyNumberFormat="1" applyFont="1" applyFill="1" applyBorder="1" applyAlignment="1">
      <alignment horizontal="center" vertical="center" wrapText="1"/>
    </xf>
    <xf numFmtId="186" fontId="26" fillId="0" borderId="0" xfId="0" applyNumberFormat="1" applyFont="1" applyAlignment="1" applyProtection="1">
      <alignment horizontal="center" vertical="center"/>
      <protection locked="0"/>
    </xf>
    <xf numFmtId="37" fontId="7" fillId="9" borderId="232" xfId="0" applyNumberFormat="1" applyFont="1" applyFill="1" applyBorder="1" applyAlignment="1">
      <alignment horizontal="center" vertical="center" wrapText="1"/>
    </xf>
    <xf numFmtId="37" fontId="7" fillId="9" borderId="160" xfId="0" applyNumberFormat="1" applyFont="1" applyFill="1" applyBorder="1" applyAlignment="1">
      <alignment horizontal="center" vertical="center" wrapText="1"/>
    </xf>
    <xf numFmtId="39" fontId="7" fillId="9" borderId="28" xfId="0" applyNumberFormat="1" applyFont="1" applyFill="1" applyBorder="1" applyAlignment="1">
      <alignment horizontal="center" vertical="center" wrapText="1"/>
    </xf>
    <xf numFmtId="1" fontId="14" fillId="0" borderId="71" xfId="0" applyNumberFormat="1" applyFont="1" applyBorder="1" applyAlignment="1">
      <alignment horizontal="center" vertical="center" wrapText="1"/>
    </xf>
    <xf numFmtId="1" fontId="62" fillId="11" borderId="105" xfId="0" applyNumberFormat="1" applyFont="1" applyFill="1" applyBorder="1" applyAlignment="1">
      <alignment horizontal="center" vertical="center" wrapText="1"/>
    </xf>
    <xf numFmtId="1" fontId="8" fillId="9" borderId="105" xfId="0" applyNumberFormat="1" applyFont="1" applyFill="1" applyBorder="1" applyAlignment="1">
      <alignment horizontal="center" vertical="center" wrapText="1"/>
    </xf>
    <xf numFmtId="1" fontId="14" fillId="0" borderId="90" xfId="0" applyNumberFormat="1" applyFont="1" applyBorder="1" applyAlignment="1">
      <alignment horizontal="center" vertical="center" wrapText="1"/>
    </xf>
    <xf numFmtId="1" fontId="24" fillId="0" borderId="120" xfId="0" applyNumberFormat="1" applyFont="1" applyBorder="1" applyAlignment="1">
      <alignment horizontal="center" vertical="center" wrapText="1"/>
    </xf>
    <xf numFmtId="185" fontId="7" fillId="9" borderId="157" xfId="0" applyNumberFormat="1" applyFont="1" applyFill="1" applyBorder="1" applyAlignment="1">
      <alignment horizontal="center" vertical="center" wrapText="1"/>
    </xf>
    <xf numFmtId="185" fontId="7" fillId="9" borderId="39" xfId="0" applyNumberFormat="1" applyFont="1" applyFill="1" applyBorder="1" applyAlignment="1">
      <alignment horizontal="center" vertical="center" wrapText="1"/>
    </xf>
    <xf numFmtId="167" fontId="7" fillId="8" borderId="16" xfId="0" applyFont="1" applyFill="1" applyBorder="1" applyAlignment="1">
      <alignment horizontal="center" vertical="center" wrapText="1"/>
    </xf>
    <xf numFmtId="188" fontId="8" fillId="8" borderId="288" xfId="0" applyNumberFormat="1" applyFont="1" applyFill="1" applyBorder="1" applyAlignment="1">
      <alignment horizontal="center" vertical="center" wrapText="1"/>
    </xf>
    <xf numFmtId="188" fontId="8" fillId="8" borderId="150" xfId="0" applyNumberFormat="1" applyFont="1" applyFill="1" applyBorder="1" applyAlignment="1">
      <alignment horizontal="center" vertical="center" wrapText="1"/>
    </xf>
    <xf numFmtId="167" fontId="7" fillId="0" borderId="150" xfId="0" applyFont="1" applyBorder="1" applyAlignment="1">
      <alignment horizontal="center" vertical="center" wrapText="1"/>
    </xf>
    <xf numFmtId="37" fontId="26" fillId="0" borderId="150" xfId="0" applyNumberFormat="1" applyFont="1" applyBorder="1" applyAlignment="1">
      <alignment horizontal="center" vertical="center" wrapText="1"/>
    </xf>
    <xf numFmtId="0" fontId="8" fillId="8" borderId="3" xfId="0" quotePrefix="1" applyNumberFormat="1" applyFont="1" applyFill="1" applyBorder="1" applyAlignment="1">
      <alignment horizontal="center" vertical="center" wrapText="1"/>
    </xf>
    <xf numFmtId="195" fontId="8" fillId="8" borderId="197" xfId="0" applyNumberFormat="1" applyFont="1" applyFill="1" applyBorder="1" applyAlignment="1">
      <alignment horizontal="center" vertical="center" wrapText="1"/>
    </xf>
    <xf numFmtId="0" fontId="8" fillId="8" borderId="241" xfId="0" quotePrefix="1" applyNumberFormat="1" applyFont="1" applyFill="1" applyBorder="1" applyAlignment="1">
      <alignment horizontal="center" vertical="center" wrapText="1"/>
    </xf>
    <xf numFmtId="217" fontId="8" fillId="8" borderId="247" xfId="0" quotePrefix="1" applyNumberFormat="1" applyFont="1" applyFill="1" applyBorder="1" applyAlignment="1">
      <alignment horizontal="center" vertical="center" wrapText="1"/>
    </xf>
    <xf numFmtId="195" fontId="8" fillId="8" borderId="177" xfId="0" applyNumberFormat="1" applyFont="1" applyFill="1" applyBorder="1" applyAlignment="1">
      <alignment horizontal="center" vertical="center" wrapText="1"/>
    </xf>
    <xf numFmtId="0" fontId="8" fillId="8" borderId="81" xfId="0" quotePrefix="1" applyNumberFormat="1" applyFont="1" applyFill="1" applyBorder="1" applyAlignment="1">
      <alignment horizontal="center" vertical="center" wrapText="1"/>
    </xf>
    <xf numFmtId="216" fontId="8" fillId="8" borderId="182" xfId="0" quotePrefix="1" applyNumberFormat="1" applyFont="1" applyFill="1" applyBorder="1" applyAlignment="1">
      <alignment horizontal="center" vertical="center" wrapText="1"/>
    </xf>
    <xf numFmtId="188" fontId="8" fillId="8" borderId="195" xfId="0" applyNumberFormat="1" applyFont="1" applyFill="1" applyBorder="1" applyAlignment="1">
      <alignment horizontal="center" vertical="center" wrapText="1"/>
    </xf>
    <xf numFmtId="167" fontId="7" fillId="0" borderId="195" xfId="0" applyFont="1" applyBorder="1" applyAlignment="1">
      <alignment horizontal="center" vertical="center" wrapText="1"/>
    </xf>
    <xf numFmtId="37" fontId="26" fillId="0" borderId="195" xfId="0" applyNumberFormat="1" applyFont="1" applyBorder="1" applyAlignment="1">
      <alignment horizontal="center" vertical="center" wrapText="1"/>
    </xf>
    <xf numFmtId="167" fontId="26" fillId="0" borderId="150" xfId="0" applyFont="1" applyBorder="1" applyAlignment="1">
      <alignment horizontal="center" vertical="center" wrapText="1"/>
    </xf>
    <xf numFmtId="217" fontId="8" fillId="8" borderId="18" xfId="0" quotePrefix="1" applyNumberFormat="1" applyFont="1" applyFill="1" applyBorder="1" applyAlignment="1">
      <alignment horizontal="center" vertical="center" wrapText="1"/>
    </xf>
    <xf numFmtId="167" fontId="26" fillId="0" borderId="195" xfId="0" applyFont="1" applyBorder="1" applyAlignment="1">
      <alignment horizontal="center" vertical="center" wrapText="1"/>
    </xf>
    <xf numFmtId="195" fontId="8" fillId="8" borderId="3" xfId="0" applyNumberFormat="1" applyFont="1" applyFill="1" applyBorder="1" applyAlignment="1">
      <alignment horizontal="center" vertical="center" wrapText="1"/>
    </xf>
    <xf numFmtId="167" fontId="7" fillId="8" borderId="0" xfId="0" applyFont="1" applyFill="1" applyAlignment="1">
      <alignment horizontal="center" vertical="center" wrapText="1"/>
    </xf>
    <xf numFmtId="167" fontId="7" fillId="8" borderId="150" xfId="0" applyFont="1" applyFill="1" applyBorder="1" applyAlignment="1">
      <alignment horizontal="center" vertical="center" wrapText="1"/>
    </xf>
    <xf numFmtId="167" fontId="7" fillId="8" borderId="195" xfId="0" applyFont="1" applyFill="1" applyBorder="1" applyAlignment="1">
      <alignment horizontal="center" vertical="center" wrapText="1"/>
    </xf>
    <xf numFmtId="216" fontId="8" fillId="8" borderId="247" xfId="0" quotePrefix="1" applyNumberFormat="1" applyFont="1" applyFill="1" applyBorder="1" applyAlignment="1">
      <alignment horizontal="center" vertical="center" wrapText="1"/>
    </xf>
    <xf numFmtId="167" fontId="7" fillId="9" borderId="174" xfId="0" applyFont="1" applyFill="1" applyBorder="1" applyAlignment="1">
      <alignment horizontal="center" vertical="center" wrapText="1"/>
    </xf>
    <xf numFmtId="167" fontId="14" fillId="0" borderId="288" xfId="0" applyFont="1" applyBorder="1" applyAlignment="1">
      <alignment horizontal="centerContinuous" vertical="center" wrapText="1"/>
    </xf>
    <xf numFmtId="182" fontId="7" fillId="8" borderId="2" xfId="0" applyNumberFormat="1" applyFont="1" applyFill="1" applyBorder="1" applyAlignment="1">
      <alignment horizontal="center" vertical="center" wrapText="1"/>
    </xf>
    <xf numFmtId="195" fontId="14" fillId="8" borderId="225" xfId="0" applyNumberFormat="1" applyFont="1" applyFill="1" applyBorder="1" applyAlignment="1">
      <alignment horizontal="center" vertical="center" wrapText="1"/>
    </xf>
    <xf numFmtId="195" fontId="8" fillId="8" borderId="158" xfId="0" applyNumberFormat="1" applyFont="1" applyFill="1" applyBorder="1" applyAlignment="1">
      <alignment horizontal="center" vertical="center" wrapText="1"/>
    </xf>
    <xf numFmtId="0" fontId="8" fillId="8" borderId="158" xfId="0" quotePrefix="1" applyNumberFormat="1" applyFont="1" applyFill="1" applyBorder="1" applyAlignment="1">
      <alignment horizontal="center" vertical="center" wrapText="1"/>
    </xf>
    <xf numFmtId="225" fontId="8" fillId="8" borderId="82" xfId="0" quotePrefix="1" applyNumberFormat="1" applyFont="1" applyFill="1" applyBorder="1" applyAlignment="1">
      <alignment horizontal="center" vertical="center" wrapText="1"/>
    </xf>
    <xf numFmtId="188" fontId="8" fillId="8" borderId="158" xfId="0" applyNumberFormat="1" applyFont="1" applyFill="1" applyBorder="1" applyAlignment="1">
      <alignment horizontal="center" vertical="center" wrapText="1"/>
    </xf>
    <xf numFmtId="167" fontId="7" fillId="8" borderId="21" xfId="0" applyFont="1" applyFill="1" applyBorder="1" applyAlignment="1">
      <alignment horizontal="center" vertical="center" wrapText="1"/>
    </xf>
    <xf numFmtId="167" fontId="121" fillId="9" borderId="24" xfId="0" applyFont="1" applyFill="1" applyBorder="1" applyAlignment="1">
      <alignment horizontal="center" vertical="center" wrapText="1"/>
    </xf>
    <xf numFmtId="167" fontId="121" fillId="9" borderId="130" xfId="0" applyFont="1" applyFill="1" applyBorder="1" applyAlignment="1">
      <alignment horizontal="center" vertical="center" wrapText="1"/>
    </xf>
    <xf numFmtId="167" fontId="13" fillId="9" borderId="130" xfId="0" applyFont="1" applyFill="1" applyBorder="1" applyAlignment="1">
      <alignment horizontal="center" vertical="center" wrapText="1"/>
    </xf>
    <xf numFmtId="167" fontId="67" fillId="8" borderId="13" xfId="0" applyFont="1" applyFill="1" applyBorder="1" applyAlignment="1">
      <alignment horizontal="center" vertical="center" wrapText="1"/>
    </xf>
    <xf numFmtId="167" fontId="8" fillId="0" borderId="276" xfId="0" applyFont="1" applyBorder="1" applyAlignment="1">
      <alignment horizontal="center" vertical="center" wrapText="1"/>
    </xf>
    <xf numFmtId="167" fontId="103" fillId="9" borderId="266" xfId="0" applyFont="1" applyFill="1" applyBorder="1" applyAlignment="1">
      <alignment horizontal="center" vertical="center" wrapText="1"/>
    </xf>
    <xf numFmtId="182" fontId="7" fillId="0" borderId="2" xfId="19" applyNumberFormat="1" applyFont="1" applyFill="1" applyBorder="1" applyAlignment="1">
      <alignment horizontal="center" vertical="center" wrapText="1"/>
    </xf>
    <xf numFmtId="167" fontId="14" fillId="0" borderId="3" xfId="0" applyFont="1" applyBorder="1" applyAlignment="1">
      <alignment horizontal="center" vertical="center" wrapText="1"/>
    </xf>
    <xf numFmtId="167" fontId="14" fillId="0" borderId="199" xfId="0" applyFont="1" applyBorder="1" applyAlignment="1">
      <alignment horizontal="center" vertical="center" wrapText="1"/>
    </xf>
    <xf numFmtId="167" fontId="8" fillId="0" borderId="167" xfId="0" applyFont="1" applyBorder="1" applyAlignment="1">
      <alignment horizontal="center" vertical="center" wrapText="1"/>
    </xf>
    <xf numFmtId="167" fontId="8" fillId="0" borderId="3" xfId="0" applyFont="1" applyBorder="1" applyAlignment="1">
      <alignment horizontal="center" vertical="center" wrapText="1"/>
    </xf>
    <xf numFmtId="167" fontId="8" fillId="0" borderId="116" xfId="0" applyFont="1" applyBorder="1" applyAlignment="1">
      <alignment horizontal="center" vertical="center" wrapText="1"/>
    </xf>
    <xf numFmtId="167" fontId="14" fillId="0" borderId="35" xfId="0" applyFont="1" applyBorder="1" applyAlignment="1">
      <alignment horizontal="center" vertical="center" wrapText="1"/>
    </xf>
    <xf numFmtId="167" fontId="14" fillId="0" borderId="227" xfId="0" applyFont="1" applyBorder="1" applyAlignment="1">
      <alignment horizontal="center" vertical="center" wrapText="1"/>
    </xf>
    <xf numFmtId="167" fontId="14" fillId="0" borderId="231" xfId="0" applyFont="1" applyBorder="1" applyAlignment="1">
      <alignment horizontal="center" vertical="center" wrapText="1"/>
    </xf>
    <xf numFmtId="183" fontId="14" fillId="10" borderId="26" xfId="0" applyNumberFormat="1" applyFont="1" applyFill="1" applyBorder="1" applyAlignment="1">
      <alignment horizontal="center" vertical="center" wrapText="1"/>
    </xf>
    <xf numFmtId="183" fontId="13" fillId="10" borderId="27" xfId="0" applyNumberFormat="1" applyFont="1" applyFill="1" applyBorder="1" applyAlignment="1">
      <alignment horizontal="center" vertical="center" wrapText="1"/>
    </xf>
    <xf numFmtId="183" fontId="7" fillId="0" borderId="28" xfId="0" applyNumberFormat="1" applyFont="1" applyBorder="1" applyAlignment="1">
      <alignment horizontal="center" vertical="center" wrapText="1"/>
    </xf>
    <xf numFmtId="183" fontId="13" fillId="0" borderId="0" xfId="0" applyNumberFormat="1" applyFont="1" applyAlignment="1">
      <alignment horizontal="center" vertical="center" wrapText="1"/>
    </xf>
    <xf numFmtId="167" fontId="14" fillId="0" borderId="177" xfId="0" applyFont="1" applyBorder="1" applyAlignment="1">
      <alignment horizontal="center" vertical="center" wrapText="1"/>
    </xf>
    <xf numFmtId="167" fontId="14" fillId="0" borderId="230" xfId="0" applyFont="1" applyBorder="1" applyAlignment="1">
      <alignment horizontal="center" vertical="center" wrapText="1"/>
    </xf>
    <xf numFmtId="39" fontId="84" fillId="0" borderId="194" xfId="0" applyNumberFormat="1" applyFont="1" applyBorder="1" applyAlignment="1">
      <alignment horizontal="center" vertical="center" wrapText="1"/>
    </xf>
    <xf numFmtId="39" fontId="8" fillId="0" borderId="245" xfId="0" applyNumberFormat="1" applyFont="1" applyBorder="1" applyAlignment="1">
      <alignment horizontal="center" vertical="center" wrapText="1"/>
    </xf>
    <xf numFmtId="39" fontId="8" fillId="0" borderId="3" xfId="0" applyNumberFormat="1" applyFont="1" applyBorder="1" applyAlignment="1">
      <alignment horizontal="center" vertical="center" wrapText="1"/>
    </xf>
    <xf numFmtId="39" fontId="8" fillId="0" borderId="167" xfId="0" applyNumberFormat="1" applyFont="1" applyBorder="1" applyAlignment="1">
      <alignment horizontal="center" vertical="center" wrapText="1"/>
    </xf>
    <xf numFmtId="39" fontId="7" fillId="0" borderId="181" xfId="0" applyNumberFormat="1" applyFont="1" applyBorder="1" applyAlignment="1">
      <alignment horizontal="center" vertical="center" wrapText="1"/>
    </xf>
    <xf numFmtId="39" fontId="7" fillId="0" borderId="167" xfId="0" applyNumberFormat="1" applyFont="1" applyBorder="1" applyAlignment="1">
      <alignment horizontal="center" vertical="center" wrapText="1"/>
    </xf>
    <xf numFmtId="167" fontId="8" fillId="0" borderId="18" xfId="0" applyFont="1" applyBorder="1" applyAlignment="1">
      <alignment horizontal="center" vertical="center" wrapText="1"/>
    </xf>
    <xf numFmtId="167" fontId="8" fillId="0" borderId="231" xfId="0" applyFont="1" applyBorder="1" applyAlignment="1">
      <alignment horizontal="center" vertical="center" wrapText="1"/>
    </xf>
    <xf numFmtId="186" fontId="84" fillId="0" borderId="136" xfId="0" applyNumberFormat="1" applyFont="1" applyBorder="1" applyAlignment="1">
      <alignment horizontal="center" vertical="center" wrapText="1"/>
    </xf>
    <xf numFmtId="186" fontId="8" fillId="0" borderId="35" xfId="0" applyNumberFormat="1" applyFont="1" applyBorder="1" applyAlignment="1">
      <alignment horizontal="center" vertical="center" wrapText="1"/>
    </xf>
    <xf numFmtId="186" fontId="84" fillId="0" borderId="195" xfId="0" applyNumberFormat="1" applyFont="1" applyBorder="1" applyAlignment="1">
      <alignment horizontal="center" vertical="center" wrapText="1"/>
    </xf>
    <xf numFmtId="186" fontId="8" fillId="0" borderId="3" xfId="0" applyNumberFormat="1" applyFont="1" applyBorder="1" applyAlignment="1">
      <alignment horizontal="center" vertical="center" wrapText="1"/>
    </xf>
    <xf numFmtId="186" fontId="84" fillId="0" borderId="124" xfId="0" applyNumberFormat="1" applyFont="1" applyBorder="1" applyAlignment="1">
      <alignment horizontal="center" vertical="center" wrapText="1"/>
    </xf>
    <xf numFmtId="186" fontId="8" fillId="0" borderId="18" xfId="0" applyNumberFormat="1" applyFont="1" applyBorder="1" applyAlignment="1">
      <alignment horizontal="center" vertical="center" wrapText="1"/>
    </xf>
    <xf numFmtId="186" fontId="84" fillId="0" borderId="191" xfId="0" applyNumberFormat="1" applyFont="1" applyBorder="1" applyAlignment="1">
      <alignment horizontal="center" vertical="center" wrapText="1"/>
    </xf>
    <xf numFmtId="186" fontId="8" fillId="0" borderId="227" xfId="0" applyNumberFormat="1" applyFont="1" applyBorder="1" applyAlignment="1">
      <alignment horizontal="center" vertical="center" wrapText="1"/>
    </xf>
    <xf numFmtId="186" fontId="84" fillId="0" borderId="120" xfId="0" applyNumberFormat="1" applyFont="1" applyBorder="1" applyAlignment="1">
      <alignment horizontal="center" vertical="center" wrapText="1"/>
    </xf>
    <xf numFmtId="186" fontId="8" fillId="0" borderId="127" xfId="0" applyNumberFormat="1" applyFont="1" applyBorder="1" applyAlignment="1">
      <alignment horizontal="center" vertical="center" wrapText="1"/>
    </xf>
    <xf numFmtId="39" fontId="8" fillId="0" borderId="181" xfId="0" applyNumberFormat="1" applyFont="1" applyBorder="1" applyAlignment="1">
      <alignment horizontal="center" vertical="center" wrapText="1"/>
    </xf>
    <xf numFmtId="167" fontId="84" fillId="0" borderId="281" xfId="0" applyFont="1" applyBorder="1" applyAlignment="1">
      <alignment horizontal="center" vertical="center" wrapText="1"/>
    </xf>
    <xf numFmtId="167" fontId="8" fillId="0" borderId="245" xfId="0" applyFont="1" applyBorder="1" applyAlignment="1">
      <alignment horizontal="center" vertical="center" wrapText="1"/>
    </xf>
    <xf numFmtId="167" fontId="84" fillId="0" borderId="118" xfId="0" applyFont="1" applyBorder="1" applyAlignment="1">
      <alignment horizontal="center" vertical="center" wrapText="1"/>
    </xf>
    <xf numFmtId="167" fontId="84" fillId="0" borderId="59" xfId="0" applyFont="1" applyBorder="1" applyAlignment="1">
      <alignment horizontal="center" vertical="center" wrapText="1"/>
    </xf>
    <xf numFmtId="167" fontId="84" fillId="0" borderId="185" xfId="0" applyFont="1" applyBorder="1" applyAlignment="1">
      <alignment horizontal="center" vertical="center" wrapText="1"/>
    </xf>
    <xf numFmtId="167" fontId="84" fillId="0" borderId="178" xfId="0" applyFont="1" applyBorder="1" applyAlignment="1">
      <alignment horizontal="center" vertical="center" wrapText="1"/>
    </xf>
    <xf numFmtId="167" fontId="8" fillId="0" borderId="255" xfId="0" applyFont="1" applyBorder="1" applyAlignment="1">
      <alignment horizontal="center" vertical="center" wrapText="1"/>
    </xf>
    <xf numFmtId="167" fontId="8" fillId="55" borderId="3" xfId="0" applyFont="1" applyFill="1" applyBorder="1" applyAlignment="1">
      <alignment horizontal="center" vertical="center" wrapText="1"/>
    </xf>
    <xf numFmtId="167" fontId="8" fillId="54" borderId="127" xfId="0" applyFont="1" applyFill="1" applyBorder="1" applyAlignment="1">
      <alignment horizontal="center" vertical="center" wrapText="1"/>
    </xf>
    <xf numFmtId="167" fontId="27" fillId="9" borderId="3" xfId="0" applyFont="1" applyFill="1" applyBorder="1" applyAlignment="1">
      <alignment horizontal="center" vertical="center" wrapText="1"/>
    </xf>
    <xf numFmtId="167" fontId="28" fillId="9" borderId="3" xfId="0" applyFont="1" applyFill="1" applyBorder="1" applyAlignment="1">
      <alignment horizontal="center" vertical="center" wrapText="1"/>
    </xf>
    <xf numFmtId="167" fontId="28" fillId="0" borderId="3" xfId="0" applyFont="1" applyBorder="1" applyAlignment="1">
      <alignment vertical="center" wrapText="1"/>
    </xf>
    <xf numFmtId="167" fontId="8" fillId="54" borderId="18" xfId="0" applyFont="1" applyFill="1" applyBorder="1" applyAlignment="1">
      <alignment horizontal="center" vertical="center" wrapText="1"/>
    </xf>
    <xf numFmtId="167" fontId="8" fillId="0" borderId="35" xfId="0" applyFont="1" applyBorder="1" applyAlignment="1">
      <alignment horizontal="center" vertical="center" wrapText="1"/>
    </xf>
    <xf numFmtId="39" fontId="8" fillId="0" borderId="20" xfId="0" applyNumberFormat="1" applyFont="1" applyBorder="1" applyAlignment="1">
      <alignment horizontal="center" vertical="center" wrapText="1"/>
    </xf>
    <xf numFmtId="39" fontId="8" fillId="0" borderId="128" xfId="0" applyNumberFormat="1" applyFont="1" applyBorder="1" applyAlignment="1">
      <alignment horizontal="center" vertical="center" wrapText="1"/>
    </xf>
    <xf numFmtId="39" fontId="8" fillId="0" borderId="90" xfId="0" applyNumberFormat="1" applyFont="1" applyBorder="1" applyAlignment="1">
      <alignment horizontal="center" vertical="center" wrapText="1"/>
    </xf>
    <xf numFmtId="1" fontId="7" fillId="0" borderId="3" xfId="0" applyNumberFormat="1" applyFont="1" applyBorder="1" applyAlignment="1">
      <alignment horizontal="center" vertical="center" wrapText="1"/>
    </xf>
    <xf numFmtId="39" fontId="8" fillId="0" borderId="18" xfId="0" applyNumberFormat="1" applyFont="1" applyBorder="1" applyAlignment="1">
      <alignment horizontal="center" vertical="center" wrapText="1"/>
    </xf>
    <xf numFmtId="1" fontId="7" fillId="0" borderId="18" xfId="0" applyNumberFormat="1" applyFont="1" applyBorder="1" applyAlignment="1">
      <alignment horizontal="center" vertical="center" wrapText="1"/>
    </xf>
    <xf numFmtId="227" fontId="7" fillId="0" borderId="13" xfId="0" applyNumberFormat="1" applyFont="1" applyBorder="1" applyAlignment="1">
      <alignment horizontal="center" vertical="center" wrapText="1"/>
    </xf>
    <xf numFmtId="227" fontId="7" fillId="0" borderId="2" xfId="0" applyNumberFormat="1" applyFont="1" applyBorder="1" applyAlignment="1">
      <alignment horizontal="center" vertical="center" wrapText="1"/>
    </xf>
    <xf numFmtId="227" fontId="7" fillId="0" borderId="16" xfId="0" applyNumberFormat="1" applyFont="1" applyBorder="1" applyAlignment="1">
      <alignment horizontal="center" vertical="center" wrapText="1"/>
    </xf>
    <xf numFmtId="167" fontId="24" fillId="0" borderId="237" xfId="0" applyFont="1" applyBorder="1" applyAlignment="1">
      <alignment horizontal="center" vertical="center" wrapText="1"/>
    </xf>
    <xf numFmtId="185" fontId="8" fillId="0" borderId="251" xfId="0" applyNumberFormat="1" applyFont="1" applyBorder="1" applyAlignment="1">
      <alignment horizontal="center" vertical="center" wrapText="1"/>
    </xf>
    <xf numFmtId="186" fontId="13" fillId="0" borderId="24" xfId="0" applyNumberFormat="1" applyFont="1" applyBorder="1" applyAlignment="1">
      <alignment horizontal="center" vertical="center" wrapText="1"/>
    </xf>
    <xf numFmtId="186" fontId="13" fillId="0" borderId="130" xfId="0" applyNumberFormat="1" applyFont="1" applyBorder="1" applyAlignment="1">
      <alignment horizontal="center" vertical="center" wrapText="1"/>
    </xf>
    <xf numFmtId="227" fontId="67" fillId="0" borderId="16" xfId="0" applyNumberFormat="1" applyFont="1" applyBorder="1" applyAlignment="1">
      <alignment horizontal="center" vertical="center" wrapText="1"/>
    </xf>
    <xf numFmtId="226" fontId="7" fillId="9" borderId="130" xfId="0" applyNumberFormat="1" applyFont="1" applyFill="1" applyBorder="1" applyAlignment="1">
      <alignment horizontal="center" vertical="center" wrapText="1"/>
    </xf>
    <xf numFmtId="183" fontId="7" fillId="9" borderId="130" xfId="0" applyNumberFormat="1" applyFont="1" applyFill="1" applyBorder="1" applyAlignment="1">
      <alignment horizontal="center" vertical="center" wrapText="1"/>
    </xf>
    <xf numFmtId="183" fontId="13" fillId="9" borderId="266" xfId="0" applyNumberFormat="1" applyFont="1" applyFill="1" applyBorder="1" applyAlignment="1">
      <alignment horizontal="center" vertical="center" wrapText="1"/>
    </xf>
    <xf numFmtId="185" fontId="7" fillId="0" borderId="111" xfId="0" applyNumberFormat="1" applyFont="1" applyBorder="1" applyAlignment="1">
      <alignment horizontal="center" vertical="center" wrapText="1"/>
    </xf>
    <xf numFmtId="4" fontId="7" fillId="0" borderId="289" xfId="0" applyNumberFormat="1" applyFont="1" applyBorder="1" applyAlignment="1">
      <alignment horizontal="center" vertical="center" wrapText="1"/>
    </xf>
    <xf numFmtId="4" fontId="26" fillId="0" borderId="2" xfId="17" applyNumberFormat="1" applyFont="1" applyBorder="1" applyAlignment="1">
      <alignment horizontal="center" vertical="top" wrapText="1"/>
    </xf>
    <xf numFmtId="4" fontId="7" fillId="0" borderId="277" xfId="0" applyNumberFormat="1" applyFont="1" applyBorder="1" applyAlignment="1">
      <alignment horizontal="center" vertical="center" wrapText="1"/>
    </xf>
    <xf numFmtId="9" fontId="7" fillId="8" borderId="167" xfId="19" applyFont="1" applyFill="1" applyBorder="1" applyAlignment="1">
      <alignment horizontal="center" vertical="center" wrapText="1"/>
    </xf>
    <xf numFmtId="9" fontId="8" fillId="0" borderId="167" xfId="19" applyFont="1" applyBorder="1" applyAlignment="1">
      <alignment horizontal="center" vertical="center" wrapText="1"/>
    </xf>
    <xf numFmtId="186" fontId="7" fillId="0" borderId="231" xfId="0" applyNumberFormat="1" applyFont="1" applyBorder="1" applyAlignment="1">
      <alignment horizontal="center" vertical="center" wrapText="1"/>
    </xf>
    <xf numFmtId="185" fontId="7" fillId="0" borderId="231" xfId="0" applyNumberFormat="1" applyFont="1" applyBorder="1" applyAlignment="1">
      <alignment horizontal="center" vertical="center" wrapText="1"/>
    </xf>
    <xf numFmtId="186" fontId="13" fillId="0" borderId="114" xfId="0" applyNumberFormat="1" applyFont="1" applyBorder="1" applyAlignment="1">
      <alignment horizontal="center" vertical="center" wrapText="1"/>
    </xf>
    <xf numFmtId="0" fontId="7" fillId="0" borderId="0" xfId="0" applyNumberFormat="1" applyFont="1" applyAlignment="1">
      <alignment vertical="center" wrapText="1"/>
    </xf>
    <xf numFmtId="195" fontId="7" fillId="9" borderId="13" xfId="0" applyNumberFormat="1" applyFont="1" applyFill="1" applyBorder="1" applyAlignment="1">
      <alignment horizontal="center" vertical="center" wrapText="1"/>
    </xf>
    <xf numFmtId="3" fontId="7" fillId="0" borderId="13" xfId="0" applyNumberFormat="1" applyFont="1" applyBorder="1" applyAlignment="1">
      <alignment horizontal="center" vertical="center" wrapText="1"/>
    </xf>
    <xf numFmtId="183" fontId="13" fillId="9" borderId="24" xfId="0" applyNumberFormat="1" applyFont="1" applyFill="1" applyBorder="1" applyAlignment="1">
      <alignment horizontal="center" vertical="center" wrapText="1"/>
    </xf>
    <xf numFmtId="0" fontId="124" fillId="56" borderId="0" xfId="0" applyNumberFormat="1" applyFont="1" applyFill="1" applyAlignment="1">
      <alignment horizontal="center" vertical="center"/>
    </xf>
    <xf numFmtId="189" fontId="7" fillId="0" borderId="2" xfId="0" applyNumberFormat="1" applyFont="1" applyBorder="1" applyAlignment="1">
      <alignment horizontal="center" vertical="center" wrapText="1"/>
    </xf>
    <xf numFmtId="39" fontId="84" fillId="0" borderId="59" xfId="0" applyNumberFormat="1" applyFont="1" applyBorder="1" applyAlignment="1">
      <alignment horizontal="center" vertical="center" wrapText="1"/>
    </xf>
    <xf numFmtId="183" fontId="13" fillId="9" borderId="39" xfId="0" applyNumberFormat="1" applyFont="1" applyFill="1" applyBorder="1" applyAlignment="1">
      <alignment horizontal="center" vertical="center" wrapText="1"/>
    </xf>
    <xf numFmtId="9" fontId="157" fillId="0" borderId="0" xfId="19" applyFont="1" applyAlignment="1">
      <alignment horizontal="center" vertical="top" wrapText="1"/>
    </xf>
    <xf numFmtId="10" fontId="132" fillId="45" borderId="232" xfId="19" applyNumberFormat="1" applyFont="1" applyFill="1" applyBorder="1" applyAlignment="1">
      <alignment vertical="center"/>
    </xf>
    <xf numFmtId="0" fontId="7" fillId="0" borderId="81" xfId="0" applyNumberFormat="1" applyFont="1" applyBorder="1" applyAlignment="1">
      <alignment horizontal="right" vertical="center"/>
    </xf>
    <xf numFmtId="0" fontId="7" fillId="0" borderId="241" xfId="0" applyNumberFormat="1" applyFont="1" applyBorder="1" applyAlignment="1">
      <alignment horizontal="center" vertical="center"/>
    </xf>
    <xf numFmtId="0" fontId="7" fillId="0" borderId="2" xfId="0" applyNumberFormat="1" applyFont="1" applyBorder="1" applyAlignment="1">
      <alignment vertical="top" wrapText="1"/>
    </xf>
    <xf numFmtId="0" fontId="7" fillId="0" borderId="241" xfId="0" applyNumberFormat="1" applyFont="1" applyBorder="1" applyAlignment="1">
      <alignment horizontal="center" vertical="top" wrapText="1"/>
    </xf>
    <xf numFmtId="0" fontId="124" fillId="0" borderId="81" xfId="0" applyNumberFormat="1" applyFont="1" applyBorder="1" applyAlignment="1">
      <alignment horizontal="right" vertical="center"/>
    </xf>
    <xf numFmtId="0" fontId="7" fillId="0" borderId="81" xfId="0" applyNumberFormat="1" applyFont="1" applyBorder="1" applyAlignment="1">
      <alignment horizontal="right" vertical="center" wrapText="1"/>
    </xf>
    <xf numFmtId="0" fontId="7" fillId="0" borderId="2" xfId="0" applyNumberFormat="1" applyFont="1" applyBorder="1" applyAlignment="1">
      <alignment vertical="center" wrapText="1"/>
    </xf>
    <xf numFmtId="0" fontId="7" fillId="0" borderId="241" xfId="0" applyNumberFormat="1" applyFont="1" applyBorder="1" applyAlignment="1">
      <alignment horizontal="center" vertical="center" wrapText="1"/>
    </xf>
    <xf numFmtId="0" fontId="7" fillId="0" borderId="242" xfId="0" applyNumberFormat="1" applyFont="1" applyBorder="1" applyAlignment="1">
      <alignment horizontal="center" vertical="center"/>
    </xf>
    <xf numFmtId="0" fontId="7" fillId="0" borderId="16" xfId="0" applyNumberFormat="1" applyFont="1" applyBorder="1" applyAlignment="1">
      <alignment vertical="center" wrapText="1"/>
    </xf>
    <xf numFmtId="0" fontId="7" fillId="0" borderId="242" xfId="0" applyNumberFormat="1" applyFont="1" applyBorder="1" applyAlignment="1">
      <alignment horizontal="center" vertical="center" wrapText="1"/>
    </xf>
    <xf numFmtId="37" fontId="13" fillId="39" borderId="269" xfId="23422" applyNumberFormat="1" applyFont="1" applyFill="1" applyBorder="1" applyAlignment="1">
      <alignment horizontal="left" vertical="center"/>
    </xf>
    <xf numFmtId="37" fontId="125" fillId="39" borderId="63" xfId="23422" applyNumberFormat="1" applyFont="1" applyFill="1" applyBorder="1" applyAlignment="1">
      <alignment horizontal="center" vertical="center"/>
    </xf>
    <xf numFmtId="37" fontId="125" fillId="39" borderId="290" xfId="23422" applyNumberFormat="1" applyFont="1" applyFill="1" applyBorder="1" applyAlignment="1">
      <alignment horizontal="center" vertical="center"/>
    </xf>
    <xf numFmtId="167" fontId="7" fillId="39" borderId="273" xfId="0" applyFont="1" applyFill="1" applyBorder="1" applyAlignment="1">
      <alignment horizontal="center" vertical="center"/>
    </xf>
    <xf numFmtId="224" fontId="156" fillId="0" borderId="2" xfId="41062" applyNumberFormat="1" applyFont="1" applyBorder="1" applyAlignment="1">
      <alignment horizontal="center" vertical="center" wrapText="1"/>
    </xf>
    <xf numFmtId="39" fontId="24" fillId="0" borderId="124" xfId="0" applyNumberFormat="1" applyFont="1" applyBorder="1" applyAlignment="1">
      <alignment horizontal="center" vertical="center" wrapText="1"/>
    </xf>
    <xf numFmtId="0" fontId="130" fillId="0" borderId="0" xfId="0" applyNumberFormat="1" applyFont="1" applyAlignment="1">
      <alignment horizontal="center" vertical="center"/>
    </xf>
    <xf numFmtId="0" fontId="156" fillId="0" borderId="2" xfId="17" applyFont="1" applyBorder="1" applyAlignment="1">
      <alignment horizontal="center" vertical="center" wrapText="1"/>
    </xf>
    <xf numFmtId="0" fontId="130" fillId="0" borderId="2" xfId="17" applyFont="1" applyBorder="1" applyAlignment="1">
      <alignment horizontal="center" vertical="center" wrapText="1"/>
    </xf>
    <xf numFmtId="0" fontId="7" fillId="0" borderId="2" xfId="17" applyBorder="1" applyAlignment="1">
      <alignment horizontal="center" vertical="center" wrapText="1"/>
    </xf>
    <xf numFmtId="200" fontId="156" fillId="0" borderId="2" xfId="17" applyNumberFormat="1" applyFont="1" applyBorder="1" applyAlignment="1">
      <alignment horizontal="center" vertical="center" wrapText="1"/>
    </xf>
    <xf numFmtId="167" fontId="7" fillId="9" borderId="21" xfId="0" applyFont="1" applyFill="1" applyBorder="1" applyAlignment="1">
      <alignment horizontal="center" vertical="center" wrapText="1"/>
    </xf>
    <xf numFmtId="167" fontId="7" fillId="9" borderId="2" xfId="0" applyFont="1" applyFill="1" applyBorder="1" applyAlignment="1">
      <alignment horizontal="center" vertical="center" wrapText="1"/>
    </xf>
    <xf numFmtId="167" fontId="7" fillId="9" borderId="16" xfId="0" applyFont="1" applyFill="1" applyBorder="1" applyAlignment="1">
      <alignment horizontal="center" vertical="center" wrapText="1"/>
    </xf>
    <xf numFmtId="0" fontId="13" fillId="0" borderId="2" xfId="17" applyFont="1" applyBorder="1" applyAlignment="1">
      <alignment horizontal="left" vertical="center" wrapText="1"/>
    </xf>
    <xf numFmtId="228" fontId="26" fillId="9" borderId="2" xfId="17" applyNumberFormat="1" applyFont="1" applyFill="1" applyBorder="1" applyAlignment="1">
      <alignment horizontal="center" vertical="center" wrapText="1"/>
    </xf>
    <xf numFmtId="229" fontId="26" fillId="9" borderId="2" xfId="17" applyNumberFormat="1" applyFont="1" applyFill="1" applyBorder="1" applyAlignment="1">
      <alignment horizontal="center" vertical="center" wrapText="1"/>
    </xf>
    <xf numFmtId="185" fontId="84" fillId="0" borderId="234" xfId="0" applyNumberFormat="1" applyFont="1" applyBorder="1" applyAlignment="1">
      <alignment horizontal="center" vertical="center" wrapText="1"/>
    </xf>
    <xf numFmtId="185" fontId="110" fillId="0" borderId="255" xfId="0" applyNumberFormat="1" applyFont="1" applyBorder="1" applyAlignment="1">
      <alignment horizontal="center" vertical="center" wrapText="1"/>
    </xf>
    <xf numFmtId="185" fontId="84" fillId="0" borderId="176" xfId="0" applyNumberFormat="1" applyFont="1" applyBorder="1" applyAlignment="1">
      <alignment horizontal="center" vertical="center" wrapText="1"/>
    </xf>
    <xf numFmtId="185" fontId="110" fillId="0" borderId="181" xfId="0" applyNumberFormat="1" applyFont="1" applyBorder="1" applyAlignment="1">
      <alignment horizontal="center" vertical="center" wrapText="1"/>
    </xf>
    <xf numFmtId="9" fontId="84" fillId="0" borderId="178" xfId="19" applyFont="1" applyBorder="1" applyAlignment="1">
      <alignment horizontal="center" vertical="center" wrapText="1"/>
    </xf>
    <xf numFmtId="9" fontId="110" fillId="0" borderId="167" xfId="19" applyFont="1" applyBorder="1" applyAlignment="1">
      <alignment horizontal="center" vertical="center" wrapText="1"/>
    </xf>
    <xf numFmtId="221" fontId="84" fillId="0" borderId="0" xfId="0" applyNumberFormat="1" applyFont="1" applyAlignment="1">
      <alignment horizontal="center" vertical="center" wrapText="1"/>
    </xf>
    <xf numFmtId="221" fontId="110" fillId="0" borderId="3" xfId="0" applyNumberFormat="1" applyFont="1" applyBorder="1" applyAlignment="1">
      <alignment horizontal="center" vertical="center" wrapText="1"/>
    </xf>
    <xf numFmtId="185" fontId="84" fillId="0" borderId="0" xfId="0" applyNumberFormat="1" applyFont="1" applyAlignment="1">
      <alignment horizontal="center" vertical="center" wrapText="1"/>
    </xf>
    <xf numFmtId="185" fontId="110" fillId="0" borderId="3" xfId="0" applyNumberFormat="1" applyFont="1" applyBorder="1" applyAlignment="1">
      <alignment horizontal="center" vertical="center" wrapText="1"/>
    </xf>
    <xf numFmtId="185" fontId="8" fillId="0" borderId="3" xfId="0" applyNumberFormat="1" applyFont="1" applyBorder="1" applyAlignment="1">
      <alignment horizontal="center" vertical="center" wrapText="1"/>
    </xf>
    <xf numFmtId="185" fontId="84" fillId="0" borderId="178" xfId="0" applyNumberFormat="1" applyFont="1" applyBorder="1" applyAlignment="1">
      <alignment horizontal="center" vertical="center" wrapText="1"/>
    </xf>
    <xf numFmtId="185" fontId="110" fillId="0" borderId="167" xfId="0" applyNumberFormat="1" applyFont="1" applyBorder="1" applyAlignment="1">
      <alignment horizontal="center" vertical="center" wrapText="1"/>
    </xf>
    <xf numFmtId="221" fontId="84" fillId="0" borderId="0" xfId="19" applyNumberFormat="1" applyFont="1" applyBorder="1" applyAlignment="1">
      <alignment horizontal="center" vertical="center" wrapText="1"/>
    </xf>
    <xf numFmtId="221" fontId="110" fillId="0" borderId="3" xfId="19" applyNumberFormat="1" applyFont="1" applyBorder="1" applyAlignment="1">
      <alignment horizontal="center" vertical="center" wrapText="1"/>
    </xf>
    <xf numFmtId="185" fontId="84" fillId="0" borderId="59" xfId="0" applyNumberFormat="1" applyFont="1" applyBorder="1" applyAlignment="1">
      <alignment horizontal="center" vertical="center" wrapText="1"/>
    </xf>
    <xf numFmtId="185" fontId="110" fillId="0" borderId="18" xfId="0" applyNumberFormat="1" applyFont="1" applyBorder="1" applyAlignment="1">
      <alignment horizontal="center" vertical="center" wrapText="1"/>
    </xf>
    <xf numFmtId="185" fontId="110" fillId="0" borderId="127" xfId="0" applyNumberFormat="1" applyFont="1" applyBorder="1" applyAlignment="1">
      <alignment horizontal="center" vertical="center" wrapText="1"/>
    </xf>
    <xf numFmtId="185" fontId="84" fillId="0" borderId="119" xfId="0" applyNumberFormat="1" applyFont="1" applyBorder="1" applyAlignment="1">
      <alignment horizontal="center" vertical="center" wrapText="1"/>
    </xf>
    <xf numFmtId="185" fontId="84" fillId="0" borderId="118" xfId="0" applyNumberFormat="1" applyFont="1" applyBorder="1" applyAlignment="1">
      <alignment horizontal="center" vertical="center" wrapText="1"/>
    </xf>
    <xf numFmtId="185" fontId="8" fillId="0" borderId="167" xfId="0" applyNumberFormat="1" applyFont="1" applyBorder="1" applyAlignment="1">
      <alignment horizontal="center" vertical="center" wrapText="1"/>
    </xf>
    <xf numFmtId="185" fontId="8" fillId="0" borderId="127" xfId="0" applyNumberFormat="1" applyFont="1" applyBorder="1" applyAlignment="1">
      <alignment horizontal="center" vertical="center" wrapText="1"/>
    </xf>
    <xf numFmtId="185" fontId="112" fillId="0" borderId="167" xfId="0" applyNumberFormat="1" applyFont="1" applyBorder="1" applyAlignment="1">
      <alignment horizontal="center" vertical="center" wrapText="1"/>
    </xf>
    <xf numFmtId="185" fontId="84" fillId="0" borderId="195" xfId="0" applyNumberFormat="1" applyFont="1" applyBorder="1" applyAlignment="1">
      <alignment horizontal="center" vertical="center" wrapText="1"/>
    </xf>
    <xf numFmtId="185" fontId="84" fillId="0" borderId="120" xfId="0" applyNumberFormat="1" applyFont="1" applyBorder="1" applyAlignment="1">
      <alignment horizontal="center" vertical="center" wrapText="1"/>
    </xf>
    <xf numFmtId="167" fontId="84" fillId="0" borderId="264" xfId="0" applyFont="1" applyBorder="1" applyAlignment="1">
      <alignment horizontal="center" vertical="center" wrapText="1"/>
    </xf>
    <xf numFmtId="167" fontId="110" fillId="0" borderId="116" xfId="0" applyFont="1" applyBorder="1" applyAlignment="1">
      <alignment horizontal="center" vertical="center" wrapText="1"/>
    </xf>
    <xf numFmtId="167" fontId="84" fillId="0" borderId="0" xfId="0" applyFont="1" applyAlignment="1">
      <alignment horizontal="center" vertical="center"/>
    </xf>
    <xf numFmtId="167" fontId="151" fillId="0" borderId="0" xfId="0" applyFont="1" applyAlignment="1">
      <alignment horizontal="center" vertical="center"/>
    </xf>
    <xf numFmtId="167" fontId="151" fillId="0" borderId="0" xfId="0" applyFont="1" applyAlignment="1">
      <alignment horizontal="right" vertical="center"/>
    </xf>
    <xf numFmtId="222" fontId="7" fillId="0" borderId="3" xfId="0" applyNumberFormat="1" applyFont="1" applyBorder="1" applyAlignment="1">
      <alignment horizontal="center" vertical="center" wrapText="1"/>
    </xf>
    <xf numFmtId="185" fontId="84" fillId="0" borderId="284" xfId="0" applyNumberFormat="1" applyFont="1" applyBorder="1" applyAlignment="1">
      <alignment horizontal="center" vertical="center" wrapText="1"/>
    </xf>
    <xf numFmtId="185" fontId="84" fillId="0" borderId="175" xfId="0" applyNumberFormat="1" applyFont="1" applyBorder="1" applyAlignment="1">
      <alignment horizontal="center" vertical="center" wrapText="1"/>
    </xf>
    <xf numFmtId="221" fontId="84" fillId="0" borderId="195" xfId="0" applyNumberFormat="1" applyFont="1" applyBorder="1" applyAlignment="1">
      <alignment horizontal="center" vertical="center" wrapText="1"/>
    </xf>
    <xf numFmtId="185" fontId="84" fillId="0" borderId="136" xfId="0" applyNumberFormat="1" applyFont="1" applyBorder="1" applyAlignment="1">
      <alignment horizontal="center" vertical="center" wrapText="1"/>
    </xf>
    <xf numFmtId="185" fontId="8" fillId="0" borderId="35" xfId="0" applyNumberFormat="1" applyFont="1" applyBorder="1" applyAlignment="1">
      <alignment horizontal="center" vertical="center" wrapText="1"/>
    </xf>
    <xf numFmtId="185" fontId="84" fillId="0" borderId="125" xfId="0" applyNumberFormat="1" applyFont="1" applyBorder="1" applyAlignment="1">
      <alignment horizontal="center" vertical="center" wrapText="1"/>
    </xf>
    <xf numFmtId="185" fontId="8" fillId="0" borderId="231" xfId="0" applyNumberFormat="1" applyFont="1" applyBorder="1" applyAlignment="1">
      <alignment horizontal="center" vertical="center" wrapText="1"/>
    </xf>
    <xf numFmtId="185" fontId="84" fillId="0" borderId="124" xfId="0" applyNumberFormat="1" applyFont="1" applyBorder="1" applyAlignment="1">
      <alignment horizontal="center" vertical="center" wrapText="1"/>
    </xf>
    <xf numFmtId="185" fontId="8" fillId="0" borderId="18" xfId="0" applyNumberFormat="1" applyFont="1" applyBorder="1" applyAlignment="1">
      <alignment horizontal="center" vertical="center" wrapText="1"/>
    </xf>
    <xf numFmtId="188" fontId="84" fillId="0" borderId="119" xfId="0" applyNumberFormat="1" applyFont="1" applyBorder="1" applyAlignment="1">
      <alignment horizontal="center" vertical="center" wrapText="1"/>
    </xf>
    <xf numFmtId="188" fontId="8" fillId="0" borderId="167" xfId="0" applyNumberFormat="1" applyFont="1" applyBorder="1" applyAlignment="1">
      <alignment horizontal="center" vertical="center" wrapText="1"/>
    </xf>
    <xf numFmtId="188" fontId="84" fillId="0" borderId="195" xfId="0" applyNumberFormat="1" applyFont="1" applyBorder="1" applyAlignment="1">
      <alignment horizontal="center" vertical="center" wrapText="1"/>
    </xf>
    <xf numFmtId="188" fontId="8" fillId="0" borderId="3" xfId="0" applyNumberFormat="1" applyFont="1" applyBorder="1" applyAlignment="1">
      <alignment horizontal="center" vertical="center" wrapText="1"/>
    </xf>
    <xf numFmtId="188" fontId="84" fillId="0" borderId="120" xfId="0" applyNumberFormat="1" applyFont="1" applyBorder="1" applyAlignment="1">
      <alignment horizontal="center" vertical="center" wrapText="1"/>
    </xf>
    <xf numFmtId="188" fontId="8" fillId="0" borderId="127" xfId="0" applyNumberFormat="1" applyFont="1" applyBorder="1" applyAlignment="1">
      <alignment horizontal="center" vertical="center" wrapText="1"/>
    </xf>
    <xf numFmtId="185" fontId="84" fillId="0" borderId="286" xfId="0" applyNumberFormat="1" applyFont="1" applyBorder="1" applyAlignment="1">
      <alignment horizontal="center" vertical="center" wrapText="1"/>
    </xf>
    <xf numFmtId="185" fontId="8" fillId="0" borderId="116" xfId="0" applyNumberFormat="1" applyFont="1" applyBorder="1" applyAlignment="1">
      <alignment horizontal="center" vertical="center" wrapText="1"/>
    </xf>
    <xf numFmtId="221" fontId="8" fillId="11" borderId="3" xfId="0" applyNumberFormat="1" applyFont="1" applyFill="1" applyBorder="1" applyAlignment="1">
      <alignment horizontal="center" vertical="center" wrapText="1"/>
    </xf>
    <xf numFmtId="37" fontId="14" fillId="10" borderId="183" xfId="41057" applyNumberFormat="1" applyFont="1" applyFill="1" applyBorder="1" applyAlignment="1" applyProtection="1">
      <alignment horizontal="center" vertical="center" wrapText="1"/>
    </xf>
    <xf numFmtId="167" fontId="84" fillId="0" borderId="194" xfId="0" applyFont="1" applyBorder="1" applyAlignment="1">
      <alignment horizontal="center" vertical="center" wrapText="1"/>
    </xf>
    <xf numFmtId="188" fontId="84" fillId="0" borderId="0" xfId="0" applyNumberFormat="1" applyFont="1" applyAlignment="1">
      <alignment horizontal="center" vertical="center" wrapText="1"/>
    </xf>
    <xf numFmtId="188" fontId="84" fillId="0" borderId="118" xfId="0" applyNumberFormat="1" applyFont="1" applyBorder="1" applyAlignment="1">
      <alignment horizontal="center" vertical="center" wrapText="1"/>
    </xf>
    <xf numFmtId="222" fontId="84" fillId="0" borderId="79" xfId="0" applyNumberFormat="1" applyFont="1" applyBorder="1" applyAlignment="1">
      <alignment horizontal="center" vertical="center" wrapText="1"/>
    </xf>
    <xf numFmtId="182" fontId="8" fillId="0" borderId="3" xfId="0" applyNumberFormat="1" applyFont="1" applyBorder="1" applyAlignment="1">
      <alignment horizontal="center" vertical="center" wrapText="1"/>
    </xf>
    <xf numFmtId="182" fontId="8" fillId="0" borderId="127" xfId="0" applyNumberFormat="1" applyFont="1" applyBorder="1" applyAlignment="1">
      <alignment horizontal="center" vertical="center" wrapText="1"/>
    </xf>
    <xf numFmtId="39" fontId="98" fillId="0" borderId="116" xfId="0" applyNumberFormat="1" applyFont="1" applyBorder="1" applyAlignment="1">
      <alignment vertical="center" wrapText="1"/>
    </xf>
    <xf numFmtId="167" fontId="8" fillId="0" borderId="118" xfId="0" applyFont="1" applyBorder="1" applyAlignment="1">
      <alignment horizontal="center" vertical="center" wrapText="1"/>
    </xf>
    <xf numFmtId="167" fontId="8" fillId="0" borderId="178" xfId="0" applyFont="1" applyBorder="1" applyAlignment="1">
      <alignment horizontal="center" vertical="center" wrapText="1"/>
    </xf>
    <xf numFmtId="39" fontId="80" fillId="0" borderId="264" xfId="0" applyNumberFormat="1" applyFont="1" applyBorder="1" applyAlignment="1">
      <alignment vertical="center" wrapText="1"/>
    </xf>
    <xf numFmtId="186" fontId="158" fillId="9" borderId="93" xfId="0" applyNumberFormat="1" applyFont="1" applyFill="1" applyBorder="1" applyAlignment="1">
      <alignment horizontal="center" vertical="center" wrapText="1"/>
    </xf>
    <xf numFmtId="195" fontId="13" fillId="9" borderId="93" xfId="0" applyNumberFormat="1" applyFont="1" applyFill="1" applyBorder="1" applyAlignment="1">
      <alignment horizontal="center" vertical="center" wrapText="1"/>
    </xf>
    <xf numFmtId="37" fontId="8" fillId="0" borderId="167" xfId="0" applyNumberFormat="1" applyFont="1" applyBorder="1" applyAlignment="1">
      <alignment horizontal="center" vertical="center" wrapText="1"/>
    </xf>
    <xf numFmtId="183" fontId="84" fillId="0" borderId="178" xfId="0" applyNumberFormat="1" applyFont="1" applyBorder="1" applyAlignment="1">
      <alignment horizontal="center" vertical="center" wrapText="1"/>
    </xf>
    <xf numFmtId="183" fontId="8" fillId="0" borderId="167" xfId="0" applyNumberFormat="1" applyFont="1" applyBorder="1" applyAlignment="1">
      <alignment horizontal="center" vertical="center" wrapText="1"/>
    </xf>
    <xf numFmtId="183" fontId="84" fillId="0" borderId="0" xfId="0" applyNumberFormat="1" applyFont="1" applyAlignment="1">
      <alignment horizontal="center" vertical="center" wrapText="1"/>
    </xf>
    <xf numFmtId="183" fontId="84" fillId="0" borderId="118" xfId="0" applyNumberFormat="1" applyFont="1" applyBorder="1" applyAlignment="1">
      <alignment horizontal="center" vertical="center" wrapText="1"/>
    </xf>
    <xf numFmtId="183" fontId="8" fillId="0" borderId="127" xfId="0" applyNumberFormat="1" applyFont="1" applyBorder="1" applyAlignment="1">
      <alignment horizontal="center" vertical="center" wrapText="1"/>
    </xf>
    <xf numFmtId="183" fontId="27" fillId="0" borderId="127" xfId="0" applyNumberFormat="1" applyFont="1" applyBorder="1" applyAlignment="1">
      <alignment horizontal="center" vertical="center" wrapText="1"/>
    </xf>
    <xf numFmtId="183" fontId="27" fillId="0" borderId="167" xfId="0" applyNumberFormat="1" applyFont="1" applyBorder="1" applyAlignment="1">
      <alignment horizontal="center" vertical="center" wrapText="1"/>
    </xf>
    <xf numFmtId="183" fontId="27" fillId="0" borderId="3" xfId="0" applyNumberFormat="1" applyFont="1" applyBorder="1" applyAlignment="1">
      <alignment horizontal="center" vertical="center" wrapText="1"/>
    </xf>
    <xf numFmtId="183" fontId="27" fillId="0" borderId="231" xfId="0" applyNumberFormat="1" applyFont="1" applyBorder="1" applyAlignment="1">
      <alignment horizontal="center" vertical="center" wrapText="1"/>
    </xf>
    <xf numFmtId="183" fontId="27" fillId="0" borderId="18" xfId="0" applyNumberFormat="1" applyFont="1" applyBorder="1" applyAlignment="1">
      <alignment horizontal="center" vertical="center" wrapText="1"/>
    </xf>
    <xf numFmtId="183" fontId="27" fillId="0" borderId="35" xfId="0" applyNumberFormat="1" applyFont="1" applyBorder="1" applyAlignment="1">
      <alignment horizontal="center" vertical="center" wrapText="1"/>
    </xf>
    <xf numFmtId="183" fontId="8" fillId="0" borderId="231" xfId="0" applyNumberFormat="1" applyFont="1" applyBorder="1" applyAlignment="1">
      <alignment horizontal="center" vertical="center" wrapText="1"/>
    </xf>
    <xf numFmtId="183" fontId="8" fillId="0" borderId="18" xfId="0" applyNumberFormat="1" applyFont="1" applyBorder="1" applyAlignment="1">
      <alignment horizontal="center" vertical="center" wrapText="1"/>
    </xf>
    <xf numFmtId="9" fontId="84" fillId="0" borderId="0" xfId="19" applyFont="1" applyBorder="1" applyAlignment="1">
      <alignment horizontal="center" vertical="center" wrapText="1"/>
    </xf>
    <xf numFmtId="9" fontId="8" fillId="0" borderId="3" xfId="19" applyFont="1" applyBorder="1" applyAlignment="1">
      <alignment horizontal="center" vertical="center" wrapText="1"/>
    </xf>
    <xf numFmtId="183" fontId="84" fillId="0" borderId="119" xfId="0" applyNumberFormat="1" applyFont="1" applyBorder="1" applyAlignment="1">
      <alignment horizontal="center" vertical="center" wrapText="1"/>
    </xf>
    <xf numFmtId="183" fontId="84" fillId="0" borderId="120" xfId="0" applyNumberFormat="1" applyFont="1" applyBorder="1" applyAlignment="1">
      <alignment horizontal="center" vertical="center" wrapText="1"/>
    </xf>
    <xf numFmtId="183" fontId="8" fillId="0" borderId="181" xfId="0" applyNumberFormat="1" applyFont="1" applyBorder="1" applyAlignment="1">
      <alignment horizontal="center" vertical="center" wrapText="1"/>
    </xf>
    <xf numFmtId="183" fontId="84" fillId="0" borderId="195" xfId="0" applyNumberFormat="1" applyFont="1" applyBorder="1" applyAlignment="1">
      <alignment horizontal="center" vertical="center" wrapText="1"/>
    </xf>
    <xf numFmtId="39" fontId="8" fillId="0" borderId="116" xfId="0" applyNumberFormat="1" applyFont="1" applyBorder="1" applyAlignment="1">
      <alignment horizontal="center" vertical="center" wrapText="1"/>
    </xf>
    <xf numFmtId="195" fontId="13" fillId="9" borderId="157" xfId="0" applyNumberFormat="1" applyFont="1" applyFill="1" applyBorder="1" applyAlignment="1">
      <alignment horizontal="center" vertical="center" wrapText="1"/>
    </xf>
    <xf numFmtId="222" fontId="7" fillId="8" borderId="3" xfId="0" applyNumberFormat="1" applyFont="1" applyFill="1" applyBorder="1" applyAlignment="1">
      <alignment horizontal="center" vertical="center" wrapText="1"/>
    </xf>
    <xf numFmtId="9" fontId="7" fillId="0" borderId="3" xfId="0" applyNumberFormat="1" applyFont="1" applyBorder="1" applyAlignment="1">
      <alignment horizontal="center" vertical="center" wrapText="1"/>
    </xf>
    <xf numFmtId="39" fontId="8" fillId="0" borderId="255" xfId="0" applyNumberFormat="1" applyFont="1" applyBorder="1" applyAlignment="1">
      <alignment horizontal="center" vertical="center" wrapText="1"/>
    </xf>
    <xf numFmtId="2" fontId="84" fillId="0" borderId="0" xfId="19" applyNumberFormat="1" applyFont="1" applyBorder="1" applyAlignment="1">
      <alignment horizontal="center" vertical="center" wrapText="1"/>
    </xf>
    <xf numFmtId="2" fontId="8" fillId="0" borderId="3" xfId="19" applyNumberFormat="1" applyFont="1" applyBorder="1" applyAlignment="1">
      <alignment horizontal="center" vertical="center" wrapText="1"/>
    </xf>
    <xf numFmtId="221" fontId="84" fillId="0" borderId="178" xfId="0" applyNumberFormat="1" applyFont="1" applyBorder="1" applyAlignment="1">
      <alignment horizontal="center" vertical="center" wrapText="1"/>
    </xf>
    <xf numFmtId="221" fontId="8" fillId="0" borderId="167" xfId="0" applyNumberFormat="1" applyFont="1" applyBorder="1" applyAlignment="1">
      <alignment horizontal="center" vertical="center" wrapText="1"/>
    </xf>
    <xf numFmtId="39" fontId="24" fillId="0" borderId="286" xfId="0" applyNumberFormat="1" applyFont="1" applyBorder="1" applyAlignment="1">
      <alignment horizontal="center" vertical="center" wrapText="1"/>
    </xf>
    <xf numFmtId="39" fontId="84" fillId="0" borderId="195" xfId="0" applyNumberFormat="1" applyFont="1" applyBorder="1" applyAlignment="1">
      <alignment horizontal="center" vertical="center" wrapText="1"/>
    </xf>
    <xf numFmtId="39" fontId="84" fillId="0" borderId="185" xfId="0" applyNumberFormat="1" applyFont="1" applyBorder="1" applyAlignment="1">
      <alignment horizontal="center" vertical="center" wrapText="1"/>
    </xf>
    <xf numFmtId="39" fontId="8" fillId="0" borderId="231" xfId="0" applyNumberFormat="1" applyFont="1" applyBorder="1" applyAlignment="1">
      <alignment horizontal="center" vertical="center" wrapText="1"/>
    </xf>
    <xf numFmtId="188" fontId="84" fillId="0" borderId="59" xfId="0" applyNumberFormat="1" applyFont="1" applyBorder="1" applyAlignment="1">
      <alignment horizontal="center" vertical="center" wrapText="1"/>
    </xf>
    <xf numFmtId="188" fontId="8" fillId="0" borderId="18" xfId="0" applyNumberFormat="1" applyFont="1" applyBorder="1" applyAlignment="1">
      <alignment horizontal="center" vertical="center" wrapText="1"/>
    </xf>
    <xf numFmtId="188" fontId="84" fillId="0" borderId="185" xfId="0" applyNumberFormat="1" applyFont="1" applyBorder="1" applyAlignment="1">
      <alignment horizontal="center" vertical="center" wrapText="1"/>
    </xf>
    <xf numFmtId="188" fontId="8" fillId="0" borderId="231" xfId="0" applyNumberFormat="1" applyFont="1" applyBorder="1" applyAlignment="1">
      <alignment horizontal="center" vertical="center" wrapText="1"/>
    </xf>
    <xf numFmtId="188" fontId="84" fillId="0" borderId="124" xfId="0" applyNumberFormat="1" applyFont="1" applyBorder="1" applyAlignment="1">
      <alignment horizontal="center" vertical="center" wrapText="1"/>
    </xf>
    <xf numFmtId="9" fontId="7" fillId="0" borderId="105" xfId="19" applyFont="1" applyFill="1" applyBorder="1" applyAlignment="1">
      <alignment horizontal="center" vertical="center" wrapText="1"/>
    </xf>
    <xf numFmtId="3" fontId="7" fillId="8" borderId="181" xfId="0" applyNumberFormat="1" applyFont="1" applyFill="1" applyBorder="1" applyAlignment="1">
      <alignment horizontal="center" vertical="center" wrapText="1"/>
    </xf>
    <xf numFmtId="3" fontId="13" fillId="0" borderId="174" xfId="0" applyNumberFormat="1" applyFont="1" applyBorder="1" applyAlignment="1">
      <alignment horizontal="center" vertical="center" wrapText="1"/>
    </xf>
    <xf numFmtId="3" fontId="7" fillId="8" borderId="167" xfId="0" applyNumberFormat="1" applyFont="1" applyFill="1" applyBorder="1" applyAlignment="1">
      <alignment horizontal="center" vertical="center" wrapText="1"/>
    </xf>
    <xf numFmtId="3" fontId="13" fillId="0" borderId="157" xfId="0" applyNumberFormat="1" applyFont="1" applyBorder="1" applyAlignment="1">
      <alignment horizontal="center" vertical="center" wrapText="1"/>
    </xf>
    <xf numFmtId="165" fontId="7" fillId="0" borderId="2" xfId="21" applyFont="1" applyBorder="1" applyAlignment="1">
      <alignment vertical="top" wrapText="1"/>
    </xf>
    <xf numFmtId="167" fontId="8" fillId="9" borderId="3" xfId="0" applyFont="1" applyFill="1" applyBorder="1" applyAlignment="1">
      <alignment horizontal="center" vertical="center" wrapText="1"/>
    </xf>
    <xf numFmtId="224" fontId="27" fillId="9" borderId="3" xfId="41062" applyNumberFormat="1" applyFont="1" applyFill="1" applyBorder="1" applyAlignment="1">
      <alignment horizontal="center" vertical="center" wrapText="1"/>
    </xf>
    <xf numFmtId="3" fontId="7" fillId="0" borderId="2" xfId="0" applyNumberFormat="1" applyFont="1" applyBorder="1" applyAlignment="1">
      <alignment horizontal="center" vertical="center" wrapText="1"/>
    </xf>
    <xf numFmtId="3" fontId="7" fillId="0" borderId="0" xfId="0" applyNumberFormat="1" applyFont="1" applyAlignment="1">
      <alignment horizontal="center" vertical="center" wrapText="1"/>
    </xf>
    <xf numFmtId="195" fontId="7" fillId="9" borderId="2" xfId="0" applyNumberFormat="1" applyFont="1" applyFill="1" applyBorder="1" applyAlignment="1">
      <alignment horizontal="center" vertical="center" wrapText="1"/>
    </xf>
    <xf numFmtId="195" fontId="7" fillId="9" borderId="16" xfId="0" applyNumberFormat="1" applyFont="1" applyFill="1" applyBorder="1" applyAlignment="1">
      <alignment horizontal="center" vertical="center" wrapText="1"/>
    </xf>
    <xf numFmtId="3" fontId="7" fillId="9" borderId="2" xfId="0" applyNumberFormat="1" applyFont="1" applyFill="1" applyBorder="1" applyAlignment="1">
      <alignment horizontal="center" vertical="center" wrapText="1"/>
    </xf>
    <xf numFmtId="9" fontId="7" fillId="9" borderId="2" xfId="19" applyFont="1" applyFill="1" applyBorder="1" applyAlignment="1">
      <alignment horizontal="center" vertical="center" wrapText="1"/>
    </xf>
    <xf numFmtId="220" fontId="7" fillId="9" borderId="2" xfId="0" applyNumberFormat="1" applyFont="1" applyFill="1" applyBorder="1" applyAlignment="1">
      <alignment horizontal="center" vertical="center" wrapText="1"/>
    </xf>
    <xf numFmtId="221" fontId="7" fillId="9" borderId="13" xfId="0" applyNumberFormat="1" applyFont="1" applyFill="1" applyBorder="1" applyAlignment="1">
      <alignment horizontal="center" vertical="center" wrapText="1"/>
    </xf>
    <xf numFmtId="167" fontId="8" fillId="53" borderId="167" xfId="0" applyFont="1" applyFill="1" applyBorder="1" applyAlignment="1">
      <alignment horizontal="center" vertical="center"/>
    </xf>
    <xf numFmtId="9" fontId="137" fillId="0" borderId="0" xfId="0" applyNumberFormat="1" applyFont="1" applyAlignment="1">
      <alignment horizontal="center" vertical="top"/>
    </xf>
    <xf numFmtId="9" fontId="159" fillId="0" borderId="0" xfId="19" applyFont="1" applyAlignment="1">
      <alignment horizontal="center" vertical="top" wrapText="1"/>
    </xf>
    <xf numFmtId="9" fontId="160" fillId="0" borderId="0" xfId="19" applyFont="1" applyAlignment="1">
      <alignment horizontal="center" vertical="top"/>
    </xf>
    <xf numFmtId="9" fontId="7" fillId="8" borderId="19" xfId="19" applyFont="1" applyFill="1" applyBorder="1" applyAlignment="1">
      <alignment horizontal="center" vertical="center" wrapText="1"/>
    </xf>
    <xf numFmtId="167" fontId="14" fillId="9" borderId="39" xfId="0" applyFont="1" applyFill="1" applyBorder="1" applyAlignment="1">
      <alignment horizontal="center" vertical="center" wrapText="1"/>
    </xf>
    <xf numFmtId="9" fontId="84" fillId="0" borderId="59" xfId="19" applyFont="1" applyBorder="1" applyAlignment="1">
      <alignment horizontal="center" vertical="center" wrapText="1"/>
    </xf>
    <xf numFmtId="9" fontId="8" fillId="0" borderId="18" xfId="19" applyFont="1" applyBorder="1" applyAlignment="1">
      <alignment horizontal="center" vertical="center" wrapText="1"/>
    </xf>
    <xf numFmtId="9" fontId="7" fillId="9" borderId="19" xfId="19" applyFont="1" applyFill="1" applyBorder="1" applyAlignment="1">
      <alignment horizontal="center" vertical="center" wrapText="1"/>
    </xf>
    <xf numFmtId="39" fontId="13" fillId="9" borderId="39" xfId="0" applyNumberFormat="1" applyFont="1" applyFill="1" applyBorder="1" applyAlignment="1">
      <alignment horizontal="center" vertical="center" wrapText="1"/>
    </xf>
    <xf numFmtId="195" fontId="7" fillId="9" borderId="171" xfId="0" applyNumberFormat="1" applyFont="1" applyFill="1" applyBorder="1" applyAlignment="1">
      <alignment horizontal="center" vertical="center" wrapText="1"/>
    </xf>
    <xf numFmtId="222" fontId="14" fillId="9" borderId="171" xfId="0" applyNumberFormat="1" applyFont="1" applyFill="1" applyBorder="1" applyAlignment="1">
      <alignment horizontal="center" vertical="center" wrapText="1"/>
    </xf>
    <xf numFmtId="205" fontId="26" fillId="0" borderId="2" xfId="17" applyNumberFormat="1" applyFont="1" applyBorder="1" applyAlignment="1">
      <alignment horizontal="center" vertical="center" wrapText="1"/>
    </xf>
    <xf numFmtId="208" fontId="26" fillId="0" borderId="2" xfId="17" applyNumberFormat="1" applyFont="1" applyBorder="1" applyAlignment="1">
      <alignment horizontal="center" vertical="center" wrapText="1"/>
    </xf>
    <xf numFmtId="0" fontId="133" fillId="0" borderId="0" xfId="0" applyNumberFormat="1" applyFont="1" applyAlignment="1">
      <alignment horizontal="center" vertical="center"/>
    </xf>
    <xf numFmtId="0" fontId="7" fillId="0" borderId="0" xfId="29073" applyFont="1" applyAlignment="1">
      <alignment horizontal="center" vertical="center" wrapText="1"/>
    </xf>
    <xf numFmtId="0" fontId="161" fillId="44" borderId="262" xfId="0" applyNumberFormat="1" applyFont="1" applyFill="1" applyBorder="1" applyAlignment="1">
      <alignment horizontal="center" vertical="center" wrapText="1"/>
    </xf>
    <xf numFmtId="0" fontId="151" fillId="9" borderId="2" xfId="17" applyFont="1" applyFill="1" applyBorder="1" applyAlignment="1">
      <alignment horizontal="center" vertical="center" wrapText="1"/>
    </xf>
    <xf numFmtId="0" fontId="8" fillId="0" borderId="2" xfId="17" applyFont="1" applyBorder="1" applyAlignment="1">
      <alignment horizontal="center" vertical="center" wrapText="1"/>
    </xf>
    <xf numFmtId="167" fontId="152" fillId="10" borderId="183" xfId="41057" applyNumberFormat="1" applyFont="1" applyFill="1" applyBorder="1" applyAlignment="1" applyProtection="1">
      <alignment vertical="center" wrapText="1"/>
    </xf>
    <xf numFmtId="167" fontId="14" fillId="10" borderId="146" xfId="41057" applyNumberFormat="1" applyFont="1" applyFill="1" applyBorder="1" applyAlignment="1" applyProtection="1">
      <alignment vertical="center" wrapText="1"/>
    </xf>
    <xf numFmtId="167" fontId="13" fillId="8" borderId="0" xfId="0" applyFont="1" applyFill="1" applyAlignment="1">
      <alignment horizontal="center" vertical="center" wrapText="1"/>
    </xf>
    <xf numFmtId="167" fontId="7" fillId="0" borderId="127" xfId="0" applyFont="1" applyBorder="1" applyAlignment="1">
      <alignment horizontal="center" vertical="center" wrapText="1"/>
    </xf>
    <xf numFmtId="167" fontId="7" fillId="0" borderId="3" xfId="0" applyFont="1" applyBorder="1" applyAlignment="1">
      <alignment horizontal="center" vertical="center" wrapText="1"/>
    </xf>
    <xf numFmtId="167" fontId="7" fillId="0" borderId="181" xfId="0" applyFont="1" applyBorder="1" applyAlignment="1">
      <alignment horizontal="center" vertical="center" wrapText="1"/>
    </xf>
    <xf numFmtId="167" fontId="7" fillId="53" borderId="167" xfId="0" applyFont="1" applyFill="1" applyBorder="1" applyAlignment="1">
      <alignment horizontal="center" vertical="center"/>
    </xf>
    <xf numFmtId="167" fontId="14" fillId="0" borderId="197" xfId="0" applyFont="1" applyBorder="1" applyAlignment="1">
      <alignment horizontal="centerContinuous" vertical="center" wrapText="1"/>
    </xf>
    <xf numFmtId="167" fontId="7" fillId="8" borderId="3" xfId="19" applyNumberFormat="1" applyFont="1" applyFill="1" applyBorder="1" applyAlignment="1">
      <alignment horizontal="center" vertical="center" wrapText="1"/>
    </xf>
    <xf numFmtId="167" fontId="7" fillId="9" borderId="0" xfId="0" applyFont="1" applyFill="1" applyAlignment="1">
      <alignment horizontal="center" vertical="center" wrapText="1"/>
    </xf>
    <xf numFmtId="167" fontId="7" fillId="0" borderId="35" xfId="0" applyFont="1" applyBorder="1" applyAlignment="1">
      <alignment horizontal="center" vertical="center" wrapText="1"/>
    </xf>
    <xf numFmtId="167" fontId="7" fillId="8" borderId="36" xfId="0" applyFont="1" applyFill="1" applyBorder="1" applyAlignment="1">
      <alignment horizontal="center" vertical="center" wrapText="1"/>
    </xf>
    <xf numFmtId="167" fontId="13" fillId="0" borderId="168" xfId="0" applyFont="1" applyBorder="1" applyAlignment="1">
      <alignment horizontal="center" vertical="center" wrapText="1"/>
    </xf>
    <xf numFmtId="167" fontId="7" fillId="0" borderId="231" xfId="0" applyFont="1" applyBorder="1" applyAlignment="1">
      <alignment horizontal="center" vertical="center" wrapText="1"/>
    </xf>
    <xf numFmtId="167" fontId="7" fillId="8" borderId="105" xfId="0" applyFont="1" applyFill="1" applyBorder="1" applyAlignment="1">
      <alignment horizontal="center" vertical="center" wrapText="1"/>
    </xf>
    <xf numFmtId="167" fontId="7" fillId="0" borderId="18" xfId="0" applyFont="1" applyBorder="1" applyAlignment="1">
      <alignment horizontal="center" vertical="center" wrapText="1"/>
    </xf>
    <xf numFmtId="167" fontId="162" fillId="9" borderId="157" xfId="0" applyFont="1" applyFill="1" applyBorder="1" applyAlignment="1">
      <alignment horizontal="center" vertical="center" wrapText="1"/>
    </xf>
    <xf numFmtId="167" fontId="162" fillId="9" borderId="130" xfId="0" applyFont="1" applyFill="1" applyBorder="1" applyAlignment="1">
      <alignment horizontal="center" vertical="center" wrapText="1"/>
    </xf>
    <xf numFmtId="9" fontId="159" fillId="0" borderId="0" xfId="19" applyFont="1" applyAlignment="1">
      <alignment horizontal="center" vertical="center" wrapText="1"/>
    </xf>
    <xf numFmtId="165" fontId="7" fillId="0" borderId="2" xfId="21" applyFont="1" applyBorder="1" applyAlignment="1">
      <alignment horizontal="center" vertical="top" wrapText="1"/>
    </xf>
    <xf numFmtId="165" fontId="124" fillId="0" borderId="2" xfId="21" applyFont="1" applyBorder="1" applyAlignment="1">
      <alignment horizontal="center" vertical="top" wrapText="1"/>
    </xf>
    <xf numFmtId="165" fontId="7" fillId="0" borderId="2" xfId="21" applyFont="1" applyFill="1" applyBorder="1" applyAlignment="1">
      <alignment horizontal="center" vertical="top" wrapText="1"/>
    </xf>
    <xf numFmtId="165" fontId="127" fillId="0" borderId="0" xfId="0" applyNumberFormat="1" applyFont="1" applyAlignment="1">
      <alignment horizontal="center" vertical="top"/>
    </xf>
    <xf numFmtId="3" fontId="127" fillId="0" borderId="0" xfId="0" applyNumberFormat="1" applyFont="1" applyAlignment="1">
      <alignment horizontal="center" vertical="top"/>
    </xf>
    <xf numFmtId="167" fontId="134" fillId="0" borderId="0" xfId="0" applyFont="1" applyAlignment="1">
      <alignment horizontal="center" vertical="top"/>
    </xf>
    <xf numFmtId="10" fontId="132" fillId="0" borderId="0" xfId="19" applyNumberFormat="1" applyFont="1" applyFill="1" applyAlignment="1">
      <alignment horizontal="center" vertical="center"/>
    </xf>
    <xf numFmtId="0" fontId="137" fillId="0" borderId="0" xfId="0" applyNumberFormat="1" applyFont="1" applyAlignment="1">
      <alignment vertical="center"/>
    </xf>
    <xf numFmtId="0" fontId="130" fillId="52" borderId="2" xfId="17" applyFont="1" applyFill="1" applyBorder="1" applyAlignment="1">
      <alignment horizontal="center" vertical="center" wrapText="1"/>
    </xf>
    <xf numFmtId="186" fontId="14" fillId="0" borderId="4" xfId="11464" applyNumberFormat="1" applyFont="1" applyBorder="1" applyAlignment="1">
      <alignment horizontal="center" vertical="center"/>
    </xf>
    <xf numFmtId="0" fontId="13" fillId="0" borderId="0" xfId="29073" applyFont="1" applyAlignment="1">
      <alignment horizontal="centerContinuous" vertical="center"/>
    </xf>
    <xf numFmtId="167" fontId="9" fillId="0" borderId="0" xfId="0" applyFont="1" applyAlignment="1">
      <alignment horizontal="centerContinuous"/>
    </xf>
    <xf numFmtId="0" fontId="10" fillId="0" borderId="0" xfId="0" applyNumberFormat="1" applyFont="1" applyAlignment="1">
      <alignment horizontal="centerContinuous" vertical="center"/>
    </xf>
    <xf numFmtId="0" fontId="13" fillId="8" borderId="299" xfId="0" applyNumberFormat="1" applyFont="1" applyFill="1" applyBorder="1" applyAlignment="1">
      <alignment horizontal="center" vertical="center"/>
    </xf>
    <xf numFmtId="0" fontId="13" fillId="8" borderId="8" xfId="0" applyNumberFormat="1" applyFont="1" applyFill="1" applyBorder="1" applyAlignment="1">
      <alignment horizontal="center" vertical="center"/>
    </xf>
    <xf numFmtId="0" fontId="13" fillId="8" borderId="203" xfId="0" applyNumberFormat="1" applyFont="1" applyFill="1" applyBorder="1" applyAlignment="1">
      <alignment horizontal="center" vertical="center"/>
    </xf>
    <xf numFmtId="0" fontId="7" fillId="0" borderId="296" xfId="0" applyNumberFormat="1" applyFont="1" applyBorder="1" applyAlignment="1">
      <alignment horizontal="center" vertical="center"/>
    </xf>
    <xf numFmtId="0" fontId="7" fillId="0" borderId="274" xfId="0" applyNumberFormat="1" applyFont="1" applyBorder="1" applyAlignment="1">
      <alignment vertical="top" wrapText="1"/>
    </xf>
    <xf numFmtId="9" fontId="163" fillId="0" borderId="0" xfId="0" applyNumberFormat="1" applyFont="1" applyAlignment="1">
      <alignment horizontal="center" vertical="top"/>
    </xf>
    <xf numFmtId="10" fontId="132" fillId="34" borderId="223" xfId="19" applyNumberFormat="1" applyFont="1" applyFill="1" applyBorder="1" applyAlignment="1">
      <alignment horizontal="center" vertical="center"/>
    </xf>
    <xf numFmtId="0" fontId="132" fillId="34" borderId="2" xfId="17" applyFont="1" applyFill="1" applyBorder="1" applyAlignment="1">
      <alignment vertical="center" wrapText="1"/>
    </xf>
    <xf numFmtId="0" fontId="132" fillId="34" borderId="2" xfId="17" applyFont="1" applyFill="1" applyBorder="1" applyAlignment="1">
      <alignment horizontal="left" vertical="center" wrapText="1"/>
    </xf>
    <xf numFmtId="0" fontId="124" fillId="34" borderId="2" xfId="17" applyFont="1" applyFill="1" applyBorder="1" applyAlignment="1">
      <alignment horizontal="center" vertical="center" wrapText="1"/>
    </xf>
    <xf numFmtId="4" fontId="124" fillId="34" borderId="2" xfId="17" applyNumberFormat="1" applyFont="1" applyFill="1" applyBorder="1" applyAlignment="1">
      <alignment horizontal="center" vertical="center" wrapText="1"/>
    </xf>
    <xf numFmtId="165" fontId="7" fillId="34" borderId="2" xfId="21" applyFont="1" applyFill="1" applyBorder="1" applyAlignment="1">
      <alignment horizontal="center" vertical="center"/>
    </xf>
    <xf numFmtId="165" fontId="132" fillId="34" borderId="2" xfId="21" applyFont="1" applyFill="1" applyBorder="1" applyAlignment="1">
      <alignment horizontal="right" vertical="center"/>
    </xf>
    <xf numFmtId="165" fontId="132" fillId="34" borderId="2" xfId="21" applyFont="1" applyFill="1" applyBorder="1" applyAlignment="1">
      <alignment vertical="center" wrapText="1"/>
    </xf>
    <xf numFmtId="165" fontId="13" fillId="34" borderId="2" xfId="21" applyFont="1" applyFill="1" applyBorder="1" applyAlignment="1">
      <alignment horizontal="right" vertical="center"/>
    </xf>
    <xf numFmtId="0" fontId="13" fillId="34" borderId="2" xfId="17" applyFont="1" applyFill="1" applyBorder="1" applyAlignment="1">
      <alignment horizontal="left" vertical="center" wrapText="1"/>
    </xf>
    <xf numFmtId="0" fontId="130" fillId="34" borderId="2" xfId="17" applyFont="1" applyFill="1" applyBorder="1" applyAlignment="1">
      <alignment horizontal="center" vertical="center" wrapText="1"/>
    </xf>
    <xf numFmtId="0" fontId="132" fillId="34" borderId="0" xfId="17" applyFont="1" applyFill="1" applyAlignment="1">
      <alignment horizontal="center" vertical="center" wrapText="1"/>
    </xf>
    <xf numFmtId="0" fontId="132" fillId="34" borderId="0" xfId="17" applyFont="1" applyFill="1" applyAlignment="1">
      <alignment vertical="center" wrapText="1"/>
    </xf>
    <xf numFmtId="0" fontId="132" fillId="34" borderId="0" xfId="17" applyFont="1" applyFill="1" applyAlignment="1">
      <alignment horizontal="left" vertical="center" wrapText="1"/>
    </xf>
    <xf numFmtId="0" fontId="124" fillId="34" borderId="0" xfId="17" applyFont="1" applyFill="1" applyAlignment="1">
      <alignment horizontal="center" vertical="center" wrapText="1"/>
    </xf>
    <xf numFmtId="165" fontId="124" fillId="34" borderId="0" xfId="21" applyFont="1" applyFill="1" applyAlignment="1">
      <alignment horizontal="center" vertical="center"/>
    </xf>
    <xf numFmtId="165" fontId="132" fillId="34" borderId="0" xfId="21" applyFont="1" applyFill="1" applyAlignment="1">
      <alignment horizontal="right" vertical="center"/>
    </xf>
    <xf numFmtId="165" fontId="132" fillId="34" borderId="0" xfId="21" applyFont="1" applyFill="1" applyAlignment="1">
      <alignment vertical="center" wrapText="1"/>
    </xf>
    <xf numFmtId="10" fontId="132" fillId="34" borderId="0" xfId="19" applyNumberFormat="1" applyFont="1" applyFill="1" applyAlignment="1">
      <alignment horizontal="center" vertical="center" wrapText="1"/>
    </xf>
    <xf numFmtId="200" fontId="156" fillId="0" borderId="232" xfId="17" applyNumberFormat="1" applyFont="1" applyBorder="1" applyAlignment="1">
      <alignment horizontal="center" vertical="center" wrapText="1"/>
    </xf>
    <xf numFmtId="165" fontId="124" fillId="0" borderId="232" xfId="0" applyNumberFormat="1" applyFont="1" applyBorder="1" applyAlignment="1">
      <alignment horizontal="center" vertical="center"/>
    </xf>
    <xf numFmtId="0" fontId="124" fillId="0" borderId="232" xfId="0" applyNumberFormat="1" applyFont="1" applyBorder="1" applyAlignment="1">
      <alignment horizontal="center" vertical="center"/>
    </xf>
    <xf numFmtId="231" fontId="156" fillId="0" borderId="232" xfId="17" applyNumberFormat="1" applyFont="1" applyBorder="1" applyAlignment="1">
      <alignment horizontal="center" vertical="center" wrapText="1"/>
    </xf>
    <xf numFmtId="0" fontId="7" fillId="8" borderId="232" xfId="0" applyNumberFormat="1" applyFont="1" applyFill="1" applyBorder="1" applyAlignment="1">
      <alignment horizontal="center" vertical="center"/>
    </xf>
    <xf numFmtId="165" fontId="124" fillId="0" borderId="232" xfId="0" applyNumberFormat="1" applyFont="1" applyBorder="1" applyAlignment="1">
      <alignment vertical="center"/>
    </xf>
    <xf numFmtId="186" fontId="14" fillId="0" borderId="0" xfId="11464" applyNumberFormat="1" applyFont="1" applyAlignment="1">
      <alignment horizontal="center" vertical="center"/>
    </xf>
    <xf numFmtId="39" fontId="8" fillId="0" borderId="231" xfId="11464" applyNumberFormat="1" applyFont="1" applyBorder="1" applyAlignment="1">
      <alignment horizontal="right" vertical="center" wrapText="1"/>
    </xf>
    <xf numFmtId="39" fontId="8" fillId="0" borderId="79" xfId="11464" applyNumberFormat="1" applyFont="1" applyBorder="1" applyAlignment="1">
      <alignment horizontal="right" vertical="center" wrapText="1"/>
    </xf>
    <xf numFmtId="39" fontId="8" fillId="0" borderId="160" xfId="11464" applyNumberFormat="1" applyFont="1" applyBorder="1" applyAlignment="1">
      <alignment horizontal="right" vertical="center" wrapText="1"/>
    </xf>
    <xf numFmtId="233" fontId="156" fillId="0" borderId="232" xfId="17" applyNumberFormat="1" applyFont="1" applyBorder="1" applyAlignment="1">
      <alignment horizontal="center" vertical="center" wrapText="1"/>
    </xf>
    <xf numFmtId="186" fontId="28" fillId="0" borderId="178" xfId="11464" applyNumberFormat="1" applyFont="1" applyBorder="1" applyAlignment="1">
      <alignment horizontal="center" vertical="center"/>
    </xf>
    <xf numFmtId="186" fontId="27" fillId="0" borderId="2" xfId="11464" applyNumberFormat="1" applyFont="1" applyBorder="1" applyAlignment="1">
      <alignment horizontal="center" vertical="center"/>
    </xf>
    <xf numFmtId="186" fontId="27" fillId="0" borderId="16" xfId="11464" applyNumberFormat="1" applyFont="1" applyBorder="1" applyAlignment="1">
      <alignment horizontal="center" vertical="center"/>
    </xf>
    <xf numFmtId="198" fontId="27" fillId="0" borderId="2" xfId="0" applyNumberFormat="1" applyFont="1" applyBorder="1" applyAlignment="1">
      <alignment horizontal="center" vertical="center"/>
    </xf>
    <xf numFmtId="232" fontId="27" fillId="0" borderId="16" xfId="0" applyNumberFormat="1" applyFont="1" applyBorder="1" applyAlignment="1">
      <alignment horizontal="center" vertical="center"/>
    </xf>
    <xf numFmtId="186" fontId="27" fillId="0" borderId="13" xfId="11464" applyNumberFormat="1" applyFont="1" applyBorder="1" applyAlignment="1">
      <alignment horizontal="center" vertical="center"/>
    </xf>
    <xf numFmtId="167" fontId="164" fillId="0" borderId="132" xfId="11464" applyNumberFormat="1" applyFont="1" applyBorder="1" applyAlignment="1">
      <alignment horizontal="center" vertical="center"/>
    </xf>
    <xf numFmtId="167" fontId="164" fillId="0" borderId="77" xfId="11464" applyNumberFormat="1" applyFont="1" applyBorder="1" applyAlignment="1">
      <alignment horizontal="center" vertical="center"/>
    </xf>
    <xf numFmtId="0" fontId="13" fillId="0" borderId="0" xfId="0" applyNumberFormat="1" applyFont="1" applyAlignment="1">
      <alignment horizontal="center" vertical="center"/>
    </xf>
    <xf numFmtId="0" fontId="13" fillId="0" borderId="0" xfId="0" applyNumberFormat="1" applyFont="1" applyAlignment="1">
      <alignment horizontal="left" vertical="center"/>
    </xf>
    <xf numFmtId="165" fontId="13" fillId="0" borderId="0" xfId="0" applyNumberFormat="1" applyFont="1" applyAlignment="1">
      <alignment horizontal="right" vertical="center"/>
    </xf>
    <xf numFmtId="165" fontId="13" fillId="0" borderId="0" xfId="21" applyFont="1" applyFill="1" applyAlignment="1">
      <alignment vertical="center"/>
    </xf>
    <xf numFmtId="10" fontId="13" fillId="0" borderId="0" xfId="19" applyNumberFormat="1" applyFont="1" applyFill="1" applyAlignment="1">
      <alignment horizontal="center" vertical="center"/>
    </xf>
    <xf numFmtId="0" fontId="7" fillId="0" borderId="0" xfId="17" applyAlignment="1">
      <alignment horizontal="center" vertical="top" wrapText="1"/>
    </xf>
    <xf numFmtId="0" fontId="7" fillId="0" borderId="0" xfId="0" applyNumberFormat="1" applyFont="1" applyAlignment="1">
      <alignment horizontal="right" vertical="center"/>
    </xf>
    <xf numFmtId="165" fontId="13" fillId="0" borderId="0" xfId="21" applyFont="1" applyFill="1" applyAlignment="1">
      <alignment horizontal="right" vertical="center"/>
    </xf>
    <xf numFmtId="198" fontId="7" fillId="0" borderId="0" xfId="0" applyNumberFormat="1" applyFont="1" applyAlignment="1">
      <alignment horizontal="center" vertical="center"/>
    </xf>
    <xf numFmtId="9" fontId="84" fillId="40" borderId="0" xfId="0" applyNumberFormat="1" applyFont="1" applyFill="1" applyAlignment="1">
      <alignment horizontal="center" vertical="top"/>
    </xf>
    <xf numFmtId="10" fontId="84" fillId="43" borderId="0" xfId="19" applyNumberFormat="1" applyFont="1" applyFill="1" applyAlignment="1">
      <alignment horizontal="center" vertical="center"/>
    </xf>
    <xf numFmtId="9" fontId="84" fillId="40" borderId="0" xfId="0" applyNumberFormat="1" applyFont="1" applyFill="1" applyAlignment="1">
      <alignment horizontal="center" vertical="center"/>
    </xf>
    <xf numFmtId="0" fontId="13" fillId="34" borderId="268" xfId="0" applyNumberFormat="1" applyFont="1" applyFill="1" applyBorder="1" applyAlignment="1">
      <alignment horizontal="center" vertical="center"/>
    </xf>
    <xf numFmtId="9" fontId="99" fillId="40" borderId="0" xfId="0" applyNumberFormat="1" applyFont="1" applyFill="1" applyAlignment="1">
      <alignment horizontal="center" vertical="center" wrapText="1"/>
    </xf>
    <xf numFmtId="0" fontId="24" fillId="43" borderId="0" xfId="0" applyNumberFormat="1" applyFont="1" applyFill="1" applyAlignment="1">
      <alignment horizontal="center" vertical="center" wrapText="1"/>
    </xf>
    <xf numFmtId="165" fontId="7" fillId="0" borderId="0" xfId="0" applyNumberFormat="1" applyFont="1" applyAlignment="1">
      <alignment horizontal="right" vertical="center"/>
    </xf>
    <xf numFmtId="4" fontId="67" fillId="0" borderId="0" xfId="0" applyNumberFormat="1" applyFont="1" applyAlignment="1">
      <alignment vertical="center"/>
    </xf>
    <xf numFmtId="9" fontId="8" fillId="0" borderId="0" xfId="0" applyNumberFormat="1" applyFont="1" applyAlignment="1">
      <alignment horizontal="center" vertical="top"/>
    </xf>
    <xf numFmtId="167" fontId="14" fillId="0" borderId="79" xfId="11464" applyNumberFormat="1" applyFont="1" applyBorder="1" applyAlignment="1">
      <alignment horizontal="center" vertical="center"/>
    </xf>
    <xf numFmtId="167" fontId="14" fillId="0" borderId="226" xfId="11464" applyNumberFormat="1" applyFont="1" applyBorder="1" applyAlignment="1">
      <alignment horizontal="center" vertical="center"/>
    </xf>
    <xf numFmtId="167" fontId="14" fillId="0" borderId="185" xfId="11464" applyNumberFormat="1" applyFont="1" applyBorder="1" applyAlignment="1">
      <alignment horizontal="center" vertical="center"/>
    </xf>
    <xf numFmtId="167" fontId="14" fillId="0" borderId="59" xfId="11464" applyNumberFormat="1" applyFont="1" applyBorder="1" applyAlignment="1">
      <alignment horizontal="center" vertical="center"/>
    </xf>
    <xf numFmtId="167" fontId="14" fillId="0" borderId="231" xfId="11464" applyNumberFormat="1" applyFont="1" applyBorder="1" applyAlignment="1">
      <alignment horizontal="center" vertical="center"/>
    </xf>
    <xf numFmtId="167" fontId="14" fillId="0" borderId="127" xfId="11464" applyNumberFormat="1" applyFont="1" applyBorder="1" applyAlignment="1">
      <alignment horizontal="center" vertical="center"/>
    </xf>
    <xf numFmtId="39" fontId="8" fillId="51" borderId="18" xfId="11464" applyNumberFormat="1" applyFont="1" applyFill="1" applyBorder="1" applyAlignment="1">
      <alignment horizontal="right" vertical="center" wrapText="1"/>
    </xf>
    <xf numFmtId="201" fontId="8" fillId="51" borderId="18" xfId="22756" applyNumberFormat="1" applyFont="1" applyFill="1" applyBorder="1" applyAlignment="1">
      <alignment horizontal="center" vertical="center" wrapText="1"/>
    </xf>
    <xf numFmtId="10" fontId="7" fillId="0" borderId="0" xfId="19" applyNumberFormat="1" applyFont="1" applyAlignment="1">
      <alignment horizontal="left" vertical="center"/>
    </xf>
    <xf numFmtId="10" fontId="7" fillId="0" borderId="0" xfId="19" applyNumberFormat="1" applyFont="1" applyAlignment="1">
      <alignment horizontal="left" vertical="center" wrapText="1"/>
    </xf>
    <xf numFmtId="205" fontId="7" fillId="0" borderId="0" xfId="0" applyNumberFormat="1" applyFont="1" applyAlignment="1">
      <alignment horizontal="left" vertical="center"/>
    </xf>
    <xf numFmtId="205" fontId="67" fillId="0" borderId="0" xfId="0" applyNumberFormat="1" applyFont="1" applyAlignment="1">
      <alignment horizontal="left" vertical="center"/>
    </xf>
    <xf numFmtId="167" fontId="8" fillId="0" borderId="291" xfId="0" applyFont="1" applyBorder="1" applyAlignment="1">
      <alignment horizontal="left" vertical="top" wrapText="1"/>
    </xf>
    <xf numFmtId="40" fontId="8" fillId="0" borderId="253" xfId="21" applyNumberFormat="1" applyFont="1" applyBorder="1" applyAlignment="1">
      <alignment horizontal="center" vertical="top" wrapText="1"/>
    </xf>
    <xf numFmtId="40" fontId="7" fillId="0" borderId="253" xfId="21" applyNumberFormat="1" applyFont="1" applyBorder="1" applyAlignment="1">
      <alignment horizontal="center" vertical="top"/>
    </xf>
    <xf numFmtId="40" fontId="8" fillId="0" borderId="219" xfId="21" applyNumberFormat="1" applyFont="1" applyBorder="1" applyAlignment="1">
      <alignment horizontal="center" vertical="center"/>
    </xf>
    <xf numFmtId="40" fontId="8" fillId="0" borderId="292" xfId="21" applyNumberFormat="1" applyFont="1" applyBorder="1" applyAlignment="1">
      <alignment vertical="center"/>
    </xf>
    <xf numFmtId="40" fontId="8" fillId="0" borderId="0" xfId="21" applyNumberFormat="1" applyFont="1" applyBorder="1" applyAlignment="1">
      <alignment horizontal="center" vertical="top"/>
    </xf>
    <xf numFmtId="40" fontId="8" fillId="0" borderId="0" xfId="21" applyNumberFormat="1" applyFont="1" applyBorder="1" applyAlignment="1">
      <alignment horizontal="right" vertical="center"/>
    </xf>
    <xf numFmtId="0" fontId="124" fillId="0" borderId="300" xfId="0" applyNumberFormat="1" applyFont="1" applyBorder="1" applyAlignment="1">
      <alignment horizontal="right" vertical="center"/>
    </xf>
    <xf numFmtId="0" fontId="7" fillId="0" borderId="296" xfId="0" applyNumberFormat="1" applyFont="1" applyBorder="1" applyAlignment="1">
      <alignment horizontal="center" vertical="top" wrapText="1"/>
    </xf>
    <xf numFmtId="9" fontId="7" fillId="0" borderId="127" xfId="19" applyFont="1" applyBorder="1" applyAlignment="1">
      <alignment horizontal="center" vertical="center" wrapText="1"/>
    </xf>
    <xf numFmtId="9" fontId="111" fillId="0" borderId="39" xfId="19" applyFont="1" applyBorder="1" applyAlignment="1">
      <alignment horizontal="center" vertical="center" wrapText="1"/>
    </xf>
    <xf numFmtId="184" fontId="111" fillId="0" borderId="130" xfId="19" applyNumberFormat="1" applyFont="1" applyBorder="1" applyAlignment="1">
      <alignment horizontal="center" vertical="center" wrapText="1"/>
    </xf>
    <xf numFmtId="167" fontId="109" fillId="9" borderId="165" xfId="0" applyFont="1" applyFill="1" applyBorder="1" applyAlignment="1">
      <alignment horizontal="center" vertical="center" wrapText="1"/>
    </xf>
    <xf numFmtId="221" fontId="109" fillId="9" borderId="93" xfId="0" applyNumberFormat="1" applyFont="1" applyFill="1" applyBorder="1" applyAlignment="1">
      <alignment horizontal="center" vertical="center" wrapText="1"/>
    </xf>
    <xf numFmtId="195" fontId="112" fillId="9" borderId="93" xfId="0" applyNumberFormat="1" applyFont="1" applyFill="1" applyBorder="1" applyAlignment="1">
      <alignment horizontal="center" vertical="center" wrapText="1"/>
    </xf>
    <xf numFmtId="10" fontId="7" fillId="8" borderId="13" xfId="19" applyNumberFormat="1" applyFont="1" applyFill="1" applyBorder="1" applyAlignment="1">
      <alignment horizontal="center" vertical="center" wrapText="1"/>
    </xf>
    <xf numFmtId="195" fontId="112" fillId="9" borderId="171" xfId="0" applyNumberFormat="1" applyFont="1" applyFill="1" applyBorder="1" applyAlignment="1">
      <alignment horizontal="center" vertical="center" wrapText="1"/>
    </xf>
    <xf numFmtId="195" fontId="7" fillId="0" borderId="18" xfId="0" applyNumberFormat="1" applyFont="1" applyBorder="1" applyAlignment="1">
      <alignment horizontal="center" vertical="center" wrapText="1"/>
    </xf>
    <xf numFmtId="195" fontId="112" fillId="9" borderId="39" xfId="0" applyNumberFormat="1" applyFont="1" applyFill="1" applyBorder="1" applyAlignment="1">
      <alignment horizontal="center" vertical="center" wrapText="1"/>
    </xf>
    <xf numFmtId="185" fontId="7" fillId="8" borderId="167" xfId="0" applyNumberFormat="1" applyFont="1" applyFill="1" applyBorder="1" applyAlignment="1">
      <alignment horizontal="center" vertical="center" wrapText="1"/>
    </xf>
    <xf numFmtId="195" fontId="111" fillId="0" borderId="39" xfId="0" applyNumberFormat="1" applyFont="1" applyBorder="1" applyAlignment="1">
      <alignment horizontal="center" vertical="center" wrapText="1"/>
    </xf>
    <xf numFmtId="185" fontId="110" fillId="0" borderId="227" xfId="0" applyNumberFormat="1" applyFont="1" applyBorder="1" applyAlignment="1">
      <alignment horizontal="center" vertical="center" wrapText="1"/>
    </xf>
    <xf numFmtId="221" fontId="7" fillId="8" borderId="232" xfId="0" applyNumberFormat="1" applyFont="1" applyFill="1" applyBorder="1" applyAlignment="1">
      <alignment horizontal="center" vertical="center" wrapText="1"/>
    </xf>
    <xf numFmtId="195" fontId="112" fillId="9" borderId="228" xfId="0" applyNumberFormat="1" applyFont="1" applyFill="1" applyBorder="1" applyAlignment="1">
      <alignment horizontal="center" vertical="center" wrapText="1"/>
    </xf>
    <xf numFmtId="185" fontId="110" fillId="0" borderId="35" xfId="0" applyNumberFormat="1" applyFont="1" applyBorder="1" applyAlignment="1">
      <alignment horizontal="center" vertical="center" wrapText="1"/>
    </xf>
    <xf numFmtId="221" fontId="7" fillId="8" borderId="35" xfId="19" applyNumberFormat="1" applyFont="1" applyFill="1" applyBorder="1" applyAlignment="1">
      <alignment horizontal="center" vertical="center" wrapText="1"/>
    </xf>
    <xf numFmtId="195" fontId="112" fillId="9" borderId="168" xfId="0" applyNumberFormat="1" applyFont="1" applyFill="1" applyBorder="1" applyAlignment="1">
      <alignment horizontal="center" vertical="center" wrapText="1"/>
    </xf>
    <xf numFmtId="221" fontId="14" fillId="0" borderId="90" xfId="0" applyNumberFormat="1" applyFont="1" applyBorder="1" applyAlignment="1">
      <alignment horizontal="center" vertical="center" wrapText="1"/>
    </xf>
    <xf numFmtId="195" fontId="112" fillId="9" borderId="130" xfId="0" applyNumberFormat="1" applyFont="1" applyFill="1" applyBorder="1" applyAlignment="1">
      <alignment horizontal="center" vertical="center" wrapText="1"/>
    </xf>
    <xf numFmtId="221" fontId="7" fillId="8" borderId="127" xfId="19" applyNumberFormat="1" applyFont="1" applyFill="1" applyBorder="1" applyAlignment="1">
      <alignment horizontal="center" vertical="center" wrapText="1"/>
    </xf>
    <xf numFmtId="221" fontId="112" fillId="9" borderId="130" xfId="0" applyNumberFormat="1" applyFont="1" applyFill="1" applyBorder="1" applyAlignment="1">
      <alignment horizontal="center" vertical="center" wrapText="1"/>
    </xf>
    <xf numFmtId="0" fontId="96" fillId="0" borderId="0" xfId="11593" applyFont="1" applyAlignment="1">
      <alignment horizontal="center" vertical="center"/>
    </xf>
    <xf numFmtId="195" fontId="7" fillId="0" borderId="127" xfId="19" applyNumberFormat="1" applyFont="1" applyBorder="1" applyAlignment="1">
      <alignment horizontal="center" vertical="center" wrapText="1"/>
    </xf>
    <xf numFmtId="195" fontId="7" fillId="0" borderId="13" xfId="19" applyNumberFormat="1" applyFont="1" applyFill="1" applyBorder="1" applyAlignment="1">
      <alignment horizontal="center" vertical="center" wrapText="1"/>
    </xf>
    <xf numFmtId="185" fontId="84" fillId="0" borderId="191" xfId="0" applyNumberFormat="1" applyFont="1" applyBorder="1" applyAlignment="1">
      <alignment horizontal="center" vertical="center" wrapText="1"/>
    </xf>
    <xf numFmtId="167" fontId="163" fillId="0" borderId="79" xfId="0" applyFont="1" applyBorder="1" applyAlignment="1">
      <alignment horizontal="center" vertical="center" wrapText="1"/>
    </xf>
    <xf numFmtId="37" fontId="152" fillId="0" borderId="257" xfId="41057" applyNumberFormat="1" applyFont="1" applyFill="1" applyBorder="1" applyAlignment="1" applyProtection="1">
      <alignment vertical="center" wrapText="1"/>
    </xf>
    <xf numFmtId="37" fontId="14" fillId="0" borderId="146" xfId="41057" applyNumberFormat="1" applyFont="1" applyFill="1" applyBorder="1" applyAlignment="1" applyProtection="1">
      <alignment horizontal="center" vertical="center" wrapText="1"/>
    </xf>
    <xf numFmtId="185" fontId="67" fillId="0" borderId="16" xfId="0" applyNumberFormat="1" applyFont="1" applyBorder="1" applyAlignment="1">
      <alignment horizontal="center" vertical="center" wrapText="1"/>
    </xf>
    <xf numFmtId="186" fontId="102" fillId="9" borderId="130" xfId="0" applyNumberFormat="1" applyFont="1" applyFill="1" applyBorder="1" applyAlignment="1">
      <alignment horizontal="center" vertical="center" wrapText="1"/>
    </xf>
    <xf numFmtId="185" fontId="14" fillId="9" borderId="167" xfId="0" applyNumberFormat="1" applyFont="1" applyFill="1" applyBorder="1" applyAlignment="1">
      <alignment horizontal="center" vertical="center" wrapText="1"/>
    </xf>
    <xf numFmtId="37" fontId="7" fillId="8" borderId="13" xfId="0" applyNumberFormat="1" applyFont="1" applyFill="1" applyBorder="1" applyAlignment="1">
      <alignment horizontal="center" vertical="center" wrapText="1"/>
    </xf>
    <xf numFmtId="37" fontId="7" fillId="8" borderId="16" xfId="0" applyNumberFormat="1" applyFont="1" applyFill="1" applyBorder="1" applyAlignment="1">
      <alignment horizontal="center" vertical="center" wrapText="1"/>
    </xf>
    <xf numFmtId="167" fontId="84" fillId="0" borderId="191" xfId="0" applyFont="1" applyBorder="1" applyAlignment="1">
      <alignment horizontal="center" vertical="center" wrapText="1"/>
    </xf>
    <xf numFmtId="0" fontId="96" fillId="0" borderId="0" xfId="11593" applyFont="1" applyAlignment="1">
      <alignment horizontal="left" vertical="center"/>
    </xf>
    <xf numFmtId="186" fontId="7" fillId="0" borderId="0" xfId="0" applyNumberFormat="1" applyFont="1" applyAlignment="1">
      <alignment horizontal="center" vertical="top" wrapText="1"/>
    </xf>
    <xf numFmtId="167" fontId="7" fillId="0" borderId="0" xfId="0" applyFont="1" applyAlignment="1">
      <alignment vertical="top" wrapText="1"/>
    </xf>
    <xf numFmtId="185" fontId="7" fillId="0" borderId="0" xfId="0" applyNumberFormat="1" applyFont="1" applyAlignment="1">
      <alignment vertical="top" wrapText="1"/>
    </xf>
    <xf numFmtId="167" fontId="7" fillId="0" borderId="0" xfId="0" applyFont="1" applyAlignment="1">
      <alignment horizontal="center" vertical="top" wrapText="1"/>
    </xf>
    <xf numFmtId="0" fontId="13" fillId="34" borderId="263" xfId="0" applyNumberFormat="1" applyFont="1" applyFill="1" applyBorder="1" applyAlignment="1">
      <alignment horizontal="center" vertical="center" wrapText="1"/>
    </xf>
    <xf numFmtId="10" fontId="7" fillId="0" borderId="0" xfId="19" applyNumberFormat="1" applyFont="1" applyAlignment="1">
      <alignment horizontal="center" vertical="top" wrapText="1"/>
    </xf>
    <xf numFmtId="165" fontId="7" fillId="0" borderId="200" xfId="0" applyNumberFormat="1" applyFont="1" applyBorder="1" applyAlignment="1">
      <alignment horizontal="right" vertical="center"/>
    </xf>
    <xf numFmtId="205" fontId="7" fillId="0" borderId="301" xfId="0" applyNumberFormat="1" applyFont="1" applyBorder="1" applyAlignment="1">
      <alignment horizontal="centerContinuous" vertical="center"/>
    </xf>
    <xf numFmtId="0" fontId="124" fillId="0" borderId="302" xfId="0" applyNumberFormat="1" applyFont="1" applyBorder="1" applyAlignment="1">
      <alignment horizontal="centerContinuous" vertical="top"/>
    </xf>
    <xf numFmtId="165" fontId="7" fillId="0" borderId="142" xfId="0" applyNumberFormat="1" applyFont="1" applyBorder="1" applyAlignment="1">
      <alignment horizontal="right" vertical="center"/>
    </xf>
    <xf numFmtId="4" fontId="7" fillId="0" borderId="232" xfId="0" applyNumberFormat="1" applyFont="1" applyBorder="1" applyAlignment="1">
      <alignment horizontal="center" vertical="center"/>
    </xf>
    <xf numFmtId="4" fontId="7" fillId="0" borderId="143" xfId="0" applyNumberFormat="1" applyFont="1" applyBorder="1" applyAlignment="1">
      <alignment horizontal="center" vertical="center"/>
    </xf>
    <xf numFmtId="10" fontId="7" fillId="0" borderId="232" xfId="19" applyNumberFormat="1" applyFont="1" applyBorder="1" applyAlignment="1">
      <alignment horizontal="center" vertical="center"/>
    </xf>
    <xf numFmtId="10" fontId="7" fillId="0" borderId="143" xfId="19" applyNumberFormat="1" applyFont="1" applyBorder="1" applyAlignment="1">
      <alignment horizontal="center" vertical="center"/>
    </xf>
    <xf numFmtId="165" fontId="7" fillId="0" borderId="202" xfId="0" applyNumberFormat="1" applyFont="1" applyBorder="1" applyAlignment="1">
      <alignment horizontal="right" vertical="center"/>
    </xf>
    <xf numFmtId="10" fontId="7" fillId="0" borderId="8" xfId="19" applyNumberFormat="1" applyFont="1" applyBorder="1" applyAlignment="1">
      <alignment horizontal="center" vertical="center"/>
    </xf>
    <xf numFmtId="10" fontId="7" fillId="0" borderId="203" xfId="19" applyNumberFormat="1" applyFont="1" applyBorder="1" applyAlignment="1">
      <alignment horizontal="center" vertical="center"/>
    </xf>
    <xf numFmtId="0" fontId="13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234" fontId="7" fillId="0" borderId="0" xfId="0" applyNumberFormat="1" applyFont="1" applyAlignment="1">
      <alignment horizontal="center" vertical="center"/>
    </xf>
    <xf numFmtId="205" fontId="28" fillId="0" borderId="0" xfId="0" applyNumberFormat="1" applyFont="1" applyAlignment="1">
      <alignment horizontal="left" vertical="center"/>
    </xf>
    <xf numFmtId="183" fontId="7" fillId="0" borderId="0" xfId="0" applyNumberFormat="1" applyFont="1" applyAlignment="1" applyProtection="1">
      <alignment vertical="center"/>
      <protection locked="0"/>
    </xf>
    <xf numFmtId="183" fontId="19" fillId="0" borderId="0" xfId="0" applyNumberFormat="1" applyFont="1" applyAlignment="1" applyProtection="1">
      <alignment horizontal="left" vertical="center" wrapText="1"/>
      <protection locked="0"/>
    </xf>
    <xf numFmtId="183" fontId="17" fillId="0" borderId="0" xfId="22" quotePrefix="1" applyNumberFormat="1" applyFont="1" applyAlignment="1" applyProtection="1">
      <alignment vertical="center"/>
      <protection locked="0"/>
    </xf>
    <xf numFmtId="183" fontId="7" fillId="0" borderId="0" xfId="0" applyNumberFormat="1" applyFont="1" applyAlignment="1" applyProtection="1">
      <alignment horizontal="center" vertical="center"/>
      <protection locked="0"/>
    </xf>
    <xf numFmtId="183" fontId="14" fillId="12" borderId="10" xfId="0" applyNumberFormat="1" applyFont="1" applyFill="1" applyBorder="1" applyAlignment="1">
      <alignment horizontal="centerContinuous" vertical="center" wrapText="1"/>
    </xf>
    <xf numFmtId="183" fontId="7" fillId="0" borderId="0" xfId="0" applyNumberFormat="1" applyFont="1" applyAlignment="1" applyProtection="1">
      <alignment horizontal="center"/>
      <protection locked="0"/>
    </xf>
    <xf numFmtId="40" fontId="7" fillId="39" borderId="292" xfId="23422" applyFont="1" applyFill="1" applyBorder="1" applyAlignment="1">
      <alignment vertical="center"/>
    </xf>
    <xf numFmtId="40" fontId="7" fillId="39" borderId="62" xfId="23422" applyFont="1" applyFill="1" applyBorder="1" applyAlignment="1">
      <alignment vertical="center"/>
    </xf>
    <xf numFmtId="40" fontId="7" fillId="0" borderId="0" xfId="23422" applyFont="1" applyFill="1" applyBorder="1" applyAlignment="1">
      <alignment vertical="center"/>
    </xf>
    <xf numFmtId="40" fontId="7" fillId="39" borderId="273" xfId="0" applyNumberFormat="1" applyFont="1" applyFill="1" applyBorder="1" applyAlignment="1">
      <alignment horizontal="center" vertical="center"/>
    </xf>
    <xf numFmtId="40" fontId="7" fillId="0" borderId="0" xfId="23422" applyFont="1" applyFill="1" applyBorder="1" applyAlignment="1">
      <alignment horizontal="center" vertical="center"/>
    </xf>
    <xf numFmtId="40" fontId="7" fillId="39" borderId="220" xfId="23422" applyFont="1" applyFill="1" applyBorder="1" applyAlignment="1">
      <alignment horizontal="center" vertical="center"/>
    </xf>
    <xf numFmtId="37" fontId="8" fillId="0" borderId="19" xfId="0" applyNumberFormat="1" applyFont="1" applyBorder="1" applyAlignment="1">
      <alignment horizontal="center" vertical="center" wrapText="1"/>
    </xf>
    <xf numFmtId="39" fontId="165" fillId="11" borderId="19" xfId="0" applyNumberFormat="1" applyFont="1" applyFill="1" applyBorder="1" applyAlignment="1">
      <alignment horizontal="center" vertical="center" wrapText="1"/>
    </xf>
    <xf numFmtId="37" fontId="8" fillId="0" borderId="0" xfId="0" applyNumberFormat="1" applyFont="1" applyAlignment="1">
      <alignment horizontal="center" vertical="center" wrapText="1"/>
    </xf>
    <xf numFmtId="3" fontId="7" fillId="0" borderId="3" xfId="0" applyNumberFormat="1" applyFont="1" applyBorder="1" applyAlignment="1">
      <alignment horizontal="center" vertical="center" wrapText="1"/>
    </xf>
    <xf numFmtId="3" fontId="7" fillId="0" borderId="127" xfId="0" applyNumberFormat="1" applyFont="1" applyBorder="1" applyAlignment="1">
      <alignment horizontal="center" vertical="center" wrapText="1"/>
    </xf>
    <xf numFmtId="195" fontId="7" fillId="9" borderId="173" xfId="0" applyNumberFormat="1" applyFont="1" applyFill="1" applyBorder="1" applyAlignment="1">
      <alignment horizontal="center" vertical="center" wrapText="1"/>
    </xf>
    <xf numFmtId="167" fontId="8" fillId="0" borderId="80" xfId="0" applyFont="1" applyBorder="1" applyAlignment="1">
      <alignment horizontal="center" vertical="center" wrapText="1"/>
    </xf>
    <xf numFmtId="167" fontId="8" fillId="0" borderId="196" xfId="0" applyFont="1" applyBorder="1" applyAlignment="1">
      <alignment horizontal="center" vertical="center" wrapText="1"/>
    </xf>
    <xf numFmtId="215" fontId="8" fillId="8" borderId="0" xfId="0" quotePrefix="1" applyNumberFormat="1" applyFont="1" applyFill="1" applyAlignment="1">
      <alignment horizontal="center" vertical="center" wrapText="1"/>
    </xf>
    <xf numFmtId="217" fontId="8" fillId="8" borderId="150" xfId="0" quotePrefix="1" applyNumberFormat="1" applyFont="1" applyFill="1" applyBorder="1" applyAlignment="1">
      <alignment horizontal="center" vertical="center" wrapText="1"/>
    </xf>
    <xf numFmtId="216" fontId="8" fillId="8" borderId="195" xfId="0" quotePrefix="1" applyNumberFormat="1" applyFont="1" applyFill="1" applyBorder="1" applyAlignment="1">
      <alignment horizontal="center" vertical="center" wrapText="1"/>
    </xf>
    <xf numFmtId="216" fontId="8" fillId="8" borderId="0" xfId="0" quotePrefix="1" applyNumberFormat="1" applyFont="1" applyFill="1" applyAlignment="1">
      <alignment horizontal="center" vertical="center" wrapText="1"/>
    </xf>
    <xf numFmtId="216" fontId="8" fillId="8" borderId="150" xfId="0" quotePrefix="1" applyNumberFormat="1" applyFont="1" applyFill="1" applyBorder="1" applyAlignment="1">
      <alignment horizontal="center" vertical="center" wrapText="1"/>
    </xf>
    <xf numFmtId="217" fontId="8" fillId="8" borderId="0" xfId="0" quotePrefix="1" applyNumberFormat="1" applyFont="1" applyFill="1" applyAlignment="1">
      <alignment horizontal="center" vertical="center" wrapText="1"/>
    </xf>
    <xf numFmtId="218" fontId="8" fillId="8" borderId="0" xfId="0" quotePrefix="1" applyNumberFormat="1" applyFont="1" applyFill="1" applyAlignment="1">
      <alignment horizontal="center" vertical="center" wrapText="1"/>
    </xf>
    <xf numFmtId="225" fontId="8" fillId="8" borderId="0" xfId="0" quotePrefix="1" applyNumberFormat="1" applyFont="1" applyFill="1" applyAlignment="1">
      <alignment horizontal="center" vertical="center" wrapText="1"/>
    </xf>
    <xf numFmtId="214" fontId="8" fillId="8" borderId="0" xfId="0" quotePrefix="1" applyNumberFormat="1" applyFont="1" applyFill="1" applyAlignment="1">
      <alignment horizontal="center" vertical="center" wrapText="1"/>
    </xf>
    <xf numFmtId="0" fontId="7" fillId="0" borderId="14" xfId="0" applyNumberFormat="1" applyFont="1" applyBorder="1" applyAlignment="1">
      <alignment horizontal="right" vertical="center"/>
    </xf>
    <xf numFmtId="186" fontId="13" fillId="0" borderId="13" xfId="41054" applyNumberFormat="1" applyFont="1" applyBorder="1" applyAlignment="1">
      <alignment horizontal="center" vertical="center"/>
    </xf>
    <xf numFmtId="186" fontId="13" fillId="0" borderId="243" xfId="41054" applyNumberFormat="1" applyFont="1" applyBorder="1" applyAlignment="1">
      <alignment horizontal="center" vertical="center"/>
    </xf>
    <xf numFmtId="182" fontId="7" fillId="9" borderId="2" xfId="41054" applyNumberFormat="1" applyFont="1" applyFill="1" applyBorder="1" applyAlignment="1">
      <alignment horizontal="center" vertical="center"/>
    </xf>
    <xf numFmtId="182" fontId="7" fillId="9" borderId="241" xfId="41054" applyNumberFormat="1" applyFont="1" applyFill="1" applyBorder="1" applyAlignment="1">
      <alignment horizontal="center" vertical="center"/>
    </xf>
    <xf numFmtId="182" fontId="7" fillId="11" borderId="2" xfId="41054" applyNumberFormat="1" applyFont="1" applyFill="1" applyBorder="1" applyAlignment="1">
      <alignment horizontal="center" vertical="center"/>
    </xf>
    <xf numFmtId="182" fontId="7" fillId="11" borderId="241" xfId="41054" applyNumberFormat="1" applyFont="1" applyFill="1" applyBorder="1" applyAlignment="1">
      <alignment horizontal="center" vertical="center"/>
    </xf>
    <xf numFmtId="37" fontId="166" fillId="10" borderId="26" xfId="0" applyNumberFormat="1" applyFont="1" applyFill="1" applyBorder="1" applyAlignment="1">
      <alignment horizontal="center" vertical="center" wrapText="1"/>
    </xf>
    <xf numFmtId="37" fontId="167" fillId="0" borderId="16" xfId="0" applyNumberFormat="1" applyFont="1" applyBorder="1" applyAlignment="1">
      <alignment horizontal="center" vertical="center" wrapText="1"/>
    </xf>
    <xf numFmtId="39" fontId="8" fillId="0" borderId="118" xfId="0" applyNumberFormat="1" applyFont="1" applyBorder="1" applyAlignment="1">
      <alignment horizontal="center" vertical="center" wrapText="1"/>
    </xf>
    <xf numFmtId="39" fontId="8" fillId="0" borderId="178" xfId="0" applyNumberFormat="1" applyFont="1" applyBorder="1" applyAlignment="1">
      <alignment horizontal="center" vertical="center" wrapText="1"/>
    </xf>
    <xf numFmtId="195" fontId="7" fillId="0" borderId="132" xfId="0" applyNumberFormat="1" applyFont="1" applyBorder="1" applyAlignment="1">
      <alignment horizontal="center" vertical="center" wrapText="1"/>
    </xf>
    <xf numFmtId="195" fontId="7" fillId="0" borderId="4" xfId="0" applyNumberFormat="1" applyFont="1" applyBorder="1" applyAlignment="1">
      <alignment horizontal="center" vertical="center" wrapText="1"/>
    </xf>
    <xf numFmtId="195" fontId="7" fillId="0" borderId="77" xfId="0" applyNumberFormat="1" applyFont="1" applyBorder="1" applyAlignment="1">
      <alignment horizontal="center" vertical="center" wrapText="1"/>
    </xf>
    <xf numFmtId="167" fontId="9" fillId="0" borderId="0" xfId="0" applyFont="1" applyAlignment="1">
      <alignment horizontal="left"/>
    </xf>
    <xf numFmtId="0" fontId="67" fillId="11" borderId="303" xfId="17" applyFont="1" applyFill="1" applyBorder="1" applyAlignment="1">
      <alignment horizontal="center" vertical="center" wrapText="1"/>
    </xf>
    <xf numFmtId="0" fontId="141" fillId="11" borderId="303" xfId="17" applyFont="1" applyFill="1" applyBorder="1" applyAlignment="1">
      <alignment horizontal="center" vertical="center" wrapText="1"/>
    </xf>
    <xf numFmtId="0" fontId="168" fillId="34" borderId="2" xfId="17" applyFont="1" applyFill="1" applyBorder="1" applyAlignment="1">
      <alignment horizontal="center" vertical="center" wrapText="1"/>
    </xf>
    <xf numFmtId="0" fontId="169" fillId="44" borderId="262" xfId="0" applyNumberFormat="1" applyFont="1" applyFill="1" applyBorder="1" applyAlignment="1">
      <alignment horizontal="center" vertical="center" wrapText="1"/>
    </xf>
    <xf numFmtId="4" fontId="7" fillId="34" borderId="0" xfId="17" applyNumberFormat="1" applyFill="1" applyAlignment="1">
      <alignment horizontal="center" vertical="center" wrapText="1"/>
    </xf>
    <xf numFmtId="165" fontId="7" fillId="0" borderId="0" xfId="21" applyFont="1" applyAlignment="1">
      <alignment vertical="top"/>
    </xf>
    <xf numFmtId="43" fontId="124" fillId="0" borderId="0" xfId="0" applyNumberFormat="1" applyFont="1" applyAlignment="1">
      <alignment vertical="center"/>
    </xf>
    <xf numFmtId="2" fontId="141" fillId="11" borderId="303" xfId="17" applyNumberFormat="1" applyFont="1" applyFill="1" applyBorder="1" applyAlignment="1">
      <alignment horizontal="center" vertical="center" wrapText="1"/>
    </xf>
    <xf numFmtId="165" fontId="124" fillId="50" borderId="0" xfId="0" applyNumberFormat="1" applyFont="1" applyFill="1" applyAlignment="1">
      <alignment vertical="center"/>
    </xf>
    <xf numFmtId="0" fontId="124" fillId="50" borderId="0" xfId="0" applyNumberFormat="1" applyFont="1" applyFill="1" applyAlignment="1">
      <alignment vertical="center"/>
    </xf>
    <xf numFmtId="0" fontId="172" fillId="34" borderId="2" xfId="41057" applyFont="1" applyFill="1" applyBorder="1" applyAlignment="1" applyProtection="1">
      <alignment horizontal="center" vertical="center" wrapText="1"/>
    </xf>
    <xf numFmtId="0" fontId="26" fillId="0" borderId="2" xfId="17" applyFont="1" applyBorder="1" applyAlignment="1">
      <alignment horizontal="center" vertical="top" wrapText="1"/>
    </xf>
    <xf numFmtId="0" fontId="26" fillId="0" borderId="2" xfId="17" applyFont="1" applyBorder="1" applyAlignment="1">
      <alignment horizontal="center" vertical="center" wrapText="1"/>
    </xf>
    <xf numFmtId="40" fontId="172" fillId="34" borderId="2" xfId="41057" applyNumberFormat="1" applyFont="1" applyFill="1" applyBorder="1" applyAlignment="1" applyProtection="1">
      <alignment horizontal="center" vertical="center" wrapText="1"/>
    </xf>
    <xf numFmtId="4" fontId="26" fillId="42" borderId="2" xfId="17" applyNumberFormat="1" applyFont="1" applyFill="1" applyBorder="1" applyAlignment="1">
      <alignment horizontal="center" vertical="top" wrapText="1"/>
    </xf>
    <xf numFmtId="40" fontId="172" fillId="34" borderId="2" xfId="41057" quotePrefix="1" applyNumberFormat="1" applyFont="1" applyFill="1" applyBorder="1" applyAlignment="1" applyProtection="1">
      <alignment horizontal="center" vertical="center" wrapText="1"/>
    </xf>
    <xf numFmtId="4" fontId="26" fillId="34" borderId="2" xfId="17" applyNumberFormat="1" applyFont="1" applyFill="1" applyBorder="1" applyAlignment="1">
      <alignment horizontal="center" vertical="center" wrapText="1"/>
    </xf>
    <xf numFmtId="39" fontId="14" fillId="0" borderId="196" xfId="0" applyNumberFormat="1" applyFont="1" applyBorder="1" applyAlignment="1">
      <alignment horizontal="center" vertical="center" wrapText="1"/>
    </xf>
    <xf numFmtId="40" fontId="7" fillId="34" borderId="2" xfId="17" applyNumberFormat="1" applyFill="1" applyBorder="1" applyAlignment="1">
      <alignment horizontal="center" vertical="center" wrapText="1"/>
    </xf>
    <xf numFmtId="0" fontId="156" fillId="0" borderId="2" xfId="17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top"/>
    </xf>
    <xf numFmtId="0" fontId="7" fillId="0" borderId="2" xfId="17" quotePrefix="1" applyBorder="1" applyAlignment="1">
      <alignment horizontal="center" vertical="top" wrapText="1"/>
    </xf>
    <xf numFmtId="40" fontId="7" fillId="34" borderId="0" xfId="17" applyNumberFormat="1" applyFill="1" applyAlignment="1">
      <alignment horizontal="center" vertical="center" wrapText="1"/>
    </xf>
    <xf numFmtId="0" fontId="130" fillId="0" borderId="0" xfId="17" applyFont="1" applyAlignment="1">
      <alignment horizontal="center" vertical="center" wrapText="1"/>
    </xf>
    <xf numFmtId="0" fontId="7" fillId="0" borderId="3" xfId="41062" applyNumberFormat="1" applyBorder="1" applyAlignment="1">
      <alignment horizontal="center" vertical="center" wrapText="1"/>
    </xf>
    <xf numFmtId="0" fontId="83" fillId="34" borderId="2" xfId="41057" applyFill="1" applyBorder="1" applyAlignment="1" applyProtection="1">
      <alignment horizontal="center" vertical="center" wrapText="1"/>
    </xf>
    <xf numFmtId="9" fontId="13" fillId="46" borderId="232" xfId="0" applyNumberFormat="1" applyFont="1" applyFill="1" applyBorder="1" applyAlignment="1">
      <alignment horizontal="center" vertical="center" wrapText="1"/>
    </xf>
    <xf numFmtId="39" fontId="14" fillId="0" borderId="256" xfId="0" applyNumberFormat="1" applyFont="1" applyBorder="1" applyAlignment="1">
      <alignment horizontal="center" vertical="center" wrapText="1"/>
    </xf>
    <xf numFmtId="183" fontId="7" fillId="0" borderId="21" xfId="0" applyNumberFormat="1" applyFont="1" applyBorder="1" applyAlignment="1">
      <alignment horizontal="center" vertical="center" wrapText="1"/>
    </xf>
    <xf numFmtId="226" fontId="7" fillId="9" borderId="24" xfId="0" applyNumberFormat="1" applyFont="1" applyFill="1" applyBorder="1" applyAlignment="1">
      <alignment horizontal="center" vertical="center" wrapText="1"/>
    </xf>
    <xf numFmtId="0" fontId="7" fillId="0" borderId="3" xfId="18" applyBorder="1" applyAlignment="1">
      <alignment horizontal="center" vertical="center" wrapText="1"/>
    </xf>
    <xf numFmtId="183" fontId="7" fillId="39" borderId="2" xfId="0" applyNumberFormat="1" applyFont="1" applyFill="1" applyBorder="1" applyAlignment="1">
      <alignment horizontal="center" vertical="center" wrapText="1"/>
    </xf>
    <xf numFmtId="39" fontId="84" fillId="0" borderId="191" xfId="0" applyNumberFormat="1" applyFont="1" applyBorder="1" applyAlignment="1">
      <alignment horizontal="center" vertical="center" wrapText="1"/>
    </xf>
    <xf numFmtId="39" fontId="8" fillId="0" borderId="227" xfId="0" applyNumberFormat="1" applyFont="1" applyBorder="1" applyAlignment="1">
      <alignment horizontal="center" vertical="center" wrapText="1"/>
    </xf>
    <xf numFmtId="183" fontId="7" fillId="0" borderId="232" xfId="0" applyNumberFormat="1" applyFont="1" applyBorder="1" applyAlignment="1">
      <alignment horizontal="center" vertical="center" wrapText="1"/>
    </xf>
    <xf numFmtId="183" fontId="13" fillId="0" borderId="228" xfId="0" applyNumberFormat="1" applyFont="1" applyBorder="1" applyAlignment="1">
      <alignment horizontal="center" vertical="center" wrapText="1"/>
    </xf>
    <xf numFmtId="39" fontId="84" fillId="0" borderId="124" xfId="0" applyNumberFormat="1" applyFont="1" applyBorder="1" applyAlignment="1">
      <alignment horizontal="center" vertical="center" wrapText="1"/>
    </xf>
    <xf numFmtId="183" fontId="7" fillId="9" borderId="39" xfId="0" applyNumberFormat="1" applyFont="1" applyFill="1" applyBorder="1" applyAlignment="1">
      <alignment horizontal="center" vertical="center" wrapText="1"/>
    </xf>
    <xf numFmtId="39" fontId="84" fillId="0" borderId="125" xfId="0" applyNumberFormat="1" applyFont="1" applyBorder="1" applyAlignment="1">
      <alignment horizontal="center" vertical="center" wrapText="1"/>
    </xf>
    <xf numFmtId="183" fontId="7" fillId="9" borderId="114" xfId="0" applyNumberFormat="1" applyFont="1" applyFill="1" applyBorder="1" applyAlignment="1">
      <alignment horizontal="center" vertical="center" wrapText="1"/>
    </xf>
    <xf numFmtId="39" fontId="84" fillId="0" borderId="226" xfId="0" applyNumberFormat="1" applyFont="1" applyBorder="1" applyAlignment="1">
      <alignment horizontal="center" vertical="center" wrapText="1"/>
    </xf>
    <xf numFmtId="183" fontId="7" fillId="39" borderId="19" xfId="0" applyNumberFormat="1" applyFont="1" applyFill="1" applyBorder="1" applyAlignment="1">
      <alignment horizontal="center" vertical="center" wrapText="1"/>
    </xf>
    <xf numFmtId="183" fontId="7" fillId="39" borderId="13" xfId="0" applyNumberFormat="1" applyFont="1" applyFill="1" applyBorder="1" applyAlignment="1">
      <alignment horizontal="center" vertical="center" wrapText="1"/>
    </xf>
    <xf numFmtId="183" fontId="7" fillId="39" borderId="16" xfId="0" applyNumberFormat="1" applyFont="1" applyFill="1" applyBorder="1" applyAlignment="1">
      <alignment horizontal="center" vertical="center" wrapText="1"/>
    </xf>
    <xf numFmtId="183" fontId="7" fillId="9" borderId="22" xfId="0" applyNumberFormat="1" applyFont="1" applyFill="1" applyBorder="1" applyAlignment="1">
      <alignment horizontal="center" vertical="center" wrapText="1"/>
    </xf>
    <xf numFmtId="183" fontId="7" fillId="39" borderId="232" xfId="0" applyNumberFormat="1" applyFont="1" applyFill="1" applyBorder="1" applyAlignment="1">
      <alignment horizontal="center" vertical="center" wrapText="1"/>
    </xf>
    <xf numFmtId="183" fontId="13" fillId="0" borderId="16" xfId="0" applyNumberFormat="1" applyFont="1" applyBorder="1" applyAlignment="1">
      <alignment horizontal="center" vertical="center" wrapText="1"/>
    </xf>
    <xf numFmtId="183" fontId="13" fillId="0" borderId="2" xfId="0" applyNumberFormat="1" applyFont="1" applyBorder="1" applyAlignment="1">
      <alignment horizontal="center" vertical="center" wrapText="1"/>
    </xf>
    <xf numFmtId="183" fontId="13" fillId="0" borderId="19" xfId="0" applyNumberFormat="1" applyFont="1" applyBorder="1" applyAlignment="1">
      <alignment horizontal="center" vertical="center" wrapText="1"/>
    </xf>
    <xf numFmtId="167" fontId="14" fillId="12" borderId="8" xfId="0" applyFont="1" applyFill="1" applyBorder="1" applyAlignment="1">
      <alignment horizontal="center" vertical="center" wrapText="1"/>
    </xf>
    <xf numFmtId="167" fontId="140" fillId="36" borderId="232" xfId="0" applyFont="1" applyFill="1" applyBorder="1" applyAlignment="1">
      <alignment horizontal="right" vertical="center"/>
    </xf>
    <xf numFmtId="235" fontId="140" fillId="36" borderId="232" xfId="0" applyNumberFormat="1" applyFont="1" applyFill="1" applyBorder="1" applyAlignment="1">
      <alignment horizontal="center" vertical="center"/>
    </xf>
    <xf numFmtId="204" fontId="140" fillId="0" borderId="232" xfId="0" applyNumberFormat="1" applyFont="1" applyBorder="1" applyAlignment="1">
      <alignment horizontal="center" vertical="center"/>
    </xf>
    <xf numFmtId="236" fontId="140" fillId="0" borderId="232" xfId="0" applyNumberFormat="1" applyFont="1" applyBorder="1" applyAlignment="1">
      <alignment horizontal="center" vertical="center"/>
    </xf>
    <xf numFmtId="37" fontId="14" fillId="0" borderId="247" xfId="0" applyNumberFormat="1" applyFont="1" applyBorder="1" applyAlignment="1">
      <alignment horizontal="center" vertical="center" wrapText="1"/>
    </xf>
    <xf numFmtId="40" fontId="14" fillId="39" borderId="215" xfId="0" applyNumberFormat="1" applyFont="1" applyFill="1" applyBorder="1" applyAlignment="1">
      <alignment horizontal="center" vertical="center" wrapText="1"/>
    </xf>
    <xf numFmtId="37" fontId="117" fillId="0" borderId="0" xfId="23422" applyNumberFormat="1" applyFont="1" applyBorder="1" applyAlignment="1">
      <alignment horizontal="center" vertical="center"/>
    </xf>
    <xf numFmtId="40" fontId="16" fillId="0" borderId="105" xfId="0" applyNumberFormat="1" applyFont="1" applyBorder="1" applyAlignment="1">
      <alignment horizontal="centerContinuous" vertical="center"/>
    </xf>
    <xf numFmtId="40" fontId="16" fillId="0" borderId="19" xfId="0" applyNumberFormat="1" applyFont="1" applyBorder="1" applyAlignment="1">
      <alignment horizontal="centerContinuous" vertical="center"/>
    </xf>
    <xf numFmtId="40" fontId="16" fillId="0" borderId="144" xfId="0" applyNumberFormat="1" applyFont="1" applyBorder="1" applyAlignment="1">
      <alignment horizontal="center" vertical="center"/>
    </xf>
    <xf numFmtId="40" fontId="16" fillId="0" borderId="232" xfId="0" applyNumberFormat="1" applyFont="1" applyBorder="1" applyAlignment="1">
      <alignment horizontal="center" vertical="center"/>
    </xf>
    <xf numFmtId="40" fontId="16" fillId="0" borderId="218" xfId="0" applyNumberFormat="1" applyFont="1" applyBorder="1" applyAlignment="1">
      <alignment horizontal="center" vertical="center"/>
    </xf>
    <xf numFmtId="186" fontId="7" fillId="0" borderId="0" xfId="0" applyNumberFormat="1" applyFont="1" applyAlignment="1">
      <alignment vertical="center"/>
    </xf>
    <xf numFmtId="186" fontId="117" fillId="0" borderId="0" xfId="23422" applyNumberFormat="1" applyFont="1" applyAlignment="1">
      <alignment horizontal="center" vertical="center"/>
    </xf>
    <xf numFmtId="186" fontId="8" fillId="0" borderId="0" xfId="0" applyNumberFormat="1" applyFont="1" applyAlignment="1">
      <alignment horizontal="center" vertical="center"/>
    </xf>
    <xf numFmtId="186" fontId="7" fillId="0" borderId="0" xfId="0" applyNumberFormat="1" applyFont="1"/>
    <xf numFmtId="37" fontId="13" fillId="9" borderId="24" xfId="0" applyNumberFormat="1" applyFont="1" applyFill="1" applyBorder="1" applyAlignment="1">
      <alignment horizontal="center" vertical="center" wrapText="1"/>
    </xf>
    <xf numFmtId="237" fontId="156" fillId="0" borderId="232" xfId="17" applyNumberFormat="1" applyFont="1" applyBorder="1" applyAlignment="1">
      <alignment horizontal="center" vertical="center" wrapText="1"/>
    </xf>
    <xf numFmtId="167" fontId="7" fillId="0" borderId="0" xfId="41067" applyNumberFormat="1" applyFont="1" applyAlignment="1">
      <alignment horizontal="center" vertical="center" wrapText="1"/>
    </xf>
    <xf numFmtId="185" fontId="7" fillId="0" borderId="0" xfId="41067" applyNumberFormat="1" applyFont="1" applyAlignment="1">
      <alignment horizontal="center" vertical="center" wrapText="1"/>
    </xf>
    <xf numFmtId="167" fontId="7" fillId="0" borderId="0" xfId="41067" applyNumberFormat="1" applyFont="1" applyAlignment="1">
      <alignment horizontal="center" vertical="center"/>
    </xf>
    <xf numFmtId="0" fontId="7" fillId="0" borderId="0" xfId="41067" applyFont="1" applyAlignment="1">
      <alignment horizontal="center" vertical="center" wrapText="1"/>
    </xf>
    <xf numFmtId="167" fontId="7" fillId="0" borderId="194" xfId="41067" applyNumberFormat="1" applyFont="1" applyBorder="1" applyAlignment="1">
      <alignment horizontal="center" vertical="center" wrapText="1"/>
    </xf>
    <xf numFmtId="185" fontId="103" fillId="9" borderId="266" xfId="0" applyNumberFormat="1" applyFont="1" applyFill="1" applyBorder="1" applyAlignment="1">
      <alignment horizontal="center" vertical="center" wrapText="1"/>
    </xf>
    <xf numFmtId="167" fontId="7" fillId="0" borderId="276" xfId="0" applyFont="1" applyBorder="1" applyAlignment="1">
      <alignment horizontal="center" vertical="center" wrapText="1"/>
    </xf>
    <xf numFmtId="167" fontId="137" fillId="0" borderId="261" xfId="0" applyFont="1" applyBorder="1" applyAlignment="1">
      <alignment horizontal="center" vertical="center" wrapText="1"/>
    </xf>
    <xf numFmtId="185" fontId="13" fillId="0" borderId="130" xfId="41067" applyNumberFormat="1" applyFont="1" applyBorder="1" applyAlignment="1">
      <alignment horizontal="center" vertical="center" wrapText="1"/>
    </xf>
    <xf numFmtId="186" fontId="7" fillId="0" borderId="89" xfId="41067" applyNumberFormat="1" applyFont="1" applyBorder="1" applyAlignment="1">
      <alignment horizontal="center" vertical="center" wrapText="1"/>
    </xf>
    <xf numFmtId="167" fontId="8" fillId="0" borderId="0" xfId="41067" applyNumberFormat="1" applyFont="1" applyAlignment="1">
      <alignment horizontal="center" vertical="center" wrapText="1"/>
    </xf>
    <xf numFmtId="167" fontId="137" fillId="0" borderId="0" xfId="41067" applyNumberFormat="1" applyFont="1" applyAlignment="1">
      <alignment horizontal="center" vertical="center"/>
    </xf>
    <xf numFmtId="0" fontId="14" fillId="0" borderId="90" xfId="41067" applyFont="1" applyBorder="1" applyAlignment="1">
      <alignment horizontal="center" vertical="center" wrapText="1"/>
    </xf>
    <xf numFmtId="186" fontId="7" fillId="0" borderId="36" xfId="41067" applyNumberFormat="1" applyFont="1" applyBorder="1" applyAlignment="1">
      <alignment horizontal="center" vertical="center" wrapText="1"/>
    </xf>
    <xf numFmtId="0" fontId="14" fillId="0" borderId="20" xfId="41067" applyFont="1" applyBorder="1" applyAlignment="1">
      <alignment horizontal="center" vertical="center" wrapText="1"/>
    </xf>
    <xf numFmtId="185" fontId="13" fillId="0" borderId="228" xfId="41067" applyNumberFormat="1" applyFont="1" applyBorder="1" applyAlignment="1">
      <alignment horizontal="center" vertical="center" wrapText="1"/>
    </xf>
    <xf numFmtId="186" fontId="7" fillId="0" borderId="232" xfId="41067" applyNumberFormat="1" applyFont="1" applyBorder="1" applyAlignment="1">
      <alignment horizontal="center" vertical="center" wrapText="1"/>
    </xf>
    <xf numFmtId="185" fontId="13" fillId="0" borderId="39" xfId="41067" applyNumberFormat="1" applyFont="1" applyBorder="1" applyAlignment="1">
      <alignment horizontal="center" vertical="center" wrapText="1"/>
    </xf>
    <xf numFmtId="185" fontId="13" fillId="0" borderId="179" xfId="41067" applyNumberFormat="1" applyFont="1" applyBorder="1" applyAlignment="1">
      <alignment horizontal="center" vertical="center" wrapText="1"/>
    </xf>
    <xf numFmtId="185" fontId="30" fillId="0" borderId="89" xfId="41067" applyNumberFormat="1" applyFont="1" applyBorder="1" applyAlignment="1">
      <alignment horizontal="center" vertical="center" wrapText="1"/>
    </xf>
    <xf numFmtId="185" fontId="8" fillId="0" borderId="0" xfId="41067" applyNumberFormat="1" applyFont="1" applyAlignment="1">
      <alignment horizontal="center" vertical="center" wrapText="1"/>
    </xf>
    <xf numFmtId="167" fontId="147" fillId="0" borderId="0" xfId="41067" applyNumberFormat="1" applyFont="1" applyAlignment="1">
      <alignment horizontal="center" vertical="center"/>
    </xf>
    <xf numFmtId="167" fontId="14" fillId="0" borderId="182" xfId="41067" applyNumberFormat="1" applyFont="1" applyBorder="1" applyAlignment="1">
      <alignment horizontal="center" vertical="center" wrapText="1"/>
    </xf>
    <xf numFmtId="167" fontId="84" fillId="0" borderId="0" xfId="41067" applyNumberFormat="1" applyFont="1" applyAlignment="1">
      <alignment horizontal="center" vertical="center"/>
    </xf>
    <xf numFmtId="0" fontId="28" fillId="0" borderId="247" xfId="41067" applyFont="1" applyBorder="1" applyAlignment="1">
      <alignment horizontal="center" wrapText="1"/>
    </xf>
    <xf numFmtId="2" fontId="8" fillId="0" borderId="241" xfId="41067" applyNumberFormat="1" applyFont="1" applyBorder="1" applyAlignment="1">
      <alignment horizontal="center" vertical="center" wrapText="1"/>
    </xf>
    <xf numFmtId="167" fontId="145" fillId="0" borderId="0" xfId="41067" applyNumberFormat="1" applyFont="1" applyAlignment="1">
      <alignment horizontal="center" vertical="center"/>
    </xf>
    <xf numFmtId="0" fontId="14" fillId="0" borderId="247" xfId="41067" applyFont="1" applyBorder="1" applyAlignment="1">
      <alignment vertical="center" wrapText="1"/>
    </xf>
    <xf numFmtId="167" fontId="14" fillId="0" borderId="0" xfId="41067" applyNumberFormat="1" applyFont="1" applyAlignment="1">
      <alignment horizontal="center" vertical="center" wrapText="1"/>
    </xf>
    <xf numFmtId="2" fontId="8" fillId="0" borderId="243" xfId="41067" applyNumberFormat="1" applyFont="1" applyBorder="1" applyAlignment="1">
      <alignment horizontal="center" vertical="center" wrapText="1"/>
    </xf>
    <xf numFmtId="0" fontId="14" fillId="0" borderId="149" xfId="41067" applyFont="1" applyBorder="1" applyAlignment="1">
      <alignment vertical="center" wrapText="1"/>
    </xf>
    <xf numFmtId="0" fontId="139" fillId="0" borderId="149" xfId="41067" applyFont="1" applyBorder="1" applyAlignment="1">
      <alignment horizontal="center" vertical="center" wrapText="1"/>
    </xf>
    <xf numFmtId="185" fontId="7" fillId="0" borderId="89" xfId="41067" applyNumberFormat="1" applyFont="1" applyBorder="1" applyAlignment="1">
      <alignment horizontal="center" vertical="center" wrapText="1"/>
    </xf>
    <xf numFmtId="167" fontId="8" fillId="0" borderId="3" xfId="41067" applyNumberFormat="1" applyFont="1" applyBorder="1" applyAlignment="1">
      <alignment horizontal="center" vertical="center" wrapText="1"/>
    </xf>
    <xf numFmtId="185" fontId="14" fillId="0" borderId="3" xfId="41067" applyNumberFormat="1" applyFont="1" applyBorder="1" applyAlignment="1">
      <alignment horizontal="center" vertical="center" wrapText="1"/>
    </xf>
    <xf numFmtId="185" fontId="14" fillId="0" borderId="0" xfId="41067" applyNumberFormat="1" applyFont="1" applyAlignment="1">
      <alignment horizontal="center" vertical="center" wrapText="1"/>
    </xf>
    <xf numFmtId="167" fontId="146" fillId="0" borderId="0" xfId="41067" applyNumberFormat="1" applyFont="1" applyAlignment="1">
      <alignment horizontal="center" vertical="center"/>
    </xf>
    <xf numFmtId="2" fontId="8" fillId="0" borderId="197" xfId="41067" applyNumberFormat="1" applyFont="1" applyBorder="1" applyAlignment="1">
      <alignment horizontal="center" vertical="center" wrapText="1"/>
    </xf>
    <xf numFmtId="167" fontId="26" fillId="47" borderId="232" xfId="41067" applyNumberFormat="1" applyFont="1" applyFill="1" applyBorder="1" applyAlignment="1">
      <alignment horizontal="center" vertical="center" wrapText="1"/>
    </xf>
    <xf numFmtId="185" fontId="26" fillId="47" borderId="232" xfId="41067" applyNumberFormat="1" applyFont="1" applyFill="1" applyBorder="1" applyAlignment="1">
      <alignment horizontal="center" vertical="center" wrapText="1"/>
    </xf>
    <xf numFmtId="167" fontId="27" fillId="47" borderId="150" xfId="41067" applyNumberFormat="1" applyFont="1" applyFill="1" applyBorder="1" applyAlignment="1">
      <alignment horizontal="center" vertical="center"/>
    </xf>
    <xf numFmtId="167" fontId="28" fillId="47" borderId="150" xfId="41067" applyNumberFormat="1" applyFont="1" applyFill="1" applyBorder="1" applyAlignment="1">
      <alignment vertical="center"/>
    </xf>
    <xf numFmtId="186" fontId="30" fillId="0" borderId="105" xfId="41067" applyNumberFormat="1" applyFont="1" applyBorder="1" applyAlignment="1">
      <alignment horizontal="center" vertical="center" wrapText="1"/>
    </xf>
    <xf numFmtId="167" fontId="8" fillId="0" borderId="185" xfId="41067" applyNumberFormat="1" applyFont="1" applyBorder="1" applyAlignment="1">
      <alignment horizontal="center" vertical="center" wrapText="1"/>
    </xf>
    <xf numFmtId="167" fontId="137" fillId="0" borderId="185" xfId="41067" applyNumberFormat="1" applyFont="1" applyBorder="1" applyAlignment="1">
      <alignment horizontal="center" vertical="center"/>
    </xf>
    <xf numFmtId="185" fontId="13" fillId="0" borderId="157" xfId="41067" applyNumberFormat="1" applyFont="1" applyBorder="1" applyAlignment="1">
      <alignment horizontal="center" vertical="center" wrapText="1"/>
    </xf>
    <xf numFmtId="186" fontId="30" fillId="0" borderId="36" xfId="41067" applyNumberFormat="1" applyFont="1" applyBorder="1" applyAlignment="1">
      <alignment horizontal="center" vertical="center" wrapText="1"/>
    </xf>
    <xf numFmtId="167" fontId="8" fillId="0" borderId="35" xfId="41067" applyNumberFormat="1" applyFont="1" applyBorder="1" applyAlignment="1">
      <alignment horizontal="center" vertical="center" wrapText="1"/>
    </xf>
    <xf numFmtId="167" fontId="137" fillId="0" borderId="79" xfId="41067" applyNumberFormat="1" applyFont="1" applyBorder="1" applyAlignment="1">
      <alignment horizontal="center" vertical="center"/>
    </xf>
    <xf numFmtId="185" fontId="13" fillId="0" borderId="114" xfId="41067" applyNumberFormat="1" applyFont="1" applyBorder="1" applyAlignment="1">
      <alignment horizontal="center" vertical="center" wrapText="1"/>
    </xf>
    <xf numFmtId="186" fontId="30" fillId="0" borderId="232" xfId="41067" applyNumberFormat="1" applyFont="1" applyBorder="1" applyAlignment="1">
      <alignment horizontal="center" vertical="center" wrapText="1"/>
    </xf>
    <xf numFmtId="185" fontId="8" fillId="0" borderId="3" xfId="41067" applyNumberFormat="1" applyFont="1" applyBorder="1" applyAlignment="1">
      <alignment horizontal="center" vertical="center" wrapText="1"/>
    </xf>
    <xf numFmtId="185" fontId="7" fillId="9" borderId="39" xfId="41067" applyNumberFormat="1" applyFont="1" applyFill="1" applyBorder="1" applyAlignment="1">
      <alignment horizontal="center" vertical="center" wrapText="1"/>
    </xf>
    <xf numFmtId="0" fontId="14" fillId="0" borderId="128" xfId="41067" applyFont="1" applyBorder="1" applyAlignment="1">
      <alignment horizontal="left" vertical="top" wrapText="1"/>
    </xf>
    <xf numFmtId="186" fontId="7" fillId="0" borderId="2" xfId="41067" applyNumberFormat="1" applyFont="1" applyBorder="1" applyAlignment="1">
      <alignment horizontal="center" vertical="center" wrapText="1"/>
    </xf>
    <xf numFmtId="185" fontId="7" fillId="9" borderId="114" xfId="41067" applyNumberFormat="1" applyFont="1" applyFill="1" applyBorder="1" applyAlignment="1">
      <alignment horizontal="center" vertical="center" wrapText="1"/>
    </xf>
    <xf numFmtId="185" fontId="7" fillId="9" borderId="157" xfId="41067" applyNumberFormat="1" applyFont="1" applyFill="1" applyBorder="1" applyAlignment="1">
      <alignment horizontal="center" vertical="center" wrapText="1"/>
    </xf>
    <xf numFmtId="167" fontId="7" fillId="0" borderId="3" xfId="41067" applyNumberFormat="1" applyFont="1" applyBorder="1" applyAlignment="1">
      <alignment horizontal="center" vertical="center" wrapText="1"/>
    </xf>
    <xf numFmtId="167" fontId="14" fillId="0" borderId="81" xfId="41067" applyNumberFormat="1" applyFont="1" applyBorder="1" applyAlignment="1">
      <alignment horizontal="center" vertical="center" wrapText="1"/>
    </xf>
    <xf numFmtId="167" fontId="8" fillId="0" borderId="177" xfId="41067" applyNumberFormat="1" applyFont="1" applyBorder="1" applyAlignment="1">
      <alignment horizontal="center" vertical="center" wrapText="1"/>
    </xf>
    <xf numFmtId="167" fontId="8" fillId="0" borderId="271" xfId="41067" applyNumberFormat="1" applyFont="1" applyBorder="1" applyAlignment="1">
      <alignment horizontal="center" vertical="center" wrapText="1"/>
    </xf>
    <xf numFmtId="185" fontId="13" fillId="10" borderId="27" xfId="41067" applyNumberFormat="1" applyFont="1" applyFill="1" applyBorder="1" applyAlignment="1">
      <alignment horizontal="center" vertical="center" wrapText="1"/>
    </xf>
    <xf numFmtId="167" fontId="23" fillId="10" borderId="26" xfId="41067" applyNumberFormat="1" applyFont="1" applyFill="1" applyBorder="1" applyAlignment="1">
      <alignment horizontal="center" vertical="center" wrapText="1"/>
    </xf>
    <xf numFmtId="185" fontId="60" fillId="0" borderId="0" xfId="41067" applyNumberFormat="1" applyFont="1" applyAlignment="1">
      <alignment horizontal="center" vertical="center" wrapText="1"/>
    </xf>
    <xf numFmtId="4" fontId="7" fillId="0" borderId="2" xfId="17" applyNumberFormat="1" applyBorder="1" applyAlignment="1">
      <alignment horizontal="center" vertical="top" wrapText="1"/>
    </xf>
    <xf numFmtId="10" fontId="7" fillId="0" borderId="2" xfId="19" applyNumberFormat="1" applyFont="1" applyBorder="1" applyAlignment="1">
      <alignment horizontal="center" vertical="top" wrapText="1"/>
    </xf>
    <xf numFmtId="167" fontId="14" fillId="0" borderId="20" xfId="41067" applyNumberFormat="1" applyFont="1" applyBorder="1" applyAlignment="1">
      <alignment horizontal="center" vertical="center" wrapText="1"/>
    </xf>
    <xf numFmtId="167" fontId="14" fillId="0" borderId="247" xfId="41067" applyNumberFormat="1" applyFont="1" applyBorder="1" applyAlignment="1">
      <alignment horizontal="center" vertical="center" wrapText="1"/>
    </xf>
    <xf numFmtId="167" fontId="14" fillId="0" borderId="128" xfId="41067" applyNumberFormat="1" applyFont="1" applyBorder="1" applyAlignment="1">
      <alignment horizontal="center" vertical="center" wrapText="1"/>
    </xf>
    <xf numFmtId="167" fontId="14" fillId="0" borderId="90" xfId="41067" applyNumberFormat="1" applyFont="1" applyBorder="1" applyAlignment="1">
      <alignment horizontal="center" vertical="center" wrapText="1"/>
    </xf>
    <xf numFmtId="207" fontId="8" fillId="0" borderId="240" xfId="41067" applyNumberFormat="1" applyFont="1" applyBorder="1" applyAlignment="1">
      <alignment horizontal="center" vertical="center" wrapText="1"/>
    </xf>
    <xf numFmtId="207" fontId="8" fillId="0" borderId="197" xfId="41067" applyNumberFormat="1" applyFont="1" applyBorder="1" applyAlignment="1">
      <alignment horizontal="center" vertical="center" wrapText="1"/>
    </xf>
    <xf numFmtId="167" fontId="7" fillId="49" borderId="3" xfId="41067" applyNumberFormat="1" applyFont="1" applyFill="1" applyBorder="1" applyAlignment="1">
      <alignment horizontal="center" vertical="center" wrapText="1"/>
    </xf>
    <xf numFmtId="49" fontId="8" fillId="0" borderId="247" xfId="41067" applyNumberFormat="1" applyFont="1" applyBorder="1" applyAlignment="1">
      <alignment horizontal="left" vertical="center" wrapText="1" indent="2"/>
    </xf>
    <xf numFmtId="197" fontId="14" fillId="0" borderId="227" xfId="41067" applyNumberFormat="1" applyFont="1" applyBorder="1" applyAlignment="1">
      <alignment horizontal="center" vertical="center" wrapText="1"/>
    </xf>
    <xf numFmtId="2" fontId="8" fillId="0" borderId="167" xfId="41067" applyNumberFormat="1" applyFont="1" applyBorder="1" applyAlignment="1">
      <alignment horizontal="center" vertical="center" wrapText="1"/>
    </xf>
    <xf numFmtId="167" fontId="14" fillId="0" borderId="18" xfId="41067" applyNumberFormat="1" applyFont="1" applyBorder="1" applyAlignment="1">
      <alignment horizontal="center" vertical="center" wrapText="1"/>
    </xf>
    <xf numFmtId="2" fontId="8" fillId="0" borderId="231" xfId="41067" applyNumberFormat="1" applyFont="1" applyBorder="1" applyAlignment="1">
      <alignment horizontal="center" vertical="center" wrapText="1"/>
    </xf>
    <xf numFmtId="167" fontId="14" fillId="0" borderId="167" xfId="41067" applyNumberFormat="1" applyFont="1" applyBorder="1" applyAlignment="1">
      <alignment horizontal="center" vertical="center" wrapText="1"/>
    </xf>
    <xf numFmtId="167" fontId="14" fillId="0" borderId="18" xfId="41068" applyNumberFormat="1" applyFont="1" applyBorder="1" applyAlignment="1">
      <alignment horizontal="center" vertical="center" wrapText="1"/>
    </xf>
    <xf numFmtId="167" fontId="8" fillId="0" borderId="167" xfId="41067" applyNumberFormat="1" applyFont="1" applyBorder="1" applyAlignment="1">
      <alignment horizontal="center" vertical="center" wrapText="1"/>
    </xf>
    <xf numFmtId="167" fontId="27" fillId="47" borderId="0" xfId="41067" applyNumberFormat="1" applyFont="1" applyFill="1" applyAlignment="1">
      <alignment horizontal="left" vertical="center"/>
    </xf>
    <xf numFmtId="165" fontId="124" fillId="0" borderId="0" xfId="21" applyFont="1" applyAlignment="1">
      <alignment horizontal="center" vertical="center"/>
    </xf>
    <xf numFmtId="9" fontId="13" fillId="46" borderId="111" xfId="0" applyNumberFormat="1" applyFont="1" applyFill="1" applyBorder="1" applyAlignment="1">
      <alignment horizontal="center" vertical="center" wrapText="1"/>
    </xf>
    <xf numFmtId="10" fontId="132" fillId="45" borderId="227" xfId="19" applyNumberFormat="1" applyFont="1" applyFill="1" applyBorder="1" applyAlignment="1">
      <alignment vertical="center"/>
    </xf>
    <xf numFmtId="0" fontId="135" fillId="46" borderId="227" xfId="0" applyNumberFormat="1" applyFont="1" applyFill="1" applyBorder="1" applyAlignment="1">
      <alignment horizontal="center" vertical="center" wrapText="1"/>
    </xf>
    <xf numFmtId="0" fontId="7" fillId="8" borderId="227" xfId="0" applyNumberFormat="1" applyFont="1" applyFill="1" applyBorder="1" applyAlignment="1">
      <alignment horizontal="center" vertical="center"/>
    </xf>
    <xf numFmtId="231" fontId="156" fillId="0" borderId="227" xfId="17" applyNumberFormat="1" applyFont="1" applyBorder="1" applyAlignment="1">
      <alignment horizontal="center" vertical="center" wrapText="1"/>
    </xf>
    <xf numFmtId="233" fontId="156" fillId="0" borderId="227" xfId="17" applyNumberFormat="1" applyFont="1" applyBorder="1" applyAlignment="1">
      <alignment horizontal="center" vertical="center" wrapText="1"/>
    </xf>
    <xf numFmtId="0" fontId="141" fillId="11" borderId="223" xfId="17" applyFont="1" applyFill="1" applyBorder="1" applyAlignment="1">
      <alignment horizontal="center" vertical="center" wrapText="1"/>
    </xf>
    <xf numFmtId="200" fontId="156" fillId="0" borderId="227" xfId="17" applyNumberFormat="1" applyFont="1" applyBorder="1" applyAlignment="1">
      <alignment horizontal="center" vertical="center" wrapText="1"/>
    </xf>
    <xf numFmtId="237" fontId="156" fillId="0" borderId="227" xfId="17" applyNumberFormat="1" applyFont="1" applyBorder="1" applyAlignment="1">
      <alignment horizontal="center" vertical="center" wrapText="1"/>
    </xf>
    <xf numFmtId="0" fontId="124" fillId="0" borderId="227" xfId="0" applyNumberFormat="1" applyFont="1" applyBorder="1" applyAlignment="1">
      <alignment horizontal="center" vertical="center"/>
    </xf>
    <xf numFmtId="167" fontId="13" fillId="46" borderId="226" xfId="0" applyFont="1" applyFill="1" applyBorder="1" applyAlignment="1">
      <alignment horizontal="center" vertical="center"/>
    </xf>
    <xf numFmtId="10" fontId="84" fillId="43" borderId="0" xfId="19" applyNumberFormat="1" applyFont="1" applyFill="1" applyBorder="1" applyAlignment="1">
      <alignment horizontal="center" vertical="center"/>
    </xf>
    <xf numFmtId="0" fontId="161" fillId="44" borderId="222" xfId="0" applyNumberFormat="1" applyFont="1" applyFill="1" applyBorder="1" applyAlignment="1">
      <alignment horizontal="center" vertical="center" wrapText="1"/>
    </xf>
    <xf numFmtId="0" fontId="156" fillId="0" borderId="0" xfId="17" applyFont="1" applyAlignment="1">
      <alignment horizontal="center" vertical="center" wrapText="1"/>
    </xf>
    <xf numFmtId="0" fontId="151" fillId="9" borderId="0" xfId="17" applyFont="1" applyFill="1" applyAlignment="1">
      <alignment horizontal="center" vertical="center" wrapText="1"/>
    </xf>
    <xf numFmtId="228" fontId="26" fillId="9" borderId="0" xfId="17" applyNumberFormat="1" applyFont="1" applyFill="1" applyAlignment="1">
      <alignment horizontal="center" vertical="center" wrapText="1"/>
    </xf>
    <xf numFmtId="208" fontId="26" fillId="0" borderId="0" xfId="17" applyNumberFormat="1" applyFont="1" applyAlignment="1">
      <alignment horizontal="center" vertical="center" wrapText="1"/>
    </xf>
    <xf numFmtId="0" fontId="7" fillId="0" borderId="0" xfId="17" applyAlignment="1">
      <alignment horizontal="center" vertical="center" wrapText="1"/>
    </xf>
    <xf numFmtId="0" fontId="67" fillId="11" borderId="222" xfId="17" applyFont="1" applyFill="1" applyBorder="1" applyAlignment="1">
      <alignment horizontal="center" vertical="center" wrapText="1"/>
    </xf>
    <xf numFmtId="200" fontId="156" fillId="0" borderId="0" xfId="17" applyNumberFormat="1" applyFont="1" applyAlignment="1">
      <alignment horizontal="center" vertical="center" wrapText="1"/>
    </xf>
    <xf numFmtId="205" fontId="26" fillId="0" borderId="0" xfId="17" applyNumberFormat="1" applyFont="1" applyAlignment="1">
      <alignment horizontal="center" vertical="center" wrapText="1"/>
    </xf>
    <xf numFmtId="224" fontId="156" fillId="0" borderId="0" xfId="41062" applyNumberFormat="1" applyFont="1" applyAlignment="1">
      <alignment horizontal="center" vertical="center" wrapText="1"/>
    </xf>
    <xf numFmtId="229" fontId="26" fillId="9" borderId="0" xfId="17" applyNumberFormat="1" applyFont="1" applyFill="1" applyAlignment="1">
      <alignment horizontal="center" vertical="center" wrapText="1"/>
    </xf>
    <xf numFmtId="0" fontId="168" fillId="34" borderId="0" xfId="17" applyFont="1" applyFill="1" applyAlignment="1">
      <alignment horizontal="center" vertical="center" wrapText="1"/>
    </xf>
    <xf numFmtId="0" fontId="8" fillId="0" borderId="0" xfId="17" applyFont="1" applyAlignment="1">
      <alignment horizontal="center" vertical="center" wrapText="1"/>
    </xf>
    <xf numFmtId="0" fontId="130" fillId="34" borderId="0" xfId="17" applyFont="1" applyFill="1" applyAlignment="1">
      <alignment horizontal="center" vertical="center" wrapText="1"/>
    </xf>
    <xf numFmtId="0" fontId="130" fillId="52" borderId="0" xfId="17" applyFont="1" applyFill="1" applyAlignment="1">
      <alignment horizontal="center" vertical="center" wrapText="1"/>
    </xf>
    <xf numFmtId="167" fontId="101" fillId="39" borderId="0" xfId="0" applyFont="1" applyFill="1" applyAlignment="1">
      <alignment vertical="top"/>
    </xf>
    <xf numFmtId="167" fontId="13" fillId="39" borderId="0" xfId="0" applyFont="1" applyFill="1"/>
    <xf numFmtId="167" fontId="9" fillId="39" borderId="0" xfId="0" applyFont="1" applyFill="1"/>
    <xf numFmtId="167" fontId="13" fillId="39" borderId="0" xfId="0" applyFont="1" applyFill="1" applyAlignment="1">
      <alignment vertical="center"/>
    </xf>
    <xf numFmtId="167" fontId="14" fillId="39" borderId="0" xfId="0" applyFont="1" applyFill="1" applyAlignment="1">
      <alignment horizontal="right" vertical="top"/>
    </xf>
    <xf numFmtId="167" fontId="14" fillId="39" borderId="0" xfId="0" applyFont="1" applyFill="1" applyAlignment="1">
      <alignment horizontal="left" vertical="top"/>
    </xf>
    <xf numFmtId="195" fontId="26" fillId="0" borderId="255" xfId="0" applyNumberFormat="1" applyFont="1" applyBorder="1" applyAlignment="1">
      <alignment horizontal="center" vertical="center" wrapText="1"/>
    </xf>
    <xf numFmtId="195" fontId="7" fillId="0" borderId="232" xfId="0" applyNumberFormat="1" applyFont="1" applyBorder="1" applyAlignment="1">
      <alignment horizontal="center" vertical="center" wrapText="1"/>
    </xf>
    <xf numFmtId="37" fontId="174" fillId="10" borderId="26" xfId="0" applyNumberFormat="1" applyFont="1" applyFill="1" applyBorder="1" applyAlignment="1">
      <alignment horizontal="center" vertical="center" wrapText="1"/>
    </xf>
    <xf numFmtId="220" fontId="175" fillId="0" borderId="21" xfId="0" applyNumberFormat="1" applyFont="1" applyBorder="1" applyAlignment="1">
      <alignment horizontal="center" vertical="center" wrapText="1"/>
    </xf>
    <xf numFmtId="37" fontId="175" fillId="0" borderId="13" xfId="0" applyNumberFormat="1" applyFont="1" applyBorder="1" applyAlignment="1">
      <alignment horizontal="center" vertical="center" wrapText="1"/>
    </xf>
    <xf numFmtId="39" fontId="175" fillId="0" borderId="2" xfId="0" applyNumberFormat="1" applyFont="1" applyBorder="1" applyAlignment="1">
      <alignment horizontal="center" vertical="center" wrapText="1"/>
    </xf>
    <xf numFmtId="39" fontId="175" fillId="0" borderId="16" xfId="0" applyNumberFormat="1" applyFont="1" applyBorder="1" applyAlignment="1">
      <alignment horizontal="center" vertical="center" wrapText="1"/>
    </xf>
    <xf numFmtId="183" fontId="175" fillId="0" borderId="13" xfId="0" applyNumberFormat="1" applyFont="1" applyBorder="1" applyAlignment="1">
      <alignment horizontal="center" vertical="center" wrapText="1"/>
    </xf>
    <xf numFmtId="183" fontId="175" fillId="0" borderId="2" xfId="0" applyNumberFormat="1" applyFont="1" applyBorder="1" applyAlignment="1">
      <alignment horizontal="center" vertical="center" wrapText="1"/>
    </xf>
    <xf numFmtId="183" fontId="175" fillId="0" borderId="16" xfId="0" applyNumberFormat="1" applyFont="1" applyBorder="1" applyAlignment="1">
      <alignment horizontal="center" vertical="center" wrapText="1"/>
    </xf>
    <xf numFmtId="37" fontId="175" fillId="0" borderId="16" xfId="0" applyNumberFormat="1" applyFont="1" applyBorder="1" applyAlignment="1">
      <alignment horizontal="center" vertical="center" wrapText="1"/>
    </xf>
    <xf numFmtId="37" fontId="175" fillId="0" borderId="173" xfId="0" applyNumberFormat="1" applyFont="1" applyBorder="1" applyAlignment="1">
      <alignment horizontal="center" vertical="center" wrapText="1"/>
    </xf>
    <xf numFmtId="183" fontId="175" fillId="0" borderId="178" xfId="0" applyNumberFormat="1" applyFont="1" applyBorder="1" applyAlignment="1">
      <alignment horizontal="center" vertical="center" wrapText="1"/>
    </xf>
    <xf numFmtId="183" fontId="175" fillId="0" borderId="0" xfId="0" applyNumberFormat="1" applyFont="1" applyAlignment="1">
      <alignment horizontal="center" vertical="center" wrapText="1"/>
    </xf>
    <xf numFmtId="183" fontId="175" fillId="0" borderId="105" xfId="0" applyNumberFormat="1" applyFont="1" applyBorder="1" applyAlignment="1">
      <alignment horizontal="center" vertical="center" wrapText="1"/>
    </xf>
    <xf numFmtId="183" fontId="175" fillId="0" borderId="19" xfId="0" applyNumberFormat="1" applyFont="1" applyBorder="1" applyAlignment="1">
      <alignment horizontal="center" vertical="center" wrapText="1"/>
    </xf>
    <xf numFmtId="9" fontId="175" fillId="0" borderId="13" xfId="19" applyFont="1" applyFill="1" applyBorder="1" applyAlignment="1">
      <alignment horizontal="center" vertical="center" wrapText="1"/>
    </xf>
    <xf numFmtId="9" fontId="175" fillId="0" borderId="2" xfId="19" applyFont="1" applyFill="1" applyBorder="1" applyAlignment="1">
      <alignment horizontal="center" vertical="center" wrapText="1"/>
    </xf>
    <xf numFmtId="183" fontId="175" fillId="0" borderId="3" xfId="0" applyNumberFormat="1" applyFont="1" applyBorder="1" applyAlignment="1">
      <alignment horizontal="center" vertical="center" wrapText="1"/>
    </xf>
    <xf numFmtId="183" fontId="175" fillId="0" borderId="36" xfId="0" applyNumberFormat="1" applyFont="1" applyBorder="1" applyAlignment="1">
      <alignment horizontal="center" vertical="center" wrapText="1"/>
    </xf>
    <xf numFmtId="183" fontId="175" fillId="0" borderId="173" xfId="0" applyNumberFormat="1" applyFont="1" applyBorder="1" applyAlignment="1">
      <alignment horizontal="center" vertical="center" wrapText="1"/>
    </xf>
    <xf numFmtId="39" fontId="175" fillId="0" borderId="28" xfId="0" applyNumberFormat="1" applyFont="1" applyBorder="1" applyAlignment="1">
      <alignment horizontal="center" vertical="center" wrapText="1"/>
    </xf>
    <xf numFmtId="39" fontId="175" fillId="0" borderId="0" xfId="0" applyNumberFormat="1" applyFont="1" applyAlignment="1">
      <alignment horizontal="center" vertical="center" wrapText="1"/>
    </xf>
    <xf numFmtId="0" fontId="7" fillId="0" borderId="3" xfId="41062" quotePrefix="1" applyNumberFormat="1" applyBorder="1" applyAlignment="1">
      <alignment horizontal="center" vertical="center" wrapText="1"/>
    </xf>
    <xf numFmtId="184" fontId="13" fillId="0" borderId="0" xfId="19" applyNumberFormat="1" applyFont="1" applyFill="1" applyAlignment="1">
      <alignment horizontal="right" vertical="center"/>
    </xf>
    <xf numFmtId="0" fontId="8" fillId="0" borderId="4" xfId="17" applyFont="1" applyBorder="1" applyAlignment="1">
      <alignment horizontal="left" vertical="center" wrapText="1"/>
    </xf>
    <xf numFmtId="0" fontId="132" fillId="9" borderId="262" xfId="0" applyNumberFormat="1" applyFont="1" applyFill="1" applyBorder="1" applyAlignment="1">
      <alignment horizontal="center" vertical="center" wrapText="1"/>
    </xf>
    <xf numFmtId="0" fontId="13" fillId="9" borderId="262" xfId="0" applyNumberFormat="1" applyFont="1" applyFill="1" applyBorder="1" applyAlignment="1">
      <alignment horizontal="center" vertical="center"/>
    </xf>
    <xf numFmtId="0" fontId="13" fillId="9" borderId="262" xfId="0" applyNumberFormat="1" applyFont="1" applyFill="1" applyBorder="1" applyAlignment="1">
      <alignment horizontal="center" vertical="center" wrapText="1"/>
    </xf>
    <xf numFmtId="165" fontId="13" fillId="9" borderId="262" xfId="0" applyNumberFormat="1" applyFont="1" applyFill="1" applyBorder="1" applyAlignment="1">
      <alignment horizontal="center" vertical="center" wrapText="1"/>
    </xf>
    <xf numFmtId="167" fontId="9" fillId="0" borderId="0" xfId="0" applyFont="1" applyAlignment="1">
      <alignment horizontal="left" vertical="center" wrapText="1"/>
    </xf>
    <xf numFmtId="0" fontId="8" fillId="0" borderId="0" xfId="17" applyFont="1" applyAlignment="1">
      <alignment horizontal="left" vertical="center" wrapText="1"/>
    </xf>
    <xf numFmtId="165" fontId="124" fillId="0" borderId="0" xfId="21" applyFont="1" applyAlignment="1">
      <alignment vertical="top"/>
    </xf>
    <xf numFmtId="0" fontId="156" fillId="57" borderId="2" xfId="41062" applyNumberFormat="1" applyFont="1" applyFill="1" applyBorder="1" applyAlignment="1">
      <alignment horizontal="center" vertical="center" wrapText="1"/>
    </xf>
    <xf numFmtId="0" fontId="156" fillId="57" borderId="0" xfId="41062" applyNumberFormat="1" applyFont="1" applyFill="1" applyAlignment="1">
      <alignment horizontal="center" vertical="center" wrapText="1"/>
    </xf>
    <xf numFmtId="39" fontId="8" fillId="0" borderId="234" xfId="0" applyNumberFormat="1" applyFont="1" applyBorder="1" applyAlignment="1">
      <alignment horizontal="center" vertical="center" wrapText="1"/>
    </xf>
    <xf numFmtId="39" fontId="8" fillId="53" borderId="118" xfId="0" applyNumberFormat="1" applyFont="1" applyFill="1" applyBorder="1" applyAlignment="1">
      <alignment horizontal="center" vertical="center"/>
    </xf>
    <xf numFmtId="39" fontId="8" fillId="53" borderId="178" xfId="0" applyNumberFormat="1" applyFont="1" applyFill="1" applyBorder="1" applyAlignment="1">
      <alignment horizontal="center" vertical="center"/>
    </xf>
    <xf numFmtId="39" fontId="8" fillId="0" borderId="176" xfId="0" applyNumberFormat="1" applyFont="1" applyBorder="1" applyAlignment="1">
      <alignment horizontal="center" vertical="center" wrapText="1"/>
    </xf>
    <xf numFmtId="9" fontId="8" fillId="0" borderId="178" xfId="19" applyFont="1" applyBorder="1" applyAlignment="1">
      <alignment horizontal="center" vertical="center" wrapText="1"/>
    </xf>
    <xf numFmtId="37" fontId="8" fillId="0" borderId="176" xfId="0" applyNumberFormat="1" applyFont="1" applyBorder="1" applyAlignment="1">
      <alignment horizontal="center" vertical="center" wrapText="1"/>
    </xf>
    <xf numFmtId="37" fontId="8" fillId="0" borderId="178" xfId="0" applyNumberFormat="1" applyFont="1" applyBorder="1" applyAlignment="1">
      <alignment horizontal="center" vertical="center" wrapText="1"/>
    </xf>
    <xf numFmtId="221" fontId="8" fillId="0" borderId="0" xfId="0" applyNumberFormat="1" applyFont="1" applyAlignment="1">
      <alignment horizontal="center" vertical="center" wrapText="1"/>
    </xf>
    <xf numFmtId="9" fontId="8" fillId="0" borderId="0" xfId="19" applyFont="1" applyBorder="1" applyAlignment="1">
      <alignment horizontal="center" vertical="center" wrapText="1"/>
    </xf>
    <xf numFmtId="2" fontId="8" fillId="0" borderId="0" xfId="19" applyNumberFormat="1" applyFont="1" applyBorder="1" applyAlignment="1">
      <alignment horizontal="center" vertical="center" wrapText="1"/>
    </xf>
    <xf numFmtId="221" fontId="8" fillId="0" borderId="178" xfId="0" applyNumberFormat="1" applyFont="1" applyBorder="1" applyAlignment="1">
      <alignment horizontal="center" vertical="center" wrapText="1"/>
    </xf>
    <xf numFmtId="39" fontId="8" fillId="0" borderId="264" xfId="0" applyNumberFormat="1" applyFont="1" applyBorder="1" applyAlignment="1">
      <alignment horizontal="center" vertical="center" wrapText="1"/>
    </xf>
    <xf numFmtId="195" fontId="7" fillId="0" borderId="305" xfId="0" applyNumberFormat="1" applyFont="1" applyBorder="1" applyAlignment="1">
      <alignment horizontal="center" vertical="center" wrapText="1"/>
    </xf>
    <xf numFmtId="195" fontId="7" fillId="10" borderId="175" xfId="0" applyNumberFormat="1" applyFont="1" applyFill="1" applyBorder="1" applyAlignment="1">
      <alignment horizontal="center" vertical="center" wrapText="1"/>
    </xf>
    <xf numFmtId="195" fontId="7" fillId="8" borderId="12" xfId="0" applyNumberFormat="1" applyFont="1" applyFill="1" applyBorder="1" applyAlignment="1">
      <alignment horizontal="center" vertical="center" wrapText="1"/>
    </xf>
    <xf numFmtId="195" fontId="7" fillId="8" borderId="81" xfId="0" applyNumberFormat="1" applyFont="1" applyFill="1" applyBorder="1" applyAlignment="1">
      <alignment horizontal="center" vertical="center" wrapText="1"/>
    </xf>
    <xf numFmtId="195" fontId="7" fillId="8" borderId="14" xfId="0" applyNumberFormat="1" applyFont="1" applyFill="1" applyBorder="1" applyAlignment="1">
      <alignment horizontal="center" vertical="center" wrapText="1"/>
    </xf>
    <xf numFmtId="195" fontId="7" fillId="0" borderId="195" xfId="0" applyNumberFormat="1" applyFont="1" applyBorder="1" applyAlignment="1">
      <alignment horizontal="center" vertical="center" wrapText="1"/>
    </xf>
    <xf numFmtId="195" fontId="7" fillId="0" borderId="120" xfId="0" applyNumberFormat="1" applyFont="1" applyBorder="1" applyAlignment="1">
      <alignment horizontal="center" vertical="center" wrapText="1"/>
    </xf>
    <xf numFmtId="195" fontId="7" fillId="0" borderId="12" xfId="0" applyNumberFormat="1" applyFont="1" applyBorder="1" applyAlignment="1">
      <alignment horizontal="center" vertical="center" wrapText="1"/>
    </xf>
    <xf numFmtId="195" fontId="7" fillId="0" borderId="81" xfId="0" applyNumberFormat="1" applyFont="1" applyBorder="1" applyAlignment="1">
      <alignment horizontal="center" vertical="center" wrapText="1"/>
    </xf>
    <xf numFmtId="9" fontId="7" fillId="8" borderId="81" xfId="19" applyFont="1" applyFill="1" applyBorder="1" applyAlignment="1">
      <alignment horizontal="center" vertical="center" wrapText="1"/>
    </xf>
    <xf numFmtId="3" fontId="7" fillId="8" borderId="14" xfId="0" applyNumberFormat="1" applyFont="1" applyFill="1" applyBorder="1" applyAlignment="1">
      <alignment horizontal="center" vertical="center" wrapText="1"/>
    </xf>
    <xf numFmtId="195" fontId="7" fillId="0" borderId="14" xfId="0" applyNumberFormat="1" applyFont="1" applyBorder="1" applyAlignment="1">
      <alignment horizontal="center" vertical="center" wrapText="1"/>
    </xf>
    <xf numFmtId="195" fontId="7" fillId="0" borderId="258" xfId="0" applyNumberFormat="1" applyFont="1" applyBorder="1" applyAlignment="1">
      <alignment horizontal="center" vertical="center" wrapText="1"/>
    </xf>
    <xf numFmtId="9" fontId="7" fillId="8" borderId="12" xfId="19" applyFont="1" applyFill="1" applyBorder="1" applyAlignment="1">
      <alignment horizontal="center" vertical="center" wrapText="1"/>
    </xf>
    <xf numFmtId="3" fontId="7" fillId="8" borderId="258" xfId="0" applyNumberFormat="1" applyFont="1" applyFill="1" applyBorder="1" applyAlignment="1">
      <alignment horizontal="center" vertical="center" wrapText="1"/>
    </xf>
    <xf numFmtId="3" fontId="7" fillId="8" borderId="12" xfId="0" applyNumberFormat="1" applyFont="1" applyFill="1" applyBorder="1" applyAlignment="1">
      <alignment horizontal="center" vertical="center" wrapText="1"/>
    </xf>
    <xf numFmtId="222" fontId="7" fillId="8" borderId="81" xfId="0" applyNumberFormat="1" applyFont="1" applyFill="1" applyBorder="1" applyAlignment="1">
      <alignment horizontal="center" vertical="center" wrapText="1"/>
    </xf>
    <xf numFmtId="9" fontId="7" fillId="0" borderId="81" xfId="0" applyNumberFormat="1" applyFont="1" applyBorder="1" applyAlignment="1">
      <alignment horizontal="center" vertical="center" wrapText="1"/>
    </xf>
    <xf numFmtId="222" fontId="7" fillId="8" borderId="12" xfId="0" applyNumberFormat="1" applyFont="1" applyFill="1" applyBorder="1" applyAlignment="1">
      <alignment horizontal="center" vertical="center" wrapText="1"/>
    </xf>
    <xf numFmtId="39" fontId="97" fillId="0" borderId="251" xfId="0" applyNumberFormat="1" applyFont="1" applyBorder="1" applyAlignment="1">
      <alignment vertical="center" wrapText="1"/>
    </xf>
    <xf numFmtId="39" fontId="75" fillId="0" borderId="276" xfId="0" applyNumberFormat="1" applyFont="1" applyBorder="1" applyAlignment="1">
      <alignment vertical="center" wrapText="1"/>
    </xf>
    <xf numFmtId="185" fontId="102" fillId="9" borderId="266" xfId="0" applyNumberFormat="1" applyFont="1" applyFill="1" applyBorder="1" applyAlignment="1">
      <alignment horizontal="center" vertical="center" wrapText="1"/>
    </xf>
    <xf numFmtId="186" fontId="103" fillId="9" borderId="266" xfId="0" applyNumberFormat="1" applyFont="1" applyFill="1" applyBorder="1" applyAlignment="1">
      <alignment horizontal="center" vertical="center" wrapText="1"/>
    </xf>
    <xf numFmtId="185" fontId="13" fillId="0" borderId="168" xfId="41067" applyNumberFormat="1" applyFont="1" applyBorder="1" applyAlignment="1">
      <alignment horizontal="center" vertical="center" wrapText="1"/>
    </xf>
    <xf numFmtId="167" fontId="7" fillId="0" borderId="251" xfId="0" applyFont="1" applyBorder="1" applyAlignment="1">
      <alignment horizontal="center" vertical="center" wrapText="1"/>
    </xf>
    <xf numFmtId="167" fontId="7" fillId="0" borderId="135" xfId="0" applyFont="1" applyBorder="1" applyAlignment="1">
      <alignment horizontal="center" vertical="center"/>
    </xf>
    <xf numFmtId="167" fontId="7" fillId="0" borderId="239" xfId="0" applyFont="1" applyBorder="1" applyAlignment="1" applyProtection="1">
      <alignment horizontal="center" vertical="center"/>
      <protection locked="0"/>
    </xf>
    <xf numFmtId="167" fontId="7" fillId="0" borderId="135" xfId="0" applyFont="1" applyBorder="1" applyAlignment="1" applyProtection="1">
      <alignment horizontal="center" vertical="center"/>
      <protection locked="0"/>
    </xf>
    <xf numFmtId="39" fontId="7" fillId="0" borderId="115" xfId="0" applyNumberFormat="1" applyFont="1" applyBorder="1" applyAlignment="1">
      <alignment horizontal="center" vertical="center"/>
    </xf>
    <xf numFmtId="39" fontId="7" fillId="0" borderId="115" xfId="0" applyNumberFormat="1" applyFont="1" applyBorder="1" applyAlignment="1" applyProtection="1">
      <alignment horizontal="center" vertical="center"/>
      <protection locked="0"/>
    </xf>
    <xf numFmtId="37" fontId="7" fillId="0" borderId="239" xfId="0" applyNumberFormat="1" applyFont="1" applyBorder="1" applyAlignment="1" applyProtection="1">
      <alignment horizontal="center" vertical="center"/>
      <protection locked="0"/>
    </xf>
    <xf numFmtId="37" fontId="7" fillId="0" borderId="254" xfId="0" applyNumberFormat="1" applyFont="1" applyBorder="1" applyAlignment="1" applyProtection="1">
      <alignment horizontal="center" vertical="center"/>
      <protection locked="0"/>
    </xf>
    <xf numFmtId="37" fontId="7" fillId="0" borderId="115" xfId="0" applyNumberFormat="1" applyFont="1" applyBorder="1" applyAlignment="1" applyProtection="1">
      <alignment horizontal="center" vertical="center"/>
      <protection locked="0"/>
    </xf>
    <xf numFmtId="37" fontId="7" fillId="0" borderId="134" xfId="0" applyNumberFormat="1" applyFont="1" applyBorder="1" applyAlignment="1" applyProtection="1">
      <alignment horizontal="center" vertical="center"/>
      <protection locked="0"/>
    </xf>
    <xf numFmtId="10" fontId="132" fillId="34" borderId="274" xfId="19" applyNumberFormat="1" applyFont="1" applyFill="1" applyBorder="1" applyAlignment="1">
      <alignment horizontal="center" vertical="center" wrapText="1"/>
    </xf>
    <xf numFmtId="10" fontId="124" fillId="0" borderId="2" xfId="19" applyNumberFormat="1" applyFont="1" applyBorder="1" applyAlignment="1">
      <alignment horizontal="center" vertical="top" wrapText="1"/>
    </xf>
    <xf numFmtId="10" fontId="132" fillId="34" borderId="2" xfId="19" applyNumberFormat="1" applyFont="1" applyFill="1" applyBorder="1" applyAlignment="1">
      <alignment horizontal="center" vertical="center" wrapText="1"/>
    </xf>
    <xf numFmtId="0" fontId="132" fillId="34" borderId="274" xfId="17" applyFont="1" applyFill="1" applyBorder="1" applyAlignment="1">
      <alignment horizontal="center" vertical="center" wrapText="1"/>
    </xf>
    <xf numFmtId="4" fontId="124" fillId="0" borderId="2" xfId="17" applyNumberFormat="1" applyFont="1" applyBorder="1" applyAlignment="1">
      <alignment horizontal="center" vertical="top" wrapText="1"/>
    </xf>
    <xf numFmtId="0" fontId="132" fillId="34" borderId="2" xfId="17" applyFont="1" applyFill="1" applyBorder="1" applyAlignment="1">
      <alignment horizontal="center" vertical="center" wrapText="1"/>
    </xf>
    <xf numFmtId="0" fontId="124" fillId="0" borderId="2" xfId="0" applyNumberFormat="1" applyFont="1" applyBorder="1" applyAlignment="1">
      <alignment vertical="top"/>
    </xf>
    <xf numFmtId="165" fontId="7" fillId="0" borderId="0" xfId="21" applyFont="1" applyBorder="1" applyAlignment="1">
      <alignment horizontal="center" vertical="top" wrapText="1"/>
    </xf>
    <xf numFmtId="167" fontId="14" fillId="0" borderId="288" xfId="0" applyFont="1" applyBorder="1" applyAlignment="1">
      <alignment horizontal="center" vertical="center" wrapText="1"/>
    </xf>
    <xf numFmtId="185" fontId="7" fillId="8" borderId="16" xfId="0" applyNumberFormat="1" applyFont="1" applyFill="1" applyBorder="1" applyAlignment="1">
      <alignment horizontal="center" vertical="center" wrapText="1"/>
    </xf>
    <xf numFmtId="185" fontId="7" fillId="8" borderId="13" xfId="0" applyNumberFormat="1" applyFont="1" applyFill="1" applyBorder="1" applyAlignment="1">
      <alignment horizontal="center" vertical="center" wrapText="1"/>
    </xf>
    <xf numFmtId="185" fontId="7" fillId="8" borderId="105" xfId="0" applyNumberFormat="1" applyFont="1" applyFill="1" applyBorder="1" applyAlignment="1">
      <alignment horizontal="center" vertical="center" wrapText="1"/>
    </xf>
    <xf numFmtId="9" fontId="8" fillId="0" borderId="19" xfId="22756" applyFont="1" applyFill="1" applyBorder="1" applyAlignment="1">
      <alignment horizontal="center" vertical="center"/>
    </xf>
    <xf numFmtId="0" fontId="59" fillId="0" borderId="0" xfId="0" applyNumberFormat="1" applyFont="1" applyAlignment="1">
      <alignment horizontal="center" vertical="center"/>
    </xf>
    <xf numFmtId="167" fontId="14" fillId="0" borderId="236" xfId="0" applyFont="1" applyBorder="1" applyAlignment="1">
      <alignment horizontal="center" vertical="center" wrapText="1"/>
    </xf>
    <xf numFmtId="167" fontId="106" fillId="0" borderId="230" xfId="0" applyFont="1" applyBorder="1" applyAlignment="1">
      <alignment horizontal="center" vertical="center" wrapText="1"/>
    </xf>
    <xf numFmtId="167" fontId="7" fillId="0" borderId="114" xfId="0" applyFont="1" applyBorder="1" applyAlignment="1">
      <alignment horizontal="center" vertical="center" wrapText="1"/>
    </xf>
    <xf numFmtId="167" fontId="14" fillId="0" borderId="306" xfId="0" applyFont="1" applyBorder="1" applyAlignment="1">
      <alignment horizontal="center" vertical="center" wrapText="1"/>
    </xf>
    <xf numFmtId="167" fontId="8" fillId="0" borderId="251" xfId="0" applyFont="1" applyBorder="1" applyAlignment="1">
      <alignment horizontal="center" vertical="center" wrapText="1"/>
    </xf>
    <xf numFmtId="186" fontId="8" fillId="0" borderId="251" xfId="0" applyNumberFormat="1" applyFont="1" applyBorder="1" applyAlignment="1">
      <alignment horizontal="center" vertical="center" wrapText="1"/>
    </xf>
    <xf numFmtId="167" fontId="8" fillId="9" borderId="266" xfId="0" applyFont="1" applyFill="1" applyBorder="1" applyAlignment="1">
      <alignment horizontal="center" vertical="center" wrapText="1"/>
    </xf>
    <xf numFmtId="39" fontId="7" fillId="0" borderId="276" xfId="0" applyNumberFormat="1" applyFont="1" applyBorder="1" applyAlignment="1">
      <alignment horizontal="center" vertical="center" wrapText="1"/>
    </xf>
    <xf numFmtId="37" fontId="13" fillId="9" borderId="157" xfId="0" applyNumberFormat="1" applyFont="1" applyFill="1" applyBorder="1" applyAlignment="1">
      <alignment horizontal="center" vertical="center" wrapText="1"/>
    </xf>
    <xf numFmtId="167" fontId="120" fillId="9" borderId="29" xfId="0" applyFont="1" applyFill="1" applyBorder="1" applyAlignment="1">
      <alignment horizontal="center" vertical="center" wrapText="1"/>
    </xf>
    <xf numFmtId="220" fontId="7" fillId="0" borderId="276" xfId="0" applyNumberFormat="1" applyFont="1" applyBorder="1" applyAlignment="1">
      <alignment horizontal="center" vertical="center" wrapText="1"/>
    </xf>
    <xf numFmtId="185" fontId="14" fillId="9" borderId="39" xfId="0" applyNumberFormat="1" applyFont="1" applyFill="1" applyBorder="1" applyAlignment="1">
      <alignment horizontal="center" vertical="center" wrapText="1"/>
    </xf>
    <xf numFmtId="195" fontId="80" fillId="0" borderId="276" xfId="0" applyNumberFormat="1" applyFont="1" applyBorder="1" applyAlignment="1">
      <alignment vertical="center" wrapText="1"/>
    </xf>
    <xf numFmtId="195" fontId="102" fillId="9" borderId="307" xfId="0" applyNumberFormat="1" applyFont="1" applyFill="1" applyBorder="1" applyAlignment="1">
      <alignment horizontal="center" vertical="center" wrapText="1"/>
    </xf>
    <xf numFmtId="39" fontId="80" fillId="0" borderId="276" xfId="0" applyNumberFormat="1" applyFont="1" applyBorder="1" applyAlignment="1">
      <alignment vertical="center" wrapText="1"/>
    </xf>
    <xf numFmtId="186" fontId="103" fillId="9" borderId="307" xfId="0" applyNumberFormat="1" applyFont="1" applyFill="1" applyBorder="1" applyAlignment="1">
      <alignment horizontal="center" vertical="center" wrapText="1"/>
    </xf>
    <xf numFmtId="0" fontId="156" fillId="43" borderId="2" xfId="41062" applyNumberFormat="1" applyFont="1" applyFill="1" applyBorder="1" applyAlignment="1">
      <alignment horizontal="center" vertical="center" wrapText="1"/>
    </xf>
    <xf numFmtId="0" fontId="156" fillId="43" borderId="0" xfId="41062" applyNumberFormat="1" applyFont="1" applyFill="1" applyAlignment="1">
      <alignment horizontal="center" vertical="center" wrapText="1"/>
    </xf>
    <xf numFmtId="209" fontId="7" fillId="52" borderId="2" xfId="23420" applyNumberFormat="1" applyFont="1" applyFill="1" applyBorder="1" applyAlignment="1">
      <alignment horizontal="right" vertical="top" wrapText="1"/>
    </xf>
    <xf numFmtId="10" fontId="7" fillId="52" borderId="0" xfId="19" applyNumberFormat="1" applyFont="1" applyFill="1" applyAlignment="1">
      <alignment horizontal="left" vertical="center" wrapText="1"/>
    </xf>
    <xf numFmtId="167" fontId="14" fillId="0" borderId="249" xfId="0" applyFont="1" applyBorder="1" applyAlignment="1">
      <alignment horizontal="center" vertical="center" wrapText="1"/>
    </xf>
    <xf numFmtId="0" fontId="7" fillId="0" borderId="238" xfId="0" applyNumberFormat="1" applyFont="1" applyBorder="1" applyAlignment="1" applyProtection="1">
      <alignment horizontal="center" vertical="center"/>
      <protection locked="0"/>
    </xf>
    <xf numFmtId="0" fontId="7" fillId="0" borderId="133" xfId="0" applyNumberFormat="1" applyFont="1" applyBorder="1" applyAlignment="1" applyProtection="1">
      <alignment horizontal="center" vertical="center"/>
      <protection locked="0"/>
    </xf>
    <xf numFmtId="185" fontId="7" fillId="0" borderId="13" xfId="0" applyNumberFormat="1" applyFont="1" applyBorder="1" applyAlignment="1">
      <alignment horizontal="center" vertical="center" wrapText="1"/>
    </xf>
    <xf numFmtId="185" fontId="7" fillId="0" borderId="173" xfId="0" applyNumberFormat="1" applyFont="1" applyBorder="1" applyAlignment="1">
      <alignment horizontal="center" vertical="center" wrapText="1"/>
    </xf>
    <xf numFmtId="37" fontId="14" fillId="10" borderId="287" xfId="0" applyNumberFormat="1" applyFont="1" applyFill="1" applyBorder="1" applyAlignment="1">
      <alignment horizontal="center" vertical="center" wrapText="1"/>
    </xf>
    <xf numFmtId="195" fontId="7" fillId="0" borderId="306" xfId="0" applyNumberFormat="1" applyFont="1" applyBorder="1" applyAlignment="1">
      <alignment horizontal="center" vertical="center" wrapText="1"/>
    </xf>
    <xf numFmtId="195" fontId="7" fillId="0" borderId="251" xfId="0" applyNumberFormat="1" applyFont="1" applyBorder="1" applyAlignment="1">
      <alignment horizontal="center" vertical="center" wrapText="1"/>
    </xf>
    <xf numFmtId="195" fontId="104" fillId="9" borderId="266" xfId="0" applyNumberFormat="1" applyFont="1" applyFill="1" applyBorder="1" applyAlignment="1">
      <alignment horizontal="center" vertical="center" wrapText="1"/>
    </xf>
    <xf numFmtId="167" fontId="7" fillId="8" borderId="173" xfId="0" applyFont="1" applyFill="1" applyBorder="1" applyAlignment="1">
      <alignment horizontal="center" vertical="center" wrapText="1"/>
    </xf>
    <xf numFmtId="10" fontId="7" fillId="8" borderId="3" xfId="19" applyNumberFormat="1" applyFont="1" applyFill="1" applyBorder="1" applyAlignment="1">
      <alignment horizontal="center" vertical="center" wrapText="1"/>
    </xf>
    <xf numFmtId="167" fontId="109" fillId="9" borderId="24" xfId="0" applyFont="1" applyFill="1" applyBorder="1" applyAlignment="1">
      <alignment horizontal="center" vertical="center" wrapText="1"/>
    </xf>
    <xf numFmtId="165" fontId="132" fillId="34" borderId="262" xfId="21" applyFont="1" applyFill="1" applyBorder="1" applyAlignment="1">
      <alignment vertical="center"/>
    </xf>
    <xf numFmtId="167" fontId="13" fillId="0" borderId="0" xfId="0" applyFont="1" applyAlignment="1">
      <alignment horizontal="center"/>
    </xf>
    <xf numFmtId="167" fontId="7" fillId="0" borderId="0" xfId="0" applyFont="1" applyAlignment="1">
      <alignment horizontal="center"/>
    </xf>
    <xf numFmtId="167" fontId="13" fillId="0" borderId="0" xfId="0" applyFont="1" applyAlignment="1">
      <alignment horizontal="right"/>
    </xf>
    <xf numFmtId="0" fontId="7" fillId="54" borderId="0" xfId="0" applyNumberFormat="1" applyFont="1" applyFill="1" applyAlignment="1">
      <alignment horizontal="left"/>
    </xf>
    <xf numFmtId="167" fontId="113" fillId="0" borderId="312" xfId="0" applyFont="1" applyBorder="1" applyAlignment="1">
      <alignment horizontal="center" vertical="center" wrapText="1"/>
    </xf>
    <xf numFmtId="167" fontId="113" fillId="0" borderId="313" xfId="0" applyFont="1" applyBorder="1" applyAlignment="1">
      <alignment horizontal="center" vertical="center" wrapText="1"/>
    </xf>
    <xf numFmtId="167" fontId="177" fillId="0" borderId="316" xfId="0" applyFont="1" applyBorder="1" applyAlignment="1">
      <alignment horizontal="center" vertical="center" wrapText="1"/>
    </xf>
    <xf numFmtId="167" fontId="113" fillId="11" borderId="315" xfId="0" applyFont="1" applyFill="1" applyBorder="1" applyAlignment="1">
      <alignment horizontal="center" vertical="center" wrapText="1"/>
    </xf>
    <xf numFmtId="167" fontId="113" fillId="11" borderId="316" xfId="0" applyFont="1" applyFill="1" applyBorder="1" applyAlignment="1">
      <alignment horizontal="center" vertical="center" wrapText="1"/>
    </xf>
    <xf numFmtId="167" fontId="113" fillId="47" borderId="316" xfId="0" applyFont="1" applyFill="1" applyBorder="1" applyAlignment="1">
      <alignment horizontal="center" vertical="center" wrapText="1"/>
    </xf>
    <xf numFmtId="167" fontId="113" fillId="47" borderId="316" xfId="0" applyFont="1" applyFill="1" applyBorder="1" applyAlignment="1">
      <alignment horizontal="left" vertical="center" wrapText="1" indent="1"/>
    </xf>
    <xf numFmtId="167" fontId="13" fillId="47" borderId="0" xfId="0" applyFont="1" applyFill="1"/>
    <xf numFmtId="167" fontId="181" fillId="0" borderId="318" xfId="0" applyFont="1" applyBorder="1" applyAlignment="1">
      <alignment vertical="center" wrapText="1"/>
    </xf>
    <xf numFmtId="167" fontId="181" fillId="0" borderId="0" xfId="0" applyFont="1" applyAlignment="1">
      <alignment vertical="center" wrapText="1"/>
    </xf>
    <xf numFmtId="167" fontId="7" fillId="54" borderId="0" xfId="0" applyFont="1" applyFill="1"/>
    <xf numFmtId="167" fontId="182" fillId="0" borderId="0" xfId="0" applyFont="1" applyAlignment="1">
      <alignment vertical="center"/>
    </xf>
    <xf numFmtId="167" fontId="9" fillId="0" borderId="0" xfId="0" applyFont="1" applyAlignment="1">
      <alignment horizontal="center"/>
    </xf>
    <xf numFmtId="167" fontId="113" fillId="0" borderId="0" xfId="0" applyFont="1" applyAlignment="1">
      <alignment horizontal="center" vertical="center"/>
    </xf>
    <xf numFmtId="167" fontId="113" fillId="0" borderId="0" xfId="0" applyFont="1" applyAlignment="1">
      <alignment vertical="center"/>
    </xf>
    <xf numFmtId="167" fontId="113" fillId="0" borderId="313" xfId="0" applyFont="1" applyBorder="1" applyAlignment="1">
      <alignment horizontal="left" vertical="center" wrapText="1" indent="1"/>
    </xf>
    <xf numFmtId="167" fontId="113" fillId="0" borderId="316" xfId="0" applyFont="1" applyBorder="1" applyAlignment="1">
      <alignment horizontal="left" vertical="center" wrapText="1" indent="1"/>
    </xf>
    <xf numFmtId="167" fontId="183" fillId="0" borderId="0" xfId="0" applyFont="1" applyAlignment="1">
      <alignment vertical="center"/>
    </xf>
    <xf numFmtId="167" fontId="113" fillId="47" borderId="316" xfId="0" applyFont="1" applyFill="1" applyBorder="1" applyAlignment="1">
      <alignment horizontal="right" vertical="center" wrapText="1"/>
    </xf>
    <xf numFmtId="167" fontId="185" fillId="0" borderId="0" xfId="0" applyFont="1" applyAlignment="1">
      <alignment vertical="center"/>
    </xf>
    <xf numFmtId="167" fontId="113" fillId="0" borderId="320" xfId="0" applyFont="1" applyBorder="1" applyAlignment="1">
      <alignment horizontal="left" vertical="center" wrapText="1" indent="1"/>
    </xf>
    <xf numFmtId="167" fontId="113" fillId="11" borderId="316" xfId="0" applyFont="1" applyFill="1" applyBorder="1" applyAlignment="1">
      <alignment horizontal="left" vertical="center" wrapText="1" indent="1"/>
    </xf>
    <xf numFmtId="167" fontId="113" fillId="59" borderId="316" xfId="0" applyFont="1" applyFill="1" applyBorder="1" applyAlignment="1">
      <alignment horizontal="center" vertical="center" wrapText="1"/>
    </xf>
    <xf numFmtId="167" fontId="113" fillId="0" borderId="0" xfId="0" applyFont="1" applyAlignment="1">
      <alignment horizontal="center" vertical="center" wrapText="1"/>
    </xf>
    <xf numFmtId="167" fontId="113" fillId="0" borderId="0" xfId="0" applyFont="1" applyAlignment="1">
      <alignment horizontal="left" vertical="center" wrapText="1" indent="1"/>
    </xf>
    <xf numFmtId="167" fontId="113" fillId="0" borderId="323" xfId="0" applyFont="1" applyBorder="1" applyAlignment="1">
      <alignment horizontal="center" vertical="center" wrapText="1"/>
    </xf>
    <xf numFmtId="167" fontId="186" fillId="0" borderId="323" xfId="0" applyFont="1" applyBorder="1" applyAlignment="1">
      <alignment horizontal="center" vertical="center" wrapText="1"/>
    </xf>
    <xf numFmtId="167" fontId="177" fillId="0" borderId="323" xfId="0" applyFont="1" applyBorder="1" applyAlignment="1">
      <alignment horizontal="center" vertical="center" wrapText="1"/>
    </xf>
    <xf numFmtId="167" fontId="113" fillId="11" borderId="323" xfId="0" applyFont="1" applyFill="1" applyBorder="1" applyAlignment="1">
      <alignment horizontal="center" vertical="center" wrapText="1"/>
    </xf>
    <xf numFmtId="167" fontId="113" fillId="47" borderId="323" xfId="0" applyFont="1" applyFill="1" applyBorder="1" applyAlignment="1">
      <alignment horizontal="center" vertical="center" wrapText="1"/>
    </xf>
    <xf numFmtId="167" fontId="113" fillId="47" borderId="323" xfId="0" applyFont="1" applyFill="1" applyBorder="1" applyAlignment="1">
      <alignment horizontal="left" vertical="center" wrapText="1" indent="1"/>
    </xf>
    <xf numFmtId="167" fontId="178" fillId="0" borderId="0" xfId="0" applyFont="1" applyAlignment="1">
      <alignment vertical="center"/>
    </xf>
    <xf numFmtId="167" fontId="113" fillId="11" borderId="316" xfId="0" applyFont="1" applyFill="1" applyBorder="1" applyAlignment="1">
      <alignment horizontal="right" vertical="center" wrapText="1"/>
    </xf>
    <xf numFmtId="167" fontId="150" fillId="0" borderId="0" xfId="0" applyFont="1" applyAlignment="1">
      <alignment vertical="center"/>
    </xf>
    <xf numFmtId="167" fontId="113" fillId="54" borderId="0" xfId="0" applyFont="1" applyFill="1" applyAlignment="1">
      <alignment vertical="center"/>
    </xf>
    <xf numFmtId="167" fontId="187" fillId="0" borderId="0" xfId="0" applyFont="1" applyAlignment="1">
      <alignment vertical="center"/>
    </xf>
    <xf numFmtId="167" fontId="171" fillId="0" borderId="0" xfId="0" applyFont="1" applyAlignment="1">
      <alignment vertical="center"/>
    </xf>
    <xf numFmtId="167" fontId="155" fillId="0" borderId="0" xfId="0" applyFont="1" applyAlignment="1">
      <alignment vertical="center"/>
    </xf>
    <xf numFmtId="167" fontId="113" fillId="59" borderId="0" xfId="0" applyFont="1" applyFill="1" applyAlignment="1">
      <alignment vertical="center"/>
    </xf>
    <xf numFmtId="167" fontId="113" fillId="0" borderId="320" xfId="0" applyFont="1" applyBorder="1" applyAlignment="1">
      <alignment horizontal="left" vertical="center" wrapText="1"/>
    </xf>
    <xf numFmtId="167" fontId="113" fillId="0" borderId="316" xfId="0" applyFont="1" applyBorder="1" applyAlignment="1">
      <alignment horizontal="left" vertical="center" wrapText="1"/>
    </xf>
    <xf numFmtId="167" fontId="150" fillId="54" borderId="0" xfId="0" applyFont="1" applyFill="1"/>
    <xf numFmtId="167" fontId="113" fillId="59" borderId="316" xfId="0" applyFont="1" applyFill="1" applyBorder="1" applyAlignment="1">
      <alignment horizontal="left" vertical="center" wrapText="1" indent="1"/>
    </xf>
    <xf numFmtId="167" fontId="189" fillId="0" borderId="315" xfId="0" applyFont="1" applyBorder="1" applyAlignment="1">
      <alignment horizontal="center" vertical="center" wrapText="1"/>
    </xf>
    <xf numFmtId="167" fontId="189" fillId="0" borderId="316" xfId="0" applyFont="1" applyBorder="1" applyAlignment="1">
      <alignment horizontal="center" vertical="center" wrapText="1"/>
    </xf>
    <xf numFmtId="167" fontId="189" fillId="0" borderId="313" xfId="0" applyFont="1" applyBorder="1" applyAlignment="1">
      <alignment horizontal="center" vertical="center" wrapText="1"/>
    </xf>
    <xf numFmtId="167" fontId="184" fillId="0" borderId="0" xfId="0" applyFont="1" applyAlignment="1">
      <alignment vertical="center"/>
    </xf>
    <xf numFmtId="167" fontId="191" fillId="0" borderId="0" xfId="0" applyFont="1" applyAlignment="1">
      <alignment vertical="center"/>
    </xf>
    <xf numFmtId="167" fontId="113" fillId="11" borderId="311" xfId="0" applyFont="1" applyFill="1" applyBorder="1" applyAlignment="1">
      <alignment vertical="center" wrapText="1"/>
    </xf>
    <xf numFmtId="167" fontId="7" fillId="0" borderId="318" xfId="0" applyFont="1" applyBorder="1"/>
    <xf numFmtId="167" fontId="113" fillId="0" borderId="0" xfId="0" applyFont="1" applyAlignment="1">
      <alignment horizontal="left" vertical="center" wrapText="1"/>
    </xf>
    <xf numFmtId="167" fontId="189" fillId="0" borderId="321" xfId="0" applyFont="1" applyBorder="1" applyAlignment="1">
      <alignment vertical="center" wrapText="1"/>
    </xf>
    <xf numFmtId="167" fontId="113" fillId="11" borderId="309" xfId="0" applyFont="1" applyFill="1" applyBorder="1" applyAlignment="1">
      <alignment vertical="center" wrapText="1"/>
    </xf>
    <xf numFmtId="167" fontId="113" fillId="59" borderId="315" xfId="0" applyFont="1" applyFill="1" applyBorder="1" applyAlignment="1">
      <alignment horizontal="center" vertical="center" wrapText="1"/>
    </xf>
    <xf numFmtId="167" fontId="7" fillId="0" borderId="318" xfId="0" applyFont="1" applyBorder="1" applyAlignment="1">
      <alignment horizontal="center"/>
    </xf>
    <xf numFmtId="167" fontId="113" fillId="59" borderId="323" xfId="0" applyFont="1" applyFill="1" applyBorder="1" applyAlignment="1">
      <alignment horizontal="center" vertical="center" wrapText="1"/>
    </xf>
    <xf numFmtId="167" fontId="186" fillId="0" borderId="318" xfId="0" applyFont="1" applyBorder="1" applyAlignment="1">
      <alignment vertical="center" wrapText="1"/>
    </xf>
    <xf numFmtId="167" fontId="186" fillId="0" borderId="0" xfId="0" applyFont="1" applyAlignment="1">
      <alignment vertical="center" wrapText="1"/>
    </xf>
    <xf numFmtId="167" fontId="177" fillId="0" borderId="0" xfId="0" applyFont="1" applyAlignment="1">
      <alignment vertical="center"/>
    </xf>
    <xf numFmtId="167" fontId="192" fillId="0" borderId="0" xfId="0" applyFont="1" applyAlignment="1">
      <alignment vertical="center"/>
    </xf>
    <xf numFmtId="195" fontId="26" fillId="8" borderId="127" xfId="0" applyNumberFormat="1" applyFont="1" applyFill="1" applyBorder="1" applyAlignment="1">
      <alignment horizontal="center" vertical="center" wrapText="1"/>
    </xf>
    <xf numFmtId="165" fontId="7" fillId="0" borderId="2" xfId="23420" applyFont="1" applyFill="1" applyBorder="1" applyAlignment="1">
      <alignment horizontal="center" vertical="top" wrapText="1"/>
    </xf>
    <xf numFmtId="165" fontId="124" fillId="0" borderId="2" xfId="21" applyFont="1" applyFill="1" applyBorder="1" applyAlignment="1">
      <alignment horizontal="center" vertical="top" wrapText="1"/>
    </xf>
    <xf numFmtId="10" fontId="124" fillId="0" borderId="2" xfId="19" applyNumberFormat="1" applyFont="1" applyFill="1" applyBorder="1" applyAlignment="1">
      <alignment horizontal="center" vertical="top" wrapText="1"/>
    </xf>
    <xf numFmtId="165" fontId="7" fillId="60" borderId="2" xfId="21" applyFont="1" applyFill="1" applyBorder="1" applyAlignment="1">
      <alignment horizontal="center" vertical="top" wrapText="1"/>
    </xf>
    <xf numFmtId="205" fontId="13" fillId="0" borderId="0" xfId="23422" applyNumberFormat="1" applyFont="1" applyAlignment="1">
      <alignment horizontal="left" vertical="center"/>
    </xf>
    <xf numFmtId="39" fontId="14" fillId="0" borderId="149" xfId="0" applyNumberFormat="1" applyFont="1" applyBorder="1" applyAlignment="1">
      <alignment horizontal="center" vertical="center" wrapText="1"/>
    </xf>
    <xf numFmtId="167" fontId="177" fillId="0" borderId="315" xfId="0" applyFont="1" applyBorder="1" applyAlignment="1">
      <alignment horizontal="center" vertical="center" wrapText="1"/>
    </xf>
    <xf numFmtId="167" fontId="113" fillId="0" borderId="320" xfId="0" applyFont="1" applyBorder="1" applyAlignment="1">
      <alignment horizontal="center" vertical="center" wrapText="1"/>
    </xf>
    <xf numFmtId="167" fontId="113" fillId="0" borderId="321" xfId="0" applyFont="1" applyBorder="1" applyAlignment="1">
      <alignment horizontal="center" vertical="center" wrapText="1"/>
    </xf>
    <xf numFmtId="167" fontId="113" fillId="0" borderId="316" xfId="0" applyFont="1" applyBorder="1" applyAlignment="1">
      <alignment horizontal="center" vertical="center" wrapText="1"/>
    </xf>
    <xf numFmtId="167" fontId="113" fillId="0" borderId="314" xfId="0" applyFont="1" applyBorder="1" applyAlignment="1">
      <alignment horizontal="center" vertical="center" wrapText="1"/>
    </xf>
    <xf numFmtId="167" fontId="113" fillId="0" borderId="315" xfId="0" applyFont="1" applyBorder="1" applyAlignment="1">
      <alignment horizontal="center" vertical="center" wrapText="1"/>
    </xf>
    <xf numFmtId="2" fontId="7" fillId="0" borderId="270" xfId="0" applyNumberFormat="1" applyFont="1" applyBorder="1" applyAlignment="1">
      <alignment horizontal="center" vertical="center"/>
    </xf>
    <xf numFmtId="186" fontId="7" fillId="0" borderId="270" xfId="0" applyNumberFormat="1" applyFont="1" applyBorder="1" applyAlignment="1">
      <alignment horizontal="center" vertical="center"/>
    </xf>
    <xf numFmtId="2" fontId="7" fillId="0" borderId="270" xfId="0" applyNumberFormat="1" applyFont="1" applyBorder="1" applyAlignment="1">
      <alignment horizontal="center"/>
    </xf>
    <xf numFmtId="0" fontId="7" fillId="0" borderId="270" xfId="0" applyNumberFormat="1" applyFont="1" applyBorder="1" applyAlignment="1">
      <alignment horizontal="center"/>
    </xf>
    <xf numFmtId="0" fontId="7" fillId="39" borderId="302" xfId="0" applyNumberFormat="1" applyFont="1" applyFill="1" applyBorder="1" applyAlignment="1">
      <alignment horizontal="centerContinuous" vertical="center"/>
    </xf>
    <xf numFmtId="0" fontId="7" fillId="39" borderId="301" xfId="0" applyNumberFormat="1" applyFont="1" applyFill="1" applyBorder="1" applyAlignment="1">
      <alignment horizontal="centerContinuous" vertical="center"/>
    </xf>
    <xf numFmtId="2" fontId="7" fillId="0" borderId="270" xfId="14471" applyNumberFormat="1" applyFont="1" applyBorder="1" applyAlignment="1">
      <alignment horizontal="center" vertical="center"/>
    </xf>
    <xf numFmtId="1" fontId="7" fillId="0" borderId="270" xfId="0" applyNumberFormat="1" applyFont="1" applyBorder="1" applyAlignment="1">
      <alignment horizontal="center"/>
    </xf>
    <xf numFmtId="204" fontId="7" fillId="0" borderId="270" xfId="0" applyNumberFormat="1" applyFont="1" applyBorder="1" applyAlignment="1">
      <alignment horizontal="center"/>
    </xf>
    <xf numFmtId="0" fontId="7" fillId="39" borderId="326" xfId="0" applyNumberFormat="1" applyFont="1" applyFill="1" applyBorder="1" applyAlignment="1">
      <alignment horizontal="centerContinuous" vertical="center"/>
    </xf>
    <xf numFmtId="0" fontId="7" fillId="39" borderId="270" xfId="0" applyNumberFormat="1" applyFont="1" applyFill="1" applyBorder="1" applyAlignment="1">
      <alignment horizontal="centerContinuous" vertical="center"/>
    </xf>
    <xf numFmtId="0" fontId="7" fillId="39" borderId="324" xfId="0" applyNumberFormat="1" applyFont="1" applyFill="1" applyBorder="1" applyAlignment="1">
      <alignment horizontal="centerContinuous" vertical="center"/>
    </xf>
    <xf numFmtId="0" fontId="7" fillId="39" borderId="226" xfId="14471" applyFont="1" applyFill="1" applyBorder="1" applyAlignment="1">
      <alignment horizontal="center" vertical="center"/>
    </xf>
    <xf numFmtId="40" fontId="7" fillId="0" borderId="216" xfId="23422" applyFont="1" applyBorder="1" applyAlignment="1">
      <alignment horizontal="center" vertical="center"/>
    </xf>
    <xf numFmtId="38" fontId="7" fillId="0" borderId="327" xfId="23422" applyNumberFormat="1" applyFont="1" applyBorder="1" applyAlignment="1">
      <alignment horizontal="center" vertical="center"/>
    </xf>
    <xf numFmtId="40" fontId="7" fillId="0" borderId="328" xfId="23422" applyFont="1" applyBorder="1" applyAlignment="1">
      <alignment horizontal="center" vertical="center"/>
    </xf>
    <xf numFmtId="38" fontId="7" fillId="0" borderId="329" xfId="23422" applyNumberFormat="1" applyFont="1" applyBorder="1" applyAlignment="1">
      <alignment horizontal="center" vertical="center"/>
    </xf>
    <xf numFmtId="38" fontId="8" fillId="0" borderId="0" xfId="23422" applyNumberFormat="1" applyFont="1" applyBorder="1" applyAlignment="1">
      <alignment horizontal="left" vertical="center"/>
    </xf>
    <xf numFmtId="40" fontId="8" fillId="0" borderId="0" xfId="23422" applyFont="1" applyBorder="1" applyAlignment="1">
      <alignment horizontal="right" vertical="center"/>
    </xf>
    <xf numFmtId="40" fontId="7" fillId="0" borderId="326" xfId="23422" applyFont="1" applyBorder="1" applyAlignment="1">
      <alignment horizontal="center" vertical="center"/>
    </xf>
    <xf numFmtId="38" fontId="7" fillId="0" borderId="67" xfId="23422" applyNumberFormat="1" applyFont="1" applyBorder="1" applyAlignment="1">
      <alignment horizontal="center" vertical="center"/>
    </xf>
    <xf numFmtId="40" fontId="8" fillId="0" borderId="0" xfId="23422" applyFont="1" applyBorder="1" applyAlignment="1">
      <alignment horizontal="right" vertical="center" wrapText="1"/>
    </xf>
    <xf numFmtId="38" fontId="13" fillId="0" borderId="0" xfId="23422" applyNumberFormat="1" applyFont="1" applyBorder="1" applyAlignment="1">
      <alignment horizontal="left" vertical="center"/>
    </xf>
    <xf numFmtId="38" fontId="8" fillId="0" borderId="226" xfId="23422" applyNumberFormat="1" applyFont="1" applyBorder="1" applyAlignment="1">
      <alignment horizontal="left" vertical="center"/>
    </xf>
    <xf numFmtId="2" fontId="7" fillId="11" borderId="0" xfId="14471" applyNumberFormat="1" applyFont="1" applyFill="1"/>
    <xf numFmtId="167" fontId="7" fillId="39" borderId="0" xfId="0" applyFont="1" applyFill="1" applyAlignment="1">
      <alignment horizontal="center" vertical="center"/>
    </xf>
    <xf numFmtId="167" fontId="7" fillId="39" borderId="325" xfId="0" applyFont="1" applyFill="1" applyBorder="1" applyAlignment="1">
      <alignment horizontal="center" vertical="center"/>
    </xf>
    <xf numFmtId="167" fontId="26" fillId="39" borderId="0" xfId="0" applyFont="1" applyFill="1" applyAlignment="1">
      <alignment horizontal="center" vertical="center"/>
    </xf>
    <xf numFmtId="195" fontId="7" fillId="0" borderId="227" xfId="0" applyNumberFormat="1" applyFont="1" applyBorder="1" applyAlignment="1">
      <alignment horizontal="center" vertical="center" wrapText="1"/>
    </xf>
    <xf numFmtId="0" fontId="8" fillId="0" borderId="2" xfId="17" applyFont="1" applyBorder="1" applyAlignment="1">
      <alignment horizontal="center" vertical="top" wrapText="1"/>
    </xf>
    <xf numFmtId="4" fontId="7" fillId="52" borderId="2" xfId="23420" applyNumberFormat="1" applyFont="1" applyFill="1" applyBorder="1" applyAlignment="1">
      <alignment horizontal="right" vertical="top" wrapText="1"/>
    </xf>
    <xf numFmtId="185" fontId="14" fillId="0" borderId="131" xfId="0" applyNumberFormat="1" applyFont="1" applyBorder="1" applyAlignment="1">
      <alignment horizontal="center" vertical="center" wrapText="1"/>
    </xf>
    <xf numFmtId="0" fontId="7" fillId="0" borderId="81" xfId="0" applyNumberFormat="1" applyFont="1" applyBorder="1" applyAlignment="1">
      <alignment horizontal="center" vertical="center" wrapText="1"/>
    </xf>
    <xf numFmtId="10" fontId="13" fillId="39" borderId="2" xfId="19" applyNumberFormat="1" applyFont="1" applyFill="1" applyBorder="1" applyAlignment="1">
      <alignment horizontal="center" vertical="center" wrapText="1"/>
    </xf>
    <xf numFmtId="188" fontId="7" fillId="0" borderId="115" xfId="0" applyNumberFormat="1" applyFont="1" applyBorder="1" applyAlignment="1">
      <alignment horizontal="center" vertical="center"/>
    </xf>
    <xf numFmtId="37" fontId="14" fillId="0" borderId="178" xfId="0" applyNumberFormat="1" applyFont="1" applyBorder="1" applyAlignment="1">
      <alignment horizontal="center" vertical="center" wrapText="1"/>
    </xf>
    <xf numFmtId="37" fontId="14" fillId="0" borderId="118" xfId="0" applyNumberFormat="1" applyFont="1" applyBorder="1" applyAlignment="1">
      <alignment horizontal="center" vertical="center" wrapText="1"/>
    </xf>
    <xf numFmtId="39" fontId="14" fillId="0" borderId="176" xfId="0" applyNumberFormat="1" applyFont="1" applyBorder="1" applyAlignment="1">
      <alignment horizontal="center" vertical="center" wrapText="1"/>
    </xf>
    <xf numFmtId="39" fontId="14" fillId="0" borderId="178" xfId="0" applyNumberFormat="1" applyFont="1" applyBorder="1" applyAlignment="1">
      <alignment horizontal="center" vertical="center" wrapText="1"/>
    </xf>
    <xf numFmtId="39" fontId="14" fillId="0" borderId="118" xfId="0" applyNumberFormat="1" applyFont="1" applyBorder="1" applyAlignment="1">
      <alignment horizontal="center" vertical="center" wrapText="1"/>
    </xf>
    <xf numFmtId="37" fontId="14" fillId="0" borderId="0" xfId="0" applyNumberFormat="1" applyFont="1" applyAlignment="1">
      <alignment horizontal="center" vertical="center" wrapText="1"/>
    </xf>
    <xf numFmtId="167" fontId="28" fillId="50" borderId="3" xfId="0" applyFont="1" applyFill="1" applyBorder="1" applyAlignment="1">
      <alignment horizontal="center" vertical="center" wrapText="1"/>
    </xf>
    <xf numFmtId="39" fontId="8" fillId="0" borderId="194" xfId="0" applyNumberFormat="1" applyFont="1" applyBorder="1" applyAlignment="1">
      <alignment horizontal="center" vertical="center" wrapText="1"/>
    </xf>
    <xf numFmtId="2" fontId="14" fillId="0" borderId="178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2" fontId="14" fillId="0" borderId="118" xfId="0" applyNumberFormat="1" applyFont="1" applyBorder="1" applyAlignment="1">
      <alignment horizontal="center" vertical="center" wrapText="1"/>
    </xf>
    <xf numFmtId="37" fontId="7" fillId="0" borderId="178" xfId="0" applyNumberFormat="1" applyFont="1" applyBorder="1" applyAlignment="1">
      <alignment horizontal="center" vertical="center" wrapText="1"/>
    </xf>
    <xf numFmtId="37" fontId="7" fillId="0" borderId="118" xfId="0" applyNumberFormat="1" applyFont="1" applyBorder="1" applyAlignment="1">
      <alignment horizontal="center" vertical="center" wrapText="1"/>
    </xf>
    <xf numFmtId="37" fontId="7" fillId="0" borderId="176" xfId="0" applyNumberFormat="1" applyFont="1" applyBorder="1" applyAlignment="1">
      <alignment horizontal="center" vertical="center" wrapText="1"/>
    </xf>
    <xf numFmtId="39" fontId="7" fillId="0" borderId="176" xfId="0" applyNumberFormat="1" applyFont="1" applyBorder="1" applyAlignment="1">
      <alignment horizontal="center" vertical="center" wrapText="1"/>
    </xf>
    <xf numFmtId="1" fontId="14" fillId="0" borderId="118" xfId="0" applyNumberFormat="1" applyFont="1" applyBorder="1" applyAlignment="1">
      <alignment horizontal="center" vertical="center" wrapText="1"/>
    </xf>
    <xf numFmtId="37" fontId="14" fillId="0" borderId="59" xfId="0" applyNumberFormat="1" applyFont="1" applyBorder="1" applyAlignment="1">
      <alignment horizontal="center" vertical="center" wrapText="1"/>
    </xf>
    <xf numFmtId="39" fontId="14" fillId="0" borderId="59" xfId="0" applyNumberFormat="1" applyFont="1" applyBorder="1" applyAlignment="1">
      <alignment horizontal="center" vertical="center" wrapText="1"/>
    </xf>
    <xf numFmtId="230" fontId="8" fillId="0" borderId="0" xfId="0" applyNumberFormat="1" applyFont="1" applyAlignment="1">
      <alignment horizontal="center" vertical="center" wrapText="1"/>
    </xf>
    <xf numFmtId="0" fontId="10" fillId="0" borderId="0" xfId="0" applyNumberFormat="1" applyFont="1" applyAlignment="1">
      <alignment vertical="center" wrapText="1"/>
    </xf>
    <xf numFmtId="0" fontId="10" fillId="0" borderId="0" xfId="0" applyNumberFormat="1" applyFont="1" applyAlignment="1">
      <alignment vertical="center"/>
    </xf>
    <xf numFmtId="0" fontId="13" fillId="0" borderId="0" xfId="11593" applyFont="1" applyAlignment="1">
      <alignment horizontal="right" vertical="center"/>
    </xf>
    <xf numFmtId="0" fontId="13" fillId="0" borderId="0" xfId="11593" applyFont="1" applyAlignment="1">
      <alignment horizontal="left" vertical="center"/>
    </xf>
    <xf numFmtId="10" fontId="8" fillId="34" borderId="16" xfId="19" applyNumberFormat="1" applyFont="1" applyFill="1" applyBorder="1" applyAlignment="1">
      <alignment horizontal="center" vertical="center"/>
    </xf>
    <xf numFmtId="186" fontId="7" fillId="39" borderId="232" xfId="0" applyNumberFormat="1" applyFont="1" applyFill="1" applyBorder="1" applyAlignment="1">
      <alignment horizontal="center" vertical="center" wrapText="1"/>
    </xf>
    <xf numFmtId="185" fontId="7" fillId="39" borderId="232" xfId="0" applyNumberFormat="1" applyFont="1" applyFill="1" applyBorder="1" applyAlignment="1">
      <alignment horizontal="center" vertical="center" wrapText="1"/>
    </xf>
    <xf numFmtId="183" fontId="175" fillId="0" borderId="81" xfId="0" applyNumberFormat="1" applyFont="1" applyBorder="1" applyAlignment="1">
      <alignment horizontal="center" vertical="center" wrapText="1"/>
    </xf>
    <xf numFmtId="183" fontId="26" fillId="9" borderId="157" xfId="0" applyNumberFormat="1" applyFont="1" applyFill="1" applyBorder="1" applyAlignment="1">
      <alignment horizontal="center" vertical="center" wrapText="1"/>
    </xf>
    <xf numFmtId="37" fontId="26" fillId="0" borderId="157" xfId="0" applyNumberFormat="1" applyFont="1" applyBorder="1" applyAlignment="1">
      <alignment horizontal="center" vertical="center" wrapText="1"/>
    </xf>
    <xf numFmtId="37" fontId="26" fillId="0" borderId="130" xfId="0" applyNumberFormat="1" applyFont="1" applyBorder="1" applyAlignment="1">
      <alignment horizontal="center" vertical="center" wrapText="1"/>
    </xf>
    <xf numFmtId="39" fontId="14" fillId="0" borderId="243" xfId="0" applyNumberFormat="1" applyFont="1" applyBorder="1" applyAlignment="1">
      <alignment horizontal="center" vertical="center" wrapText="1"/>
    </xf>
    <xf numFmtId="43" fontId="7" fillId="0" borderId="0" xfId="0" applyNumberFormat="1" applyFont="1" applyAlignment="1">
      <alignment vertical="center"/>
    </xf>
    <xf numFmtId="167" fontId="14" fillId="0" borderId="182" xfId="0" applyFont="1" applyBorder="1" applyAlignment="1">
      <alignment horizontal="center" vertical="center" wrapText="1"/>
    </xf>
    <xf numFmtId="167" fontId="14" fillId="0" borderId="233" xfId="0" applyFont="1" applyBorder="1" applyAlignment="1">
      <alignment horizontal="center" vertical="center" wrapText="1"/>
    </xf>
    <xf numFmtId="183" fontId="8" fillId="9" borderId="232" xfId="0" applyNumberFormat="1" applyFont="1" applyFill="1" applyBorder="1" applyAlignment="1">
      <alignment horizontal="center" vertical="center" wrapText="1"/>
    </xf>
    <xf numFmtId="195" fontId="8" fillId="9" borderId="228" xfId="0" applyNumberFormat="1" applyFont="1" applyFill="1" applyBorder="1" applyAlignment="1">
      <alignment horizontal="center" vertical="center" wrapText="1"/>
    </xf>
    <xf numFmtId="183" fontId="14" fillId="0" borderId="243" xfId="0" applyNumberFormat="1" applyFont="1" applyBorder="1" applyAlignment="1">
      <alignment horizontal="center" vertical="center" wrapText="1"/>
    </xf>
    <xf numFmtId="37" fontId="14" fillId="0" borderId="197" xfId="0" applyNumberFormat="1" applyFont="1" applyBorder="1" applyAlignment="1">
      <alignment horizontal="center" vertical="center" wrapText="1"/>
    </xf>
    <xf numFmtId="167" fontId="14" fillId="0" borderId="330" xfId="0" applyFont="1" applyBorder="1" applyAlignment="1">
      <alignment horizontal="center" vertical="center" wrapText="1"/>
    </xf>
    <xf numFmtId="167" fontId="8" fillId="0" borderId="261" xfId="0" applyFont="1" applyBorder="1" applyAlignment="1">
      <alignment horizontal="center" vertical="center" wrapText="1"/>
    </xf>
    <xf numFmtId="167" fontId="8" fillId="0" borderId="173" xfId="0" applyFont="1" applyBorder="1" applyAlignment="1">
      <alignment horizontal="center" vertical="center" wrapText="1"/>
    </xf>
    <xf numFmtId="185" fontId="7" fillId="0" borderId="13" xfId="41067" applyNumberFormat="1" applyFont="1" applyBorder="1" applyAlignment="1">
      <alignment horizontal="center" vertical="center" wrapText="1"/>
    </xf>
    <xf numFmtId="185" fontId="7" fillId="0" borderId="19" xfId="41067" applyNumberFormat="1" applyFont="1" applyBorder="1" applyAlignment="1">
      <alignment horizontal="center" vertical="center" wrapText="1"/>
    </xf>
    <xf numFmtId="186" fontId="7" fillId="0" borderId="105" xfId="41067" applyNumberFormat="1" applyFont="1" applyBorder="1" applyAlignment="1">
      <alignment horizontal="center" vertical="center" wrapText="1"/>
    </xf>
    <xf numFmtId="186" fontId="7" fillId="0" borderId="19" xfId="41067" applyNumberFormat="1" applyFont="1" applyBorder="1" applyAlignment="1">
      <alignment horizontal="center" vertical="center" wrapText="1"/>
    </xf>
    <xf numFmtId="186" fontId="7" fillId="0" borderId="13" xfId="41067" applyNumberFormat="1" applyFont="1" applyBorder="1" applyAlignment="1">
      <alignment horizontal="center" vertical="center" wrapText="1"/>
    </xf>
    <xf numFmtId="185" fontId="7" fillId="0" borderId="16" xfId="41067" applyNumberFormat="1" applyFont="1" applyBorder="1" applyAlignment="1">
      <alignment horizontal="center" vertical="center" wrapText="1"/>
    </xf>
    <xf numFmtId="167" fontId="7" fillId="0" borderId="105" xfId="0" applyFont="1" applyBorder="1" applyAlignment="1">
      <alignment horizontal="center" vertical="center" wrapText="1"/>
    </xf>
    <xf numFmtId="0" fontId="7" fillId="0" borderId="226" xfId="14471" applyFont="1" applyBorder="1" applyAlignment="1">
      <alignment vertical="center"/>
    </xf>
    <xf numFmtId="0" fontId="8" fillId="0" borderId="226" xfId="14471" applyFont="1" applyBorder="1" applyAlignment="1">
      <alignment horizontal="center" vertical="center"/>
    </xf>
    <xf numFmtId="0" fontId="8" fillId="0" borderId="0" xfId="14471" applyFont="1" applyAlignment="1">
      <alignment horizontal="center" vertical="center"/>
    </xf>
    <xf numFmtId="4" fontId="7" fillId="0" borderId="0" xfId="14471" applyNumberFormat="1" applyFont="1" applyAlignment="1">
      <alignment horizontal="center" vertical="center"/>
    </xf>
    <xf numFmtId="228" fontId="7" fillId="0" borderId="0" xfId="14471" applyNumberFormat="1" applyFont="1" applyAlignment="1">
      <alignment horizontal="center" vertical="center"/>
    </xf>
    <xf numFmtId="0" fontId="7" fillId="0" borderId="0" xfId="14471" applyFont="1" applyAlignment="1">
      <alignment horizontal="center" vertical="center" wrapText="1"/>
    </xf>
    <xf numFmtId="0" fontId="7" fillId="39" borderId="201" xfId="0" applyNumberFormat="1" applyFont="1" applyFill="1" applyBorder="1" applyAlignment="1">
      <alignment horizontal="centerContinuous" vertical="center"/>
    </xf>
    <xf numFmtId="0" fontId="14" fillId="0" borderId="150" xfId="41067" applyFont="1" applyBorder="1" applyAlignment="1">
      <alignment vertical="center" wrapText="1"/>
    </xf>
    <xf numFmtId="9" fontId="14" fillId="0" borderId="243" xfId="19" applyFont="1" applyBorder="1" applyAlignment="1">
      <alignment horizontal="center" vertical="center" wrapText="1"/>
    </xf>
    <xf numFmtId="2" fontId="7" fillId="39" borderId="59" xfId="14471" applyNumberFormat="1" applyFont="1" applyFill="1" applyBorder="1" applyAlignment="1">
      <alignment horizontal="center" vertical="center"/>
    </xf>
    <xf numFmtId="0" fontId="1" fillId="0" borderId="0" xfId="41075" applyAlignment="1">
      <alignment horizontal="center" vertical="center"/>
    </xf>
    <xf numFmtId="2" fontId="1" fillId="0" borderId="0" xfId="41075" applyNumberFormat="1" applyAlignment="1">
      <alignment horizontal="center" vertical="center"/>
    </xf>
    <xf numFmtId="0" fontId="1" fillId="39" borderId="199" xfId="41075" applyFill="1" applyBorder="1" applyAlignment="1">
      <alignment horizontal="center" vertical="center"/>
    </xf>
    <xf numFmtId="0" fontId="1" fillId="39" borderId="192" xfId="41075" applyFill="1" applyBorder="1" applyAlignment="1">
      <alignment horizontal="center" vertical="center"/>
    </xf>
    <xf numFmtId="0" fontId="1" fillId="39" borderId="198" xfId="41075" applyFill="1" applyBorder="1" applyAlignment="1">
      <alignment horizontal="center" vertical="center"/>
    </xf>
    <xf numFmtId="4" fontId="1" fillId="0" borderId="232" xfId="41075" applyNumberFormat="1" applyBorder="1" applyAlignment="1">
      <alignment horizontal="center" vertical="center"/>
    </xf>
    <xf numFmtId="0" fontId="1" fillId="0" borderId="232" xfId="41075" applyBorder="1" applyAlignment="1">
      <alignment horizontal="center" vertical="center"/>
    </xf>
    <xf numFmtId="238" fontId="1" fillId="0" borderId="227" xfId="41075" applyNumberFormat="1" applyBorder="1" applyAlignment="1">
      <alignment horizontal="left" vertical="center"/>
    </xf>
    <xf numFmtId="0" fontId="1" fillId="0" borderId="191" xfId="41075" applyBorder="1" applyAlignment="1">
      <alignment horizontal="right" vertical="center"/>
    </xf>
    <xf numFmtId="4" fontId="1" fillId="0" borderId="128" xfId="41075" applyNumberFormat="1" applyBorder="1" applyAlignment="1">
      <alignment horizontal="center" vertical="center"/>
    </xf>
    <xf numFmtId="239" fontId="1" fillId="0" borderId="227" xfId="41075" applyNumberFormat="1" applyBorder="1" applyAlignment="1">
      <alignment horizontal="left" vertical="center"/>
    </xf>
    <xf numFmtId="2" fontId="1" fillId="0" borderId="232" xfId="41075" applyNumberFormat="1" applyBorder="1" applyAlignment="1">
      <alignment horizontal="center" vertical="center"/>
    </xf>
    <xf numFmtId="204" fontId="1" fillId="0" borderId="232" xfId="41075" applyNumberFormat="1" applyBorder="1" applyAlignment="1">
      <alignment horizontal="center" vertical="center"/>
    </xf>
    <xf numFmtId="238" fontId="1" fillId="0" borderId="18" xfId="41075" applyNumberFormat="1" applyBorder="1" applyAlignment="1">
      <alignment horizontal="left" vertical="center"/>
    </xf>
    <xf numFmtId="0" fontId="1" fillId="39" borderId="247" xfId="41075" applyFill="1" applyBorder="1" applyAlignment="1">
      <alignment horizontal="center" vertical="center"/>
    </xf>
    <xf numFmtId="0" fontId="1" fillId="39" borderId="19" xfId="41075" applyFill="1" applyBorder="1" applyAlignment="1">
      <alignment horizontal="center" vertical="center"/>
    </xf>
    <xf numFmtId="0" fontId="1" fillId="0" borderId="19" xfId="41075" applyBorder="1" applyAlignment="1">
      <alignment horizontal="center" vertical="center"/>
    </xf>
    <xf numFmtId="239" fontId="1" fillId="0" borderId="18" xfId="41075" applyNumberFormat="1" applyBorder="1" applyAlignment="1">
      <alignment horizontal="left" vertical="center"/>
    </xf>
    <xf numFmtId="0" fontId="1" fillId="0" borderId="124" xfId="41075" applyBorder="1" applyAlignment="1">
      <alignment horizontal="right" vertical="center"/>
    </xf>
    <xf numFmtId="0" fontId="193" fillId="10" borderId="89" xfId="41075" applyFont="1" applyFill="1" applyBorder="1" applyAlignment="1">
      <alignment horizontal="center" vertical="center" wrapText="1"/>
    </xf>
    <xf numFmtId="0" fontId="193" fillId="10" borderId="89" xfId="41075" applyFont="1" applyFill="1" applyBorder="1" applyAlignment="1">
      <alignment horizontal="center" vertical="center"/>
    </xf>
    <xf numFmtId="0" fontId="193" fillId="10" borderId="92" xfId="41075" applyFont="1" applyFill="1" applyBorder="1" applyAlignment="1">
      <alignment horizontal="center" vertical="center"/>
    </xf>
    <xf numFmtId="4" fontId="195" fillId="0" borderId="232" xfId="41075" applyNumberFormat="1" applyFont="1" applyBorder="1" applyAlignment="1">
      <alignment horizontal="center" vertical="center"/>
    </xf>
    <xf numFmtId="4" fontId="195" fillId="0" borderId="128" xfId="41075" applyNumberFormat="1" applyFont="1" applyBorder="1" applyAlignment="1">
      <alignment horizontal="center" vertical="center"/>
    </xf>
    <xf numFmtId="39" fontId="13" fillId="0" borderId="24" xfId="0" applyNumberFormat="1" applyFont="1" applyBorder="1" applyAlignment="1">
      <alignment horizontal="center" vertical="center" wrapText="1"/>
    </xf>
    <xf numFmtId="195" fontId="8" fillId="61" borderId="232" xfId="21" applyNumberFormat="1" applyFont="1" applyFill="1" applyBorder="1" applyAlignment="1">
      <alignment horizontal="center" vertical="center"/>
    </xf>
    <xf numFmtId="39" fontId="13" fillId="0" borderId="157" xfId="0" applyNumberFormat="1" applyFont="1" applyBorder="1" applyAlignment="1">
      <alignment horizontal="center" vertical="center" wrapText="1"/>
    </xf>
    <xf numFmtId="1" fontId="13" fillId="0" borderId="114" xfId="0" applyNumberFormat="1" applyFont="1" applyBorder="1" applyAlignment="1">
      <alignment horizontal="center" vertical="center" wrapText="1"/>
    </xf>
    <xf numFmtId="4" fontId="7" fillId="39" borderId="226" xfId="14471" applyNumberFormat="1" applyFont="1" applyFill="1" applyBorder="1" applyAlignment="1">
      <alignment horizontal="center" vertical="center"/>
    </xf>
    <xf numFmtId="2" fontId="7" fillId="0" borderId="0" xfId="14471" applyNumberFormat="1" applyFont="1" applyAlignment="1">
      <alignment vertical="center"/>
    </xf>
    <xf numFmtId="240" fontId="7" fillId="0" borderId="0" xfId="14471" applyNumberFormat="1" applyFont="1" applyAlignment="1">
      <alignment horizontal="left" vertical="center"/>
    </xf>
    <xf numFmtId="4" fontId="7" fillId="38" borderId="59" xfId="14471" applyNumberFormat="1" applyFont="1" applyFill="1" applyBorder="1" applyAlignment="1">
      <alignment horizontal="center" vertical="center"/>
    </xf>
    <xf numFmtId="4" fontId="7" fillId="38" borderId="226" xfId="14471" applyNumberFormat="1" applyFont="1" applyFill="1" applyBorder="1" applyAlignment="1">
      <alignment horizontal="center" vertical="center"/>
    </xf>
    <xf numFmtId="0" fontId="7" fillId="39" borderId="43" xfId="0" applyNumberFormat="1" applyFont="1" applyFill="1" applyBorder="1" applyAlignment="1">
      <alignment horizontal="centerContinuous" vertical="center"/>
    </xf>
    <xf numFmtId="0" fontId="7" fillId="39" borderId="66" xfId="0" applyNumberFormat="1" applyFont="1" applyFill="1" applyBorder="1" applyAlignment="1">
      <alignment horizontal="centerContinuous" vertical="center"/>
    </xf>
    <xf numFmtId="0" fontId="7" fillId="39" borderId="10" xfId="0" applyNumberFormat="1" applyFont="1" applyFill="1" applyBorder="1" applyAlignment="1">
      <alignment horizontal="centerContinuous" vertical="center"/>
    </xf>
    <xf numFmtId="185" fontId="7" fillId="0" borderId="2" xfId="0" applyNumberFormat="1" applyFont="1" applyBorder="1" applyAlignment="1">
      <alignment horizontal="center" vertical="center" wrapText="1"/>
    </xf>
    <xf numFmtId="185" fontId="7" fillId="50" borderId="2" xfId="0" applyNumberFormat="1" applyFont="1" applyFill="1" applyBorder="1" applyAlignment="1">
      <alignment horizontal="center" vertical="center" wrapText="1"/>
    </xf>
    <xf numFmtId="39" fontId="7" fillId="9" borderId="276" xfId="0" applyNumberFormat="1" applyFont="1" applyFill="1" applyBorder="1" applyAlignment="1">
      <alignment horizontal="center" vertical="center" wrapText="1"/>
    </xf>
    <xf numFmtId="4" fontId="7" fillId="0" borderId="272" xfId="0" applyNumberFormat="1" applyFont="1" applyBorder="1" applyAlignment="1">
      <alignment horizontal="center" vertical="center" wrapText="1"/>
    </xf>
    <xf numFmtId="184" fontId="8" fillId="0" borderId="19" xfId="22756" applyNumberFormat="1" applyFont="1" applyFill="1" applyBorder="1" applyAlignment="1">
      <alignment horizontal="center" vertical="center"/>
    </xf>
    <xf numFmtId="222" fontId="14" fillId="9" borderId="114" xfId="0" applyNumberFormat="1" applyFont="1" applyFill="1" applyBorder="1" applyAlignment="1">
      <alignment horizontal="center" vertical="center" wrapText="1"/>
    </xf>
    <xf numFmtId="0" fontId="7" fillId="0" borderId="334" xfId="14471" applyFont="1" applyBorder="1" applyAlignment="1">
      <alignment horizontal="center"/>
    </xf>
    <xf numFmtId="0" fontId="7" fillId="0" borderId="111" xfId="14471" applyFont="1" applyBorder="1" applyAlignment="1">
      <alignment horizontal="center"/>
    </xf>
    <xf numFmtId="0" fontId="7" fillId="0" borderId="111" xfId="14471" applyFont="1" applyBorder="1" applyAlignment="1">
      <alignment horizontal="center" vertical="center" wrapText="1"/>
    </xf>
    <xf numFmtId="4" fontId="7" fillId="62" borderId="324" xfId="14471" applyNumberFormat="1" applyFont="1" applyFill="1" applyBorder="1" applyAlignment="1">
      <alignment horizontal="center" vertical="center"/>
    </xf>
    <xf numFmtId="4" fontId="7" fillId="62" borderId="227" xfId="14471" applyNumberFormat="1" applyFont="1" applyFill="1" applyBorder="1" applyAlignment="1">
      <alignment horizontal="center" vertical="center"/>
    </xf>
    <xf numFmtId="1" fontId="7" fillId="0" borderId="105" xfId="0" applyNumberFormat="1" applyFont="1" applyBorder="1" applyAlignment="1">
      <alignment horizontal="center" vertical="center" wrapText="1"/>
    </xf>
    <xf numFmtId="1" fontId="7" fillId="0" borderId="231" xfId="0" applyNumberFormat="1" applyFont="1" applyBorder="1" applyAlignment="1">
      <alignment horizontal="center" vertical="center" wrapText="1"/>
    </xf>
    <xf numFmtId="167" fontId="13" fillId="0" borderId="114" xfId="0" applyFont="1" applyBorder="1" applyAlignment="1">
      <alignment horizontal="center" vertical="center" wrapText="1"/>
    </xf>
    <xf numFmtId="43" fontId="124" fillId="0" borderId="0" xfId="0" applyNumberFormat="1" applyFont="1" applyAlignment="1">
      <alignment horizontal="center" vertical="center"/>
    </xf>
    <xf numFmtId="43" fontId="124" fillId="0" borderId="0" xfId="0" applyNumberFormat="1" applyFont="1" applyAlignment="1">
      <alignment vertical="top"/>
    </xf>
    <xf numFmtId="167" fontId="14" fillId="0" borderId="167" xfId="0" applyFont="1" applyBorder="1" applyAlignment="1">
      <alignment horizontal="center" vertical="center" wrapText="1"/>
    </xf>
    <xf numFmtId="185" fontId="120" fillId="9" borderId="39" xfId="0" applyNumberFormat="1" applyFont="1" applyFill="1" applyBorder="1" applyAlignment="1">
      <alignment horizontal="center" vertical="center" wrapText="1"/>
    </xf>
    <xf numFmtId="167" fontId="137" fillId="0" borderId="175" xfId="0" applyFont="1" applyBorder="1" applyAlignment="1">
      <alignment horizontal="center" vertical="center" wrapText="1"/>
    </xf>
    <xf numFmtId="185" fontId="120" fillId="9" borderId="174" xfId="0" applyNumberFormat="1" applyFont="1" applyFill="1" applyBorder="1" applyAlignment="1">
      <alignment horizontal="center" vertical="center" wrapText="1"/>
    </xf>
    <xf numFmtId="185" fontId="13" fillId="0" borderId="335" xfId="0" applyNumberFormat="1" applyFont="1" applyBorder="1" applyAlignment="1">
      <alignment horizontal="center" vertical="center" wrapText="1"/>
    </xf>
    <xf numFmtId="167" fontId="137" fillId="0" borderId="176" xfId="0" applyFont="1" applyBorder="1" applyAlignment="1">
      <alignment horizontal="center" vertical="center" wrapText="1"/>
    </xf>
    <xf numFmtId="195" fontId="120" fillId="9" borderId="174" xfId="0" applyNumberFormat="1" applyFont="1" applyFill="1" applyBorder="1" applyAlignment="1">
      <alignment horizontal="center" vertical="center" wrapText="1"/>
    </xf>
    <xf numFmtId="167" fontId="84" fillId="0" borderId="234" xfId="0" applyFont="1" applyBorder="1" applyAlignment="1">
      <alignment horizontal="center" vertical="center" wrapText="1"/>
    </xf>
    <xf numFmtId="195" fontId="13" fillId="0" borderId="335" xfId="0" applyNumberFormat="1" applyFont="1" applyBorder="1" applyAlignment="1">
      <alignment horizontal="center" vertical="center" wrapText="1"/>
    </xf>
    <xf numFmtId="167" fontId="7" fillId="9" borderId="114" xfId="0" applyFont="1" applyFill="1" applyBorder="1" applyAlignment="1">
      <alignment horizontal="center" vertical="center" wrapText="1"/>
    </xf>
    <xf numFmtId="167" fontId="84" fillId="0" borderId="198" xfId="0" applyFont="1" applyBorder="1" applyAlignment="1">
      <alignment horizontal="center" vertical="center" wrapText="1"/>
    </xf>
    <xf numFmtId="167" fontId="8" fillId="0" borderId="160" xfId="0" applyFont="1" applyBorder="1" applyAlignment="1">
      <alignment horizontal="center" vertical="center" wrapText="1"/>
    </xf>
    <xf numFmtId="167" fontId="7" fillId="0" borderId="89" xfId="0" applyFont="1" applyBorder="1" applyAlignment="1">
      <alignment horizontal="center" vertical="center" wrapText="1"/>
    </xf>
    <xf numFmtId="167" fontId="13" fillId="0" borderId="179" xfId="0" applyFont="1" applyBorder="1" applyAlignment="1">
      <alignment horizontal="center" vertical="center" wrapText="1"/>
    </xf>
    <xf numFmtId="37" fontId="24" fillId="0" borderId="185" xfId="0" applyNumberFormat="1" applyFont="1" applyBorder="1" applyAlignment="1">
      <alignment horizontal="center" vertical="center" wrapText="1"/>
    </xf>
    <xf numFmtId="37" fontId="14" fillId="0" borderId="185" xfId="0" applyNumberFormat="1" applyFont="1" applyBorder="1" applyAlignment="1">
      <alignment horizontal="center" vertical="center" wrapText="1"/>
    </xf>
    <xf numFmtId="37" fontId="14" fillId="0" borderId="243" xfId="0" applyNumberFormat="1" applyFont="1" applyBorder="1" applyAlignment="1">
      <alignment horizontal="center" vertical="center" wrapText="1"/>
    </xf>
    <xf numFmtId="183" fontId="27" fillId="0" borderId="241" xfId="0" applyNumberFormat="1" applyFont="1" applyBorder="1" applyAlignment="1">
      <alignment horizontal="center" vertical="center" wrapText="1"/>
    </xf>
    <xf numFmtId="183" fontId="175" fillId="0" borderId="232" xfId="0" applyNumberFormat="1" applyFont="1" applyBorder="1" applyAlignment="1">
      <alignment horizontal="center" vertical="center" wrapText="1"/>
    </xf>
    <xf numFmtId="183" fontId="27" fillId="0" borderId="227" xfId="0" applyNumberFormat="1" applyFont="1" applyBorder="1" applyAlignment="1">
      <alignment horizontal="center" vertical="center" wrapText="1"/>
    </xf>
    <xf numFmtId="183" fontId="26" fillId="0" borderId="232" xfId="0" applyNumberFormat="1" applyFont="1" applyBorder="1" applyAlignment="1">
      <alignment horizontal="center" vertical="center" wrapText="1"/>
    </xf>
    <xf numFmtId="183" fontId="27" fillId="9" borderId="232" xfId="0" applyNumberFormat="1" applyFont="1" applyFill="1" applyBorder="1" applyAlignment="1">
      <alignment horizontal="center" vertical="center" wrapText="1"/>
    </xf>
    <xf numFmtId="183" fontId="26" fillId="0" borderId="228" xfId="0" applyNumberFormat="1" applyFont="1" applyBorder="1" applyAlignment="1">
      <alignment horizontal="center" vertical="center" wrapText="1"/>
    </xf>
    <xf numFmtId="183" fontId="175" fillId="0" borderId="89" xfId="0" applyNumberFormat="1" applyFont="1" applyBorder="1" applyAlignment="1">
      <alignment horizontal="center" vertical="center" wrapText="1"/>
    </xf>
    <xf numFmtId="183" fontId="8" fillId="0" borderId="160" xfId="0" applyNumberFormat="1" applyFont="1" applyBorder="1" applyAlignment="1">
      <alignment horizontal="center" vertical="center" wrapText="1"/>
    </xf>
    <xf numFmtId="183" fontId="7" fillId="0" borderId="89" xfId="0" applyNumberFormat="1" applyFont="1" applyBorder="1" applyAlignment="1">
      <alignment horizontal="center" vertical="center" wrapText="1"/>
    </xf>
    <xf numFmtId="183" fontId="8" fillId="9" borderId="89" xfId="0" applyNumberFormat="1" applyFont="1" applyFill="1" applyBorder="1" applyAlignment="1">
      <alignment horizontal="center" vertical="center" wrapText="1"/>
    </xf>
    <xf numFmtId="183" fontId="13" fillId="0" borderId="179" xfId="0" applyNumberFormat="1" applyFont="1" applyBorder="1" applyAlignment="1">
      <alignment horizontal="center" vertical="center" wrapText="1"/>
    </xf>
    <xf numFmtId="167" fontId="14" fillId="0" borderId="232" xfId="0" applyFont="1" applyBorder="1" applyAlignment="1">
      <alignment vertical="center" wrapText="1"/>
    </xf>
    <xf numFmtId="0" fontId="13" fillId="34" borderId="263" xfId="0" applyNumberFormat="1" applyFont="1" applyFill="1" applyBorder="1" applyAlignment="1">
      <alignment horizontal="center" vertical="center"/>
    </xf>
    <xf numFmtId="40" fontId="14" fillId="38" borderId="138" xfId="23422" applyFont="1" applyFill="1" applyBorder="1" applyAlignment="1">
      <alignment horizontal="centerContinuous" vertical="center" wrapText="1"/>
    </xf>
    <xf numFmtId="9" fontId="159" fillId="0" borderId="0" xfId="19" applyFont="1" applyFill="1" applyAlignment="1">
      <alignment horizontal="center" vertical="top" wrapText="1"/>
    </xf>
    <xf numFmtId="183" fontId="8" fillId="9" borderId="36" xfId="0" applyNumberFormat="1" applyFont="1" applyFill="1" applyBorder="1" applyAlignment="1">
      <alignment horizontal="center" vertical="center" wrapText="1"/>
    </xf>
    <xf numFmtId="195" fontId="7" fillId="9" borderId="168" xfId="0" applyNumberFormat="1" applyFont="1" applyFill="1" applyBorder="1" applyAlignment="1">
      <alignment horizontal="center" vertical="center" wrapText="1"/>
    </xf>
    <xf numFmtId="9" fontId="14" fillId="0" borderId="20" xfId="19" applyFont="1" applyBorder="1" applyAlignment="1">
      <alignment horizontal="center" vertical="center" wrapText="1"/>
    </xf>
    <xf numFmtId="2" fontId="14" fillId="0" borderId="197" xfId="0" applyNumberFormat="1" applyFont="1" applyBorder="1" applyAlignment="1">
      <alignment horizontal="center" vertical="center" wrapText="1"/>
    </xf>
    <xf numFmtId="37" fontId="14" fillId="0" borderId="131" xfId="0" applyNumberFormat="1" applyFont="1" applyBorder="1" applyAlignment="1">
      <alignment vertical="center" textRotation="90" wrapText="1"/>
    </xf>
    <xf numFmtId="37" fontId="14" fillId="0" borderId="23" xfId="0" applyNumberFormat="1" applyFont="1" applyBorder="1" applyAlignment="1">
      <alignment vertical="center" textRotation="90" wrapText="1"/>
    </xf>
    <xf numFmtId="39" fontId="14" fillId="0" borderId="131" xfId="0" applyNumberFormat="1" applyFont="1" applyBorder="1" applyAlignment="1">
      <alignment vertical="center" wrapText="1"/>
    </xf>
    <xf numFmtId="0" fontId="13" fillId="0" borderId="0" xfId="11593" applyFont="1" applyAlignment="1">
      <alignment vertical="center"/>
    </xf>
    <xf numFmtId="0" fontId="13" fillId="0" borderId="0" xfId="0" applyNumberFormat="1" applyFont="1" applyAlignment="1">
      <alignment horizontal="left" vertical="center" wrapText="1"/>
    </xf>
    <xf numFmtId="0" fontId="124" fillId="60" borderId="2" xfId="17" applyFont="1" applyFill="1" applyBorder="1" applyAlignment="1">
      <alignment horizontal="center" vertical="top" wrapText="1"/>
    </xf>
    <xf numFmtId="0" fontId="124" fillId="11" borderId="2" xfId="17" applyFont="1" applyFill="1" applyBorder="1" applyAlignment="1">
      <alignment horizontal="center" vertical="top" wrapText="1"/>
    </xf>
    <xf numFmtId="167" fontId="7" fillId="11" borderId="36" xfId="0" applyFont="1" applyFill="1" applyBorder="1" applyAlignment="1">
      <alignment horizontal="center" vertical="center" wrapText="1"/>
    </xf>
    <xf numFmtId="40" fontId="13" fillId="0" borderId="2" xfId="23422" applyFont="1" applyBorder="1" applyAlignment="1">
      <alignment horizontal="center" vertical="center"/>
    </xf>
    <xf numFmtId="40" fontId="196" fillId="0" borderId="0" xfId="0" applyNumberFormat="1" applyFont="1" applyAlignment="1">
      <alignment horizontal="center"/>
    </xf>
    <xf numFmtId="39" fontId="62" fillId="11" borderId="232" xfId="0" applyNumberFormat="1" applyFont="1" applyFill="1" applyBorder="1" applyAlignment="1">
      <alignment horizontal="center" vertical="center" wrapText="1"/>
    </xf>
    <xf numFmtId="9" fontId="7" fillId="0" borderId="173" xfId="19" applyFont="1" applyFill="1" applyBorder="1" applyAlignment="1">
      <alignment horizontal="center" vertical="center" wrapText="1"/>
    </xf>
    <xf numFmtId="0" fontId="7" fillId="0" borderId="273" xfId="0" applyNumberFormat="1" applyFont="1" applyBorder="1" applyAlignment="1">
      <alignment horizontal="center" vertical="center" wrapText="1"/>
    </xf>
    <xf numFmtId="0" fontId="7" fillId="0" borderId="294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0" fontId="7" fillId="0" borderId="118" xfId="0" applyNumberFormat="1" applyFont="1" applyBorder="1" applyAlignment="1">
      <alignment horizontal="center" vertical="center" wrapText="1"/>
    </xf>
    <xf numFmtId="0" fontId="7" fillId="0" borderId="16" xfId="0" applyNumberFormat="1" applyFont="1" applyBorder="1" applyAlignment="1">
      <alignment horizontal="center" vertical="center" wrapText="1"/>
    </xf>
    <xf numFmtId="0" fontId="7" fillId="0" borderId="77" xfId="0" applyNumberFormat="1" applyFont="1" applyBorder="1" applyAlignment="1">
      <alignment horizontal="center" vertical="center" wrapText="1"/>
    </xf>
    <xf numFmtId="39" fontId="14" fillId="0" borderId="172" xfId="0" applyNumberFormat="1" applyFont="1" applyBorder="1" applyAlignment="1">
      <alignment horizontal="center" vertical="center" wrapText="1"/>
    </xf>
    <xf numFmtId="0" fontId="7" fillId="0" borderId="3" xfId="41062" quotePrefix="1" applyNumberFormat="1" applyBorder="1" applyAlignment="1">
      <alignment horizontal="center" vertical="top" wrapText="1"/>
    </xf>
    <xf numFmtId="167" fontId="14" fillId="0" borderId="131" xfId="0" applyFont="1" applyBorder="1" applyAlignment="1">
      <alignment vertical="center" wrapText="1"/>
    </xf>
    <xf numFmtId="37" fontId="14" fillId="0" borderId="131" xfId="0" applyNumberFormat="1" applyFont="1" applyBorder="1" applyAlignment="1">
      <alignment vertical="center" wrapText="1"/>
    </xf>
    <xf numFmtId="37" fontId="14" fillId="0" borderId="23" xfId="0" applyNumberFormat="1" applyFont="1" applyBorder="1" applyAlignment="1">
      <alignment vertical="center" wrapText="1"/>
    </xf>
    <xf numFmtId="37" fontId="13" fillId="10" borderId="26" xfId="0" applyNumberFormat="1" applyFont="1" applyFill="1" applyBorder="1" applyAlignment="1">
      <alignment horizontal="center" vertical="center" wrapText="1"/>
    </xf>
    <xf numFmtId="167" fontId="14" fillId="0" borderId="23" xfId="0" applyFont="1" applyBorder="1" applyAlignment="1">
      <alignment vertical="center" wrapText="1"/>
    </xf>
    <xf numFmtId="167" fontId="7" fillId="9" borderId="188" xfId="0" applyFont="1" applyFill="1" applyBorder="1" applyAlignment="1">
      <alignment horizontal="center" vertical="center" wrapText="1"/>
    </xf>
    <xf numFmtId="167" fontId="14" fillId="0" borderId="12" xfId="0" applyFont="1" applyBorder="1" applyAlignment="1">
      <alignment vertical="center" wrapText="1"/>
    </xf>
    <xf numFmtId="167" fontId="14" fillId="0" borderId="81" xfId="0" applyFont="1" applyBorder="1" applyAlignment="1">
      <alignment vertical="center" wrapText="1"/>
    </xf>
    <xf numFmtId="167" fontId="14" fillId="0" borderId="258" xfId="0" applyFont="1" applyBorder="1" applyAlignment="1">
      <alignment horizontal="center" vertical="center" wrapText="1"/>
    </xf>
    <xf numFmtId="167" fontId="14" fillId="39" borderId="0" xfId="0" applyFont="1" applyFill="1" applyAlignment="1">
      <alignment horizontal="left" vertical="top" wrapText="1"/>
    </xf>
    <xf numFmtId="167" fontId="14" fillId="39" borderId="0" xfId="0" applyFont="1" applyFill="1" applyAlignment="1">
      <alignment horizontal="right" vertical="top"/>
    </xf>
    <xf numFmtId="0" fontId="132" fillId="34" borderId="304" xfId="0" applyNumberFormat="1" applyFont="1" applyFill="1" applyBorder="1" applyAlignment="1">
      <alignment horizontal="center" vertical="center"/>
    </xf>
    <xf numFmtId="0" fontId="132" fillId="34" borderId="222" xfId="0" applyNumberFormat="1" applyFont="1" applyFill="1" applyBorder="1" applyAlignment="1">
      <alignment horizontal="center" vertical="center"/>
    </xf>
    <xf numFmtId="165" fontId="173" fillId="45" borderId="0" xfId="21" applyFont="1" applyFill="1" applyAlignment="1">
      <alignment horizontal="center" vertical="center" wrapText="1"/>
    </xf>
    <xf numFmtId="10" fontId="139" fillId="45" borderId="232" xfId="19" applyNumberFormat="1" applyFont="1" applyFill="1" applyBorder="1" applyAlignment="1">
      <alignment horizontal="center" vertical="center"/>
    </xf>
    <xf numFmtId="0" fontId="156" fillId="57" borderId="2" xfId="41062" applyNumberFormat="1" applyFont="1" applyFill="1" applyBorder="1" applyAlignment="1">
      <alignment horizontal="center" vertical="center" wrapText="1"/>
    </xf>
    <xf numFmtId="0" fontId="156" fillId="58" borderId="2" xfId="41062" applyNumberFormat="1" applyFont="1" applyFill="1" applyBorder="1" applyAlignment="1">
      <alignment horizontal="center" vertical="center" wrapText="1"/>
    </xf>
    <xf numFmtId="0" fontId="156" fillId="43" borderId="2" xfId="41062" applyNumberFormat="1" applyFont="1" applyFill="1" applyBorder="1" applyAlignment="1">
      <alignment horizontal="center" vertical="center" wrapText="1"/>
    </xf>
    <xf numFmtId="0" fontId="156" fillId="40" borderId="2" xfId="41062" applyNumberFormat="1" applyFont="1" applyFill="1" applyBorder="1" applyAlignment="1">
      <alignment horizontal="center" vertical="center" wrapText="1"/>
    </xf>
    <xf numFmtId="0" fontId="156" fillId="9" borderId="2" xfId="17" applyFont="1" applyFill="1" applyBorder="1" applyAlignment="1">
      <alignment horizontal="center" vertical="center" wrapText="1"/>
    </xf>
    <xf numFmtId="0" fontId="156" fillId="50" borderId="2" xfId="17" applyFont="1" applyFill="1" applyBorder="1" applyAlignment="1">
      <alignment horizontal="center" vertical="center" wrapText="1"/>
    </xf>
    <xf numFmtId="0" fontId="156" fillId="36" borderId="2" xfId="41062" applyNumberFormat="1" applyFont="1" applyFill="1" applyBorder="1" applyAlignment="1">
      <alignment horizontal="center" vertical="center" wrapText="1"/>
    </xf>
    <xf numFmtId="186" fontId="14" fillId="0" borderId="119" xfId="11464" applyNumberFormat="1" applyFont="1" applyBorder="1" applyAlignment="1">
      <alignment horizontal="center" vertical="center"/>
    </xf>
    <xf numFmtId="186" fontId="14" fillId="0" borderId="195" xfId="11464" applyNumberFormat="1" applyFont="1" applyBorder="1" applyAlignment="1">
      <alignment horizontal="center" vertical="center"/>
    </xf>
    <xf numFmtId="186" fontId="14" fillId="0" borderId="120" xfId="11464" applyNumberFormat="1" applyFont="1" applyBorder="1" applyAlignment="1">
      <alignment horizontal="center" vertical="center"/>
    </xf>
    <xf numFmtId="186" fontId="14" fillId="0" borderId="13" xfId="11464" applyNumberFormat="1" applyFont="1" applyBorder="1" applyAlignment="1">
      <alignment horizontal="center" vertical="center" wrapText="1"/>
    </xf>
    <xf numFmtId="186" fontId="14" fillId="0" borderId="2" xfId="11464" applyNumberFormat="1" applyFont="1" applyBorder="1" applyAlignment="1">
      <alignment horizontal="center" vertical="center" wrapText="1"/>
    </xf>
    <xf numFmtId="186" fontId="14" fillId="0" borderId="16" xfId="11464" applyNumberFormat="1" applyFont="1" applyBorder="1" applyAlignment="1">
      <alignment horizontal="center" vertical="center" wrapText="1"/>
    </xf>
    <xf numFmtId="164" fontId="14" fillId="34" borderId="111" xfId="10257" applyNumberFormat="1" applyFont="1" applyFill="1" applyBorder="1" applyAlignment="1">
      <alignment horizontal="center" vertical="center" wrapText="1"/>
    </xf>
    <xf numFmtId="164" fontId="14" fillId="34" borderId="227" xfId="10257" applyNumberFormat="1" applyFont="1" applyFill="1" applyBorder="1" applyAlignment="1">
      <alignment horizontal="center" vertical="center" wrapText="1"/>
    </xf>
    <xf numFmtId="167" fontId="14" fillId="34" borderId="107" xfId="11464" applyNumberFormat="1" applyFont="1" applyFill="1" applyBorder="1" applyAlignment="1">
      <alignment horizontal="center" vertical="center"/>
    </xf>
    <xf numFmtId="167" fontId="14" fillId="34" borderId="18" xfId="11464" applyNumberFormat="1" applyFont="1" applyFill="1" applyBorder="1" applyAlignment="1">
      <alignment horizontal="center" vertical="center"/>
    </xf>
    <xf numFmtId="9" fontId="14" fillId="34" borderId="111" xfId="22756" applyFont="1" applyFill="1" applyBorder="1" applyAlignment="1">
      <alignment horizontal="center" vertical="center"/>
    </xf>
    <xf numFmtId="9" fontId="14" fillId="34" borderId="110" xfId="22756" applyFont="1" applyFill="1" applyBorder="1" applyAlignment="1">
      <alignment horizontal="center" vertical="center"/>
    </xf>
    <xf numFmtId="164" fontId="8" fillId="0" borderId="226" xfId="10257" applyNumberFormat="1" applyFont="1" applyBorder="1" applyAlignment="1">
      <alignment horizontal="center" vertical="center" wrapText="1"/>
    </xf>
    <xf numFmtId="164" fontId="8" fillId="0" borderId="72" xfId="10257" applyNumberFormat="1" applyFont="1" applyBorder="1" applyAlignment="1">
      <alignment horizontal="center" vertical="center" wrapText="1"/>
    </xf>
    <xf numFmtId="167" fontId="14" fillId="34" borderId="35" xfId="11464" applyNumberFormat="1" applyFont="1" applyFill="1" applyBorder="1" applyAlignment="1">
      <alignment horizontal="center" vertical="center"/>
    </xf>
    <xf numFmtId="167" fontId="14" fillId="34" borderId="110" xfId="11464" applyNumberFormat="1" applyFont="1" applyFill="1" applyBorder="1" applyAlignment="1">
      <alignment horizontal="center" vertical="center"/>
    </xf>
    <xf numFmtId="164" fontId="14" fillId="34" borderId="75" xfId="10257" applyNumberFormat="1" applyFont="1" applyFill="1" applyBorder="1" applyAlignment="1">
      <alignment horizontal="center" vertical="center" wrapText="1"/>
    </xf>
    <xf numFmtId="164" fontId="14" fillId="34" borderId="35" xfId="10257" applyNumberFormat="1" applyFont="1" applyFill="1" applyBorder="1" applyAlignment="1">
      <alignment horizontal="center" vertical="center" wrapText="1"/>
    </xf>
    <xf numFmtId="167" fontId="23" fillId="34" borderId="76" xfId="11464" applyNumberFormat="1" applyFont="1" applyFill="1" applyBorder="1" applyAlignment="1">
      <alignment horizontal="center" vertical="center"/>
    </xf>
    <xf numFmtId="167" fontId="23" fillId="34" borderId="78" xfId="11464" applyNumberFormat="1" applyFont="1" applyFill="1" applyBorder="1" applyAlignment="1">
      <alignment horizontal="center" vertical="center"/>
    </xf>
    <xf numFmtId="167" fontId="23" fillId="34" borderId="77" xfId="11464" applyNumberFormat="1" applyFont="1" applyFill="1" applyBorder="1" applyAlignment="1">
      <alignment horizontal="center" vertical="center"/>
    </xf>
    <xf numFmtId="167" fontId="23" fillId="34" borderId="15" xfId="11464" applyNumberFormat="1" applyFont="1" applyFill="1" applyBorder="1" applyAlignment="1">
      <alignment horizontal="center" vertical="center"/>
    </xf>
    <xf numFmtId="164" fontId="8" fillId="0" borderId="59" xfId="10257" applyNumberFormat="1" applyFont="1" applyBorder="1" applyAlignment="1">
      <alignment horizontal="center" vertical="center" wrapText="1"/>
    </xf>
    <xf numFmtId="164" fontId="8" fillId="0" borderId="18" xfId="10257" applyNumberFormat="1" applyFont="1" applyBorder="1" applyAlignment="1">
      <alignment horizontal="center" vertical="center" wrapText="1"/>
    </xf>
    <xf numFmtId="167" fontId="95" fillId="36" borderId="0" xfId="11464" applyNumberFormat="1" applyFont="1" applyFill="1" applyAlignment="1">
      <alignment horizontal="center" vertical="center" wrapText="1"/>
    </xf>
    <xf numFmtId="167" fontId="95" fillId="37" borderId="0" xfId="11464" applyNumberFormat="1" applyFont="1" applyFill="1" applyAlignment="1">
      <alignment horizontal="center" vertical="center" wrapText="1"/>
    </xf>
    <xf numFmtId="167" fontId="23" fillId="34" borderId="12" xfId="41057" applyNumberFormat="1" applyFont="1" applyFill="1" applyBorder="1" applyAlignment="1" applyProtection="1">
      <alignment horizontal="center" vertical="center"/>
    </xf>
    <xf numFmtId="167" fontId="23" fillId="34" borderId="14" xfId="41057" applyNumberFormat="1" applyFont="1" applyFill="1" applyBorder="1" applyAlignment="1" applyProtection="1">
      <alignment horizontal="center" vertical="center"/>
    </xf>
    <xf numFmtId="167" fontId="23" fillId="34" borderId="13" xfId="11464" applyNumberFormat="1" applyFont="1" applyFill="1" applyBorder="1" applyAlignment="1">
      <alignment horizontal="center" vertical="center"/>
    </xf>
    <xf numFmtId="167" fontId="23" fillId="34" borderId="16" xfId="11464" applyNumberFormat="1" applyFont="1" applyFill="1" applyBorder="1" applyAlignment="1">
      <alignment horizontal="center" vertical="center"/>
    </xf>
    <xf numFmtId="167" fontId="23" fillId="34" borderId="75" xfId="11464" applyNumberFormat="1" applyFont="1" applyFill="1" applyBorder="1" applyAlignment="1">
      <alignment horizontal="center" vertical="center"/>
    </xf>
    <xf numFmtId="167" fontId="23" fillId="34" borderId="35" xfId="11464" applyNumberFormat="1" applyFont="1" applyFill="1" applyBorder="1" applyAlignment="1">
      <alignment horizontal="center" vertical="center"/>
    </xf>
    <xf numFmtId="210" fontId="14" fillId="34" borderId="111" xfId="22756" applyNumberFormat="1" applyFont="1" applyFill="1" applyBorder="1" applyAlignment="1">
      <alignment horizontal="center" vertical="center"/>
    </xf>
    <xf numFmtId="210" fontId="14" fillId="34" borderId="227" xfId="22756" applyNumberFormat="1" applyFont="1" applyFill="1" applyBorder="1" applyAlignment="1">
      <alignment horizontal="center" vertical="center"/>
    </xf>
    <xf numFmtId="167" fontId="14" fillId="34" borderId="127" xfId="11464" applyNumberFormat="1" applyFont="1" applyFill="1" applyBorder="1" applyAlignment="1">
      <alignment horizontal="center" vertical="center"/>
    </xf>
    <xf numFmtId="0" fontId="13" fillId="0" borderId="0" xfId="11593" applyFont="1" applyAlignment="1">
      <alignment horizontal="left" vertical="top" wrapText="1"/>
    </xf>
    <xf numFmtId="0" fontId="8" fillId="0" borderId="4" xfId="17" applyFont="1" applyBorder="1" applyAlignment="1">
      <alignment horizontal="left" vertical="center" wrapText="1"/>
    </xf>
    <xf numFmtId="0" fontId="8" fillId="0" borderId="0" xfId="17" applyFont="1" applyAlignment="1">
      <alignment horizontal="left" vertical="center" wrapText="1"/>
    </xf>
    <xf numFmtId="0" fontId="8" fillId="0" borderId="3" xfId="17" applyFont="1" applyBorder="1" applyAlignment="1">
      <alignment horizontal="left" vertical="center" wrapText="1"/>
    </xf>
    <xf numFmtId="165" fontId="13" fillId="0" borderId="0" xfId="21" applyFont="1" applyAlignment="1">
      <alignment horizontal="center" vertical="center"/>
    </xf>
    <xf numFmtId="0" fontId="7" fillId="0" borderId="9" xfId="15007" applyNumberFormat="1" applyFont="1" applyBorder="1" applyAlignment="1">
      <alignment horizontal="center" vertical="center"/>
    </xf>
    <xf numFmtId="0" fontId="7" fillId="0" borderId="42" xfId="15007" applyNumberFormat="1" applyFont="1" applyBorder="1" applyAlignment="1">
      <alignment horizontal="center" vertical="center"/>
    </xf>
    <xf numFmtId="0" fontId="7" fillId="0" borderId="43" xfId="15007" applyNumberFormat="1" applyFont="1" applyBorder="1" applyAlignment="1">
      <alignment horizontal="center" vertical="center"/>
    </xf>
    <xf numFmtId="0" fontId="7" fillId="0" borderId="213" xfId="15007" applyNumberFormat="1" applyFont="1" applyBorder="1" applyAlignment="1">
      <alignment horizontal="center" vertical="center" wrapText="1"/>
    </xf>
    <xf numFmtId="0" fontId="7" fillId="0" borderId="214" xfId="15007" applyNumberFormat="1" applyFont="1" applyBorder="1" applyAlignment="1">
      <alignment horizontal="center" vertical="center" wrapText="1"/>
    </xf>
    <xf numFmtId="0" fontId="7" fillId="0" borderId="215" xfId="15007" applyNumberFormat="1" applyFont="1" applyBorder="1" applyAlignment="1">
      <alignment horizontal="center" vertical="center" wrapText="1"/>
    </xf>
    <xf numFmtId="167" fontId="7" fillId="0" borderId="274" xfId="0" applyFont="1" applyBorder="1" applyAlignment="1">
      <alignment horizontal="center" vertical="center"/>
    </xf>
    <xf numFmtId="167" fontId="7" fillId="0" borderId="19" xfId="0" applyFont="1" applyBorder="1" applyAlignment="1">
      <alignment horizontal="center" vertical="center"/>
    </xf>
    <xf numFmtId="167" fontId="7" fillId="0" borderId="9" xfId="0" applyFont="1" applyBorder="1" applyAlignment="1">
      <alignment horizontal="center" vertical="center"/>
    </xf>
    <xf numFmtId="167" fontId="7" fillId="0" borderId="42" xfId="0" applyFont="1" applyBorder="1" applyAlignment="1">
      <alignment horizontal="center" vertical="center"/>
    </xf>
    <xf numFmtId="167" fontId="7" fillId="0" borderId="43" xfId="0" applyFont="1" applyBorder="1" applyAlignment="1">
      <alignment horizontal="center" vertical="center"/>
    </xf>
    <xf numFmtId="167" fontId="8" fillId="0" borderId="213" xfId="0" applyFont="1" applyBorder="1" applyAlignment="1">
      <alignment horizontal="center" vertical="center"/>
    </xf>
    <xf numFmtId="167" fontId="8" fillId="0" borderId="215" xfId="0" applyFont="1" applyBorder="1" applyAlignment="1">
      <alignment horizontal="center" vertical="center"/>
    </xf>
    <xf numFmtId="167" fontId="7" fillId="0" borderId="294" xfId="0" quotePrefix="1" applyFont="1" applyBorder="1" applyAlignment="1">
      <alignment horizontal="center" vertical="center"/>
    </xf>
    <xf numFmtId="167" fontId="7" fillId="0" borderId="293" xfId="0" quotePrefix="1" applyFont="1" applyBorder="1" applyAlignment="1">
      <alignment horizontal="center" vertical="center"/>
    </xf>
    <xf numFmtId="167" fontId="7" fillId="0" borderId="40" xfId="0" quotePrefix="1" applyFont="1" applyBorder="1" applyAlignment="1">
      <alignment horizontal="center" vertical="center"/>
    </xf>
    <xf numFmtId="167" fontId="7" fillId="0" borderId="18" xfId="0" quotePrefix="1" applyFont="1" applyBorder="1" applyAlignment="1">
      <alignment horizontal="center" vertical="center"/>
    </xf>
    <xf numFmtId="167" fontId="7" fillId="0" borderId="30" xfId="0" applyFont="1" applyBorder="1" applyAlignment="1">
      <alignment horizontal="center" vertical="center"/>
    </xf>
    <xf numFmtId="167" fontId="7" fillId="0" borderId="217" xfId="0" applyFont="1" applyBorder="1" applyAlignment="1">
      <alignment horizontal="center" vertical="center"/>
    </xf>
    <xf numFmtId="167" fontId="7" fillId="0" borderId="5" xfId="0" applyFont="1" applyBorder="1" applyAlignment="1">
      <alignment horizontal="center" vertical="center"/>
    </xf>
    <xf numFmtId="167" fontId="7" fillId="0" borderId="273" xfId="0" applyFont="1" applyBorder="1" applyAlignment="1">
      <alignment horizontal="center" vertical="center"/>
    </xf>
    <xf numFmtId="167" fontId="7" fillId="0" borderId="7" xfId="0" applyFont="1" applyBorder="1" applyAlignment="1">
      <alignment horizontal="center" vertical="center"/>
    </xf>
    <xf numFmtId="167" fontId="7" fillId="0" borderId="40" xfId="0" applyFont="1" applyBorder="1" applyAlignment="1">
      <alignment horizontal="center" vertical="center"/>
    </xf>
    <xf numFmtId="167" fontId="7" fillId="0" borderId="59" xfId="0" applyFont="1" applyBorder="1" applyAlignment="1">
      <alignment horizontal="center" vertical="center"/>
    </xf>
    <xf numFmtId="167" fontId="7" fillId="0" borderId="18" xfId="0" applyFont="1" applyBorder="1" applyAlignment="1">
      <alignment horizontal="center" vertical="center"/>
    </xf>
    <xf numFmtId="0" fontId="8" fillId="0" borderId="193" xfId="17" applyFont="1" applyBorder="1" applyAlignment="1">
      <alignment horizontal="left" vertical="center" wrapText="1"/>
    </xf>
    <xf numFmtId="167" fontId="9" fillId="0" borderId="185" xfId="0" applyFont="1" applyBorder="1" applyAlignment="1">
      <alignment horizontal="left" vertical="center" wrapText="1"/>
    </xf>
    <xf numFmtId="0" fontId="8" fillId="0" borderId="138" xfId="17" applyFont="1" applyBorder="1" applyAlignment="1">
      <alignment horizontal="left" vertical="center" wrapText="1"/>
    </xf>
    <xf numFmtId="167" fontId="9" fillId="0" borderId="291" xfId="0" applyFont="1" applyBorder="1" applyAlignment="1">
      <alignment horizontal="left" vertical="center" wrapText="1"/>
    </xf>
    <xf numFmtId="167" fontId="7" fillId="0" borderId="32" xfId="0" applyFont="1" applyBorder="1" applyAlignment="1">
      <alignment horizontal="center" vertical="center" wrapText="1"/>
    </xf>
    <xf numFmtId="167" fontId="7" fillId="0" borderId="218" xfId="0" applyFont="1" applyBorder="1" applyAlignment="1">
      <alignment horizontal="center" vertical="center"/>
    </xf>
    <xf numFmtId="167" fontId="7" fillId="0" borderId="6" xfId="0" applyFont="1" applyBorder="1" applyAlignment="1">
      <alignment horizontal="center" vertical="center" wrapText="1"/>
    </xf>
    <xf numFmtId="167" fontId="7" fillId="0" borderId="6" xfId="0" applyFont="1" applyBorder="1" applyAlignment="1">
      <alignment horizontal="center" vertical="center"/>
    </xf>
    <xf numFmtId="167" fontId="9" fillId="0" borderId="0" xfId="0" applyFont="1" applyAlignment="1">
      <alignment horizontal="left" vertical="center" wrapText="1"/>
    </xf>
    <xf numFmtId="0" fontId="156" fillId="57" borderId="0" xfId="41062" applyNumberFormat="1" applyFont="1" applyFill="1" applyAlignment="1">
      <alignment horizontal="center" vertical="center" wrapText="1"/>
    </xf>
    <xf numFmtId="0" fontId="156" fillId="58" borderId="0" xfId="41062" applyNumberFormat="1" applyFont="1" applyFill="1" applyAlignment="1">
      <alignment horizontal="center" vertical="center" wrapText="1"/>
    </xf>
    <xf numFmtId="0" fontId="156" fillId="43" borderId="0" xfId="41062" applyNumberFormat="1" applyFont="1" applyFill="1" applyAlignment="1">
      <alignment horizontal="center" vertical="center" wrapText="1"/>
    </xf>
    <xf numFmtId="0" fontId="156" fillId="40" borderId="0" xfId="41062" applyNumberFormat="1" applyFont="1" applyFill="1" applyAlignment="1">
      <alignment horizontal="center" vertical="center" wrapText="1"/>
    </xf>
    <xf numFmtId="0" fontId="156" fillId="9" borderId="0" xfId="17" applyFont="1" applyFill="1" applyAlignment="1">
      <alignment horizontal="center" vertical="center" wrapText="1"/>
    </xf>
    <xf numFmtId="0" fontId="156" fillId="36" borderId="0" xfId="41062" applyNumberFormat="1" applyFont="1" applyFill="1" applyAlignment="1">
      <alignment horizontal="center" vertical="center" wrapText="1"/>
    </xf>
    <xf numFmtId="0" fontId="156" fillId="50" borderId="0" xfId="17" applyFont="1" applyFill="1" applyAlignment="1">
      <alignment horizontal="center" vertical="center" wrapText="1"/>
    </xf>
    <xf numFmtId="0" fontId="13" fillId="0" borderId="0" xfId="11593" applyFont="1" applyAlignment="1">
      <alignment horizontal="left" vertical="center" wrapText="1"/>
    </xf>
    <xf numFmtId="0" fontId="13" fillId="8" borderId="10" xfId="0" applyNumberFormat="1" applyFont="1" applyFill="1" applyBorder="1" applyAlignment="1">
      <alignment horizontal="center" vertical="center"/>
    </xf>
    <xf numFmtId="0" fontId="13" fillId="8" borderId="201" xfId="0" applyNumberFormat="1" applyFont="1" applyFill="1" applyBorder="1" applyAlignment="1">
      <alignment horizontal="center" vertical="center"/>
    </xf>
    <xf numFmtId="0" fontId="13" fillId="8" borderId="297" xfId="0" applyNumberFormat="1" applyFont="1" applyFill="1" applyBorder="1" applyAlignment="1">
      <alignment horizontal="center" vertical="center"/>
    </xf>
    <xf numFmtId="0" fontId="13" fillId="8" borderId="295" xfId="0" applyNumberFormat="1" applyFont="1" applyFill="1" applyBorder="1" applyAlignment="1">
      <alignment horizontal="center" vertical="center"/>
    </xf>
    <xf numFmtId="0" fontId="13" fillId="8" borderId="31" xfId="0" applyNumberFormat="1" applyFont="1" applyFill="1" applyBorder="1" applyAlignment="1">
      <alignment horizontal="center" vertical="center"/>
    </xf>
    <xf numFmtId="0" fontId="13" fillId="8" borderId="296" xfId="0" applyNumberFormat="1" applyFont="1" applyFill="1" applyBorder="1" applyAlignment="1">
      <alignment horizontal="center" vertical="center" wrapText="1"/>
    </xf>
    <xf numFmtId="0" fontId="13" fillId="8" borderId="298" xfId="0" applyNumberFormat="1" applyFont="1" applyFill="1" applyBorder="1" applyAlignment="1">
      <alignment horizontal="center" vertical="center" wrapText="1"/>
    </xf>
    <xf numFmtId="0" fontId="96" fillId="0" borderId="0" xfId="11593" applyFont="1" applyAlignment="1">
      <alignment horizontal="center" vertical="center"/>
    </xf>
    <xf numFmtId="0" fontId="14" fillId="34" borderId="10" xfId="0" applyNumberFormat="1" applyFont="1" applyFill="1" applyBorder="1" applyAlignment="1">
      <alignment horizontal="center" vertical="center"/>
    </xf>
    <xf numFmtId="0" fontId="14" fillId="34" borderId="201" xfId="0" applyNumberFormat="1" applyFont="1" applyFill="1" applyBorder="1" applyAlignment="1">
      <alignment horizontal="center" vertical="center"/>
    </xf>
    <xf numFmtId="0" fontId="14" fillId="34" borderId="9" xfId="0" applyNumberFormat="1" applyFont="1" applyFill="1" applyBorder="1" applyAlignment="1">
      <alignment horizontal="center" vertical="center" wrapText="1"/>
    </xf>
    <xf numFmtId="0" fontId="14" fillId="34" borderId="42" xfId="0" applyNumberFormat="1" applyFont="1" applyFill="1" applyBorder="1" applyAlignment="1">
      <alignment horizontal="center" vertical="center" wrapText="1"/>
    </xf>
    <xf numFmtId="0" fontId="14" fillId="34" borderId="43" xfId="0" applyNumberFormat="1" applyFont="1" applyFill="1" applyBorder="1" applyAlignment="1">
      <alignment horizontal="center" vertical="center" wrapText="1"/>
    </xf>
    <xf numFmtId="0" fontId="13" fillId="34" borderId="6" xfId="0" applyNumberFormat="1" applyFont="1" applyFill="1" applyBorder="1" applyAlignment="1">
      <alignment horizontal="center" vertical="center"/>
    </xf>
    <xf numFmtId="0" fontId="13" fillId="34" borderId="253" xfId="0" applyNumberFormat="1" applyFont="1" applyFill="1" applyBorder="1" applyAlignment="1">
      <alignment horizontal="center" vertical="center"/>
    </xf>
    <xf numFmtId="167" fontId="24" fillId="10" borderId="145" xfId="0" applyFont="1" applyFill="1" applyBorder="1" applyAlignment="1">
      <alignment horizontal="center" vertical="center" textRotation="90" wrapText="1"/>
    </xf>
    <xf numFmtId="167" fontId="24" fillId="10" borderId="140" xfId="0" applyFont="1" applyFill="1" applyBorder="1" applyAlignment="1">
      <alignment horizontal="center" vertical="center" textRotation="90" wrapText="1"/>
    </xf>
    <xf numFmtId="167" fontId="24" fillId="10" borderId="141" xfId="0" applyFont="1" applyFill="1" applyBorder="1" applyAlignment="1">
      <alignment horizontal="center" vertical="center" textRotation="90" wrapText="1"/>
    </xf>
    <xf numFmtId="167" fontId="14" fillId="0" borderId="230" xfId="0" applyFont="1" applyBorder="1" applyAlignment="1">
      <alignment horizontal="center" vertical="center" wrapText="1"/>
    </xf>
    <xf numFmtId="167" fontId="14" fillId="0" borderId="108" xfId="0" applyFont="1" applyBorder="1" applyAlignment="1">
      <alignment horizontal="center" vertical="center" wrapText="1"/>
    </xf>
    <xf numFmtId="167" fontId="14" fillId="0" borderId="109" xfId="0" applyFont="1" applyBorder="1" applyAlignment="1">
      <alignment horizontal="center" vertical="center" wrapText="1"/>
    </xf>
    <xf numFmtId="186" fontId="7" fillId="39" borderId="232" xfId="0" applyNumberFormat="1" applyFont="1" applyFill="1" applyBorder="1" applyAlignment="1">
      <alignment horizontal="center" vertical="center" wrapText="1"/>
    </xf>
    <xf numFmtId="186" fontId="8" fillId="9" borderId="232" xfId="0" applyNumberFormat="1" applyFont="1" applyFill="1" applyBorder="1" applyAlignment="1">
      <alignment horizontal="center" vertical="center" wrapText="1"/>
    </xf>
    <xf numFmtId="39" fontId="14" fillId="0" borderId="172" xfId="0" applyNumberFormat="1" applyFont="1" applyBorder="1" applyAlignment="1">
      <alignment horizontal="center" vertical="center" wrapText="1"/>
    </xf>
    <xf numFmtId="39" fontId="14" fillId="0" borderId="249" xfId="0" applyNumberFormat="1" applyFont="1" applyBorder="1" applyAlignment="1">
      <alignment horizontal="center" vertical="center" wrapText="1"/>
    </xf>
    <xf numFmtId="39" fontId="14" fillId="0" borderId="131" xfId="0" applyNumberFormat="1" applyFont="1" applyBorder="1" applyAlignment="1">
      <alignment horizontal="center" vertical="center" wrapText="1"/>
    </xf>
    <xf numFmtId="39" fontId="14" fillId="0" borderId="23" xfId="0" applyNumberFormat="1" applyFont="1" applyBorder="1" applyAlignment="1">
      <alignment horizontal="center" vertical="center" wrapText="1"/>
    </xf>
    <xf numFmtId="39" fontId="14" fillId="0" borderId="129" xfId="0" applyNumberFormat="1" applyFont="1" applyBorder="1" applyAlignment="1">
      <alignment horizontal="center" vertical="center" wrapText="1"/>
    </xf>
    <xf numFmtId="37" fontId="10" fillId="10" borderId="146" xfId="41057" applyNumberFormat="1" applyFont="1" applyFill="1" applyBorder="1" applyAlignment="1" applyProtection="1">
      <alignment horizontal="center" vertical="center" wrapText="1"/>
    </xf>
    <xf numFmtId="37" fontId="10" fillId="10" borderId="265" xfId="41057" applyNumberFormat="1" applyFont="1" applyFill="1" applyBorder="1" applyAlignment="1" applyProtection="1">
      <alignment horizontal="center" vertical="center" wrapText="1"/>
    </xf>
    <xf numFmtId="39" fontId="14" fillId="0" borderId="117" xfId="0" applyNumberFormat="1" applyFont="1" applyBorder="1" applyAlignment="1">
      <alignment horizontal="center" vertical="center" wrapText="1"/>
    </xf>
    <xf numFmtId="39" fontId="14" fillId="0" borderId="246" xfId="0" applyNumberFormat="1" applyFont="1" applyBorder="1" applyAlignment="1">
      <alignment horizontal="center" vertical="center" wrapText="1"/>
    </xf>
    <xf numFmtId="39" fontId="14" fillId="0" borderId="211" xfId="0" applyNumberFormat="1" applyFont="1" applyBorder="1" applyAlignment="1">
      <alignment horizontal="center" vertical="center" wrapText="1"/>
    </xf>
    <xf numFmtId="39" fontId="14" fillId="0" borderId="259" xfId="0" applyNumberFormat="1" applyFont="1" applyBorder="1" applyAlignment="1">
      <alignment horizontal="center" vertical="center" wrapText="1"/>
    </xf>
    <xf numFmtId="39" fontId="14" fillId="0" borderId="108" xfId="0" applyNumberFormat="1" applyFont="1" applyBorder="1" applyAlignment="1">
      <alignment horizontal="center" vertical="center" wrapText="1"/>
    </xf>
    <xf numFmtId="39" fontId="14" fillId="0" borderId="148" xfId="0" applyNumberFormat="1" applyFont="1" applyBorder="1" applyAlignment="1">
      <alignment horizontal="center" vertical="center" wrapText="1"/>
    </xf>
    <xf numFmtId="167" fontId="14" fillId="0" borderId="131" xfId="0" applyFont="1" applyBorder="1" applyAlignment="1">
      <alignment horizontal="center" vertical="center" wrapText="1"/>
    </xf>
    <xf numFmtId="167" fontId="14" fillId="0" borderId="23" xfId="0" applyFont="1" applyBorder="1" applyAlignment="1">
      <alignment horizontal="center" vertical="center" wrapText="1"/>
    </xf>
    <xf numFmtId="167" fontId="14" fillId="0" borderId="129" xfId="0" applyFont="1" applyBorder="1" applyAlignment="1">
      <alignment horizontal="center" vertical="center" wrapText="1"/>
    </xf>
    <xf numFmtId="39" fontId="14" fillId="0" borderId="156" xfId="0" applyNumberFormat="1" applyFont="1" applyBorder="1" applyAlignment="1">
      <alignment horizontal="center" vertical="center" wrapText="1"/>
    </xf>
    <xf numFmtId="39" fontId="14" fillId="0" borderId="230" xfId="0" applyNumberFormat="1" applyFont="1" applyBorder="1" applyAlignment="1">
      <alignment horizontal="center" vertical="center" wrapText="1"/>
    </xf>
    <xf numFmtId="39" fontId="14" fillId="0" borderId="169" xfId="0" applyNumberFormat="1" applyFont="1" applyBorder="1" applyAlignment="1">
      <alignment horizontal="center" vertical="center" wrapText="1"/>
    </xf>
    <xf numFmtId="39" fontId="14" fillId="0" borderId="210" xfId="0" applyNumberFormat="1" applyFont="1" applyBorder="1" applyAlignment="1">
      <alignment horizontal="center" vertical="center" wrapText="1"/>
    </xf>
    <xf numFmtId="39" fontId="14" fillId="0" borderId="278" xfId="0" applyNumberFormat="1" applyFont="1" applyBorder="1" applyAlignment="1">
      <alignment horizontal="center" vertical="center" wrapText="1"/>
    </xf>
    <xf numFmtId="37" fontId="14" fillId="0" borderId="205" xfId="0" applyNumberFormat="1" applyFont="1" applyBorder="1" applyAlignment="1">
      <alignment horizontal="center" vertical="center" wrapText="1"/>
    </xf>
    <xf numFmtId="37" fontId="14" fillId="0" borderId="23" xfId="0" applyNumberFormat="1" applyFont="1" applyBorder="1" applyAlignment="1">
      <alignment horizontal="center" vertical="center" wrapText="1"/>
    </xf>
    <xf numFmtId="37" fontId="14" fillId="0" borderId="25" xfId="0" applyNumberFormat="1" applyFont="1" applyBorder="1" applyAlignment="1">
      <alignment horizontal="center" vertical="center" wrapText="1"/>
    </xf>
    <xf numFmtId="37" fontId="14" fillId="0" borderId="70" xfId="0" applyNumberFormat="1" applyFont="1" applyBorder="1" applyAlignment="1">
      <alignment horizontal="center" vertical="center" wrapText="1"/>
    </xf>
    <xf numFmtId="37" fontId="14" fillId="0" borderId="210" xfId="0" applyNumberFormat="1" applyFont="1" applyBorder="1" applyAlignment="1">
      <alignment horizontal="center" vertical="center" wrapText="1"/>
    </xf>
    <xf numFmtId="39" fontId="14" fillId="0" borderId="70" xfId="0" applyNumberFormat="1" applyFont="1" applyBorder="1" applyAlignment="1">
      <alignment horizontal="center" vertical="center" wrapText="1"/>
    </xf>
    <xf numFmtId="39" fontId="14" fillId="0" borderId="71" xfId="0" applyNumberFormat="1" applyFont="1" applyBorder="1" applyAlignment="1">
      <alignment horizontal="center" vertical="center" wrapText="1"/>
    </xf>
    <xf numFmtId="39" fontId="14" fillId="0" borderId="205" xfId="0" applyNumberFormat="1" applyFont="1" applyBorder="1" applyAlignment="1">
      <alignment horizontal="center" vertical="center" wrapText="1"/>
    </xf>
    <xf numFmtId="39" fontId="14" fillId="0" borderId="25" xfId="0" applyNumberFormat="1" applyFont="1" applyBorder="1" applyAlignment="1">
      <alignment horizontal="center" vertical="center" wrapText="1"/>
    </xf>
    <xf numFmtId="37" fontId="14" fillId="0" borderId="210" xfId="0" applyNumberFormat="1" applyFont="1" applyBorder="1" applyAlignment="1">
      <alignment horizontal="center" vertical="center" textRotation="90" wrapText="1"/>
    </xf>
    <xf numFmtId="37" fontId="14" fillId="0" borderId="278" xfId="0" applyNumberFormat="1" applyFont="1" applyBorder="1" applyAlignment="1">
      <alignment horizontal="center" vertical="center" wrapText="1"/>
    </xf>
    <xf numFmtId="167" fontId="24" fillId="10" borderId="93" xfId="0" applyFont="1" applyFill="1" applyBorder="1" applyAlignment="1">
      <alignment horizontal="center" vertical="center" textRotation="90" wrapText="1"/>
    </xf>
    <xf numFmtId="39" fontId="14" fillId="0" borderId="109" xfId="0" applyNumberFormat="1" applyFont="1" applyBorder="1" applyAlignment="1">
      <alignment horizontal="center" vertical="center" wrapText="1"/>
    </xf>
    <xf numFmtId="39" fontId="14" fillId="0" borderId="29" xfId="0" applyNumberFormat="1" applyFont="1" applyBorder="1" applyAlignment="1">
      <alignment horizontal="center" vertical="center" wrapText="1"/>
    </xf>
    <xf numFmtId="39" fontId="10" fillId="10" borderId="33" xfId="41057" applyNumberFormat="1" applyFont="1" applyFill="1" applyBorder="1" applyAlignment="1" applyProtection="1">
      <alignment horizontal="center" vertical="center" wrapText="1"/>
    </xf>
    <xf numFmtId="39" fontId="10" fillId="10" borderId="34" xfId="41057" applyNumberFormat="1" applyFont="1" applyFill="1" applyBorder="1" applyAlignment="1" applyProtection="1">
      <alignment horizontal="center" vertical="center" wrapText="1"/>
    </xf>
    <xf numFmtId="39" fontId="14" fillId="0" borderId="113" xfId="0" applyNumberFormat="1" applyFont="1" applyBorder="1" applyAlignment="1">
      <alignment horizontal="center" vertical="center" wrapText="1"/>
    </xf>
    <xf numFmtId="39" fontId="14" fillId="0" borderId="207" xfId="0" applyNumberFormat="1" applyFont="1" applyBorder="1" applyAlignment="1">
      <alignment horizontal="center" vertical="center" wrapText="1"/>
    </xf>
    <xf numFmtId="39" fontId="14" fillId="0" borderId="208" xfId="0" applyNumberFormat="1" applyFont="1" applyBorder="1" applyAlignment="1">
      <alignment horizontal="center" vertical="center" wrapText="1"/>
    </xf>
    <xf numFmtId="39" fontId="14" fillId="0" borderId="229" xfId="0" applyNumberFormat="1" applyFont="1" applyBorder="1" applyAlignment="1">
      <alignment horizontal="center" vertical="center" wrapText="1"/>
    </xf>
    <xf numFmtId="37" fontId="14" fillId="0" borderId="228" xfId="0" applyNumberFormat="1" applyFont="1" applyBorder="1" applyAlignment="1">
      <alignment horizontal="center" vertical="center" wrapText="1"/>
    </xf>
    <xf numFmtId="37" fontId="14" fillId="0" borderId="207" xfId="0" applyNumberFormat="1" applyFont="1" applyBorder="1" applyAlignment="1">
      <alignment horizontal="center" vertical="center" wrapText="1"/>
    </xf>
    <xf numFmtId="37" fontId="14" fillId="0" borderId="229" xfId="0" applyNumberFormat="1" applyFont="1" applyBorder="1" applyAlignment="1">
      <alignment horizontal="center" vertical="center" wrapText="1"/>
    </xf>
    <xf numFmtId="39" fontId="14" fillId="0" borderId="186" xfId="0" applyNumberFormat="1" applyFont="1" applyBorder="1" applyAlignment="1">
      <alignment horizontal="center" vertical="center" wrapText="1"/>
    </xf>
    <xf numFmtId="39" fontId="14" fillId="0" borderId="250" xfId="0" applyNumberFormat="1" applyFont="1" applyBorder="1" applyAlignment="1">
      <alignment horizontal="center" vertical="center" wrapText="1"/>
    </xf>
    <xf numFmtId="39" fontId="14" fillId="0" borderId="155" xfId="0" applyNumberFormat="1" applyFont="1" applyBorder="1" applyAlignment="1">
      <alignment horizontal="center" vertical="center" wrapText="1"/>
    </xf>
    <xf numFmtId="39" fontId="14" fillId="0" borderId="153" xfId="0" applyNumberFormat="1" applyFont="1" applyBorder="1" applyAlignment="1">
      <alignment horizontal="center" vertical="center" wrapText="1"/>
    </xf>
    <xf numFmtId="39" fontId="14" fillId="0" borderId="275" xfId="0" applyNumberFormat="1" applyFont="1" applyBorder="1" applyAlignment="1">
      <alignment horizontal="center" vertical="center" wrapText="1"/>
    </xf>
    <xf numFmtId="39" fontId="14" fillId="0" borderId="244" xfId="0" applyNumberFormat="1" applyFont="1" applyBorder="1" applyAlignment="1">
      <alignment horizontal="center" vertical="center" wrapText="1"/>
    </xf>
    <xf numFmtId="37" fontId="14" fillId="0" borderId="156" xfId="0" applyNumberFormat="1" applyFont="1" applyBorder="1" applyAlignment="1">
      <alignment horizontal="center" vertical="center" wrapText="1"/>
    </xf>
    <xf numFmtId="37" fontId="14" fillId="0" borderId="108" xfId="0" applyNumberFormat="1" applyFont="1" applyBorder="1" applyAlignment="1">
      <alignment horizontal="center" vertical="center" wrapText="1"/>
    </xf>
    <xf numFmtId="37" fontId="14" fillId="0" borderId="148" xfId="0" applyNumberFormat="1" applyFont="1" applyBorder="1" applyAlignment="1">
      <alignment horizontal="center" vertical="center" wrapText="1"/>
    </xf>
    <xf numFmtId="39" fontId="14" fillId="0" borderId="3" xfId="0" applyNumberFormat="1" applyFont="1" applyBorder="1" applyAlignment="1">
      <alignment horizontal="center" vertical="center" wrapText="1"/>
    </xf>
    <xf numFmtId="39" fontId="14" fillId="0" borderId="241" xfId="0" applyNumberFormat="1" applyFont="1" applyBorder="1" applyAlignment="1">
      <alignment horizontal="center" vertical="center" wrapText="1"/>
    </xf>
    <xf numFmtId="39" fontId="14" fillId="0" borderId="35" xfId="0" applyNumberFormat="1" applyFont="1" applyBorder="1" applyAlignment="1">
      <alignment horizontal="center" vertical="center" wrapText="1"/>
    </xf>
    <xf numFmtId="39" fontId="14" fillId="0" borderId="227" xfId="0" applyNumberFormat="1" applyFont="1" applyBorder="1" applyAlignment="1">
      <alignment horizontal="center" vertical="center" wrapText="1"/>
    </xf>
    <xf numFmtId="39" fontId="14" fillId="0" borderId="160" xfId="0" applyNumberFormat="1" applyFont="1" applyBorder="1" applyAlignment="1">
      <alignment horizontal="center" vertical="center" wrapText="1"/>
    </xf>
    <xf numFmtId="37" fontId="14" fillId="0" borderId="18" xfId="0" applyNumberFormat="1" applyFont="1" applyBorder="1" applyAlignment="1">
      <alignment horizontal="center" vertical="center" wrapText="1"/>
    </xf>
    <xf numFmtId="37" fontId="14" fillId="0" borderId="247" xfId="0" applyNumberFormat="1" applyFont="1" applyBorder="1" applyAlignment="1">
      <alignment horizontal="center" vertical="center" wrapText="1"/>
    </xf>
    <xf numFmtId="37" fontId="14" fillId="0" borderId="160" xfId="0" applyNumberFormat="1" applyFont="1" applyBorder="1" applyAlignment="1">
      <alignment horizontal="center" vertical="center" wrapText="1"/>
    </xf>
    <xf numFmtId="37" fontId="14" fillId="0" borderId="90" xfId="0" applyNumberFormat="1" applyFont="1" applyBorder="1" applyAlignment="1">
      <alignment horizontal="center" vertical="center" wrapText="1"/>
    </xf>
    <xf numFmtId="37" fontId="14" fillId="0" borderId="181" xfId="0" applyNumberFormat="1" applyFont="1" applyBorder="1" applyAlignment="1">
      <alignment horizontal="center" vertical="center" wrapText="1"/>
    </xf>
    <xf numFmtId="37" fontId="14" fillId="0" borderId="249" xfId="0" applyNumberFormat="1" applyFont="1" applyBorder="1" applyAlignment="1">
      <alignment horizontal="center" vertical="center" wrapText="1"/>
    </xf>
    <xf numFmtId="183" fontId="14" fillId="0" borderId="172" xfId="0" applyNumberFormat="1" applyFont="1" applyBorder="1" applyAlignment="1">
      <alignment horizontal="center" vertical="center" wrapText="1"/>
    </xf>
    <xf numFmtId="183" fontId="14" fillId="0" borderId="3" xfId="0" applyNumberFormat="1" applyFont="1" applyBorder="1" applyAlignment="1">
      <alignment horizontal="center" vertical="center" wrapText="1"/>
    </xf>
    <xf numFmtId="183" fontId="14" fillId="0" borderId="25" xfId="0" applyNumberFormat="1" applyFont="1" applyBorder="1" applyAlignment="1">
      <alignment horizontal="center" vertical="center" wrapText="1"/>
    </xf>
    <xf numFmtId="183" fontId="14" fillId="0" borderId="129" xfId="0" applyNumberFormat="1" applyFont="1" applyBorder="1" applyAlignment="1">
      <alignment horizontal="center" vertical="center" wrapText="1"/>
    </xf>
    <xf numFmtId="183" fontId="14" fillId="0" borderId="167" xfId="0" applyNumberFormat="1" applyFont="1" applyBorder="1" applyAlignment="1">
      <alignment horizontal="center" vertical="center" wrapText="1"/>
    </xf>
    <xf numFmtId="183" fontId="14" fillId="0" borderId="127" xfId="0" applyNumberFormat="1" applyFont="1" applyBorder="1" applyAlignment="1">
      <alignment horizontal="center" vertical="center" wrapText="1"/>
    </xf>
    <xf numFmtId="183" fontId="14" fillId="0" borderId="178" xfId="0" applyNumberFormat="1" applyFont="1" applyBorder="1" applyAlignment="1">
      <alignment horizontal="center" vertical="center" wrapText="1"/>
    </xf>
    <xf numFmtId="183" fontId="14" fillId="0" borderId="0" xfId="0" applyNumberFormat="1" applyFont="1" applyAlignment="1">
      <alignment horizontal="center" vertical="center" wrapText="1"/>
    </xf>
    <xf numFmtId="183" fontId="14" fillId="0" borderId="118" xfId="0" applyNumberFormat="1" applyFont="1" applyBorder="1" applyAlignment="1">
      <alignment horizontal="center" vertical="center" wrapText="1"/>
    </xf>
    <xf numFmtId="39" fontId="14" fillId="0" borderId="251" xfId="0" applyNumberFormat="1" applyFont="1" applyBorder="1" applyAlignment="1">
      <alignment horizontal="center" vertical="center" wrapText="1"/>
    </xf>
    <xf numFmtId="183" fontId="14" fillId="0" borderId="131" xfId="0" applyNumberFormat="1" applyFont="1" applyBorder="1" applyAlignment="1">
      <alignment horizontal="center" vertical="center" wrapText="1"/>
    </xf>
    <xf numFmtId="183" fontId="14" fillId="0" borderId="23" xfId="0" applyNumberFormat="1" applyFont="1" applyBorder="1" applyAlignment="1">
      <alignment horizontal="center" vertical="center" wrapText="1"/>
    </xf>
    <xf numFmtId="183" fontId="14" fillId="0" borderId="131" xfId="0" applyNumberFormat="1" applyFont="1" applyBorder="1" applyAlignment="1">
      <alignment horizontal="center" vertical="center" textRotation="90" wrapText="1"/>
    </xf>
    <xf numFmtId="183" fontId="14" fillId="0" borderId="23" xfId="0" applyNumberFormat="1" applyFont="1" applyBorder="1" applyAlignment="1">
      <alignment horizontal="center" vertical="center" textRotation="90" wrapText="1"/>
    </xf>
    <xf numFmtId="183" fontId="14" fillId="0" borderId="129" xfId="0" applyNumberFormat="1" applyFont="1" applyBorder="1" applyAlignment="1">
      <alignment horizontal="center" vertical="center" textRotation="90" wrapText="1"/>
    </xf>
    <xf numFmtId="183" fontId="14" fillId="0" borderId="155" xfId="0" applyNumberFormat="1" applyFont="1" applyBorder="1" applyAlignment="1">
      <alignment horizontal="center" vertical="center" wrapText="1"/>
    </xf>
    <xf numFmtId="183" fontId="14" fillId="0" borderId="210" xfId="0" applyNumberFormat="1" applyFont="1" applyBorder="1" applyAlignment="1">
      <alignment horizontal="center" vertical="center" wrapText="1"/>
    </xf>
    <xf numFmtId="183" fontId="14" fillId="0" borderId="205" xfId="0" applyNumberFormat="1" applyFont="1" applyBorder="1" applyAlignment="1">
      <alignment horizontal="center" vertical="center" wrapText="1"/>
    </xf>
    <xf numFmtId="183" fontId="14" fillId="0" borderId="153" xfId="0" applyNumberFormat="1" applyFont="1" applyBorder="1" applyAlignment="1">
      <alignment horizontal="center" vertical="center" wrapText="1"/>
    </xf>
    <xf numFmtId="183" fontId="14" fillId="0" borderId="176" xfId="0" applyNumberFormat="1" applyFont="1" applyBorder="1" applyAlignment="1">
      <alignment horizontal="center" vertical="center" wrapText="1"/>
    </xf>
    <xf numFmtId="183" fontId="14" fillId="0" borderId="259" xfId="0" applyNumberFormat="1" applyFont="1" applyBorder="1" applyAlignment="1">
      <alignment horizontal="center" vertical="center" wrapText="1"/>
    </xf>
    <xf numFmtId="183" fontId="27" fillId="0" borderId="131" xfId="0" applyNumberFormat="1" applyFont="1" applyBorder="1" applyAlignment="1">
      <alignment horizontal="center" vertical="center" textRotation="90" wrapText="1"/>
    </xf>
    <xf numFmtId="183" fontId="27" fillId="0" borderId="23" xfId="0" applyNumberFormat="1" applyFont="1" applyBorder="1" applyAlignment="1">
      <alignment horizontal="center" vertical="center" textRotation="90" wrapText="1"/>
    </xf>
    <xf numFmtId="183" fontId="27" fillId="0" borderId="129" xfId="0" applyNumberFormat="1" applyFont="1" applyBorder="1" applyAlignment="1">
      <alignment horizontal="center" vertical="center" textRotation="90" wrapText="1"/>
    </xf>
    <xf numFmtId="183" fontId="14" fillId="0" borderId="12" xfId="0" applyNumberFormat="1" applyFont="1" applyBorder="1" applyAlignment="1">
      <alignment horizontal="center" vertical="center" wrapText="1"/>
    </xf>
    <xf numFmtId="183" fontId="14" fillId="0" borderId="81" xfId="0" applyNumberFormat="1" applyFont="1" applyBorder="1" applyAlignment="1">
      <alignment horizontal="center" vertical="center" wrapText="1"/>
    </xf>
    <xf numFmtId="183" fontId="14" fillId="0" borderId="14" xfId="0" applyNumberFormat="1" applyFont="1" applyBorder="1" applyAlignment="1">
      <alignment horizontal="center" vertical="center" wrapText="1"/>
    </xf>
    <xf numFmtId="167" fontId="14" fillId="0" borderId="205" xfId="0" applyFont="1" applyBorder="1" applyAlignment="1">
      <alignment horizontal="center" vertical="center" wrapText="1"/>
    </xf>
    <xf numFmtId="37" fontId="153" fillId="0" borderId="131" xfId="0" applyNumberFormat="1" applyFont="1" applyBorder="1" applyAlignment="1">
      <alignment horizontal="center" vertical="center" wrapText="1"/>
    </xf>
    <xf numFmtId="37" fontId="153" fillId="0" borderId="129" xfId="0" applyNumberFormat="1" applyFont="1" applyBorder="1" applyAlignment="1">
      <alignment horizontal="center" vertical="center" wrapText="1"/>
    </xf>
    <xf numFmtId="37" fontId="14" fillId="0" borderId="211" xfId="0" applyNumberFormat="1" applyFont="1" applyBorder="1" applyAlignment="1">
      <alignment horizontal="center" vertical="center" wrapText="1"/>
    </xf>
    <xf numFmtId="37" fontId="14" fillId="0" borderId="259" xfId="0" applyNumberFormat="1" applyFont="1" applyBorder="1" applyAlignment="1">
      <alignment horizontal="center" vertical="center" wrapText="1"/>
    </xf>
    <xf numFmtId="37" fontId="14" fillId="0" borderId="131" xfId="0" applyNumberFormat="1" applyFont="1" applyBorder="1" applyAlignment="1">
      <alignment horizontal="center" vertical="center" wrapText="1"/>
    </xf>
    <xf numFmtId="39" fontId="14" fillId="0" borderId="224" xfId="0" applyNumberFormat="1" applyFont="1" applyBorder="1" applyAlignment="1">
      <alignment horizontal="center" vertical="center" wrapText="1"/>
    </xf>
    <xf numFmtId="39" fontId="14" fillId="0" borderId="152" xfId="0" applyNumberFormat="1" applyFont="1" applyBorder="1" applyAlignment="1">
      <alignment horizontal="center" vertical="center" wrapText="1"/>
    </xf>
    <xf numFmtId="37" fontId="14" fillId="0" borderId="114" xfId="0" applyNumberFormat="1" applyFont="1" applyBorder="1" applyAlignment="1">
      <alignment horizontal="center" vertical="center" wrapText="1"/>
    </xf>
    <xf numFmtId="37" fontId="14" fillId="0" borderId="155" xfId="0" applyNumberFormat="1" applyFont="1" applyBorder="1" applyAlignment="1">
      <alignment horizontal="center" vertical="center" wrapText="1"/>
    </xf>
    <xf numFmtId="37" fontId="14" fillId="0" borderId="168" xfId="0" applyNumberFormat="1" applyFont="1" applyBorder="1" applyAlignment="1">
      <alignment horizontal="center" vertical="center" wrapText="1"/>
    </xf>
    <xf numFmtId="37" fontId="14" fillId="0" borderId="172" xfId="0" applyNumberFormat="1" applyFont="1" applyBorder="1" applyAlignment="1">
      <alignment horizontal="center" vertical="center" wrapText="1"/>
    </xf>
    <xf numFmtId="37" fontId="14" fillId="0" borderId="129" xfId="0" applyNumberFormat="1" applyFont="1" applyBorder="1" applyAlignment="1">
      <alignment horizontal="center" vertical="center" wrapText="1"/>
    </xf>
    <xf numFmtId="37" fontId="14" fillId="0" borderId="131" xfId="0" applyNumberFormat="1" applyFont="1" applyBorder="1" applyAlignment="1">
      <alignment horizontal="center" vertical="center" textRotation="90" wrapText="1"/>
    </xf>
    <xf numFmtId="37" fontId="14" fillId="0" borderId="23" xfId="0" applyNumberFormat="1" applyFont="1" applyBorder="1" applyAlignment="1">
      <alignment horizontal="center" vertical="center" textRotation="90" wrapText="1"/>
    </xf>
    <xf numFmtId="37" fontId="14" fillId="0" borderId="129" xfId="0" applyNumberFormat="1" applyFont="1" applyBorder="1" applyAlignment="1">
      <alignment horizontal="center" vertical="center" textRotation="90" wrapText="1"/>
    </xf>
    <xf numFmtId="167" fontId="24" fillId="10" borderId="108" xfId="0" applyFont="1" applyFill="1" applyBorder="1" applyAlignment="1">
      <alignment horizontal="center" vertical="center" textRotation="90" wrapText="1"/>
    </xf>
    <xf numFmtId="167" fontId="24" fillId="10" borderId="147" xfId="0" applyFont="1" applyFill="1" applyBorder="1" applyAlignment="1">
      <alignment horizontal="center" vertical="center" textRotation="90" wrapText="1"/>
    </xf>
    <xf numFmtId="37" fontId="14" fillId="0" borderId="20" xfId="0" applyNumberFormat="1" applyFont="1" applyBorder="1" applyAlignment="1">
      <alignment horizontal="center" vertical="center" wrapText="1"/>
    </xf>
    <xf numFmtId="37" fontId="14" fillId="0" borderId="242" xfId="0" applyNumberFormat="1" applyFont="1" applyBorder="1" applyAlignment="1">
      <alignment horizontal="center" vertical="center" wrapText="1"/>
    </xf>
    <xf numFmtId="39" fontId="14" fillId="8" borderId="105" xfId="0" applyNumberFormat="1" applyFont="1" applyFill="1" applyBorder="1" applyAlignment="1">
      <alignment horizontal="center" vertical="center" wrapText="1"/>
    </xf>
    <xf numFmtId="39" fontId="14" fillId="8" borderId="2" xfId="0" applyNumberFormat="1" applyFont="1" applyFill="1" applyBorder="1" applyAlignment="1">
      <alignment horizontal="center" vertical="center" wrapText="1"/>
    </xf>
    <xf numFmtId="195" fontId="14" fillId="8" borderId="111" xfId="0" applyNumberFormat="1" applyFont="1" applyFill="1" applyBorder="1" applyAlignment="1">
      <alignment horizontal="center" vertical="center" wrapText="1"/>
    </xf>
    <xf numFmtId="195" fontId="14" fillId="8" borderId="226" xfId="0" applyNumberFormat="1" applyFont="1" applyFill="1" applyBorder="1" applyAlignment="1">
      <alignment horizontal="center" vertical="center" wrapText="1"/>
    </xf>
    <xf numFmtId="195" fontId="14" fillId="8" borderId="227" xfId="0" applyNumberFormat="1" applyFont="1" applyFill="1" applyBorder="1" applyAlignment="1">
      <alignment horizontal="center" vertical="center" wrapText="1"/>
    </xf>
    <xf numFmtId="39" fontId="14" fillId="8" borderId="19" xfId="0" applyNumberFormat="1" applyFont="1" applyFill="1" applyBorder="1" applyAlignment="1">
      <alignment horizontal="center" vertical="center" wrapText="1"/>
    </xf>
    <xf numFmtId="39" fontId="14" fillId="0" borderId="111" xfId="0" applyNumberFormat="1" applyFont="1" applyBorder="1" applyAlignment="1">
      <alignment horizontal="center" vertical="center" wrapText="1"/>
    </xf>
    <xf numFmtId="39" fontId="14" fillId="0" borderId="196" xfId="0" applyNumberFormat="1" applyFont="1" applyBorder="1" applyAlignment="1">
      <alignment horizontal="center" vertical="center" wrapText="1"/>
    </xf>
    <xf numFmtId="39" fontId="14" fillId="0" borderId="154" xfId="0" applyNumberFormat="1" applyFont="1" applyBorder="1" applyAlignment="1">
      <alignment horizontal="center" vertical="center" wrapText="1"/>
    </xf>
    <xf numFmtId="39" fontId="14" fillId="0" borderId="199" xfId="0" applyNumberFormat="1" applyFont="1" applyBorder="1" applyAlignment="1">
      <alignment horizontal="center" vertical="center" wrapText="1"/>
    </xf>
    <xf numFmtId="39" fontId="14" fillId="0" borderId="105" xfId="0" applyNumberFormat="1" applyFont="1" applyBorder="1" applyAlignment="1">
      <alignment horizontal="center" vertical="center" wrapText="1"/>
    </xf>
    <xf numFmtId="39" fontId="14" fillId="0" borderId="2" xfId="0" applyNumberFormat="1" applyFont="1" applyBorder="1" applyAlignment="1">
      <alignment horizontal="center" vertical="center" wrapText="1"/>
    </xf>
    <xf numFmtId="39" fontId="14" fillId="0" borderId="19" xfId="0" applyNumberFormat="1" applyFont="1" applyBorder="1" applyAlignment="1">
      <alignment horizontal="center" vertical="center" wrapText="1"/>
    </xf>
    <xf numFmtId="39" fontId="14" fillId="0" borderId="75" xfId="0" applyNumberFormat="1" applyFont="1" applyBorder="1" applyAlignment="1">
      <alignment horizontal="center" vertical="center" wrapText="1"/>
    </xf>
    <xf numFmtId="39" fontId="14" fillId="0" borderId="80" xfId="0" applyNumberFormat="1" applyFont="1" applyBorder="1" applyAlignment="1">
      <alignment horizontal="center" vertical="center" wrapText="1"/>
    </xf>
    <xf numFmtId="39" fontId="14" fillId="0" borderId="13" xfId="0" applyNumberFormat="1" applyFont="1" applyBorder="1" applyAlignment="1">
      <alignment horizontal="center" vertical="center" wrapText="1"/>
    </xf>
    <xf numFmtId="39" fontId="14" fillId="0" borderId="288" xfId="0" applyNumberFormat="1" applyFont="1" applyBorder="1" applyAlignment="1">
      <alignment horizontal="center" vertical="center" wrapText="1"/>
    </xf>
    <xf numFmtId="39" fontId="14" fillId="0" borderId="16" xfId="0" applyNumberFormat="1" applyFont="1" applyBorder="1" applyAlignment="1">
      <alignment horizontal="center" vertical="center" wrapText="1"/>
    </xf>
    <xf numFmtId="37" fontId="10" fillId="10" borderId="183" xfId="41057" applyNumberFormat="1" applyFont="1" applyFill="1" applyBorder="1" applyAlignment="1" applyProtection="1">
      <alignment horizontal="center" vertical="center" wrapText="1"/>
    </xf>
    <xf numFmtId="39" fontId="14" fillId="0" borderId="264" xfId="0" applyNumberFormat="1" applyFont="1" applyBorder="1" applyAlignment="1">
      <alignment horizontal="center" vertical="center" wrapText="1"/>
    </xf>
    <xf numFmtId="39" fontId="14" fillId="0" borderId="21" xfId="0" applyNumberFormat="1" applyFont="1" applyBorder="1" applyAlignment="1">
      <alignment horizontal="center" vertical="center" wrapText="1"/>
    </xf>
    <xf numFmtId="39" fontId="14" fillId="0" borderId="167" xfId="0" applyNumberFormat="1" applyFont="1" applyBorder="1" applyAlignment="1">
      <alignment horizontal="center" vertical="center" wrapText="1"/>
    </xf>
    <xf numFmtId="167" fontId="17" fillId="0" borderId="3" xfId="0" applyFont="1" applyBorder="1" applyAlignment="1">
      <alignment horizontal="center" vertical="center" wrapText="1"/>
    </xf>
    <xf numFmtId="167" fontId="17" fillId="0" borderId="127" xfId="0" applyFont="1" applyBorder="1" applyAlignment="1">
      <alignment horizontal="center" vertical="center" wrapText="1"/>
    </xf>
    <xf numFmtId="37" fontId="14" fillId="0" borderId="35" xfId="0" applyNumberFormat="1" applyFont="1" applyBorder="1" applyAlignment="1">
      <alignment horizontal="center" vertical="center" wrapText="1"/>
    </xf>
    <xf numFmtId="37" fontId="14" fillId="0" borderId="227" xfId="0" applyNumberFormat="1" applyFont="1" applyBorder="1" applyAlignment="1">
      <alignment horizontal="center" vertical="center" wrapText="1"/>
    </xf>
    <xf numFmtId="37" fontId="14" fillId="0" borderId="178" xfId="0" applyNumberFormat="1" applyFont="1" applyBorder="1" applyAlignment="1">
      <alignment horizontal="center" vertical="center" wrapText="1"/>
    </xf>
    <xf numFmtId="37" fontId="14" fillId="0" borderId="118" xfId="0" applyNumberFormat="1" applyFont="1" applyBorder="1" applyAlignment="1">
      <alignment horizontal="center" vertical="center" wrapText="1"/>
    </xf>
    <xf numFmtId="167" fontId="24" fillId="10" borderId="260" xfId="0" applyFont="1" applyFill="1" applyBorder="1" applyAlignment="1">
      <alignment horizontal="center" vertical="center" textRotation="90" wrapText="1"/>
    </xf>
    <xf numFmtId="39" fontId="14" fillId="0" borderId="255" xfId="0" applyNumberFormat="1" applyFont="1" applyBorder="1" applyAlignment="1">
      <alignment horizontal="center" vertical="center" wrapText="1"/>
    </xf>
    <xf numFmtId="39" fontId="14" fillId="0" borderId="283" xfId="0" applyNumberFormat="1" applyFont="1" applyBorder="1" applyAlignment="1">
      <alignment horizontal="center" vertical="center" wrapText="1"/>
    </xf>
    <xf numFmtId="39" fontId="14" fillId="0" borderId="79" xfId="0" applyNumberFormat="1" applyFont="1" applyBorder="1" applyAlignment="1">
      <alignment horizontal="center" vertical="center" wrapText="1"/>
    </xf>
    <xf numFmtId="39" fontId="14" fillId="0" borderId="192" xfId="0" applyNumberFormat="1" applyFont="1" applyBorder="1" applyAlignment="1">
      <alignment horizontal="center" vertical="center" wrapText="1"/>
    </xf>
    <xf numFmtId="39" fontId="14" fillId="0" borderId="127" xfId="0" applyNumberFormat="1" applyFont="1" applyBorder="1" applyAlignment="1">
      <alignment horizontal="center" vertical="center" wrapText="1"/>
    </xf>
    <xf numFmtId="39" fontId="14" fillId="0" borderId="308" xfId="0" applyNumberFormat="1" applyFont="1" applyBorder="1" applyAlignment="1">
      <alignment horizontal="center" vertical="center" wrapText="1"/>
    </xf>
    <xf numFmtId="39" fontId="13" fillId="10" borderId="176" xfId="0" applyNumberFormat="1" applyFont="1" applyFill="1" applyBorder="1" applyAlignment="1">
      <alignment horizontal="center" vertical="center" wrapText="1"/>
    </xf>
    <xf numFmtId="39" fontId="14" fillId="0" borderId="178" xfId="0" applyNumberFormat="1" applyFont="1" applyBorder="1" applyAlignment="1">
      <alignment horizontal="center" vertical="center" wrapText="1"/>
    </xf>
    <xf numFmtId="39" fontId="14" fillId="0" borderId="212" xfId="0" applyNumberFormat="1" applyFont="1" applyBorder="1" applyAlignment="1">
      <alignment horizontal="center" vertical="center" wrapText="1"/>
    </xf>
    <xf numFmtId="39" fontId="14" fillId="0" borderId="176" xfId="0" applyNumberFormat="1" applyFont="1" applyBorder="1" applyAlignment="1">
      <alignment horizontal="center" vertical="center" wrapText="1"/>
    </xf>
    <xf numFmtId="37" fontId="14" fillId="0" borderId="176" xfId="0" applyNumberFormat="1" applyFont="1" applyBorder="1" applyAlignment="1">
      <alignment horizontal="center" vertical="center" wrapText="1"/>
    </xf>
    <xf numFmtId="39" fontId="14" fillId="0" borderId="0" xfId="0" applyNumberFormat="1" applyFont="1" applyAlignment="1">
      <alignment horizontal="center" vertical="center" wrapText="1"/>
    </xf>
    <xf numFmtId="39" fontId="14" fillId="0" borderId="118" xfId="0" applyNumberFormat="1" applyFont="1" applyBorder="1" applyAlignment="1">
      <alignment horizontal="center" vertical="center" wrapText="1"/>
    </xf>
    <xf numFmtId="37" fontId="14" fillId="0" borderId="0" xfId="0" applyNumberFormat="1" applyFont="1" applyAlignment="1">
      <alignment horizontal="center" vertical="center" wrapText="1"/>
    </xf>
    <xf numFmtId="167" fontId="14" fillId="0" borderId="167" xfId="0" applyFont="1" applyBorder="1" applyAlignment="1">
      <alignment horizontal="center" vertical="center" wrapText="1"/>
    </xf>
    <xf numFmtId="167" fontId="14" fillId="0" borderId="127" xfId="0" applyFont="1" applyBorder="1" applyAlignment="1">
      <alignment horizontal="center" vertical="center" wrapText="1"/>
    </xf>
    <xf numFmtId="167" fontId="14" fillId="0" borderId="3" xfId="0" applyFont="1" applyBorder="1" applyAlignment="1">
      <alignment horizontal="center" vertical="center" wrapText="1"/>
    </xf>
    <xf numFmtId="185" fontId="14" fillId="0" borderId="167" xfId="0" applyNumberFormat="1" applyFont="1" applyBorder="1" applyAlignment="1">
      <alignment horizontal="center" vertical="center" wrapText="1"/>
    </xf>
    <xf numFmtId="185" fontId="14" fillId="0" borderId="3" xfId="0" applyNumberFormat="1" applyFont="1" applyBorder="1" applyAlignment="1">
      <alignment horizontal="center" vertical="center" wrapText="1"/>
    </xf>
    <xf numFmtId="185" fontId="14" fillId="0" borderId="127" xfId="0" applyNumberFormat="1" applyFont="1" applyBorder="1" applyAlignment="1">
      <alignment horizontal="center" vertical="center" wrapText="1"/>
    </xf>
    <xf numFmtId="183" fontId="14" fillId="0" borderId="18" xfId="0" applyNumberFormat="1" applyFont="1" applyBorder="1" applyAlignment="1">
      <alignment horizontal="center" vertical="center" wrapText="1"/>
    </xf>
    <xf numFmtId="183" fontId="14" fillId="0" borderId="227" xfId="0" applyNumberFormat="1" applyFont="1" applyBorder="1" applyAlignment="1">
      <alignment horizontal="center" vertical="center" wrapText="1"/>
    </xf>
    <xf numFmtId="183" fontId="14" fillId="0" borderId="160" xfId="0" applyNumberFormat="1" applyFont="1" applyBorder="1" applyAlignment="1">
      <alignment horizontal="center" vertical="center" wrapText="1"/>
    </xf>
    <xf numFmtId="185" fontId="14" fillId="0" borderId="131" xfId="0" applyNumberFormat="1" applyFont="1" applyBorder="1" applyAlignment="1">
      <alignment horizontal="center" vertical="center" wrapText="1"/>
    </xf>
    <xf numFmtId="185" fontId="14" fillId="0" borderId="23" xfId="0" applyNumberFormat="1" applyFont="1" applyBorder="1" applyAlignment="1">
      <alignment horizontal="center" vertical="center" wrapText="1"/>
    </xf>
    <xf numFmtId="185" fontId="14" fillId="0" borderId="129" xfId="0" applyNumberFormat="1" applyFont="1" applyBorder="1" applyAlignment="1">
      <alignment horizontal="center" vertical="center" wrapText="1"/>
    </xf>
    <xf numFmtId="37" fontId="84" fillId="10" borderId="146" xfId="41057" applyNumberFormat="1" applyFont="1" applyFill="1" applyBorder="1" applyAlignment="1" applyProtection="1">
      <alignment horizontal="center" vertical="center" wrapText="1"/>
    </xf>
    <xf numFmtId="37" fontId="84" fillId="10" borderId="265" xfId="41057" applyNumberFormat="1" applyFont="1" applyFill="1" applyBorder="1" applyAlignment="1" applyProtection="1">
      <alignment horizontal="center" vertical="center" wrapText="1"/>
    </xf>
    <xf numFmtId="167" fontId="107" fillId="10" borderId="108" xfId="0" applyFont="1" applyFill="1" applyBorder="1" applyAlignment="1">
      <alignment horizontal="center" vertical="center" textRotation="90" wrapText="1"/>
    </xf>
    <xf numFmtId="167" fontId="107" fillId="10" borderId="141" xfId="0" applyFont="1" applyFill="1" applyBorder="1" applyAlignment="1">
      <alignment horizontal="center" vertical="center" textRotation="90" wrapText="1"/>
    </xf>
    <xf numFmtId="167" fontId="14" fillId="0" borderId="276" xfId="0" applyFont="1" applyBorder="1" applyAlignment="1">
      <alignment horizontal="center" vertical="center" wrapText="1"/>
    </xf>
    <xf numFmtId="167" fontId="109" fillId="0" borderId="244" xfId="0" applyFont="1" applyBorder="1" applyAlignment="1">
      <alignment horizontal="center" vertical="center" wrapText="1"/>
    </xf>
    <xf numFmtId="185" fontId="109" fillId="0" borderId="23" xfId="0" applyNumberFormat="1" applyFont="1" applyBorder="1" applyAlignment="1">
      <alignment horizontal="center" vertical="center" wrapText="1"/>
    </xf>
    <xf numFmtId="185" fontId="109" fillId="0" borderId="129" xfId="0" applyNumberFormat="1" applyFont="1" applyBorder="1" applyAlignment="1">
      <alignment horizontal="center" vertical="center" wrapText="1"/>
    </xf>
    <xf numFmtId="167" fontId="109" fillId="0" borderId="23" xfId="0" applyFont="1" applyBorder="1" applyAlignment="1">
      <alignment horizontal="center" vertical="center" wrapText="1"/>
    </xf>
    <xf numFmtId="167" fontId="109" fillId="0" borderId="129" xfId="0" applyFont="1" applyBorder="1" applyAlignment="1">
      <alignment horizontal="center" vertical="center" wrapText="1"/>
    </xf>
    <xf numFmtId="185" fontId="14" fillId="0" borderId="155" xfId="0" applyNumberFormat="1" applyFont="1" applyBorder="1" applyAlignment="1">
      <alignment horizontal="center" vertical="center" wrapText="1"/>
    </xf>
    <xf numFmtId="185" fontId="14" fillId="0" borderId="25" xfId="0" applyNumberFormat="1" applyFont="1" applyBorder="1" applyAlignment="1">
      <alignment horizontal="center" vertical="center" wrapText="1"/>
    </xf>
    <xf numFmtId="185" fontId="14" fillId="0" borderId="210" xfId="0" applyNumberFormat="1" applyFont="1" applyBorder="1" applyAlignment="1">
      <alignment horizontal="center" vertical="center" wrapText="1"/>
    </xf>
    <xf numFmtId="185" fontId="14" fillId="0" borderId="153" xfId="0" applyNumberFormat="1" applyFont="1" applyBorder="1" applyAlignment="1">
      <alignment horizontal="center" vertical="center" wrapText="1"/>
    </xf>
    <xf numFmtId="167" fontId="108" fillId="10" borderId="183" xfId="41057" applyNumberFormat="1" applyFont="1" applyFill="1" applyBorder="1" applyAlignment="1" applyProtection="1">
      <alignment horizontal="center" vertical="center" wrapText="1"/>
    </xf>
    <xf numFmtId="167" fontId="108" fillId="10" borderId="248" xfId="41057" applyNumberFormat="1" applyFont="1" applyFill="1" applyBorder="1" applyAlignment="1" applyProtection="1">
      <alignment horizontal="center" vertical="center" wrapText="1"/>
    </xf>
    <xf numFmtId="185" fontId="109" fillId="0" borderId="279" xfId="0" applyNumberFormat="1" applyFont="1" applyBorder="1" applyAlignment="1">
      <alignment horizontal="center" vertical="center" wrapText="1"/>
    </xf>
    <xf numFmtId="185" fontId="109" fillId="0" borderId="280" xfId="0" applyNumberFormat="1" applyFont="1" applyBorder="1" applyAlignment="1">
      <alignment horizontal="center" vertical="center" wrapText="1"/>
    </xf>
    <xf numFmtId="185" fontId="14" fillId="0" borderId="211" xfId="0" applyNumberFormat="1" applyFont="1" applyBorder="1" applyAlignment="1">
      <alignment horizontal="center" vertical="center" wrapText="1"/>
    </xf>
    <xf numFmtId="185" fontId="14" fillId="0" borderId="259" xfId="0" applyNumberFormat="1" applyFont="1" applyBorder="1" applyAlignment="1">
      <alignment horizontal="center" vertical="center" wrapText="1"/>
    </xf>
    <xf numFmtId="185" fontId="109" fillId="0" borderId="211" xfId="0" applyNumberFormat="1" applyFont="1" applyBorder="1" applyAlignment="1">
      <alignment horizontal="center" vertical="center" wrapText="1"/>
    </xf>
    <xf numFmtId="185" fontId="109" fillId="0" borderId="259" xfId="0" applyNumberFormat="1" applyFont="1" applyBorder="1" applyAlignment="1">
      <alignment horizontal="center" vertical="center" wrapText="1"/>
    </xf>
    <xf numFmtId="167" fontId="10" fillId="10" borderId="146" xfId="41057" applyNumberFormat="1" applyFont="1" applyFill="1" applyBorder="1" applyAlignment="1" applyProtection="1">
      <alignment horizontal="center" vertical="center" wrapText="1"/>
    </xf>
    <xf numFmtId="167" fontId="10" fillId="10" borderId="26" xfId="41057" applyNumberFormat="1" applyFont="1" applyFill="1" applyBorder="1" applyAlignment="1" applyProtection="1">
      <alignment horizontal="center" vertical="center" wrapText="1"/>
    </xf>
    <xf numFmtId="167" fontId="10" fillId="10" borderId="257" xfId="41057" applyNumberFormat="1" applyFont="1" applyFill="1" applyBorder="1" applyAlignment="1" applyProtection="1">
      <alignment horizontal="center" vertical="center" wrapText="1"/>
    </xf>
    <xf numFmtId="167" fontId="14" fillId="0" borderId="186" xfId="0" applyFont="1" applyBorder="1" applyAlignment="1">
      <alignment horizontal="center" vertical="center" wrapText="1"/>
    </xf>
    <xf numFmtId="167" fontId="14" fillId="0" borderId="188" xfId="0" applyFont="1" applyBorder="1" applyAlignment="1">
      <alignment horizontal="center" vertical="center" wrapText="1"/>
    </xf>
    <xf numFmtId="167" fontId="14" fillId="0" borderId="250" xfId="0" applyFont="1" applyBorder="1" applyAlignment="1">
      <alignment horizontal="center" vertical="center" wrapText="1"/>
    </xf>
    <xf numFmtId="167" fontId="14" fillId="0" borderId="172" xfId="0" applyFont="1" applyBorder="1" applyAlignment="1">
      <alignment horizontal="center" vertical="center" wrapText="1"/>
    </xf>
    <xf numFmtId="167" fontId="14" fillId="0" borderId="173" xfId="0" applyFont="1" applyBorder="1" applyAlignment="1">
      <alignment horizontal="center" vertical="center" wrapText="1"/>
    </xf>
    <xf numFmtId="167" fontId="14" fillId="0" borderId="249" xfId="0" applyFont="1" applyBorder="1" applyAlignment="1">
      <alignment horizontal="center" vertical="center" wrapText="1"/>
    </xf>
    <xf numFmtId="185" fontId="14" fillId="0" borderId="172" xfId="0" applyNumberFormat="1" applyFont="1" applyBorder="1" applyAlignment="1">
      <alignment horizontal="center" vertical="center" wrapText="1"/>
    </xf>
    <xf numFmtId="185" fontId="14" fillId="0" borderId="173" xfId="0" applyNumberFormat="1" applyFont="1" applyBorder="1" applyAlignment="1">
      <alignment horizontal="center" vertical="center" wrapText="1"/>
    </xf>
    <xf numFmtId="185" fontId="14" fillId="0" borderId="249" xfId="0" applyNumberFormat="1" applyFont="1" applyBorder="1" applyAlignment="1">
      <alignment horizontal="center" vertical="center" wrapText="1"/>
    </xf>
    <xf numFmtId="167" fontId="14" fillId="0" borderId="275" xfId="0" applyFont="1" applyBorder="1" applyAlignment="1">
      <alignment horizontal="center" vertical="center" wrapText="1"/>
    </xf>
    <xf numFmtId="167" fontId="14" fillId="0" borderId="244" xfId="0" applyFont="1" applyBorder="1" applyAlignment="1">
      <alignment horizontal="center" vertical="center" wrapText="1"/>
    </xf>
    <xf numFmtId="167" fontId="14" fillId="0" borderId="13" xfId="0" applyFont="1" applyBorder="1" applyAlignment="1">
      <alignment horizontal="center" vertical="center" wrapText="1"/>
    </xf>
    <xf numFmtId="167" fontId="14" fillId="0" borderId="16" xfId="0" applyFont="1" applyBorder="1" applyAlignment="1">
      <alignment horizontal="center" vertical="center" wrapText="1"/>
    </xf>
    <xf numFmtId="167" fontId="14" fillId="0" borderId="2" xfId="0" applyFont="1" applyBorder="1" applyAlignment="1">
      <alignment horizontal="center" vertical="center" wrapText="1"/>
    </xf>
    <xf numFmtId="37" fontId="14" fillId="0" borderId="13" xfId="0" applyNumberFormat="1" applyFont="1" applyBorder="1" applyAlignment="1">
      <alignment horizontal="center" vertical="center" wrapText="1"/>
    </xf>
    <xf numFmtId="37" fontId="14" fillId="0" borderId="16" xfId="0" applyNumberFormat="1" applyFont="1" applyBorder="1" applyAlignment="1">
      <alignment horizontal="center" vertical="center" wrapText="1"/>
    </xf>
    <xf numFmtId="167" fontId="14" fillId="0" borderId="156" xfId="0" applyFont="1" applyBorder="1" applyAlignment="1">
      <alignment horizontal="center" vertical="center" wrapText="1"/>
    </xf>
    <xf numFmtId="167" fontId="14" fillId="0" borderId="148" xfId="0" applyFont="1" applyBorder="1" applyAlignment="1">
      <alignment horizontal="center" vertical="center" wrapText="1"/>
    </xf>
    <xf numFmtId="167" fontId="14" fillId="0" borderId="231" xfId="0" applyFont="1" applyBorder="1" applyAlignment="1">
      <alignment horizontal="center" vertical="center" wrapText="1"/>
    </xf>
    <xf numFmtId="167" fontId="14" fillId="0" borderId="18" xfId="0" applyFont="1" applyBorder="1" applyAlignment="1">
      <alignment horizontal="center" vertical="center" wrapText="1"/>
    </xf>
    <xf numFmtId="167" fontId="13" fillId="8" borderId="111" xfId="0" applyFont="1" applyFill="1" applyBorder="1" applyAlignment="1">
      <alignment horizontal="center" vertical="center" wrapText="1"/>
    </xf>
    <xf numFmtId="167" fontId="13" fillId="8" borderId="226" xfId="0" applyFont="1" applyFill="1" applyBorder="1" applyAlignment="1">
      <alignment horizontal="center" vertical="center" wrapText="1"/>
    </xf>
    <xf numFmtId="167" fontId="13" fillId="8" borderId="227" xfId="0" applyFont="1" applyFill="1" applyBorder="1" applyAlignment="1">
      <alignment horizontal="center" vertical="center" wrapText="1"/>
    </xf>
    <xf numFmtId="185" fontId="13" fillId="8" borderId="111" xfId="0" applyNumberFormat="1" applyFont="1" applyFill="1" applyBorder="1" applyAlignment="1">
      <alignment horizontal="center" vertical="center"/>
    </xf>
    <xf numFmtId="185" fontId="13" fillId="8" borderId="226" xfId="0" applyNumberFormat="1" applyFont="1" applyFill="1" applyBorder="1" applyAlignment="1">
      <alignment horizontal="center" vertical="center"/>
    </xf>
    <xf numFmtId="185" fontId="13" fillId="8" borderId="227" xfId="0" applyNumberFormat="1" applyFont="1" applyFill="1" applyBorder="1" applyAlignment="1">
      <alignment horizontal="center" vertical="center"/>
    </xf>
    <xf numFmtId="183" fontId="14" fillId="0" borderId="211" xfId="0" applyNumberFormat="1" applyFont="1" applyBorder="1" applyAlignment="1">
      <alignment horizontal="center" vertical="center" wrapText="1"/>
    </xf>
    <xf numFmtId="183" fontId="14" fillId="0" borderId="181" xfId="0" applyNumberFormat="1" applyFont="1" applyBorder="1" applyAlignment="1">
      <alignment horizontal="center" vertical="center" wrapText="1"/>
    </xf>
    <xf numFmtId="167" fontId="14" fillId="0" borderId="211" xfId="0" applyFont="1" applyBorder="1" applyAlignment="1">
      <alignment horizontal="center" vertical="center" wrapText="1"/>
    </xf>
    <xf numFmtId="167" fontId="14" fillId="0" borderId="181" xfId="0" applyFont="1" applyBorder="1" applyAlignment="1">
      <alignment horizontal="center" vertical="center" wrapText="1"/>
    </xf>
    <xf numFmtId="167" fontId="14" fillId="0" borderId="131" xfId="0" applyFont="1" applyBorder="1" applyAlignment="1">
      <alignment horizontal="center" vertical="center" textRotation="90" wrapText="1"/>
    </xf>
    <xf numFmtId="167" fontId="14" fillId="0" borderId="23" xfId="0" applyFont="1" applyBorder="1" applyAlignment="1">
      <alignment horizontal="center" vertical="center" textRotation="90" wrapText="1"/>
    </xf>
    <xf numFmtId="167" fontId="14" fillId="0" borderId="129" xfId="0" applyFont="1" applyBorder="1" applyAlignment="1">
      <alignment horizontal="center" vertical="center" textRotation="90" wrapText="1"/>
    </xf>
    <xf numFmtId="167" fontId="14" fillId="0" borderId="192" xfId="0" applyFont="1" applyBorder="1" applyAlignment="1">
      <alignment horizontal="center" vertical="center" wrapText="1"/>
    </xf>
    <xf numFmtId="167" fontId="14" fillId="0" borderId="199" xfId="0" applyFont="1" applyBorder="1" applyAlignment="1">
      <alignment horizontal="center" vertical="center" wrapText="1"/>
    </xf>
    <xf numFmtId="167" fontId="28" fillId="36" borderId="4" xfId="0" applyFont="1" applyFill="1" applyBorder="1" applyAlignment="1">
      <alignment horizontal="center" vertical="center"/>
    </xf>
    <xf numFmtId="167" fontId="28" fillId="36" borderId="0" xfId="0" applyFont="1" applyFill="1" applyAlignment="1">
      <alignment horizontal="center" vertical="center"/>
    </xf>
    <xf numFmtId="167" fontId="28" fillId="36" borderId="3" xfId="0" applyFont="1" applyFill="1" applyBorder="1" applyAlignment="1">
      <alignment horizontal="center" vertical="center"/>
    </xf>
    <xf numFmtId="185" fontId="8" fillId="52" borderId="3" xfId="0" applyNumberFormat="1" applyFont="1" applyFill="1" applyBorder="1" applyAlignment="1">
      <alignment horizontal="center" vertical="center" wrapText="1"/>
    </xf>
    <xf numFmtId="221" fontId="8" fillId="52" borderId="3" xfId="0" applyNumberFormat="1" applyFont="1" applyFill="1" applyBorder="1" applyAlignment="1">
      <alignment horizontal="center" vertical="center" wrapText="1"/>
    </xf>
    <xf numFmtId="185" fontId="8" fillId="50" borderId="167" xfId="0" applyNumberFormat="1" applyFont="1" applyFill="1" applyBorder="1" applyAlignment="1">
      <alignment horizontal="center" vertical="center" wrapText="1"/>
    </xf>
    <xf numFmtId="185" fontId="8" fillId="50" borderId="3" xfId="0" applyNumberFormat="1" applyFont="1" applyFill="1" applyBorder="1" applyAlignment="1">
      <alignment horizontal="center" vertical="center" wrapText="1"/>
    </xf>
    <xf numFmtId="221" fontId="8" fillId="52" borderId="127" xfId="0" applyNumberFormat="1" applyFont="1" applyFill="1" applyBorder="1" applyAlignment="1">
      <alignment horizontal="center" vertical="center" wrapText="1"/>
    </xf>
    <xf numFmtId="185" fontId="8" fillId="9" borderId="167" xfId="0" applyNumberFormat="1" applyFont="1" applyFill="1" applyBorder="1" applyAlignment="1">
      <alignment horizontal="center" vertical="center" wrapText="1"/>
    </xf>
    <xf numFmtId="185" fontId="8" fillId="9" borderId="3" xfId="0" applyNumberFormat="1" applyFont="1" applyFill="1" applyBorder="1" applyAlignment="1">
      <alignment horizontal="center" vertical="center" wrapText="1"/>
    </xf>
    <xf numFmtId="185" fontId="8" fillId="9" borderId="127" xfId="0" applyNumberFormat="1" applyFont="1" applyFill="1" applyBorder="1" applyAlignment="1">
      <alignment horizontal="center" vertical="center" wrapText="1"/>
    </xf>
    <xf numFmtId="167" fontId="14" fillId="0" borderId="178" xfId="0" applyFont="1" applyBorder="1" applyAlignment="1">
      <alignment horizontal="center" vertical="center" wrapText="1"/>
    </xf>
    <xf numFmtId="167" fontId="14" fillId="0" borderId="0" xfId="0" applyFont="1" applyAlignment="1">
      <alignment horizontal="center" vertical="center" wrapText="1"/>
    </xf>
    <xf numFmtId="167" fontId="28" fillId="50" borderId="3" xfId="0" applyFont="1" applyFill="1" applyBorder="1" applyAlignment="1">
      <alignment horizontal="center" vertical="center" wrapText="1"/>
    </xf>
    <xf numFmtId="167" fontId="8" fillId="53" borderId="167" xfId="0" applyFont="1" applyFill="1" applyBorder="1" applyAlignment="1">
      <alignment horizontal="center" vertical="center" wrapText="1"/>
    </xf>
    <xf numFmtId="167" fontId="8" fillId="53" borderId="3" xfId="0" applyFont="1" applyFill="1" applyBorder="1" applyAlignment="1">
      <alignment horizontal="center" vertical="center" wrapText="1"/>
    </xf>
    <xf numFmtId="167" fontId="8" fillId="53" borderId="18" xfId="0" applyFont="1" applyFill="1" applyBorder="1" applyAlignment="1">
      <alignment horizontal="center" vertical="center" wrapText="1"/>
    </xf>
    <xf numFmtId="167" fontId="14" fillId="53" borderId="3" xfId="0" applyFont="1" applyFill="1" applyBorder="1" applyAlignment="1">
      <alignment horizontal="center" vertical="center" wrapText="1"/>
    </xf>
    <xf numFmtId="167" fontId="14" fillId="53" borderId="127" xfId="0" applyFont="1" applyFill="1" applyBorder="1" applyAlignment="1">
      <alignment horizontal="center" vertical="center" wrapText="1"/>
    </xf>
    <xf numFmtId="167" fontId="10" fillId="10" borderId="183" xfId="41057" applyNumberFormat="1" applyFont="1" applyFill="1" applyBorder="1" applyAlignment="1" applyProtection="1">
      <alignment horizontal="center" vertical="center" wrapText="1"/>
    </xf>
    <xf numFmtId="167" fontId="8" fillId="0" borderId="186" xfId="0" applyFont="1" applyBorder="1" applyAlignment="1">
      <alignment horizontal="center" vertical="center" wrapText="1"/>
    </xf>
    <xf numFmtId="167" fontId="8" fillId="0" borderId="188" xfId="0" applyFont="1" applyBorder="1" applyAlignment="1">
      <alignment horizontal="center" vertical="center" wrapText="1"/>
    </xf>
    <xf numFmtId="167" fontId="8" fillId="0" borderId="283" xfId="0" applyFont="1" applyBorder="1" applyAlignment="1">
      <alignment horizontal="center" vertical="center" wrapText="1"/>
    </xf>
    <xf numFmtId="167" fontId="8" fillId="0" borderId="211" xfId="0" applyFont="1" applyBorder="1" applyAlignment="1">
      <alignment horizontal="center" vertical="center" wrapText="1"/>
    </xf>
    <xf numFmtId="167" fontId="8" fillId="0" borderId="176" xfId="0" applyFont="1" applyBorder="1" applyAlignment="1">
      <alignment horizontal="center" vertical="center" wrapText="1"/>
    </xf>
    <xf numFmtId="167" fontId="8" fillId="0" borderId="25" xfId="0" applyFont="1" applyBorder="1" applyAlignment="1">
      <alignment horizontal="center" vertical="center" wrapText="1"/>
    </xf>
    <xf numFmtId="167" fontId="8" fillId="0" borderId="19" xfId="0" applyFont="1" applyBorder="1" applyAlignment="1">
      <alignment horizontal="center" vertical="center" wrapText="1"/>
    </xf>
    <xf numFmtId="167" fontId="8" fillId="0" borderId="153" xfId="0" applyFont="1" applyBorder="1" applyAlignment="1">
      <alignment horizontal="center" vertical="center" wrapText="1"/>
    </xf>
    <xf numFmtId="167" fontId="8" fillId="0" borderId="89" xfId="0" applyFont="1" applyBorder="1" applyAlignment="1">
      <alignment horizontal="center" vertical="center" wrapText="1"/>
    </xf>
    <xf numFmtId="167" fontId="8" fillId="0" borderId="116" xfId="0" applyFont="1" applyBorder="1" applyAlignment="1">
      <alignment horizontal="center" vertical="center" wrapText="1"/>
    </xf>
    <xf numFmtId="167" fontId="8" fillId="0" borderId="261" xfId="0" applyFont="1" applyBorder="1" applyAlignment="1">
      <alignment horizontal="center" vertical="center" wrapText="1"/>
    </xf>
    <xf numFmtId="167" fontId="8" fillId="0" borderId="123" xfId="0" applyFont="1" applyBorder="1" applyAlignment="1">
      <alignment horizontal="center" vertical="center" wrapText="1"/>
    </xf>
    <xf numFmtId="167" fontId="8" fillId="0" borderId="156" xfId="0" applyFont="1" applyBorder="1" applyAlignment="1">
      <alignment horizontal="center" vertical="center" wrapText="1"/>
    </xf>
    <xf numFmtId="167" fontId="8" fillId="0" borderId="167" xfId="0" applyFont="1" applyBorder="1" applyAlignment="1">
      <alignment horizontal="center" vertical="center" wrapText="1"/>
    </xf>
    <xf numFmtId="167" fontId="8" fillId="0" borderId="108" xfId="0" applyFont="1" applyBorder="1" applyAlignment="1">
      <alignment horizontal="center" vertical="center" wrapText="1"/>
    </xf>
    <xf numFmtId="167" fontId="8" fillId="0" borderId="3" xfId="0" applyFont="1" applyBorder="1" applyAlignment="1">
      <alignment horizontal="center" vertical="center" wrapText="1"/>
    </xf>
    <xf numFmtId="167" fontId="8" fillId="0" borderId="148" xfId="0" applyFont="1" applyBorder="1" applyAlignment="1">
      <alignment horizontal="center" vertical="center" wrapText="1"/>
    </xf>
    <xf numFmtId="167" fontId="8" fillId="0" borderId="127" xfId="0" applyFont="1" applyBorder="1" applyAlignment="1">
      <alignment horizontal="center" vertical="center" wrapText="1"/>
    </xf>
    <xf numFmtId="167" fontId="8" fillId="8" borderId="131" xfId="0" applyFont="1" applyFill="1" applyBorder="1" applyAlignment="1">
      <alignment horizontal="center" vertical="center" wrapText="1"/>
    </xf>
    <xf numFmtId="167" fontId="8" fillId="8" borderId="13" xfId="0" applyFont="1" applyFill="1" applyBorder="1" applyAlignment="1">
      <alignment horizontal="center" vertical="center" wrapText="1"/>
    </xf>
    <xf numFmtId="167" fontId="8" fillId="8" borderId="23" xfId="0" applyFont="1" applyFill="1" applyBorder="1" applyAlignment="1">
      <alignment horizontal="center" vertical="center" wrapText="1"/>
    </xf>
    <xf numFmtId="167" fontId="8" fillId="8" borderId="2" xfId="0" applyFont="1" applyFill="1" applyBorder="1" applyAlignment="1">
      <alignment horizontal="center" vertical="center" wrapText="1"/>
    </xf>
    <xf numFmtId="167" fontId="8" fillId="0" borderId="131" xfId="0" applyFont="1" applyBorder="1" applyAlignment="1">
      <alignment horizontal="center" vertical="center" textRotation="90" wrapText="1"/>
    </xf>
    <xf numFmtId="167" fontId="8" fillId="0" borderId="23" xfId="0" applyFont="1" applyBorder="1" applyAlignment="1">
      <alignment horizontal="center" vertical="center" textRotation="90" wrapText="1"/>
    </xf>
    <xf numFmtId="167" fontId="8" fillId="0" borderId="129" xfId="0" applyFont="1" applyBorder="1" applyAlignment="1">
      <alignment horizontal="center" vertical="center" textRotation="90" wrapText="1"/>
    </xf>
    <xf numFmtId="167" fontId="8" fillId="0" borderId="131" xfId="0" applyFont="1" applyBorder="1" applyAlignment="1">
      <alignment horizontal="center" vertical="center" wrapText="1"/>
    </xf>
    <xf numFmtId="167" fontId="8" fillId="0" borderId="13" xfId="0" applyFont="1" applyBorder="1" applyAlignment="1">
      <alignment horizontal="center" vertical="center" wrapText="1"/>
    </xf>
    <xf numFmtId="167" fontId="8" fillId="0" borderId="23" xfId="0" applyFont="1" applyBorder="1" applyAlignment="1">
      <alignment horizontal="center" vertical="center" wrapText="1"/>
    </xf>
    <xf numFmtId="167" fontId="8" fillId="0" borderId="2" xfId="0" applyFont="1" applyBorder="1" applyAlignment="1">
      <alignment horizontal="center" vertical="center" wrapText="1"/>
    </xf>
    <xf numFmtId="167" fontId="8" fillId="0" borderId="129" xfId="0" applyFont="1" applyBorder="1" applyAlignment="1">
      <alignment horizontal="center" vertical="center" wrapText="1"/>
    </xf>
    <xf numFmtId="167" fontId="8" fillId="0" borderId="16" xfId="0" applyFont="1" applyBorder="1" applyAlignment="1">
      <alignment horizontal="center" vertical="center" wrapText="1"/>
    </xf>
    <xf numFmtId="167" fontId="8" fillId="0" borderId="172" xfId="0" applyFont="1" applyBorder="1" applyAlignment="1">
      <alignment horizontal="center" vertical="center" wrapText="1"/>
    </xf>
    <xf numFmtId="167" fontId="8" fillId="0" borderId="173" xfId="0" applyFont="1" applyBorder="1" applyAlignment="1">
      <alignment horizontal="center" vertical="center" wrapText="1"/>
    </xf>
    <xf numFmtId="167" fontId="8" fillId="0" borderId="210" xfId="0" applyFont="1" applyBorder="1" applyAlignment="1">
      <alignment horizontal="center" vertical="center" wrapText="1"/>
    </xf>
    <xf numFmtId="167" fontId="8" fillId="0" borderId="232" xfId="0" applyFont="1" applyBorder="1" applyAlignment="1">
      <alignment horizontal="center" vertical="center" wrapText="1"/>
    </xf>
    <xf numFmtId="167" fontId="8" fillId="0" borderId="155" xfId="0" applyFont="1" applyBorder="1" applyAlignment="1">
      <alignment horizontal="center" vertical="center" wrapText="1"/>
    </xf>
    <xf numFmtId="167" fontId="8" fillId="0" borderId="36" xfId="0" applyFont="1" applyBorder="1" applyAlignment="1">
      <alignment horizontal="center" vertical="center" wrapText="1"/>
    </xf>
    <xf numFmtId="0" fontId="8" fillId="0" borderId="131" xfId="0" applyNumberFormat="1" applyFont="1" applyBorder="1" applyAlignment="1">
      <alignment horizontal="center" vertical="center" textRotation="90" wrapText="1"/>
    </xf>
    <xf numFmtId="167" fontId="9" fillId="0" borderId="23" xfId="0" applyFont="1" applyBorder="1" applyAlignment="1">
      <alignment horizontal="center" vertical="center" textRotation="90" wrapText="1"/>
    </xf>
    <xf numFmtId="167" fontId="9" fillId="0" borderId="129" xfId="0" applyFont="1" applyBorder="1" applyAlignment="1">
      <alignment horizontal="center" vertical="center" textRotation="90" wrapText="1"/>
    </xf>
    <xf numFmtId="0" fontId="8" fillId="0" borderId="13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16" xfId="0" applyNumberFormat="1" applyFont="1" applyBorder="1" applyAlignment="1">
      <alignment horizontal="center" vertical="center" wrapText="1"/>
    </xf>
    <xf numFmtId="167" fontId="9" fillId="0" borderId="13" xfId="0" applyFont="1" applyBorder="1"/>
    <xf numFmtId="167" fontId="9" fillId="0" borderId="23" xfId="0" applyFont="1" applyBorder="1"/>
    <xf numFmtId="167" fontId="9" fillId="0" borderId="2" xfId="0" applyFont="1" applyBorder="1"/>
    <xf numFmtId="167" fontId="9" fillId="0" borderId="129" xfId="0" applyFont="1" applyBorder="1"/>
    <xf numFmtId="167" fontId="9" fillId="0" borderId="16" xfId="0" applyFont="1" applyBorder="1"/>
    <xf numFmtId="0" fontId="8" fillId="0" borderId="156" xfId="0" applyNumberFormat="1" applyFont="1" applyBorder="1" applyAlignment="1">
      <alignment horizontal="center" vertical="center" wrapText="1"/>
    </xf>
    <xf numFmtId="0" fontId="8" fillId="0" borderId="167" xfId="0" applyNumberFormat="1" applyFont="1" applyBorder="1" applyAlignment="1">
      <alignment horizontal="center" vertical="center" wrapText="1"/>
    </xf>
    <xf numFmtId="0" fontId="8" fillId="0" borderId="108" xfId="0" applyNumberFormat="1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148" xfId="0" applyNumberFormat="1" applyFont="1" applyBorder="1" applyAlignment="1">
      <alignment horizontal="center" vertical="center" wrapText="1"/>
    </xf>
    <xf numFmtId="0" fontId="8" fillId="0" borderId="127" xfId="0" applyNumberFormat="1" applyFont="1" applyBorder="1" applyAlignment="1">
      <alignment horizontal="center" vertical="center" wrapText="1"/>
    </xf>
    <xf numFmtId="167" fontId="8" fillId="0" borderId="172" xfId="0" applyFont="1" applyBorder="1" applyAlignment="1">
      <alignment horizontal="center" vertical="center" textRotation="90" wrapText="1"/>
    </xf>
    <xf numFmtId="167" fontId="8" fillId="0" borderId="181" xfId="0" applyFont="1" applyBorder="1" applyAlignment="1">
      <alignment horizontal="center" vertical="center" wrapText="1"/>
    </xf>
    <xf numFmtId="167" fontId="14" fillId="0" borderId="279" xfId="0" applyFont="1" applyBorder="1" applyAlignment="1">
      <alignment horizontal="center" vertical="center" wrapText="1"/>
    </xf>
    <xf numFmtId="167" fontId="14" fillId="0" borderId="280" xfId="0" applyFont="1" applyBorder="1" applyAlignment="1">
      <alignment horizontal="center" vertical="center" wrapText="1"/>
    </xf>
    <xf numFmtId="167" fontId="14" fillId="0" borderId="259" xfId="0" applyFont="1" applyBorder="1" applyAlignment="1">
      <alignment horizontal="center" vertical="center" wrapText="1"/>
    </xf>
    <xf numFmtId="167" fontId="14" fillId="0" borderId="35" xfId="0" applyFont="1" applyBorder="1" applyAlignment="1">
      <alignment horizontal="center" vertical="center" wrapText="1"/>
    </xf>
    <xf numFmtId="167" fontId="14" fillId="0" borderId="227" xfId="0" applyFont="1" applyBorder="1" applyAlignment="1">
      <alignment horizontal="center" vertical="center" wrapText="1"/>
    </xf>
    <xf numFmtId="167" fontId="14" fillId="0" borderId="160" xfId="0" applyFont="1" applyBorder="1" applyAlignment="1">
      <alignment horizontal="center" vertical="center" wrapText="1"/>
    </xf>
    <xf numFmtId="167" fontId="14" fillId="0" borderId="155" xfId="0" applyFont="1" applyBorder="1" applyAlignment="1">
      <alignment horizontal="center" vertical="center" wrapText="1"/>
    </xf>
    <xf numFmtId="167" fontId="14" fillId="0" borderId="210" xfId="0" applyFont="1" applyBorder="1" applyAlignment="1">
      <alignment horizontal="center" vertical="center" wrapText="1"/>
    </xf>
    <xf numFmtId="167" fontId="14" fillId="0" borderId="236" xfId="0" applyFont="1" applyBorder="1" applyAlignment="1">
      <alignment horizontal="center" vertical="center" wrapText="1"/>
    </xf>
    <xf numFmtId="167" fontId="14" fillId="0" borderId="285" xfId="0" applyFont="1" applyBorder="1" applyAlignment="1">
      <alignment horizontal="center" vertical="center" wrapText="1"/>
    </xf>
    <xf numFmtId="167" fontId="10" fillId="10" borderId="248" xfId="41057" applyNumberFormat="1" applyFont="1" applyFill="1" applyBorder="1" applyAlignment="1" applyProtection="1">
      <alignment horizontal="center" vertical="center" wrapText="1"/>
    </xf>
    <xf numFmtId="167" fontId="14" fillId="0" borderId="25" xfId="0" applyFont="1" applyBorder="1" applyAlignment="1">
      <alignment horizontal="center" vertical="center" wrapText="1"/>
    </xf>
    <xf numFmtId="167" fontId="14" fillId="0" borderId="12" xfId="0" applyFont="1" applyBorder="1" applyAlignment="1">
      <alignment horizontal="center" vertical="center" wrapText="1"/>
    </xf>
    <xf numFmtId="167" fontId="14" fillId="0" borderId="81" xfId="0" applyFont="1" applyBorder="1" applyAlignment="1">
      <alignment horizontal="center" vertical="center" wrapText="1"/>
    </xf>
    <xf numFmtId="167" fontId="14" fillId="0" borderId="182" xfId="0" applyFont="1" applyBorder="1" applyAlignment="1">
      <alignment horizontal="center" vertical="center" wrapText="1"/>
    </xf>
    <xf numFmtId="167" fontId="14" fillId="0" borderId="118" xfId="0" applyFont="1" applyBorder="1" applyAlignment="1">
      <alignment horizontal="center" vertical="center" wrapText="1"/>
    </xf>
    <xf numFmtId="167" fontId="14" fillId="0" borderId="14" xfId="0" applyFont="1" applyBorder="1" applyAlignment="1">
      <alignment horizontal="center" vertical="center" wrapText="1"/>
    </xf>
    <xf numFmtId="167" fontId="10" fillId="10" borderId="265" xfId="41057" applyNumberFormat="1" applyFont="1" applyFill="1" applyBorder="1" applyAlignment="1" applyProtection="1">
      <alignment horizontal="center" vertical="center" wrapText="1"/>
    </xf>
    <xf numFmtId="167" fontId="14" fillId="0" borderId="161" xfId="0" applyFont="1" applyBorder="1" applyAlignment="1">
      <alignment horizontal="center" vertical="center" textRotation="90" wrapText="1"/>
    </xf>
    <xf numFmtId="167" fontId="14" fillId="0" borderId="159" xfId="0" applyFont="1" applyBorder="1" applyAlignment="1">
      <alignment horizontal="center" vertical="center" textRotation="90" wrapText="1"/>
    </xf>
    <xf numFmtId="167" fontId="14" fillId="0" borderId="108" xfId="0" applyFont="1" applyBorder="1" applyAlignment="1">
      <alignment horizontal="center" vertical="center" textRotation="90" wrapText="1"/>
    </xf>
    <xf numFmtId="37" fontId="14" fillId="0" borderId="167" xfId="0" applyNumberFormat="1" applyFont="1" applyBorder="1" applyAlignment="1">
      <alignment horizontal="center" vertical="center" wrapText="1"/>
    </xf>
    <xf numFmtId="37" fontId="14" fillId="0" borderId="127" xfId="0" applyNumberFormat="1" applyFont="1" applyBorder="1" applyAlignment="1">
      <alignment horizontal="center" vertical="center" wrapText="1"/>
    </xf>
    <xf numFmtId="167" fontId="14" fillId="0" borderId="175" xfId="0" applyFont="1" applyBorder="1" applyAlignment="1">
      <alignment horizontal="center" vertical="center" wrapText="1"/>
    </xf>
    <xf numFmtId="183" fontId="14" fillId="0" borderId="193" xfId="0" applyNumberFormat="1" applyFont="1" applyBorder="1" applyAlignment="1">
      <alignment horizontal="center" vertical="center" wrapText="1"/>
    </xf>
    <xf numFmtId="183" fontId="14" fillId="0" borderId="288" xfId="0" applyNumberFormat="1" applyFont="1" applyBorder="1" applyAlignment="1">
      <alignment horizontal="center" vertical="center" wrapText="1"/>
    </xf>
    <xf numFmtId="183" fontId="14" fillId="0" borderId="111" xfId="0" applyNumberFormat="1" applyFont="1" applyBorder="1" applyAlignment="1">
      <alignment horizontal="center" vertical="center" wrapText="1"/>
    </xf>
    <xf numFmtId="183" fontId="14" fillId="0" borderId="196" xfId="0" applyNumberFormat="1" applyFont="1" applyBorder="1" applyAlignment="1">
      <alignment horizontal="center" vertical="center" wrapText="1"/>
    </xf>
    <xf numFmtId="167" fontId="14" fillId="0" borderId="36" xfId="0" applyFont="1" applyBorder="1" applyAlignment="1">
      <alignment horizontal="center" vertical="center" wrapText="1"/>
    </xf>
    <xf numFmtId="167" fontId="14" fillId="0" borderId="232" xfId="0" applyFont="1" applyBorder="1" applyAlignment="1">
      <alignment horizontal="center" vertical="center" wrapText="1"/>
    </xf>
    <xf numFmtId="167" fontId="14" fillId="0" borderId="75" xfId="0" applyFont="1" applyBorder="1" applyAlignment="1">
      <alignment horizontal="center" vertical="center" wrapText="1"/>
    </xf>
    <xf numFmtId="167" fontId="14" fillId="0" borderId="80" xfId="0" applyFont="1" applyBorder="1" applyAlignment="1">
      <alignment horizontal="center" vertical="center" wrapText="1"/>
    </xf>
    <xf numFmtId="167" fontId="14" fillId="0" borderId="111" xfId="0" applyFont="1" applyBorder="1" applyAlignment="1">
      <alignment horizontal="center" vertical="center" wrapText="1"/>
    </xf>
    <xf numFmtId="167" fontId="14" fillId="0" borderId="196" xfId="0" applyFont="1" applyBorder="1" applyAlignment="1">
      <alignment horizontal="center" vertical="center" wrapText="1"/>
    </xf>
    <xf numFmtId="183" fontId="14" fillId="0" borderId="154" xfId="0" applyNumberFormat="1" applyFont="1" applyBorder="1" applyAlignment="1">
      <alignment horizontal="center" vertical="center" wrapText="1"/>
    </xf>
    <xf numFmtId="183" fontId="14" fillId="0" borderId="199" xfId="0" applyNumberFormat="1" applyFont="1" applyBorder="1" applyAlignment="1">
      <alignment horizontal="center" vertical="center" wrapText="1"/>
    </xf>
    <xf numFmtId="167" fontId="14" fillId="0" borderId="154" xfId="0" applyFont="1" applyBorder="1" applyAlignment="1">
      <alignment horizontal="center" vertical="center" wrapText="1"/>
    </xf>
    <xf numFmtId="39" fontId="14" fillId="0" borderId="193" xfId="0" applyNumberFormat="1" applyFont="1" applyBorder="1" applyAlignment="1">
      <alignment horizontal="center" vertical="center" wrapText="1"/>
    </xf>
    <xf numFmtId="167" fontId="14" fillId="0" borderId="40" xfId="0" applyFont="1" applyBorder="1" applyAlignment="1">
      <alignment horizontal="center" vertical="center" wrapText="1"/>
    </xf>
    <xf numFmtId="167" fontId="14" fillId="0" borderId="149" xfId="0" applyFont="1" applyBorder="1" applyAlignment="1">
      <alignment horizontal="center" vertical="center" wrapText="1"/>
    </xf>
    <xf numFmtId="167" fontId="14" fillId="0" borderId="176" xfId="0" applyFont="1" applyBorder="1" applyAlignment="1">
      <alignment horizontal="center" vertical="center" wrapText="1"/>
    </xf>
    <xf numFmtId="167" fontId="14" fillId="0" borderId="19" xfId="0" applyFont="1" applyBorder="1" applyAlignment="1">
      <alignment horizontal="center" vertical="center" wrapText="1"/>
    </xf>
    <xf numFmtId="167" fontId="14" fillId="0" borderId="237" xfId="0" applyFont="1" applyBorder="1" applyAlignment="1">
      <alignment horizontal="center" vertical="center" wrapText="1"/>
    </xf>
    <xf numFmtId="167" fontId="14" fillId="0" borderId="105" xfId="0" applyFont="1" applyBorder="1" applyAlignment="1">
      <alignment horizontal="center" vertical="center" wrapText="1"/>
    </xf>
    <xf numFmtId="167" fontId="14" fillId="0" borderId="153" xfId="0" applyFont="1" applyBorder="1" applyAlignment="1">
      <alignment horizontal="center" vertical="center" wrapText="1"/>
    </xf>
    <xf numFmtId="167" fontId="14" fillId="0" borderId="79" xfId="0" applyFont="1" applyBorder="1" applyAlignment="1">
      <alignment horizontal="center" vertical="center" wrapText="1"/>
    </xf>
    <xf numFmtId="167" fontId="28" fillId="0" borderId="279" xfId="0" applyFont="1" applyBorder="1" applyAlignment="1">
      <alignment horizontal="center" vertical="center" wrapText="1"/>
    </xf>
    <xf numFmtId="167" fontId="28" fillId="0" borderId="234" xfId="0" applyFont="1" applyBorder="1" applyAlignment="1">
      <alignment horizontal="center" vertical="center" wrapText="1"/>
    </xf>
    <xf numFmtId="167" fontId="28" fillId="0" borderId="280" xfId="0" applyFont="1" applyBorder="1" applyAlignment="1">
      <alignment horizontal="center" vertical="center" wrapText="1"/>
    </xf>
    <xf numFmtId="167" fontId="14" fillId="0" borderId="170" xfId="0" applyFont="1" applyBorder="1" applyAlignment="1">
      <alignment horizontal="center" vertical="center" wrapText="1"/>
    </xf>
    <xf numFmtId="167" fontId="14" fillId="0" borderId="226" xfId="0" applyFont="1" applyBorder="1" applyAlignment="1">
      <alignment horizontal="center" vertical="center" wrapText="1"/>
    </xf>
    <xf numFmtId="167" fontId="14" fillId="0" borderId="89" xfId="0" applyFont="1" applyBorder="1" applyAlignment="1">
      <alignment horizontal="center" vertical="center" wrapText="1"/>
    </xf>
    <xf numFmtId="39" fontId="14" fillId="8" borderId="191" xfId="0" applyNumberFormat="1" applyFont="1" applyFill="1" applyBorder="1" applyAlignment="1">
      <alignment horizontal="center" vertical="center" wrapText="1"/>
    </xf>
    <xf numFmtId="39" fontId="14" fillId="8" borderId="227" xfId="0" applyNumberFormat="1" applyFont="1" applyFill="1" applyBorder="1" applyAlignment="1">
      <alignment horizontal="center" vertical="center" wrapText="1"/>
    </xf>
    <xf numFmtId="195" fontId="14" fillId="8" borderId="105" xfId="0" applyNumberFormat="1" applyFont="1" applyFill="1" applyBorder="1" applyAlignment="1">
      <alignment horizontal="center" vertical="center" wrapText="1"/>
    </xf>
    <xf numFmtId="195" fontId="14" fillId="8" borderId="19" xfId="0" applyNumberFormat="1" applyFont="1" applyFill="1" applyBorder="1" applyAlignment="1">
      <alignment horizontal="center" vertical="center" wrapText="1"/>
    </xf>
    <xf numFmtId="195" fontId="14" fillId="8" borderId="196" xfId="0" applyNumberFormat="1" applyFont="1" applyFill="1" applyBorder="1" applyAlignment="1">
      <alignment horizontal="center" vertical="center" wrapText="1"/>
    </xf>
    <xf numFmtId="195" fontId="14" fillId="8" borderId="191" xfId="0" applyNumberFormat="1" applyFont="1" applyFill="1" applyBorder="1" applyAlignment="1">
      <alignment horizontal="center" vertical="center" wrapText="1"/>
    </xf>
    <xf numFmtId="183" fontId="14" fillId="0" borderId="75" xfId="0" applyNumberFormat="1" applyFont="1" applyBorder="1" applyAlignment="1">
      <alignment horizontal="center" vertical="center" wrapText="1"/>
    </xf>
    <xf numFmtId="183" fontId="14" fillId="0" borderId="80" xfId="0" applyNumberFormat="1" applyFont="1" applyBorder="1" applyAlignment="1">
      <alignment horizontal="center" vertical="center" wrapText="1"/>
    </xf>
    <xf numFmtId="167" fontId="10" fillId="10" borderId="146" xfId="0" applyFont="1" applyFill="1" applyBorder="1" applyAlignment="1">
      <alignment horizontal="center" vertical="center" wrapText="1"/>
    </xf>
    <xf numFmtId="167" fontId="10" fillId="10" borderId="26" xfId="0" applyFont="1" applyFill="1" applyBorder="1" applyAlignment="1">
      <alignment horizontal="center" vertical="center" wrapText="1"/>
    </xf>
    <xf numFmtId="167" fontId="10" fillId="10" borderId="265" xfId="0" applyFont="1" applyFill="1" applyBorder="1" applyAlignment="1">
      <alignment horizontal="center" vertical="center" wrapText="1"/>
    </xf>
    <xf numFmtId="167" fontId="14" fillId="0" borderId="33" xfId="0" applyFont="1" applyBorder="1" applyAlignment="1">
      <alignment horizontal="center" vertical="center" wrapText="1"/>
    </xf>
    <xf numFmtId="167" fontId="14" fillId="0" borderId="272" xfId="0" applyFont="1" applyBorder="1" applyAlignment="1">
      <alignment horizontal="center" vertical="center" wrapText="1"/>
    </xf>
    <xf numFmtId="167" fontId="14" fillId="0" borderId="256" xfId="0" applyFont="1" applyBorder="1" applyAlignment="1">
      <alignment horizontal="center" vertical="center" wrapText="1"/>
    </xf>
    <xf numFmtId="167" fontId="14" fillId="0" borderId="242" xfId="0" applyFont="1" applyBorder="1" applyAlignment="1">
      <alignment horizontal="center" vertical="center" wrapText="1"/>
    </xf>
    <xf numFmtId="167" fontId="14" fillId="0" borderId="167" xfId="0" applyFont="1" applyBorder="1" applyAlignment="1">
      <alignment horizontal="center" vertical="center" textRotation="90" wrapText="1"/>
    </xf>
    <xf numFmtId="167" fontId="14" fillId="0" borderId="3" xfId="0" applyFont="1" applyBorder="1" applyAlignment="1">
      <alignment horizontal="center" vertical="center" textRotation="90" wrapText="1"/>
    </xf>
    <xf numFmtId="167" fontId="14" fillId="0" borderId="127" xfId="0" applyFont="1" applyBorder="1" applyAlignment="1">
      <alignment horizontal="center" vertical="center" textRotation="90" wrapText="1"/>
    </xf>
    <xf numFmtId="185" fontId="14" fillId="0" borderId="156" xfId="0" applyNumberFormat="1" applyFont="1" applyBorder="1" applyAlignment="1">
      <alignment horizontal="center" vertical="center" wrapText="1"/>
    </xf>
    <xf numFmtId="185" fontId="14" fillId="0" borderId="178" xfId="0" applyNumberFormat="1" applyFont="1" applyBorder="1" applyAlignment="1">
      <alignment horizontal="center" vertical="center" wrapText="1"/>
    </xf>
    <xf numFmtId="185" fontId="14" fillId="0" borderId="108" xfId="0" applyNumberFormat="1" applyFont="1" applyBorder="1" applyAlignment="1">
      <alignment horizontal="center" vertical="center" wrapText="1"/>
    </xf>
    <xf numFmtId="185" fontId="14" fillId="0" borderId="0" xfId="0" applyNumberFormat="1" applyFont="1" applyAlignment="1">
      <alignment horizontal="center" vertical="center" wrapText="1"/>
    </xf>
    <xf numFmtId="185" fontId="14" fillId="0" borderId="148" xfId="0" applyNumberFormat="1" applyFont="1" applyBorder="1" applyAlignment="1">
      <alignment horizontal="center" vertical="center" wrapText="1"/>
    </xf>
    <xf numFmtId="185" fontId="14" fillId="0" borderId="118" xfId="0" applyNumberFormat="1" applyFont="1" applyBorder="1" applyAlignment="1">
      <alignment horizontal="center" vertical="center" wrapText="1"/>
    </xf>
    <xf numFmtId="167" fontId="14" fillId="0" borderId="185" xfId="0" applyFont="1" applyBorder="1" applyAlignment="1">
      <alignment horizontal="center" vertical="center" wrapText="1"/>
    </xf>
    <xf numFmtId="167" fontId="14" fillId="0" borderId="288" xfId="0" applyFont="1" applyBorder="1" applyAlignment="1">
      <alignment horizontal="center" vertical="center" wrapText="1"/>
    </xf>
    <xf numFmtId="167" fontId="14" fillId="0" borderId="207" xfId="0" applyFont="1" applyBorder="1" applyAlignment="1">
      <alignment horizontal="center" vertical="center" wrapText="1"/>
    </xf>
    <xf numFmtId="167" fontId="14" fillId="0" borderId="189" xfId="0" applyFont="1" applyBorder="1" applyAlignment="1">
      <alignment horizontal="center" vertical="center" wrapText="1"/>
    </xf>
    <xf numFmtId="167" fontId="14" fillId="0" borderId="13" xfId="0" applyFont="1" applyBorder="1" applyAlignment="1">
      <alignment horizontal="center" vertical="center" textRotation="90" wrapText="1"/>
    </xf>
    <xf numFmtId="167" fontId="14" fillId="0" borderId="2" xfId="0" applyFont="1" applyBorder="1" applyAlignment="1">
      <alignment horizontal="center" vertical="center" textRotation="90" wrapText="1"/>
    </xf>
    <xf numFmtId="167" fontId="14" fillId="0" borderId="16" xfId="0" applyFont="1" applyBorder="1" applyAlignment="1">
      <alignment horizontal="center" vertical="center" textRotation="90" wrapText="1"/>
    </xf>
    <xf numFmtId="0" fontId="194" fillId="10" borderId="175" xfId="41075" applyFont="1" applyFill="1" applyBorder="1" applyAlignment="1">
      <alignment horizontal="center" vertical="center"/>
    </xf>
    <xf numFmtId="0" fontId="194" fillId="10" borderId="176" xfId="41075" applyFont="1" applyFill="1" applyBorder="1" applyAlignment="1">
      <alignment horizontal="center" vertical="center"/>
    </xf>
    <xf numFmtId="0" fontId="194" fillId="10" borderId="259" xfId="41075" applyFont="1" applyFill="1" applyBorder="1" applyAlignment="1">
      <alignment horizontal="center" vertical="center"/>
    </xf>
    <xf numFmtId="0" fontId="193" fillId="10" borderId="75" xfId="41075" applyFont="1" applyFill="1" applyBorder="1" applyAlignment="1">
      <alignment horizontal="center" vertical="center"/>
    </xf>
    <xf numFmtId="0" fontId="193" fillId="10" borderId="80" xfId="41075" applyFont="1" applyFill="1" applyBorder="1" applyAlignment="1">
      <alignment horizontal="center" vertical="center"/>
    </xf>
    <xf numFmtId="167" fontId="13" fillId="10" borderId="145" xfId="0" applyFont="1" applyFill="1" applyBorder="1" applyAlignment="1">
      <alignment horizontal="center" vertical="center" textRotation="90" wrapText="1"/>
    </xf>
    <xf numFmtId="167" fontId="13" fillId="10" borderId="108" xfId="0" applyFont="1" applyFill="1" applyBorder="1" applyAlignment="1">
      <alignment horizontal="center" vertical="center" textRotation="90" wrapText="1"/>
    </xf>
    <xf numFmtId="167" fontId="13" fillId="10" borderId="147" xfId="0" applyFont="1" applyFill="1" applyBorder="1" applyAlignment="1">
      <alignment horizontal="center" vertical="center" textRotation="90" wrapText="1"/>
    </xf>
    <xf numFmtId="0" fontId="193" fillId="10" borderId="136" xfId="41075" applyFont="1" applyFill="1" applyBorder="1" applyAlignment="1">
      <alignment horizontal="center" vertical="center"/>
    </xf>
    <xf numFmtId="0" fontId="193" fillId="10" borderId="35" xfId="41075" applyFont="1" applyFill="1" applyBorder="1" applyAlignment="1">
      <alignment horizontal="center" vertical="center"/>
    </xf>
    <xf numFmtId="0" fontId="193" fillId="10" borderId="13" xfId="41075" applyFont="1" applyFill="1" applyBorder="1" applyAlignment="1">
      <alignment horizontal="center" vertical="center" wrapText="1"/>
    </xf>
    <xf numFmtId="0" fontId="193" fillId="10" borderId="16" xfId="41075" applyFont="1" applyFill="1" applyBorder="1" applyAlignment="1">
      <alignment horizontal="center" vertical="center" wrapText="1"/>
    </xf>
    <xf numFmtId="185" fontId="7" fillId="0" borderId="13" xfId="41067" applyNumberFormat="1" applyFont="1" applyBorder="1" applyAlignment="1">
      <alignment horizontal="center" vertical="center" wrapText="1"/>
    </xf>
    <xf numFmtId="185" fontId="7" fillId="0" borderId="19" xfId="41067" applyNumberFormat="1" applyFont="1" applyBorder="1" applyAlignment="1">
      <alignment horizontal="center" vertical="center" wrapText="1"/>
    </xf>
    <xf numFmtId="185" fontId="7" fillId="0" borderId="105" xfId="41067" applyNumberFormat="1" applyFont="1" applyBorder="1" applyAlignment="1">
      <alignment horizontal="center" vertical="center" wrapText="1"/>
    </xf>
    <xf numFmtId="186" fontId="7" fillId="0" borderId="105" xfId="41067" applyNumberFormat="1" applyFont="1" applyBorder="1" applyAlignment="1">
      <alignment horizontal="center" vertical="center" wrapText="1"/>
    </xf>
    <xf numFmtId="186" fontId="7" fillId="0" borderId="19" xfId="41067" applyNumberFormat="1" applyFont="1" applyBorder="1" applyAlignment="1">
      <alignment horizontal="center" vertical="center" wrapText="1"/>
    </xf>
    <xf numFmtId="186" fontId="7" fillId="0" borderId="13" xfId="41067" applyNumberFormat="1" applyFont="1" applyBorder="1" applyAlignment="1">
      <alignment horizontal="center" vertical="center" wrapText="1"/>
    </xf>
    <xf numFmtId="185" fontId="7" fillId="0" borderId="2" xfId="41067" applyNumberFormat="1" applyFont="1" applyBorder="1" applyAlignment="1">
      <alignment horizontal="center" vertical="center" wrapText="1"/>
    </xf>
    <xf numFmtId="185" fontId="7" fillId="0" borderId="16" xfId="41067" applyNumberFormat="1" applyFont="1" applyBorder="1" applyAlignment="1">
      <alignment horizontal="center" vertical="center" wrapText="1"/>
    </xf>
    <xf numFmtId="186" fontId="7" fillId="0" borderId="21" xfId="41067" applyNumberFormat="1" applyFont="1" applyBorder="1" applyAlignment="1">
      <alignment horizontal="center" vertical="center" wrapText="1"/>
    </xf>
    <xf numFmtId="185" fontId="7" fillId="9" borderId="114" xfId="41067" applyNumberFormat="1" applyFont="1" applyFill="1" applyBorder="1" applyAlignment="1">
      <alignment horizontal="center" vertical="center" wrapText="1"/>
    </xf>
    <xf numFmtId="185" fontId="7" fillId="9" borderId="39" xfId="41067" applyNumberFormat="1" applyFont="1" applyFill="1" applyBorder="1" applyAlignment="1">
      <alignment horizontal="center" vertical="center" wrapText="1"/>
    </xf>
    <xf numFmtId="185" fontId="7" fillId="9" borderId="24" xfId="41067" applyNumberFormat="1" applyFont="1" applyFill="1" applyBorder="1" applyAlignment="1">
      <alignment horizontal="center" vertical="center" wrapText="1"/>
    </xf>
    <xf numFmtId="185" fontId="7" fillId="9" borderId="228" xfId="41067" applyNumberFormat="1" applyFont="1" applyFill="1" applyBorder="1" applyAlignment="1">
      <alignment horizontal="center" vertical="center" wrapText="1"/>
    </xf>
    <xf numFmtId="167" fontId="13" fillId="0" borderId="236" xfId="0" applyFont="1" applyBorder="1" applyAlignment="1">
      <alignment horizontal="center" vertical="center" wrapText="1"/>
    </xf>
    <xf numFmtId="167" fontId="13" fillId="0" borderId="237" xfId="0" applyFont="1" applyBorder="1" applyAlignment="1">
      <alignment horizontal="center" vertical="center" wrapText="1"/>
    </xf>
    <xf numFmtId="167" fontId="13" fillId="0" borderId="285" xfId="0" applyFont="1" applyBorder="1" applyAlignment="1">
      <alignment horizontal="center" vertical="center" wrapText="1"/>
    </xf>
    <xf numFmtId="185" fontId="7" fillId="9" borderId="157" xfId="41067" applyNumberFormat="1" applyFont="1" applyFill="1" applyBorder="1" applyAlignment="1">
      <alignment horizontal="center" vertical="center" wrapText="1"/>
    </xf>
    <xf numFmtId="167" fontId="23" fillId="0" borderId="118" xfId="41067" applyNumberFormat="1" applyFont="1" applyBorder="1" applyAlignment="1">
      <alignment horizontal="center" vertical="center" wrapText="1"/>
    </xf>
    <xf numFmtId="167" fontId="23" fillId="0" borderId="170" xfId="41067" applyNumberFormat="1" applyFont="1" applyBorder="1" applyAlignment="1">
      <alignment horizontal="center" vertical="center" wrapText="1"/>
    </xf>
    <xf numFmtId="167" fontId="14" fillId="0" borderId="167" xfId="41067" applyNumberFormat="1" applyFont="1" applyBorder="1" applyAlignment="1">
      <alignment horizontal="center" vertical="center" wrapText="1"/>
    </xf>
    <xf numFmtId="167" fontId="9" fillId="0" borderId="3" xfId="0" applyFont="1" applyBorder="1" applyAlignment="1">
      <alignment horizontal="center" vertical="center" wrapText="1"/>
    </xf>
    <xf numFmtId="167" fontId="9" fillId="0" borderId="18" xfId="0" applyFont="1" applyBorder="1" applyAlignment="1">
      <alignment horizontal="center" vertical="center" wrapText="1"/>
    </xf>
    <xf numFmtId="167" fontId="14" fillId="0" borderId="3" xfId="41067" applyNumberFormat="1" applyFont="1" applyBorder="1" applyAlignment="1">
      <alignment horizontal="center" vertical="center" wrapText="1"/>
    </xf>
    <xf numFmtId="167" fontId="9" fillId="0" borderId="127" xfId="0" applyFont="1" applyBorder="1" applyAlignment="1">
      <alignment horizontal="center" vertical="center" wrapText="1"/>
    </xf>
    <xf numFmtId="167" fontId="13" fillId="0" borderId="79" xfId="41067" applyNumberFormat="1" applyFont="1" applyBorder="1" applyAlignment="1">
      <alignment horizontal="center" vertical="center"/>
    </xf>
    <xf numFmtId="167" fontId="13" fillId="0" borderId="80" xfId="41067" applyNumberFormat="1" applyFont="1" applyBorder="1" applyAlignment="1">
      <alignment horizontal="center" vertical="center"/>
    </xf>
    <xf numFmtId="167" fontId="13" fillId="0" borderId="192" xfId="41067" applyNumberFormat="1" applyFont="1" applyBorder="1" applyAlignment="1">
      <alignment horizontal="center" vertical="center"/>
    </xf>
    <xf numFmtId="167" fontId="13" fillId="0" borderId="199" xfId="41067" applyNumberFormat="1" applyFont="1" applyBorder="1" applyAlignment="1">
      <alignment horizontal="center" vertical="center"/>
    </xf>
    <xf numFmtId="167" fontId="13" fillId="0" borderId="145" xfId="41067" applyNumberFormat="1" applyFont="1" applyBorder="1" applyAlignment="1">
      <alignment horizontal="center" vertical="center" textRotation="90" wrapText="1"/>
    </xf>
    <xf numFmtId="167" fontId="13" fillId="0" borderId="108" xfId="41067" applyNumberFormat="1" applyFont="1" applyBorder="1" applyAlignment="1">
      <alignment horizontal="center" vertical="center" textRotation="90" wrapText="1"/>
    </xf>
    <xf numFmtId="167" fontId="24" fillId="0" borderId="108" xfId="41067" applyNumberFormat="1" applyFont="1" applyBorder="1" applyAlignment="1">
      <alignment horizontal="center" vertical="center" textRotation="90" wrapText="1"/>
    </xf>
    <xf numFmtId="167" fontId="13" fillId="0" borderId="148" xfId="41067" applyNumberFormat="1" applyFont="1" applyBorder="1" applyAlignment="1">
      <alignment horizontal="center" vertical="center" textRotation="90" wrapText="1"/>
    </xf>
    <xf numFmtId="167" fontId="96" fillId="0" borderId="161" xfId="41067" applyNumberFormat="1" applyFont="1" applyBorder="1" applyAlignment="1">
      <alignment horizontal="center" vertical="center" textRotation="90" wrapText="1"/>
    </xf>
    <xf numFmtId="167" fontId="96" fillId="0" borderId="159" xfId="41067" applyNumberFormat="1" applyFont="1" applyBorder="1" applyAlignment="1">
      <alignment horizontal="center" vertical="center" textRotation="90" wrapText="1"/>
    </xf>
    <xf numFmtId="167" fontId="96" fillId="0" borderId="184" xfId="41067" applyNumberFormat="1" applyFont="1" applyBorder="1" applyAlignment="1">
      <alignment horizontal="center" vertical="center" textRotation="90" wrapText="1"/>
    </xf>
    <xf numFmtId="167" fontId="13" fillId="0" borderId="161" xfId="41067" applyNumberFormat="1" applyFont="1" applyBorder="1" applyAlignment="1">
      <alignment horizontal="center" vertical="center" textRotation="90" wrapText="1"/>
    </xf>
    <xf numFmtId="167" fontId="13" fillId="0" borderId="159" xfId="41067" applyNumberFormat="1" applyFont="1" applyBorder="1" applyAlignment="1">
      <alignment horizontal="center" vertical="center" textRotation="90" wrapText="1"/>
    </xf>
    <xf numFmtId="167" fontId="13" fillId="0" borderId="184" xfId="41067" applyNumberFormat="1" applyFont="1" applyBorder="1" applyAlignment="1">
      <alignment horizontal="center" vertical="center" textRotation="90" wrapText="1"/>
    </xf>
    <xf numFmtId="167" fontId="23" fillId="0" borderId="198" xfId="41067" applyNumberFormat="1" applyFont="1" applyBorder="1" applyAlignment="1">
      <alignment horizontal="center" vertical="center" wrapText="1"/>
    </xf>
    <xf numFmtId="167" fontId="23" fillId="0" borderId="199" xfId="41067" applyNumberFormat="1" applyFont="1" applyBorder="1" applyAlignment="1">
      <alignment horizontal="center" vertical="center" wrapText="1"/>
    </xf>
    <xf numFmtId="167" fontId="14" fillId="0" borderId="161" xfId="41067" applyNumberFormat="1" applyFont="1" applyBorder="1" applyAlignment="1">
      <alignment horizontal="center" vertical="center" textRotation="90" wrapText="1"/>
    </xf>
    <xf numFmtId="167" fontId="14" fillId="0" borderId="159" xfId="41067" applyNumberFormat="1" applyFont="1" applyBorder="1" applyAlignment="1">
      <alignment horizontal="center" vertical="center" textRotation="90" wrapText="1"/>
    </xf>
    <xf numFmtId="167" fontId="14" fillId="0" borderId="184" xfId="41067" applyNumberFormat="1" applyFont="1" applyBorder="1" applyAlignment="1">
      <alignment horizontal="center" vertical="center" textRotation="90" wrapText="1"/>
    </xf>
    <xf numFmtId="185" fontId="7" fillId="9" borderId="168" xfId="41067" applyNumberFormat="1" applyFont="1" applyFill="1" applyBorder="1" applyAlignment="1">
      <alignment horizontal="center" vertical="center" wrapText="1"/>
    </xf>
    <xf numFmtId="2" fontId="8" fillId="0" borderId="243" xfId="41067" applyNumberFormat="1" applyFont="1" applyBorder="1" applyAlignment="1">
      <alignment horizontal="center" vertical="center" wrapText="1"/>
    </xf>
    <xf numFmtId="2" fontId="8" fillId="0" borderId="247" xfId="41067" applyNumberFormat="1" applyFont="1" applyBorder="1" applyAlignment="1">
      <alignment horizontal="center" vertical="center" wrapText="1"/>
    </xf>
    <xf numFmtId="167" fontId="13" fillId="0" borderId="211" xfId="41068" applyNumberFormat="1" applyFont="1" applyBorder="1" applyAlignment="1">
      <alignment horizontal="center" vertical="center" wrapText="1"/>
    </xf>
    <xf numFmtId="167" fontId="13" fillId="0" borderId="176" xfId="41068" applyNumberFormat="1" applyFont="1" applyBorder="1" applyAlignment="1">
      <alignment horizontal="center" vertical="center" wrapText="1"/>
    </xf>
    <xf numFmtId="167" fontId="13" fillId="0" borderId="259" xfId="41068" applyNumberFormat="1" applyFont="1" applyBorder="1" applyAlignment="1">
      <alignment horizontal="center" vertical="center" wrapText="1"/>
    </xf>
    <xf numFmtId="185" fontId="7" fillId="9" borderId="22" xfId="41067" applyNumberFormat="1" applyFont="1" applyFill="1" applyBorder="1" applyAlignment="1">
      <alignment horizontal="center" vertical="center" wrapText="1"/>
    </xf>
    <xf numFmtId="167" fontId="24" fillId="10" borderId="145" xfId="41067" applyNumberFormat="1" applyFont="1" applyFill="1" applyBorder="1" applyAlignment="1">
      <alignment horizontal="center" vertical="center" textRotation="90" wrapText="1"/>
    </xf>
    <xf numFmtId="167" fontId="24" fillId="10" borderId="108" xfId="41067" applyNumberFormat="1" applyFont="1" applyFill="1" applyBorder="1" applyAlignment="1">
      <alignment horizontal="center" vertical="center" textRotation="90" wrapText="1"/>
    </xf>
    <xf numFmtId="167" fontId="24" fillId="10" borderId="147" xfId="41067" applyNumberFormat="1" applyFont="1" applyFill="1" applyBorder="1" applyAlignment="1">
      <alignment horizontal="center" vertical="center" textRotation="90" wrapText="1"/>
    </xf>
    <xf numFmtId="37" fontId="14" fillId="10" borderId="183" xfId="41057" applyNumberFormat="1" applyFont="1" applyFill="1" applyBorder="1" applyAlignment="1" applyProtection="1">
      <alignment horizontal="center" vertical="center" wrapText="1"/>
    </xf>
    <xf numFmtId="167" fontId="23" fillId="0" borderId="191" xfId="41067" applyNumberFormat="1" applyFont="1" applyBorder="1" applyAlignment="1">
      <alignment horizontal="center" vertical="center" wrapText="1"/>
    </xf>
    <xf numFmtId="167" fontId="23" fillId="0" borderId="196" xfId="41067" applyNumberFormat="1" applyFont="1" applyBorder="1" applyAlignment="1">
      <alignment horizontal="center" vertical="center" wrapText="1"/>
    </xf>
    <xf numFmtId="167" fontId="23" fillId="0" borderId="226" xfId="41067" applyNumberFormat="1" applyFont="1" applyBorder="1" applyAlignment="1">
      <alignment horizontal="center" vertical="center" wrapText="1"/>
    </xf>
    <xf numFmtId="167" fontId="23" fillId="0" borderId="79" xfId="41067" applyNumberFormat="1" applyFont="1" applyBorder="1" applyAlignment="1">
      <alignment horizontal="center" vertical="center" wrapText="1"/>
    </xf>
    <xf numFmtId="167" fontId="23" fillId="0" borderId="80" xfId="41067" applyNumberFormat="1" applyFont="1" applyBorder="1" applyAlignment="1">
      <alignment horizontal="center" vertical="center" wrapText="1"/>
    </xf>
    <xf numFmtId="167" fontId="13" fillId="0" borderId="189" xfId="41067" applyNumberFormat="1" applyFont="1" applyBorder="1" applyAlignment="1">
      <alignment horizontal="center" vertical="center"/>
    </xf>
    <xf numFmtId="167" fontId="13" fillId="0" borderId="207" xfId="41067" applyNumberFormat="1" applyFont="1" applyBorder="1" applyAlignment="1">
      <alignment horizontal="center" vertical="center"/>
    </xf>
    <xf numFmtId="167" fontId="13" fillId="0" borderId="226" xfId="41067" applyNumberFormat="1" applyFont="1" applyBorder="1" applyAlignment="1">
      <alignment horizontal="center" vertical="center"/>
    </xf>
    <xf numFmtId="167" fontId="13" fillId="0" borderId="196" xfId="41067" applyNumberFormat="1" applyFont="1" applyBorder="1" applyAlignment="1">
      <alignment horizontal="center" vertical="center"/>
    </xf>
    <xf numFmtId="167" fontId="13" fillId="0" borderId="230" xfId="41067" applyNumberFormat="1" applyFont="1" applyBorder="1" applyAlignment="1">
      <alignment horizontal="center" vertical="center"/>
    </xf>
    <xf numFmtId="167" fontId="13" fillId="0" borderId="185" xfId="41067" applyNumberFormat="1" applyFont="1" applyBorder="1" applyAlignment="1">
      <alignment horizontal="center" vertical="center"/>
    </xf>
    <xf numFmtId="167" fontId="13" fillId="0" borderId="288" xfId="41067" applyNumberFormat="1" applyFont="1" applyBorder="1" applyAlignment="1">
      <alignment horizontal="center" vertical="center"/>
    </xf>
    <xf numFmtId="167" fontId="13" fillId="0" borderId="161" xfId="41067" applyNumberFormat="1" applyFont="1" applyBorder="1" applyAlignment="1">
      <alignment horizontal="center" vertical="center" wrapText="1"/>
    </xf>
    <xf numFmtId="167" fontId="13" fillId="0" borderId="159" xfId="41067" applyNumberFormat="1" applyFont="1" applyBorder="1" applyAlignment="1">
      <alignment horizontal="center" vertical="center" wrapText="1"/>
    </xf>
    <xf numFmtId="167" fontId="13" fillId="0" borderId="184" xfId="41067" applyNumberFormat="1" applyFont="1" applyBorder="1" applyAlignment="1">
      <alignment horizontal="center" vertical="center" wrapText="1"/>
    </xf>
    <xf numFmtId="167" fontId="13" fillId="0" borderId="156" xfId="41067" applyNumberFormat="1" applyFont="1" applyBorder="1" applyAlignment="1">
      <alignment horizontal="center" vertical="center" wrapText="1"/>
    </xf>
    <xf numFmtId="167" fontId="13" fillId="0" borderId="167" xfId="41067" applyNumberFormat="1" applyFont="1" applyBorder="1" applyAlignment="1">
      <alignment horizontal="center" vertical="center" wrapText="1"/>
    </xf>
    <xf numFmtId="167" fontId="13" fillId="0" borderId="148" xfId="41067" applyNumberFormat="1" applyFont="1" applyBorder="1" applyAlignment="1">
      <alignment horizontal="center" vertical="center" wrapText="1"/>
    </xf>
    <xf numFmtId="167" fontId="13" fillId="0" borderId="127" xfId="41067" applyNumberFormat="1" applyFont="1" applyBorder="1" applyAlignment="1">
      <alignment horizontal="center" vertical="center" wrapText="1"/>
    </xf>
    <xf numFmtId="167" fontId="24" fillId="0" borderId="159" xfId="41067" applyNumberFormat="1" applyFont="1" applyBorder="1" applyAlignment="1">
      <alignment horizontal="center" vertical="center" textRotation="90" wrapText="1"/>
    </xf>
    <xf numFmtId="167" fontId="188" fillId="0" borderId="314" xfId="0" applyFont="1" applyBorder="1" applyAlignment="1">
      <alignment horizontal="left" vertical="center" wrapText="1"/>
    </xf>
    <xf numFmtId="167" fontId="188" fillId="0" borderId="315" xfId="0" applyFont="1" applyBorder="1" applyAlignment="1">
      <alignment horizontal="left" vertical="center" wrapText="1"/>
    </xf>
    <xf numFmtId="167" fontId="113" fillId="0" borderId="309" xfId="0" applyFont="1" applyBorder="1" applyAlignment="1">
      <alignment horizontal="center" vertical="center" wrapText="1"/>
    </xf>
    <xf numFmtId="167" fontId="113" fillId="0" borderId="310" xfId="0" applyFont="1" applyBorder="1" applyAlignment="1">
      <alignment horizontal="center" vertical="center" wrapText="1"/>
    </xf>
    <xf numFmtId="167" fontId="113" fillId="0" borderId="311" xfId="0" applyFont="1" applyBorder="1" applyAlignment="1">
      <alignment horizontal="center" vertical="center" wrapText="1"/>
    </xf>
    <xf numFmtId="167" fontId="186" fillId="0" borderId="317" xfId="0" applyFont="1" applyBorder="1" applyAlignment="1">
      <alignment horizontal="left" vertical="center" wrapText="1"/>
    </xf>
    <xf numFmtId="167" fontId="186" fillId="0" borderId="0" xfId="0" applyFont="1" applyAlignment="1">
      <alignment horizontal="left" vertical="center" wrapText="1"/>
    </xf>
    <xf numFmtId="167" fontId="188" fillId="0" borderId="314" xfId="0" applyFont="1" applyBorder="1" applyAlignment="1">
      <alignment horizontal="center" vertical="center" wrapText="1"/>
    </xf>
    <xf numFmtId="167" fontId="188" fillId="0" borderId="315" xfId="0" applyFont="1" applyBorder="1" applyAlignment="1">
      <alignment horizontal="center" vertical="center" wrapText="1"/>
    </xf>
    <xf numFmtId="167" fontId="186" fillId="0" borderId="313" xfId="0" applyFont="1" applyBorder="1" applyAlignment="1">
      <alignment horizontal="left" vertical="center" wrapText="1"/>
    </xf>
    <xf numFmtId="167" fontId="113" fillId="0" borderId="309" xfId="0" applyFont="1" applyBorder="1" applyAlignment="1">
      <alignment horizontal="left" vertical="center" wrapText="1"/>
    </xf>
    <xf numFmtId="167" fontId="113" fillId="0" borderId="310" xfId="0" applyFont="1" applyBorder="1" applyAlignment="1">
      <alignment horizontal="left" vertical="center" wrapText="1"/>
    </xf>
    <xf numFmtId="167" fontId="113" fillId="0" borderId="311" xfId="0" applyFont="1" applyBorder="1" applyAlignment="1">
      <alignment horizontal="left" vertical="center" wrapText="1"/>
    </xf>
    <xf numFmtId="167" fontId="113" fillId="47" borderId="309" xfId="0" applyFont="1" applyFill="1" applyBorder="1" applyAlignment="1">
      <alignment horizontal="center" vertical="center" wrapText="1"/>
    </xf>
    <xf numFmtId="167" fontId="113" fillId="47" borderId="310" xfId="0" applyFont="1" applyFill="1" applyBorder="1" applyAlignment="1">
      <alignment horizontal="center" vertical="center" wrapText="1"/>
    </xf>
    <xf numFmtId="167" fontId="113" fillId="47" borderId="311" xfId="0" applyFont="1" applyFill="1" applyBorder="1" applyAlignment="1">
      <alignment horizontal="center" vertical="center" wrapText="1"/>
    </xf>
    <xf numFmtId="167" fontId="7" fillId="0" borderId="309" xfId="0" applyFont="1" applyBorder="1" applyAlignment="1">
      <alignment horizontal="center" wrapText="1"/>
    </xf>
    <xf numFmtId="167" fontId="7" fillId="0" borderId="311" xfId="0" applyFont="1" applyBorder="1" applyAlignment="1">
      <alignment horizontal="center" wrapText="1"/>
    </xf>
    <xf numFmtId="167" fontId="113" fillId="0" borderId="314" xfId="0" applyFont="1" applyBorder="1" applyAlignment="1">
      <alignment horizontal="center" vertical="center" wrapText="1"/>
    </xf>
    <xf numFmtId="167" fontId="113" fillId="0" borderId="315" xfId="0" applyFont="1" applyBorder="1" applyAlignment="1">
      <alignment horizontal="center" vertical="center" wrapText="1"/>
    </xf>
    <xf numFmtId="167" fontId="186" fillId="0" borderId="310" xfId="0" applyFont="1" applyBorder="1" applyAlignment="1">
      <alignment horizontal="left" vertical="center" wrapText="1"/>
    </xf>
    <xf numFmtId="167" fontId="181" fillId="0" borderId="322" xfId="0" applyFont="1" applyBorder="1" applyAlignment="1">
      <alignment horizontal="left" vertical="center" wrapText="1"/>
    </xf>
    <xf numFmtId="167" fontId="181" fillId="0" borderId="317" xfId="0" applyFont="1" applyBorder="1" applyAlignment="1">
      <alignment horizontal="left" vertical="center" wrapText="1"/>
    </xf>
    <xf numFmtId="167" fontId="184" fillId="0" borderId="0" xfId="0" applyFont="1" applyAlignment="1">
      <alignment horizontal="left" vertical="center" wrapText="1"/>
    </xf>
    <xf numFmtId="167" fontId="184" fillId="0" borderId="313" xfId="0" applyFont="1" applyBorder="1" applyAlignment="1">
      <alignment horizontal="left" vertical="center" wrapText="1"/>
    </xf>
    <xf numFmtId="167" fontId="113" fillId="0" borderId="309" xfId="0" applyFont="1" applyBorder="1" applyAlignment="1">
      <alignment horizontal="left" vertical="center" wrapText="1" indent="2"/>
    </xf>
    <xf numFmtId="167" fontId="113" fillId="0" borderId="311" xfId="0" applyFont="1" applyBorder="1" applyAlignment="1">
      <alignment horizontal="left" vertical="center" wrapText="1" indent="2"/>
    </xf>
    <xf numFmtId="167" fontId="184" fillId="0" borderId="318" xfId="0" applyFont="1" applyBorder="1" applyAlignment="1">
      <alignment horizontal="left" vertical="center" wrapText="1"/>
    </xf>
    <xf numFmtId="167" fontId="181" fillId="0" borderId="0" xfId="0" applyFont="1" applyAlignment="1">
      <alignment horizontal="center" vertical="center" wrapText="1"/>
    </xf>
    <xf numFmtId="167" fontId="184" fillId="0" borderId="318" xfId="0" applyFont="1" applyBorder="1" applyAlignment="1">
      <alignment horizontal="center" vertical="center" wrapText="1"/>
    </xf>
    <xf numFmtId="167" fontId="113" fillId="0" borderId="319" xfId="0" applyFont="1" applyBorder="1" applyAlignment="1">
      <alignment horizontal="center" vertical="center" wrapText="1"/>
    </xf>
    <xf numFmtId="167" fontId="113" fillId="0" borderId="320" xfId="0" applyFont="1" applyBorder="1" applyAlignment="1">
      <alignment horizontal="center" vertical="center" wrapText="1"/>
    </xf>
    <xf numFmtId="167" fontId="113" fillId="0" borderId="321" xfId="0" applyFont="1" applyBorder="1" applyAlignment="1">
      <alignment horizontal="center" vertical="center" wrapText="1"/>
    </xf>
    <xf numFmtId="167" fontId="113" fillId="0" borderId="316" xfId="0" applyFont="1" applyBorder="1" applyAlignment="1">
      <alignment horizontal="center" vertical="center" wrapText="1"/>
    </xf>
    <xf numFmtId="167" fontId="181" fillId="0" borderId="0" xfId="0" applyFont="1" applyAlignment="1">
      <alignment horizontal="left" vertical="center" wrapText="1"/>
    </xf>
    <xf numFmtId="167" fontId="181" fillId="0" borderId="313" xfId="0" applyFont="1" applyBorder="1" applyAlignment="1">
      <alignment horizontal="left" vertical="center" wrapText="1"/>
    </xf>
    <xf numFmtId="167" fontId="177" fillId="0" borderId="314" xfId="0" applyFont="1" applyBorder="1" applyAlignment="1">
      <alignment horizontal="center" vertical="center" wrapText="1"/>
    </xf>
    <xf numFmtId="167" fontId="177" fillId="0" borderId="315" xfId="0" applyFont="1" applyBorder="1" applyAlignment="1">
      <alignment horizontal="center" vertical="center" wrapText="1"/>
    </xf>
    <xf numFmtId="167" fontId="181" fillId="0" borderId="318" xfId="0" applyFont="1" applyBorder="1" applyAlignment="1">
      <alignment horizontal="left" vertical="center" wrapText="1"/>
    </xf>
    <xf numFmtId="167" fontId="181" fillId="0" borderId="310" xfId="0" applyFont="1" applyBorder="1" applyAlignment="1">
      <alignment horizontal="left" vertical="center" wrapText="1"/>
    </xf>
    <xf numFmtId="167" fontId="14" fillId="0" borderId="243" xfId="0" applyFont="1" applyBorder="1" applyAlignment="1">
      <alignment horizontal="center" vertical="center" wrapText="1"/>
    </xf>
    <xf numFmtId="11" fontId="7" fillId="40" borderId="13" xfId="41054" applyNumberFormat="1" applyFont="1" applyFill="1" applyBorder="1" applyAlignment="1">
      <alignment horizontal="center" vertical="center" wrapText="1"/>
    </xf>
    <xf numFmtId="11" fontId="7" fillId="40" borderId="16" xfId="41054" applyNumberFormat="1" applyFont="1" applyFill="1" applyBorder="1" applyAlignment="1">
      <alignment horizontal="center" vertical="center" wrapText="1"/>
    </xf>
    <xf numFmtId="182" fontId="7" fillId="40" borderId="13" xfId="41054" applyNumberFormat="1" applyFont="1" applyFill="1" applyBorder="1" applyAlignment="1">
      <alignment horizontal="center" vertical="center" wrapText="1"/>
    </xf>
    <xf numFmtId="182" fontId="7" fillId="40" borderId="16" xfId="41054" applyNumberFormat="1" applyFont="1" applyFill="1" applyBorder="1" applyAlignment="1">
      <alignment horizontal="center" vertical="center" wrapText="1"/>
    </xf>
    <xf numFmtId="182" fontId="8" fillId="40" borderId="154" xfId="41054" applyNumberFormat="1" applyFont="1" applyFill="1" applyBorder="1" applyAlignment="1" applyProtection="1">
      <alignment horizontal="center" vertical="center" wrapText="1"/>
      <protection locked="0"/>
    </xf>
    <xf numFmtId="182" fontId="8" fillId="40" borderId="192" xfId="41054" applyNumberFormat="1" applyFont="1" applyFill="1" applyBorder="1" applyAlignment="1" applyProtection="1">
      <alignment horizontal="center" vertical="center" wrapText="1"/>
      <protection locked="0"/>
    </xf>
    <xf numFmtId="182" fontId="8" fillId="40" borderId="160" xfId="41054" applyNumberFormat="1" applyFont="1" applyFill="1" applyBorder="1" applyAlignment="1" applyProtection="1">
      <alignment horizontal="center" vertical="center" wrapText="1"/>
      <protection locked="0"/>
    </xf>
    <xf numFmtId="167" fontId="7" fillId="40" borderId="37" xfId="41054" applyFont="1" applyFill="1" applyBorder="1" applyAlignment="1">
      <alignment horizontal="center" vertical="center" wrapText="1"/>
    </xf>
    <xf numFmtId="167" fontId="7" fillId="40" borderId="92" xfId="41054" applyFont="1" applyFill="1" applyBorder="1" applyAlignment="1">
      <alignment horizontal="center" vertical="center" wrapText="1"/>
    </xf>
    <xf numFmtId="167" fontId="7" fillId="40" borderId="36" xfId="41054" applyFont="1" applyFill="1" applyBorder="1" applyAlignment="1">
      <alignment horizontal="center" vertical="center" wrapText="1"/>
    </xf>
    <xf numFmtId="167" fontId="7" fillId="40" borderId="89" xfId="41054" applyFont="1" applyFill="1" applyBorder="1" applyAlignment="1">
      <alignment horizontal="center" vertical="center" wrapText="1"/>
    </xf>
    <xf numFmtId="11" fontId="7" fillId="40" borderId="36" xfId="41054" applyNumberFormat="1" applyFont="1" applyFill="1" applyBorder="1" applyAlignment="1">
      <alignment horizontal="center" vertical="center" wrapText="1"/>
    </xf>
    <xf numFmtId="11" fontId="7" fillId="40" borderId="89" xfId="41054" applyNumberFormat="1" applyFont="1" applyFill="1" applyBorder="1" applyAlignment="1">
      <alignment horizontal="center" vertical="center" wrapText="1"/>
    </xf>
    <xf numFmtId="167" fontId="144" fillId="8" borderId="111" xfId="0" applyFont="1" applyFill="1" applyBorder="1" applyAlignment="1">
      <alignment horizontal="left" vertical="center"/>
    </xf>
    <xf numFmtId="167" fontId="144" fillId="8" borderId="226" xfId="0" applyFont="1" applyFill="1" applyBorder="1" applyAlignment="1">
      <alignment horizontal="left" vertical="center"/>
    </xf>
    <xf numFmtId="167" fontId="144" fillId="8" borderId="227" xfId="0" applyFont="1" applyFill="1" applyBorder="1" applyAlignment="1">
      <alignment horizontal="left" vertical="center"/>
    </xf>
    <xf numFmtId="167" fontId="7" fillId="8" borderId="226" xfId="0" applyFont="1" applyFill="1" applyBorder="1" applyAlignment="1">
      <alignment horizontal="center" vertical="center"/>
    </xf>
    <xf numFmtId="167" fontId="7" fillId="8" borderId="227" xfId="0" applyFont="1" applyFill="1" applyBorder="1" applyAlignment="1">
      <alignment horizontal="center" vertical="center"/>
    </xf>
    <xf numFmtId="167" fontId="7" fillId="0" borderId="105" xfId="0" applyFont="1" applyBorder="1" applyAlignment="1">
      <alignment horizontal="center" vertical="center" wrapText="1"/>
    </xf>
    <xf numFmtId="167" fontId="7" fillId="0" borderId="19" xfId="0" applyFont="1" applyBorder="1" applyAlignment="1">
      <alignment horizontal="center" vertical="center" wrapText="1"/>
    </xf>
    <xf numFmtId="2" fontId="7" fillId="0" borderId="105" xfId="0" applyNumberFormat="1" applyFont="1" applyBorder="1" applyAlignment="1">
      <alignment horizontal="center" vertical="center"/>
    </xf>
    <xf numFmtId="2" fontId="7" fillId="0" borderId="19" xfId="0" applyNumberFormat="1" applyFont="1" applyBorder="1" applyAlignment="1">
      <alignment horizontal="center" vertical="center"/>
    </xf>
    <xf numFmtId="167" fontId="7" fillId="0" borderId="105" xfId="0" applyFont="1" applyBorder="1" applyAlignment="1">
      <alignment horizontal="center" vertical="center"/>
    </xf>
    <xf numFmtId="186" fontId="7" fillId="0" borderId="105" xfId="0" applyNumberFormat="1" applyFont="1" applyBorder="1" applyAlignment="1">
      <alignment horizontal="center" vertical="center"/>
    </xf>
    <xf numFmtId="186" fontId="7" fillId="0" borderId="19" xfId="0" applyNumberFormat="1" applyFont="1" applyBorder="1" applyAlignment="1">
      <alignment horizontal="center" vertical="center"/>
    </xf>
    <xf numFmtId="185" fontId="7" fillId="0" borderId="105" xfId="0" applyNumberFormat="1" applyFont="1" applyBorder="1" applyAlignment="1">
      <alignment horizontal="center" vertical="center"/>
    </xf>
    <xf numFmtId="185" fontId="7" fillId="0" borderId="19" xfId="0" applyNumberFormat="1" applyFont="1" applyBorder="1" applyAlignment="1">
      <alignment horizontal="center" vertical="center"/>
    </xf>
    <xf numFmtId="182" fontId="7" fillId="0" borderId="105" xfId="0" applyNumberFormat="1" applyFont="1" applyBorder="1" applyAlignment="1">
      <alignment horizontal="center" vertical="center"/>
    </xf>
    <xf numFmtId="182" fontId="7" fillId="0" borderId="19" xfId="0" applyNumberFormat="1" applyFont="1" applyBorder="1" applyAlignment="1">
      <alignment horizontal="center" vertical="center"/>
    </xf>
    <xf numFmtId="167" fontId="143" fillId="0" borderId="111" xfId="0" applyFont="1" applyBorder="1" applyAlignment="1">
      <alignment horizontal="center" vertical="center"/>
    </xf>
    <xf numFmtId="167" fontId="143" fillId="0" borderId="226" xfId="0" applyFont="1" applyBorder="1" applyAlignment="1">
      <alignment horizontal="center" vertical="center"/>
    </xf>
    <xf numFmtId="167" fontId="143" fillId="0" borderId="227" xfId="0" applyFont="1" applyBorder="1" applyAlignment="1">
      <alignment horizontal="center" vertical="center"/>
    </xf>
    <xf numFmtId="167" fontId="7" fillId="0" borderId="232" xfId="0" applyFont="1" applyBorder="1" applyAlignment="1">
      <alignment horizontal="center" vertical="center" wrapText="1"/>
    </xf>
    <xf numFmtId="167" fontId="7" fillId="0" borderId="232" xfId="0" applyFont="1" applyBorder="1" applyAlignment="1">
      <alignment horizontal="center" vertical="center"/>
    </xf>
    <xf numFmtId="186" fontId="7" fillId="0" borderId="232" xfId="0" applyNumberFormat="1" applyFont="1" applyBorder="1" applyAlignment="1">
      <alignment horizontal="center" vertical="center"/>
    </xf>
    <xf numFmtId="185" fontId="7" fillId="0" borderId="232" xfId="0" applyNumberFormat="1" applyFont="1" applyBorder="1" applyAlignment="1">
      <alignment horizontal="center" vertical="center"/>
    </xf>
    <xf numFmtId="182" fontId="7" fillId="0" borderId="232" xfId="0" applyNumberFormat="1" applyFont="1" applyBorder="1" applyAlignment="1">
      <alignment horizontal="center" vertical="center"/>
    </xf>
    <xf numFmtId="2" fontId="7" fillId="0" borderId="232" xfId="0" applyNumberFormat="1" applyFont="1" applyBorder="1" applyAlignment="1">
      <alignment horizontal="center" vertical="center"/>
    </xf>
    <xf numFmtId="167" fontId="13" fillId="0" borderId="91" xfId="41054" applyFont="1" applyBorder="1" applyAlignment="1">
      <alignment horizontal="center" vertical="center" wrapText="1"/>
    </xf>
    <xf numFmtId="0" fontId="13" fillId="0" borderId="87" xfId="0" applyNumberFormat="1" applyFont="1" applyBorder="1"/>
    <xf numFmtId="0" fontId="13" fillId="0" borderId="128" xfId="0" applyNumberFormat="1" applyFont="1" applyBorder="1"/>
    <xf numFmtId="167" fontId="14" fillId="0" borderId="87" xfId="41054" applyFont="1" applyBorder="1" applyAlignment="1">
      <alignment horizontal="center" vertical="center"/>
    </xf>
    <xf numFmtId="0" fontId="66" fillId="0" borderId="128" xfId="0" applyNumberFormat="1" applyFont="1" applyBorder="1"/>
    <xf numFmtId="167" fontId="24" fillId="10" borderId="119" xfId="0" applyFont="1" applyFill="1" applyBorder="1" applyAlignment="1">
      <alignment horizontal="center" vertical="center" textRotation="90" wrapText="1"/>
    </xf>
    <xf numFmtId="167" fontId="24" fillId="10" borderId="195" xfId="0" applyFont="1" applyFill="1" applyBorder="1" applyAlignment="1">
      <alignment horizontal="center" vertical="center" textRotation="90" wrapText="1"/>
    </xf>
    <xf numFmtId="167" fontId="24" fillId="10" borderId="120" xfId="0" applyFont="1" applyFill="1" applyBorder="1" applyAlignment="1">
      <alignment horizontal="center" vertical="center" textRotation="90" wrapText="1"/>
    </xf>
    <xf numFmtId="167" fontId="10" fillId="10" borderId="181" xfId="41057" applyNumberFormat="1" applyFont="1" applyFill="1" applyBorder="1" applyAlignment="1" applyProtection="1">
      <alignment horizontal="center" vertical="center"/>
    </xf>
    <xf numFmtId="0" fontId="10" fillId="10" borderId="173" xfId="41057" applyFont="1" applyFill="1" applyBorder="1" applyAlignment="1" applyProtection="1"/>
    <xf numFmtId="0" fontId="10" fillId="10" borderId="249" xfId="41057" applyFont="1" applyFill="1" applyBorder="1" applyAlignment="1" applyProtection="1"/>
    <xf numFmtId="167" fontId="13" fillId="0" borderId="182" xfId="41054" applyFont="1" applyBorder="1" applyAlignment="1">
      <alignment horizontal="center" vertical="center"/>
    </xf>
    <xf numFmtId="167" fontId="13" fillId="0" borderId="91" xfId="41054" applyFont="1" applyBorder="1" applyAlignment="1">
      <alignment horizontal="center" vertical="center"/>
    </xf>
    <xf numFmtId="167" fontId="14" fillId="0" borderId="19" xfId="41054" applyFont="1" applyBorder="1" applyAlignment="1">
      <alignment horizontal="center" vertical="center"/>
    </xf>
    <xf numFmtId="0" fontId="66" fillId="0" borderId="247" xfId="0" applyNumberFormat="1" applyFont="1" applyBorder="1"/>
    <xf numFmtId="0" fontId="66" fillId="0" borderId="87" xfId="0" applyNumberFormat="1" applyFont="1" applyBorder="1"/>
    <xf numFmtId="0" fontId="66" fillId="0" borderId="91" xfId="0" applyNumberFormat="1" applyFont="1" applyBorder="1"/>
    <xf numFmtId="0" fontId="66" fillId="0" borderId="233" xfId="0" applyNumberFormat="1" applyFont="1" applyBorder="1"/>
    <xf numFmtId="167" fontId="14" fillId="0" borderId="198" xfId="41054" applyFont="1" applyBorder="1" applyAlignment="1">
      <alignment horizontal="center" vertical="center" wrapText="1"/>
    </xf>
    <xf numFmtId="167" fontId="14" fillId="0" borderId="192" xfId="41054" applyFont="1" applyBorder="1" applyAlignment="1">
      <alignment horizontal="center" vertical="center" wrapText="1"/>
    </xf>
    <xf numFmtId="167" fontId="14" fillId="0" borderId="199" xfId="41054" applyFont="1" applyBorder="1" applyAlignment="1">
      <alignment horizontal="center" vertical="center" wrapText="1"/>
    </xf>
    <xf numFmtId="167" fontId="14" fillId="0" borderId="87" xfId="41054" applyFont="1" applyBorder="1" applyAlignment="1">
      <alignment horizontal="center" vertical="center" wrapText="1"/>
    </xf>
    <xf numFmtId="0" fontId="66" fillId="0" borderId="232" xfId="0" applyNumberFormat="1" applyFont="1" applyBorder="1"/>
    <xf numFmtId="167" fontId="14" fillId="0" borderId="128" xfId="41054" applyFont="1" applyBorder="1" applyAlignment="1">
      <alignment horizontal="center" vertical="center"/>
    </xf>
    <xf numFmtId="167" fontId="7" fillId="11" borderId="119" xfId="41054" applyFont="1" applyFill="1" applyBorder="1" applyAlignment="1" applyProtection="1">
      <alignment horizontal="center" vertical="center" wrapText="1"/>
      <protection locked="0"/>
    </xf>
    <xf numFmtId="167" fontId="7" fillId="11" borderId="178" xfId="41054" applyFont="1" applyFill="1" applyBorder="1" applyAlignment="1" applyProtection="1">
      <alignment horizontal="center" vertical="center" wrapText="1"/>
      <protection locked="0"/>
    </xf>
    <xf numFmtId="167" fontId="7" fillId="11" borderId="212" xfId="41054" applyFont="1" applyFill="1" applyBorder="1" applyAlignment="1" applyProtection="1">
      <alignment horizontal="center" vertical="center" wrapText="1"/>
      <protection locked="0"/>
    </xf>
    <xf numFmtId="167" fontId="7" fillId="11" borderId="120" xfId="41054" applyFont="1" applyFill="1" applyBorder="1" applyAlignment="1" applyProtection="1">
      <alignment horizontal="center" vertical="center" wrapText="1"/>
      <protection locked="0"/>
    </xf>
    <xf numFmtId="167" fontId="7" fillId="11" borderId="118" xfId="41054" applyFont="1" applyFill="1" applyBorder="1" applyAlignment="1" applyProtection="1">
      <alignment horizontal="center" vertical="center" wrapText="1"/>
      <protection locked="0"/>
    </xf>
    <xf numFmtId="167" fontId="7" fillId="11" borderId="170" xfId="41054" applyFont="1" applyFill="1" applyBorder="1" applyAlignment="1" applyProtection="1">
      <alignment horizontal="center" vertical="center" wrapText="1"/>
      <protection locked="0"/>
    </xf>
    <xf numFmtId="167" fontId="14" fillId="0" borderId="105" xfId="41054" applyFont="1" applyBorder="1" applyAlignment="1">
      <alignment horizontal="center" vertical="center" wrapText="1"/>
    </xf>
    <xf numFmtId="167" fontId="14" fillId="0" borderId="2" xfId="41054" applyFont="1" applyBorder="1" applyAlignment="1">
      <alignment horizontal="center" vertical="center" wrapText="1"/>
    </xf>
    <xf numFmtId="167" fontId="17" fillId="0" borderId="191" xfId="41054" applyFont="1" applyBorder="1" applyAlignment="1">
      <alignment horizontal="center" vertical="center" wrapText="1"/>
    </xf>
    <xf numFmtId="167" fontId="17" fillId="0" borderId="112" xfId="41054" applyFont="1" applyBorder="1" applyAlignment="1">
      <alignment horizontal="center" vertical="center" wrapText="1"/>
    </xf>
    <xf numFmtId="167" fontId="17" fillId="0" borderId="196" xfId="41054" applyFont="1" applyBorder="1" applyAlignment="1">
      <alignment horizontal="center" vertical="center" wrapText="1"/>
    </xf>
    <xf numFmtId="0" fontId="66" fillId="0" borderId="177" xfId="0" applyNumberFormat="1" applyFont="1" applyBorder="1"/>
    <xf numFmtId="167" fontId="14" fillId="0" borderId="19" xfId="41054" applyFont="1" applyBorder="1" applyAlignment="1">
      <alignment horizontal="center" vertical="center" wrapText="1"/>
    </xf>
    <xf numFmtId="37" fontId="17" fillId="33" borderId="0" xfId="0" applyNumberFormat="1" applyFont="1" applyFill="1" applyAlignment="1" applyProtection="1">
      <alignment horizontal="center" vertical="center" wrapText="1"/>
      <protection locked="0"/>
    </xf>
    <xf numFmtId="170" fontId="13" fillId="12" borderId="200" xfId="41057" applyNumberFormat="1" applyFont="1" applyFill="1" applyBorder="1" applyAlignment="1" applyProtection="1">
      <alignment horizontal="center" vertical="center" wrapText="1"/>
    </xf>
    <xf numFmtId="167" fontId="13" fillId="12" borderId="142" xfId="41057" applyNumberFormat="1" applyFont="1" applyFill="1" applyBorder="1" applyAlignment="1" applyProtection="1">
      <alignment horizontal="center" vertical="center" wrapText="1"/>
    </xf>
    <xf numFmtId="167" fontId="13" fillId="12" borderId="202" xfId="41057" applyNumberFormat="1" applyFont="1" applyFill="1" applyBorder="1" applyAlignment="1" applyProtection="1">
      <alignment horizontal="center" vertical="center" wrapText="1"/>
    </xf>
    <xf numFmtId="0" fontId="14" fillId="12" borderId="10" xfId="0" applyNumberFormat="1" applyFont="1" applyFill="1" applyBorder="1" applyAlignment="1">
      <alignment horizontal="center" vertical="center" wrapText="1"/>
    </xf>
    <xf numFmtId="0" fontId="14" fillId="12" borderId="87" xfId="0" applyNumberFormat="1" applyFont="1" applyFill="1" applyBorder="1" applyAlignment="1">
      <alignment horizontal="center" vertical="center" wrapText="1"/>
    </xf>
    <xf numFmtId="0" fontId="14" fillId="12" borderId="8" xfId="0" applyNumberFormat="1" applyFont="1" applyFill="1" applyBorder="1" applyAlignment="1">
      <alignment horizontal="center" vertical="center" wrapText="1"/>
    </xf>
    <xf numFmtId="183" fontId="14" fillId="12" borderId="87" xfId="0" applyNumberFormat="1" applyFont="1" applyFill="1" applyBorder="1" applyAlignment="1">
      <alignment horizontal="center" vertical="center" wrapText="1"/>
    </xf>
    <xf numFmtId="183" fontId="0" fillId="0" borderId="8" xfId="0" applyNumberFormat="1" applyBorder="1"/>
    <xf numFmtId="39" fontId="14" fillId="12" borderId="87" xfId="0" applyNumberFormat="1" applyFont="1" applyFill="1" applyBorder="1" applyAlignment="1">
      <alignment horizontal="center" vertical="center" wrapText="1"/>
    </xf>
    <xf numFmtId="167" fontId="0" fillId="0" borderId="8" xfId="0" applyBorder="1"/>
    <xf numFmtId="167" fontId="14" fillId="12" borderId="8" xfId="0" applyFont="1" applyFill="1" applyBorder="1" applyAlignment="1">
      <alignment horizontal="center" vertical="center" wrapText="1"/>
    </xf>
    <xf numFmtId="167" fontId="14" fillId="12" borderId="294" xfId="0" applyFont="1" applyFill="1" applyBorder="1" applyAlignment="1">
      <alignment horizontal="center" vertical="center" wrapText="1"/>
    </xf>
    <xf numFmtId="167" fontId="14" fillId="12" borderId="273" xfId="0" applyFont="1" applyFill="1" applyBorder="1" applyAlignment="1">
      <alignment horizontal="center" vertical="center" wrapText="1"/>
    </xf>
    <xf numFmtId="167" fontId="14" fillId="12" borderId="293" xfId="0" applyFont="1" applyFill="1" applyBorder="1" applyAlignment="1">
      <alignment horizontal="center" vertical="center" wrapText="1"/>
    </xf>
    <xf numFmtId="167" fontId="14" fillId="47" borderId="232" xfId="0" applyFont="1" applyFill="1" applyBorder="1" applyAlignment="1">
      <alignment horizontal="center" vertical="center" wrapText="1"/>
    </xf>
    <xf numFmtId="167" fontId="14" fillId="47" borderId="8" xfId="0" applyFont="1" applyFill="1" applyBorder="1" applyAlignment="1">
      <alignment horizontal="center" vertical="center" wrapText="1"/>
    </xf>
    <xf numFmtId="167" fontId="14" fillId="12" borderId="232" xfId="0" applyFont="1" applyFill="1" applyBorder="1" applyAlignment="1">
      <alignment horizontal="center" vertical="center" wrapText="1"/>
    </xf>
    <xf numFmtId="37" fontId="14" fillId="39" borderId="6" xfId="41057" applyNumberFormat="1" applyFont="1" applyFill="1" applyBorder="1" applyAlignment="1" applyProtection="1">
      <alignment horizontal="center" vertical="center"/>
    </xf>
    <xf numFmtId="37" fontId="14" fillId="39" borderId="2" xfId="41057" applyNumberFormat="1" applyFont="1" applyFill="1" applyBorder="1" applyAlignment="1" applyProtection="1">
      <alignment horizontal="center" vertical="center"/>
    </xf>
    <xf numFmtId="37" fontId="14" fillId="39" borderId="121" xfId="41057" applyNumberFormat="1" applyFont="1" applyFill="1" applyBorder="1" applyAlignment="1" applyProtection="1">
      <alignment horizontal="center" vertical="center"/>
    </xf>
    <xf numFmtId="40" fontId="14" fillId="39" borderId="6" xfId="23422" applyFont="1" applyFill="1" applyBorder="1" applyAlignment="1">
      <alignment horizontal="center" vertical="center" wrapText="1"/>
    </xf>
    <xf numFmtId="40" fontId="14" fillId="39" borderId="2" xfId="23422" applyFont="1" applyFill="1" applyBorder="1" applyAlignment="1">
      <alignment horizontal="center" vertical="center"/>
    </xf>
    <xf numFmtId="40" fontId="14" fillId="39" borderId="121" xfId="23422" applyFont="1" applyFill="1" applyBorder="1" applyAlignment="1">
      <alignment horizontal="center" vertical="center"/>
    </xf>
    <xf numFmtId="40" fontId="14" fillId="39" borderId="105" xfId="23422" applyFont="1" applyFill="1" applyBorder="1" applyAlignment="1">
      <alignment horizontal="center" vertical="center" wrapText="1"/>
    </xf>
    <xf numFmtId="205" fontId="13" fillId="0" borderId="0" xfId="23422" applyNumberFormat="1" applyFont="1" applyAlignment="1">
      <alignment horizontal="left" vertical="center"/>
    </xf>
    <xf numFmtId="174" fontId="14" fillId="39" borderId="9" xfId="23422" applyNumberFormat="1" applyFont="1" applyFill="1" applyBorder="1" applyAlignment="1">
      <alignment horizontal="center" vertical="center"/>
    </xf>
    <xf numFmtId="174" fontId="14" fillId="39" borderId="42" xfId="23422" applyNumberFormat="1" applyFont="1" applyFill="1" applyBorder="1" applyAlignment="1">
      <alignment horizontal="center" vertical="center"/>
    </xf>
    <xf numFmtId="174" fontId="14" fillId="39" borderId="43" xfId="23422" applyNumberFormat="1" applyFont="1" applyFill="1" applyBorder="1" applyAlignment="1">
      <alignment horizontal="center" vertical="center"/>
    </xf>
    <xf numFmtId="174" fontId="14" fillId="39" borderId="111" xfId="23422" applyNumberFormat="1" applyFont="1" applyFill="1" applyBorder="1" applyAlignment="1">
      <alignment horizontal="center" vertical="center"/>
    </xf>
    <xf numFmtId="174" fontId="14" fillId="39" borderId="112" xfId="23422" applyNumberFormat="1" applyFont="1" applyFill="1" applyBorder="1" applyAlignment="1">
      <alignment horizontal="center" vertical="center"/>
    </xf>
    <xf numFmtId="174" fontId="14" fillId="39" borderId="110" xfId="23422" applyNumberFormat="1" applyFont="1" applyFill="1" applyBorder="1" applyAlignment="1">
      <alignment horizontal="center" vertical="center"/>
    </xf>
    <xf numFmtId="181" fontId="14" fillId="39" borderId="111" xfId="23422" applyNumberFormat="1" applyFont="1" applyFill="1" applyBorder="1" applyAlignment="1">
      <alignment horizontal="center" vertical="center"/>
    </xf>
    <xf numFmtId="181" fontId="14" fillId="39" borderId="112" xfId="23422" applyNumberFormat="1" applyFont="1" applyFill="1" applyBorder="1" applyAlignment="1">
      <alignment horizontal="center" vertical="center"/>
    </xf>
    <xf numFmtId="181" fontId="14" fillId="39" borderId="110" xfId="23422" applyNumberFormat="1" applyFont="1" applyFill="1" applyBorder="1" applyAlignment="1">
      <alignment horizontal="center" vertical="center"/>
    </xf>
    <xf numFmtId="40" fontId="16" fillId="0" borderId="232" xfId="0" applyNumberFormat="1" applyFont="1" applyBorder="1" applyAlignment="1">
      <alignment horizontal="center" vertical="center"/>
    </xf>
    <xf numFmtId="40" fontId="16" fillId="0" borderId="143" xfId="0" applyNumberFormat="1" applyFont="1" applyBorder="1" applyAlignment="1">
      <alignment horizontal="center" vertical="center"/>
    </xf>
    <xf numFmtId="40" fontId="14" fillId="39" borderId="269" xfId="0" applyNumberFormat="1" applyFont="1" applyFill="1" applyBorder="1" applyAlignment="1">
      <alignment horizontal="center" vertical="center"/>
    </xf>
    <xf numFmtId="40" fontId="14" fillId="39" borderId="273" xfId="0" applyNumberFormat="1" applyFont="1" applyFill="1" applyBorder="1" applyAlignment="1">
      <alignment horizontal="center" vertical="center"/>
    </xf>
    <xf numFmtId="40" fontId="14" fillId="39" borderId="220" xfId="0" applyNumberFormat="1" applyFont="1" applyFill="1" applyBorder="1" applyAlignment="1">
      <alignment horizontal="center" vertical="center"/>
    </xf>
    <xf numFmtId="40" fontId="14" fillId="39" borderId="142" xfId="0" applyNumberFormat="1" applyFont="1" applyFill="1" applyBorder="1" applyAlignment="1">
      <alignment horizontal="center" vertical="center"/>
    </xf>
    <xf numFmtId="40" fontId="14" fillId="39" borderId="227" xfId="0" applyNumberFormat="1" applyFont="1" applyFill="1" applyBorder="1" applyAlignment="1">
      <alignment horizontal="center" vertical="center"/>
    </xf>
    <xf numFmtId="40" fontId="14" fillId="39" borderId="232" xfId="0" applyNumberFormat="1" applyFont="1" applyFill="1" applyBorder="1" applyAlignment="1">
      <alignment horizontal="center" vertical="center"/>
    </xf>
    <xf numFmtId="40" fontId="14" fillId="39" borderId="232" xfId="0" applyNumberFormat="1" applyFont="1" applyFill="1" applyBorder="1" applyAlignment="1">
      <alignment horizontal="center" vertical="center" wrapText="1"/>
    </xf>
    <xf numFmtId="40" fontId="14" fillId="39" borderId="8" xfId="0" applyNumberFormat="1" applyFont="1" applyFill="1" applyBorder="1" applyAlignment="1">
      <alignment horizontal="center" vertical="center" wrapText="1"/>
    </xf>
    <xf numFmtId="186" fontId="14" fillId="39" borderId="232" xfId="0" applyNumberFormat="1" applyFont="1" applyFill="1" applyBorder="1" applyAlignment="1">
      <alignment horizontal="center" vertical="center" wrapText="1"/>
    </xf>
    <xf numFmtId="186" fontId="17" fillId="39" borderId="8" xfId="0" applyNumberFormat="1" applyFont="1" applyFill="1" applyBorder="1" applyAlignment="1">
      <alignment horizontal="center" vertical="center" wrapText="1"/>
    </xf>
    <xf numFmtId="40" fontId="14" fillId="39" borderId="143" xfId="0" applyNumberFormat="1" applyFont="1" applyFill="1" applyBorder="1" applyAlignment="1">
      <alignment horizontal="center" vertical="center" wrapText="1"/>
    </xf>
    <xf numFmtId="40" fontId="14" fillId="39" borderId="203" xfId="0" applyNumberFormat="1" applyFont="1" applyFill="1" applyBorder="1" applyAlignment="1">
      <alignment horizontal="center" vertical="center" wrapText="1"/>
    </xf>
    <xf numFmtId="40" fontId="14" fillId="39" borderId="111" xfId="0" applyNumberFormat="1" applyFont="1" applyFill="1" applyBorder="1" applyAlignment="1">
      <alignment horizontal="center" vertical="center" wrapText="1"/>
    </xf>
    <xf numFmtId="40" fontId="14" fillId="39" borderId="226" xfId="0" applyNumberFormat="1" applyFont="1" applyFill="1" applyBorder="1" applyAlignment="1">
      <alignment horizontal="center" vertical="center" wrapText="1"/>
    </xf>
    <xf numFmtId="40" fontId="14" fillId="39" borderId="227" xfId="0" applyNumberFormat="1" applyFont="1" applyFill="1" applyBorder="1" applyAlignment="1">
      <alignment horizontal="center" vertical="center" wrapText="1"/>
    </xf>
    <xf numFmtId="40" fontId="14" fillId="39" borderId="105" xfId="0" applyNumberFormat="1" applyFont="1" applyFill="1" applyBorder="1" applyAlignment="1">
      <alignment horizontal="center" vertical="center" wrapText="1"/>
    </xf>
    <xf numFmtId="40" fontId="14" fillId="39" borderId="253" xfId="0" applyNumberFormat="1" applyFont="1" applyFill="1" applyBorder="1" applyAlignment="1">
      <alignment horizontal="center" vertical="center" wrapText="1"/>
    </xf>
    <xf numFmtId="40" fontId="14" fillId="39" borderId="9" xfId="23422" applyFont="1" applyFill="1" applyBorder="1" applyAlignment="1">
      <alignment horizontal="center" vertical="center"/>
    </xf>
    <xf numFmtId="40" fontId="14" fillId="39" borderId="42" xfId="23422" applyFont="1" applyFill="1" applyBorder="1" applyAlignment="1">
      <alignment horizontal="center" vertical="center"/>
    </xf>
    <xf numFmtId="40" fontId="14" fillId="39" borderId="43" xfId="23422" applyFont="1" applyFill="1" applyBorder="1" applyAlignment="1">
      <alignment horizontal="center" vertical="center"/>
    </xf>
    <xf numFmtId="40" fontId="8" fillId="39" borderId="67" xfId="23422" applyFont="1" applyFill="1" applyBorder="1" applyAlignment="1">
      <alignment horizontal="center" vertical="center"/>
    </xf>
    <xf numFmtId="40" fontId="8" fillId="39" borderId="42" xfId="23422" applyFont="1" applyFill="1" applyBorder="1" applyAlignment="1">
      <alignment horizontal="center" vertical="center"/>
    </xf>
    <xf numFmtId="40" fontId="8" fillId="39" borderId="66" xfId="23422" applyFont="1" applyFill="1" applyBorder="1" applyAlignment="1">
      <alignment horizontal="center" vertical="center"/>
    </xf>
    <xf numFmtId="40" fontId="14" fillId="39" borderId="4" xfId="23422" applyFont="1" applyFill="1" applyBorder="1" applyAlignment="1">
      <alignment horizontal="center" vertical="center" wrapText="1"/>
    </xf>
    <xf numFmtId="167" fontId="14" fillId="39" borderId="58" xfId="0" applyFont="1" applyFill="1" applyBorder="1" applyAlignment="1">
      <alignment vertical="center" wrapText="1"/>
    </xf>
    <xf numFmtId="40" fontId="14" fillId="39" borderId="32" xfId="23422" applyFont="1" applyFill="1" applyBorder="1" applyAlignment="1">
      <alignment horizontal="center" vertical="center" wrapText="1"/>
    </xf>
    <xf numFmtId="40" fontId="14" fillId="39" borderId="60" xfId="23422" applyFont="1" applyFill="1" applyBorder="1" applyAlignment="1">
      <alignment horizontal="center" vertical="center"/>
    </xf>
    <xf numFmtId="40" fontId="14" fillId="39" borderId="122" xfId="23422" applyFont="1" applyFill="1" applyBorder="1" applyAlignment="1">
      <alignment horizontal="center" vertical="center"/>
    </xf>
    <xf numFmtId="40" fontId="14" fillId="39" borderId="111" xfId="23422" applyFont="1" applyFill="1" applyBorder="1" applyAlignment="1">
      <alignment horizontal="center" vertical="center"/>
    </xf>
    <xf numFmtId="40" fontId="14" fillId="39" borderId="110" xfId="23422" applyFont="1" applyFill="1" applyBorder="1" applyAlignment="1">
      <alignment horizontal="center" vertical="center"/>
    </xf>
    <xf numFmtId="40" fontId="14" fillId="39" borderId="5" xfId="23422" applyFont="1" applyFill="1" applyBorder="1" applyAlignment="1">
      <alignment horizontal="center" vertical="center" wrapText="1"/>
    </xf>
    <xf numFmtId="40" fontId="14" fillId="39" borderId="7" xfId="23422" applyFont="1" applyFill="1" applyBorder="1" applyAlignment="1">
      <alignment horizontal="center" vertical="center"/>
    </xf>
    <xf numFmtId="40" fontId="14" fillId="39" borderId="40" xfId="23422" applyFont="1" applyFill="1" applyBorder="1" applyAlignment="1">
      <alignment horizontal="center" vertical="center"/>
    </xf>
    <xf numFmtId="40" fontId="14" fillId="39" borderId="18" xfId="23422" applyFont="1" applyFill="1" applyBorder="1" applyAlignment="1">
      <alignment horizontal="center" vertical="center"/>
    </xf>
    <xf numFmtId="40" fontId="85" fillId="39" borderId="4" xfId="23422" applyFont="1" applyFill="1" applyBorder="1" applyAlignment="1">
      <alignment horizontal="center" vertical="center" wrapText="1"/>
    </xf>
    <xf numFmtId="167" fontId="85" fillId="39" borderId="58" xfId="0" applyFont="1" applyFill="1" applyBorder="1" applyAlignment="1">
      <alignment vertical="center" wrapText="1"/>
    </xf>
    <xf numFmtId="40" fontId="14" fillId="39" borderId="2" xfId="23422" applyFont="1" applyFill="1" applyBorder="1" applyAlignment="1">
      <alignment horizontal="center" vertical="center" wrapText="1"/>
    </xf>
    <xf numFmtId="40" fontId="14" fillId="39" borderId="121" xfId="23422" applyFont="1" applyFill="1" applyBorder="1" applyAlignment="1">
      <alignment horizontal="center" vertical="center" wrapText="1"/>
    </xf>
    <xf numFmtId="40" fontId="8" fillId="39" borderId="269" xfId="23422" applyFont="1" applyFill="1" applyBorder="1" applyAlignment="1">
      <alignment horizontal="center"/>
    </xf>
    <xf numFmtId="40" fontId="8" fillId="39" borderId="273" xfId="23422" applyFont="1" applyFill="1" applyBorder="1" applyAlignment="1">
      <alignment horizontal="center"/>
    </xf>
    <xf numFmtId="40" fontId="8" fillId="39" borderId="220" xfId="23422" applyFont="1" applyFill="1" applyBorder="1" applyAlignment="1">
      <alignment horizontal="center"/>
    </xf>
    <xf numFmtId="40" fontId="8" fillId="39" borderId="63" xfId="23422" applyFont="1" applyFill="1" applyBorder="1" applyAlignment="1">
      <alignment horizontal="center" vertical="center"/>
    </xf>
    <xf numFmtId="40" fontId="8" fillId="39" borderId="0" xfId="23422" applyFont="1" applyFill="1" applyBorder="1" applyAlignment="1">
      <alignment horizontal="center" vertical="center"/>
    </xf>
    <xf numFmtId="40" fontId="8" fillId="39" borderId="62" xfId="23422" applyFont="1" applyFill="1" applyBorder="1" applyAlignment="1">
      <alignment horizontal="center" vertical="center"/>
    </xf>
    <xf numFmtId="40" fontId="8" fillId="39" borderId="331" xfId="23422" applyFont="1" applyFill="1" applyBorder="1" applyAlignment="1">
      <alignment horizontal="center" vertical="center"/>
    </xf>
    <xf numFmtId="40" fontId="8" fillId="39" borderId="332" xfId="23422" applyFont="1" applyFill="1" applyBorder="1" applyAlignment="1">
      <alignment horizontal="center" vertical="center"/>
    </xf>
    <xf numFmtId="40" fontId="8" fillId="39" borderId="333" xfId="23422" applyFont="1" applyFill="1" applyBorder="1" applyAlignment="1">
      <alignment horizontal="center" vertical="center"/>
    </xf>
    <xf numFmtId="0" fontId="7" fillId="39" borderId="200" xfId="14471" applyFont="1" applyFill="1" applyBorder="1" applyAlignment="1">
      <alignment horizontal="center" vertical="center"/>
    </xf>
    <xf numFmtId="0" fontId="7" fillId="39" borderId="142" xfId="14471" applyFont="1" applyFill="1" applyBorder="1" applyAlignment="1">
      <alignment horizontal="center" vertical="center"/>
    </xf>
    <xf numFmtId="0" fontId="7" fillId="39" borderId="202" xfId="14471" applyFont="1" applyFill="1" applyBorder="1" applyAlignment="1">
      <alignment horizontal="center" vertical="center"/>
    </xf>
    <xf numFmtId="0" fontId="7" fillId="39" borderId="301" xfId="14471" applyFont="1" applyFill="1" applyBorder="1" applyAlignment="1">
      <alignment horizontal="center" vertical="center" wrapText="1"/>
    </xf>
    <xf numFmtId="0" fontId="7" fillId="39" borderId="232" xfId="14471" applyFont="1" applyFill="1" applyBorder="1" applyAlignment="1">
      <alignment horizontal="center" vertical="center" wrapText="1"/>
    </xf>
    <xf numFmtId="0" fontId="7" fillId="39" borderId="8" xfId="14471" applyFont="1" applyFill="1" applyBorder="1" applyAlignment="1">
      <alignment horizontal="center" vertical="center" wrapText="1"/>
    </xf>
    <xf numFmtId="167" fontId="7" fillId="39" borderId="67" xfId="0" applyFont="1" applyFill="1" applyBorder="1" applyAlignment="1">
      <alignment horizontal="center" vertical="center"/>
    </xf>
    <xf numFmtId="167" fontId="7" fillId="39" borderId="270" xfId="0" applyFont="1" applyFill="1" applyBorder="1" applyAlignment="1">
      <alignment horizontal="center" vertical="center"/>
    </xf>
    <xf numFmtId="167" fontId="7" fillId="39" borderId="66" xfId="0" applyFont="1" applyFill="1" applyBorder="1" applyAlignment="1">
      <alignment horizontal="center" vertical="center"/>
    </xf>
    <xf numFmtId="0" fontId="7" fillId="39" borderId="302" xfId="14471" applyFont="1" applyFill="1" applyBorder="1" applyAlignment="1">
      <alignment horizontal="center" vertical="center" wrapText="1"/>
    </xf>
    <xf numFmtId="0" fontId="7" fillId="39" borderId="143" xfId="14471" applyFont="1" applyFill="1" applyBorder="1" applyAlignment="1">
      <alignment horizontal="center" vertical="center" wrapText="1"/>
    </xf>
    <xf numFmtId="0" fontId="7" fillId="39" borderId="203" xfId="14471" applyFont="1" applyFill="1" applyBorder="1" applyAlignment="1">
      <alignment horizontal="center" vertical="center" wrapText="1"/>
    </xf>
    <xf numFmtId="2" fontId="7" fillId="39" borderId="59" xfId="14471" applyNumberFormat="1" applyFont="1" applyFill="1" applyBorder="1" applyAlignment="1">
      <alignment horizontal="center" vertical="center"/>
    </xf>
    <xf numFmtId="2" fontId="7" fillId="0" borderId="0" xfId="14471" applyNumberFormat="1" applyFont="1" applyAlignment="1">
      <alignment horizontal="center" vertical="center"/>
    </xf>
    <xf numFmtId="4" fontId="13" fillId="0" borderId="0" xfId="14471" applyNumberFormat="1" applyFont="1" applyAlignment="1">
      <alignment horizontal="center" vertical="center"/>
    </xf>
    <xf numFmtId="0" fontId="7" fillId="39" borderId="67" xfId="0" applyNumberFormat="1" applyFont="1" applyFill="1" applyBorder="1" applyAlignment="1">
      <alignment horizontal="center" vertical="center"/>
    </xf>
    <xf numFmtId="0" fontId="7" fillId="39" borderId="270" xfId="0" applyNumberFormat="1" applyFont="1" applyFill="1" applyBorder="1" applyAlignment="1">
      <alignment horizontal="center" vertical="center"/>
    </xf>
    <xf numFmtId="167" fontId="9" fillId="0" borderId="66" xfId="0" applyFont="1" applyBorder="1" applyAlignment="1">
      <alignment vertical="center"/>
    </xf>
    <xf numFmtId="167" fontId="9" fillId="0" borderId="326" xfId="0" applyFont="1" applyBorder="1" applyAlignment="1">
      <alignment vertical="center"/>
    </xf>
    <xf numFmtId="167" fontId="7" fillId="39" borderId="326" xfId="0" applyFont="1" applyFill="1" applyBorder="1" applyAlignment="1">
      <alignment horizontal="center" vertical="center"/>
    </xf>
    <xf numFmtId="40" fontId="8" fillId="39" borderId="290" xfId="23422" applyFont="1" applyFill="1" applyBorder="1" applyAlignment="1">
      <alignment horizontal="center" vertical="center"/>
    </xf>
    <xf numFmtId="40" fontId="8" fillId="39" borderId="325" xfId="23422" applyFont="1" applyFill="1" applyBorder="1" applyAlignment="1">
      <alignment horizontal="center" vertical="center"/>
    </xf>
    <xf numFmtId="40" fontId="8" fillId="39" borderId="292" xfId="23422" applyFont="1" applyFill="1" applyBorder="1" applyAlignment="1">
      <alignment horizontal="center" vertical="center"/>
    </xf>
  </cellXfs>
  <cellStyles count="41076">
    <cellStyle name="20% - Ênfase1 10" xfId="23"/>
    <cellStyle name="20% - Ênfase1 10 2" xfId="40458"/>
    <cellStyle name="20% - Ênfase1 100" xfId="24"/>
    <cellStyle name="20% - Ênfase1 101" xfId="25"/>
    <cellStyle name="20% - Ênfase1 102" xfId="26"/>
    <cellStyle name="20% - Ênfase1 103" xfId="27"/>
    <cellStyle name="20% - Ênfase1 104" xfId="28"/>
    <cellStyle name="20% - Ênfase1 105" xfId="29"/>
    <cellStyle name="20% - Ênfase1 106" xfId="30"/>
    <cellStyle name="20% - Ênfase1 107" xfId="31"/>
    <cellStyle name="20% - Ênfase1 108" xfId="32"/>
    <cellStyle name="20% - Ênfase1 109" xfId="33"/>
    <cellStyle name="20% - Ênfase1 11" xfId="34"/>
    <cellStyle name="20% - Ênfase1 11 2" xfId="40459"/>
    <cellStyle name="20% - Ênfase1 110" xfId="35"/>
    <cellStyle name="20% - Ênfase1 111" xfId="36"/>
    <cellStyle name="20% - Ênfase1 112" xfId="37"/>
    <cellStyle name="20% - Ênfase1 113" xfId="38"/>
    <cellStyle name="20% - Ênfase1 114" xfId="39"/>
    <cellStyle name="20% - Ênfase1 115" xfId="40"/>
    <cellStyle name="20% - Ênfase1 116" xfId="41"/>
    <cellStyle name="20% - Ênfase1 117" xfId="42"/>
    <cellStyle name="20% - Ênfase1 118" xfId="43"/>
    <cellStyle name="20% - Ênfase1 119" xfId="44"/>
    <cellStyle name="20% - Ênfase1 12" xfId="45"/>
    <cellStyle name="20% - Ênfase1 12 2" xfId="40460"/>
    <cellStyle name="20% - Ênfase1 120" xfId="46"/>
    <cellStyle name="20% - Ênfase1 121" xfId="47"/>
    <cellStyle name="20% - Ênfase1 122" xfId="48"/>
    <cellStyle name="20% - Ênfase1 123" xfId="49"/>
    <cellStyle name="20% - Ênfase1 124" xfId="50"/>
    <cellStyle name="20% - Ênfase1 125" xfId="51"/>
    <cellStyle name="20% - Ênfase1 126" xfId="52"/>
    <cellStyle name="20% - Ênfase1 127" xfId="53"/>
    <cellStyle name="20% - Ênfase1 128" xfId="54"/>
    <cellStyle name="20% - Ênfase1 129" xfId="55"/>
    <cellStyle name="20% - Ênfase1 13" xfId="56"/>
    <cellStyle name="20% - Ênfase1 13 2" xfId="40461"/>
    <cellStyle name="20% - Ênfase1 130" xfId="57"/>
    <cellStyle name="20% - Ênfase1 131" xfId="58"/>
    <cellStyle name="20% - Ênfase1 132" xfId="59"/>
    <cellStyle name="20% - Ênfase1 133" xfId="60"/>
    <cellStyle name="20% - Ênfase1 134" xfId="61"/>
    <cellStyle name="20% - Ênfase1 135" xfId="62"/>
    <cellStyle name="20% - Ênfase1 136" xfId="63"/>
    <cellStyle name="20% - Ênfase1 137" xfId="64"/>
    <cellStyle name="20% - Ênfase1 138" xfId="65"/>
    <cellStyle name="20% - Ênfase1 139" xfId="66"/>
    <cellStyle name="20% - Ênfase1 14" xfId="67"/>
    <cellStyle name="20% - Ênfase1 140" xfId="68"/>
    <cellStyle name="20% - Ênfase1 141" xfId="69"/>
    <cellStyle name="20% - Ênfase1 142" xfId="70"/>
    <cellStyle name="20% - Ênfase1 143" xfId="71"/>
    <cellStyle name="20% - Ênfase1 144" xfId="72"/>
    <cellStyle name="20% - Ênfase1 145" xfId="73"/>
    <cellStyle name="20% - Ênfase1 146" xfId="74"/>
    <cellStyle name="20% - Ênfase1 147" xfId="75"/>
    <cellStyle name="20% - Ênfase1 148" xfId="76"/>
    <cellStyle name="20% - Ênfase1 149" xfId="77"/>
    <cellStyle name="20% - Ênfase1 15" xfId="78"/>
    <cellStyle name="20% - Ênfase1 15 2" xfId="79"/>
    <cellStyle name="20% - Ênfase1 15 3" xfId="80"/>
    <cellStyle name="20% - Ênfase1 150" xfId="81"/>
    <cellStyle name="20% - Ênfase1 151" xfId="82"/>
    <cellStyle name="20% - Ênfase1 152" xfId="83"/>
    <cellStyle name="20% - Ênfase1 153" xfId="84"/>
    <cellStyle name="20% - Ênfase1 154" xfId="85"/>
    <cellStyle name="20% - Ênfase1 155" xfId="86"/>
    <cellStyle name="20% - Ênfase1 156" xfId="87"/>
    <cellStyle name="20% - Ênfase1 157" xfId="88"/>
    <cellStyle name="20% - Ênfase1 158" xfId="89"/>
    <cellStyle name="20% - Ênfase1 159" xfId="90"/>
    <cellStyle name="20% - Ênfase1 16" xfId="91"/>
    <cellStyle name="20% - Ênfase1 16 2" xfId="92"/>
    <cellStyle name="20% - Ênfase1 16 3" xfId="93"/>
    <cellStyle name="20% - Ênfase1 160" xfId="94"/>
    <cellStyle name="20% - Ênfase1 161" xfId="95"/>
    <cellStyle name="20% - Ênfase1 162" xfId="96"/>
    <cellStyle name="20% - Ênfase1 163" xfId="97"/>
    <cellStyle name="20% - Ênfase1 164" xfId="98"/>
    <cellStyle name="20% - Ênfase1 165" xfId="99"/>
    <cellStyle name="20% - Ênfase1 166" xfId="100"/>
    <cellStyle name="20% - Ênfase1 167" xfId="101"/>
    <cellStyle name="20% - Ênfase1 168" xfId="102"/>
    <cellStyle name="20% - Ênfase1 169" xfId="103"/>
    <cellStyle name="20% - Ênfase1 17" xfId="104"/>
    <cellStyle name="20% - Ênfase1 17 2" xfId="105"/>
    <cellStyle name="20% - Ênfase1 17 3" xfId="106"/>
    <cellStyle name="20% - Ênfase1 170" xfId="107"/>
    <cellStyle name="20% - Ênfase1 171" xfId="108"/>
    <cellStyle name="20% - Ênfase1 172" xfId="109"/>
    <cellStyle name="20% - Ênfase1 173" xfId="110"/>
    <cellStyle name="20% - Ênfase1 174" xfId="111"/>
    <cellStyle name="20% - Ênfase1 175" xfId="112"/>
    <cellStyle name="20% - Ênfase1 176" xfId="113"/>
    <cellStyle name="20% - Ênfase1 177" xfId="114"/>
    <cellStyle name="20% - Ênfase1 178" xfId="115"/>
    <cellStyle name="20% - Ênfase1 179" xfId="116"/>
    <cellStyle name="20% - Ênfase1 18" xfId="117"/>
    <cellStyle name="20% - Ênfase1 18 2" xfId="118"/>
    <cellStyle name="20% - Ênfase1 18 3" xfId="119"/>
    <cellStyle name="20% - Ênfase1 180" xfId="120"/>
    <cellStyle name="20% - Ênfase1 181" xfId="121"/>
    <cellStyle name="20% - Ênfase1 182" xfId="122"/>
    <cellStyle name="20% - Ênfase1 183" xfId="123"/>
    <cellStyle name="20% - Ênfase1 184" xfId="124"/>
    <cellStyle name="20% - Ênfase1 185" xfId="125"/>
    <cellStyle name="20% - Ênfase1 186" xfId="126"/>
    <cellStyle name="20% - Ênfase1 187" xfId="127"/>
    <cellStyle name="20% - Ênfase1 188" xfId="128"/>
    <cellStyle name="20% - Ênfase1 189" xfId="129"/>
    <cellStyle name="20% - Ênfase1 19" xfId="130"/>
    <cellStyle name="20% - Ênfase1 19 2" xfId="131"/>
    <cellStyle name="20% - Ênfase1 19 3" xfId="132"/>
    <cellStyle name="20% - Ênfase1 190" xfId="133"/>
    <cellStyle name="20% - Ênfase1 2" xfId="1"/>
    <cellStyle name="20% - Ênfase1 2 10" xfId="2"/>
    <cellStyle name="20% - Ênfase1 2 10 2" xfId="134"/>
    <cellStyle name="20% - Ênfase1 2 10 3" xfId="135"/>
    <cellStyle name="20% - Ênfase1 2 10 4" xfId="136"/>
    <cellStyle name="20% - Ênfase1 2 10 5" xfId="137"/>
    <cellStyle name="20% - Ênfase1 2 10 6" xfId="138"/>
    <cellStyle name="20% - Ênfase1 2 10 7" xfId="139"/>
    <cellStyle name="20% - Ênfase1 2 11" xfId="140"/>
    <cellStyle name="20% - Ênfase1 2 11 2" xfId="141"/>
    <cellStyle name="20% - Ênfase1 2 11 3" xfId="142"/>
    <cellStyle name="20% - Ênfase1 2 11 4" xfId="143"/>
    <cellStyle name="20% - Ênfase1 2 11 5" xfId="144"/>
    <cellStyle name="20% - Ênfase1 2 11 6" xfId="145"/>
    <cellStyle name="20% - Ênfase1 2 11 7" xfId="146"/>
    <cellStyle name="20% - Ênfase1 2 12" xfId="3"/>
    <cellStyle name="20% - Ênfase1 2 12 2" xfId="29370"/>
    <cellStyle name="20% - Ênfase1 2 13" xfId="4"/>
    <cellStyle name="20% - Ênfase1 2 13 2" xfId="29369"/>
    <cellStyle name="20% - Ênfase1 2 14" xfId="5"/>
    <cellStyle name="20% - Ênfase1 2 14 2" xfId="29368"/>
    <cellStyle name="20% - Ênfase1 2 15" xfId="6"/>
    <cellStyle name="20% - Ênfase1 2 15 2" xfId="29367"/>
    <cellStyle name="20% - Ênfase1 2 16" xfId="7"/>
    <cellStyle name="20% - Ênfase1 2 16 2" xfId="29378"/>
    <cellStyle name="20% - Ênfase1 2 17" xfId="8"/>
    <cellStyle name="20% - Ênfase1 2 17 2" xfId="29366"/>
    <cellStyle name="20% - Ênfase1 2 18" xfId="9"/>
    <cellStyle name="20% - Ênfase1 2 18 2" xfId="29365"/>
    <cellStyle name="20% - Ênfase1 2 19" xfId="147"/>
    <cellStyle name="20% - Ênfase1 2 2" xfId="148"/>
    <cellStyle name="20% - Ênfase1 2 20" xfId="149"/>
    <cellStyle name="20% - Ênfase1 2 21" xfId="150"/>
    <cellStyle name="20% - Ênfase1 2 22" xfId="151"/>
    <cellStyle name="20% - Ênfase1 2 23" xfId="152"/>
    <cellStyle name="20% - Ênfase1 2 24" xfId="153"/>
    <cellStyle name="20% - Ênfase1 2 25" xfId="154"/>
    <cellStyle name="20% - Ênfase1 2 26" xfId="155"/>
    <cellStyle name="20% - Ênfase1 2 27" xfId="156"/>
    <cellStyle name="20% - Ênfase1 2 28" xfId="157"/>
    <cellStyle name="20% - Ênfase1 2 29" xfId="158"/>
    <cellStyle name="20% - Ênfase1 2 3" xfId="159"/>
    <cellStyle name="20% - Ênfase1 2 30" xfId="160"/>
    <cellStyle name="20% - Ênfase1 2 31" xfId="161"/>
    <cellStyle name="20% - Ênfase1 2 32" xfId="162"/>
    <cellStyle name="20% - Ênfase1 2 33" xfId="163"/>
    <cellStyle name="20% - Ênfase1 2 34" xfId="164"/>
    <cellStyle name="20% - Ênfase1 2 35" xfId="165"/>
    <cellStyle name="20% - Ênfase1 2 36" xfId="29371"/>
    <cellStyle name="20% - Ênfase1 2 4" xfId="166"/>
    <cellStyle name="20% - Ênfase1 2 5" xfId="167"/>
    <cellStyle name="20% - Ênfase1 2 6" xfId="168"/>
    <cellStyle name="20% - Ênfase1 2 7" xfId="169"/>
    <cellStyle name="20% - Ênfase1 2 8" xfId="170"/>
    <cellStyle name="20% - Ênfase1 2 8 2" xfId="171"/>
    <cellStyle name="20% - Ênfase1 2 8 3" xfId="172"/>
    <cellStyle name="20% - Ênfase1 2 8 4" xfId="173"/>
    <cellStyle name="20% - Ênfase1 2 8 5" xfId="174"/>
    <cellStyle name="20% - Ênfase1 2 8 6" xfId="175"/>
    <cellStyle name="20% - Ênfase1 2 8 7" xfId="176"/>
    <cellStyle name="20% - Ênfase1 2 9" xfId="177"/>
    <cellStyle name="20% - Ênfase1 2 9 2" xfId="178"/>
    <cellStyle name="20% - Ênfase1 2 9 3" xfId="179"/>
    <cellStyle name="20% - Ênfase1 2 9 4" xfId="180"/>
    <cellStyle name="20% - Ênfase1 2 9 5" xfId="181"/>
    <cellStyle name="20% - Ênfase1 2 9 6" xfId="182"/>
    <cellStyle name="20% - Ênfase1 2 9 7" xfId="183"/>
    <cellStyle name="20% - Ênfase1 20" xfId="184"/>
    <cellStyle name="20% - Ênfase1 20 2" xfId="185"/>
    <cellStyle name="20% - Ênfase1 20 3" xfId="186"/>
    <cellStyle name="20% - Ênfase1 21" xfId="187"/>
    <cellStyle name="20% - Ênfase1 22" xfId="188"/>
    <cellStyle name="20% - Ênfase1 23" xfId="189"/>
    <cellStyle name="20% - Ênfase1 24" xfId="190"/>
    <cellStyle name="20% - Ênfase1 24 2" xfId="40929"/>
    <cellStyle name="20% - Ênfase1 25" xfId="191"/>
    <cellStyle name="20% - Ênfase1 25 2" xfId="40964"/>
    <cellStyle name="20% - Ênfase1 26" xfId="192"/>
    <cellStyle name="20% - Ênfase1 26 10" xfId="193"/>
    <cellStyle name="20% - Ênfase1 26 11" xfId="194"/>
    <cellStyle name="20% - Ênfase1 26 12" xfId="195"/>
    <cellStyle name="20% - Ênfase1 26 13" xfId="196"/>
    <cellStyle name="20% - Ênfase1 26 14" xfId="197"/>
    <cellStyle name="20% - Ênfase1 26 15" xfId="198"/>
    <cellStyle name="20% - Ênfase1 26 16" xfId="199"/>
    <cellStyle name="20% - Ênfase1 26 2" xfId="200"/>
    <cellStyle name="20% - Ênfase1 26 3" xfId="201"/>
    <cellStyle name="20% - Ênfase1 26 4" xfId="202"/>
    <cellStyle name="20% - Ênfase1 26 5" xfId="203"/>
    <cellStyle name="20% - Ênfase1 26 6" xfId="204"/>
    <cellStyle name="20% - Ênfase1 26 7" xfId="205"/>
    <cellStyle name="20% - Ênfase1 26 8" xfId="206"/>
    <cellStyle name="20% - Ênfase1 26 9" xfId="207"/>
    <cellStyle name="20% - Ênfase1 27" xfId="208"/>
    <cellStyle name="20% - Ênfase1 27 10" xfId="209"/>
    <cellStyle name="20% - Ênfase1 27 11" xfId="210"/>
    <cellStyle name="20% - Ênfase1 27 12" xfId="211"/>
    <cellStyle name="20% - Ênfase1 27 13" xfId="212"/>
    <cellStyle name="20% - Ênfase1 27 14" xfId="213"/>
    <cellStyle name="20% - Ênfase1 27 15" xfId="214"/>
    <cellStyle name="20% - Ênfase1 27 16" xfId="215"/>
    <cellStyle name="20% - Ênfase1 27 2" xfId="216"/>
    <cellStyle name="20% - Ênfase1 27 3" xfId="217"/>
    <cellStyle name="20% - Ênfase1 27 4" xfId="218"/>
    <cellStyle name="20% - Ênfase1 27 5" xfId="219"/>
    <cellStyle name="20% - Ênfase1 27 6" xfId="220"/>
    <cellStyle name="20% - Ênfase1 27 7" xfId="221"/>
    <cellStyle name="20% - Ênfase1 27 8" xfId="222"/>
    <cellStyle name="20% - Ênfase1 27 9" xfId="223"/>
    <cellStyle name="20% - Ênfase1 28" xfId="224"/>
    <cellStyle name="20% - Ênfase1 28 10" xfId="225"/>
    <cellStyle name="20% - Ênfase1 28 11" xfId="226"/>
    <cellStyle name="20% - Ênfase1 28 12" xfId="227"/>
    <cellStyle name="20% - Ênfase1 28 13" xfId="228"/>
    <cellStyle name="20% - Ênfase1 28 14" xfId="229"/>
    <cellStyle name="20% - Ênfase1 28 15" xfId="230"/>
    <cellStyle name="20% - Ênfase1 28 16" xfId="231"/>
    <cellStyle name="20% - Ênfase1 28 2" xfId="232"/>
    <cellStyle name="20% - Ênfase1 28 3" xfId="233"/>
    <cellStyle name="20% - Ênfase1 28 4" xfId="234"/>
    <cellStyle name="20% - Ênfase1 28 5" xfId="235"/>
    <cellStyle name="20% - Ênfase1 28 6" xfId="236"/>
    <cellStyle name="20% - Ênfase1 28 7" xfId="237"/>
    <cellStyle name="20% - Ênfase1 28 8" xfId="238"/>
    <cellStyle name="20% - Ênfase1 28 9" xfId="239"/>
    <cellStyle name="20% - Ênfase1 29" xfId="240"/>
    <cellStyle name="20% - Ênfase1 29 10" xfId="241"/>
    <cellStyle name="20% - Ênfase1 29 11" xfId="242"/>
    <cellStyle name="20% - Ênfase1 29 12" xfId="243"/>
    <cellStyle name="20% - Ênfase1 29 13" xfId="244"/>
    <cellStyle name="20% - Ênfase1 29 14" xfId="245"/>
    <cellStyle name="20% - Ênfase1 29 15" xfId="246"/>
    <cellStyle name="20% - Ênfase1 29 16" xfId="247"/>
    <cellStyle name="20% - Ênfase1 29 2" xfId="248"/>
    <cellStyle name="20% - Ênfase1 29 3" xfId="249"/>
    <cellStyle name="20% - Ênfase1 29 4" xfId="250"/>
    <cellStyle name="20% - Ênfase1 29 5" xfId="251"/>
    <cellStyle name="20% - Ênfase1 29 6" xfId="252"/>
    <cellStyle name="20% - Ênfase1 29 7" xfId="253"/>
    <cellStyle name="20% - Ênfase1 29 8" xfId="254"/>
    <cellStyle name="20% - Ênfase1 29 9" xfId="255"/>
    <cellStyle name="20% - Ênfase1 3" xfId="256"/>
    <cellStyle name="20% - Ênfase1 3 10" xfId="257"/>
    <cellStyle name="20% - Ênfase1 3 11" xfId="258"/>
    <cellStyle name="20% - Ênfase1 3 2" xfId="259"/>
    <cellStyle name="20% - Ênfase1 3 3" xfId="260"/>
    <cellStyle name="20% - Ênfase1 3 4" xfId="261"/>
    <cellStyle name="20% - Ênfase1 3 5" xfId="262"/>
    <cellStyle name="20% - Ênfase1 3 6" xfId="263"/>
    <cellStyle name="20% - Ênfase1 3 7" xfId="264"/>
    <cellStyle name="20% - Ênfase1 3 8" xfId="265"/>
    <cellStyle name="20% - Ênfase1 3 9" xfId="266"/>
    <cellStyle name="20% - Ênfase1 30" xfId="267"/>
    <cellStyle name="20% - Ênfase1 31" xfId="268"/>
    <cellStyle name="20% - Ênfase1 32" xfId="269"/>
    <cellStyle name="20% - Ênfase1 33" xfId="270"/>
    <cellStyle name="20% - Ênfase1 34" xfId="271"/>
    <cellStyle name="20% - Ênfase1 35" xfId="272"/>
    <cellStyle name="20% - Ênfase1 36" xfId="273"/>
    <cellStyle name="20% - Ênfase1 37" xfId="274"/>
    <cellStyle name="20% - Ênfase1 38" xfId="275"/>
    <cellStyle name="20% - Ênfase1 39" xfId="276"/>
    <cellStyle name="20% - Ênfase1 4" xfId="277"/>
    <cellStyle name="20% - Ênfase1 4 10" xfId="278"/>
    <cellStyle name="20% - Ênfase1 4 11" xfId="279"/>
    <cellStyle name="20% - Ênfase1 4 2" xfId="280"/>
    <cellStyle name="20% - Ênfase1 4 3" xfId="281"/>
    <cellStyle name="20% - Ênfase1 4 4" xfId="282"/>
    <cellStyle name="20% - Ênfase1 4 5" xfId="283"/>
    <cellStyle name="20% - Ênfase1 4 6" xfId="284"/>
    <cellStyle name="20% - Ênfase1 4 7" xfId="285"/>
    <cellStyle name="20% - Ênfase1 4 8" xfId="286"/>
    <cellStyle name="20% - Ênfase1 4 9" xfId="287"/>
    <cellStyle name="20% - Ênfase1 40" xfId="288"/>
    <cellStyle name="20% - Ênfase1 41" xfId="289"/>
    <cellStyle name="20% - Ênfase1 42" xfId="290"/>
    <cellStyle name="20% - Ênfase1 43" xfId="291"/>
    <cellStyle name="20% - Ênfase1 44" xfId="292"/>
    <cellStyle name="20% - Ênfase1 45" xfId="293"/>
    <cellStyle name="20% - Ênfase1 46" xfId="294"/>
    <cellStyle name="20% - Ênfase1 47" xfId="295"/>
    <cellStyle name="20% - Ênfase1 48" xfId="296"/>
    <cellStyle name="20% - Ênfase1 49" xfId="297"/>
    <cellStyle name="20% - Ênfase1 5" xfId="298"/>
    <cellStyle name="20% - Ênfase1 5 2" xfId="299"/>
    <cellStyle name="20% - Ênfase1 5 3" xfId="300"/>
    <cellStyle name="20% - Ênfase1 5 4" xfId="301"/>
    <cellStyle name="20% - Ênfase1 50" xfId="302"/>
    <cellStyle name="20% - Ênfase1 51" xfId="303"/>
    <cellStyle name="20% - Ênfase1 52" xfId="304"/>
    <cellStyle name="20% - Ênfase1 53" xfId="305"/>
    <cellStyle name="20% - Ênfase1 54" xfId="306"/>
    <cellStyle name="20% - Ênfase1 55" xfId="307"/>
    <cellStyle name="20% - Ênfase1 56" xfId="308"/>
    <cellStyle name="20% - Ênfase1 57" xfId="309"/>
    <cellStyle name="20% - Ênfase1 58" xfId="310"/>
    <cellStyle name="20% - Ênfase1 59" xfId="311"/>
    <cellStyle name="20% - Ênfase1 6" xfId="312"/>
    <cellStyle name="20% - Ênfase1 6 2" xfId="313"/>
    <cellStyle name="20% - Ênfase1 6 3" xfId="314"/>
    <cellStyle name="20% - Ênfase1 6 4" xfId="315"/>
    <cellStyle name="20% - Ênfase1 60" xfId="316"/>
    <cellStyle name="20% - Ênfase1 61" xfId="317"/>
    <cellStyle name="20% - Ênfase1 62" xfId="318"/>
    <cellStyle name="20% - Ênfase1 63" xfId="319"/>
    <cellStyle name="20% - Ênfase1 64" xfId="320"/>
    <cellStyle name="20% - Ênfase1 65" xfId="321"/>
    <cellStyle name="20% - Ênfase1 66" xfId="322"/>
    <cellStyle name="20% - Ênfase1 67" xfId="323"/>
    <cellStyle name="20% - Ênfase1 68" xfId="324"/>
    <cellStyle name="20% - Ênfase1 69" xfId="325"/>
    <cellStyle name="20% - Ênfase1 7" xfId="326"/>
    <cellStyle name="20% - Ênfase1 7 2" xfId="327"/>
    <cellStyle name="20% - Ênfase1 7 3" xfId="328"/>
    <cellStyle name="20% - Ênfase1 7 4" xfId="329"/>
    <cellStyle name="20% - Ênfase1 70" xfId="330"/>
    <cellStyle name="20% - Ênfase1 71" xfId="331"/>
    <cellStyle name="20% - Ênfase1 72" xfId="332"/>
    <cellStyle name="20% - Ênfase1 73" xfId="333"/>
    <cellStyle name="20% - Ênfase1 74" xfId="334"/>
    <cellStyle name="20% - Ênfase1 75" xfId="335"/>
    <cellStyle name="20% - Ênfase1 76" xfId="336"/>
    <cellStyle name="20% - Ênfase1 77" xfId="337"/>
    <cellStyle name="20% - Ênfase1 78" xfId="338"/>
    <cellStyle name="20% - Ênfase1 79" xfId="339"/>
    <cellStyle name="20% - Ênfase1 8" xfId="340"/>
    <cellStyle name="20% - Ênfase1 8 2" xfId="341"/>
    <cellStyle name="20% - Ênfase1 8 3" xfId="342"/>
    <cellStyle name="20% - Ênfase1 8 4" xfId="343"/>
    <cellStyle name="20% - Ênfase1 80" xfId="344"/>
    <cellStyle name="20% - Ênfase1 81" xfId="345"/>
    <cellStyle name="20% - Ênfase1 82" xfId="346"/>
    <cellStyle name="20% - Ênfase1 83" xfId="347"/>
    <cellStyle name="20% - Ênfase1 84" xfId="348"/>
    <cellStyle name="20% - Ênfase1 85" xfId="349"/>
    <cellStyle name="20% - Ênfase1 86" xfId="350"/>
    <cellStyle name="20% - Ênfase1 87" xfId="351"/>
    <cellStyle name="20% - Ênfase1 88" xfId="352"/>
    <cellStyle name="20% - Ênfase1 89" xfId="353"/>
    <cellStyle name="20% - Ênfase1 9" xfId="354"/>
    <cellStyle name="20% - Ênfase1 90" xfId="355"/>
    <cellStyle name="20% - Ênfase1 91" xfId="356"/>
    <cellStyle name="20% - Ênfase1 92" xfId="357"/>
    <cellStyle name="20% - Ênfase1 93" xfId="358"/>
    <cellStyle name="20% - Ênfase1 94" xfId="359"/>
    <cellStyle name="20% - Ênfase1 95" xfId="360"/>
    <cellStyle name="20% - Ênfase1 96" xfId="361"/>
    <cellStyle name="20% - Ênfase1 97" xfId="362"/>
    <cellStyle name="20% - Ênfase1 98" xfId="363"/>
    <cellStyle name="20% - Ênfase1 99" xfId="364"/>
    <cellStyle name="20% - Ênfase2 10" xfId="365"/>
    <cellStyle name="20% - Ênfase2 10 2" xfId="40462"/>
    <cellStyle name="20% - Ênfase2 100" xfId="366"/>
    <cellStyle name="20% - Ênfase2 101" xfId="367"/>
    <cellStyle name="20% - Ênfase2 102" xfId="368"/>
    <cellStyle name="20% - Ênfase2 103" xfId="369"/>
    <cellStyle name="20% - Ênfase2 104" xfId="370"/>
    <cellStyle name="20% - Ênfase2 105" xfId="371"/>
    <cellStyle name="20% - Ênfase2 106" xfId="372"/>
    <cellStyle name="20% - Ênfase2 107" xfId="373"/>
    <cellStyle name="20% - Ênfase2 108" xfId="374"/>
    <cellStyle name="20% - Ênfase2 109" xfId="375"/>
    <cellStyle name="20% - Ênfase2 11" xfId="376"/>
    <cellStyle name="20% - Ênfase2 11 2" xfId="40463"/>
    <cellStyle name="20% - Ênfase2 110" xfId="377"/>
    <cellStyle name="20% - Ênfase2 111" xfId="378"/>
    <cellStyle name="20% - Ênfase2 112" xfId="379"/>
    <cellStyle name="20% - Ênfase2 113" xfId="380"/>
    <cellStyle name="20% - Ênfase2 114" xfId="381"/>
    <cellStyle name="20% - Ênfase2 115" xfId="382"/>
    <cellStyle name="20% - Ênfase2 116" xfId="383"/>
    <cellStyle name="20% - Ênfase2 117" xfId="384"/>
    <cellStyle name="20% - Ênfase2 118" xfId="385"/>
    <cellStyle name="20% - Ênfase2 119" xfId="386"/>
    <cellStyle name="20% - Ênfase2 12" xfId="387"/>
    <cellStyle name="20% - Ênfase2 12 2" xfId="40464"/>
    <cellStyle name="20% - Ênfase2 120" xfId="388"/>
    <cellStyle name="20% - Ênfase2 121" xfId="389"/>
    <cellStyle name="20% - Ênfase2 122" xfId="390"/>
    <cellStyle name="20% - Ênfase2 123" xfId="391"/>
    <cellStyle name="20% - Ênfase2 124" xfId="392"/>
    <cellStyle name="20% - Ênfase2 125" xfId="393"/>
    <cellStyle name="20% - Ênfase2 126" xfId="394"/>
    <cellStyle name="20% - Ênfase2 127" xfId="395"/>
    <cellStyle name="20% - Ênfase2 128" xfId="396"/>
    <cellStyle name="20% - Ênfase2 129" xfId="397"/>
    <cellStyle name="20% - Ênfase2 13" xfId="398"/>
    <cellStyle name="20% - Ênfase2 13 2" xfId="40465"/>
    <cellStyle name="20% - Ênfase2 130" xfId="399"/>
    <cellStyle name="20% - Ênfase2 131" xfId="400"/>
    <cellStyle name="20% - Ênfase2 132" xfId="401"/>
    <cellStyle name="20% - Ênfase2 133" xfId="402"/>
    <cellStyle name="20% - Ênfase2 134" xfId="403"/>
    <cellStyle name="20% - Ênfase2 135" xfId="404"/>
    <cellStyle name="20% - Ênfase2 136" xfId="405"/>
    <cellStyle name="20% - Ênfase2 137" xfId="406"/>
    <cellStyle name="20% - Ênfase2 138" xfId="407"/>
    <cellStyle name="20% - Ênfase2 139" xfId="408"/>
    <cellStyle name="20% - Ênfase2 14" xfId="409"/>
    <cellStyle name="20% - Ênfase2 140" xfId="410"/>
    <cellStyle name="20% - Ênfase2 141" xfId="411"/>
    <cellStyle name="20% - Ênfase2 142" xfId="412"/>
    <cellStyle name="20% - Ênfase2 143" xfId="413"/>
    <cellStyle name="20% - Ênfase2 144" xfId="414"/>
    <cellStyle name="20% - Ênfase2 145" xfId="415"/>
    <cellStyle name="20% - Ênfase2 146" xfId="416"/>
    <cellStyle name="20% - Ênfase2 147" xfId="417"/>
    <cellStyle name="20% - Ênfase2 148" xfId="418"/>
    <cellStyle name="20% - Ênfase2 149" xfId="419"/>
    <cellStyle name="20% - Ênfase2 15" xfId="420"/>
    <cellStyle name="20% - Ênfase2 15 2" xfId="421"/>
    <cellStyle name="20% - Ênfase2 15 3" xfId="422"/>
    <cellStyle name="20% - Ênfase2 150" xfId="423"/>
    <cellStyle name="20% - Ênfase2 151" xfId="424"/>
    <cellStyle name="20% - Ênfase2 152" xfId="425"/>
    <cellStyle name="20% - Ênfase2 153" xfId="426"/>
    <cellStyle name="20% - Ênfase2 154" xfId="427"/>
    <cellStyle name="20% - Ênfase2 155" xfId="428"/>
    <cellStyle name="20% - Ênfase2 156" xfId="429"/>
    <cellStyle name="20% - Ênfase2 157" xfId="430"/>
    <cellStyle name="20% - Ênfase2 158" xfId="431"/>
    <cellStyle name="20% - Ênfase2 159" xfId="432"/>
    <cellStyle name="20% - Ênfase2 16" xfId="433"/>
    <cellStyle name="20% - Ênfase2 16 2" xfId="434"/>
    <cellStyle name="20% - Ênfase2 16 3" xfId="435"/>
    <cellStyle name="20% - Ênfase2 160" xfId="436"/>
    <cellStyle name="20% - Ênfase2 161" xfId="437"/>
    <cellStyle name="20% - Ênfase2 162" xfId="438"/>
    <cellStyle name="20% - Ênfase2 163" xfId="439"/>
    <cellStyle name="20% - Ênfase2 164" xfId="440"/>
    <cellStyle name="20% - Ênfase2 165" xfId="441"/>
    <cellStyle name="20% - Ênfase2 166" xfId="442"/>
    <cellStyle name="20% - Ênfase2 167" xfId="443"/>
    <cellStyle name="20% - Ênfase2 168" xfId="444"/>
    <cellStyle name="20% - Ênfase2 169" xfId="445"/>
    <cellStyle name="20% - Ênfase2 17" xfId="446"/>
    <cellStyle name="20% - Ênfase2 17 2" xfId="447"/>
    <cellStyle name="20% - Ênfase2 17 3" xfId="448"/>
    <cellStyle name="20% - Ênfase2 170" xfId="449"/>
    <cellStyle name="20% - Ênfase2 171" xfId="450"/>
    <cellStyle name="20% - Ênfase2 172" xfId="451"/>
    <cellStyle name="20% - Ênfase2 173" xfId="452"/>
    <cellStyle name="20% - Ênfase2 174" xfId="453"/>
    <cellStyle name="20% - Ênfase2 175" xfId="454"/>
    <cellStyle name="20% - Ênfase2 176" xfId="455"/>
    <cellStyle name="20% - Ênfase2 177" xfId="456"/>
    <cellStyle name="20% - Ênfase2 178" xfId="457"/>
    <cellStyle name="20% - Ênfase2 179" xfId="458"/>
    <cellStyle name="20% - Ênfase2 18" xfId="459"/>
    <cellStyle name="20% - Ênfase2 18 2" xfId="460"/>
    <cellStyle name="20% - Ênfase2 18 3" xfId="461"/>
    <cellStyle name="20% - Ênfase2 180" xfId="462"/>
    <cellStyle name="20% - Ênfase2 181" xfId="463"/>
    <cellStyle name="20% - Ênfase2 182" xfId="464"/>
    <cellStyle name="20% - Ênfase2 183" xfId="465"/>
    <cellStyle name="20% - Ênfase2 184" xfId="466"/>
    <cellStyle name="20% - Ênfase2 185" xfId="467"/>
    <cellStyle name="20% - Ênfase2 186" xfId="468"/>
    <cellStyle name="20% - Ênfase2 187" xfId="469"/>
    <cellStyle name="20% - Ênfase2 188" xfId="470"/>
    <cellStyle name="20% - Ênfase2 189" xfId="471"/>
    <cellStyle name="20% - Ênfase2 19" xfId="472"/>
    <cellStyle name="20% - Ênfase2 19 2" xfId="473"/>
    <cellStyle name="20% - Ênfase2 19 3" xfId="474"/>
    <cellStyle name="20% - Ênfase2 190" xfId="475"/>
    <cellStyle name="20% - Ênfase2 2" xfId="476"/>
    <cellStyle name="20% - Ênfase2 2 10" xfId="477"/>
    <cellStyle name="20% - Ênfase2 2 10 2" xfId="478"/>
    <cellStyle name="20% - Ênfase2 2 10 3" xfId="479"/>
    <cellStyle name="20% - Ênfase2 2 10 4" xfId="480"/>
    <cellStyle name="20% - Ênfase2 2 10 5" xfId="481"/>
    <cellStyle name="20% - Ênfase2 2 10 6" xfId="482"/>
    <cellStyle name="20% - Ênfase2 2 10 7" xfId="483"/>
    <cellStyle name="20% - Ênfase2 2 11" xfId="484"/>
    <cellStyle name="20% - Ênfase2 2 11 2" xfId="485"/>
    <cellStyle name="20% - Ênfase2 2 11 3" xfId="486"/>
    <cellStyle name="20% - Ênfase2 2 11 4" xfId="487"/>
    <cellStyle name="20% - Ênfase2 2 11 5" xfId="488"/>
    <cellStyle name="20% - Ênfase2 2 11 6" xfId="489"/>
    <cellStyle name="20% - Ênfase2 2 11 7" xfId="490"/>
    <cellStyle name="20% - Ênfase2 2 12" xfId="491"/>
    <cellStyle name="20% - Ênfase2 2 13" xfId="492"/>
    <cellStyle name="20% - Ênfase2 2 14" xfId="493"/>
    <cellStyle name="20% - Ênfase2 2 15" xfId="494"/>
    <cellStyle name="20% - Ênfase2 2 16" xfId="495"/>
    <cellStyle name="20% - Ênfase2 2 17" xfId="496"/>
    <cellStyle name="20% - Ênfase2 2 18" xfId="497"/>
    <cellStyle name="20% - Ênfase2 2 19" xfId="498"/>
    <cellStyle name="20% - Ênfase2 2 2" xfId="499"/>
    <cellStyle name="20% - Ênfase2 2 20" xfId="500"/>
    <cellStyle name="20% - Ênfase2 2 21" xfId="501"/>
    <cellStyle name="20% - Ênfase2 2 22" xfId="502"/>
    <cellStyle name="20% - Ênfase2 2 23" xfId="503"/>
    <cellStyle name="20% - Ênfase2 2 24" xfId="504"/>
    <cellStyle name="20% - Ênfase2 2 25" xfId="505"/>
    <cellStyle name="20% - Ênfase2 2 26" xfId="506"/>
    <cellStyle name="20% - Ênfase2 2 27" xfId="507"/>
    <cellStyle name="20% - Ênfase2 2 28" xfId="508"/>
    <cellStyle name="20% - Ênfase2 2 29" xfId="509"/>
    <cellStyle name="20% - Ênfase2 2 3" xfId="510"/>
    <cellStyle name="20% - Ênfase2 2 30" xfId="511"/>
    <cellStyle name="20% - Ênfase2 2 31" xfId="512"/>
    <cellStyle name="20% - Ênfase2 2 32" xfId="513"/>
    <cellStyle name="20% - Ênfase2 2 33" xfId="514"/>
    <cellStyle name="20% - Ênfase2 2 34" xfId="515"/>
    <cellStyle name="20% - Ênfase2 2 35" xfId="516"/>
    <cellStyle name="20% - Ênfase2 2 4" xfId="517"/>
    <cellStyle name="20% - Ênfase2 2 5" xfId="518"/>
    <cellStyle name="20% - Ênfase2 2 6" xfId="519"/>
    <cellStyle name="20% - Ênfase2 2 7" xfId="520"/>
    <cellStyle name="20% - Ênfase2 2 8" xfId="521"/>
    <cellStyle name="20% - Ênfase2 2 8 2" xfId="522"/>
    <cellStyle name="20% - Ênfase2 2 8 3" xfId="523"/>
    <cellStyle name="20% - Ênfase2 2 8 4" xfId="524"/>
    <cellStyle name="20% - Ênfase2 2 8 5" xfId="525"/>
    <cellStyle name="20% - Ênfase2 2 8 6" xfId="526"/>
    <cellStyle name="20% - Ênfase2 2 8 7" xfId="527"/>
    <cellStyle name="20% - Ênfase2 2 9" xfId="528"/>
    <cellStyle name="20% - Ênfase2 2 9 2" xfId="529"/>
    <cellStyle name="20% - Ênfase2 2 9 3" xfId="530"/>
    <cellStyle name="20% - Ênfase2 2 9 4" xfId="531"/>
    <cellStyle name="20% - Ênfase2 2 9 5" xfId="532"/>
    <cellStyle name="20% - Ênfase2 2 9 6" xfId="533"/>
    <cellStyle name="20% - Ênfase2 2 9 7" xfId="534"/>
    <cellStyle name="20% - Ênfase2 20" xfId="535"/>
    <cellStyle name="20% - Ênfase2 20 2" xfId="536"/>
    <cellStyle name="20% - Ênfase2 20 3" xfId="537"/>
    <cellStyle name="20% - Ênfase2 21" xfId="538"/>
    <cellStyle name="20% - Ênfase2 22" xfId="539"/>
    <cellStyle name="20% - Ênfase2 23" xfId="540"/>
    <cellStyle name="20% - Ênfase2 24" xfId="541"/>
    <cellStyle name="20% - Ênfase2 24 2" xfId="40930"/>
    <cellStyle name="20% - Ênfase2 25" xfId="542"/>
    <cellStyle name="20% - Ênfase2 25 2" xfId="40965"/>
    <cellStyle name="20% - Ênfase2 26" xfId="543"/>
    <cellStyle name="20% - Ênfase2 26 10" xfId="544"/>
    <cellStyle name="20% - Ênfase2 26 11" xfId="545"/>
    <cellStyle name="20% - Ênfase2 26 12" xfId="546"/>
    <cellStyle name="20% - Ênfase2 26 13" xfId="547"/>
    <cellStyle name="20% - Ênfase2 26 14" xfId="548"/>
    <cellStyle name="20% - Ênfase2 26 15" xfId="549"/>
    <cellStyle name="20% - Ênfase2 26 16" xfId="550"/>
    <cellStyle name="20% - Ênfase2 26 2" xfId="551"/>
    <cellStyle name="20% - Ênfase2 26 3" xfId="552"/>
    <cellStyle name="20% - Ênfase2 26 4" xfId="553"/>
    <cellStyle name="20% - Ênfase2 26 5" xfId="554"/>
    <cellStyle name="20% - Ênfase2 26 6" xfId="555"/>
    <cellStyle name="20% - Ênfase2 26 7" xfId="556"/>
    <cellStyle name="20% - Ênfase2 26 8" xfId="557"/>
    <cellStyle name="20% - Ênfase2 26 9" xfId="558"/>
    <cellStyle name="20% - Ênfase2 27" xfId="559"/>
    <cellStyle name="20% - Ênfase2 27 10" xfId="560"/>
    <cellStyle name="20% - Ênfase2 27 11" xfId="561"/>
    <cellStyle name="20% - Ênfase2 27 12" xfId="562"/>
    <cellStyle name="20% - Ênfase2 27 13" xfId="563"/>
    <cellStyle name="20% - Ênfase2 27 14" xfId="564"/>
    <cellStyle name="20% - Ênfase2 27 15" xfId="565"/>
    <cellStyle name="20% - Ênfase2 27 16" xfId="566"/>
    <cellStyle name="20% - Ênfase2 27 2" xfId="567"/>
    <cellStyle name="20% - Ênfase2 27 3" xfId="568"/>
    <cellStyle name="20% - Ênfase2 27 4" xfId="569"/>
    <cellStyle name="20% - Ênfase2 27 5" xfId="570"/>
    <cellStyle name="20% - Ênfase2 27 6" xfId="571"/>
    <cellStyle name="20% - Ênfase2 27 7" xfId="572"/>
    <cellStyle name="20% - Ênfase2 27 8" xfId="573"/>
    <cellStyle name="20% - Ênfase2 27 9" xfId="574"/>
    <cellStyle name="20% - Ênfase2 28" xfId="575"/>
    <cellStyle name="20% - Ênfase2 28 10" xfId="576"/>
    <cellStyle name="20% - Ênfase2 28 11" xfId="577"/>
    <cellStyle name="20% - Ênfase2 28 12" xfId="578"/>
    <cellStyle name="20% - Ênfase2 28 13" xfId="579"/>
    <cellStyle name="20% - Ênfase2 28 14" xfId="580"/>
    <cellStyle name="20% - Ênfase2 28 15" xfId="581"/>
    <cellStyle name="20% - Ênfase2 28 16" xfId="582"/>
    <cellStyle name="20% - Ênfase2 28 2" xfId="583"/>
    <cellStyle name="20% - Ênfase2 28 3" xfId="584"/>
    <cellStyle name="20% - Ênfase2 28 4" xfId="585"/>
    <cellStyle name="20% - Ênfase2 28 5" xfId="586"/>
    <cellStyle name="20% - Ênfase2 28 6" xfId="587"/>
    <cellStyle name="20% - Ênfase2 28 7" xfId="588"/>
    <cellStyle name="20% - Ênfase2 28 8" xfId="589"/>
    <cellStyle name="20% - Ênfase2 28 9" xfId="590"/>
    <cellStyle name="20% - Ênfase2 29" xfId="591"/>
    <cellStyle name="20% - Ênfase2 29 10" xfId="592"/>
    <cellStyle name="20% - Ênfase2 29 11" xfId="593"/>
    <cellStyle name="20% - Ênfase2 29 12" xfId="594"/>
    <cellStyle name="20% - Ênfase2 29 13" xfId="595"/>
    <cellStyle name="20% - Ênfase2 29 14" xfId="596"/>
    <cellStyle name="20% - Ênfase2 29 15" xfId="597"/>
    <cellStyle name="20% - Ênfase2 29 16" xfId="598"/>
    <cellStyle name="20% - Ênfase2 29 2" xfId="599"/>
    <cellStyle name="20% - Ênfase2 29 3" xfId="600"/>
    <cellStyle name="20% - Ênfase2 29 4" xfId="601"/>
    <cellStyle name="20% - Ênfase2 29 5" xfId="602"/>
    <cellStyle name="20% - Ênfase2 29 6" xfId="603"/>
    <cellStyle name="20% - Ênfase2 29 7" xfId="604"/>
    <cellStyle name="20% - Ênfase2 29 8" xfId="605"/>
    <cellStyle name="20% - Ênfase2 29 9" xfId="606"/>
    <cellStyle name="20% - Ênfase2 3" xfId="607"/>
    <cellStyle name="20% - Ênfase2 3 10" xfId="608"/>
    <cellStyle name="20% - Ênfase2 3 11" xfId="609"/>
    <cellStyle name="20% - Ênfase2 3 2" xfId="610"/>
    <cellStyle name="20% - Ênfase2 3 3" xfId="611"/>
    <cellStyle name="20% - Ênfase2 3 4" xfId="612"/>
    <cellStyle name="20% - Ênfase2 3 5" xfId="613"/>
    <cellStyle name="20% - Ênfase2 3 6" xfId="614"/>
    <cellStyle name="20% - Ênfase2 3 7" xfId="615"/>
    <cellStyle name="20% - Ênfase2 3 8" xfId="616"/>
    <cellStyle name="20% - Ênfase2 3 9" xfId="617"/>
    <cellStyle name="20% - Ênfase2 30" xfId="618"/>
    <cellStyle name="20% - Ênfase2 31" xfId="619"/>
    <cellStyle name="20% - Ênfase2 32" xfId="620"/>
    <cellStyle name="20% - Ênfase2 33" xfId="621"/>
    <cellStyle name="20% - Ênfase2 34" xfId="622"/>
    <cellStyle name="20% - Ênfase2 35" xfId="623"/>
    <cellStyle name="20% - Ênfase2 36" xfId="624"/>
    <cellStyle name="20% - Ênfase2 37" xfId="625"/>
    <cellStyle name="20% - Ênfase2 38" xfId="626"/>
    <cellStyle name="20% - Ênfase2 39" xfId="627"/>
    <cellStyle name="20% - Ênfase2 4" xfId="628"/>
    <cellStyle name="20% - Ênfase2 4 10" xfId="629"/>
    <cellStyle name="20% - Ênfase2 4 11" xfId="630"/>
    <cellStyle name="20% - Ênfase2 4 2" xfId="631"/>
    <cellStyle name="20% - Ênfase2 4 3" xfId="632"/>
    <cellStyle name="20% - Ênfase2 4 4" xfId="633"/>
    <cellStyle name="20% - Ênfase2 4 5" xfId="634"/>
    <cellStyle name="20% - Ênfase2 4 6" xfId="635"/>
    <cellStyle name="20% - Ênfase2 4 7" xfId="636"/>
    <cellStyle name="20% - Ênfase2 4 8" xfId="637"/>
    <cellStyle name="20% - Ênfase2 4 9" xfId="638"/>
    <cellStyle name="20% - Ênfase2 40" xfId="639"/>
    <cellStyle name="20% - Ênfase2 41" xfId="640"/>
    <cellStyle name="20% - Ênfase2 42" xfId="641"/>
    <cellStyle name="20% - Ênfase2 43" xfId="642"/>
    <cellStyle name="20% - Ênfase2 44" xfId="643"/>
    <cellStyle name="20% - Ênfase2 45" xfId="644"/>
    <cellStyle name="20% - Ênfase2 46" xfId="645"/>
    <cellStyle name="20% - Ênfase2 47" xfId="646"/>
    <cellStyle name="20% - Ênfase2 48" xfId="647"/>
    <cellStyle name="20% - Ênfase2 49" xfId="648"/>
    <cellStyle name="20% - Ênfase2 5" xfId="649"/>
    <cellStyle name="20% - Ênfase2 5 2" xfId="650"/>
    <cellStyle name="20% - Ênfase2 5 3" xfId="651"/>
    <cellStyle name="20% - Ênfase2 5 4" xfId="652"/>
    <cellStyle name="20% - Ênfase2 50" xfId="653"/>
    <cellStyle name="20% - Ênfase2 51" xfId="654"/>
    <cellStyle name="20% - Ênfase2 52" xfId="655"/>
    <cellStyle name="20% - Ênfase2 53" xfId="656"/>
    <cellStyle name="20% - Ênfase2 54" xfId="657"/>
    <cellStyle name="20% - Ênfase2 55" xfId="658"/>
    <cellStyle name="20% - Ênfase2 56" xfId="659"/>
    <cellStyle name="20% - Ênfase2 57" xfId="660"/>
    <cellStyle name="20% - Ênfase2 58" xfId="661"/>
    <cellStyle name="20% - Ênfase2 59" xfId="662"/>
    <cellStyle name="20% - Ênfase2 6" xfId="663"/>
    <cellStyle name="20% - Ênfase2 6 2" xfId="664"/>
    <cellStyle name="20% - Ênfase2 6 3" xfId="665"/>
    <cellStyle name="20% - Ênfase2 6 4" xfId="666"/>
    <cellStyle name="20% - Ênfase2 60" xfId="667"/>
    <cellStyle name="20% - Ênfase2 61" xfId="668"/>
    <cellStyle name="20% - Ênfase2 62" xfId="669"/>
    <cellStyle name="20% - Ênfase2 63" xfId="670"/>
    <cellStyle name="20% - Ênfase2 64" xfId="671"/>
    <cellStyle name="20% - Ênfase2 65" xfId="672"/>
    <cellStyle name="20% - Ênfase2 66" xfId="673"/>
    <cellStyle name="20% - Ênfase2 67" xfId="674"/>
    <cellStyle name="20% - Ênfase2 68" xfId="675"/>
    <cellStyle name="20% - Ênfase2 69" xfId="676"/>
    <cellStyle name="20% - Ênfase2 7" xfId="677"/>
    <cellStyle name="20% - Ênfase2 7 2" xfId="678"/>
    <cellStyle name="20% - Ênfase2 7 3" xfId="679"/>
    <cellStyle name="20% - Ênfase2 7 4" xfId="680"/>
    <cellStyle name="20% - Ênfase2 70" xfId="681"/>
    <cellStyle name="20% - Ênfase2 71" xfId="682"/>
    <cellStyle name="20% - Ênfase2 72" xfId="683"/>
    <cellStyle name="20% - Ênfase2 73" xfId="684"/>
    <cellStyle name="20% - Ênfase2 74" xfId="685"/>
    <cellStyle name="20% - Ênfase2 75" xfId="686"/>
    <cellStyle name="20% - Ênfase2 76" xfId="687"/>
    <cellStyle name="20% - Ênfase2 77" xfId="688"/>
    <cellStyle name="20% - Ênfase2 78" xfId="689"/>
    <cellStyle name="20% - Ênfase2 79" xfId="690"/>
    <cellStyle name="20% - Ênfase2 8" xfId="691"/>
    <cellStyle name="20% - Ênfase2 8 2" xfId="692"/>
    <cellStyle name="20% - Ênfase2 8 3" xfId="693"/>
    <cellStyle name="20% - Ênfase2 8 4" xfId="694"/>
    <cellStyle name="20% - Ênfase2 80" xfId="695"/>
    <cellStyle name="20% - Ênfase2 81" xfId="696"/>
    <cellStyle name="20% - Ênfase2 82" xfId="697"/>
    <cellStyle name="20% - Ênfase2 83" xfId="698"/>
    <cellStyle name="20% - Ênfase2 84" xfId="699"/>
    <cellStyle name="20% - Ênfase2 85" xfId="700"/>
    <cellStyle name="20% - Ênfase2 86" xfId="701"/>
    <cellStyle name="20% - Ênfase2 87" xfId="702"/>
    <cellStyle name="20% - Ênfase2 88" xfId="703"/>
    <cellStyle name="20% - Ênfase2 89" xfId="704"/>
    <cellStyle name="20% - Ênfase2 9" xfId="705"/>
    <cellStyle name="20% - Ênfase2 90" xfId="706"/>
    <cellStyle name="20% - Ênfase2 91" xfId="707"/>
    <cellStyle name="20% - Ênfase2 92" xfId="708"/>
    <cellStyle name="20% - Ênfase2 93" xfId="709"/>
    <cellStyle name="20% - Ênfase2 94" xfId="710"/>
    <cellStyle name="20% - Ênfase2 95" xfId="711"/>
    <cellStyle name="20% - Ênfase2 96" xfId="712"/>
    <cellStyle name="20% - Ênfase2 97" xfId="713"/>
    <cellStyle name="20% - Ênfase2 98" xfId="714"/>
    <cellStyle name="20% - Ênfase2 99" xfId="715"/>
    <cellStyle name="20% - Ênfase3 10" xfId="716"/>
    <cellStyle name="20% - Ênfase3 10 2" xfId="40466"/>
    <cellStyle name="20% - Ênfase3 100" xfId="717"/>
    <cellStyle name="20% - Ênfase3 101" xfId="718"/>
    <cellStyle name="20% - Ênfase3 102" xfId="719"/>
    <cellStyle name="20% - Ênfase3 103" xfId="720"/>
    <cellStyle name="20% - Ênfase3 104" xfId="721"/>
    <cellStyle name="20% - Ênfase3 105" xfId="722"/>
    <cellStyle name="20% - Ênfase3 106" xfId="723"/>
    <cellStyle name="20% - Ênfase3 107" xfId="724"/>
    <cellStyle name="20% - Ênfase3 108" xfId="725"/>
    <cellStyle name="20% - Ênfase3 109" xfId="726"/>
    <cellStyle name="20% - Ênfase3 11" xfId="727"/>
    <cellStyle name="20% - Ênfase3 11 2" xfId="40467"/>
    <cellStyle name="20% - Ênfase3 110" xfId="728"/>
    <cellStyle name="20% - Ênfase3 111" xfId="729"/>
    <cellStyle name="20% - Ênfase3 112" xfId="730"/>
    <cellStyle name="20% - Ênfase3 113" xfId="731"/>
    <cellStyle name="20% - Ênfase3 114" xfId="732"/>
    <cellStyle name="20% - Ênfase3 115" xfId="733"/>
    <cellStyle name="20% - Ênfase3 116" xfId="734"/>
    <cellStyle name="20% - Ênfase3 117" xfId="735"/>
    <cellStyle name="20% - Ênfase3 118" xfId="736"/>
    <cellStyle name="20% - Ênfase3 119" xfId="737"/>
    <cellStyle name="20% - Ênfase3 12" xfId="738"/>
    <cellStyle name="20% - Ênfase3 12 2" xfId="40468"/>
    <cellStyle name="20% - Ênfase3 120" xfId="739"/>
    <cellStyle name="20% - Ênfase3 121" xfId="740"/>
    <cellStyle name="20% - Ênfase3 122" xfId="741"/>
    <cellStyle name="20% - Ênfase3 123" xfId="742"/>
    <cellStyle name="20% - Ênfase3 124" xfId="743"/>
    <cellStyle name="20% - Ênfase3 125" xfId="744"/>
    <cellStyle name="20% - Ênfase3 126" xfId="745"/>
    <cellStyle name="20% - Ênfase3 127" xfId="746"/>
    <cellStyle name="20% - Ênfase3 128" xfId="747"/>
    <cellStyle name="20% - Ênfase3 129" xfId="748"/>
    <cellStyle name="20% - Ênfase3 13" xfId="749"/>
    <cellStyle name="20% - Ênfase3 13 2" xfId="40469"/>
    <cellStyle name="20% - Ênfase3 130" xfId="750"/>
    <cellStyle name="20% - Ênfase3 131" xfId="751"/>
    <cellStyle name="20% - Ênfase3 132" xfId="752"/>
    <cellStyle name="20% - Ênfase3 133" xfId="753"/>
    <cellStyle name="20% - Ênfase3 134" xfId="754"/>
    <cellStyle name="20% - Ênfase3 135" xfId="755"/>
    <cellStyle name="20% - Ênfase3 136" xfId="756"/>
    <cellStyle name="20% - Ênfase3 137" xfId="757"/>
    <cellStyle name="20% - Ênfase3 138" xfId="758"/>
    <cellStyle name="20% - Ênfase3 139" xfId="759"/>
    <cellStyle name="20% - Ênfase3 14" xfId="760"/>
    <cellStyle name="20% - Ênfase3 140" xfId="761"/>
    <cellStyle name="20% - Ênfase3 141" xfId="762"/>
    <cellStyle name="20% - Ênfase3 142" xfId="763"/>
    <cellStyle name="20% - Ênfase3 143" xfId="764"/>
    <cellStyle name="20% - Ênfase3 144" xfId="765"/>
    <cellStyle name="20% - Ênfase3 145" xfId="766"/>
    <cellStyle name="20% - Ênfase3 146" xfId="767"/>
    <cellStyle name="20% - Ênfase3 147" xfId="768"/>
    <cellStyle name="20% - Ênfase3 148" xfId="769"/>
    <cellStyle name="20% - Ênfase3 149" xfId="770"/>
    <cellStyle name="20% - Ênfase3 15" xfId="771"/>
    <cellStyle name="20% - Ênfase3 15 2" xfId="772"/>
    <cellStyle name="20% - Ênfase3 15 3" xfId="773"/>
    <cellStyle name="20% - Ênfase3 150" xfId="774"/>
    <cellStyle name="20% - Ênfase3 151" xfId="775"/>
    <cellStyle name="20% - Ênfase3 152" xfId="776"/>
    <cellStyle name="20% - Ênfase3 153" xfId="777"/>
    <cellStyle name="20% - Ênfase3 154" xfId="778"/>
    <cellStyle name="20% - Ênfase3 155" xfId="779"/>
    <cellStyle name="20% - Ênfase3 156" xfId="780"/>
    <cellStyle name="20% - Ênfase3 157" xfId="781"/>
    <cellStyle name="20% - Ênfase3 158" xfId="782"/>
    <cellStyle name="20% - Ênfase3 159" xfId="783"/>
    <cellStyle name="20% - Ênfase3 16" xfId="784"/>
    <cellStyle name="20% - Ênfase3 16 2" xfId="785"/>
    <cellStyle name="20% - Ênfase3 16 3" xfId="786"/>
    <cellStyle name="20% - Ênfase3 160" xfId="787"/>
    <cellStyle name="20% - Ênfase3 161" xfId="788"/>
    <cellStyle name="20% - Ênfase3 162" xfId="789"/>
    <cellStyle name="20% - Ênfase3 163" xfId="790"/>
    <cellStyle name="20% - Ênfase3 164" xfId="791"/>
    <cellStyle name="20% - Ênfase3 165" xfId="792"/>
    <cellStyle name="20% - Ênfase3 166" xfId="793"/>
    <cellStyle name="20% - Ênfase3 167" xfId="794"/>
    <cellStyle name="20% - Ênfase3 168" xfId="795"/>
    <cellStyle name="20% - Ênfase3 169" xfId="796"/>
    <cellStyle name="20% - Ênfase3 17" xfId="797"/>
    <cellStyle name="20% - Ênfase3 17 2" xfId="798"/>
    <cellStyle name="20% - Ênfase3 17 3" xfId="799"/>
    <cellStyle name="20% - Ênfase3 170" xfId="800"/>
    <cellStyle name="20% - Ênfase3 171" xfId="801"/>
    <cellStyle name="20% - Ênfase3 172" xfId="802"/>
    <cellStyle name="20% - Ênfase3 173" xfId="803"/>
    <cellStyle name="20% - Ênfase3 174" xfId="804"/>
    <cellStyle name="20% - Ênfase3 175" xfId="805"/>
    <cellStyle name="20% - Ênfase3 176" xfId="806"/>
    <cellStyle name="20% - Ênfase3 177" xfId="807"/>
    <cellStyle name="20% - Ênfase3 178" xfId="808"/>
    <cellStyle name="20% - Ênfase3 179" xfId="809"/>
    <cellStyle name="20% - Ênfase3 18" xfId="810"/>
    <cellStyle name="20% - Ênfase3 18 2" xfId="811"/>
    <cellStyle name="20% - Ênfase3 18 3" xfId="812"/>
    <cellStyle name="20% - Ênfase3 180" xfId="813"/>
    <cellStyle name="20% - Ênfase3 181" xfId="814"/>
    <cellStyle name="20% - Ênfase3 182" xfId="815"/>
    <cellStyle name="20% - Ênfase3 183" xfId="816"/>
    <cellStyle name="20% - Ênfase3 184" xfId="817"/>
    <cellStyle name="20% - Ênfase3 185" xfId="818"/>
    <cellStyle name="20% - Ênfase3 186" xfId="819"/>
    <cellStyle name="20% - Ênfase3 187" xfId="820"/>
    <cellStyle name="20% - Ênfase3 188" xfId="821"/>
    <cellStyle name="20% - Ênfase3 189" xfId="822"/>
    <cellStyle name="20% - Ênfase3 19" xfId="823"/>
    <cellStyle name="20% - Ênfase3 19 2" xfId="824"/>
    <cellStyle name="20% - Ênfase3 19 3" xfId="825"/>
    <cellStyle name="20% - Ênfase3 190" xfId="826"/>
    <cellStyle name="20% - Ênfase3 2" xfId="827"/>
    <cellStyle name="20% - Ênfase3 2 10" xfId="828"/>
    <cellStyle name="20% - Ênfase3 2 10 2" xfId="829"/>
    <cellStyle name="20% - Ênfase3 2 10 3" xfId="830"/>
    <cellStyle name="20% - Ênfase3 2 10 4" xfId="831"/>
    <cellStyle name="20% - Ênfase3 2 10 5" xfId="832"/>
    <cellStyle name="20% - Ênfase3 2 10 6" xfId="833"/>
    <cellStyle name="20% - Ênfase3 2 10 7" xfId="834"/>
    <cellStyle name="20% - Ênfase3 2 11" xfId="835"/>
    <cellStyle name="20% - Ênfase3 2 11 2" xfId="836"/>
    <cellStyle name="20% - Ênfase3 2 11 3" xfId="837"/>
    <cellStyle name="20% - Ênfase3 2 11 4" xfId="838"/>
    <cellStyle name="20% - Ênfase3 2 11 5" xfId="839"/>
    <cellStyle name="20% - Ênfase3 2 11 6" xfId="840"/>
    <cellStyle name="20% - Ênfase3 2 11 7" xfId="841"/>
    <cellStyle name="20% - Ênfase3 2 12" xfId="842"/>
    <cellStyle name="20% - Ênfase3 2 13" xfId="843"/>
    <cellStyle name="20% - Ênfase3 2 14" xfId="844"/>
    <cellStyle name="20% - Ênfase3 2 15" xfId="845"/>
    <cellStyle name="20% - Ênfase3 2 16" xfId="846"/>
    <cellStyle name="20% - Ênfase3 2 17" xfId="847"/>
    <cellStyle name="20% - Ênfase3 2 18" xfId="848"/>
    <cellStyle name="20% - Ênfase3 2 19" xfId="849"/>
    <cellStyle name="20% - Ênfase3 2 2" xfId="850"/>
    <cellStyle name="20% - Ênfase3 2 20" xfId="851"/>
    <cellStyle name="20% - Ênfase3 2 21" xfId="852"/>
    <cellStyle name="20% - Ênfase3 2 22" xfId="853"/>
    <cellStyle name="20% - Ênfase3 2 23" xfId="854"/>
    <cellStyle name="20% - Ênfase3 2 24" xfId="855"/>
    <cellStyle name="20% - Ênfase3 2 25" xfId="856"/>
    <cellStyle name="20% - Ênfase3 2 26" xfId="857"/>
    <cellStyle name="20% - Ênfase3 2 27" xfId="858"/>
    <cellStyle name="20% - Ênfase3 2 28" xfId="859"/>
    <cellStyle name="20% - Ênfase3 2 29" xfId="860"/>
    <cellStyle name="20% - Ênfase3 2 3" xfId="861"/>
    <cellStyle name="20% - Ênfase3 2 30" xfId="862"/>
    <cellStyle name="20% - Ênfase3 2 31" xfId="863"/>
    <cellStyle name="20% - Ênfase3 2 32" xfId="864"/>
    <cellStyle name="20% - Ênfase3 2 33" xfId="865"/>
    <cellStyle name="20% - Ênfase3 2 34" xfId="866"/>
    <cellStyle name="20% - Ênfase3 2 35" xfId="867"/>
    <cellStyle name="20% - Ênfase3 2 4" xfId="868"/>
    <cellStyle name="20% - Ênfase3 2 5" xfId="869"/>
    <cellStyle name="20% - Ênfase3 2 6" xfId="870"/>
    <cellStyle name="20% - Ênfase3 2 7" xfId="871"/>
    <cellStyle name="20% - Ênfase3 2 8" xfId="872"/>
    <cellStyle name="20% - Ênfase3 2 8 2" xfId="873"/>
    <cellStyle name="20% - Ênfase3 2 8 3" xfId="874"/>
    <cellStyle name="20% - Ênfase3 2 8 4" xfId="875"/>
    <cellStyle name="20% - Ênfase3 2 8 5" xfId="876"/>
    <cellStyle name="20% - Ênfase3 2 8 6" xfId="877"/>
    <cellStyle name="20% - Ênfase3 2 8 7" xfId="878"/>
    <cellStyle name="20% - Ênfase3 2 9" xfId="879"/>
    <cellStyle name="20% - Ênfase3 2 9 2" xfId="880"/>
    <cellStyle name="20% - Ênfase3 2 9 3" xfId="881"/>
    <cellStyle name="20% - Ênfase3 2 9 4" xfId="882"/>
    <cellStyle name="20% - Ênfase3 2 9 5" xfId="883"/>
    <cellStyle name="20% - Ênfase3 2 9 6" xfId="884"/>
    <cellStyle name="20% - Ênfase3 2 9 7" xfId="885"/>
    <cellStyle name="20% - Ênfase3 20" xfId="886"/>
    <cellStyle name="20% - Ênfase3 20 2" xfId="887"/>
    <cellStyle name="20% - Ênfase3 20 3" xfId="888"/>
    <cellStyle name="20% - Ênfase3 21" xfId="889"/>
    <cellStyle name="20% - Ênfase3 22" xfId="890"/>
    <cellStyle name="20% - Ênfase3 23" xfId="891"/>
    <cellStyle name="20% - Ênfase3 24" xfId="892"/>
    <cellStyle name="20% - Ênfase3 24 2" xfId="40931"/>
    <cellStyle name="20% - Ênfase3 25" xfId="893"/>
    <cellStyle name="20% - Ênfase3 25 2" xfId="40966"/>
    <cellStyle name="20% - Ênfase3 26" xfId="894"/>
    <cellStyle name="20% - Ênfase3 26 10" xfId="895"/>
    <cellStyle name="20% - Ênfase3 26 11" xfId="896"/>
    <cellStyle name="20% - Ênfase3 26 12" xfId="897"/>
    <cellStyle name="20% - Ênfase3 26 13" xfId="898"/>
    <cellStyle name="20% - Ênfase3 26 14" xfId="899"/>
    <cellStyle name="20% - Ênfase3 26 15" xfId="900"/>
    <cellStyle name="20% - Ênfase3 26 16" xfId="901"/>
    <cellStyle name="20% - Ênfase3 26 2" xfId="902"/>
    <cellStyle name="20% - Ênfase3 26 3" xfId="903"/>
    <cellStyle name="20% - Ênfase3 26 4" xfId="904"/>
    <cellStyle name="20% - Ênfase3 26 5" xfId="905"/>
    <cellStyle name="20% - Ênfase3 26 6" xfId="906"/>
    <cellStyle name="20% - Ênfase3 26 7" xfId="907"/>
    <cellStyle name="20% - Ênfase3 26 8" xfId="908"/>
    <cellStyle name="20% - Ênfase3 26 9" xfId="909"/>
    <cellStyle name="20% - Ênfase3 27" xfId="910"/>
    <cellStyle name="20% - Ênfase3 27 10" xfId="911"/>
    <cellStyle name="20% - Ênfase3 27 11" xfId="912"/>
    <cellStyle name="20% - Ênfase3 27 12" xfId="913"/>
    <cellStyle name="20% - Ênfase3 27 13" xfId="914"/>
    <cellStyle name="20% - Ênfase3 27 14" xfId="915"/>
    <cellStyle name="20% - Ênfase3 27 15" xfId="916"/>
    <cellStyle name="20% - Ênfase3 27 16" xfId="917"/>
    <cellStyle name="20% - Ênfase3 27 2" xfId="918"/>
    <cellStyle name="20% - Ênfase3 27 3" xfId="919"/>
    <cellStyle name="20% - Ênfase3 27 4" xfId="920"/>
    <cellStyle name="20% - Ênfase3 27 5" xfId="921"/>
    <cellStyle name="20% - Ênfase3 27 6" xfId="922"/>
    <cellStyle name="20% - Ênfase3 27 7" xfId="923"/>
    <cellStyle name="20% - Ênfase3 27 8" xfId="924"/>
    <cellStyle name="20% - Ênfase3 27 9" xfId="925"/>
    <cellStyle name="20% - Ênfase3 28" xfId="926"/>
    <cellStyle name="20% - Ênfase3 28 10" xfId="927"/>
    <cellStyle name="20% - Ênfase3 28 11" xfId="928"/>
    <cellStyle name="20% - Ênfase3 28 12" xfId="929"/>
    <cellStyle name="20% - Ênfase3 28 13" xfId="930"/>
    <cellStyle name="20% - Ênfase3 28 14" xfId="931"/>
    <cellStyle name="20% - Ênfase3 28 15" xfId="932"/>
    <cellStyle name="20% - Ênfase3 28 16" xfId="933"/>
    <cellStyle name="20% - Ênfase3 28 2" xfId="934"/>
    <cellStyle name="20% - Ênfase3 28 3" xfId="935"/>
    <cellStyle name="20% - Ênfase3 28 4" xfId="936"/>
    <cellStyle name="20% - Ênfase3 28 5" xfId="937"/>
    <cellStyle name="20% - Ênfase3 28 6" xfId="938"/>
    <cellStyle name="20% - Ênfase3 28 7" xfId="939"/>
    <cellStyle name="20% - Ênfase3 28 8" xfId="940"/>
    <cellStyle name="20% - Ênfase3 28 9" xfId="941"/>
    <cellStyle name="20% - Ênfase3 29" xfId="942"/>
    <cellStyle name="20% - Ênfase3 29 10" xfId="943"/>
    <cellStyle name="20% - Ênfase3 29 11" xfId="944"/>
    <cellStyle name="20% - Ênfase3 29 12" xfId="945"/>
    <cellStyle name="20% - Ênfase3 29 13" xfId="946"/>
    <cellStyle name="20% - Ênfase3 29 14" xfId="947"/>
    <cellStyle name="20% - Ênfase3 29 15" xfId="948"/>
    <cellStyle name="20% - Ênfase3 29 16" xfId="949"/>
    <cellStyle name="20% - Ênfase3 29 2" xfId="950"/>
    <cellStyle name="20% - Ênfase3 29 3" xfId="951"/>
    <cellStyle name="20% - Ênfase3 29 4" xfId="952"/>
    <cellStyle name="20% - Ênfase3 29 5" xfId="953"/>
    <cellStyle name="20% - Ênfase3 29 6" xfId="954"/>
    <cellStyle name="20% - Ênfase3 29 7" xfId="955"/>
    <cellStyle name="20% - Ênfase3 29 8" xfId="956"/>
    <cellStyle name="20% - Ênfase3 29 9" xfId="957"/>
    <cellStyle name="20% - Ênfase3 3" xfId="958"/>
    <cellStyle name="20% - Ênfase3 3 10" xfId="959"/>
    <cellStyle name="20% - Ênfase3 3 11" xfId="960"/>
    <cellStyle name="20% - Ênfase3 3 2" xfId="961"/>
    <cellStyle name="20% - Ênfase3 3 3" xfId="962"/>
    <cellStyle name="20% - Ênfase3 3 4" xfId="963"/>
    <cellStyle name="20% - Ênfase3 3 5" xfId="964"/>
    <cellStyle name="20% - Ênfase3 3 6" xfId="965"/>
    <cellStyle name="20% - Ênfase3 3 7" xfId="966"/>
    <cellStyle name="20% - Ênfase3 3 8" xfId="967"/>
    <cellStyle name="20% - Ênfase3 3 9" xfId="968"/>
    <cellStyle name="20% - Ênfase3 30" xfId="969"/>
    <cellStyle name="20% - Ênfase3 31" xfId="970"/>
    <cellStyle name="20% - Ênfase3 32" xfId="971"/>
    <cellStyle name="20% - Ênfase3 33" xfId="972"/>
    <cellStyle name="20% - Ênfase3 34" xfId="973"/>
    <cellStyle name="20% - Ênfase3 35" xfId="974"/>
    <cellStyle name="20% - Ênfase3 36" xfId="975"/>
    <cellStyle name="20% - Ênfase3 37" xfId="976"/>
    <cellStyle name="20% - Ênfase3 38" xfId="977"/>
    <cellStyle name="20% - Ênfase3 39" xfId="978"/>
    <cellStyle name="20% - Ênfase3 4" xfId="979"/>
    <cellStyle name="20% - Ênfase3 4 10" xfId="980"/>
    <cellStyle name="20% - Ênfase3 4 11" xfId="981"/>
    <cellStyle name="20% - Ênfase3 4 2" xfId="982"/>
    <cellStyle name="20% - Ênfase3 4 3" xfId="983"/>
    <cellStyle name="20% - Ênfase3 4 4" xfId="984"/>
    <cellStyle name="20% - Ênfase3 4 5" xfId="985"/>
    <cellStyle name="20% - Ênfase3 4 6" xfId="986"/>
    <cellStyle name="20% - Ênfase3 4 7" xfId="987"/>
    <cellStyle name="20% - Ênfase3 4 8" xfId="988"/>
    <cellStyle name="20% - Ênfase3 4 9" xfId="989"/>
    <cellStyle name="20% - Ênfase3 40" xfId="990"/>
    <cellStyle name="20% - Ênfase3 41" xfId="991"/>
    <cellStyle name="20% - Ênfase3 42" xfId="992"/>
    <cellStyle name="20% - Ênfase3 43" xfId="993"/>
    <cellStyle name="20% - Ênfase3 44" xfId="994"/>
    <cellStyle name="20% - Ênfase3 45" xfId="995"/>
    <cellStyle name="20% - Ênfase3 46" xfId="996"/>
    <cellStyle name="20% - Ênfase3 47" xfId="997"/>
    <cellStyle name="20% - Ênfase3 48" xfId="998"/>
    <cellStyle name="20% - Ênfase3 49" xfId="999"/>
    <cellStyle name="20% - Ênfase3 5" xfId="1000"/>
    <cellStyle name="20% - Ênfase3 5 2" xfId="1001"/>
    <cellStyle name="20% - Ênfase3 5 3" xfId="1002"/>
    <cellStyle name="20% - Ênfase3 5 4" xfId="1003"/>
    <cellStyle name="20% - Ênfase3 50" xfId="1004"/>
    <cellStyle name="20% - Ênfase3 51" xfId="1005"/>
    <cellStyle name="20% - Ênfase3 52" xfId="1006"/>
    <cellStyle name="20% - Ênfase3 53" xfId="1007"/>
    <cellStyle name="20% - Ênfase3 54" xfId="1008"/>
    <cellStyle name="20% - Ênfase3 55" xfId="1009"/>
    <cellStyle name="20% - Ênfase3 56" xfId="1010"/>
    <cellStyle name="20% - Ênfase3 57" xfId="1011"/>
    <cellStyle name="20% - Ênfase3 58" xfId="1012"/>
    <cellStyle name="20% - Ênfase3 59" xfId="1013"/>
    <cellStyle name="20% - Ênfase3 6" xfId="1014"/>
    <cellStyle name="20% - Ênfase3 6 2" xfId="1015"/>
    <cellStyle name="20% - Ênfase3 6 3" xfId="1016"/>
    <cellStyle name="20% - Ênfase3 6 4" xfId="1017"/>
    <cellStyle name="20% - Ênfase3 60" xfId="1018"/>
    <cellStyle name="20% - Ênfase3 61" xfId="1019"/>
    <cellStyle name="20% - Ênfase3 62" xfId="1020"/>
    <cellStyle name="20% - Ênfase3 63" xfId="1021"/>
    <cellStyle name="20% - Ênfase3 64" xfId="1022"/>
    <cellStyle name="20% - Ênfase3 65" xfId="1023"/>
    <cellStyle name="20% - Ênfase3 66" xfId="1024"/>
    <cellStyle name="20% - Ênfase3 67" xfId="1025"/>
    <cellStyle name="20% - Ênfase3 68" xfId="1026"/>
    <cellStyle name="20% - Ênfase3 69" xfId="1027"/>
    <cellStyle name="20% - Ênfase3 7" xfId="1028"/>
    <cellStyle name="20% - Ênfase3 7 2" xfId="1029"/>
    <cellStyle name="20% - Ênfase3 7 3" xfId="1030"/>
    <cellStyle name="20% - Ênfase3 7 4" xfId="1031"/>
    <cellStyle name="20% - Ênfase3 70" xfId="1032"/>
    <cellStyle name="20% - Ênfase3 71" xfId="1033"/>
    <cellStyle name="20% - Ênfase3 72" xfId="1034"/>
    <cellStyle name="20% - Ênfase3 73" xfId="1035"/>
    <cellStyle name="20% - Ênfase3 74" xfId="1036"/>
    <cellStyle name="20% - Ênfase3 75" xfId="1037"/>
    <cellStyle name="20% - Ênfase3 76" xfId="1038"/>
    <cellStyle name="20% - Ênfase3 77" xfId="1039"/>
    <cellStyle name="20% - Ênfase3 78" xfId="1040"/>
    <cellStyle name="20% - Ênfase3 79" xfId="1041"/>
    <cellStyle name="20% - Ênfase3 8" xfId="1042"/>
    <cellStyle name="20% - Ênfase3 8 2" xfId="1043"/>
    <cellStyle name="20% - Ênfase3 8 3" xfId="1044"/>
    <cellStyle name="20% - Ênfase3 8 4" xfId="1045"/>
    <cellStyle name="20% - Ênfase3 80" xfId="1046"/>
    <cellStyle name="20% - Ênfase3 81" xfId="1047"/>
    <cellStyle name="20% - Ênfase3 82" xfId="1048"/>
    <cellStyle name="20% - Ênfase3 83" xfId="1049"/>
    <cellStyle name="20% - Ênfase3 84" xfId="1050"/>
    <cellStyle name="20% - Ênfase3 85" xfId="1051"/>
    <cellStyle name="20% - Ênfase3 86" xfId="1052"/>
    <cellStyle name="20% - Ênfase3 87" xfId="1053"/>
    <cellStyle name="20% - Ênfase3 88" xfId="1054"/>
    <cellStyle name="20% - Ênfase3 89" xfId="1055"/>
    <cellStyle name="20% - Ênfase3 9" xfId="1056"/>
    <cellStyle name="20% - Ênfase3 90" xfId="1057"/>
    <cellStyle name="20% - Ênfase3 91" xfId="1058"/>
    <cellStyle name="20% - Ênfase3 92" xfId="1059"/>
    <cellStyle name="20% - Ênfase3 93" xfId="1060"/>
    <cellStyle name="20% - Ênfase3 94" xfId="1061"/>
    <cellStyle name="20% - Ênfase3 95" xfId="1062"/>
    <cellStyle name="20% - Ênfase3 96" xfId="1063"/>
    <cellStyle name="20% - Ênfase3 97" xfId="1064"/>
    <cellStyle name="20% - Ênfase3 98" xfId="1065"/>
    <cellStyle name="20% - Ênfase3 99" xfId="1066"/>
    <cellStyle name="20% - Ênfase4 10" xfId="1067"/>
    <cellStyle name="20% - Ênfase4 10 2" xfId="40470"/>
    <cellStyle name="20% - Ênfase4 100" xfId="1068"/>
    <cellStyle name="20% - Ênfase4 101" xfId="1069"/>
    <cellStyle name="20% - Ênfase4 102" xfId="1070"/>
    <cellStyle name="20% - Ênfase4 103" xfId="1071"/>
    <cellStyle name="20% - Ênfase4 104" xfId="1072"/>
    <cellStyle name="20% - Ênfase4 105" xfId="1073"/>
    <cellStyle name="20% - Ênfase4 106" xfId="1074"/>
    <cellStyle name="20% - Ênfase4 107" xfId="1075"/>
    <cellStyle name="20% - Ênfase4 108" xfId="1076"/>
    <cellStyle name="20% - Ênfase4 109" xfId="1077"/>
    <cellStyle name="20% - Ênfase4 11" xfId="1078"/>
    <cellStyle name="20% - Ênfase4 11 2" xfId="40471"/>
    <cellStyle name="20% - Ênfase4 110" xfId="1079"/>
    <cellStyle name="20% - Ênfase4 111" xfId="1080"/>
    <cellStyle name="20% - Ênfase4 112" xfId="1081"/>
    <cellStyle name="20% - Ênfase4 113" xfId="1082"/>
    <cellStyle name="20% - Ênfase4 114" xfId="1083"/>
    <cellStyle name="20% - Ênfase4 115" xfId="1084"/>
    <cellStyle name="20% - Ênfase4 116" xfId="1085"/>
    <cellStyle name="20% - Ênfase4 117" xfId="1086"/>
    <cellStyle name="20% - Ênfase4 118" xfId="1087"/>
    <cellStyle name="20% - Ênfase4 119" xfId="1088"/>
    <cellStyle name="20% - Ênfase4 12" xfId="1089"/>
    <cellStyle name="20% - Ênfase4 12 2" xfId="40472"/>
    <cellStyle name="20% - Ênfase4 120" xfId="1090"/>
    <cellStyle name="20% - Ênfase4 121" xfId="1091"/>
    <cellStyle name="20% - Ênfase4 122" xfId="1092"/>
    <cellStyle name="20% - Ênfase4 123" xfId="1093"/>
    <cellStyle name="20% - Ênfase4 124" xfId="1094"/>
    <cellStyle name="20% - Ênfase4 125" xfId="1095"/>
    <cellStyle name="20% - Ênfase4 126" xfId="1096"/>
    <cellStyle name="20% - Ênfase4 127" xfId="1097"/>
    <cellStyle name="20% - Ênfase4 128" xfId="1098"/>
    <cellStyle name="20% - Ênfase4 129" xfId="1099"/>
    <cellStyle name="20% - Ênfase4 13" xfId="1100"/>
    <cellStyle name="20% - Ênfase4 13 2" xfId="40473"/>
    <cellStyle name="20% - Ênfase4 130" xfId="1101"/>
    <cellStyle name="20% - Ênfase4 131" xfId="1102"/>
    <cellStyle name="20% - Ênfase4 132" xfId="1103"/>
    <cellStyle name="20% - Ênfase4 133" xfId="1104"/>
    <cellStyle name="20% - Ênfase4 134" xfId="1105"/>
    <cellStyle name="20% - Ênfase4 135" xfId="1106"/>
    <cellStyle name="20% - Ênfase4 136" xfId="1107"/>
    <cellStyle name="20% - Ênfase4 137" xfId="1108"/>
    <cellStyle name="20% - Ênfase4 138" xfId="1109"/>
    <cellStyle name="20% - Ênfase4 139" xfId="1110"/>
    <cellStyle name="20% - Ênfase4 14" xfId="1111"/>
    <cellStyle name="20% - Ênfase4 140" xfId="1112"/>
    <cellStyle name="20% - Ênfase4 141" xfId="1113"/>
    <cellStyle name="20% - Ênfase4 142" xfId="1114"/>
    <cellStyle name="20% - Ênfase4 143" xfId="1115"/>
    <cellStyle name="20% - Ênfase4 144" xfId="1116"/>
    <cellStyle name="20% - Ênfase4 145" xfId="1117"/>
    <cellStyle name="20% - Ênfase4 146" xfId="1118"/>
    <cellStyle name="20% - Ênfase4 147" xfId="1119"/>
    <cellStyle name="20% - Ênfase4 148" xfId="1120"/>
    <cellStyle name="20% - Ênfase4 149" xfId="1121"/>
    <cellStyle name="20% - Ênfase4 15" xfId="1122"/>
    <cellStyle name="20% - Ênfase4 15 2" xfId="1123"/>
    <cellStyle name="20% - Ênfase4 15 3" xfId="1124"/>
    <cellStyle name="20% - Ênfase4 150" xfId="1125"/>
    <cellStyle name="20% - Ênfase4 151" xfId="1126"/>
    <cellStyle name="20% - Ênfase4 152" xfId="1127"/>
    <cellStyle name="20% - Ênfase4 153" xfId="1128"/>
    <cellStyle name="20% - Ênfase4 154" xfId="1129"/>
    <cellStyle name="20% - Ênfase4 155" xfId="1130"/>
    <cellStyle name="20% - Ênfase4 156" xfId="1131"/>
    <cellStyle name="20% - Ênfase4 157" xfId="1132"/>
    <cellStyle name="20% - Ênfase4 158" xfId="1133"/>
    <cellStyle name="20% - Ênfase4 159" xfId="1134"/>
    <cellStyle name="20% - Ênfase4 16" xfId="1135"/>
    <cellStyle name="20% - Ênfase4 16 2" xfId="1136"/>
    <cellStyle name="20% - Ênfase4 16 3" xfId="1137"/>
    <cellStyle name="20% - Ênfase4 160" xfId="1138"/>
    <cellStyle name="20% - Ênfase4 161" xfId="1139"/>
    <cellStyle name="20% - Ênfase4 162" xfId="1140"/>
    <cellStyle name="20% - Ênfase4 163" xfId="1141"/>
    <cellStyle name="20% - Ênfase4 164" xfId="1142"/>
    <cellStyle name="20% - Ênfase4 165" xfId="1143"/>
    <cellStyle name="20% - Ênfase4 166" xfId="1144"/>
    <cellStyle name="20% - Ênfase4 167" xfId="1145"/>
    <cellStyle name="20% - Ênfase4 168" xfId="1146"/>
    <cellStyle name="20% - Ênfase4 169" xfId="1147"/>
    <cellStyle name="20% - Ênfase4 17" xfId="1148"/>
    <cellStyle name="20% - Ênfase4 17 2" xfId="1149"/>
    <cellStyle name="20% - Ênfase4 17 3" xfId="1150"/>
    <cellStyle name="20% - Ênfase4 170" xfId="1151"/>
    <cellStyle name="20% - Ênfase4 171" xfId="1152"/>
    <cellStyle name="20% - Ênfase4 172" xfId="1153"/>
    <cellStyle name="20% - Ênfase4 173" xfId="1154"/>
    <cellStyle name="20% - Ênfase4 174" xfId="1155"/>
    <cellStyle name="20% - Ênfase4 175" xfId="1156"/>
    <cellStyle name="20% - Ênfase4 176" xfId="1157"/>
    <cellStyle name="20% - Ênfase4 177" xfId="1158"/>
    <cellStyle name="20% - Ênfase4 178" xfId="1159"/>
    <cellStyle name="20% - Ênfase4 179" xfId="1160"/>
    <cellStyle name="20% - Ênfase4 18" xfId="1161"/>
    <cellStyle name="20% - Ênfase4 18 2" xfId="1162"/>
    <cellStyle name="20% - Ênfase4 18 3" xfId="1163"/>
    <cellStyle name="20% - Ênfase4 180" xfId="1164"/>
    <cellStyle name="20% - Ênfase4 181" xfId="1165"/>
    <cellStyle name="20% - Ênfase4 182" xfId="1166"/>
    <cellStyle name="20% - Ênfase4 183" xfId="1167"/>
    <cellStyle name="20% - Ênfase4 184" xfId="1168"/>
    <cellStyle name="20% - Ênfase4 185" xfId="1169"/>
    <cellStyle name="20% - Ênfase4 186" xfId="1170"/>
    <cellStyle name="20% - Ênfase4 187" xfId="1171"/>
    <cellStyle name="20% - Ênfase4 188" xfId="1172"/>
    <cellStyle name="20% - Ênfase4 189" xfId="1173"/>
    <cellStyle name="20% - Ênfase4 19" xfId="1174"/>
    <cellStyle name="20% - Ênfase4 19 2" xfId="1175"/>
    <cellStyle name="20% - Ênfase4 19 3" xfId="1176"/>
    <cellStyle name="20% - Ênfase4 190" xfId="1177"/>
    <cellStyle name="20% - Ênfase4 2" xfId="1178"/>
    <cellStyle name="20% - Ênfase4 2 10" xfId="1179"/>
    <cellStyle name="20% - Ênfase4 2 10 2" xfId="1180"/>
    <cellStyle name="20% - Ênfase4 2 10 3" xfId="1181"/>
    <cellStyle name="20% - Ênfase4 2 10 4" xfId="1182"/>
    <cellStyle name="20% - Ênfase4 2 10 5" xfId="1183"/>
    <cellStyle name="20% - Ênfase4 2 10 6" xfId="1184"/>
    <cellStyle name="20% - Ênfase4 2 10 7" xfId="1185"/>
    <cellStyle name="20% - Ênfase4 2 11" xfId="1186"/>
    <cellStyle name="20% - Ênfase4 2 11 2" xfId="1187"/>
    <cellStyle name="20% - Ênfase4 2 11 3" xfId="1188"/>
    <cellStyle name="20% - Ênfase4 2 11 4" xfId="1189"/>
    <cellStyle name="20% - Ênfase4 2 11 5" xfId="1190"/>
    <cellStyle name="20% - Ênfase4 2 11 6" xfId="1191"/>
    <cellStyle name="20% - Ênfase4 2 11 7" xfId="1192"/>
    <cellStyle name="20% - Ênfase4 2 12" xfId="1193"/>
    <cellStyle name="20% - Ênfase4 2 13" xfId="1194"/>
    <cellStyle name="20% - Ênfase4 2 14" xfId="1195"/>
    <cellStyle name="20% - Ênfase4 2 15" xfId="1196"/>
    <cellStyle name="20% - Ênfase4 2 16" xfId="1197"/>
    <cellStyle name="20% - Ênfase4 2 17" xfId="1198"/>
    <cellStyle name="20% - Ênfase4 2 18" xfId="1199"/>
    <cellStyle name="20% - Ênfase4 2 19" xfId="1200"/>
    <cellStyle name="20% - Ênfase4 2 2" xfId="1201"/>
    <cellStyle name="20% - Ênfase4 2 20" xfId="1202"/>
    <cellStyle name="20% - Ênfase4 2 21" xfId="1203"/>
    <cellStyle name="20% - Ênfase4 2 22" xfId="1204"/>
    <cellStyle name="20% - Ênfase4 2 23" xfId="1205"/>
    <cellStyle name="20% - Ênfase4 2 24" xfId="1206"/>
    <cellStyle name="20% - Ênfase4 2 25" xfId="1207"/>
    <cellStyle name="20% - Ênfase4 2 26" xfId="1208"/>
    <cellStyle name="20% - Ênfase4 2 27" xfId="1209"/>
    <cellStyle name="20% - Ênfase4 2 28" xfId="1210"/>
    <cellStyle name="20% - Ênfase4 2 29" xfId="1211"/>
    <cellStyle name="20% - Ênfase4 2 3" xfId="1212"/>
    <cellStyle name="20% - Ênfase4 2 30" xfId="1213"/>
    <cellStyle name="20% - Ênfase4 2 31" xfId="1214"/>
    <cellStyle name="20% - Ênfase4 2 32" xfId="1215"/>
    <cellStyle name="20% - Ênfase4 2 33" xfId="1216"/>
    <cellStyle name="20% - Ênfase4 2 34" xfId="1217"/>
    <cellStyle name="20% - Ênfase4 2 35" xfId="1218"/>
    <cellStyle name="20% - Ênfase4 2 4" xfId="1219"/>
    <cellStyle name="20% - Ênfase4 2 5" xfId="1220"/>
    <cellStyle name="20% - Ênfase4 2 6" xfId="1221"/>
    <cellStyle name="20% - Ênfase4 2 7" xfId="1222"/>
    <cellStyle name="20% - Ênfase4 2 8" xfId="1223"/>
    <cellStyle name="20% - Ênfase4 2 8 2" xfId="1224"/>
    <cellStyle name="20% - Ênfase4 2 8 3" xfId="1225"/>
    <cellStyle name="20% - Ênfase4 2 8 4" xfId="1226"/>
    <cellStyle name="20% - Ênfase4 2 8 5" xfId="1227"/>
    <cellStyle name="20% - Ênfase4 2 8 6" xfId="1228"/>
    <cellStyle name="20% - Ênfase4 2 8 7" xfId="1229"/>
    <cellStyle name="20% - Ênfase4 2 9" xfId="1230"/>
    <cellStyle name="20% - Ênfase4 2 9 2" xfId="1231"/>
    <cellStyle name="20% - Ênfase4 2 9 3" xfId="1232"/>
    <cellStyle name="20% - Ênfase4 2 9 4" xfId="1233"/>
    <cellStyle name="20% - Ênfase4 2 9 5" xfId="1234"/>
    <cellStyle name="20% - Ênfase4 2 9 6" xfId="1235"/>
    <cellStyle name="20% - Ênfase4 2 9 7" xfId="1236"/>
    <cellStyle name="20% - Ênfase4 20" xfId="1237"/>
    <cellStyle name="20% - Ênfase4 20 2" xfId="1238"/>
    <cellStyle name="20% - Ênfase4 20 3" xfId="1239"/>
    <cellStyle name="20% - Ênfase4 21" xfId="1240"/>
    <cellStyle name="20% - Ênfase4 22" xfId="1241"/>
    <cellStyle name="20% - Ênfase4 23" xfId="1242"/>
    <cellStyle name="20% - Ênfase4 24" xfId="1243"/>
    <cellStyle name="20% - Ênfase4 24 2" xfId="40932"/>
    <cellStyle name="20% - Ênfase4 25" xfId="1244"/>
    <cellStyle name="20% - Ênfase4 25 2" xfId="40967"/>
    <cellStyle name="20% - Ênfase4 26" xfId="1245"/>
    <cellStyle name="20% - Ênfase4 26 10" xfId="1246"/>
    <cellStyle name="20% - Ênfase4 26 11" xfId="1247"/>
    <cellStyle name="20% - Ênfase4 26 12" xfId="1248"/>
    <cellStyle name="20% - Ênfase4 26 13" xfId="1249"/>
    <cellStyle name="20% - Ênfase4 26 14" xfId="1250"/>
    <cellStyle name="20% - Ênfase4 26 15" xfId="1251"/>
    <cellStyle name="20% - Ênfase4 26 16" xfId="1252"/>
    <cellStyle name="20% - Ênfase4 26 2" xfId="1253"/>
    <cellStyle name="20% - Ênfase4 26 3" xfId="1254"/>
    <cellStyle name="20% - Ênfase4 26 4" xfId="1255"/>
    <cellStyle name="20% - Ênfase4 26 5" xfId="1256"/>
    <cellStyle name="20% - Ênfase4 26 6" xfId="1257"/>
    <cellStyle name="20% - Ênfase4 26 7" xfId="1258"/>
    <cellStyle name="20% - Ênfase4 26 8" xfId="1259"/>
    <cellStyle name="20% - Ênfase4 26 9" xfId="1260"/>
    <cellStyle name="20% - Ênfase4 27" xfId="1261"/>
    <cellStyle name="20% - Ênfase4 27 10" xfId="1262"/>
    <cellStyle name="20% - Ênfase4 27 11" xfId="1263"/>
    <cellStyle name="20% - Ênfase4 27 12" xfId="1264"/>
    <cellStyle name="20% - Ênfase4 27 13" xfId="1265"/>
    <cellStyle name="20% - Ênfase4 27 14" xfId="1266"/>
    <cellStyle name="20% - Ênfase4 27 15" xfId="1267"/>
    <cellStyle name="20% - Ênfase4 27 16" xfId="1268"/>
    <cellStyle name="20% - Ênfase4 27 2" xfId="1269"/>
    <cellStyle name="20% - Ênfase4 27 3" xfId="1270"/>
    <cellStyle name="20% - Ênfase4 27 4" xfId="1271"/>
    <cellStyle name="20% - Ênfase4 27 5" xfId="1272"/>
    <cellStyle name="20% - Ênfase4 27 6" xfId="1273"/>
    <cellStyle name="20% - Ênfase4 27 7" xfId="1274"/>
    <cellStyle name="20% - Ênfase4 27 8" xfId="1275"/>
    <cellStyle name="20% - Ênfase4 27 9" xfId="1276"/>
    <cellStyle name="20% - Ênfase4 28" xfId="1277"/>
    <cellStyle name="20% - Ênfase4 28 10" xfId="1278"/>
    <cellStyle name="20% - Ênfase4 28 11" xfId="1279"/>
    <cellStyle name="20% - Ênfase4 28 12" xfId="1280"/>
    <cellStyle name="20% - Ênfase4 28 13" xfId="1281"/>
    <cellStyle name="20% - Ênfase4 28 14" xfId="1282"/>
    <cellStyle name="20% - Ênfase4 28 15" xfId="1283"/>
    <cellStyle name="20% - Ênfase4 28 16" xfId="1284"/>
    <cellStyle name="20% - Ênfase4 28 2" xfId="1285"/>
    <cellStyle name="20% - Ênfase4 28 3" xfId="1286"/>
    <cellStyle name="20% - Ênfase4 28 4" xfId="1287"/>
    <cellStyle name="20% - Ênfase4 28 5" xfId="1288"/>
    <cellStyle name="20% - Ênfase4 28 6" xfId="1289"/>
    <cellStyle name="20% - Ênfase4 28 7" xfId="1290"/>
    <cellStyle name="20% - Ênfase4 28 8" xfId="1291"/>
    <cellStyle name="20% - Ênfase4 28 9" xfId="1292"/>
    <cellStyle name="20% - Ênfase4 29" xfId="1293"/>
    <cellStyle name="20% - Ênfase4 29 10" xfId="1294"/>
    <cellStyle name="20% - Ênfase4 29 11" xfId="1295"/>
    <cellStyle name="20% - Ênfase4 29 12" xfId="1296"/>
    <cellStyle name="20% - Ênfase4 29 13" xfId="1297"/>
    <cellStyle name="20% - Ênfase4 29 14" xfId="1298"/>
    <cellStyle name="20% - Ênfase4 29 15" xfId="1299"/>
    <cellStyle name="20% - Ênfase4 29 16" xfId="1300"/>
    <cellStyle name="20% - Ênfase4 29 2" xfId="1301"/>
    <cellStyle name="20% - Ênfase4 29 3" xfId="1302"/>
    <cellStyle name="20% - Ênfase4 29 4" xfId="1303"/>
    <cellStyle name="20% - Ênfase4 29 5" xfId="1304"/>
    <cellStyle name="20% - Ênfase4 29 6" xfId="1305"/>
    <cellStyle name="20% - Ênfase4 29 7" xfId="1306"/>
    <cellStyle name="20% - Ênfase4 29 8" xfId="1307"/>
    <cellStyle name="20% - Ênfase4 29 9" xfId="1308"/>
    <cellStyle name="20% - Ênfase4 3" xfId="1309"/>
    <cellStyle name="20% - Ênfase4 3 10" xfId="1310"/>
    <cellStyle name="20% - Ênfase4 3 11" xfId="1311"/>
    <cellStyle name="20% - Ênfase4 3 2" xfId="1312"/>
    <cellStyle name="20% - Ênfase4 3 3" xfId="1313"/>
    <cellStyle name="20% - Ênfase4 3 4" xfId="1314"/>
    <cellStyle name="20% - Ênfase4 3 5" xfId="1315"/>
    <cellStyle name="20% - Ênfase4 3 6" xfId="1316"/>
    <cellStyle name="20% - Ênfase4 3 7" xfId="1317"/>
    <cellStyle name="20% - Ênfase4 3 8" xfId="1318"/>
    <cellStyle name="20% - Ênfase4 3 9" xfId="1319"/>
    <cellStyle name="20% - Ênfase4 30" xfId="1320"/>
    <cellStyle name="20% - Ênfase4 31" xfId="1321"/>
    <cellStyle name="20% - Ênfase4 32" xfId="1322"/>
    <cellStyle name="20% - Ênfase4 33" xfId="1323"/>
    <cellStyle name="20% - Ênfase4 34" xfId="1324"/>
    <cellStyle name="20% - Ênfase4 35" xfId="1325"/>
    <cellStyle name="20% - Ênfase4 36" xfId="1326"/>
    <cellStyle name="20% - Ênfase4 37" xfId="1327"/>
    <cellStyle name="20% - Ênfase4 38" xfId="1328"/>
    <cellStyle name="20% - Ênfase4 39" xfId="1329"/>
    <cellStyle name="20% - Ênfase4 4" xfId="1330"/>
    <cellStyle name="20% - Ênfase4 4 10" xfId="1331"/>
    <cellStyle name="20% - Ênfase4 4 11" xfId="1332"/>
    <cellStyle name="20% - Ênfase4 4 2" xfId="1333"/>
    <cellStyle name="20% - Ênfase4 4 3" xfId="1334"/>
    <cellStyle name="20% - Ênfase4 4 4" xfId="1335"/>
    <cellStyle name="20% - Ênfase4 4 5" xfId="1336"/>
    <cellStyle name="20% - Ênfase4 4 6" xfId="1337"/>
    <cellStyle name="20% - Ênfase4 4 7" xfId="1338"/>
    <cellStyle name="20% - Ênfase4 4 8" xfId="1339"/>
    <cellStyle name="20% - Ênfase4 4 9" xfId="1340"/>
    <cellStyle name="20% - Ênfase4 40" xfId="1341"/>
    <cellStyle name="20% - Ênfase4 41" xfId="1342"/>
    <cellStyle name="20% - Ênfase4 42" xfId="1343"/>
    <cellStyle name="20% - Ênfase4 43" xfId="1344"/>
    <cellStyle name="20% - Ênfase4 44" xfId="1345"/>
    <cellStyle name="20% - Ênfase4 45" xfId="1346"/>
    <cellStyle name="20% - Ênfase4 46" xfId="1347"/>
    <cellStyle name="20% - Ênfase4 47" xfId="1348"/>
    <cellStyle name="20% - Ênfase4 48" xfId="1349"/>
    <cellStyle name="20% - Ênfase4 49" xfId="1350"/>
    <cellStyle name="20% - Ênfase4 5" xfId="1351"/>
    <cellStyle name="20% - Ênfase4 5 2" xfId="1352"/>
    <cellStyle name="20% - Ênfase4 5 3" xfId="1353"/>
    <cellStyle name="20% - Ênfase4 5 4" xfId="1354"/>
    <cellStyle name="20% - Ênfase4 50" xfId="1355"/>
    <cellStyle name="20% - Ênfase4 51" xfId="1356"/>
    <cellStyle name="20% - Ênfase4 52" xfId="1357"/>
    <cellStyle name="20% - Ênfase4 53" xfId="1358"/>
    <cellStyle name="20% - Ênfase4 54" xfId="1359"/>
    <cellStyle name="20% - Ênfase4 55" xfId="1360"/>
    <cellStyle name="20% - Ênfase4 56" xfId="1361"/>
    <cellStyle name="20% - Ênfase4 57" xfId="1362"/>
    <cellStyle name="20% - Ênfase4 58" xfId="1363"/>
    <cellStyle name="20% - Ênfase4 59" xfId="1364"/>
    <cellStyle name="20% - Ênfase4 6" xfId="1365"/>
    <cellStyle name="20% - Ênfase4 6 2" xfId="1366"/>
    <cellStyle name="20% - Ênfase4 6 3" xfId="1367"/>
    <cellStyle name="20% - Ênfase4 6 4" xfId="1368"/>
    <cellStyle name="20% - Ênfase4 60" xfId="1369"/>
    <cellStyle name="20% - Ênfase4 61" xfId="1370"/>
    <cellStyle name="20% - Ênfase4 62" xfId="1371"/>
    <cellStyle name="20% - Ênfase4 63" xfId="1372"/>
    <cellStyle name="20% - Ênfase4 64" xfId="1373"/>
    <cellStyle name="20% - Ênfase4 65" xfId="1374"/>
    <cellStyle name="20% - Ênfase4 66" xfId="1375"/>
    <cellStyle name="20% - Ênfase4 67" xfId="1376"/>
    <cellStyle name="20% - Ênfase4 68" xfId="1377"/>
    <cellStyle name="20% - Ênfase4 69" xfId="1378"/>
    <cellStyle name="20% - Ênfase4 7" xfId="1379"/>
    <cellStyle name="20% - Ênfase4 7 2" xfId="1380"/>
    <cellStyle name="20% - Ênfase4 7 3" xfId="1381"/>
    <cellStyle name="20% - Ênfase4 7 4" xfId="1382"/>
    <cellStyle name="20% - Ênfase4 70" xfId="1383"/>
    <cellStyle name="20% - Ênfase4 71" xfId="1384"/>
    <cellStyle name="20% - Ênfase4 72" xfId="1385"/>
    <cellStyle name="20% - Ênfase4 73" xfId="1386"/>
    <cellStyle name="20% - Ênfase4 74" xfId="1387"/>
    <cellStyle name="20% - Ênfase4 75" xfId="1388"/>
    <cellStyle name="20% - Ênfase4 76" xfId="1389"/>
    <cellStyle name="20% - Ênfase4 77" xfId="1390"/>
    <cellStyle name="20% - Ênfase4 78" xfId="1391"/>
    <cellStyle name="20% - Ênfase4 79" xfId="1392"/>
    <cellStyle name="20% - Ênfase4 8" xfId="1393"/>
    <cellStyle name="20% - Ênfase4 8 2" xfId="1394"/>
    <cellStyle name="20% - Ênfase4 8 3" xfId="1395"/>
    <cellStyle name="20% - Ênfase4 8 4" xfId="1396"/>
    <cellStyle name="20% - Ênfase4 80" xfId="1397"/>
    <cellStyle name="20% - Ênfase4 81" xfId="1398"/>
    <cellStyle name="20% - Ênfase4 82" xfId="1399"/>
    <cellStyle name="20% - Ênfase4 83" xfId="1400"/>
    <cellStyle name="20% - Ênfase4 84" xfId="1401"/>
    <cellStyle name="20% - Ênfase4 85" xfId="1402"/>
    <cellStyle name="20% - Ênfase4 86" xfId="1403"/>
    <cellStyle name="20% - Ênfase4 87" xfId="1404"/>
    <cellStyle name="20% - Ênfase4 88" xfId="1405"/>
    <cellStyle name="20% - Ênfase4 89" xfId="1406"/>
    <cellStyle name="20% - Ênfase4 9" xfId="1407"/>
    <cellStyle name="20% - Ênfase4 90" xfId="1408"/>
    <cellStyle name="20% - Ênfase4 91" xfId="1409"/>
    <cellStyle name="20% - Ênfase4 92" xfId="1410"/>
    <cellStyle name="20% - Ênfase4 93" xfId="1411"/>
    <cellStyle name="20% - Ênfase4 94" xfId="1412"/>
    <cellStyle name="20% - Ênfase4 95" xfId="1413"/>
    <cellStyle name="20% - Ênfase4 96" xfId="1414"/>
    <cellStyle name="20% - Ênfase4 97" xfId="1415"/>
    <cellStyle name="20% - Ênfase4 98" xfId="1416"/>
    <cellStyle name="20% - Ênfase4 99" xfId="1417"/>
    <cellStyle name="20% - Ênfase5 10" xfId="1418"/>
    <cellStyle name="20% - Ênfase5 10 2" xfId="40474"/>
    <cellStyle name="20% - Ênfase5 100" xfId="1419"/>
    <cellStyle name="20% - Ênfase5 101" xfId="1420"/>
    <cellStyle name="20% - Ênfase5 102" xfId="1421"/>
    <cellStyle name="20% - Ênfase5 103" xfId="1422"/>
    <cellStyle name="20% - Ênfase5 104" xfId="1423"/>
    <cellStyle name="20% - Ênfase5 105" xfId="1424"/>
    <cellStyle name="20% - Ênfase5 106" xfId="1425"/>
    <cellStyle name="20% - Ênfase5 107" xfId="1426"/>
    <cellStyle name="20% - Ênfase5 108" xfId="1427"/>
    <cellStyle name="20% - Ênfase5 109" xfId="1428"/>
    <cellStyle name="20% - Ênfase5 11" xfId="1429"/>
    <cellStyle name="20% - Ênfase5 11 2" xfId="40475"/>
    <cellStyle name="20% - Ênfase5 110" xfId="1430"/>
    <cellStyle name="20% - Ênfase5 111" xfId="1431"/>
    <cellStyle name="20% - Ênfase5 112" xfId="1432"/>
    <cellStyle name="20% - Ênfase5 113" xfId="1433"/>
    <cellStyle name="20% - Ênfase5 114" xfId="1434"/>
    <cellStyle name="20% - Ênfase5 115" xfId="1435"/>
    <cellStyle name="20% - Ênfase5 116" xfId="1436"/>
    <cellStyle name="20% - Ênfase5 117" xfId="1437"/>
    <cellStyle name="20% - Ênfase5 118" xfId="1438"/>
    <cellStyle name="20% - Ênfase5 119" xfId="1439"/>
    <cellStyle name="20% - Ênfase5 12" xfId="1440"/>
    <cellStyle name="20% - Ênfase5 12 2" xfId="40476"/>
    <cellStyle name="20% - Ênfase5 120" xfId="1441"/>
    <cellStyle name="20% - Ênfase5 121" xfId="1442"/>
    <cellStyle name="20% - Ênfase5 122" xfId="1443"/>
    <cellStyle name="20% - Ênfase5 123" xfId="1444"/>
    <cellStyle name="20% - Ênfase5 124" xfId="1445"/>
    <cellStyle name="20% - Ênfase5 125" xfId="1446"/>
    <cellStyle name="20% - Ênfase5 126" xfId="1447"/>
    <cellStyle name="20% - Ênfase5 127" xfId="1448"/>
    <cellStyle name="20% - Ênfase5 128" xfId="1449"/>
    <cellStyle name="20% - Ênfase5 129" xfId="1450"/>
    <cellStyle name="20% - Ênfase5 13" xfId="1451"/>
    <cellStyle name="20% - Ênfase5 13 2" xfId="40477"/>
    <cellStyle name="20% - Ênfase5 130" xfId="1452"/>
    <cellStyle name="20% - Ênfase5 131" xfId="1453"/>
    <cellStyle name="20% - Ênfase5 132" xfId="1454"/>
    <cellStyle name="20% - Ênfase5 133" xfId="1455"/>
    <cellStyle name="20% - Ênfase5 134" xfId="1456"/>
    <cellStyle name="20% - Ênfase5 135" xfId="1457"/>
    <cellStyle name="20% - Ênfase5 136" xfId="1458"/>
    <cellStyle name="20% - Ênfase5 137" xfId="1459"/>
    <cellStyle name="20% - Ênfase5 138" xfId="1460"/>
    <cellStyle name="20% - Ênfase5 139" xfId="1461"/>
    <cellStyle name="20% - Ênfase5 14" xfId="1462"/>
    <cellStyle name="20% - Ênfase5 140" xfId="1463"/>
    <cellStyle name="20% - Ênfase5 141" xfId="1464"/>
    <cellStyle name="20% - Ênfase5 142" xfId="1465"/>
    <cellStyle name="20% - Ênfase5 143" xfId="1466"/>
    <cellStyle name="20% - Ênfase5 144" xfId="1467"/>
    <cellStyle name="20% - Ênfase5 145" xfId="1468"/>
    <cellStyle name="20% - Ênfase5 146" xfId="1469"/>
    <cellStyle name="20% - Ênfase5 147" xfId="1470"/>
    <cellStyle name="20% - Ênfase5 148" xfId="1471"/>
    <cellStyle name="20% - Ênfase5 149" xfId="1472"/>
    <cellStyle name="20% - Ênfase5 15" xfId="1473"/>
    <cellStyle name="20% - Ênfase5 15 2" xfId="1474"/>
    <cellStyle name="20% - Ênfase5 15 3" xfId="1475"/>
    <cellStyle name="20% - Ênfase5 150" xfId="1476"/>
    <cellStyle name="20% - Ênfase5 151" xfId="1477"/>
    <cellStyle name="20% - Ênfase5 152" xfId="1478"/>
    <cellStyle name="20% - Ênfase5 153" xfId="1479"/>
    <cellStyle name="20% - Ênfase5 154" xfId="1480"/>
    <cellStyle name="20% - Ênfase5 155" xfId="1481"/>
    <cellStyle name="20% - Ênfase5 156" xfId="1482"/>
    <cellStyle name="20% - Ênfase5 157" xfId="1483"/>
    <cellStyle name="20% - Ênfase5 158" xfId="1484"/>
    <cellStyle name="20% - Ênfase5 159" xfId="1485"/>
    <cellStyle name="20% - Ênfase5 16" xfId="1486"/>
    <cellStyle name="20% - Ênfase5 16 2" xfId="1487"/>
    <cellStyle name="20% - Ênfase5 16 3" xfId="1488"/>
    <cellStyle name="20% - Ênfase5 160" xfId="1489"/>
    <cellStyle name="20% - Ênfase5 161" xfId="1490"/>
    <cellStyle name="20% - Ênfase5 162" xfId="1491"/>
    <cellStyle name="20% - Ênfase5 163" xfId="1492"/>
    <cellStyle name="20% - Ênfase5 164" xfId="1493"/>
    <cellStyle name="20% - Ênfase5 165" xfId="1494"/>
    <cellStyle name="20% - Ênfase5 166" xfId="1495"/>
    <cellStyle name="20% - Ênfase5 167" xfId="1496"/>
    <cellStyle name="20% - Ênfase5 168" xfId="1497"/>
    <cellStyle name="20% - Ênfase5 169" xfId="1498"/>
    <cellStyle name="20% - Ênfase5 17" xfId="1499"/>
    <cellStyle name="20% - Ênfase5 17 2" xfId="1500"/>
    <cellStyle name="20% - Ênfase5 17 3" xfId="1501"/>
    <cellStyle name="20% - Ênfase5 170" xfId="1502"/>
    <cellStyle name="20% - Ênfase5 171" xfId="1503"/>
    <cellStyle name="20% - Ênfase5 172" xfId="1504"/>
    <cellStyle name="20% - Ênfase5 173" xfId="1505"/>
    <cellStyle name="20% - Ênfase5 174" xfId="1506"/>
    <cellStyle name="20% - Ênfase5 175" xfId="1507"/>
    <cellStyle name="20% - Ênfase5 176" xfId="1508"/>
    <cellStyle name="20% - Ênfase5 177" xfId="1509"/>
    <cellStyle name="20% - Ênfase5 178" xfId="1510"/>
    <cellStyle name="20% - Ênfase5 179" xfId="1511"/>
    <cellStyle name="20% - Ênfase5 18" xfId="1512"/>
    <cellStyle name="20% - Ênfase5 18 2" xfId="1513"/>
    <cellStyle name="20% - Ênfase5 18 3" xfId="1514"/>
    <cellStyle name="20% - Ênfase5 180" xfId="1515"/>
    <cellStyle name="20% - Ênfase5 181" xfId="1516"/>
    <cellStyle name="20% - Ênfase5 182" xfId="1517"/>
    <cellStyle name="20% - Ênfase5 183" xfId="1518"/>
    <cellStyle name="20% - Ênfase5 184" xfId="1519"/>
    <cellStyle name="20% - Ênfase5 185" xfId="1520"/>
    <cellStyle name="20% - Ênfase5 186" xfId="1521"/>
    <cellStyle name="20% - Ênfase5 187" xfId="1522"/>
    <cellStyle name="20% - Ênfase5 188" xfId="1523"/>
    <cellStyle name="20% - Ênfase5 189" xfId="1524"/>
    <cellStyle name="20% - Ênfase5 19" xfId="1525"/>
    <cellStyle name="20% - Ênfase5 19 2" xfId="1526"/>
    <cellStyle name="20% - Ênfase5 19 3" xfId="1527"/>
    <cellStyle name="20% - Ênfase5 190" xfId="1528"/>
    <cellStyle name="20% - Ênfase5 2" xfId="1529"/>
    <cellStyle name="20% - Ênfase5 2 10" xfId="1530"/>
    <cellStyle name="20% - Ênfase5 2 11" xfId="1531"/>
    <cellStyle name="20% - Ênfase5 2 12" xfId="1532"/>
    <cellStyle name="20% - Ênfase5 2 13" xfId="1533"/>
    <cellStyle name="20% - Ênfase5 2 14" xfId="1534"/>
    <cellStyle name="20% - Ênfase5 2 15" xfId="1535"/>
    <cellStyle name="20% - Ênfase5 2 16" xfId="1536"/>
    <cellStyle name="20% - Ênfase5 2 17" xfId="1537"/>
    <cellStyle name="20% - Ênfase5 2 18" xfId="1538"/>
    <cellStyle name="20% - Ênfase5 2 19" xfId="1539"/>
    <cellStyle name="20% - Ênfase5 2 2" xfId="1540"/>
    <cellStyle name="20% - Ênfase5 2 20" xfId="1541"/>
    <cellStyle name="20% - Ênfase5 2 21" xfId="1542"/>
    <cellStyle name="20% - Ênfase5 2 22" xfId="1543"/>
    <cellStyle name="20% - Ênfase5 2 23" xfId="1544"/>
    <cellStyle name="20% - Ênfase5 2 24" xfId="1545"/>
    <cellStyle name="20% - Ênfase5 2 25" xfId="1546"/>
    <cellStyle name="20% - Ênfase5 2 26" xfId="1547"/>
    <cellStyle name="20% - Ênfase5 2 27" xfId="1548"/>
    <cellStyle name="20% - Ênfase5 2 28" xfId="1549"/>
    <cellStyle name="20% - Ênfase5 2 29" xfId="1550"/>
    <cellStyle name="20% - Ênfase5 2 3" xfId="1551"/>
    <cellStyle name="20% - Ênfase5 2 30" xfId="1552"/>
    <cellStyle name="20% - Ênfase5 2 31" xfId="1553"/>
    <cellStyle name="20% - Ênfase5 2 32" xfId="1554"/>
    <cellStyle name="20% - Ênfase5 2 33" xfId="1555"/>
    <cellStyle name="20% - Ênfase5 2 34" xfId="1556"/>
    <cellStyle name="20% - Ênfase5 2 35" xfId="1557"/>
    <cellStyle name="20% - Ênfase5 2 4" xfId="1558"/>
    <cellStyle name="20% - Ênfase5 2 5" xfId="1559"/>
    <cellStyle name="20% - Ênfase5 2 6" xfId="1560"/>
    <cellStyle name="20% - Ênfase5 2 7" xfId="1561"/>
    <cellStyle name="20% - Ênfase5 2 8" xfId="1562"/>
    <cellStyle name="20% - Ênfase5 2 9" xfId="1563"/>
    <cellStyle name="20% - Ênfase5 20" xfId="1564"/>
    <cellStyle name="20% - Ênfase5 20 2" xfId="1565"/>
    <cellStyle name="20% - Ênfase5 20 3" xfId="1566"/>
    <cellStyle name="20% - Ênfase5 21" xfId="1567"/>
    <cellStyle name="20% - Ênfase5 22" xfId="1568"/>
    <cellStyle name="20% - Ênfase5 23" xfId="1569"/>
    <cellStyle name="20% - Ênfase5 24" xfId="1570"/>
    <cellStyle name="20% - Ênfase5 25" xfId="1571"/>
    <cellStyle name="20% - Ênfase5 26" xfId="1572"/>
    <cellStyle name="20% - Ênfase5 27" xfId="1573"/>
    <cellStyle name="20% - Ênfase5 28" xfId="1574"/>
    <cellStyle name="20% - Ênfase5 29" xfId="1575"/>
    <cellStyle name="20% - Ênfase5 3" xfId="1576"/>
    <cellStyle name="20% - Ênfase5 3 2" xfId="1577"/>
    <cellStyle name="20% - Ênfase5 3 3" xfId="1578"/>
    <cellStyle name="20% - Ênfase5 3 4" xfId="1579"/>
    <cellStyle name="20% - Ênfase5 3 5" xfId="1580"/>
    <cellStyle name="20% - Ênfase5 3 6" xfId="1581"/>
    <cellStyle name="20% - Ênfase5 3 7" xfId="1582"/>
    <cellStyle name="20% - Ênfase5 30" xfId="1583"/>
    <cellStyle name="20% - Ênfase5 31" xfId="1584"/>
    <cellStyle name="20% - Ênfase5 32" xfId="1585"/>
    <cellStyle name="20% - Ênfase5 33" xfId="1586"/>
    <cellStyle name="20% - Ênfase5 34" xfId="1587"/>
    <cellStyle name="20% - Ênfase5 35" xfId="1588"/>
    <cellStyle name="20% - Ênfase5 36" xfId="1589"/>
    <cellStyle name="20% - Ênfase5 37" xfId="1590"/>
    <cellStyle name="20% - Ênfase5 38" xfId="1591"/>
    <cellStyle name="20% - Ênfase5 39" xfId="1592"/>
    <cellStyle name="20% - Ênfase5 4" xfId="1593"/>
    <cellStyle name="20% - Ênfase5 4 2" xfId="1594"/>
    <cellStyle name="20% - Ênfase5 4 3" xfId="1595"/>
    <cellStyle name="20% - Ênfase5 4 4" xfId="1596"/>
    <cellStyle name="20% - Ênfase5 4 5" xfId="1597"/>
    <cellStyle name="20% - Ênfase5 4 6" xfId="1598"/>
    <cellStyle name="20% - Ênfase5 4 7" xfId="1599"/>
    <cellStyle name="20% - Ênfase5 40" xfId="1600"/>
    <cellStyle name="20% - Ênfase5 41" xfId="1601"/>
    <cellStyle name="20% - Ênfase5 42" xfId="1602"/>
    <cellStyle name="20% - Ênfase5 43" xfId="1603"/>
    <cellStyle name="20% - Ênfase5 44" xfId="1604"/>
    <cellStyle name="20% - Ênfase5 45" xfId="1605"/>
    <cellStyle name="20% - Ênfase5 46" xfId="1606"/>
    <cellStyle name="20% - Ênfase5 47" xfId="1607"/>
    <cellStyle name="20% - Ênfase5 48" xfId="1608"/>
    <cellStyle name="20% - Ênfase5 49" xfId="1609"/>
    <cellStyle name="20% - Ênfase5 5" xfId="1610"/>
    <cellStyle name="20% - Ênfase5 5 2" xfId="1611"/>
    <cellStyle name="20% - Ênfase5 5 3" xfId="1612"/>
    <cellStyle name="20% - Ênfase5 5 4" xfId="1613"/>
    <cellStyle name="20% - Ênfase5 50" xfId="1614"/>
    <cellStyle name="20% - Ênfase5 51" xfId="1615"/>
    <cellStyle name="20% - Ênfase5 52" xfId="1616"/>
    <cellStyle name="20% - Ênfase5 53" xfId="1617"/>
    <cellStyle name="20% - Ênfase5 54" xfId="1618"/>
    <cellStyle name="20% - Ênfase5 55" xfId="1619"/>
    <cellStyle name="20% - Ênfase5 56" xfId="1620"/>
    <cellStyle name="20% - Ênfase5 57" xfId="1621"/>
    <cellStyle name="20% - Ênfase5 58" xfId="1622"/>
    <cellStyle name="20% - Ênfase5 59" xfId="1623"/>
    <cellStyle name="20% - Ênfase5 6" xfId="1624"/>
    <cellStyle name="20% - Ênfase5 6 2" xfId="1625"/>
    <cellStyle name="20% - Ênfase5 6 3" xfId="1626"/>
    <cellStyle name="20% - Ênfase5 6 4" xfId="1627"/>
    <cellStyle name="20% - Ênfase5 60" xfId="1628"/>
    <cellStyle name="20% - Ênfase5 61" xfId="1629"/>
    <cellStyle name="20% - Ênfase5 62" xfId="1630"/>
    <cellStyle name="20% - Ênfase5 63" xfId="1631"/>
    <cellStyle name="20% - Ênfase5 64" xfId="1632"/>
    <cellStyle name="20% - Ênfase5 65" xfId="1633"/>
    <cellStyle name="20% - Ênfase5 66" xfId="1634"/>
    <cellStyle name="20% - Ênfase5 67" xfId="1635"/>
    <cellStyle name="20% - Ênfase5 68" xfId="1636"/>
    <cellStyle name="20% - Ênfase5 69" xfId="1637"/>
    <cellStyle name="20% - Ênfase5 7" xfId="1638"/>
    <cellStyle name="20% - Ênfase5 7 2" xfId="1639"/>
    <cellStyle name="20% - Ênfase5 7 3" xfId="1640"/>
    <cellStyle name="20% - Ênfase5 7 4" xfId="1641"/>
    <cellStyle name="20% - Ênfase5 70" xfId="1642"/>
    <cellStyle name="20% - Ênfase5 71" xfId="1643"/>
    <cellStyle name="20% - Ênfase5 72" xfId="1644"/>
    <cellStyle name="20% - Ênfase5 73" xfId="1645"/>
    <cellStyle name="20% - Ênfase5 74" xfId="1646"/>
    <cellStyle name="20% - Ênfase5 75" xfId="1647"/>
    <cellStyle name="20% - Ênfase5 76" xfId="1648"/>
    <cellStyle name="20% - Ênfase5 77" xfId="1649"/>
    <cellStyle name="20% - Ênfase5 78" xfId="1650"/>
    <cellStyle name="20% - Ênfase5 79" xfId="1651"/>
    <cellStyle name="20% - Ênfase5 8" xfId="1652"/>
    <cellStyle name="20% - Ênfase5 8 2" xfId="1653"/>
    <cellStyle name="20% - Ênfase5 8 3" xfId="1654"/>
    <cellStyle name="20% - Ênfase5 8 4" xfId="1655"/>
    <cellStyle name="20% - Ênfase5 80" xfId="1656"/>
    <cellStyle name="20% - Ênfase5 81" xfId="1657"/>
    <cellStyle name="20% - Ênfase5 82" xfId="1658"/>
    <cellStyle name="20% - Ênfase5 83" xfId="1659"/>
    <cellStyle name="20% - Ênfase5 84" xfId="1660"/>
    <cellStyle name="20% - Ênfase5 85" xfId="1661"/>
    <cellStyle name="20% - Ênfase5 86" xfId="1662"/>
    <cellStyle name="20% - Ênfase5 87" xfId="1663"/>
    <cellStyle name="20% - Ênfase5 88" xfId="1664"/>
    <cellStyle name="20% - Ênfase5 89" xfId="1665"/>
    <cellStyle name="20% - Ênfase5 9" xfId="1666"/>
    <cellStyle name="20% - Ênfase5 90" xfId="1667"/>
    <cellStyle name="20% - Ênfase5 91" xfId="1668"/>
    <cellStyle name="20% - Ênfase5 92" xfId="1669"/>
    <cellStyle name="20% - Ênfase5 93" xfId="1670"/>
    <cellStyle name="20% - Ênfase5 94" xfId="1671"/>
    <cellStyle name="20% - Ênfase5 95" xfId="1672"/>
    <cellStyle name="20% - Ênfase5 96" xfId="1673"/>
    <cellStyle name="20% - Ênfase5 97" xfId="1674"/>
    <cellStyle name="20% - Ênfase5 98" xfId="1675"/>
    <cellStyle name="20% - Ênfase5 99" xfId="1676"/>
    <cellStyle name="20% - Ênfase6 10" xfId="1677"/>
    <cellStyle name="20% - Ênfase6 10 2" xfId="40478"/>
    <cellStyle name="20% - Ênfase6 100" xfId="1678"/>
    <cellStyle name="20% - Ênfase6 101" xfId="1679"/>
    <cellStyle name="20% - Ênfase6 102" xfId="1680"/>
    <cellStyle name="20% - Ênfase6 103" xfId="1681"/>
    <cellStyle name="20% - Ênfase6 104" xfId="1682"/>
    <cellStyle name="20% - Ênfase6 105" xfId="1683"/>
    <cellStyle name="20% - Ênfase6 106" xfId="1684"/>
    <cellStyle name="20% - Ênfase6 107" xfId="1685"/>
    <cellStyle name="20% - Ênfase6 108" xfId="1686"/>
    <cellStyle name="20% - Ênfase6 109" xfId="1687"/>
    <cellStyle name="20% - Ênfase6 11" xfId="1688"/>
    <cellStyle name="20% - Ênfase6 11 2" xfId="40479"/>
    <cellStyle name="20% - Ênfase6 110" xfId="1689"/>
    <cellStyle name="20% - Ênfase6 111" xfId="1690"/>
    <cellStyle name="20% - Ênfase6 112" xfId="1691"/>
    <cellStyle name="20% - Ênfase6 113" xfId="1692"/>
    <cellStyle name="20% - Ênfase6 114" xfId="1693"/>
    <cellStyle name="20% - Ênfase6 115" xfId="1694"/>
    <cellStyle name="20% - Ênfase6 116" xfId="1695"/>
    <cellStyle name="20% - Ênfase6 117" xfId="1696"/>
    <cellStyle name="20% - Ênfase6 118" xfId="1697"/>
    <cellStyle name="20% - Ênfase6 119" xfId="1698"/>
    <cellStyle name="20% - Ênfase6 12" xfId="1699"/>
    <cellStyle name="20% - Ênfase6 12 2" xfId="40480"/>
    <cellStyle name="20% - Ênfase6 120" xfId="1700"/>
    <cellStyle name="20% - Ênfase6 121" xfId="1701"/>
    <cellStyle name="20% - Ênfase6 122" xfId="1702"/>
    <cellStyle name="20% - Ênfase6 123" xfId="1703"/>
    <cellStyle name="20% - Ênfase6 124" xfId="1704"/>
    <cellStyle name="20% - Ênfase6 125" xfId="1705"/>
    <cellStyle name="20% - Ênfase6 126" xfId="1706"/>
    <cellStyle name="20% - Ênfase6 127" xfId="1707"/>
    <cellStyle name="20% - Ênfase6 128" xfId="1708"/>
    <cellStyle name="20% - Ênfase6 129" xfId="1709"/>
    <cellStyle name="20% - Ênfase6 13" xfId="1710"/>
    <cellStyle name="20% - Ênfase6 13 2" xfId="40481"/>
    <cellStyle name="20% - Ênfase6 130" xfId="1711"/>
    <cellStyle name="20% - Ênfase6 131" xfId="1712"/>
    <cellStyle name="20% - Ênfase6 132" xfId="1713"/>
    <cellStyle name="20% - Ênfase6 133" xfId="1714"/>
    <cellStyle name="20% - Ênfase6 134" xfId="1715"/>
    <cellStyle name="20% - Ênfase6 135" xfId="1716"/>
    <cellStyle name="20% - Ênfase6 136" xfId="1717"/>
    <cellStyle name="20% - Ênfase6 137" xfId="1718"/>
    <cellStyle name="20% - Ênfase6 138" xfId="1719"/>
    <cellStyle name="20% - Ênfase6 139" xfId="1720"/>
    <cellStyle name="20% - Ênfase6 14" xfId="1721"/>
    <cellStyle name="20% - Ênfase6 140" xfId="1722"/>
    <cellStyle name="20% - Ênfase6 141" xfId="1723"/>
    <cellStyle name="20% - Ênfase6 142" xfId="1724"/>
    <cellStyle name="20% - Ênfase6 143" xfId="1725"/>
    <cellStyle name="20% - Ênfase6 144" xfId="1726"/>
    <cellStyle name="20% - Ênfase6 145" xfId="1727"/>
    <cellStyle name="20% - Ênfase6 146" xfId="1728"/>
    <cellStyle name="20% - Ênfase6 147" xfId="1729"/>
    <cellStyle name="20% - Ênfase6 148" xfId="1730"/>
    <cellStyle name="20% - Ênfase6 149" xfId="1731"/>
    <cellStyle name="20% - Ênfase6 15" xfId="1732"/>
    <cellStyle name="20% - Ênfase6 15 2" xfId="1733"/>
    <cellStyle name="20% - Ênfase6 15 3" xfId="1734"/>
    <cellStyle name="20% - Ênfase6 150" xfId="1735"/>
    <cellStyle name="20% - Ênfase6 151" xfId="1736"/>
    <cellStyle name="20% - Ênfase6 152" xfId="1737"/>
    <cellStyle name="20% - Ênfase6 153" xfId="1738"/>
    <cellStyle name="20% - Ênfase6 154" xfId="1739"/>
    <cellStyle name="20% - Ênfase6 155" xfId="1740"/>
    <cellStyle name="20% - Ênfase6 156" xfId="1741"/>
    <cellStyle name="20% - Ênfase6 157" xfId="1742"/>
    <cellStyle name="20% - Ênfase6 158" xfId="1743"/>
    <cellStyle name="20% - Ênfase6 159" xfId="1744"/>
    <cellStyle name="20% - Ênfase6 16" xfId="1745"/>
    <cellStyle name="20% - Ênfase6 16 2" xfId="1746"/>
    <cellStyle name="20% - Ênfase6 16 3" xfId="1747"/>
    <cellStyle name="20% - Ênfase6 160" xfId="1748"/>
    <cellStyle name="20% - Ênfase6 161" xfId="1749"/>
    <cellStyle name="20% - Ênfase6 162" xfId="1750"/>
    <cellStyle name="20% - Ênfase6 163" xfId="1751"/>
    <cellStyle name="20% - Ênfase6 164" xfId="1752"/>
    <cellStyle name="20% - Ênfase6 165" xfId="1753"/>
    <cellStyle name="20% - Ênfase6 166" xfId="1754"/>
    <cellStyle name="20% - Ênfase6 167" xfId="1755"/>
    <cellStyle name="20% - Ênfase6 168" xfId="1756"/>
    <cellStyle name="20% - Ênfase6 169" xfId="1757"/>
    <cellStyle name="20% - Ênfase6 17" xfId="1758"/>
    <cellStyle name="20% - Ênfase6 17 2" xfId="1759"/>
    <cellStyle name="20% - Ênfase6 17 3" xfId="1760"/>
    <cellStyle name="20% - Ênfase6 170" xfId="1761"/>
    <cellStyle name="20% - Ênfase6 171" xfId="1762"/>
    <cellStyle name="20% - Ênfase6 172" xfId="1763"/>
    <cellStyle name="20% - Ênfase6 173" xfId="1764"/>
    <cellStyle name="20% - Ênfase6 174" xfId="1765"/>
    <cellStyle name="20% - Ênfase6 175" xfId="1766"/>
    <cellStyle name="20% - Ênfase6 176" xfId="1767"/>
    <cellStyle name="20% - Ênfase6 177" xfId="1768"/>
    <cellStyle name="20% - Ênfase6 178" xfId="1769"/>
    <cellStyle name="20% - Ênfase6 179" xfId="1770"/>
    <cellStyle name="20% - Ênfase6 18" xfId="1771"/>
    <cellStyle name="20% - Ênfase6 18 2" xfId="1772"/>
    <cellStyle name="20% - Ênfase6 18 3" xfId="1773"/>
    <cellStyle name="20% - Ênfase6 180" xfId="1774"/>
    <cellStyle name="20% - Ênfase6 181" xfId="1775"/>
    <cellStyle name="20% - Ênfase6 182" xfId="1776"/>
    <cellStyle name="20% - Ênfase6 183" xfId="1777"/>
    <cellStyle name="20% - Ênfase6 184" xfId="1778"/>
    <cellStyle name="20% - Ênfase6 185" xfId="1779"/>
    <cellStyle name="20% - Ênfase6 186" xfId="1780"/>
    <cellStyle name="20% - Ênfase6 187" xfId="1781"/>
    <cellStyle name="20% - Ênfase6 188" xfId="1782"/>
    <cellStyle name="20% - Ênfase6 189" xfId="1783"/>
    <cellStyle name="20% - Ênfase6 19" xfId="1784"/>
    <cellStyle name="20% - Ênfase6 19 2" xfId="1785"/>
    <cellStyle name="20% - Ênfase6 19 3" xfId="1786"/>
    <cellStyle name="20% - Ênfase6 190" xfId="1787"/>
    <cellStyle name="20% - Ênfase6 2" xfId="1788"/>
    <cellStyle name="20% - Ênfase6 2 10" xfId="1789"/>
    <cellStyle name="20% - Ênfase6 2 10 2" xfId="1790"/>
    <cellStyle name="20% - Ênfase6 2 10 3" xfId="1791"/>
    <cellStyle name="20% - Ênfase6 2 10 4" xfId="1792"/>
    <cellStyle name="20% - Ênfase6 2 10 5" xfId="1793"/>
    <cellStyle name="20% - Ênfase6 2 10 6" xfId="1794"/>
    <cellStyle name="20% - Ênfase6 2 10 7" xfId="1795"/>
    <cellStyle name="20% - Ênfase6 2 11" xfId="1796"/>
    <cellStyle name="20% - Ênfase6 2 11 2" xfId="1797"/>
    <cellStyle name="20% - Ênfase6 2 11 3" xfId="1798"/>
    <cellStyle name="20% - Ênfase6 2 11 4" xfId="1799"/>
    <cellStyle name="20% - Ênfase6 2 11 5" xfId="1800"/>
    <cellStyle name="20% - Ênfase6 2 11 6" xfId="1801"/>
    <cellStyle name="20% - Ênfase6 2 11 7" xfId="1802"/>
    <cellStyle name="20% - Ênfase6 2 12" xfId="1803"/>
    <cellStyle name="20% - Ênfase6 2 13" xfId="1804"/>
    <cellStyle name="20% - Ênfase6 2 14" xfId="1805"/>
    <cellStyle name="20% - Ênfase6 2 15" xfId="1806"/>
    <cellStyle name="20% - Ênfase6 2 16" xfId="1807"/>
    <cellStyle name="20% - Ênfase6 2 17" xfId="1808"/>
    <cellStyle name="20% - Ênfase6 2 18" xfId="1809"/>
    <cellStyle name="20% - Ênfase6 2 19" xfId="1810"/>
    <cellStyle name="20% - Ênfase6 2 2" xfId="1811"/>
    <cellStyle name="20% - Ênfase6 2 20" xfId="1812"/>
    <cellStyle name="20% - Ênfase6 2 21" xfId="1813"/>
    <cellStyle name="20% - Ênfase6 2 22" xfId="1814"/>
    <cellStyle name="20% - Ênfase6 2 23" xfId="1815"/>
    <cellStyle name="20% - Ênfase6 2 24" xfId="1816"/>
    <cellStyle name="20% - Ênfase6 2 25" xfId="1817"/>
    <cellStyle name="20% - Ênfase6 2 26" xfId="1818"/>
    <cellStyle name="20% - Ênfase6 2 27" xfId="1819"/>
    <cellStyle name="20% - Ênfase6 2 28" xfId="1820"/>
    <cellStyle name="20% - Ênfase6 2 29" xfId="1821"/>
    <cellStyle name="20% - Ênfase6 2 3" xfId="1822"/>
    <cellStyle name="20% - Ênfase6 2 30" xfId="1823"/>
    <cellStyle name="20% - Ênfase6 2 31" xfId="1824"/>
    <cellStyle name="20% - Ênfase6 2 32" xfId="1825"/>
    <cellStyle name="20% - Ênfase6 2 33" xfId="1826"/>
    <cellStyle name="20% - Ênfase6 2 34" xfId="1827"/>
    <cellStyle name="20% - Ênfase6 2 35" xfId="1828"/>
    <cellStyle name="20% - Ênfase6 2 4" xfId="1829"/>
    <cellStyle name="20% - Ênfase6 2 5" xfId="1830"/>
    <cellStyle name="20% - Ênfase6 2 6" xfId="1831"/>
    <cellStyle name="20% - Ênfase6 2 7" xfId="1832"/>
    <cellStyle name="20% - Ênfase6 2 8" xfId="1833"/>
    <cellStyle name="20% - Ênfase6 2 8 2" xfId="1834"/>
    <cellStyle name="20% - Ênfase6 2 8 3" xfId="1835"/>
    <cellStyle name="20% - Ênfase6 2 8 4" xfId="1836"/>
    <cellStyle name="20% - Ênfase6 2 8 5" xfId="1837"/>
    <cellStyle name="20% - Ênfase6 2 8 6" xfId="1838"/>
    <cellStyle name="20% - Ênfase6 2 8 7" xfId="1839"/>
    <cellStyle name="20% - Ênfase6 2 9" xfId="1840"/>
    <cellStyle name="20% - Ênfase6 2 9 2" xfId="1841"/>
    <cellStyle name="20% - Ênfase6 2 9 3" xfId="1842"/>
    <cellStyle name="20% - Ênfase6 2 9 4" xfId="1843"/>
    <cellStyle name="20% - Ênfase6 2 9 5" xfId="1844"/>
    <cellStyle name="20% - Ênfase6 2 9 6" xfId="1845"/>
    <cellStyle name="20% - Ênfase6 2 9 7" xfId="1846"/>
    <cellStyle name="20% - Ênfase6 20" xfId="1847"/>
    <cellStyle name="20% - Ênfase6 20 2" xfId="1848"/>
    <cellStyle name="20% - Ênfase6 20 3" xfId="1849"/>
    <cellStyle name="20% - Ênfase6 21" xfId="1850"/>
    <cellStyle name="20% - Ênfase6 22" xfId="1851"/>
    <cellStyle name="20% - Ênfase6 23" xfId="1852"/>
    <cellStyle name="20% - Ênfase6 24" xfId="1853"/>
    <cellStyle name="20% - Ênfase6 24 2" xfId="40933"/>
    <cellStyle name="20% - Ênfase6 25" xfId="1854"/>
    <cellStyle name="20% - Ênfase6 25 2" xfId="40968"/>
    <cellStyle name="20% - Ênfase6 26" xfId="1855"/>
    <cellStyle name="20% - Ênfase6 26 10" xfId="1856"/>
    <cellStyle name="20% - Ênfase6 26 11" xfId="1857"/>
    <cellStyle name="20% - Ênfase6 26 12" xfId="1858"/>
    <cellStyle name="20% - Ênfase6 26 13" xfId="1859"/>
    <cellStyle name="20% - Ênfase6 26 14" xfId="1860"/>
    <cellStyle name="20% - Ênfase6 26 15" xfId="1861"/>
    <cellStyle name="20% - Ênfase6 26 16" xfId="1862"/>
    <cellStyle name="20% - Ênfase6 26 2" xfId="1863"/>
    <cellStyle name="20% - Ênfase6 26 3" xfId="1864"/>
    <cellStyle name="20% - Ênfase6 26 4" xfId="1865"/>
    <cellStyle name="20% - Ênfase6 26 5" xfId="1866"/>
    <cellStyle name="20% - Ênfase6 26 6" xfId="1867"/>
    <cellStyle name="20% - Ênfase6 26 7" xfId="1868"/>
    <cellStyle name="20% - Ênfase6 26 8" xfId="1869"/>
    <cellStyle name="20% - Ênfase6 26 9" xfId="1870"/>
    <cellStyle name="20% - Ênfase6 27" xfId="1871"/>
    <cellStyle name="20% - Ênfase6 27 10" xfId="1872"/>
    <cellStyle name="20% - Ênfase6 27 11" xfId="1873"/>
    <cellStyle name="20% - Ênfase6 27 12" xfId="1874"/>
    <cellStyle name="20% - Ênfase6 27 13" xfId="1875"/>
    <cellStyle name="20% - Ênfase6 27 14" xfId="1876"/>
    <cellStyle name="20% - Ênfase6 27 15" xfId="1877"/>
    <cellStyle name="20% - Ênfase6 27 16" xfId="1878"/>
    <cellStyle name="20% - Ênfase6 27 2" xfId="1879"/>
    <cellStyle name="20% - Ênfase6 27 3" xfId="1880"/>
    <cellStyle name="20% - Ênfase6 27 4" xfId="1881"/>
    <cellStyle name="20% - Ênfase6 27 5" xfId="1882"/>
    <cellStyle name="20% - Ênfase6 27 6" xfId="1883"/>
    <cellStyle name="20% - Ênfase6 27 7" xfId="1884"/>
    <cellStyle name="20% - Ênfase6 27 8" xfId="1885"/>
    <cellStyle name="20% - Ênfase6 27 9" xfId="1886"/>
    <cellStyle name="20% - Ênfase6 28" xfId="1887"/>
    <cellStyle name="20% - Ênfase6 28 10" xfId="1888"/>
    <cellStyle name="20% - Ênfase6 28 11" xfId="1889"/>
    <cellStyle name="20% - Ênfase6 28 12" xfId="1890"/>
    <cellStyle name="20% - Ênfase6 28 13" xfId="1891"/>
    <cellStyle name="20% - Ênfase6 28 14" xfId="1892"/>
    <cellStyle name="20% - Ênfase6 28 15" xfId="1893"/>
    <cellStyle name="20% - Ênfase6 28 16" xfId="1894"/>
    <cellStyle name="20% - Ênfase6 28 2" xfId="1895"/>
    <cellStyle name="20% - Ênfase6 28 3" xfId="1896"/>
    <cellStyle name="20% - Ênfase6 28 4" xfId="1897"/>
    <cellStyle name="20% - Ênfase6 28 5" xfId="1898"/>
    <cellStyle name="20% - Ênfase6 28 6" xfId="1899"/>
    <cellStyle name="20% - Ênfase6 28 7" xfId="1900"/>
    <cellStyle name="20% - Ênfase6 28 8" xfId="1901"/>
    <cellStyle name="20% - Ênfase6 28 9" xfId="1902"/>
    <cellStyle name="20% - Ênfase6 29" xfId="1903"/>
    <cellStyle name="20% - Ênfase6 29 10" xfId="1904"/>
    <cellStyle name="20% - Ênfase6 29 11" xfId="1905"/>
    <cellStyle name="20% - Ênfase6 29 12" xfId="1906"/>
    <cellStyle name="20% - Ênfase6 29 13" xfId="1907"/>
    <cellStyle name="20% - Ênfase6 29 14" xfId="1908"/>
    <cellStyle name="20% - Ênfase6 29 15" xfId="1909"/>
    <cellStyle name="20% - Ênfase6 29 16" xfId="1910"/>
    <cellStyle name="20% - Ênfase6 29 2" xfId="1911"/>
    <cellStyle name="20% - Ênfase6 29 3" xfId="1912"/>
    <cellStyle name="20% - Ênfase6 29 4" xfId="1913"/>
    <cellStyle name="20% - Ênfase6 29 5" xfId="1914"/>
    <cellStyle name="20% - Ênfase6 29 6" xfId="1915"/>
    <cellStyle name="20% - Ênfase6 29 7" xfId="1916"/>
    <cellStyle name="20% - Ênfase6 29 8" xfId="1917"/>
    <cellStyle name="20% - Ênfase6 29 9" xfId="1918"/>
    <cellStyle name="20% - Ênfase6 3" xfId="1919"/>
    <cellStyle name="20% - Ênfase6 3 10" xfId="1920"/>
    <cellStyle name="20% - Ênfase6 3 11" xfId="1921"/>
    <cellStyle name="20% - Ênfase6 3 2" xfId="1922"/>
    <cellStyle name="20% - Ênfase6 3 3" xfId="1923"/>
    <cellStyle name="20% - Ênfase6 3 4" xfId="1924"/>
    <cellStyle name="20% - Ênfase6 3 5" xfId="1925"/>
    <cellStyle name="20% - Ênfase6 3 6" xfId="1926"/>
    <cellStyle name="20% - Ênfase6 3 7" xfId="1927"/>
    <cellStyle name="20% - Ênfase6 3 8" xfId="1928"/>
    <cellStyle name="20% - Ênfase6 3 9" xfId="1929"/>
    <cellStyle name="20% - Ênfase6 30" xfId="1930"/>
    <cellStyle name="20% - Ênfase6 31" xfId="1931"/>
    <cellStyle name="20% - Ênfase6 32" xfId="1932"/>
    <cellStyle name="20% - Ênfase6 33" xfId="1933"/>
    <cellStyle name="20% - Ênfase6 34" xfId="1934"/>
    <cellStyle name="20% - Ênfase6 35" xfId="1935"/>
    <cellStyle name="20% - Ênfase6 36" xfId="1936"/>
    <cellStyle name="20% - Ênfase6 37" xfId="1937"/>
    <cellStyle name="20% - Ênfase6 38" xfId="1938"/>
    <cellStyle name="20% - Ênfase6 39" xfId="1939"/>
    <cellStyle name="20% - Ênfase6 4" xfId="1940"/>
    <cellStyle name="20% - Ênfase6 4 10" xfId="1941"/>
    <cellStyle name="20% - Ênfase6 4 11" xfId="1942"/>
    <cellStyle name="20% - Ênfase6 4 2" xfId="1943"/>
    <cellStyle name="20% - Ênfase6 4 3" xfId="1944"/>
    <cellStyle name="20% - Ênfase6 4 4" xfId="1945"/>
    <cellStyle name="20% - Ênfase6 4 5" xfId="1946"/>
    <cellStyle name="20% - Ênfase6 4 6" xfId="1947"/>
    <cellStyle name="20% - Ênfase6 4 7" xfId="1948"/>
    <cellStyle name="20% - Ênfase6 4 8" xfId="1949"/>
    <cellStyle name="20% - Ênfase6 4 9" xfId="1950"/>
    <cellStyle name="20% - Ênfase6 40" xfId="1951"/>
    <cellStyle name="20% - Ênfase6 41" xfId="1952"/>
    <cellStyle name="20% - Ênfase6 42" xfId="1953"/>
    <cellStyle name="20% - Ênfase6 43" xfId="1954"/>
    <cellStyle name="20% - Ênfase6 44" xfId="1955"/>
    <cellStyle name="20% - Ênfase6 45" xfId="1956"/>
    <cellStyle name="20% - Ênfase6 46" xfId="1957"/>
    <cellStyle name="20% - Ênfase6 47" xfId="1958"/>
    <cellStyle name="20% - Ênfase6 48" xfId="1959"/>
    <cellStyle name="20% - Ênfase6 49" xfId="1960"/>
    <cellStyle name="20% - Ênfase6 5" xfId="1961"/>
    <cellStyle name="20% - Ênfase6 5 2" xfId="1962"/>
    <cellStyle name="20% - Ênfase6 5 3" xfId="1963"/>
    <cellStyle name="20% - Ênfase6 5 4" xfId="1964"/>
    <cellStyle name="20% - Ênfase6 50" xfId="1965"/>
    <cellStyle name="20% - Ênfase6 51" xfId="1966"/>
    <cellStyle name="20% - Ênfase6 52" xfId="1967"/>
    <cellStyle name="20% - Ênfase6 53" xfId="1968"/>
    <cellStyle name="20% - Ênfase6 54" xfId="1969"/>
    <cellStyle name="20% - Ênfase6 55" xfId="1970"/>
    <cellStyle name="20% - Ênfase6 56" xfId="1971"/>
    <cellStyle name="20% - Ênfase6 57" xfId="1972"/>
    <cellStyle name="20% - Ênfase6 58" xfId="1973"/>
    <cellStyle name="20% - Ênfase6 59" xfId="1974"/>
    <cellStyle name="20% - Ênfase6 6" xfId="1975"/>
    <cellStyle name="20% - Ênfase6 6 2" xfId="1976"/>
    <cellStyle name="20% - Ênfase6 6 3" xfId="1977"/>
    <cellStyle name="20% - Ênfase6 6 4" xfId="1978"/>
    <cellStyle name="20% - Ênfase6 60" xfId="1979"/>
    <cellStyle name="20% - Ênfase6 61" xfId="1980"/>
    <cellStyle name="20% - Ênfase6 62" xfId="1981"/>
    <cellStyle name="20% - Ênfase6 63" xfId="1982"/>
    <cellStyle name="20% - Ênfase6 64" xfId="1983"/>
    <cellStyle name="20% - Ênfase6 65" xfId="1984"/>
    <cellStyle name="20% - Ênfase6 66" xfId="1985"/>
    <cellStyle name="20% - Ênfase6 67" xfId="1986"/>
    <cellStyle name="20% - Ênfase6 68" xfId="1987"/>
    <cellStyle name="20% - Ênfase6 69" xfId="1988"/>
    <cellStyle name="20% - Ênfase6 7" xfId="1989"/>
    <cellStyle name="20% - Ênfase6 7 2" xfId="1990"/>
    <cellStyle name="20% - Ênfase6 7 3" xfId="1991"/>
    <cellStyle name="20% - Ênfase6 7 4" xfId="1992"/>
    <cellStyle name="20% - Ênfase6 70" xfId="1993"/>
    <cellStyle name="20% - Ênfase6 71" xfId="1994"/>
    <cellStyle name="20% - Ênfase6 72" xfId="1995"/>
    <cellStyle name="20% - Ênfase6 73" xfId="1996"/>
    <cellStyle name="20% - Ênfase6 74" xfId="1997"/>
    <cellStyle name="20% - Ênfase6 75" xfId="1998"/>
    <cellStyle name="20% - Ênfase6 76" xfId="1999"/>
    <cellStyle name="20% - Ênfase6 77" xfId="2000"/>
    <cellStyle name="20% - Ênfase6 78" xfId="2001"/>
    <cellStyle name="20% - Ênfase6 79" xfId="2002"/>
    <cellStyle name="20% - Ênfase6 8" xfId="2003"/>
    <cellStyle name="20% - Ênfase6 8 2" xfId="2004"/>
    <cellStyle name="20% - Ênfase6 8 3" xfId="2005"/>
    <cellStyle name="20% - Ênfase6 8 4" xfId="2006"/>
    <cellStyle name="20% - Ênfase6 80" xfId="2007"/>
    <cellStyle name="20% - Ênfase6 81" xfId="2008"/>
    <cellStyle name="20% - Ênfase6 82" xfId="2009"/>
    <cellStyle name="20% - Ênfase6 83" xfId="2010"/>
    <cellStyle name="20% - Ênfase6 84" xfId="2011"/>
    <cellStyle name="20% - Ênfase6 85" xfId="2012"/>
    <cellStyle name="20% - Ênfase6 86" xfId="2013"/>
    <cellStyle name="20% - Ênfase6 87" xfId="2014"/>
    <cellStyle name="20% - Ênfase6 88" xfId="2015"/>
    <cellStyle name="20% - Ênfase6 89" xfId="2016"/>
    <cellStyle name="20% - Ênfase6 9" xfId="2017"/>
    <cellStyle name="20% - Ênfase6 90" xfId="2018"/>
    <cellStyle name="20% - Ênfase6 91" xfId="2019"/>
    <cellStyle name="20% - Ênfase6 92" xfId="2020"/>
    <cellStyle name="20% - Ênfase6 93" xfId="2021"/>
    <cellStyle name="20% - Ênfase6 94" xfId="2022"/>
    <cellStyle name="20% - Ênfase6 95" xfId="2023"/>
    <cellStyle name="20% - Ênfase6 96" xfId="2024"/>
    <cellStyle name="20% - Ênfase6 97" xfId="2025"/>
    <cellStyle name="20% - Ênfase6 98" xfId="2026"/>
    <cellStyle name="20% - Ênfase6 99" xfId="2027"/>
    <cellStyle name="40% - Ênfase1 10" xfId="2028"/>
    <cellStyle name="40% - Ênfase1 10 2" xfId="40482"/>
    <cellStyle name="40% - Ênfase1 100" xfId="2029"/>
    <cellStyle name="40% - Ênfase1 101" xfId="2030"/>
    <cellStyle name="40% - Ênfase1 102" xfId="2031"/>
    <cellStyle name="40% - Ênfase1 103" xfId="2032"/>
    <cellStyle name="40% - Ênfase1 104" xfId="2033"/>
    <cellStyle name="40% - Ênfase1 105" xfId="2034"/>
    <cellStyle name="40% - Ênfase1 106" xfId="2035"/>
    <cellStyle name="40% - Ênfase1 107" xfId="2036"/>
    <cellStyle name="40% - Ênfase1 108" xfId="2037"/>
    <cellStyle name="40% - Ênfase1 109" xfId="2038"/>
    <cellStyle name="40% - Ênfase1 11" xfId="2039"/>
    <cellStyle name="40% - Ênfase1 11 2" xfId="40483"/>
    <cellStyle name="40% - Ênfase1 110" xfId="2040"/>
    <cellStyle name="40% - Ênfase1 111" xfId="2041"/>
    <cellStyle name="40% - Ênfase1 112" xfId="2042"/>
    <cellStyle name="40% - Ênfase1 113" xfId="2043"/>
    <cellStyle name="40% - Ênfase1 114" xfId="2044"/>
    <cellStyle name="40% - Ênfase1 115" xfId="2045"/>
    <cellStyle name="40% - Ênfase1 116" xfId="2046"/>
    <cellStyle name="40% - Ênfase1 117" xfId="2047"/>
    <cellStyle name="40% - Ênfase1 118" xfId="2048"/>
    <cellStyle name="40% - Ênfase1 119" xfId="2049"/>
    <cellStyle name="40% - Ênfase1 12" xfId="2050"/>
    <cellStyle name="40% - Ênfase1 12 2" xfId="40484"/>
    <cellStyle name="40% - Ênfase1 120" xfId="2051"/>
    <cellStyle name="40% - Ênfase1 121" xfId="2052"/>
    <cellStyle name="40% - Ênfase1 122" xfId="2053"/>
    <cellStyle name="40% - Ênfase1 123" xfId="2054"/>
    <cellStyle name="40% - Ênfase1 124" xfId="2055"/>
    <cellStyle name="40% - Ênfase1 125" xfId="2056"/>
    <cellStyle name="40% - Ênfase1 126" xfId="2057"/>
    <cellStyle name="40% - Ênfase1 127" xfId="2058"/>
    <cellStyle name="40% - Ênfase1 128" xfId="2059"/>
    <cellStyle name="40% - Ênfase1 129" xfId="2060"/>
    <cellStyle name="40% - Ênfase1 13" xfId="2061"/>
    <cellStyle name="40% - Ênfase1 13 2" xfId="40485"/>
    <cellStyle name="40% - Ênfase1 130" xfId="2062"/>
    <cellStyle name="40% - Ênfase1 131" xfId="2063"/>
    <cellStyle name="40% - Ênfase1 132" xfId="2064"/>
    <cellStyle name="40% - Ênfase1 133" xfId="2065"/>
    <cellStyle name="40% - Ênfase1 134" xfId="2066"/>
    <cellStyle name="40% - Ênfase1 135" xfId="2067"/>
    <cellStyle name="40% - Ênfase1 136" xfId="2068"/>
    <cellStyle name="40% - Ênfase1 137" xfId="2069"/>
    <cellStyle name="40% - Ênfase1 138" xfId="2070"/>
    <cellStyle name="40% - Ênfase1 139" xfId="2071"/>
    <cellStyle name="40% - Ênfase1 14" xfId="2072"/>
    <cellStyle name="40% - Ênfase1 140" xfId="2073"/>
    <cellStyle name="40% - Ênfase1 141" xfId="2074"/>
    <cellStyle name="40% - Ênfase1 142" xfId="2075"/>
    <cellStyle name="40% - Ênfase1 143" xfId="2076"/>
    <cellStyle name="40% - Ênfase1 144" xfId="2077"/>
    <cellStyle name="40% - Ênfase1 145" xfId="2078"/>
    <cellStyle name="40% - Ênfase1 146" xfId="2079"/>
    <cellStyle name="40% - Ênfase1 147" xfId="2080"/>
    <cellStyle name="40% - Ênfase1 148" xfId="2081"/>
    <cellStyle name="40% - Ênfase1 149" xfId="2082"/>
    <cellStyle name="40% - Ênfase1 15" xfId="2083"/>
    <cellStyle name="40% - Ênfase1 15 2" xfId="2084"/>
    <cellStyle name="40% - Ênfase1 15 3" xfId="2085"/>
    <cellStyle name="40% - Ênfase1 150" xfId="2086"/>
    <cellStyle name="40% - Ênfase1 151" xfId="2087"/>
    <cellStyle name="40% - Ênfase1 152" xfId="2088"/>
    <cellStyle name="40% - Ênfase1 153" xfId="2089"/>
    <cellStyle name="40% - Ênfase1 154" xfId="2090"/>
    <cellStyle name="40% - Ênfase1 155" xfId="2091"/>
    <cellStyle name="40% - Ênfase1 156" xfId="2092"/>
    <cellStyle name="40% - Ênfase1 157" xfId="2093"/>
    <cellStyle name="40% - Ênfase1 158" xfId="2094"/>
    <cellStyle name="40% - Ênfase1 159" xfId="2095"/>
    <cellStyle name="40% - Ênfase1 16" xfId="2096"/>
    <cellStyle name="40% - Ênfase1 16 2" xfId="2097"/>
    <cellStyle name="40% - Ênfase1 16 3" xfId="2098"/>
    <cellStyle name="40% - Ênfase1 160" xfId="2099"/>
    <cellStyle name="40% - Ênfase1 161" xfId="2100"/>
    <cellStyle name="40% - Ênfase1 162" xfId="2101"/>
    <cellStyle name="40% - Ênfase1 163" xfId="2102"/>
    <cellStyle name="40% - Ênfase1 164" xfId="2103"/>
    <cellStyle name="40% - Ênfase1 165" xfId="2104"/>
    <cellStyle name="40% - Ênfase1 166" xfId="2105"/>
    <cellStyle name="40% - Ênfase1 167" xfId="2106"/>
    <cellStyle name="40% - Ênfase1 168" xfId="2107"/>
    <cellStyle name="40% - Ênfase1 169" xfId="2108"/>
    <cellStyle name="40% - Ênfase1 17" xfId="2109"/>
    <cellStyle name="40% - Ênfase1 17 2" xfId="2110"/>
    <cellStyle name="40% - Ênfase1 17 3" xfId="2111"/>
    <cellStyle name="40% - Ênfase1 170" xfId="2112"/>
    <cellStyle name="40% - Ênfase1 171" xfId="2113"/>
    <cellStyle name="40% - Ênfase1 172" xfId="2114"/>
    <cellStyle name="40% - Ênfase1 173" xfId="2115"/>
    <cellStyle name="40% - Ênfase1 174" xfId="2116"/>
    <cellStyle name="40% - Ênfase1 175" xfId="2117"/>
    <cellStyle name="40% - Ênfase1 176" xfId="2118"/>
    <cellStyle name="40% - Ênfase1 177" xfId="2119"/>
    <cellStyle name="40% - Ênfase1 178" xfId="2120"/>
    <cellStyle name="40% - Ênfase1 179" xfId="2121"/>
    <cellStyle name="40% - Ênfase1 18" xfId="2122"/>
    <cellStyle name="40% - Ênfase1 18 2" xfId="2123"/>
    <cellStyle name="40% - Ênfase1 18 3" xfId="2124"/>
    <cellStyle name="40% - Ênfase1 180" xfId="2125"/>
    <cellStyle name="40% - Ênfase1 181" xfId="2126"/>
    <cellStyle name="40% - Ênfase1 182" xfId="2127"/>
    <cellStyle name="40% - Ênfase1 183" xfId="2128"/>
    <cellStyle name="40% - Ênfase1 184" xfId="2129"/>
    <cellStyle name="40% - Ênfase1 185" xfId="2130"/>
    <cellStyle name="40% - Ênfase1 186" xfId="2131"/>
    <cellStyle name="40% - Ênfase1 187" xfId="2132"/>
    <cellStyle name="40% - Ênfase1 188" xfId="2133"/>
    <cellStyle name="40% - Ênfase1 189" xfId="2134"/>
    <cellStyle name="40% - Ênfase1 19" xfId="2135"/>
    <cellStyle name="40% - Ênfase1 19 2" xfId="2136"/>
    <cellStyle name="40% - Ênfase1 19 3" xfId="2137"/>
    <cellStyle name="40% - Ênfase1 190" xfId="2138"/>
    <cellStyle name="40% - Ênfase1 2" xfId="2139"/>
    <cellStyle name="40% - Ênfase1 2 10" xfId="2140"/>
    <cellStyle name="40% - Ênfase1 2 10 2" xfId="2141"/>
    <cellStyle name="40% - Ênfase1 2 10 3" xfId="2142"/>
    <cellStyle name="40% - Ênfase1 2 10 4" xfId="2143"/>
    <cellStyle name="40% - Ênfase1 2 10 5" xfId="2144"/>
    <cellStyle name="40% - Ênfase1 2 10 6" xfId="2145"/>
    <cellStyle name="40% - Ênfase1 2 10 7" xfId="2146"/>
    <cellStyle name="40% - Ênfase1 2 11" xfId="2147"/>
    <cellStyle name="40% - Ênfase1 2 11 2" xfId="2148"/>
    <cellStyle name="40% - Ênfase1 2 11 3" xfId="2149"/>
    <cellStyle name="40% - Ênfase1 2 11 4" xfId="2150"/>
    <cellStyle name="40% - Ênfase1 2 11 5" xfId="2151"/>
    <cellStyle name="40% - Ênfase1 2 11 6" xfId="2152"/>
    <cellStyle name="40% - Ênfase1 2 11 7" xfId="2153"/>
    <cellStyle name="40% - Ênfase1 2 12" xfId="2154"/>
    <cellStyle name="40% - Ênfase1 2 13" xfId="2155"/>
    <cellStyle name="40% - Ênfase1 2 14" xfId="2156"/>
    <cellStyle name="40% - Ênfase1 2 15" xfId="2157"/>
    <cellStyle name="40% - Ênfase1 2 16" xfId="2158"/>
    <cellStyle name="40% - Ênfase1 2 17" xfId="2159"/>
    <cellStyle name="40% - Ênfase1 2 18" xfId="2160"/>
    <cellStyle name="40% - Ênfase1 2 19" xfId="2161"/>
    <cellStyle name="40% - Ênfase1 2 2" xfId="2162"/>
    <cellStyle name="40% - Ênfase1 2 20" xfId="2163"/>
    <cellStyle name="40% - Ênfase1 2 21" xfId="2164"/>
    <cellStyle name="40% - Ênfase1 2 22" xfId="2165"/>
    <cellStyle name="40% - Ênfase1 2 23" xfId="2166"/>
    <cellStyle name="40% - Ênfase1 2 24" xfId="2167"/>
    <cellStyle name="40% - Ênfase1 2 25" xfId="2168"/>
    <cellStyle name="40% - Ênfase1 2 26" xfId="2169"/>
    <cellStyle name="40% - Ênfase1 2 27" xfId="2170"/>
    <cellStyle name="40% - Ênfase1 2 28" xfId="2171"/>
    <cellStyle name="40% - Ênfase1 2 29" xfId="2172"/>
    <cellStyle name="40% - Ênfase1 2 3" xfId="2173"/>
    <cellStyle name="40% - Ênfase1 2 30" xfId="2174"/>
    <cellStyle name="40% - Ênfase1 2 31" xfId="2175"/>
    <cellStyle name="40% - Ênfase1 2 32" xfId="2176"/>
    <cellStyle name="40% - Ênfase1 2 33" xfId="2177"/>
    <cellStyle name="40% - Ênfase1 2 34" xfId="2178"/>
    <cellStyle name="40% - Ênfase1 2 35" xfId="2179"/>
    <cellStyle name="40% - Ênfase1 2 4" xfId="2180"/>
    <cellStyle name="40% - Ênfase1 2 5" xfId="2181"/>
    <cellStyle name="40% - Ênfase1 2 6" xfId="2182"/>
    <cellStyle name="40% - Ênfase1 2 7" xfId="2183"/>
    <cellStyle name="40% - Ênfase1 2 8" xfId="2184"/>
    <cellStyle name="40% - Ênfase1 2 8 2" xfId="2185"/>
    <cellStyle name="40% - Ênfase1 2 8 3" xfId="2186"/>
    <cellStyle name="40% - Ênfase1 2 8 4" xfId="2187"/>
    <cellStyle name="40% - Ênfase1 2 8 5" xfId="2188"/>
    <cellStyle name="40% - Ênfase1 2 8 6" xfId="2189"/>
    <cellStyle name="40% - Ênfase1 2 8 7" xfId="2190"/>
    <cellStyle name="40% - Ênfase1 2 9" xfId="2191"/>
    <cellStyle name="40% - Ênfase1 2 9 2" xfId="2192"/>
    <cellStyle name="40% - Ênfase1 2 9 3" xfId="2193"/>
    <cellStyle name="40% - Ênfase1 2 9 4" xfId="2194"/>
    <cellStyle name="40% - Ênfase1 2 9 5" xfId="2195"/>
    <cellStyle name="40% - Ênfase1 2 9 6" xfId="2196"/>
    <cellStyle name="40% - Ênfase1 2 9 7" xfId="2197"/>
    <cellStyle name="40% - Ênfase1 20" xfId="2198"/>
    <cellStyle name="40% - Ênfase1 20 2" xfId="2199"/>
    <cellStyle name="40% - Ênfase1 20 3" xfId="2200"/>
    <cellStyle name="40% - Ênfase1 21" xfId="2201"/>
    <cellStyle name="40% - Ênfase1 22" xfId="2202"/>
    <cellStyle name="40% - Ênfase1 23" xfId="2203"/>
    <cellStyle name="40% - Ênfase1 24" xfId="2204"/>
    <cellStyle name="40% - Ênfase1 24 2" xfId="40934"/>
    <cellStyle name="40% - Ênfase1 25" xfId="2205"/>
    <cellStyle name="40% - Ênfase1 25 2" xfId="40969"/>
    <cellStyle name="40% - Ênfase1 26" xfId="2206"/>
    <cellStyle name="40% - Ênfase1 26 10" xfId="2207"/>
    <cellStyle name="40% - Ênfase1 26 11" xfId="2208"/>
    <cellStyle name="40% - Ênfase1 26 12" xfId="2209"/>
    <cellStyle name="40% - Ênfase1 26 13" xfId="2210"/>
    <cellStyle name="40% - Ênfase1 26 14" xfId="2211"/>
    <cellStyle name="40% - Ênfase1 26 15" xfId="2212"/>
    <cellStyle name="40% - Ênfase1 26 16" xfId="2213"/>
    <cellStyle name="40% - Ênfase1 26 2" xfId="2214"/>
    <cellStyle name="40% - Ênfase1 26 3" xfId="2215"/>
    <cellStyle name="40% - Ênfase1 26 4" xfId="2216"/>
    <cellStyle name="40% - Ênfase1 26 5" xfId="2217"/>
    <cellStyle name="40% - Ênfase1 26 6" xfId="2218"/>
    <cellStyle name="40% - Ênfase1 26 7" xfId="2219"/>
    <cellStyle name="40% - Ênfase1 26 8" xfId="2220"/>
    <cellStyle name="40% - Ênfase1 26 9" xfId="2221"/>
    <cellStyle name="40% - Ênfase1 27" xfId="2222"/>
    <cellStyle name="40% - Ênfase1 27 10" xfId="2223"/>
    <cellStyle name="40% - Ênfase1 27 11" xfId="2224"/>
    <cellStyle name="40% - Ênfase1 27 12" xfId="2225"/>
    <cellStyle name="40% - Ênfase1 27 13" xfId="2226"/>
    <cellStyle name="40% - Ênfase1 27 14" xfId="2227"/>
    <cellStyle name="40% - Ênfase1 27 15" xfId="2228"/>
    <cellStyle name="40% - Ênfase1 27 16" xfId="2229"/>
    <cellStyle name="40% - Ênfase1 27 2" xfId="2230"/>
    <cellStyle name="40% - Ênfase1 27 3" xfId="2231"/>
    <cellStyle name="40% - Ênfase1 27 4" xfId="2232"/>
    <cellStyle name="40% - Ênfase1 27 5" xfId="2233"/>
    <cellStyle name="40% - Ênfase1 27 6" xfId="2234"/>
    <cellStyle name="40% - Ênfase1 27 7" xfId="2235"/>
    <cellStyle name="40% - Ênfase1 27 8" xfId="2236"/>
    <cellStyle name="40% - Ênfase1 27 9" xfId="2237"/>
    <cellStyle name="40% - Ênfase1 28" xfId="2238"/>
    <cellStyle name="40% - Ênfase1 28 10" xfId="2239"/>
    <cellStyle name="40% - Ênfase1 28 11" xfId="2240"/>
    <cellStyle name="40% - Ênfase1 28 12" xfId="2241"/>
    <cellStyle name="40% - Ênfase1 28 13" xfId="2242"/>
    <cellStyle name="40% - Ênfase1 28 14" xfId="2243"/>
    <cellStyle name="40% - Ênfase1 28 15" xfId="2244"/>
    <cellStyle name="40% - Ênfase1 28 16" xfId="2245"/>
    <cellStyle name="40% - Ênfase1 28 2" xfId="2246"/>
    <cellStyle name="40% - Ênfase1 28 3" xfId="2247"/>
    <cellStyle name="40% - Ênfase1 28 4" xfId="2248"/>
    <cellStyle name="40% - Ênfase1 28 5" xfId="2249"/>
    <cellStyle name="40% - Ênfase1 28 6" xfId="2250"/>
    <cellStyle name="40% - Ênfase1 28 7" xfId="2251"/>
    <cellStyle name="40% - Ênfase1 28 8" xfId="2252"/>
    <cellStyle name="40% - Ênfase1 28 9" xfId="2253"/>
    <cellStyle name="40% - Ênfase1 29" xfId="2254"/>
    <cellStyle name="40% - Ênfase1 29 10" xfId="2255"/>
    <cellStyle name="40% - Ênfase1 29 11" xfId="2256"/>
    <cellStyle name="40% - Ênfase1 29 12" xfId="2257"/>
    <cellStyle name="40% - Ênfase1 29 13" xfId="2258"/>
    <cellStyle name="40% - Ênfase1 29 14" xfId="2259"/>
    <cellStyle name="40% - Ênfase1 29 15" xfId="2260"/>
    <cellStyle name="40% - Ênfase1 29 16" xfId="2261"/>
    <cellStyle name="40% - Ênfase1 29 2" xfId="2262"/>
    <cellStyle name="40% - Ênfase1 29 3" xfId="2263"/>
    <cellStyle name="40% - Ênfase1 29 4" xfId="2264"/>
    <cellStyle name="40% - Ênfase1 29 5" xfId="2265"/>
    <cellStyle name="40% - Ênfase1 29 6" xfId="2266"/>
    <cellStyle name="40% - Ênfase1 29 7" xfId="2267"/>
    <cellStyle name="40% - Ênfase1 29 8" xfId="2268"/>
    <cellStyle name="40% - Ênfase1 29 9" xfId="2269"/>
    <cellStyle name="40% - Ênfase1 3" xfId="2270"/>
    <cellStyle name="40% - Ênfase1 3 10" xfId="2271"/>
    <cellStyle name="40% - Ênfase1 3 11" xfId="2272"/>
    <cellStyle name="40% - Ênfase1 3 2" xfId="2273"/>
    <cellStyle name="40% - Ênfase1 3 3" xfId="2274"/>
    <cellStyle name="40% - Ênfase1 3 4" xfId="2275"/>
    <cellStyle name="40% - Ênfase1 3 5" xfId="2276"/>
    <cellStyle name="40% - Ênfase1 3 6" xfId="2277"/>
    <cellStyle name="40% - Ênfase1 3 7" xfId="2278"/>
    <cellStyle name="40% - Ênfase1 3 8" xfId="2279"/>
    <cellStyle name="40% - Ênfase1 3 9" xfId="2280"/>
    <cellStyle name="40% - Ênfase1 30" xfId="2281"/>
    <cellStyle name="40% - Ênfase1 31" xfId="2282"/>
    <cellStyle name="40% - Ênfase1 32" xfId="2283"/>
    <cellStyle name="40% - Ênfase1 33" xfId="2284"/>
    <cellStyle name="40% - Ênfase1 34" xfId="2285"/>
    <cellStyle name="40% - Ênfase1 35" xfId="2286"/>
    <cellStyle name="40% - Ênfase1 36" xfId="2287"/>
    <cellStyle name="40% - Ênfase1 37" xfId="2288"/>
    <cellStyle name="40% - Ênfase1 38" xfId="2289"/>
    <cellStyle name="40% - Ênfase1 39" xfId="2290"/>
    <cellStyle name="40% - Ênfase1 4" xfId="2291"/>
    <cellStyle name="40% - Ênfase1 4 10" xfId="2292"/>
    <cellStyle name="40% - Ênfase1 4 11" xfId="2293"/>
    <cellStyle name="40% - Ênfase1 4 2" xfId="2294"/>
    <cellStyle name="40% - Ênfase1 4 3" xfId="2295"/>
    <cellStyle name="40% - Ênfase1 4 4" xfId="2296"/>
    <cellStyle name="40% - Ênfase1 4 5" xfId="2297"/>
    <cellStyle name="40% - Ênfase1 4 6" xfId="2298"/>
    <cellStyle name="40% - Ênfase1 4 7" xfId="2299"/>
    <cellStyle name="40% - Ênfase1 4 8" xfId="2300"/>
    <cellStyle name="40% - Ênfase1 4 9" xfId="2301"/>
    <cellStyle name="40% - Ênfase1 40" xfId="2302"/>
    <cellStyle name="40% - Ênfase1 41" xfId="2303"/>
    <cellStyle name="40% - Ênfase1 42" xfId="2304"/>
    <cellStyle name="40% - Ênfase1 43" xfId="2305"/>
    <cellStyle name="40% - Ênfase1 44" xfId="2306"/>
    <cellStyle name="40% - Ênfase1 45" xfId="2307"/>
    <cellStyle name="40% - Ênfase1 46" xfId="2308"/>
    <cellStyle name="40% - Ênfase1 47" xfId="2309"/>
    <cellStyle name="40% - Ênfase1 48" xfId="2310"/>
    <cellStyle name="40% - Ênfase1 49" xfId="2311"/>
    <cellStyle name="40% - Ênfase1 5" xfId="2312"/>
    <cellStyle name="40% - Ênfase1 5 2" xfId="2313"/>
    <cellStyle name="40% - Ênfase1 5 3" xfId="2314"/>
    <cellStyle name="40% - Ênfase1 5 4" xfId="2315"/>
    <cellStyle name="40% - Ênfase1 50" xfId="2316"/>
    <cellStyle name="40% - Ênfase1 51" xfId="2317"/>
    <cellStyle name="40% - Ênfase1 52" xfId="2318"/>
    <cellStyle name="40% - Ênfase1 53" xfId="2319"/>
    <cellStyle name="40% - Ênfase1 54" xfId="2320"/>
    <cellStyle name="40% - Ênfase1 55" xfId="2321"/>
    <cellStyle name="40% - Ênfase1 56" xfId="2322"/>
    <cellStyle name="40% - Ênfase1 57" xfId="2323"/>
    <cellStyle name="40% - Ênfase1 58" xfId="2324"/>
    <cellStyle name="40% - Ênfase1 59" xfId="2325"/>
    <cellStyle name="40% - Ênfase1 6" xfId="2326"/>
    <cellStyle name="40% - Ênfase1 6 2" xfId="2327"/>
    <cellStyle name="40% - Ênfase1 6 3" xfId="2328"/>
    <cellStyle name="40% - Ênfase1 6 4" xfId="2329"/>
    <cellStyle name="40% - Ênfase1 60" xfId="2330"/>
    <cellStyle name="40% - Ênfase1 61" xfId="2331"/>
    <cellStyle name="40% - Ênfase1 62" xfId="2332"/>
    <cellStyle name="40% - Ênfase1 63" xfId="2333"/>
    <cellStyle name="40% - Ênfase1 64" xfId="2334"/>
    <cellStyle name="40% - Ênfase1 65" xfId="2335"/>
    <cellStyle name="40% - Ênfase1 66" xfId="2336"/>
    <cellStyle name="40% - Ênfase1 67" xfId="2337"/>
    <cellStyle name="40% - Ênfase1 68" xfId="2338"/>
    <cellStyle name="40% - Ênfase1 69" xfId="2339"/>
    <cellStyle name="40% - Ênfase1 7" xfId="2340"/>
    <cellStyle name="40% - Ênfase1 7 2" xfId="2341"/>
    <cellStyle name="40% - Ênfase1 7 3" xfId="2342"/>
    <cellStyle name="40% - Ênfase1 7 4" xfId="2343"/>
    <cellStyle name="40% - Ênfase1 70" xfId="2344"/>
    <cellStyle name="40% - Ênfase1 71" xfId="2345"/>
    <cellStyle name="40% - Ênfase1 72" xfId="2346"/>
    <cellStyle name="40% - Ênfase1 73" xfId="2347"/>
    <cellStyle name="40% - Ênfase1 74" xfId="2348"/>
    <cellStyle name="40% - Ênfase1 75" xfId="2349"/>
    <cellStyle name="40% - Ênfase1 76" xfId="2350"/>
    <cellStyle name="40% - Ênfase1 77" xfId="2351"/>
    <cellStyle name="40% - Ênfase1 78" xfId="2352"/>
    <cellStyle name="40% - Ênfase1 79" xfId="2353"/>
    <cellStyle name="40% - Ênfase1 8" xfId="2354"/>
    <cellStyle name="40% - Ênfase1 8 2" xfId="2355"/>
    <cellStyle name="40% - Ênfase1 8 3" xfId="2356"/>
    <cellStyle name="40% - Ênfase1 8 4" xfId="2357"/>
    <cellStyle name="40% - Ênfase1 80" xfId="2358"/>
    <cellStyle name="40% - Ênfase1 81" xfId="2359"/>
    <cellStyle name="40% - Ênfase1 82" xfId="2360"/>
    <cellStyle name="40% - Ênfase1 83" xfId="2361"/>
    <cellStyle name="40% - Ênfase1 84" xfId="2362"/>
    <cellStyle name="40% - Ênfase1 85" xfId="2363"/>
    <cellStyle name="40% - Ênfase1 86" xfId="2364"/>
    <cellStyle name="40% - Ênfase1 87" xfId="2365"/>
    <cellStyle name="40% - Ênfase1 88" xfId="2366"/>
    <cellStyle name="40% - Ênfase1 89" xfId="2367"/>
    <cellStyle name="40% - Ênfase1 9" xfId="2368"/>
    <cellStyle name="40% - Ênfase1 90" xfId="2369"/>
    <cellStyle name="40% - Ênfase1 91" xfId="2370"/>
    <cellStyle name="40% - Ênfase1 92" xfId="2371"/>
    <cellStyle name="40% - Ênfase1 93" xfId="2372"/>
    <cellStyle name="40% - Ênfase1 94" xfId="2373"/>
    <cellStyle name="40% - Ênfase1 95" xfId="2374"/>
    <cellStyle name="40% - Ênfase1 96" xfId="2375"/>
    <cellStyle name="40% - Ênfase1 97" xfId="2376"/>
    <cellStyle name="40% - Ênfase1 98" xfId="2377"/>
    <cellStyle name="40% - Ênfase1 99" xfId="2378"/>
    <cellStyle name="40% - Ênfase2 10" xfId="2379"/>
    <cellStyle name="40% - Ênfase2 10 2" xfId="40486"/>
    <cellStyle name="40% - Ênfase2 100" xfId="2380"/>
    <cellStyle name="40% - Ênfase2 101" xfId="2381"/>
    <cellStyle name="40% - Ênfase2 102" xfId="2382"/>
    <cellStyle name="40% - Ênfase2 103" xfId="2383"/>
    <cellStyle name="40% - Ênfase2 104" xfId="2384"/>
    <cellStyle name="40% - Ênfase2 105" xfId="2385"/>
    <cellStyle name="40% - Ênfase2 106" xfId="2386"/>
    <cellStyle name="40% - Ênfase2 107" xfId="2387"/>
    <cellStyle name="40% - Ênfase2 108" xfId="2388"/>
    <cellStyle name="40% - Ênfase2 109" xfId="2389"/>
    <cellStyle name="40% - Ênfase2 11" xfId="2390"/>
    <cellStyle name="40% - Ênfase2 11 2" xfId="40487"/>
    <cellStyle name="40% - Ênfase2 110" xfId="2391"/>
    <cellStyle name="40% - Ênfase2 111" xfId="2392"/>
    <cellStyle name="40% - Ênfase2 112" xfId="2393"/>
    <cellStyle name="40% - Ênfase2 113" xfId="2394"/>
    <cellStyle name="40% - Ênfase2 114" xfId="2395"/>
    <cellStyle name="40% - Ênfase2 115" xfId="2396"/>
    <cellStyle name="40% - Ênfase2 116" xfId="2397"/>
    <cellStyle name="40% - Ênfase2 117" xfId="2398"/>
    <cellStyle name="40% - Ênfase2 118" xfId="2399"/>
    <cellStyle name="40% - Ênfase2 119" xfId="2400"/>
    <cellStyle name="40% - Ênfase2 12" xfId="2401"/>
    <cellStyle name="40% - Ênfase2 12 2" xfId="40488"/>
    <cellStyle name="40% - Ênfase2 120" xfId="2402"/>
    <cellStyle name="40% - Ênfase2 121" xfId="2403"/>
    <cellStyle name="40% - Ênfase2 122" xfId="2404"/>
    <cellStyle name="40% - Ênfase2 123" xfId="2405"/>
    <cellStyle name="40% - Ênfase2 124" xfId="2406"/>
    <cellStyle name="40% - Ênfase2 125" xfId="2407"/>
    <cellStyle name="40% - Ênfase2 126" xfId="2408"/>
    <cellStyle name="40% - Ênfase2 127" xfId="2409"/>
    <cellStyle name="40% - Ênfase2 128" xfId="2410"/>
    <cellStyle name="40% - Ênfase2 129" xfId="2411"/>
    <cellStyle name="40% - Ênfase2 13" xfId="2412"/>
    <cellStyle name="40% - Ênfase2 13 2" xfId="40489"/>
    <cellStyle name="40% - Ênfase2 130" xfId="2413"/>
    <cellStyle name="40% - Ênfase2 131" xfId="2414"/>
    <cellStyle name="40% - Ênfase2 132" xfId="2415"/>
    <cellStyle name="40% - Ênfase2 133" xfId="2416"/>
    <cellStyle name="40% - Ênfase2 134" xfId="2417"/>
    <cellStyle name="40% - Ênfase2 135" xfId="2418"/>
    <cellStyle name="40% - Ênfase2 136" xfId="2419"/>
    <cellStyle name="40% - Ênfase2 137" xfId="2420"/>
    <cellStyle name="40% - Ênfase2 138" xfId="2421"/>
    <cellStyle name="40% - Ênfase2 139" xfId="2422"/>
    <cellStyle name="40% - Ênfase2 14" xfId="2423"/>
    <cellStyle name="40% - Ênfase2 140" xfId="2424"/>
    <cellStyle name="40% - Ênfase2 141" xfId="2425"/>
    <cellStyle name="40% - Ênfase2 142" xfId="2426"/>
    <cellStyle name="40% - Ênfase2 143" xfId="2427"/>
    <cellStyle name="40% - Ênfase2 144" xfId="2428"/>
    <cellStyle name="40% - Ênfase2 145" xfId="2429"/>
    <cellStyle name="40% - Ênfase2 146" xfId="2430"/>
    <cellStyle name="40% - Ênfase2 147" xfId="2431"/>
    <cellStyle name="40% - Ênfase2 148" xfId="2432"/>
    <cellStyle name="40% - Ênfase2 149" xfId="2433"/>
    <cellStyle name="40% - Ênfase2 15" xfId="2434"/>
    <cellStyle name="40% - Ênfase2 15 2" xfId="2435"/>
    <cellStyle name="40% - Ênfase2 15 3" xfId="2436"/>
    <cellStyle name="40% - Ênfase2 150" xfId="2437"/>
    <cellStyle name="40% - Ênfase2 151" xfId="2438"/>
    <cellStyle name="40% - Ênfase2 152" xfId="2439"/>
    <cellStyle name="40% - Ênfase2 153" xfId="2440"/>
    <cellStyle name="40% - Ênfase2 154" xfId="2441"/>
    <cellStyle name="40% - Ênfase2 155" xfId="2442"/>
    <cellStyle name="40% - Ênfase2 156" xfId="2443"/>
    <cellStyle name="40% - Ênfase2 157" xfId="2444"/>
    <cellStyle name="40% - Ênfase2 158" xfId="2445"/>
    <cellStyle name="40% - Ênfase2 159" xfId="2446"/>
    <cellStyle name="40% - Ênfase2 16" xfId="2447"/>
    <cellStyle name="40% - Ênfase2 16 2" xfId="2448"/>
    <cellStyle name="40% - Ênfase2 16 3" xfId="2449"/>
    <cellStyle name="40% - Ênfase2 160" xfId="2450"/>
    <cellStyle name="40% - Ênfase2 161" xfId="2451"/>
    <cellStyle name="40% - Ênfase2 162" xfId="2452"/>
    <cellStyle name="40% - Ênfase2 163" xfId="2453"/>
    <cellStyle name="40% - Ênfase2 164" xfId="2454"/>
    <cellStyle name="40% - Ênfase2 165" xfId="2455"/>
    <cellStyle name="40% - Ênfase2 166" xfId="2456"/>
    <cellStyle name="40% - Ênfase2 167" xfId="2457"/>
    <cellStyle name="40% - Ênfase2 168" xfId="2458"/>
    <cellStyle name="40% - Ênfase2 169" xfId="2459"/>
    <cellStyle name="40% - Ênfase2 17" xfId="2460"/>
    <cellStyle name="40% - Ênfase2 17 2" xfId="2461"/>
    <cellStyle name="40% - Ênfase2 17 3" xfId="2462"/>
    <cellStyle name="40% - Ênfase2 170" xfId="2463"/>
    <cellStyle name="40% - Ênfase2 171" xfId="2464"/>
    <cellStyle name="40% - Ênfase2 172" xfId="2465"/>
    <cellStyle name="40% - Ênfase2 173" xfId="2466"/>
    <cellStyle name="40% - Ênfase2 174" xfId="2467"/>
    <cellStyle name="40% - Ênfase2 175" xfId="2468"/>
    <cellStyle name="40% - Ênfase2 176" xfId="2469"/>
    <cellStyle name="40% - Ênfase2 177" xfId="2470"/>
    <cellStyle name="40% - Ênfase2 178" xfId="2471"/>
    <cellStyle name="40% - Ênfase2 179" xfId="2472"/>
    <cellStyle name="40% - Ênfase2 18" xfId="2473"/>
    <cellStyle name="40% - Ênfase2 18 2" xfId="2474"/>
    <cellStyle name="40% - Ênfase2 18 3" xfId="2475"/>
    <cellStyle name="40% - Ênfase2 180" xfId="2476"/>
    <cellStyle name="40% - Ênfase2 181" xfId="2477"/>
    <cellStyle name="40% - Ênfase2 182" xfId="2478"/>
    <cellStyle name="40% - Ênfase2 183" xfId="2479"/>
    <cellStyle name="40% - Ênfase2 184" xfId="2480"/>
    <cellStyle name="40% - Ênfase2 185" xfId="2481"/>
    <cellStyle name="40% - Ênfase2 186" xfId="2482"/>
    <cellStyle name="40% - Ênfase2 187" xfId="2483"/>
    <cellStyle name="40% - Ênfase2 188" xfId="2484"/>
    <cellStyle name="40% - Ênfase2 189" xfId="2485"/>
    <cellStyle name="40% - Ênfase2 19" xfId="2486"/>
    <cellStyle name="40% - Ênfase2 19 2" xfId="2487"/>
    <cellStyle name="40% - Ênfase2 19 3" xfId="2488"/>
    <cellStyle name="40% - Ênfase2 190" xfId="2489"/>
    <cellStyle name="40% - Ênfase2 2" xfId="2490"/>
    <cellStyle name="40% - Ênfase2 2 10" xfId="2491"/>
    <cellStyle name="40% - Ênfase2 2 11" xfId="2492"/>
    <cellStyle name="40% - Ênfase2 2 12" xfId="2493"/>
    <cellStyle name="40% - Ênfase2 2 13" xfId="2494"/>
    <cellStyle name="40% - Ênfase2 2 14" xfId="2495"/>
    <cellStyle name="40% - Ênfase2 2 15" xfId="2496"/>
    <cellStyle name="40% - Ênfase2 2 16" xfId="2497"/>
    <cellStyle name="40% - Ênfase2 2 17" xfId="2498"/>
    <cellStyle name="40% - Ênfase2 2 18" xfId="2499"/>
    <cellStyle name="40% - Ênfase2 2 19" xfId="2500"/>
    <cellStyle name="40% - Ênfase2 2 2" xfId="2501"/>
    <cellStyle name="40% - Ênfase2 2 20" xfId="2502"/>
    <cellStyle name="40% - Ênfase2 2 21" xfId="2503"/>
    <cellStyle name="40% - Ênfase2 2 22" xfId="2504"/>
    <cellStyle name="40% - Ênfase2 2 23" xfId="2505"/>
    <cellStyle name="40% - Ênfase2 2 24" xfId="2506"/>
    <cellStyle name="40% - Ênfase2 2 25" xfId="2507"/>
    <cellStyle name="40% - Ênfase2 2 26" xfId="2508"/>
    <cellStyle name="40% - Ênfase2 2 27" xfId="2509"/>
    <cellStyle name="40% - Ênfase2 2 28" xfId="2510"/>
    <cellStyle name="40% - Ênfase2 2 29" xfId="2511"/>
    <cellStyle name="40% - Ênfase2 2 3" xfId="2512"/>
    <cellStyle name="40% - Ênfase2 2 30" xfId="2513"/>
    <cellStyle name="40% - Ênfase2 2 31" xfId="2514"/>
    <cellStyle name="40% - Ênfase2 2 32" xfId="2515"/>
    <cellStyle name="40% - Ênfase2 2 33" xfId="2516"/>
    <cellStyle name="40% - Ênfase2 2 34" xfId="2517"/>
    <cellStyle name="40% - Ênfase2 2 35" xfId="2518"/>
    <cellStyle name="40% - Ênfase2 2 4" xfId="2519"/>
    <cellStyle name="40% - Ênfase2 2 5" xfId="2520"/>
    <cellStyle name="40% - Ênfase2 2 6" xfId="2521"/>
    <cellStyle name="40% - Ênfase2 2 7" xfId="2522"/>
    <cellStyle name="40% - Ênfase2 2 8" xfId="2523"/>
    <cellStyle name="40% - Ênfase2 2 9" xfId="2524"/>
    <cellStyle name="40% - Ênfase2 20" xfId="2525"/>
    <cellStyle name="40% - Ênfase2 20 2" xfId="2526"/>
    <cellStyle name="40% - Ênfase2 20 3" xfId="2527"/>
    <cellStyle name="40% - Ênfase2 21" xfId="2528"/>
    <cellStyle name="40% - Ênfase2 22" xfId="2529"/>
    <cellStyle name="40% - Ênfase2 23" xfId="2530"/>
    <cellStyle name="40% - Ênfase2 24" xfId="2531"/>
    <cellStyle name="40% - Ênfase2 25" xfId="2532"/>
    <cellStyle name="40% - Ênfase2 26" xfId="2533"/>
    <cellStyle name="40% - Ênfase2 27" xfId="2534"/>
    <cellStyle name="40% - Ênfase2 28" xfId="2535"/>
    <cellStyle name="40% - Ênfase2 29" xfId="2536"/>
    <cellStyle name="40% - Ênfase2 3" xfId="2537"/>
    <cellStyle name="40% - Ênfase2 3 2" xfId="2538"/>
    <cellStyle name="40% - Ênfase2 3 3" xfId="2539"/>
    <cellStyle name="40% - Ênfase2 3 4" xfId="2540"/>
    <cellStyle name="40% - Ênfase2 3 5" xfId="2541"/>
    <cellStyle name="40% - Ênfase2 3 6" xfId="2542"/>
    <cellStyle name="40% - Ênfase2 3 7" xfId="2543"/>
    <cellStyle name="40% - Ênfase2 30" xfId="2544"/>
    <cellStyle name="40% - Ênfase2 31" xfId="2545"/>
    <cellStyle name="40% - Ênfase2 32" xfId="2546"/>
    <cellStyle name="40% - Ênfase2 33" xfId="2547"/>
    <cellStyle name="40% - Ênfase2 34" xfId="2548"/>
    <cellStyle name="40% - Ênfase2 35" xfId="2549"/>
    <cellStyle name="40% - Ênfase2 36" xfId="2550"/>
    <cellStyle name="40% - Ênfase2 37" xfId="2551"/>
    <cellStyle name="40% - Ênfase2 38" xfId="2552"/>
    <cellStyle name="40% - Ênfase2 39" xfId="2553"/>
    <cellStyle name="40% - Ênfase2 4" xfId="2554"/>
    <cellStyle name="40% - Ênfase2 4 2" xfId="2555"/>
    <cellStyle name="40% - Ênfase2 4 3" xfId="2556"/>
    <cellStyle name="40% - Ênfase2 4 4" xfId="2557"/>
    <cellStyle name="40% - Ênfase2 4 5" xfId="2558"/>
    <cellStyle name="40% - Ênfase2 4 6" xfId="2559"/>
    <cellStyle name="40% - Ênfase2 4 7" xfId="2560"/>
    <cellStyle name="40% - Ênfase2 40" xfId="2561"/>
    <cellStyle name="40% - Ênfase2 41" xfId="2562"/>
    <cellStyle name="40% - Ênfase2 42" xfId="2563"/>
    <cellStyle name="40% - Ênfase2 43" xfId="2564"/>
    <cellStyle name="40% - Ênfase2 44" xfId="2565"/>
    <cellStyle name="40% - Ênfase2 45" xfId="2566"/>
    <cellStyle name="40% - Ênfase2 46" xfId="2567"/>
    <cellStyle name="40% - Ênfase2 47" xfId="2568"/>
    <cellStyle name="40% - Ênfase2 48" xfId="2569"/>
    <cellStyle name="40% - Ênfase2 49" xfId="2570"/>
    <cellStyle name="40% - Ênfase2 5" xfId="2571"/>
    <cellStyle name="40% - Ênfase2 5 2" xfId="2572"/>
    <cellStyle name="40% - Ênfase2 5 3" xfId="2573"/>
    <cellStyle name="40% - Ênfase2 5 4" xfId="2574"/>
    <cellStyle name="40% - Ênfase2 50" xfId="2575"/>
    <cellStyle name="40% - Ênfase2 51" xfId="2576"/>
    <cellStyle name="40% - Ênfase2 52" xfId="2577"/>
    <cellStyle name="40% - Ênfase2 53" xfId="2578"/>
    <cellStyle name="40% - Ênfase2 54" xfId="2579"/>
    <cellStyle name="40% - Ênfase2 55" xfId="2580"/>
    <cellStyle name="40% - Ênfase2 56" xfId="2581"/>
    <cellStyle name="40% - Ênfase2 57" xfId="2582"/>
    <cellStyle name="40% - Ênfase2 58" xfId="2583"/>
    <cellStyle name="40% - Ênfase2 59" xfId="2584"/>
    <cellStyle name="40% - Ênfase2 6" xfId="2585"/>
    <cellStyle name="40% - Ênfase2 6 2" xfId="2586"/>
    <cellStyle name="40% - Ênfase2 6 3" xfId="2587"/>
    <cellStyle name="40% - Ênfase2 6 4" xfId="2588"/>
    <cellStyle name="40% - Ênfase2 60" xfId="2589"/>
    <cellStyle name="40% - Ênfase2 61" xfId="2590"/>
    <cellStyle name="40% - Ênfase2 62" xfId="2591"/>
    <cellStyle name="40% - Ênfase2 63" xfId="2592"/>
    <cellStyle name="40% - Ênfase2 64" xfId="2593"/>
    <cellStyle name="40% - Ênfase2 65" xfId="2594"/>
    <cellStyle name="40% - Ênfase2 66" xfId="2595"/>
    <cellStyle name="40% - Ênfase2 67" xfId="2596"/>
    <cellStyle name="40% - Ênfase2 68" xfId="2597"/>
    <cellStyle name="40% - Ênfase2 69" xfId="2598"/>
    <cellStyle name="40% - Ênfase2 7" xfId="2599"/>
    <cellStyle name="40% - Ênfase2 7 2" xfId="2600"/>
    <cellStyle name="40% - Ênfase2 7 3" xfId="2601"/>
    <cellStyle name="40% - Ênfase2 7 4" xfId="2602"/>
    <cellStyle name="40% - Ênfase2 70" xfId="2603"/>
    <cellStyle name="40% - Ênfase2 71" xfId="2604"/>
    <cellStyle name="40% - Ênfase2 72" xfId="2605"/>
    <cellStyle name="40% - Ênfase2 73" xfId="2606"/>
    <cellStyle name="40% - Ênfase2 74" xfId="2607"/>
    <cellStyle name="40% - Ênfase2 75" xfId="2608"/>
    <cellStyle name="40% - Ênfase2 76" xfId="2609"/>
    <cellStyle name="40% - Ênfase2 77" xfId="2610"/>
    <cellStyle name="40% - Ênfase2 78" xfId="2611"/>
    <cellStyle name="40% - Ênfase2 79" xfId="2612"/>
    <cellStyle name="40% - Ênfase2 8" xfId="2613"/>
    <cellStyle name="40% - Ênfase2 8 2" xfId="2614"/>
    <cellStyle name="40% - Ênfase2 8 3" xfId="2615"/>
    <cellStyle name="40% - Ênfase2 8 4" xfId="2616"/>
    <cellStyle name="40% - Ênfase2 80" xfId="2617"/>
    <cellStyle name="40% - Ênfase2 81" xfId="2618"/>
    <cellStyle name="40% - Ênfase2 82" xfId="2619"/>
    <cellStyle name="40% - Ênfase2 83" xfId="2620"/>
    <cellStyle name="40% - Ênfase2 84" xfId="2621"/>
    <cellStyle name="40% - Ênfase2 85" xfId="2622"/>
    <cellStyle name="40% - Ênfase2 86" xfId="2623"/>
    <cellStyle name="40% - Ênfase2 87" xfId="2624"/>
    <cellStyle name="40% - Ênfase2 88" xfId="2625"/>
    <cellStyle name="40% - Ênfase2 89" xfId="2626"/>
    <cellStyle name="40% - Ênfase2 9" xfId="2627"/>
    <cellStyle name="40% - Ênfase2 90" xfId="2628"/>
    <cellStyle name="40% - Ênfase2 91" xfId="2629"/>
    <cellStyle name="40% - Ênfase2 92" xfId="2630"/>
    <cellStyle name="40% - Ênfase2 93" xfId="2631"/>
    <cellStyle name="40% - Ênfase2 94" xfId="2632"/>
    <cellStyle name="40% - Ênfase2 95" xfId="2633"/>
    <cellStyle name="40% - Ênfase2 96" xfId="2634"/>
    <cellStyle name="40% - Ênfase2 97" xfId="2635"/>
    <cellStyle name="40% - Ênfase2 98" xfId="2636"/>
    <cellStyle name="40% - Ênfase2 99" xfId="2637"/>
    <cellStyle name="40% - Ênfase3 10" xfId="2638"/>
    <cellStyle name="40% - Ênfase3 10 2" xfId="40490"/>
    <cellStyle name="40% - Ênfase3 100" xfId="2639"/>
    <cellStyle name="40% - Ênfase3 101" xfId="2640"/>
    <cellStyle name="40% - Ênfase3 102" xfId="2641"/>
    <cellStyle name="40% - Ênfase3 103" xfId="2642"/>
    <cellStyle name="40% - Ênfase3 104" xfId="2643"/>
    <cellStyle name="40% - Ênfase3 105" xfId="2644"/>
    <cellStyle name="40% - Ênfase3 106" xfId="2645"/>
    <cellStyle name="40% - Ênfase3 107" xfId="2646"/>
    <cellStyle name="40% - Ênfase3 108" xfId="2647"/>
    <cellStyle name="40% - Ênfase3 109" xfId="2648"/>
    <cellStyle name="40% - Ênfase3 11" xfId="2649"/>
    <cellStyle name="40% - Ênfase3 11 2" xfId="40491"/>
    <cellStyle name="40% - Ênfase3 110" xfId="2650"/>
    <cellStyle name="40% - Ênfase3 111" xfId="2651"/>
    <cellStyle name="40% - Ênfase3 112" xfId="2652"/>
    <cellStyle name="40% - Ênfase3 113" xfId="2653"/>
    <cellStyle name="40% - Ênfase3 114" xfId="2654"/>
    <cellStyle name="40% - Ênfase3 115" xfId="2655"/>
    <cellStyle name="40% - Ênfase3 116" xfId="2656"/>
    <cellStyle name="40% - Ênfase3 117" xfId="2657"/>
    <cellStyle name="40% - Ênfase3 118" xfId="2658"/>
    <cellStyle name="40% - Ênfase3 119" xfId="2659"/>
    <cellStyle name="40% - Ênfase3 12" xfId="2660"/>
    <cellStyle name="40% - Ênfase3 12 2" xfId="40492"/>
    <cellStyle name="40% - Ênfase3 120" xfId="2661"/>
    <cellStyle name="40% - Ênfase3 121" xfId="2662"/>
    <cellStyle name="40% - Ênfase3 122" xfId="2663"/>
    <cellStyle name="40% - Ênfase3 123" xfId="2664"/>
    <cellStyle name="40% - Ênfase3 124" xfId="2665"/>
    <cellStyle name="40% - Ênfase3 125" xfId="2666"/>
    <cellStyle name="40% - Ênfase3 126" xfId="2667"/>
    <cellStyle name="40% - Ênfase3 127" xfId="2668"/>
    <cellStyle name="40% - Ênfase3 128" xfId="2669"/>
    <cellStyle name="40% - Ênfase3 129" xfId="2670"/>
    <cellStyle name="40% - Ênfase3 13" xfId="2671"/>
    <cellStyle name="40% - Ênfase3 13 2" xfId="40493"/>
    <cellStyle name="40% - Ênfase3 130" xfId="2672"/>
    <cellStyle name="40% - Ênfase3 131" xfId="2673"/>
    <cellStyle name="40% - Ênfase3 132" xfId="2674"/>
    <cellStyle name="40% - Ênfase3 133" xfId="2675"/>
    <cellStyle name="40% - Ênfase3 134" xfId="2676"/>
    <cellStyle name="40% - Ênfase3 135" xfId="2677"/>
    <cellStyle name="40% - Ênfase3 136" xfId="2678"/>
    <cellStyle name="40% - Ênfase3 137" xfId="2679"/>
    <cellStyle name="40% - Ênfase3 138" xfId="2680"/>
    <cellStyle name="40% - Ênfase3 139" xfId="2681"/>
    <cellStyle name="40% - Ênfase3 14" xfId="2682"/>
    <cellStyle name="40% - Ênfase3 140" xfId="2683"/>
    <cellStyle name="40% - Ênfase3 141" xfId="2684"/>
    <cellStyle name="40% - Ênfase3 142" xfId="2685"/>
    <cellStyle name="40% - Ênfase3 143" xfId="2686"/>
    <cellStyle name="40% - Ênfase3 144" xfId="2687"/>
    <cellStyle name="40% - Ênfase3 145" xfId="2688"/>
    <cellStyle name="40% - Ênfase3 146" xfId="2689"/>
    <cellStyle name="40% - Ênfase3 147" xfId="2690"/>
    <cellStyle name="40% - Ênfase3 148" xfId="2691"/>
    <cellStyle name="40% - Ênfase3 149" xfId="2692"/>
    <cellStyle name="40% - Ênfase3 15" xfId="2693"/>
    <cellStyle name="40% - Ênfase3 15 2" xfId="2694"/>
    <cellStyle name="40% - Ênfase3 15 3" xfId="2695"/>
    <cellStyle name="40% - Ênfase3 150" xfId="2696"/>
    <cellStyle name="40% - Ênfase3 151" xfId="2697"/>
    <cellStyle name="40% - Ênfase3 152" xfId="2698"/>
    <cellStyle name="40% - Ênfase3 153" xfId="2699"/>
    <cellStyle name="40% - Ênfase3 154" xfId="2700"/>
    <cellStyle name="40% - Ênfase3 155" xfId="2701"/>
    <cellStyle name="40% - Ênfase3 156" xfId="2702"/>
    <cellStyle name="40% - Ênfase3 157" xfId="2703"/>
    <cellStyle name="40% - Ênfase3 158" xfId="2704"/>
    <cellStyle name="40% - Ênfase3 159" xfId="2705"/>
    <cellStyle name="40% - Ênfase3 16" xfId="2706"/>
    <cellStyle name="40% - Ênfase3 16 2" xfId="2707"/>
    <cellStyle name="40% - Ênfase3 16 3" xfId="2708"/>
    <cellStyle name="40% - Ênfase3 160" xfId="2709"/>
    <cellStyle name="40% - Ênfase3 161" xfId="2710"/>
    <cellStyle name="40% - Ênfase3 162" xfId="2711"/>
    <cellStyle name="40% - Ênfase3 163" xfId="2712"/>
    <cellStyle name="40% - Ênfase3 164" xfId="2713"/>
    <cellStyle name="40% - Ênfase3 165" xfId="2714"/>
    <cellStyle name="40% - Ênfase3 166" xfId="2715"/>
    <cellStyle name="40% - Ênfase3 167" xfId="2716"/>
    <cellStyle name="40% - Ênfase3 168" xfId="2717"/>
    <cellStyle name="40% - Ênfase3 169" xfId="2718"/>
    <cellStyle name="40% - Ênfase3 17" xfId="2719"/>
    <cellStyle name="40% - Ênfase3 17 2" xfId="2720"/>
    <cellStyle name="40% - Ênfase3 17 3" xfId="2721"/>
    <cellStyle name="40% - Ênfase3 170" xfId="2722"/>
    <cellStyle name="40% - Ênfase3 171" xfId="2723"/>
    <cellStyle name="40% - Ênfase3 172" xfId="2724"/>
    <cellStyle name="40% - Ênfase3 173" xfId="2725"/>
    <cellStyle name="40% - Ênfase3 174" xfId="2726"/>
    <cellStyle name="40% - Ênfase3 175" xfId="2727"/>
    <cellStyle name="40% - Ênfase3 176" xfId="2728"/>
    <cellStyle name="40% - Ênfase3 177" xfId="2729"/>
    <cellStyle name="40% - Ênfase3 178" xfId="2730"/>
    <cellStyle name="40% - Ênfase3 179" xfId="2731"/>
    <cellStyle name="40% - Ênfase3 18" xfId="2732"/>
    <cellStyle name="40% - Ênfase3 18 2" xfId="2733"/>
    <cellStyle name="40% - Ênfase3 18 3" xfId="2734"/>
    <cellStyle name="40% - Ênfase3 180" xfId="2735"/>
    <cellStyle name="40% - Ênfase3 181" xfId="2736"/>
    <cellStyle name="40% - Ênfase3 182" xfId="2737"/>
    <cellStyle name="40% - Ênfase3 183" xfId="2738"/>
    <cellStyle name="40% - Ênfase3 184" xfId="2739"/>
    <cellStyle name="40% - Ênfase3 185" xfId="2740"/>
    <cellStyle name="40% - Ênfase3 186" xfId="2741"/>
    <cellStyle name="40% - Ênfase3 187" xfId="2742"/>
    <cellStyle name="40% - Ênfase3 188" xfId="2743"/>
    <cellStyle name="40% - Ênfase3 189" xfId="2744"/>
    <cellStyle name="40% - Ênfase3 19" xfId="2745"/>
    <cellStyle name="40% - Ênfase3 19 2" xfId="2746"/>
    <cellStyle name="40% - Ênfase3 19 3" xfId="2747"/>
    <cellStyle name="40% - Ênfase3 190" xfId="2748"/>
    <cellStyle name="40% - Ênfase3 2" xfId="2749"/>
    <cellStyle name="40% - Ênfase3 2 10" xfId="2750"/>
    <cellStyle name="40% - Ênfase3 2 10 2" xfId="2751"/>
    <cellStyle name="40% - Ênfase3 2 10 3" xfId="2752"/>
    <cellStyle name="40% - Ênfase3 2 10 4" xfId="2753"/>
    <cellStyle name="40% - Ênfase3 2 10 5" xfId="2754"/>
    <cellStyle name="40% - Ênfase3 2 10 6" xfId="2755"/>
    <cellStyle name="40% - Ênfase3 2 10 7" xfId="2756"/>
    <cellStyle name="40% - Ênfase3 2 11" xfId="2757"/>
    <cellStyle name="40% - Ênfase3 2 11 2" xfId="2758"/>
    <cellStyle name="40% - Ênfase3 2 11 3" xfId="2759"/>
    <cellStyle name="40% - Ênfase3 2 11 4" xfId="2760"/>
    <cellStyle name="40% - Ênfase3 2 11 5" xfId="2761"/>
    <cellStyle name="40% - Ênfase3 2 11 6" xfId="2762"/>
    <cellStyle name="40% - Ênfase3 2 11 7" xfId="2763"/>
    <cellStyle name="40% - Ênfase3 2 12" xfId="2764"/>
    <cellStyle name="40% - Ênfase3 2 13" xfId="2765"/>
    <cellStyle name="40% - Ênfase3 2 14" xfId="2766"/>
    <cellStyle name="40% - Ênfase3 2 15" xfId="2767"/>
    <cellStyle name="40% - Ênfase3 2 16" xfId="2768"/>
    <cellStyle name="40% - Ênfase3 2 17" xfId="2769"/>
    <cellStyle name="40% - Ênfase3 2 18" xfId="2770"/>
    <cellStyle name="40% - Ênfase3 2 19" xfId="2771"/>
    <cellStyle name="40% - Ênfase3 2 2" xfId="2772"/>
    <cellStyle name="40% - Ênfase3 2 20" xfId="2773"/>
    <cellStyle name="40% - Ênfase3 2 21" xfId="2774"/>
    <cellStyle name="40% - Ênfase3 2 22" xfId="2775"/>
    <cellStyle name="40% - Ênfase3 2 23" xfId="2776"/>
    <cellStyle name="40% - Ênfase3 2 24" xfId="2777"/>
    <cellStyle name="40% - Ênfase3 2 25" xfId="2778"/>
    <cellStyle name="40% - Ênfase3 2 26" xfId="2779"/>
    <cellStyle name="40% - Ênfase3 2 27" xfId="2780"/>
    <cellStyle name="40% - Ênfase3 2 28" xfId="2781"/>
    <cellStyle name="40% - Ênfase3 2 29" xfId="2782"/>
    <cellStyle name="40% - Ênfase3 2 3" xfId="2783"/>
    <cellStyle name="40% - Ênfase3 2 30" xfId="2784"/>
    <cellStyle name="40% - Ênfase3 2 31" xfId="2785"/>
    <cellStyle name="40% - Ênfase3 2 32" xfId="2786"/>
    <cellStyle name="40% - Ênfase3 2 33" xfId="2787"/>
    <cellStyle name="40% - Ênfase3 2 34" xfId="2788"/>
    <cellStyle name="40% - Ênfase3 2 35" xfId="2789"/>
    <cellStyle name="40% - Ênfase3 2 4" xfId="2790"/>
    <cellStyle name="40% - Ênfase3 2 5" xfId="2791"/>
    <cellStyle name="40% - Ênfase3 2 6" xfId="2792"/>
    <cellStyle name="40% - Ênfase3 2 7" xfId="2793"/>
    <cellStyle name="40% - Ênfase3 2 8" xfId="2794"/>
    <cellStyle name="40% - Ênfase3 2 8 2" xfId="2795"/>
    <cellStyle name="40% - Ênfase3 2 8 3" xfId="2796"/>
    <cellStyle name="40% - Ênfase3 2 8 4" xfId="2797"/>
    <cellStyle name="40% - Ênfase3 2 8 5" xfId="2798"/>
    <cellStyle name="40% - Ênfase3 2 8 6" xfId="2799"/>
    <cellStyle name="40% - Ênfase3 2 8 7" xfId="2800"/>
    <cellStyle name="40% - Ênfase3 2 9" xfId="2801"/>
    <cellStyle name="40% - Ênfase3 2 9 2" xfId="2802"/>
    <cellStyle name="40% - Ênfase3 2 9 3" xfId="2803"/>
    <cellStyle name="40% - Ênfase3 2 9 4" xfId="2804"/>
    <cellStyle name="40% - Ênfase3 2 9 5" xfId="2805"/>
    <cellStyle name="40% - Ênfase3 2 9 6" xfId="2806"/>
    <cellStyle name="40% - Ênfase3 2 9 7" xfId="2807"/>
    <cellStyle name="40% - Ênfase3 20" xfId="2808"/>
    <cellStyle name="40% - Ênfase3 20 2" xfId="2809"/>
    <cellStyle name="40% - Ênfase3 20 3" xfId="2810"/>
    <cellStyle name="40% - Ênfase3 21" xfId="2811"/>
    <cellStyle name="40% - Ênfase3 22" xfId="2812"/>
    <cellStyle name="40% - Ênfase3 23" xfId="2813"/>
    <cellStyle name="40% - Ênfase3 24" xfId="2814"/>
    <cellStyle name="40% - Ênfase3 24 2" xfId="40935"/>
    <cellStyle name="40% - Ênfase3 25" xfId="2815"/>
    <cellStyle name="40% - Ênfase3 25 2" xfId="40970"/>
    <cellStyle name="40% - Ênfase3 26" xfId="2816"/>
    <cellStyle name="40% - Ênfase3 26 10" xfId="2817"/>
    <cellStyle name="40% - Ênfase3 26 11" xfId="2818"/>
    <cellStyle name="40% - Ênfase3 26 12" xfId="2819"/>
    <cellStyle name="40% - Ênfase3 26 13" xfId="2820"/>
    <cellStyle name="40% - Ênfase3 26 14" xfId="2821"/>
    <cellStyle name="40% - Ênfase3 26 15" xfId="2822"/>
    <cellStyle name="40% - Ênfase3 26 16" xfId="2823"/>
    <cellStyle name="40% - Ênfase3 26 2" xfId="2824"/>
    <cellStyle name="40% - Ênfase3 26 3" xfId="2825"/>
    <cellStyle name="40% - Ênfase3 26 4" xfId="2826"/>
    <cellStyle name="40% - Ênfase3 26 5" xfId="2827"/>
    <cellStyle name="40% - Ênfase3 26 6" xfId="2828"/>
    <cellStyle name="40% - Ênfase3 26 7" xfId="2829"/>
    <cellStyle name="40% - Ênfase3 26 8" xfId="2830"/>
    <cellStyle name="40% - Ênfase3 26 9" xfId="2831"/>
    <cellStyle name="40% - Ênfase3 27" xfId="2832"/>
    <cellStyle name="40% - Ênfase3 27 10" xfId="2833"/>
    <cellStyle name="40% - Ênfase3 27 11" xfId="2834"/>
    <cellStyle name="40% - Ênfase3 27 12" xfId="2835"/>
    <cellStyle name="40% - Ênfase3 27 13" xfId="2836"/>
    <cellStyle name="40% - Ênfase3 27 14" xfId="2837"/>
    <cellStyle name="40% - Ênfase3 27 15" xfId="2838"/>
    <cellStyle name="40% - Ênfase3 27 16" xfId="2839"/>
    <cellStyle name="40% - Ênfase3 27 2" xfId="2840"/>
    <cellStyle name="40% - Ênfase3 27 3" xfId="2841"/>
    <cellStyle name="40% - Ênfase3 27 4" xfId="2842"/>
    <cellStyle name="40% - Ênfase3 27 5" xfId="2843"/>
    <cellStyle name="40% - Ênfase3 27 6" xfId="2844"/>
    <cellStyle name="40% - Ênfase3 27 7" xfId="2845"/>
    <cellStyle name="40% - Ênfase3 27 8" xfId="2846"/>
    <cellStyle name="40% - Ênfase3 27 9" xfId="2847"/>
    <cellStyle name="40% - Ênfase3 28" xfId="2848"/>
    <cellStyle name="40% - Ênfase3 28 10" xfId="2849"/>
    <cellStyle name="40% - Ênfase3 28 11" xfId="2850"/>
    <cellStyle name="40% - Ênfase3 28 12" xfId="2851"/>
    <cellStyle name="40% - Ênfase3 28 13" xfId="2852"/>
    <cellStyle name="40% - Ênfase3 28 14" xfId="2853"/>
    <cellStyle name="40% - Ênfase3 28 15" xfId="2854"/>
    <cellStyle name="40% - Ênfase3 28 16" xfId="2855"/>
    <cellStyle name="40% - Ênfase3 28 2" xfId="2856"/>
    <cellStyle name="40% - Ênfase3 28 3" xfId="2857"/>
    <cellStyle name="40% - Ênfase3 28 4" xfId="2858"/>
    <cellStyle name="40% - Ênfase3 28 5" xfId="2859"/>
    <cellStyle name="40% - Ênfase3 28 6" xfId="2860"/>
    <cellStyle name="40% - Ênfase3 28 7" xfId="2861"/>
    <cellStyle name="40% - Ênfase3 28 8" xfId="2862"/>
    <cellStyle name="40% - Ênfase3 28 9" xfId="2863"/>
    <cellStyle name="40% - Ênfase3 29" xfId="2864"/>
    <cellStyle name="40% - Ênfase3 29 10" xfId="2865"/>
    <cellStyle name="40% - Ênfase3 29 11" xfId="2866"/>
    <cellStyle name="40% - Ênfase3 29 12" xfId="2867"/>
    <cellStyle name="40% - Ênfase3 29 13" xfId="2868"/>
    <cellStyle name="40% - Ênfase3 29 14" xfId="2869"/>
    <cellStyle name="40% - Ênfase3 29 15" xfId="2870"/>
    <cellStyle name="40% - Ênfase3 29 16" xfId="2871"/>
    <cellStyle name="40% - Ênfase3 29 2" xfId="2872"/>
    <cellStyle name="40% - Ênfase3 29 3" xfId="2873"/>
    <cellStyle name="40% - Ênfase3 29 4" xfId="2874"/>
    <cellStyle name="40% - Ênfase3 29 5" xfId="2875"/>
    <cellStyle name="40% - Ênfase3 29 6" xfId="2876"/>
    <cellStyle name="40% - Ênfase3 29 7" xfId="2877"/>
    <cellStyle name="40% - Ênfase3 29 8" xfId="2878"/>
    <cellStyle name="40% - Ênfase3 29 9" xfId="2879"/>
    <cellStyle name="40% - Ênfase3 3" xfId="2880"/>
    <cellStyle name="40% - Ênfase3 3 10" xfId="2881"/>
    <cellStyle name="40% - Ênfase3 3 11" xfId="2882"/>
    <cellStyle name="40% - Ênfase3 3 2" xfId="2883"/>
    <cellStyle name="40% - Ênfase3 3 3" xfId="2884"/>
    <cellStyle name="40% - Ênfase3 3 4" xfId="2885"/>
    <cellStyle name="40% - Ênfase3 3 5" xfId="2886"/>
    <cellStyle name="40% - Ênfase3 3 6" xfId="2887"/>
    <cellStyle name="40% - Ênfase3 3 7" xfId="2888"/>
    <cellStyle name="40% - Ênfase3 3 8" xfId="2889"/>
    <cellStyle name="40% - Ênfase3 3 9" xfId="2890"/>
    <cellStyle name="40% - Ênfase3 30" xfId="2891"/>
    <cellStyle name="40% - Ênfase3 31" xfId="2892"/>
    <cellStyle name="40% - Ênfase3 32" xfId="2893"/>
    <cellStyle name="40% - Ênfase3 33" xfId="2894"/>
    <cellStyle name="40% - Ênfase3 34" xfId="2895"/>
    <cellStyle name="40% - Ênfase3 35" xfId="2896"/>
    <cellStyle name="40% - Ênfase3 36" xfId="2897"/>
    <cellStyle name="40% - Ênfase3 37" xfId="2898"/>
    <cellStyle name="40% - Ênfase3 38" xfId="2899"/>
    <cellStyle name="40% - Ênfase3 39" xfId="2900"/>
    <cellStyle name="40% - Ênfase3 4" xfId="2901"/>
    <cellStyle name="40% - Ênfase3 4 10" xfId="2902"/>
    <cellStyle name="40% - Ênfase3 4 11" xfId="2903"/>
    <cellStyle name="40% - Ênfase3 4 2" xfId="2904"/>
    <cellStyle name="40% - Ênfase3 4 3" xfId="2905"/>
    <cellStyle name="40% - Ênfase3 4 4" xfId="2906"/>
    <cellStyle name="40% - Ênfase3 4 5" xfId="2907"/>
    <cellStyle name="40% - Ênfase3 4 6" xfId="2908"/>
    <cellStyle name="40% - Ênfase3 4 7" xfId="2909"/>
    <cellStyle name="40% - Ênfase3 4 8" xfId="2910"/>
    <cellStyle name="40% - Ênfase3 4 9" xfId="2911"/>
    <cellStyle name="40% - Ênfase3 40" xfId="2912"/>
    <cellStyle name="40% - Ênfase3 41" xfId="2913"/>
    <cellStyle name="40% - Ênfase3 42" xfId="2914"/>
    <cellStyle name="40% - Ênfase3 43" xfId="2915"/>
    <cellStyle name="40% - Ênfase3 44" xfId="2916"/>
    <cellStyle name="40% - Ênfase3 45" xfId="2917"/>
    <cellStyle name="40% - Ênfase3 46" xfId="2918"/>
    <cellStyle name="40% - Ênfase3 47" xfId="2919"/>
    <cellStyle name="40% - Ênfase3 48" xfId="2920"/>
    <cellStyle name="40% - Ênfase3 49" xfId="2921"/>
    <cellStyle name="40% - Ênfase3 5" xfId="2922"/>
    <cellStyle name="40% - Ênfase3 5 2" xfId="2923"/>
    <cellStyle name="40% - Ênfase3 5 3" xfId="2924"/>
    <cellStyle name="40% - Ênfase3 5 4" xfId="2925"/>
    <cellStyle name="40% - Ênfase3 50" xfId="2926"/>
    <cellStyle name="40% - Ênfase3 51" xfId="2927"/>
    <cellStyle name="40% - Ênfase3 52" xfId="2928"/>
    <cellStyle name="40% - Ênfase3 53" xfId="2929"/>
    <cellStyle name="40% - Ênfase3 54" xfId="2930"/>
    <cellStyle name="40% - Ênfase3 55" xfId="2931"/>
    <cellStyle name="40% - Ênfase3 56" xfId="2932"/>
    <cellStyle name="40% - Ênfase3 57" xfId="2933"/>
    <cellStyle name="40% - Ênfase3 58" xfId="2934"/>
    <cellStyle name="40% - Ênfase3 59" xfId="2935"/>
    <cellStyle name="40% - Ênfase3 6" xfId="2936"/>
    <cellStyle name="40% - Ênfase3 6 2" xfId="2937"/>
    <cellStyle name="40% - Ênfase3 6 3" xfId="2938"/>
    <cellStyle name="40% - Ênfase3 6 4" xfId="2939"/>
    <cellStyle name="40% - Ênfase3 60" xfId="2940"/>
    <cellStyle name="40% - Ênfase3 61" xfId="2941"/>
    <cellStyle name="40% - Ênfase3 62" xfId="2942"/>
    <cellStyle name="40% - Ênfase3 63" xfId="2943"/>
    <cellStyle name="40% - Ênfase3 64" xfId="2944"/>
    <cellStyle name="40% - Ênfase3 65" xfId="2945"/>
    <cellStyle name="40% - Ênfase3 66" xfId="2946"/>
    <cellStyle name="40% - Ênfase3 67" xfId="2947"/>
    <cellStyle name="40% - Ênfase3 68" xfId="2948"/>
    <cellStyle name="40% - Ênfase3 69" xfId="2949"/>
    <cellStyle name="40% - Ênfase3 7" xfId="2950"/>
    <cellStyle name="40% - Ênfase3 7 2" xfId="2951"/>
    <cellStyle name="40% - Ênfase3 7 3" xfId="2952"/>
    <cellStyle name="40% - Ênfase3 7 4" xfId="2953"/>
    <cellStyle name="40% - Ênfase3 70" xfId="2954"/>
    <cellStyle name="40% - Ênfase3 71" xfId="2955"/>
    <cellStyle name="40% - Ênfase3 72" xfId="2956"/>
    <cellStyle name="40% - Ênfase3 73" xfId="2957"/>
    <cellStyle name="40% - Ênfase3 74" xfId="2958"/>
    <cellStyle name="40% - Ênfase3 75" xfId="2959"/>
    <cellStyle name="40% - Ênfase3 76" xfId="2960"/>
    <cellStyle name="40% - Ênfase3 77" xfId="2961"/>
    <cellStyle name="40% - Ênfase3 78" xfId="2962"/>
    <cellStyle name="40% - Ênfase3 79" xfId="2963"/>
    <cellStyle name="40% - Ênfase3 8" xfId="2964"/>
    <cellStyle name="40% - Ênfase3 8 2" xfId="2965"/>
    <cellStyle name="40% - Ênfase3 8 3" xfId="2966"/>
    <cellStyle name="40% - Ênfase3 8 4" xfId="2967"/>
    <cellStyle name="40% - Ênfase3 80" xfId="2968"/>
    <cellStyle name="40% - Ênfase3 81" xfId="2969"/>
    <cellStyle name="40% - Ênfase3 82" xfId="2970"/>
    <cellStyle name="40% - Ênfase3 83" xfId="2971"/>
    <cellStyle name="40% - Ênfase3 84" xfId="2972"/>
    <cellStyle name="40% - Ênfase3 85" xfId="2973"/>
    <cellStyle name="40% - Ênfase3 86" xfId="2974"/>
    <cellStyle name="40% - Ênfase3 87" xfId="2975"/>
    <cellStyle name="40% - Ênfase3 88" xfId="2976"/>
    <cellStyle name="40% - Ênfase3 89" xfId="2977"/>
    <cellStyle name="40% - Ênfase3 9" xfId="2978"/>
    <cellStyle name="40% - Ênfase3 90" xfId="2979"/>
    <cellStyle name="40% - Ênfase3 91" xfId="2980"/>
    <cellStyle name="40% - Ênfase3 92" xfId="2981"/>
    <cellStyle name="40% - Ênfase3 93" xfId="2982"/>
    <cellStyle name="40% - Ênfase3 94" xfId="2983"/>
    <cellStyle name="40% - Ênfase3 95" xfId="2984"/>
    <cellStyle name="40% - Ênfase3 96" xfId="2985"/>
    <cellStyle name="40% - Ênfase3 97" xfId="2986"/>
    <cellStyle name="40% - Ênfase3 98" xfId="2987"/>
    <cellStyle name="40% - Ênfase3 99" xfId="2988"/>
    <cellStyle name="40% - Ênfase4 10" xfId="2989"/>
    <cellStyle name="40% - Ênfase4 10 2" xfId="40494"/>
    <cellStyle name="40% - Ênfase4 100" xfId="2990"/>
    <cellStyle name="40% - Ênfase4 101" xfId="2991"/>
    <cellStyle name="40% - Ênfase4 102" xfId="2992"/>
    <cellStyle name="40% - Ênfase4 103" xfId="2993"/>
    <cellStyle name="40% - Ênfase4 104" xfId="2994"/>
    <cellStyle name="40% - Ênfase4 105" xfId="2995"/>
    <cellStyle name="40% - Ênfase4 106" xfId="2996"/>
    <cellStyle name="40% - Ênfase4 107" xfId="2997"/>
    <cellStyle name="40% - Ênfase4 108" xfId="2998"/>
    <cellStyle name="40% - Ênfase4 109" xfId="2999"/>
    <cellStyle name="40% - Ênfase4 11" xfId="3000"/>
    <cellStyle name="40% - Ênfase4 11 2" xfId="40495"/>
    <cellStyle name="40% - Ênfase4 110" xfId="3001"/>
    <cellStyle name="40% - Ênfase4 111" xfId="3002"/>
    <cellStyle name="40% - Ênfase4 112" xfId="3003"/>
    <cellStyle name="40% - Ênfase4 113" xfId="3004"/>
    <cellStyle name="40% - Ênfase4 114" xfId="3005"/>
    <cellStyle name="40% - Ênfase4 115" xfId="3006"/>
    <cellStyle name="40% - Ênfase4 116" xfId="3007"/>
    <cellStyle name="40% - Ênfase4 117" xfId="3008"/>
    <cellStyle name="40% - Ênfase4 118" xfId="3009"/>
    <cellStyle name="40% - Ênfase4 119" xfId="3010"/>
    <cellStyle name="40% - Ênfase4 12" xfId="3011"/>
    <cellStyle name="40% - Ênfase4 12 2" xfId="40496"/>
    <cellStyle name="40% - Ênfase4 120" xfId="3012"/>
    <cellStyle name="40% - Ênfase4 121" xfId="3013"/>
    <cellStyle name="40% - Ênfase4 122" xfId="3014"/>
    <cellStyle name="40% - Ênfase4 123" xfId="3015"/>
    <cellStyle name="40% - Ênfase4 124" xfId="3016"/>
    <cellStyle name="40% - Ênfase4 125" xfId="3017"/>
    <cellStyle name="40% - Ênfase4 126" xfId="3018"/>
    <cellStyle name="40% - Ênfase4 127" xfId="3019"/>
    <cellStyle name="40% - Ênfase4 128" xfId="3020"/>
    <cellStyle name="40% - Ênfase4 129" xfId="3021"/>
    <cellStyle name="40% - Ênfase4 13" xfId="3022"/>
    <cellStyle name="40% - Ênfase4 13 2" xfId="40497"/>
    <cellStyle name="40% - Ênfase4 130" xfId="3023"/>
    <cellStyle name="40% - Ênfase4 131" xfId="3024"/>
    <cellStyle name="40% - Ênfase4 132" xfId="3025"/>
    <cellStyle name="40% - Ênfase4 133" xfId="3026"/>
    <cellStyle name="40% - Ênfase4 134" xfId="3027"/>
    <cellStyle name="40% - Ênfase4 135" xfId="3028"/>
    <cellStyle name="40% - Ênfase4 136" xfId="3029"/>
    <cellStyle name="40% - Ênfase4 137" xfId="3030"/>
    <cellStyle name="40% - Ênfase4 138" xfId="3031"/>
    <cellStyle name="40% - Ênfase4 139" xfId="3032"/>
    <cellStyle name="40% - Ênfase4 14" xfId="3033"/>
    <cellStyle name="40% - Ênfase4 140" xfId="3034"/>
    <cellStyle name="40% - Ênfase4 141" xfId="3035"/>
    <cellStyle name="40% - Ênfase4 142" xfId="3036"/>
    <cellStyle name="40% - Ênfase4 143" xfId="3037"/>
    <cellStyle name="40% - Ênfase4 144" xfId="3038"/>
    <cellStyle name="40% - Ênfase4 145" xfId="3039"/>
    <cellStyle name="40% - Ênfase4 146" xfId="3040"/>
    <cellStyle name="40% - Ênfase4 147" xfId="3041"/>
    <cellStyle name="40% - Ênfase4 148" xfId="3042"/>
    <cellStyle name="40% - Ênfase4 149" xfId="3043"/>
    <cellStyle name="40% - Ênfase4 15" xfId="3044"/>
    <cellStyle name="40% - Ênfase4 15 2" xfId="3045"/>
    <cellStyle name="40% - Ênfase4 15 3" xfId="3046"/>
    <cellStyle name="40% - Ênfase4 150" xfId="3047"/>
    <cellStyle name="40% - Ênfase4 151" xfId="3048"/>
    <cellStyle name="40% - Ênfase4 152" xfId="3049"/>
    <cellStyle name="40% - Ênfase4 153" xfId="3050"/>
    <cellStyle name="40% - Ênfase4 154" xfId="3051"/>
    <cellStyle name="40% - Ênfase4 155" xfId="3052"/>
    <cellStyle name="40% - Ênfase4 156" xfId="3053"/>
    <cellStyle name="40% - Ênfase4 157" xfId="3054"/>
    <cellStyle name="40% - Ênfase4 158" xfId="3055"/>
    <cellStyle name="40% - Ênfase4 159" xfId="3056"/>
    <cellStyle name="40% - Ênfase4 16" xfId="3057"/>
    <cellStyle name="40% - Ênfase4 16 2" xfId="3058"/>
    <cellStyle name="40% - Ênfase4 16 3" xfId="3059"/>
    <cellStyle name="40% - Ênfase4 160" xfId="3060"/>
    <cellStyle name="40% - Ênfase4 161" xfId="3061"/>
    <cellStyle name="40% - Ênfase4 162" xfId="3062"/>
    <cellStyle name="40% - Ênfase4 163" xfId="3063"/>
    <cellStyle name="40% - Ênfase4 164" xfId="3064"/>
    <cellStyle name="40% - Ênfase4 165" xfId="3065"/>
    <cellStyle name="40% - Ênfase4 166" xfId="3066"/>
    <cellStyle name="40% - Ênfase4 167" xfId="3067"/>
    <cellStyle name="40% - Ênfase4 168" xfId="3068"/>
    <cellStyle name="40% - Ênfase4 169" xfId="3069"/>
    <cellStyle name="40% - Ênfase4 17" xfId="3070"/>
    <cellStyle name="40% - Ênfase4 17 2" xfId="3071"/>
    <cellStyle name="40% - Ênfase4 17 3" xfId="3072"/>
    <cellStyle name="40% - Ênfase4 170" xfId="3073"/>
    <cellStyle name="40% - Ênfase4 171" xfId="3074"/>
    <cellStyle name="40% - Ênfase4 172" xfId="3075"/>
    <cellStyle name="40% - Ênfase4 173" xfId="3076"/>
    <cellStyle name="40% - Ênfase4 174" xfId="3077"/>
    <cellStyle name="40% - Ênfase4 175" xfId="3078"/>
    <cellStyle name="40% - Ênfase4 176" xfId="3079"/>
    <cellStyle name="40% - Ênfase4 177" xfId="3080"/>
    <cellStyle name="40% - Ênfase4 178" xfId="3081"/>
    <cellStyle name="40% - Ênfase4 179" xfId="3082"/>
    <cellStyle name="40% - Ênfase4 18" xfId="3083"/>
    <cellStyle name="40% - Ênfase4 18 2" xfId="3084"/>
    <cellStyle name="40% - Ênfase4 18 3" xfId="3085"/>
    <cellStyle name="40% - Ênfase4 180" xfId="3086"/>
    <cellStyle name="40% - Ênfase4 181" xfId="3087"/>
    <cellStyle name="40% - Ênfase4 182" xfId="3088"/>
    <cellStyle name="40% - Ênfase4 183" xfId="3089"/>
    <cellStyle name="40% - Ênfase4 184" xfId="3090"/>
    <cellStyle name="40% - Ênfase4 185" xfId="3091"/>
    <cellStyle name="40% - Ênfase4 186" xfId="3092"/>
    <cellStyle name="40% - Ênfase4 187" xfId="3093"/>
    <cellStyle name="40% - Ênfase4 188" xfId="3094"/>
    <cellStyle name="40% - Ênfase4 189" xfId="3095"/>
    <cellStyle name="40% - Ênfase4 19" xfId="3096"/>
    <cellStyle name="40% - Ênfase4 19 2" xfId="3097"/>
    <cellStyle name="40% - Ênfase4 19 3" xfId="3098"/>
    <cellStyle name="40% - Ênfase4 190" xfId="3099"/>
    <cellStyle name="40% - Ênfase4 2" xfId="3100"/>
    <cellStyle name="40% - Ênfase4 2 10" xfId="3101"/>
    <cellStyle name="40% - Ênfase4 2 10 2" xfId="3102"/>
    <cellStyle name="40% - Ênfase4 2 10 3" xfId="3103"/>
    <cellStyle name="40% - Ênfase4 2 10 4" xfId="3104"/>
    <cellStyle name="40% - Ênfase4 2 10 5" xfId="3105"/>
    <cellStyle name="40% - Ênfase4 2 10 6" xfId="3106"/>
    <cellStyle name="40% - Ênfase4 2 10 7" xfId="3107"/>
    <cellStyle name="40% - Ênfase4 2 11" xfId="3108"/>
    <cellStyle name="40% - Ênfase4 2 11 2" xfId="3109"/>
    <cellStyle name="40% - Ênfase4 2 11 3" xfId="3110"/>
    <cellStyle name="40% - Ênfase4 2 11 4" xfId="3111"/>
    <cellStyle name="40% - Ênfase4 2 11 5" xfId="3112"/>
    <cellStyle name="40% - Ênfase4 2 11 6" xfId="3113"/>
    <cellStyle name="40% - Ênfase4 2 11 7" xfId="3114"/>
    <cellStyle name="40% - Ênfase4 2 12" xfId="3115"/>
    <cellStyle name="40% - Ênfase4 2 13" xfId="3116"/>
    <cellStyle name="40% - Ênfase4 2 14" xfId="3117"/>
    <cellStyle name="40% - Ênfase4 2 15" xfId="3118"/>
    <cellStyle name="40% - Ênfase4 2 16" xfId="3119"/>
    <cellStyle name="40% - Ênfase4 2 17" xfId="3120"/>
    <cellStyle name="40% - Ênfase4 2 18" xfId="3121"/>
    <cellStyle name="40% - Ênfase4 2 19" xfId="3122"/>
    <cellStyle name="40% - Ênfase4 2 2" xfId="3123"/>
    <cellStyle name="40% - Ênfase4 2 20" xfId="3124"/>
    <cellStyle name="40% - Ênfase4 2 21" xfId="3125"/>
    <cellStyle name="40% - Ênfase4 2 22" xfId="3126"/>
    <cellStyle name="40% - Ênfase4 2 23" xfId="3127"/>
    <cellStyle name="40% - Ênfase4 2 24" xfId="3128"/>
    <cellStyle name="40% - Ênfase4 2 25" xfId="3129"/>
    <cellStyle name="40% - Ênfase4 2 26" xfId="3130"/>
    <cellStyle name="40% - Ênfase4 2 27" xfId="3131"/>
    <cellStyle name="40% - Ênfase4 2 28" xfId="3132"/>
    <cellStyle name="40% - Ênfase4 2 29" xfId="3133"/>
    <cellStyle name="40% - Ênfase4 2 3" xfId="3134"/>
    <cellStyle name="40% - Ênfase4 2 30" xfId="3135"/>
    <cellStyle name="40% - Ênfase4 2 31" xfId="3136"/>
    <cellStyle name="40% - Ênfase4 2 32" xfId="3137"/>
    <cellStyle name="40% - Ênfase4 2 33" xfId="3138"/>
    <cellStyle name="40% - Ênfase4 2 34" xfId="3139"/>
    <cellStyle name="40% - Ênfase4 2 35" xfId="3140"/>
    <cellStyle name="40% - Ênfase4 2 4" xfId="3141"/>
    <cellStyle name="40% - Ênfase4 2 5" xfId="3142"/>
    <cellStyle name="40% - Ênfase4 2 6" xfId="3143"/>
    <cellStyle name="40% - Ênfase4 2 7" xfId="3144"/>
    <cellStyle name="40% - Ênfase4 2 8" xfId="3145"/>
    <cellStyle name="40% - Ênfase4 2 8 2" xfId="3146"/>
    <cellStyle name="40% - Ênfase4 2 8 3" xfId="3147"/>
    <cellStyle name="40% - Ênfase4 2 8 4" xfId="3148"/>
    <cellStyle name="40% - Ênfase4 2 8 5" xfId="3149"/>
    <cellStyle name="40% - Ênfase4 2 8 6" xfId="3150"/>
    <cellStyle name="40% - Ênfase4 2 8 7" xfId="3151"/>
    <cellStyle name="40% - Ênfase4 2 9" xfId="3152"/>
    <cellStyle name="40% - Ênfase4 2 9 2" xfId="3153"/>
    <cellStyle name="40% - Ênfase4 2 9 3" xfId="3154"/>
    <cellStyle name="40% - Ênfase4 2 9 4" xfId="3155"/>
    <cellStyle name="40% - Ênfase4 2 9 5" xfId="3156"/>
    <cellStyle name="40% - Ênfase4 2 9 6" xfId="3157"/>
    <cellStyle name="40% - Ênfase4 2 9 7" xfId="3158"/>
    <cellStyle name="40% - Ênfase4 20" xfId="3159"/>
    <cellStyle name="40% - Ênfase4 20 2" xfId="3160"/>
    <cellStyle name="40% - Ênfase4 20 3" xfId="3161"/>
    <cellStyle name="40% - Ênfase4 21" xfId="3162"/>
    <cellStyle name="40% - Ênfase4 22" xfId="3163"/>
    <cellStyle name="40% - Ênfase4 23" xfId="3164"/>
    <cellStyle name="40% - Ênfase4 24" xfId="3165"/>
    <cellStyle name="40% - Ênfase4 24 2" xfId="40936"/>
    <cellStyle name="40% - Ênfase4 25" xfId="3166"/>
    <cellStyle name="40% - Ênfase4 25 2" xfId="40971"/>
    <cellStyle name="40% - Ênfase4 26" xfId="3167"/>
    <cellStyle name="40% - Ênfase4 26 10" xfId="3168"/>
    <cellStyle name="40% - Ênfase4 26 11" xfId="3169"/>
    <cellStyle name="40% - Ênfase4 26 12" xfId="3170"/>
    <cellStyle name="40% - Ênfase4 26 13" xfId="3171"/>
    <cellStyle name="40% - Ênfase4 26 14" xfId="3172"/>
    <cellStyle name="40% - Ênfase4 26 15" xfId="3173"/>
    <cellStyle name="40% - Ênfase4 26 16" xfId="3174"/>
    <cellStyle name="40% - Ênfase4 26 2" xfId="3175"/>
    <cellStyle name="40% - Ênfase4 26 3" xfId="3176"/>
    <cellStyle name="40% - Ênfase4 26 4" xfId="3177"/>
    <cellStyle name="40% - Ênfase4 26 5" xfId="3178"/>
    <cellStyle name="40% - Ênfase4 26 6" xfId="3179"/>
    <cellStyle name="40% - Ênfase4 26 7" xfId="3180"/>
    <cellStyle name="40% - Ênfase4 26 8" xfId="3181"/>
    <cellStyle name="40% - Ênfase4 26 9" xfId="3182"/>
    <cellStyle name="40% - Ênfase4 27" xfId="3183"/>
    <cellStyle name="40% - Ênfase4 27 10" xfId="3184"/>
    <cellStyle name="40% - Ênfase4 27 11" xfId="3185"/>
    <cellStyle name="40% - Ênfase4 27 12" xfId="3186"/>
    <cellStyle name="40% - Ênfase4 27 13" xfId="3187"/>
    <cellStyle name="40% - Ênfase4 27 14" xfId="3188"/>
    <cellStyle name="40% - Ênfase4 27 15" xfId="3189"/>
    <cellStyle name="40% - Ênfase4 27 16" xfId="3190"/>
    <cellStyle name="40% - Ênfase4 27 2" xfId="3191"/>
    <cellStyle name="40% - Ênfase4 27 3" xfId="3192"/>
    <cellStyle name="40% - Ênfase4 27 4" xfId="3193"/>
    <cellStyle name="40% - Ênfase4 27 5" xfId="3194"/>
    <cellStyle name="40% - Ênfase4 27 6" xfId="3195"/>
    <cellStyle name="40% - Ênfase4 27 7" xfId="3196"/>
    <cellStyle name="40% - Ênfase4 27 8" xfId="3197"/>
    <cellStyle name="40% - Ênfase4 27 9" xfId="3198"/>
    <cellStyle name="40% - Ênfase4 28" xfId="3199"/>
    <cellStyle name="40% - Ênfase4 28 10" xfId="3200"/>
    <cellStyle name="40% - Ênfase4 28 11" xfId="3201"/>
    <cellStyle name="40% - Ênfase4 28 12" xfId="3202"/>
    <cellStyle name="40% - Ênfase4 28 13" xfId="3203"/>
    <cellStyle name="40% - Ênfase4 28 14" xfId="3204"/>
    <cellStyle name="40% - Ênfase4 28 15" xfId="3205"/>
    <cellStyle name="40% - Ênfase4 28 16" xfId="3206"/>
    <cellStyle name="40% - Ênfase4 28 2" xfId="3207"/>
    <cellStyle name="40% - Ênfase4 28 3" xfId="3208"/>
    <cellStyle name="40% - Ênfase4 28 4" xfId="3209"/>
    <cellStyle name="40% - Ênfase4 28 5" xfId="3210"/>
    <cellStyle name="40% - Ênfase4 28 6" xfId="3211"/>
    <cellStyle name="40% - Ênfase4 28 7" xfId="3212"/>
    <cellStyle name="40% - Ênfase4 28 8" xfId="3213"/>
    <cellStyle name="40% - Ênfase4 28 9" xfId="3214"/>
    <cellStyle name="40% - Ênfase4 29" xfId="3215"/>
    <cellStyle name="40% - Ênfase4 29 10" xfId="3216"/>
    <cellStyle name="40% - Ênfase4 29 11" xfId="3217"/>
    <cellStyle name="40% - Ênfase4 29 12" xfId="3218"/>
    <cellStyle name="40% - Ênfase4 29 13" xfId="3219"/>
    <cellStyle name="40% - Ênfase4 29 14" xfId="3220"/>
    <cellStyle name="40% - Ênfase4 29 15" xfId="3221"/>
    <cellStyle name="40% - Ênfase4 29 16" xfId="3222"/>
    <cellStyle name="40% - Ênfase4 29 2" xfId="3223"/>
    <cellStyle name="40% - Ênfase4 29 3" xfId="3224"/>
    <cellStyle name="40% - Ênfase4 29 4" xfId="3225"/>
    <cellStyle name="40% - Ênfase4 29 5" xfId="3226"/>
    <cellStyle name="40% - Ênfase4 29 6" xfId="3227"/>
    <cellStyle name="40% - Ênfase4 29 7" xfId="3228"/>
    <cellStyle name="40% - Ênfase4 29 8" xfId="3229"/>
    <cellStyle name="40% - Ênfase4 29 9" xfId="3230"/>
    <cellStyle name="40% - Ênfase4 3" xfId="3231"/>
    <cellStyle name="40% - Ênfase4 3 10" xfId="3232"/>
    <cellStyle name="40% - Ênfase4 3 11" xfId="3233"/>
    <cellStyle name="40% - Ênfase4 3 2" xfId="3234"/>
    <cellStyle name="40% - Ênfase4 3 3" xfId="3235"/>
    <cellStyle name="40% - Ênfase4 3 4" xfId="3236"/>
    <cellStyle name="40% - Ênfase4 3 5" xfId="3237"/>
    <cellStyle name="40% - Ênfase4 3 6" xfId="3238"/>
    <cellStyle name="40% - Ênfase4 3 7" xfId="3239"/>
    <cellStyle name="40% - Ênfase4 3 8" xfId="3240"/>
    <cellStyle name="40% - Ênfase4 3 9" xfId="3241"/>
    <cellStyle name="40% - Ênfase4 30" xfId="3242"/>
    <cellStyle name="40% - Ênfase4 31" xfId="3243"/>
    <cellStyle name="40% - Ênfase4 32" xfId="3244"/>
    <cellStyle name="40% - Ênfase4 33" xfId="3245"/>
    <cellStyle name="40% - Ênfase4 34" xfId="3246"/>
    <cellStyle name="40% - Ênfase4 35" xfId="3247"/>
    <cellStyle name="40% - Ênfase4 36" xfId="3248"/>
    <cellStyle name="40% - Ênfase4 37" xfId="3249"/>
    <cellStyle name="40% - Ênfase4 38" xfId="3250"/>
    <cellStyle name="40% - Ênfase4 39" xfId="3251"/>
    <cellStyle name="40% - Ênfase4 4" xfId="3252"/>
    <cellStyle name="40% - Ênfase4 4 10" xfId="3253"/>
    <cellStyle name="40% - Ênfase4 4 11" xfId="3254"/>
    <cellStyle name="40% - Ênfase4 4 2" xfId="3255"/>
    <cellStyle name="40% - Ênfase4 4 3" xfId="3256"/>
    <cellStyle name="40% - Ênfase4 4 4" xfId="3257"/>
    <cellStyle name="40% - Ênfase4 4 5" xfId="3258"/>
    <cellStyle name="40% - Ênfase4 4 6" xfId="3259"/>
    <cellStyle name="40% - Ênfase4 4 7" xfId="3260"/>
    <cellStyle name="40% - Ênfase4 4 8" xfId="3261"/>
    <cellStyle name="40% - Ênfase4 4 9" xfId="3262"/>
    <cellStyle name="40% - Ênfase4 40" xfId="3263"/>
    <cellStyle name="40% - Ênfase4 41" xfId="3264"/>
    <cellStyle name="40% - Ênfase4 42" xfId="3265"/>
    <cellStyle name="40% - Ênfase4 43" xfId="3266"/>
    <cellStyle name="40% - Ênfase4 44" xfId="3267"/>
    <cellStyle name="40% - Ênfase4 45" xfId="3268"/>
    <cellStyle name="40% - Ênfase4 46" xfId="3269"/>
    <cellStyle name="40% - Ênfase4 47" xfId="3270"/>
    <cellStyle name="40% - Ênfase4 48" xfId="3271"/>
    <cellStyle name="40% - Ênfase4 49" xfId="3272"/>
    <cellStyle name="40% - Ênfase4 5" xfId="3273"/>
    <cellStyle name="40% - Ênfase4 5 2" xfId="3274"/>
    <cellStyle name="40% - Ênfase4 5 3" xfId="3275"/>
    <cellStyle name="40% - Ênfase4 5 4" xfId="3276"/>
    <cellStyle name="40% - Ênfase4 50" xfId="3277"/>
    <cellStyle name="40% - Ênfase4 51" xfId="3278"/>
    <cellStyle name="40% - Ênfase4 52" xfId="3279"/>
    <cellStyle name="40% - Ênfase4 53" xfId="3280"/>
    <cellStyle name="40% - Ênfase4 54" xfId="3281"/>
    <cellStyle name="40% - Ênfase4 55" xfId="3282"/>
    <cellStyle name="40% - Ênfase4 56" xfId="3283"/>
    <cellStyle name="40% - Ênfase4 57" xfId="3284"/>
    <cellStyle name="40% - Ênfase4 58" xfId="3285"/>
    <cellStyle name="40% - Ênfase4 59" xfId="3286"/>
    <cellStyle name="40% - Ênfase4 6" xfId="3287"/>
    <cellStyle name="40% - Ênfase4 6 2" xfId="3288"/>
    <cellStyle name="40% - Ênfase4 6 3" xfId="3289"/>
    <cellStyle name="40% - Ênfase4 6 4" xfId="3290"/>
    <cellStyle name="40% - Ênfase4 60" xfId="3291"/>
    <cellStyle name="40% - Ênfase4 61" xfId="3292"/>
    <cellStyle name="40% - Ênfase4 62" xfId="3293"/>
    <cellStyle name="40% - Ênfase4 63" xfId="3294"/>
    <cellStyle name="40% - Ênfase4 64" xfId="3295"/>
    <cellStyle name="40% - Ênfase4 65" xfId="3296"/>
    <cellStyle name="40% - Ênfase4 66" xfId="3297"/>
    <cellStyle name="40% - Ênfase4 67" xfId="3298"/>
    <cellStyle name="40% - Ênfase4 68" xfId="3299"/>
    <cellStyle name="40% - Ênfase4 69" xfId="3300"/>
    <cellStyle name="40% - Ênfase4 7" xfId="3301"/>
    <cellStyle name="40% - Ênfase4 7 2" xfId="3302"/>
    <cellStyle name="40% - Ênfase4 7 3" xfId="3303"/>
    <cellStyle name="40% - Ênfase4 7 4" xfId="3304"/>
    <cellStyle name="40% - Ênfase4 70" xfId="3305"/>
    <cellStyle name="40% - Ênfase4 71" xfId="3306"/>
    <cellStyle name="40% - Ênfase4 72" xfId="3307"/>
    <cellStyle name="40% - Ênfase4 73" xfId="3308"/>
    <cellStyle name="40% - Ênfase4 74" xfId="3309"/>
    <cellStyle name="40% - Ênfase4 75" xfId="3310"/>
    <cellStyle name="40% - Ênfase4 76" xfId="3311"/>
    <cellStyle name="40% - Ênfase4 77" xfId="3312"/>
    <cellStyle name="40% - Ênfase4 78" xfId="3313"/>
    <cellStyle name="40% - Ênfase4 79" xfId="3314"/>
    <cellStyle name="40% - Ênfase4 8" xfId="3315"/>
    <cellStyle name="40% - Ênfase4 8 2" xfId="3316"/>
    <cellStyle name="40% - Ênfase4 8 3" xfId="3317"/>
    <cellStyle name="40% - Ênfase4 8 4" xfId="3318"/>
    <cellStyle name="40% - Ênfase4 80" xfId="3319"/>
    <cellStyle name="40% - Ênfase4 81" xfId="3320"/>
    <cellStyle name="40% - Ênfase4 82" xfId="3321"/>
    <cellStyle name="40% - Ênfase4 83" xfId="3322"/>
    <cellStyle name="40% - Ênfase4 84" xfId="3323"/>
    <cellStyle name="40% - Ênfase4 85" xfId="3324"/>
    <cellStyle name="40% - Ênfase4 86" xfId="3325"/>
    <cellStyle name="40% - Ênfase4 87" xfId="3326"/>
    <cellStyle name="40% - Ênfase4 88" xfId="3327"/>
    <cellStyle name="40% - Ênfase4 89" xfId="3328"/>
    <cellStyle name="40% - Ênfase4 9" xfId="3329"/>
    <cellStyle name="40% - Ênfase4 90" xfId="3330"/>
    <cellStyle name="40% - Ênfase4 91" xfId="3331"/>
    <cellStyle name="40% - Ênfase4 92" xfId="3332"/>
    <cellStyle name="40% - Ênfase4 93" xfId="3333"/>
    <cellStyle name="40% - Ênfase4 94" xfId="3334"/>
    <cellStyle name="40% - Ênfase4 95" xfId="3335"/>
    <cellStyle name="40% - Ênfase4 96" xfId="3336"/>
    <cellStyle name="40% - Ênfase4 97" xfId="3337"/>
    <cellStyle name="40% - Ênfase4 98" xfId="3338"/>
    <cellStyle name="40% - Ênfase4 99" xfId="3339"/>
    <cellStyle name="40% - Ênfase5 10" xfId="3340"/>
    <cellStyle name="40% - Ênfase5 10 2" xfId="40498"/>
    <cellStyle name="40% - Ênfase5 100" xfId="3341"/>
    <cellStyle name="40% - Ênfase5 101" xfId="3342"/>
    <cellStyle name="40% - Ênfase5 102" xfId="3343"/>
    <cellStyle name="40% - Ênfase5 103" xfId="3344"/>
    <cellStyle name="40% - Ênfase5 104" xfId="3345"/>
    <cellStyle name="40% - Ênfase5 105" xfId="3346"/>
    <cellStyle name="40% - Ênfase5 106" xfId="3347"/>
    <cellStyle name="40% - Ênfase5 107" xfId="3348"/>
    <cellStyle name="40% - Ênfase5 108" xfId="3349"/>
    <cellStyle name="40% - Ênfase5 109" xfId="3350"/>
    <cellStyle name="40% - Ênfase5 11" xfId="3351"/>
    <cellStyle name="40% - Ênfase5 11 2" xfId="40499"/>
    <cellStyle name="40% - Ênfase5 110" xfId="3352"/>
    <cellStyle name="40% - Ênfase5 111" xfId="3353"/>
    <cellStyle name="40% - Ênfase5 112" xfId="3354"/>
    <cellStyle name="40% - Ênfase5 113" xfId="3355"/>
    <cellStyle name="40% - Ênfase5 114" xfId="3356"/>
    <cellStyle name="40% - Ênfase5 115" xfId="3357"/>
    <cellStyle name="40% - Ênfase5 116" xfId="3358"/>
    <cellStyle name="40% - Ênfase5 117" xfId="3359"/>
    <cellStyle name="40% - Ênfase5 118" xfId="3360"/>
    <cellStyle name="40% - Ênfase5 119" xfId="3361"/>
    <cellStyle name="40% - Ênfase5 12" xfId="3362"/>
    <cellStyle name="40% - Ênfase5 12 2" xfId="40500"/>
    <cellStyle name="40% - Ênfase5 120" xfId="3363"/>
    <cellStyle name="40% - Ênfase5 121" xfId="3364"/>
    <cellStyle name="40% - Ênfase5 122" xfId="3365"/>
    <cellStyle name="40% - Ênfase5 123" xfId="3366"/>
    <cellStyle name="40% - Ênfase5 124" xfId="3367"/>
    <cellStyle name="40% - Ênfase5 125" xfId="3368"/>
    <cellStyle name="40% - Ênfase5 126" xfId="3369"/>
    <cellStyle name="40% - Ênfase5 127" xfId="3370"/>
    <cellStyle name="40% - Ênfase5 128" xfId="3371"/>
    <cellStyle name="40% - Ênfase5 129" xfId="3372"/>
    <cellStyle name="40% - Ênfase5 13" xfId="3373"/>
    <cellStyle name="40% - Ênfase5 13 2" xfId="40501"/>
    <cellStyle name="40% - Ênfase5 130" xfId="3374"/>
    <cellStyle name="40% - Ênfase5 131" xfId="3375"/>
    <cellStyle name="40% - Ênfase5 132" xfId="3376"/>
    <cellStyle name="40% - Ênfase5 133" xfId="3377"/>
    <cellStyle name="40% - Ênfase5 134" xfId="3378"/>
    <cellStyle name="40% - Ênfase5 135" xfId="3379"/>
    <cellStyle name="40% - Ênfase5 136" xfId="3380"/>
    <cellStyle name="40% - Ênfase5 137" xfId="3381"/>
    <cellStyle name="40% - Ênfase5 138" xfId="3382"/>
    <cellStyle name="40% - Ênfase5 139" xfId="3383"/>
    <cellStyle name="40% - Ênfase5 14" xfId="3384"/>
    <cellStyle name="40% - Ênfase5 140" xfId="3385"/>
    <cellStyle name="40% - Ênfase5 141" xfId="3386"/>
    <cellStyle name="40% - Ênfase5 142" xfId="3387"/>
    <cellStyle name="40% - Ênfase5 143" xfId="3388"/>
    <cellStyle name="40% - Ênfase5 144" xfId="3389"/>
    <cellStyle name="40% - Ênfase5 145" xfId="3390"/>
    <cellStyle name="40% - Ênfase5 146" xfId="3391"/>
    <cellStyle name="40% - Ênfase5 147" xfId="3392"/>
    <cellStyle name="40% - Ênfase5 148" xfId="3393"/>
    <cellStyle name="40% - Ênfase5 149" xfId="3394"/>
    <cellStyle name="40% - Ênfase5 15" xfId="3395"/>
    <cellStyle name="40% - Ênfase5 15 2" xfId="3396"/>
    <cellStyle name="40% - Ênfase5 15 3" xfId="3397"/>
    <cellStyle name="40% - Ênfase5 150" xfId="3398"/>
    <cellStyle name="40% - Ênfase5 151" xfId="3399"/>
    <cellStyle name="40% - Ênfase5 152" xfId="3400"/>
    <cellStyle name="40% - Ênfase5 153" xfId="3401"/>
    <cellStyle name="40% - Ênfase5 154" xfId="3402"/>
    <cellStyle name="40% - Ênfase5 155" xfId="3403"/>
    <cellStyle name="40% - Ênfase5 156" xfId="3404"/>
    <cellStyle name="40% - Ênfase5 157" xfId="3405"/>
    <cellStyle name="40% - Ênfase5 158" xfId="3406"/>
    <cellStyle name="40% - Ênfase5 159" xfId="3407"/>
    <cellStyle name="40% - Ênfase5 16" xfId="3408"/>
    <cellStyle name="40% - Ênfase5 16 2" xfId="3409"/>
    <cellStyle name="40% - Ênfase5 16 3" xfId="3410"/>
    <cellStyle name="40% - Ênfase5 160" xfId="3411"/>
    <cellStyle name="40% - Ênfase5 161" xfId="3412"/>
    <cellStyle name="40% - Ênfase5 162" xfId="3413"/>
    <cellStyle name="40% - Ênfase5 163" xfId="3414"/>
    <cellStyle name="40% - Ênfase5 164" xfId="3415"/>
    <cellStyle name="40% - Ênfase5 165" xfId="3416"/>
    <cellStyle name="40% - Ênfase5 166" xfId="3417"/>
    <cellStyle name="40% - Ênfase5 167" xfId="3418"/>
    <cellStyle name="40% - Ênfase5 168" xfId="3419"/>
    <cellStyle name="40% - Ênfase5 169" xfId="3420"/>
    <cellStyle name="40% - Ênfase5 17" xfId="3421"/>
    <cellStyle name="40% - Ênfase5 17 2" xfId="3422"/>
    <cellStyle name="40% - Ênfase5 17 3" xfId="3423"/>
    <cellStyle name="40% - Ênfase5 170" xfId="3424"/>
    <cellStyle name="40% - Ênfase5 171" xfId="3425"/>
    <cellStyle name="40% - Ênfase5 172" xfId="3426"/>
    <cellStyle name="40% - Ênfase5 173" xfId="3427"/>
    <cellStyle name="40% - Ênfase5 174" xfId="3428"/>
    <cellStyle name="40% - Ênfase5 175" xfId="3429"/>
    <cellStyle name="40% - Ênfase5 176" xfId="3430"/>
    <cellStyle name="40% - Ênfase5 177" xfId="3431"/>
    <cellStyle name="40% - Ênfase5 178" xfId="3432"/>
    <cellStyle name="40% - Ênfase5 179" xfId="3433"/>
    <cellStyle name="40% - Ênfase5 18" xfId="3434"/>
    <cellStyle name="40% - Ênfase5 18 2" xfId="3435"/>
    <cellStyle name="40% - Ênfase5 18 3" xfId="3436"/>
    <cellStyle name="40% - Ênfase5 180" xfId="3437"/>
    <cellStyle name="40% - Ênfase5 181" xfId="3438"/>
    <cellStyle name="40% - Ênfase5 182" xfId="3439"/>
    <cellStyle name="40% - Ênfase5 183" xfId="3440"/>
    <cellStyle name="40% - Ênfase5 184" xfId="3441"/>
    <cellStyle name="40% - Ênfase5 185" xfId="3442"/>
    <cellStyle name="40% - Ênfase5 186" xfId="3443"/>
    <cellStyle name="40% - Ênfase5 187" xfId="3444"/>
    <cellStyle name="40% - Ênfase5 188" xfId="3445"/>
    <cellStyle name="40% - Ênfase5 189" xfId="3446"/>
    <cellStyle name="40% - Ênfase5 19" xfId="3447"/>
    <cellStyle name="40% - Ênfase5 19 2" xfId="3448"/>
    <cellStyle name="40% - Ênfase5 19 3" xfId="3449"/>
    <cellStyle name="40% - Ênfase5 190" xfId="3450"/>
    <cellStyle name="40% - Ênfase5 2" xfId="3451"/>
    <cellStyle name="40% - Ênfase5 2 10" xfId="3452"/>
    <cellStyle name="40% - Ênfase5 2 10 2" xfId="3453"/>
    <cellStyle name="40% - Ênfase5 2 10 3" xfId="3454"/>
    <cellStyle name="40% - Ênfase5 2 10 4" xfId="3455"/>
    <cellStyle name="40% - Ênfase5 2 10 5" xfId="3456"/>
    <cellStyle name="40% - Ênfase5 2 10 6" xfId="3457"/>
    <cellStyle name="40% - Ênfase5 2 10 7" xfId="3458"/>
    <cellStyle name="40% - Ênfase5 2 11" xfId="3459"/>
    <cellStyle name="40% - Ênfase5 2 11 2" xfId="3460"/>
    <cellStyle name="40% - Ênfase5 2 11 3" xfId="3461"/>
    <cellStyle name="40% - Ênfase5 2 11 4" xfId="3462"/>
    <cellStyle name="40% - Ênfase5 2 11 5" xfId="3463"/>
    <cellStyle name="40% - Ênfase5 2 11 6" xfId="3464"/>
    <cellStyle name="40% - Ênfase5 2 11 7" xfId="3465"/>
    <cellStyle name="40% - Ênfase5 2 12" xfId="3466"/>
    <cellStyle name="40% - Ênfase5 2 13" xfId="3467"/>
    <cellStyle name="40% - Ênfase5 2 14" xfId="3468"/>
    <cellStyle name="40% - Ênfase5 2 15" xfId="3469"/>
    <cellStyle name="40% - Ênfase5 2 16" xfId="3470"/>
    <cellStyle name="40% - Ênfase5 2 17" xfId="3471"/>
    <cellStyle name="40% - Ênfase5 2 18" xfId="3472"/>
    <cellStyle name="40% - Ênfase5 2 19" xfId="3473"/>
    <cellStyle name="40% - Ênfase5 2 2" xfId="3474"/>
    <cellStyle name="40% - Ênfase5 2 20" xfId="3475"/>
    <cellStyle name="40% - Ênfase5 2 21" xfId="3476"/>
    <cellStyle name="40% - Ênfase5 2 22" xfId="3477"/>
    <cellStyle name="40% - Ênfase5 2 23" xfId="3478"/>
    <cellStyle name="40% - Ênfase5 2 24" xfId="3479"/>
    <cellStyle name="40% - Ênfase5 2 25" xfId="3480"/>
    <cellStyle name="40% - Ênfase5 2 26" xfId="3481"/>
    <cellStyle name="40% - Ênfase5 2 27" xfId="3482"/>
    <cellStyle name="40% - Ênfase5 2 28" xfId="3483"/>
    <cellStyle name="40% - Ênfase5 2 29" xfId="3484"/>
    <cellStyle name="40% - Ênfase5 2 3" xfId="3485"/>
    <cellStyle name="40% - Ênfase5 2 30" xfId="3486"/>
    <cellStyle name="40% - Ênfase5 2 31" xfId="3487"/>
    <cellStyle name="40% - Ênfase5 2 32" xfId="3488"/>
    <cellStyle name="40% - Ênfase5 2 33" xfId="3489"/>
    <cellStyle name="40% - Ênfase5 2 34" xfId="3490"/>
    <cellStyle name="40% - Ênfase5 2 35" xfId="3491"/>
    <cellStyle name="40% - Ênfase5 2 4" xfId="3492"/>
    <cellStyle name="40% - Ênfase5 2 5" xfId="3493"/>
    <cellStyle name="40% - Ênfase5 2 6" xfId="3494"/>
    <cellStyle name="40% - Ênfase5 2 7" xfId="3495"/>
    <cellStyle name="40% - Ênfase5 2 8" xfId="3496"/>
    <cellStyle name="40% - Ênfase5 2 8 2" xfId="3497"/>
    <cellStyle name="40% - Ênfase5 2 8 3" xfId="3498"/>
    <cellStyle name="40% - Ênfase5 2 8 4" xfId="3499"/>
    <cellStyle name="40% - Ênfase5 2 8 5" xfId="3500"/>
    <cellStyle name="40% - Ênfase5 2 8 6" xfId="3501"/>
    <cellStyle name="40% - Ênfase5 2 8 7" xfId="3502"/>
    <cellStyle name="40% - Ênfase5 2 9" xfId="3503"/>
    <cellStyle name="40% - Ênfase5 2 9 2" xfId="3504"/>
    <cellStyle name="40% - Ênfase5 2 9 3" xfId="3505"/>
    <cellStyle name="40% - Ênfase5 2 9 4" xfId="3506"/>
    <cellStyle name="40% - Ênfase5 2 9 5" xfId="3507"/>
    <cellStyle name="40% - Ênfase5 2 9 6" xfId="3508"/>
    <cellStyle name="40% - Ênfase5 2 9 7" xfId="3509"/>
    <cellStyle name="40% - Ênfase5 20" xfId="3510"/>
    <cellStyle name="40% - Ênfase5 20 2" xfId="3511"/>
    <cellStyle name="40% - Ênfase5 20 3" xfId="3512"/>
    <cellStyle name="40% - Ênfase5 21" xfId="3513"/>
    <cellStyle name="40% - Ênfase5 22" xfId="3514"/>
    <cellStyle name="40% - Ênfase5 23" xfId="3515"/>
    <cellStyle name="40% - Ênfase5 24" xfId="3516"/>
    <cellStyle name="40% - Ênfase5 24 2" xfId="40937"/>
    <cellStyle name="40% - Ênfase5 25" xfId="3517"/>
    <cellStyle name="40% - Ênfase5 25 2" xfId="40972"/>
    <cellStyle name="40% - Ênfase5 26" xfId="3518"/>
    <cellStyle name="40% - Ênfase5 26 10" xfId="3519"/>
    <cellStyle name="40% - Ênfase5 26 11" xfId="3520"/>
    <cellStyle name="40% - Ênfase5 26 12" xfId="3521"/>
    <cellStyle name="40% - Ênfase5 26 13" xfId="3522"/>
    <cellStyle name="40% - Ênfase5 26 14" xfId="3523"/>
    <cellStyle name="40% - Ênfase5 26 15" xfId="3524"/>
    <cellStyle name="40% - Ênfase5 26 16" xfId="3525"/>
    <cellStyle name="40% - Ênfase5 26 2" xfId="3526"/>
    <cellStyle name="40% - Ênfase5 26 3" xfId="3527"/>
    <cellStyle name="40% - Ênfase5 26 4" xfId="3528"/>
    <cellStyle name="40% - Ênfase5 26 5" xfId="3529"/>
    <cellStyle name="40% - Ênfase5 26 6" xfId="3530"/>
    <cellStyle name="40% - Ênfase5 26 7" xfId="3531"/>
    <cellStyle name="40% - Ênfase5 26 8" xfId="3532"/>
    <cellStyle name="40% - Ênfase5 26 9" xfId="3533"/>
    <cellStyle name="40% - Ênfase5 27" xfId="3534"/>
    <cellStyle name="40% - Ênfase5 27 10" xfId="3535"/>
    <cellStyle name="40% - Ênfase5 27 11" xfId="3536"/>
    <cellStyle name="40% - Ênfase5 27 12" xfId="3537"/>
    <cellStyle name="40% - Ênfase5 27 13" xfId="3538"/>
    <cellStyle name="40% - Ênfase5 27 14" xfId="3539"/>
    <cellStyle name="40% - Ênfase5 27 15" xfId="3540"/>
    <cellStyle name="40% - Ênfase5 27 16" xfId="3541"/>
    <cellStyle name="40% - Ênfase5 27 2" xfId="3542"/>
    <cellStyle name="40% - Ênfase5 27 3" xfId="3543"/>
    <cellStyle name="40% - Ênfase5 27 4" xfId="3544"/>
    <cellStyle name="40% - Ênfase5 27 5" xfId="3545"/>
    <cellStyle name="40% - Ênfase5 27 6" xfId="3546"/>
    <cellStyle name="40% - Ênfase5 27 7" xfId="3547"/>
    <cellStyle name="40% - Ênfase5 27 8" xfId="3548"/>
    <cellStyle name="40% - Ênfase5 27 9" xfId="3549"/>
    <cellStyle name="40% - Ênfase5 28" xfId="3550"/>
    <cellStyle name="40% - Ênfase5 28 10" xfId="3551"/>
    <cellStyle name="40% - Ênfase5 28 11" xfId="3552"/>
    <cellStyle name="40% - Ênfase5 28 12" xfId="3553"/>
    <cellStyle name="40% - Ênfase5 28 13" xfId="3554"/>
    <cellStyle name="40% - Ênfase5 28 14" xfId="3555"/>
    <cellStyle name="40% - Ênfase5 28 15" xfId="3556"/>
    <cellStyle name="40% - Ênfase5 28 16" xfId="3557"/>
    <cellStyle name="40% - Ênfase5 28 2" xfId="3558"/>
    <cellStyle name="40% - Ênfase5 28 3" xfId="3559"/>
    <cellStyle name="40% - Ênfase5 28 4" xfId="3560"/>
    <cellStyle name="40% - Ênfase5 28 5" xfId="3561"/>
    <cellStyle name="40% - Ênfase5 28 6" xfId="3562"/>
    <cellStyle name="40% - Ênfase5 28 7" xfId="3563"/>
    <cellStyle name="40% - Ênfase5 28 8" xfId="3564"/>
    <cellStyle name="40% - Ênfase5 28 9" xfId="3565"/>
    <cellStyle name="40% - Ênfase5 29" xfId="3566"/>
    <cellStyle name="40% - Ênfase5 29 10" xfId="3567"/>
    <cellStyle name="40% - Ênfase5 29 11" xfId="3568"/>
    <cellStyle name="40% - Ênfase5 29 12" xfId="3569"/>
    <cellStyle name="40% - Ênfase5 29 13" xfId="3570"/>
    <cellStyle name="40% - Ênfase5 29 14" xfId="3571"/>
    <cellStyle name="40% - Ênfase5 29 15" xfId="3572"/>
    <cellStyle name="40% - Ênfase5 29 16" xfId="3573"/>
    <cellStyle name="40% - Ênfase5 29 2" xfId="3574"/>
    <cellStyle name="40% - Ênfase5 29 3" xfId="3575"/>
    <cellStyle name="40% - Ênfase5 29 4" xfId="3576"/>
    <cellStyle name="40% - Ênfase5 29 5" xfId="3577"/>
    <cellStyle name="40% - Ênfase5 29 6" xfId="3578"/>
    <cellStyle name="40% - Ênfase5 29 7" xfId="3579"/>
    <cellStyle name="40% - Ênfase5 29 8" xfId="3580"/>
    <cellStyle name="40% - Ênfase5 29 9" xfId="3581"/>
    <cellStyle name="40% - Ênfase5 3" xfId="3582"/>
    <cellStyle name="40% - Ênfase5 3 10" xfId="3583"/>
    <cellStyle name="40% - Ênfase5 3 11" xfId="3584"/>
    <cellStyle name="40% - Ênfase5 3 2" xfId="3585"/>
    <cellStyle name="40% - Ênfase5 3 3" xfId="3586"/>
    <cellStyle name="40% - Ênfase5 3 4" xfId="3587"/>
    <cellStyle name="40% - Ênfase5 3 5" xfId="3588"/>
    <cellStyle name="40% - Ênfase5 3 6" xfId="3589"/>
    <cellStyle name="40% - Ênfase5 3 7" xfId="3590"/>
    <cellStyle name="40% - Ênfase5 3 8" xfId="3591"/>
    <cellStyle name="40% - Ênfase5 3 9" xfId="3592"/>
    <cellStyle name="40% - Ênfase5 30" xfId="3593"/>
    <cellStyle name="40% - Ênfase5 31" xfId="3594"/>
    <cellStyle name="40% - Ênfase5 32" xfId="3595"/>
    <cellStyle name="40% - Ênfase5 33" xfId="3596"/>
    <cellStyle name="40% - Ênfase5 34" xfId="3597"/>
    <cellStyle name="40% - Ênfase5 35" xfId="3598"/>
    <cellStyle name="40% - Ênfase5 36" xfId="3599"/>
    <cellStyle name="40% - Ênfase5 37" xfId="3600"/>
    <cellStyle name="40% - Ênfase5 38" xfId="3601"/>
    <cellStyle name="40% - Ênfase5 39" xfId="3602"/>
    <cellStyle name="40% - Ênfase5 4" xfId="3603"/>
    <cellStyle name="40% - Ênfase5 4 10" xfId="3604"/>
    <cellStyle name="40% - Ênfase5 4 11" xfId="3605"/>
    <cellStyle name="40% - Ênfase5 4 2" xfId="3606"/>
    <cellStyle name="40% - Ênfase5 4 3" xfId="3607"/>
    <cellStyle name="40% - Ênfase5 4 4" xfId="3608"/>
    <cellStyle name="40% - Ênfase5 4 5" xfId="3609"/>
    <cellStyle name="40% - Ênfase5 4 6" xfId="3610"/>
    <cellStyle name="40% - Ênfase5 4 7" xfId="3611"/>
    <cellStyle name="40% - Ênfase5 4 8" xfId="3612"/>
    <cellStyle name="40% - Ênfase5 4 9" xfId="3613"/>
    <cellStyle name="40% - Ênfase5 40" xfId="3614"/>
    <cellStyle name="40% - Ênfase5 41" xfId="3615"/>
    <cellStyle name="40% - Ênfase5 42" xfId="3616"/>
    <cellStyle name="40% - Ênfase5 43" xfId="3617"/>
    <cellStyle name="40% - Ênfase5 44" xfId="3618"/>
    <cellStyle name="40% - Ênfase5 45" xfId="3619"/>
    <cellStyle name="40% - Ênfase5 46" xfId="3620"/>
    <cellStyle name="40% - Ênfase5 47" xfId="3621"/>
    <cellStyle name="40% - Ênfase5 48" xfId="3622"/>
    <cellStyle name="40% - Ênfase5 49" xfId="3623"/>
    <cellStyle name="40% - Ênfase5 5" xfId="3624"/>
    <cellStyle name="40% - Ênfase5 5 2" xfId="3625"/>
    <cellStyle name="40% - Ênfase5 5 3" xfId="3626"/>
    <cellStyle name="40% - Ênfase5 5 4" xfId="3627"/>
    <cellStyle name="40% - Ênfase5 50" xfId="3628"/>
    <cellStyle name="40% - Ênfase5 51" xfId="3629"/>
    <cellStyle name="40% - Ênfase5 52" xfId="3630"/>
    <cellStyle name="40% - Ênfase5 53" xfId="3631"/>
    <cellStyle name="40% - Ênfase5 54" xfId="3632"/>
    <cellStyle name="40% - Ênfase5 55" xfId="3633"/>
    <cellStyle name="40% - Ênfase5 56" xfId="3634"/>
    <cellStyle name="40% - Ênfase5 57" xfId="3635"/>
    <cellStyle name="40% - Ênfase5 58" xfId="3636"/>
    <cellStyle name="40% - Ênfase5 59" xfId="3637"/>
    <cellStyle name="40% - Ênfase5 6" xfId="3638"/>
    <cellStyle name="40% - Ênfase5 6 2" xfId="3639"/>
    <cellStyle name="40% - Ênfase5 6 3" xfId="3640"/>
    <cellStyle name="40% - Ênfase5 6 4" xfId="3641"/>
    <cellStyle name="40% - Ênfase5 60" xfId="3642"/>
    <cellStyle name="40% - Ênfase5 61" xfId="3643"/>
    <cellStyle name="40% - Ênfase5 62" xfId="3644"/>
    <cellStyle name="40% - Ênfase5 63" xfId="3645"/>
    <cellStyle name="40% - Ênfase5 64" xfId="3646"/>
    <cellStyle name="40% - Ênfase5 65" xfId="3647"/>
    <cellStyle name="40% - Ênfase5 66" xfId="3648"/>
    <cellStyle name="40% - Ênfase5 67" xfId="3649"/>
    <cellStyle name="40% - Ênfase5 68" xfId="3650"/>
    <cellStyle name="40% - Ênfase5 69" xfId="3651"/>
    <cellStyle name="40% - Ênfase5 7" xfId="3652"/>
    <cellStyle name="40% - Ênfase5 7 2" xfId="3653"/>
    <cellStyle name="40% - Ênfase5 7 3" xfId="3654"/>
    <cellStyle name="40% - Ênfase5 7 4" xfId="3655"/>
    <cellStyle name="40% - Ênfase5 70" xfId="3656"/>
    <cellStyle name="40% - Ênfase5 71" xfId="3657"/>
    <cellStyle name="40% - Ênfase5 72" xfId="3658"/>
    <cellStyle name="40% - Ênfase5 73" xfId="3659"/>
    <cellStyle name="40% - Ênfase5 74" xfId="3660"/>
    <cellStyle name="40% - Ênfase5 75" xfId="3661"/>
    <cellStyle name="40% - Ênfase5 76" xfId="3662"/>
    <cellStyle name="40% - Ênfase5 77" xfId="3663"/>
    <cellStyle name="40% - Ênfase5 78" xfId="3664"/>
    <cellStyle name="40% - Ênfase5 79" xfId="3665"/>
    <cellStyle name="40% - Ênfase5 8" xfId="3666"/>
    <cellStyle name="40% - Ênfase5 8 2" xfId="3667"/>
    <cellStyle name="40% - Ênfase5 8 3" xfId="3668"/>
    <cellStyle name="40% - Ênfase5 8 4" xfId="3669"/>
    <cellStyle name="40% - Ênfase5 80" xfId="3670"/>
    <cellStyle name="40% - Ênfase5 81" xfId="3671"/>
    <cellStyle name="40% - Ênfase5 82" xfId="3672"/>
    <cellStyle name="40% - Ênfase5 83" xfId="3673"/>
    <cellStyle name="40% - Ênfase5 84" xfId="3674"/>
    <cellStyle name="40% - Ênfase5 85" xfId="3675"/>
    <cellStyle name="40% - Ênfase5 86" xfId="3676"/>
    <cellStyle name="40% - Ênfase5 87" xfId="3677"/>
    <cellStyle name="40% - Ênfase5 88" xfId="3678"/>
    <cellStyle name="40% - Ênfase5 89" xfId="3679"/>
    <cellStyle name="40% - Ênfase5 9" xfId="3680"/>
    <cellStyle name="40% - Ênfase5 90" xfId="3681"/>
    <cellStyle name="40% - Ênfase5 91" xfId="3682"/>
    <cellStyle name="40% - Ênfase5 92" xfId="3683"/>
    <cellStyle name="40% - Ênfase5 93" xfId="3684"/>
    <cellStyle name="40% - Ênfase5 94" xfId="3685"/>
    <cellStyle name="40% - Ênfase5 95" xfId="3686"/>
    <cellStyle name="40% - Ênfase5 96" xfId="3687"/>
    <cellStyle name="40% - Ênfase5 97" xfId="3688"/>
    <cellStyle name="40% - Ênfase5 98" xfId="3689"/>
    <cellStyle name="40% - Ênfase5 99" xfId="3690"/>
    <cellStyle name="40% - Ênfase6 10" xfId="3691"/>
    <cellStyle name="40% - Ênfase6 10 2" xfId="40502"/>
    <cellStyle name="40% - Ênfase6 100" xfId="3692"/>
    <cellStyle name="40% - Ênfase6 101" xfId="3693"/>
    <cellStyle name="40% - Ênfase6 102" xfId="3694"/>
    <cellStyle name="40% - Ênfase6 103" xfId="3695"/>
    <cellStyle name="40% - Ênfase6 104" xfId="3696"/>
    <cellStyle name="40% - Ênfase6 105" xfId="3697"/>
    <cellStyle name="40% - Ênfase6 106" xfId="3698"/>
    <cellStyle name="40% - Ênfase6 107" xfId="3699"/>
    <cellStyle name="40% - Ênfase6 108" xfId="3700"/>
    <cellStyle name="40% - Ênfase6 109" xfId="3701"/>
    <cellStyle name="40% - Ênfase6 11" xfId="3702"/>
    <cellStyle name="40% - Ênfase6 11 2" xfId="40503"/>
    <cellStyle name="40% - Ênfase6 110" xfId="3703"/>
    <cellStyle name="40% - Ênfase6 111" xfId="3704"/>
    <cellStyle name="40% - Ênfase6 112" xfId="3705"/>
    <cellStyle name="40% - Ênfase6 113" xfId="3706"/>
    <cellStyle name="40% - Ênfase6 114" xfId="3707"/>
    <cellStyle name="40% - Ênfase6 115" xfId="3708"/>
    <cellStyle name="40% - Ênfase6 116" xfId="3709"/>
    <cellStyle name="40% - Ênfase6 117" xfId="3710"/>
    <cellStyle name="40% - Ênfase6 118" xfId="3711"/>
    <cellStyle name="40% - Ênfase6 119" xfId="3712"/>
    <cellStyle name="40% - Ênfase6 12" xfId="3713"/>
    <cellStyle name="40% - Ênfase6 12 2" xfId="40504"/>
    <cellStyle name="40% - Ênfase6 120" xfId="3714"/>
    <cellStyle name="40% - Ênfase6 121" xfId="3715"/>
    <cellStyle name="40% - Ênfase6 122" xfId="3716"/>
    <cellStyle name="40% - Ênfase6 123" xfId="3717"/>
    <cellStyle name="40% - Ênfase6 124" xfId="3718"/>
    <cellStyle name="40% - Ênfase6 125" xfId="3719"/>
    <cellStyle name="40% - Ênfase6 126" xfId="3720"/>
    <cellStyle name="40% - Ênfase6 127" xfId="3721"/>
    <cellStyle name="40% - Ênfase6 128" xfId="3722"/>
    <cellStyle name="40% - Ênfase6 129" xfId="3723"/>
    <cellStyle name="40% - Ênfase6 13" xfId="3724"/>
    <cellStyle name="40% - Ênfase6 13 2" xfId="40505"/>
    <cellStyle name="40% - Ênfase6 130" xfId="3725"/>
    <cellStyle name="40% - Ênfase6 131" xfId="3726"/>
    <cellStyle name="40% - Ênfase6 132" xfId="3727"/>
    <cellStyle name="40% - Ênfase6 133" xfId="3728"/>
    <cellStyle name="40% - Ênfase6 134" xfId="3729"/>
    <cellStyle name="40% - Ênfase6 135" xfId="3730"/>
    <cellStyle name="40% - Ênfase6 136" xfId="3731"/>
    <cellStyle name="40% - Ênfase6 137" xfId="3732"/>
    <cellStyle name="40% - Ênfase6 138" xfId="3733"/>
    <cellStyle name="40% - Ênfase6 139" xfId="3734"/>
    <cellStyle name="40% - Ênfase6 14" xfId="3735"/>
    <cellStyle name="40% - Ênfase6 140" xfId="3736"/>
    <cellStyle name="40% - Ênfase6 141" xfId="3737"/>
    <cellStyle name="40% - Ênfase6 142" xfId="3738"/>
    <cellStyle name="40% - Ênfase6 143" xfId="3739"/>
    <cellStyle name="40% - Ênfase6 144" xfId="3740"/>
    <cellStyle name="40% - Ênfase6 145" xfId="3741"/>
    <cellStyle name="40% - Ênfase6 146" xfId="3742"/>
    <cellStyle name="40% - Ênfase6 147" xfId="3743"/>
    <cellStyle name="40% - Ênfase6 148" xfId="3744"/>
    <cellStyle name="40% - Ênfase6 149" xfId="3745"/>
    <cellStyle name="40% - Ênfase6 15" xfId="3746"/>
    <cellStyle name="40% - Ênfase6 15 2" xfId="3747"/>
    <cellStyle name="40% - Ênfase6 15 3" xfId="3748"/>
    <cellStyle name="40% - Ênfase6 150" xfId="3749"/>
    <cellStyle name="40% - Ênfase6 151" xfId="3750"/>
    <cellStyle name="40% - Ênfase6 152" xfId="3751"/>
    <cellStyle name="40% - Ênfase6 153" xfId="3752"/>
    <cellStyle name="40% - Ênfase6 154" xfId="3753"/>
    <cellStyle name="40% - Ênfase6 155" xfId="3754"/>
    <cellStyle name="40% - Ênfase6 156" xfId="3755"/>
    <cellStyle name="40% - Ênfase6 157" xfId="3756"/>
    <cellStyle name="40% - Ênfase6 158" xfId="3757"/>
    <cellStyle name="40% - Ênfase6 159" xfId="3758"/>
    <cellStyle name="40% - Ênfase6 16" xfId="3759"/>
    <cellStyle name="40% - Ênfase6 16 2" xfId="3760"/>
    <cellStyle name="40% - Ênfase6 16 3" xfId="3761"/>
    <cellStyle name="40% - Ênfase6 160" xfId="3762"/>
    <cellStyle name="40% - Ênfase6 161" xfId="3763"/>
    <cellStyle name="40% - Ênfase6 162" xfId="3764"/>
    <cellStyle name="40% - Ênfase6 163" xfId="3765"/>
    <cellStyle name="40% - Ênfase6 164" xfId="3766"/>
    <cellStyle name="40% - Ênfase6 165" xfId="3767"/>
    <cellStyle name="40% - Ênfase6 166" xfId="3768"/>
    <cellStyle name="40% - Ênfase6 167" xfId="3769"/>
    <cellStyle name="40% - Ênfase6 168" xfId="3770"/>
    <cellStyle name="40% - Ênfase6 169" xfId="3771"/>
    <cellStyle name="40% - Ênfase6 17" xfId="3772"/>
    <cellStyle name="40% - Ênfase6 17 2" xfId="3773"/>
    <cellStyle name="40% - Ênfase6 17 3" xfId="3774"/>
    <cellStyle name="40% - Ênfase6 170" xfId="3775"/>
    <cellStyle name="40% - Ênfase6 171" xfId="3776"/>
    <cellStyle name="40% - Ênfase6 172" xfId="3777"/>
    <cellStyle name="40% - Ênfase6 173" xfId="3778"/>
    <cellStyle name="40% - Ênfase6 174" xfId="3779"/>
    <cellStyle name="40% - Ênfase6 175" xfId="3780"/>
    <cellStyle name="40% - Ênfase6 176" xfId="3781"/>
    <cellStyle name="40% - Ênfase6 177" xfId="3782"/>
    <cellStyle name="40% - Ênfase6 178" xfId="3783"/>
    <cellStyle name="40% - Ênfase6 179" xfId="3784"/>
    <cellStyle name="40% - Ênfase6 18" xfId="3785"/>
    <cellStyle name="40% - Ênfase6 18 2" xfId="3786"/>
    <cellStyle name="40% - Ênfase6 18 3" xfId="3787"/>
    <cellStyle name="40% - Ênfase6 180" xfId="3788"/>
    <cellStyle name="40% - Ênfase6 181" xfId="3789"/>
    <cellStyle name="40% - Ênfase6 182" xfId="3790"/>
    <cellStyle name="40% - Ênfase6 183" xfId="3791"/>
    <cellStyle name="40% - Ênfase6 184" xfId="3792"/>
    <cellStyle name="40% - Ênfase6 185" xfId="3793"/>
    <cellStyle name="40% - Ênfase6 186" xfId="3794"/>
    <cellStyle name="40% - Ênfase6 187" xfId="3795"/>
    <cellStyle name="40% - Ênfase6 188" xfId="3796"/>
    <cellStyle name="40% - Ênfase6 189" xfId="3797"/>
    <cellStyle name="40% - Ênfase6 19" xfId="3798"/>
    <cellStyle name="40% - Ênfase6 19 2" xfId="3799"/>
    <cellStyle name="40% - Ênfase6 19 3" xfId="3800"/>
    <cellStyle name="40% - Ênfase6 190" xfId="3801"/>
    <cellStyle name="40% - Ênfase6 2" xfId="3802"/>
    <cellStyle name="40% - Ênfase6 2 10" xfId="3803"/>
    <cellStyle name="40% - Ênfase6 2 10 2" xfId="3804"/>
    <cellStyle name="40% - Ênfase6 2 10 3" xfId="3805"/>
    <cellStyle name="40% - Ênfase6 2 10 4" xfId="3806"/>
    <cellStyle name="40% - Ênfase6 2 10 5" xfId="3807"/>
    <cellStyle name="40% - Ênfase6 2 10 6" xfId="3808"/>
    <cellStyle name="40% - Ênfase6 2 10 7" xfId="3809"/>
    <cellStyle name="40% - Ênfase6 2 11" xfId="3810"/>
    <cellStyle name="40% - Ênfase6 2 11 2" xfId="3811"/>
    <cellStyle name="40% - Ênfase6 2 11 3" xfId="3812"/>
    <cellStyle name="40% - Ênfase6 2 11 4" xfId="3813"/>
    <cellStyle name="40% - Ênfase6 2 11 5" xfId="3814"/>
    <cellStyle name="40% - Ênfase6 2 11 6" xfId="3815"/>
    <cellStyle name="40% - Ênfase6 2 11 7" xfId="3816"/>
    <cellStyle name="40% - Ênfase6 2 12" xfId="3817"/>
    <cellStyle name="40% - Ênfase6 2 13" xfId="3818"/>
    <cellStyle name="40% - Ênfase6 2 14" xfId="3819"/>
    <cellStyle name="40% - Ênfase6 2 15" xfId="3820"/>
    <cellStyle name="40% - Ênfase6 2 16" xfId="3821"/>
    <cellStyle name="40% - Ênfase6 2 17" xfId="3822"/>
    <cellStyle name="40% - Ênfase6 2 18" xfId="3823"/>
    <cellStyle name="40% - Ênfase6 2 19" xfId="3824"/>
    <cellStyle name="40% - Ênfase6 2 2" xfId="3825"/>
    <cellStyle name="40% - Ênfase6 2 20" xfId="3826"/>
    <cellStyle name="40% - Ênfase6 2 21" xfId="3827"/>
    <cellStyle name="40% - Ênfase6 2 22" xfId="3828"/>
    <cellStyle name="40% - Ênfase6 2 23" xfId="3829"/>
    <cellStyle name="40% - Ênfase6 2 24" xfId="3830"/>
    <cellStyle name="40% - Ênfase6 2 25" xfId="3831"/>
    <cellStyle name="40% - Ênfase6 2 26" xfId="3832"/>
    <cellStyle name="40% - Ênfase6 2 27" xfId="3833"/>
    <cellStyle name="40% - Ênfase6 2 28" xfId="3834"/>
    <cellStyle name="40% - Ênfase6 2 29" xfId="3835"/>
    <cellStyle name="40% - Ênfase6 2 3" xfId="3836"/>
    <cellStyle name="40% - Ênfase6 2 30" xfId="3837"/>
    <cellStyle name="40% - Ênfase6 2 31" xfId="3838"/>
    <cellStyle name="40% - Ênfase6 2 32" xfId="3839"/>
    <cellStyle name="40% - Ênfase6 2 33" xfId="3840"/>
    <cellStyle name="40% - Ênfase6 2 34" xfId="3841"/>
    <cellStyle name="40% - Ênfase6 2 35" xfId="3842"/>
    <cellStyle name="40% - Ênfase6 2 4" xfId="3843"/>
    <cellStyle name="40% - Ênfase6 2 5" xfId="3844"/>
    <cellStyle name="40% - Ênfase6 2 6" xfId="3845"/>
    <cellStyle name="40% - Ênfase6 2 7" xfId="3846"/>
    <cellStyle name="40% - Ênfase6 2 8" xfId="3847"/>
    <cellStyle name="40% - Ênfase6 2 8 2" xfId="3848"/>
    <cellStyle name="40% - Ênfase6 2 8 3" xfId="3849"/>
    <cellStyle name="40% - Ênfase6 2 8 4" xfId="3850"/>
    <cellStyle name="40% - Ênfase6 2 8 5" xfId="3851"/>
    <cellStyle name="40% - Ênfase6 2 8 6" xfId="3852"/>
    <cellStyle name="40% - Ênfase6 2 8 7" xfId="3853"/>
    <cellStyle name="40% - Ênfase6 2 9" xfId="3854"/>
    <cellStyle name="40% - Ênfase6 2 9 2" xfId="3855"/>
    <cellStyle name="40% - Ênfase6 2 9 3" xfId="3856"/>
    <cellStyle name="40% - Ênfase6 2 9 4" xfId="3857"/>
    <cellStyle name="40% - Ênfase6 2 9 5" xfId="3858"/>
    <cellStyle name="40% - Ênfase6 2 9 6" xfId="3859"/>
    <cellStyle name="40% - Ênfase6 2 9 7" xfId="3860"/>
    <cellStyle name="40% - Ênfase6 20" xfId="3861"/>
    <cellStyle name="40% - Ênfase6 20 2" xfId="3862"/>
    <cellStyle name="40% - Ênfase6 20 3" xfId="3863"/>
    <cellStyle name="40% - Ênfase6 21" xfId="3864"/>
    <cellStyle name="40% - Ênfase6 22" xfId="3865"/>
    <cellStyle name="40% - Ênfase6 23" xfId="3866"/>
    <cellStyle name="40% - Ênfase6 24" xfId="3867"/>
    <cellStyle name="40% - Ênfase6 24 2" xfId="40938"/>
    <cellStyle name="40% - Ênfase6 25" xfId="3868"/>
    <cellStyle name="40% - Ênfase6 25 2" xfId="40973"/>
    <cellStyle name="40% - Ênfase6 26" xfId="3869"/>
    <cellStyle name="40% - Ênfase6 26 10" xfId="3870"/>
    <cellStyle name="40% - Ênfase6 26 11" xfId="3871"/>
    <cellStyle name="40% - Ênfase6 26 12" xfId="3872"/>
    <cellStyle name="40% - Ênfase6 26 13" xfId="3873"/>
    <cellStyle name="40% - Ênfase6 26 14" xfId="3874"/>
    <cellStyle name="40% - Ênfase6 26 15" xfId="3875"/>
    <cellStyle name="40% - Ênfase6 26 16" xfId="3876"/>
    <cellStyle name="40% - Ênfase6 26 2" xfId="3877"/>
    <cellStyle name="40% - Ênfase6 26 3" xfId="3878"/>
    <cellStyle name="40% - Ênfase6 26 4" xfId="3879"/>
    <cellStyle name="40% - Ênfase6 26 5" xfId="3880"/>
    <cellStyle name="40% - Ênfase6 26 6" xfId="3881"/>
    <cellStyle name="40% - Ênfase6 26 7" xfId="3882"/>
    <cellStyle name="40% - Ênfase6 26 8" xfId="3883"/>
    <cellStyle name="40% - Ênfase6 26 9" xfId="3884"/>
    <cellStyle name="40% - Ênfase6 27" xfId="3885"/>
    <cellStyle name="40% - Ênfase6 27 10" xfId="3886"/>
    <cellStyle name="40% - Ênfase6 27 11" xfId="3887"/>
    <cellStyle name="40% - Ênfase6 27 12" xfId="3888"/>
    <cellStyle name="40% - Ênfase6 27 13" xfId="3889"/>
    <cellStyle name="40% - Ênfase6 27 14" xfId="3890"/>
    <cellStyle name="40% - Ênfase6 27 15" xfId="3891"/>
    <cellStyle name="40% - Ênfase6 27 16" xfId="3892"/>
    <cellStyle name="40% - Ênfase6 27 2" xfId="3893"/>
    <cellStyle name="40% - Ênfase6 27 3" xfId="3894"/>
    <cellStyle name="40% - Ênfase6 27 4" xfId="3895"/>
    <cellStyle name="40% - Ênfase6 27 5" xfId="3896"/>
    <cellStyle name="40% - Ênfase6 27 6" xfId="3897"/>
    <cellStyle name="40% - Ênfase6 27 7" xfId="3898"/>
    <cellStyle name="40% - Ênfase6 27 8" xfId="3899"/>
    <cellStyle name="40% - Ênfase6 27 9" xfId="3900"/>
    <cellStyle name="40% - Ênfase6 28" xfId="3901"/>
    <cellStyle name="40% - Ênfase6 28 10" xfId="3902"/>
    <cellStyle name="40% - Ênfase6 28 11" xfId="3903"/>
    <cellStyle name="40% - Ênfase6 28 12" xfId="3904"/>
    <cellStyle name="40% - Ênfase6 28 13" xfId="3905"/>
    <cellStyle name="40% - Ênfase6 28 14" xfId="3906"/>
    <cellStyle name="40% - Ênfase6 28 15" xfId="3907"/>
    <cellStyle name="40% - Ênfase6 28 16" xfId="3908"/>
    <cellStyle name="40% - Ênfase6 28 2" xfId="3909"/>
    <cellStyle name="40% - Ênfase6 28 3" xfId="3910"/>
    <cellStyle name="40% - Ênfase6 28 4" xfId="3911"/>
    <cellStyle name="40% - Ênfase6 28 5" xfId="3912"/>
    <cellStyle name="40% - Ênfase6 28 6" xfId="3913"/>
    <cellStyle name="40% - Ênfase6 28 7" xfId="3914"/>
    <cellStyle name="40% - Ênfase6 28 8" xfId="3915"/>
    <cellStyle name="40% - Ênfase6 28 9" xfId="3916"/>
    <cellStyle name="40% - Ênfase6 29" xfId="3917"/>
    <cellStyle name="40% - Ênfase6 29 10" xfId="3918"/>
    <cellStyle name="40% - Ênfase6 29 11" xfId="3919"/>
    <cellStyle name="40% - Ênfase6 29 12" xfId="3920"/>
    <cellStyle name="40% - Ênfase6 29 13" xfId="3921"/>
    <cellStyle name="40% - Ênfase6 29 14" xfId="3922"/>
    <cellStyle name="40% - Ênfase6 29 15" xfId="3923"/>
    <cellStyle name="40% - Ênfase6 29 16" xfId="3924"/>
    <cellStyle name="40% - Ênfase6 29 2" xfId="3925"/>
    <cellStyle name="40% - Ênfase6 29 3" xfId="3926"/>
    <cellStyle name="40% - Ênfase6 29 4" xfId="3927"/>
    <cellStyle name="40% - Ênfase6 29 5" xfId="3928"/>
    <cellStyle name="40% - Ênfase6 29 6" xfId="3929"/>
    <cellStyle name="40% - Ênfase6 29 7" xfId="3930"/>
    <cellStyle name="40% - Ênfase6 29 8" xfId="3931"/>
    <cellStyle name="40% - Ênfase6 29 9" xfId="3932"/>
    <cellStyle name="40% - Ênfase6 3" xfId="3933"/>
    <cellStyle name="40% - Ênfase6 3 10" xfId="3934"/>
    <cellStyle name="40% - Ênfase6 3 11" xfId="3935"/>
    <cellStyle name="40% - Ênfase6 3 2" xfId="3936"/>
    <cellStyle name="40% - Ênfase6 3 3" xfId="3937"/>
    <cellStyle name="40% - Ênfase6 3 4" xfId="3938"/>
    <cellStyle name="40% - Ênfase6 3 5" xfId="3939"/>
    <cellStyle name="40% - Ênfase6 3 6" xfId="3940"/>
    <cellStyle name="40% - Ênfase6 3 7" xfId="3941"/>
    <cellStyle name="40% - Ênfase6 3 8" xfId="3942"/>
    <cellStyle name="40% - Ênfase6 3 9" xfId="3943"/>
    <cellStyle name="40% - Ênfase6 30" xfId="3944"/>
    <cellStyle name="40% - Ênfase6 31" xfId="3945"/>
    <cellStyle name="40% - Ênfase6 32" xfId="3946"/>
    <cellStyle name="40% - Ênfase6 33" xfId="3947"/>
    <cellStyle name="40% - Ênfase6 34" xfId="3948"/>
    <cellStyle name="40% - Ênfase6 35" xfId="3949"/>
    <cellStyle name="40% - Ênfase6 36" xfId="3950"/>
    <cellStyle name="40% - Ênfase6 37" xfId="3951"/>
    <cellStyle name="40% - Ênfase6 38" xfId="3952"/>
    <cellStyle name="40% - Ênfase6 39" xfId="3953"/>
    <cellStyle name="40% - Ênfase6 4" xfId="3954"/>
    <cellStyle name="40% - Ênfase6 4 10" xfId="3955"/>
    <cellStyle name="40% - Ênfase6 4 11" xfId="3956"/>
    <cellStyle name="40% - Ênfase6 4 2" xfId="3957"/>
    <cellStyle name="40% - Ênfase6 4 3" xfId="3958"/>
    <cellStyle name="40% - Ênfase6 4 4" xfId="3959"/>
    <cellStyle name="40% - Ênfase6 4 5" xfId="3960"/>
    <cellStyle name="40% - Ênfase6 4 6" xfId="3961"/>
    <cellStyle name="40% - Ênfase6 4 7" xfId="3962"/>
    <cellStyle name="40% - Ênfase6 4 8" xfId="3963"/>
    <cellStyle name="40% - Ênfase6 4 9" xfId="3964"/>
    <cellStyle name="40% - Ênfase6 40" xfId="3965"/>
    <cellStyle name="40% - Ênfase6 41" xfId="3966"/>
    <cellStyle name="40% - Ênfase6 42" xfId="3967"/>
    <cellStyle name="40% - Ênfase6 43" xfId="3968"/>
    <cellStyle name="40% - Ênfase6 44" xfId="3969"/>
    <cellStyle name="40% - Ênfase6 45" xfId="3970"/>
    <cellStyle name="40% - Ênfase6 46" xfId="3971"/>
    <cellStyle name="40% - Ênfase6 47" xfId="3972"/>
    <cellStyle name="40% - Ênfase6 48" xfId="3973"/>
    <cellStyle name="40% - Ênfase6 49" xfId="3974"/>
    <cellStyle name="40% - Ênfase6 5" xfId="3975"/>
    <cellStyle name="40% - Ênfase6 5 2" xfId="3976"/>
    <cellStyle name="40% - Ênfase6 5 3" xfId="3977"/>
    <cellStyle name="40% - Ênfase6 5 4" xfId="3978"/>
    <cellStyle name="40% - Ênfase6 50" xfId="3979"/>
    <cellStyle name="40% - Ênfase6 51" xfId="3980"/>
    <cellStyle name="40% - Ênfase6 52" xfId="3981"/>
    <cellStyle name="40% - Ênfase6 53" xfId="3982"/>
    <cellStyle name="40% - Ênfase6 54" xfId="3983"/>
    <cellStyle name="40% - Ênfase6 55" xfId="3984"/>
    <cellStyle name="40% - Ênfase6 56" xfId="3985"/>
    <cellStyle name="40% - Ênfase6 57" xfId="3986"/>
    <cellStyle name="40% - Ênfase6 58" xfId="3987"/>
    <cellStyle name="40% - Ênfase6 59" xfId="3988"/>
    <cellStyle name="40% - Ênfase6 6" xfId="3989"/>
    <cellStyle name="40% - Ênfase6 6 2" xfId="3990"/>
    <cellStyle name="40% - Ênfase6 6 3" xfId="3991"/>
    <cellStyle name="40% - Ênfase6 6 4" xfId="3992"/>
    <cellStyle name="40% - Ênfase6 60" xfId="3993"/>
    <cellStyle name="40% - Ênfase6 61" xfId="3994"/>
    <cellStyle name="40% - Ênfase6 62" xfId="3995"/>
    <cellStyle name="40% - Ênfase6 63" xfId="3996"/>
    <cellStyle name="40% - Ênfase6 64" xfId="3997"/>
    <cellStyle name="40% - Ênfase6 65" xfId="3998"/>
    <cellStyle name="40% - Ênfase6 66" xfId="3999"/>
    <cellStyle name="40% - Ênfase6 67" xfId="4000"/>
    <cellStyle name="40% - Ênfase6 68" xfId="4001"/>
    <cellStyle name="40% - Ênfase6 69" xfId="4002"/>
    <cellStyle name="40% - Ênfase6 7" xfId="4003"/>
    <cellStyle name="40% - Ênfase6 7 2" xfId="4004"/>
    <cellStyle name="40% - Ênfase6 7 3" xfId="4005"/>
    <cellStyle name="40% - Ênfase6 7 4" xfId="4006"/>
    <cellStyle name="40% - Ênfase6 70" xfId="4007"/>
    <cellStyle name="40% - Ênfase6 71" xfId="4008"/>
    <cellStyle name="40% - Ênfase6 72" xfId="4009"/>
    <cellStyle name="40% - Ênfase6 73" xfId="4010"/>
    <cellStyle name="40% - Ênfase6 74" xfId="4011"/>
    <cellStyle name="40% - Ênfase6 75" xfId="4012"/>
    <cellStyle name="40% - Ênfase6 76" xfId="4013"/>
    <cellStyle name="40% - Ênfase6 77" xfId="4014"/>
    <cellStyle name="40% - Ênfase6 78" xfId="4015"/>
    <cellStyle name="40% - Ênfase6 79" xfId="4016"/>
    <cellStyle name="40% - Ênfase6 8" xfId="4017"/>
    <cellStyle name="40% - Ênfase6 8 2" xfId="4018"/>
    <cellStyle name="40% - Ênfase6 8 3" xfId="4019"/>
    <cellStyle name="40% - Ênfase6 8 4" xfId="4020"/>
    <cellStyle name="40% - Ênfase6 80" xfId="4021"/>
    <cellStyle name="40% - Ênfase6 81" xfId="4022"/>
    <cellStyle name="40% - Ênfase6 82" xfId="4023"/>
    <cellStyle name="40% - Ênfase6 83" xfId="4024"/>
    <cellStyle name="40% - Ênfase6 84" xfId="4025"/>
    <cellStyle name="40% - Ênfase6 85" xfId="4026"/>
    <cellStyle name="40% - Ênfase6 86" xfId="4027"/>
    <cellStyle name="40% - Ênfase6 87" xfId="4028"/>
    <cellStyle name="40% - Ênfase6 88" xfId="4029"/>
    <cellStyle name="40% - Ênfase6 89" xfId="4030"/>
    <cellStyle name="40% - Ênfase6 9" xfId="4031"/>
    <cellStyle name="40% - Ênfase6 90" xfId="4032"/>
    <cellStyle name="40% - Ênfase6 91" xfId="4033"/>
    <cellStyle name="40% - Ênfase6 92" xfId="4034"/>
    <cellStyle name="40% - Ênfase6 93" xfId="4035"/>
    <cellStyle name="40% - Ênfase6 94" xfId="4036"/>
    <cellStyle name="40% - Ênfase6 95" xfId="4037"/>
    <cellStyle name="40% - Ênfase6 96" xfId="4038"/>
    <cellStyle name="40% - Ênfase6 97" xfId="4039"/>
    <cellStyle name="40% - Ênfase6 98" xfId="4040"/>
    <cellStyle name="40% - Ênfase6 99" xfId="4041"/>
    <cellStyle name="60% - Ênfase1 10" xfId="4042"/>
    <cellStyle name="60% - Ênfase1 10 2" xfId="40506"/>
    <cellStyle name="60% - Ênfase1 100" xfId="4043"/>
    <cellStyle name="60% - Ênfase1 101" xfId="4044"/>
    <cellStyle name="60% - Ênfase1 102" xfId="4045"/>
    <cellStyle name="60% - Ênfase1 103" xfId="4046"/>
    <cellStyle name="60% - Ênfase1 104" xfId="4047"/>
    <cellStyle name="60% - Ênfase1 105" xfId="4048"/>
    <cellStyle name="60% - Ênfase1 106" xfId="4049"/>
    <cellStyle name="60% - Ênfase1 107" xfId="4050"/>
    <cellStyle name="60% - Ênfase1 108" xfId="4051"/>
    <cellStyle name="60% - Ênfase1 109" xfId="4052"/>
    <cellStyle name="60% - Ênfase1 11" xfId="4053"/>
    <cellStyle name="60% - Ênfase1 11 2" xfId="40507"/>
    <cellStyle name="60% - Ênfase1 110" xfId="4054"/>
    <cellStyle name="60% - Ênfase1 111" xfId="4055"/>
    <cellStyle name="60% - Ênfase1 112" xfId="4056"/>
    <cellStyle name="60% - Ênfase1 113" xfId="4057"/>
    <cellStyle name="60% - Ênfase1 114" xfId="4058"/>
    <cellStyle name="60% - Ênfase1 115" xfId="4059"/>
    <cellStyle name="60% - Ênfase1 116" xfId="4060"/>
    <cellStyle name="60% - Ênfase1 117" xfId="4061"/>
    <cellStyle name="60% - Ênfase1 118" xfId="4062"/>
    <cellStyle name="60% - Ênfase1 119" xfId="4063"/>
    <cellStyle name="60% - Ênfase1 12" xfId="4064"/>
    <cellStyle name="60% - Ênfase1 12 2" xfId="40508"/>
    <cellStyle name="60% - Ênfase1 120" xfId="4065"/>
    <cellStyle name="60% - Ênfase1 121" xfId="4066"/>
    <cellStyle name="60% - Ênfase1 122" xfId="4067"/>
    <cellStyle name="60% - Ênfase1 123" xfId="4068"/>
    <cellStyle name="60% - Ênfase1 124" xfId="4069"/>
    <cellStyle name="60% - Ênfase1 125" xfId="4070"/>
    <cellStyle name="60% - Ênfase1 126" xfId="4071"/>
    <cellStyle name="60% - Ênfase1 127" xfId="4072"/>
    <cellStyle name="60% - Ênfase1 128" xfId="4073"/>
    <cellStyle name="60% - Ênfase1 129" xfId="4074"/>
    <cellStyle name="60% - Ênfase1 13" xfId="4075"/>
    <cellStyle name="60% - Ênfase1 13 2" xfId="40509"/>
    <cellStyle name="60% - Ênfase1 130" xfId="4076"/>
    <cellStyle name="60% - Ênfase1 131" xfId="4077"/>
    <cellStyle name="60% - Ênfase1 132" xfId="4078"/>
    <cellStyle name="60% - Ênfase1 133" xfId="4079"/>
    <cellStyle name="60% - Ênfase1 134" xfId="4080"/>
    <cellStyle name="60% - Ênfase1 135" xfId="4081"/>
    <cellStyle name="60% - Ênfase1 136" xfId="4082"/>
    <cellStyle name="60% - Ênfase1 137" xfId="4083"/>
    <cellStyle name="60% - Ênfase1 138" xfId="4084"/>
    <cellStyle name="60% - Ênfase1 139" xfId="4085"/>
    <cellStyle name="60% - Ênfase1 14" xfId="4086"/>
    <cellStyle name="60% - Ênfase1 140" xfId="4087"/>
    <cellStyle name="60% - Ênfase1 141" xfId="4088"/>
    <cellStyle name="60% - Ênfase1 142" xfId="4089"/>
    <cellStyle name="60% - Ênfase1 143" xfId="4090"/>
    <cellStyle name="60% - Ênfase1 144" xfId="4091"/>
    <cellStyle name="60% - Ênfase1 145" xfId="4092"/>
    <cellStyle name="60% - Ênfase1 146" xfId="4093"/>
    <cellStyle name="60% - Ênfase1 147" xfId="4094"/>
    <cellStyle name="60% - Ênfase1 148" xfId="4095"/>
    <cellStyle name="60% - Ênfase1 149" xfId="4096"/>
    <cellStyle name="60% - Ênfase1 15" xfId="4097"/>
    <cellStyle name="60% - Ênfase1 15 2" xfId="4098"/>
    <cellStyle name="60% - Ênfase1 15 3" xfId="4099"/>
    <cellStyle name="60% - Ênfase1 150" xfId="4100"/>
    <cellStyle name="60% - Ênfase1 151" xfId="4101"/>
    <cellStyle name="60% - Ênfase1 152" xfId="4102"/>
    <cellStyle name="60% - Ênfase1 153" xfId="4103"/>
    <cellStyle name="60% - Ênfase1 154" xfId="4104"/>
    <cellStyle name="60% - Ênfase1 155" xfId="4105"/>
    <cellStyle name="60% - Ênfase1 156" xfId="4106"/>
    <cellStyle name="60% - Ênfase1 157" xfId="4107"/>
    <cellStyle name="60% - Ênfase1 158" xfId="4108"/>
    <cellStyle name="60% - Ênfase1 159" xfId="4109"/>
    <cellStyle name="60% - Ênfase1 16" xfId="4110"/>
    <cellStyle name="60% - Ênfase1 16 2" xfId="4111"/>
    <cellStyle name="60% - Ênfase1 16 3" xfId="4112"/>
    <cellStyle name="60% - Ênfase1 160" xfId="4113"/>
    <cellStyle name="60% - Ênfase1 161" xfId="4114"/>
    <cellStyle name="60% - Ênfase1 162" xfId="4115"/>
    <cellStyle name="60% - Ênfase1 163" xfId="4116"/>
    <cellStyle name="60% - Ênfase1 164" xfId="4117"/>
    <cellStyle name="60% - Ênfase1 165" xfId="4118"/>
    <cellStyle name="60% - Ênfase1 166" xfId="4119"/>
    <cellStyle name="60% - Ênfase1 167" xfId="4120"/>
    <cellStyle name="60% - Ênfase1 168" xfId="4121"/>
    <cellStyle name="60% - Ênfase1 169" xfId="4122"/>
    <cellStyle name="60% - Ênfase1 17" xfId="4123"/>
    <cellStyle name="60% - Ênfase1 17 2" xfId="4124"/>
    <cellStyle name="60% - Ênfase1 17 3" xfId="4125"/>
    <cellStyle name="60% - Ênfase1 170" xfId="4126"/>
    <cellStyle name="60% - Ênfase1 171" xfId="4127"/>
    <cellStyle name="60% - Ênfase1 172" xfId="4128"/>
    <cellStyle name="60% - Ênfase1 173" xfId="4129"/>
    <cellStyle name="60% - Ênfase1 174" xfId="4130"/>
    <cellStyle name="60% - Ênfase1 175" xfId="4131"/>
    <cellStyle name="60% - Ênfase1 176" xfId="4132"/>
    <cellStyle name="60% - Ênfase1 177" xfId="4133"/>
    <cellStyle name="60% - Ênfase1 178" xfId="4134"/>
    <cellStyle name="60% - Ênfase1 179" xfId="4135"/>
    <cellStyle name="60% - Ênfase1 18" xfId="4136"/>
    <cellStyle name="60% - Ênfase1 18 2" xfId="4137"/>
    <cellStyle name="60% - Ênfase1 18 3" xfId="4138"/>
    <cellStyle name="60% - Ênfase1 180" xfId="4139"/>
    <cellStyle name="60% - Ênfase1 181" xfId="4140"/>
    <cellStyle name="60% - Ênfase1 182" xfId="4141"/>
    <cellStyle name="60% - Ênfase1 183" xfId="4142"/>
    <cellStyle name="60% - Ênfase1 184" xfId="4143"/>
    <cellStyle name="60% - Ênfase1 185" xfId="4144"/>
    <cellStyle name="60% - Ênfase1 186" xfId="4145"/>
    <cellStyle name="60% - Ênfase1 187" xfId="4146"/>
    <cellStyle name="60% - Ênfase1 188" xfId="4147"/>
    <cellStyle name="60% - Ênfase1 189" xfId="4148"/>
    <cellStyle name="60% - Ênfase1 19" xfId="4149"/>
    <cellStyle name="60% - Ênfase1 19 2" xfId="4150"/>
    <cellStyle name="60% - Ênfase1 19 3" xfId="4151"/>
    <cellStyle name="60% - Ênfase1 190" xfId="4152"/>
    <cellStyle name="60% - Ênfase1 2" xfId="4153"/>
    <cellStyle name="60% - Ênfase1 2 10" xfId="4154"/>
    <cellStyle name="60% - Ênfase1 2 10 2" xfId="4155"/>
    <cellStyle name="60% - Ênfase1 2 10 3" xfId="4156"/>
    <cellStyle name="60% - Ênfase1 2 10 4" xfId="4157"/>
    <cellStyle name="60% - Ênfase1 2 10 5" xfId="4158"/>
    <cellStyle name="60% - Ênfase1 2 10 6" xfId="4159"/>
    <cellStyle name="60% - Ênfase1 2 10 7" xfId="4160"/>
    <cellStyle name="60% - Ênfase1 2 11" xfId="4161"/>
    <cellStyle name="60% - Ênfase1 2 11 2" xfId="4162"/>
    <cellStyle name="60% - Ênfase1 2 11 3" xfId="4163"/>
    <cellStyle name="60% - Ênfase1 2 11 4" xfId="4164"/>
    <cellStyle name="60% - Ênfase1 2 11 5" xfId="4165"/>
    <cellStyle name="60% - Ênfase1 2 11 6" xfId="4166"/>
    <cellStyle name="60% - Ênfase1 2 11 7" xfId="4167"/>
    <cellStyle name="60% - Ênfase1 2 12" xfId="4168"/>
    <cellStyle name="60% - Ênfase1 2 13" xfId="4169"/>
    <cellStyle name="60% - Ênfase1 2 14" xfId="4170"/>
    <cellStyle name="60% - Ênfase1 2 15" xfId="4171"/>
    <cellStyle name="60% - Ênfase1 2 16" xfId="4172"/>
    <cellStyle name="60% - Ênfase1 2 17" xfId="4173"/>
    <cellStyle name="60% - Ênfase1 2 18" xfId="4174"/>
    <cellStyle name="60% - Ênfase1 2 19" xfId="4175"/>
    <cellStyle name="60% - Ênfase1 2 2" xfId="4176"/>
    <cellStyle name="60% - Ênfase1 2 20" xfId="4177"/>
    <cellStyle name="60% - Ênfase1 2 21" xfId="4178"/>
    <cellStyle name="60% - Ênfase1 2 22" xfId="4179"/>
    <cellStyle name="60% - Ênfase1 2 23" xfId="4180"/>
    <cellStyle name="60% - Ênfase1 2 24" xfId="4181"/>
    <cellStyle name="60% - Ênfase1 2 25" xfId="4182"/>
    <cellStyle name="60% - Ênfase1 2 26" xfId="4183"/>
    <cellStyle name="60% - Ênfase1 2 27" xfId="4184"/>
    <cellStyle name="60% - Ênfase1 2 28" xfId="4185"/>
    <cellStyle name="60% - Ênfase1 2 29" xfId="4186"/>
    <cellStyle name="60% - Ênfase1 2 3" xfId="4187"/>
    <cellStyle name="60% - Ênfase1 2 30" xfId="4188"/>
    <cellStyle name="60% - Ênfase1 2 31" xfId="4189"/>
    <cellStyle name="60% - Ênfase1 2 32" xfId="4190"/>
    <cellStyle name="60% - Ênfase1 2 33" xfId="4191"/>
    <cellStyle name="60% - Ênfase1 2 34" xfId="4192"/>
    <cellStyle name="60% - Ênfase1 2 35" xfId="4193"/>
    <cellStyle name="60% - Ênfase1 2 4" xfId="4194"/>
    <cellStyle name="60% - Ênfase1 2 5" xfId="4195"/>
    <cellStyle name="60% - Ênfase1 2 6" xfId="4196"/>
    <cellStyle name="60% - Ênfase1 2 7" xfId="4197"/>
    <cellStyle name="60% - Ênfase1 2 8" xfId="4198"/>
    <cellStyle name="60% - Ênfase1 2 8 2" xfId="4199"/>
    <cellStyle name="60% - Ênfase1 2 8 3" xfId="4200"/>
    <cellStyle name="60% - Ênfase1 2 8 4" xfId="4201"/>
    <cellStyle name="60% - Ênfase1 2 8 5" xfId="4202"/>
    <cellStyle name="60% - Ênfase1 2 8 6" xfId="4203"/>
    <cellStyle name="60% - Ênfase1 2 8 7" xfId="4204"/>
    <cellStyle name="60% - Ênfase1 2 9" xfId="4205"/>
    <cellStyle name="60% - Ênfase1 2 9 2" xfId="4206"/>
    <cellStyle name="60% - Ênfase1 2 9 3" xfId="4207"/>
    <cellStyle name="60% - Ênfase1 2 9 4" xfId="4208"/>
    <cellStyle name="60% - Ênfase1 2 9 5" xfId="4209"/>
    <cellStyle name="60% - Ênfase1 2 9 6" xfId="4210"/>
    <cellStyle name="60% - Ênfase1 2 9 7" xfId="4211"/>
    <cellStyle name="60% - Ênfase1 20" xfId="4212"/>
    <cellStyle name="60% - Ênfase1 20 2" xfId="4213"/>
    <cellStyle name="60% - Ênfase1 20 3" xfId="4214"/>
    <cellStyle name="60% - Ênfase1 21" xfId="4215"/>
    <cellStyle name="60% - Ênfase1 22" xfId="4216"/>
    <cellStyle name="60% - Ênfase1 23" xfId="4217"/>
    <cellStyle name="60% - Ênfase1 24" xfId="4218"/>
    <cellStyle name="60% - Ênfase1 24 2" xfId="40939"/>
    <cellStyle name="60% - Ênfase1 25" xfId="4219"/>
    <cellStyle name="60% - Ênfase1 25 2" xfId="40974"/>
    <cellStyle name="60% - Ênfase1 26" xfId="4220"/>
    <cellStyle name="60% - Ênfase1 26 10" xfId="4221"/>
    <cellStyle name="60% - Ênfase1 26 11" xfId="4222"/>
    <cellStyle name="60% - Ênfase1 26 12" xfId="4223"/>
    <cellStyle name="60% - Ênfase1 26 13" xfId="4224"/>
    <cellStyle name="60% - Ênfase1 26 14" xfId="4225"/>
    <cellStyle name="60% - Ênfase1 26 15" xfId="4226"/>
    <cellStyle name="60% - Ênfase1 26 16" xfId="4227"/>
    <cellStyle name="60% - Ênfase1 26 2" xfId="4228"/>
    <cellStyle name="60% - Ênfase1 26 3" xfId="4229"/>
    <cellStyle name="60% - Ênfase1 26 4" xfId="4230"/>
    <cellStyle name="60% - Ênfase1 26 5" xfId="4231"/>
    <cellStyle name="60% - Ênfase1 26 6" xfId="4232"/>
    <cellStyle name="60% - Ênfase1 26 7" xfId="4233"/>
    <cellStyle name="60% - Ênfase1 26 8" xfId="4234"/>
    <cellStyle name="60% - Ênfase1 26 9" xfId="4235"/>
    <cellStyle name="60% - Ênfase1 27" xfId="4236"/>
    <cellStyle name="60% - Ênfase1 27 10" xfId="4237"/>
    <cellStyle name="60% - Ênfase1 27 11" xfId="4238"/>
    <cellStyle name="60% - Ênfase1 27 12" xfId="4239"/>
    <cellStyle name="60% - Ênfase1 27 13" xfId="4240"/>
    <cellStyle name="60% - Ênfase1 27 14" xfId="4241"/>
    <cellStyle name="60% - Ênfase1 27 15" xfId="4242"/>
    <cellStyle name="60% - Ênfase1 27 16" xfId="4243"/>
    <cellStyle name="60% - Ênfase1 27 2" xfId="4244"/>
    <cellStyle name="60% - Ênfase1 27 3" xfId="4245"/>
    <cellStyle name="60% - Ênfase1 27 4" xfId="4246"/>
    <cellStyle name="60% - Ênfase1 27 5" xfId="4247"/>
    <cellStyle name="60% - Ênfase1 27 6" xfId="4248"/>
    <cellStyle name="60% - Ênfase1 27 7" xfId="4249"/>
    <cellStyle name="60% - Ênfase1 27 8" xfId="4250"/>
    <cellStyle name="60% - Ênfase1 27 9" xfId="4251"/>
    <cellStyle name="60% - Ênfase1 28" xfId="4252"/>
    <cellStyle name="60% - Ênfase1 28 10" xfId="4253"/>
    <cellStyle name="60% - Ênfase1 28 11" xfId="4254"/>
    <cellStyle name="60% - Ênfase1 28 12" xfId="4255"/>
    <cellStyle name="60% - Ênfase1 28 13" xfId="4256"/>
    <cellStyle name="60% - Ênfase1 28 14" xfId="4257"/>
    <cellStyle name="60% - Ênfase1 28 15" xfId="4258"/>
    <cellStyle name="60% - Ênfase1 28 16" xfId="4259"/>
    <cellStyle name="60% - Ênfase1 28 2" xfId="4260"/>
    <cellStyle name="60% - Ênfase1 28 3" xfId="4261"/>
    <cellStyle name="60% - Ênfase1 28 4" xfId="4262"/>
    <cellStyle name="60% - Ênfase1 28 5" xfId="4263"/>
    <cellStyle name="60% - Ênfase1 28 6" xfId="4264"/>
    <cellStyle name="60% - Ênfase1 28 7" xfId="4265"/>
    <cellStyle name="60% - Ênfase1 28 8" xfId="4266"/>
    <cellStyle name="60% - Ênfase1 28 9" xfId="4267"/>
    <cellStyle name="60% - Ênfase1 29" xfId="4268"/>
    <cellStyle name="60% - Ênfase1 29 10" xfId="4269"/>
    <cellStyle name="60% - Ênfase1 29 11" xfId="4270"/>
    <cellStyle name="60% - Ênfase1 29 12" xfId="4271"/>
    <cellStyle name="60% - Ênfase1 29 13" xfId="4272"/>
    <cellStyle name="60% - Ênfase1 29 14" xfId="4273"/>
    <cellStyle name="60% - Ênfase1 29 15" xfId="4274"/>
    <cellStyle name="60% - Ênfase1 29 16" xfId="4275"/>
    <cellStyle name="60% - Ênfase1 29 2" xfId="4276"/>
    <cellStyle name="60% - Ênfase1 29 3" xfId="4277"/>
    <cellStyle name="60% - Ênfase1 29 4" xfId="4278"/>
    <cellStyle name="60% - Ênfase1 29 5" xfId="4279"/>
    <cellStyle name="60% - Ênfase1 29 6" xfId="4280"/>
    <cellStyle name="60% - Ênfase1 29 7" xfId="4281"/>
    <cellStyle name="60% - Ênfase1 29 8" xfId="4282"/>
    <cellStyle name="60% - Ênfase1 29 9" xfId="4283"/>
    <cellStyle name="60% - Ênfase1 3" xfId="4284"/>
    <cellStyle name="60% - Ênfase1 3 10" xfId="4285"/>
    <cellStyle name="60% - Ênfase1 3 11" xfId="4286"/>
    <cellStyle name="60% - Ênfase1 3 2" xfId="4287"/>
    <cellStyle name="60% - Ênfase1 3 3" xfId="4288"/>
    <cellStyle name="60% - Ênfase1 3 4" xfId="4289"/>
    <cellStyle name="60% - Ênfase1 3 5" xfId="4290"/>
    <cellStyle name="60% - Ênfase1 3 6" xfId="4291"/>
    <cellStyle name="60% - Ênfase1 3 7" xfId="4292"/>
    <cellStyle name="60% - Ênfase1 3 8" xfId="4293"/>
    <cellStyle name="60% - Ênfase1 3 9" xfId="4294"/>
    <cellStyle name="60% - Ênfase1 30" xfId="4295"/>
    <cellStyle name="60% - Ênfase1 31" xfId="4296"/>
    <cellStyle name="60% - Ênfase1 32" xfId="4297"/>
    <cellStyle name="60% - Ênfase1 33" xfId="4298"/>
    <cellStyle name="60% - Ênfase1 34" xfId="4299"/>
    <cellStyle name="60% - Ênfase1 35" xfId="4300"/>
    <cellStyle name="60% - Ênfase1 36" xfId="4301"/>
    <cellStyle name="60% - Ênfase1 37" xfId="4302"/>
    <cellStyle name="60% - Ênfase1 38" xfId="4303"/>
    <cellStyle name="60% - Ênfase1 39" xfId="4304"/>
    <cellStyle name="60% - Ênfase1 4" xfId="4305"/>
    <cellStyle name="60% - Ênfase1 4 10" xfId="4306"/>
    <cellStyle name="60% - Ênfase1 4 11" xfId="4307"/>
    <cellStyle name="60% - Ênfase1 4 2" xfId="4308"/>
    <cellStyle name="60% - Ênfase1 4 3" xfId="4309"/>
    <cellStyle name="60% - Ênfase1 4 4" xfId="4310"/>
    <cellStyle name="60% - Ênfase1 4 5" xfId="4311"/>
    <cellStyle name="60% - Ênfase1 4 6" xfId="4312"/>
    <cellStyle name="60% - Ênfase1 4 7" xfId="4313"/>
    <cellStyle name="60% - Ênfase1 4 8" xfId="4314"/>
    <cellStyle name="60% - Ênfase1 4 9" xfId="4315"/>
    <cellStyle name="60% - Ênfase1 40" xfId="4316"/>
    <cellStyle name="60% - Ênfase1 41" xfId="4317"/>
    <cellStyle name="60% - Ênfase1 42" xfId="4318"/>
    <cellStyle name="60% - Ênfase1 43" xfId="4319"/>
    <cellStyle name="60% - Ênfase1 44" xfId="4320"/>
    <cellStyle name="60% - Ênfase1 45" xfId="4321"/>
    <cellStyle name="60% - Ênfase1 46" xfId="4322"/>
    <cellStyle name="60% - Ênfase1 47" xfId="4323"/>
    <cellStyle name="60% - Ênfase1 48" xfId="4324"/>
    <cellStyle name="60% - Ênfase1 49" xfId="4325"/>
    <cellStyle name="60% - Ênfase1 5" xfId="4326"/>
    <cellStyle name="60% - Ênfase1 5 2" xfId="4327"/>
    <cellStyle name="60% - Ênfase1 5 3" xfId="4328"/>
    <cellStyle name="60% - Ênfase1 5 4" xfId="4329"/>
    <cellStyle name="60% - Ênfase1 50" xfId="4330"/>
    <cellStyle name="60% - Ênfase1 51" xfId="4331"/>
    <cellStyle name="60% - Ênfase1 52" xfId="4332"/>
    <cellStyle name="60% - Ênfase1 53" xfId="4333"/>
    <cellStyle name="60% - Ênfase1 54" xfId="4334"/>
    <cellStyle name="60% - Ênfase1 55" xfId="4335"/>
    <cellStyle name="60% - Ênfase1 56" xfId="4336"/>
    <cellStyle name="60% - Ênfase1 57" xfId="4337"/>
    <cellStyle name="60% - Ênfase1 58" xfId="4338"/>
    <cellStyle name="60% - Ênfase1 59" xfId="4339"/>
    <cellStyle name="60% - Ênfase1 6" xfId="4340"/>
    <cellStyle name="60% - Ênfase1 6 2" xfId="4341"/>
    <cellStyle name="60% - Ênfase1 6 3" xfId="4342"/>
    <cellStyle name="60% - Ênfase1 6 4" xfId="4343"/>
    <cellStyle name="60% - Ênfase1 60" xfId="4344"/>
    <cellStyle name="60% - Ênfase1 61" xfId="4345"/>
    <cellStyle name="60% - Ênfase1 62" xfId="4346"/>
    <cellStyle name="60% - Ênfase1 63" xfId="4347"/>
    <cellStyle name="60% - Ênfase1 64" xfId="4348"/>
    <cellStyle name="60% - Ênfase1 65" xfId="4349"/>
    <cellStyle name="60% - Ênfase1 66" xfId="4350"/>
    <cellStyle name="60% - Ênfase1 67" xfId="4351"/>
    <cellStyle name="60% - Ênfase1 68" xfId="4352"/>
    <cellStyle name="60% - Ênfase1 69" xfId="4353"/>
    <cellStyle name="60% - Ênfase1 7" xfId="4354"/>
    <cellStyle name="60% - Ênfase1 7 2" xfId="4355"/>
    <cellStyle name="60% - Ênfase1 7 3" xfId="4356"/>
    <cellStyle name="60% - Ênfase1 7 4" xfId="4357"/>
    <cellStyle name="60% - Ênfase1 70" xfId="4358"/>
    <cellStyle name="60% - Ênfase1 71" xfId="4359"/>
    <cellStyle name="60% - Ênfase1 72" xfId="4360"/>
    <cellStyle name="60% - Ênfase1 73" xfId="4361"/>
    <cellStyle name="60% - Ênfase1 74" xfId="4362"/>
    <cellStyle name="60% - Ênfase1 75" xfId="4363"/>
    <cellStyle name="60% - Ênfase1 76" xfId="4364"/>
    <cellStyle name="60% - Ênfase1 77" xfId="4365"/>
    <cellStyle name="60% - Ênfase1 78" xfId="4366"/>
    <cellStyle name="60% - Ênfase1 79" xfId="4367"/>
    <cellStyle name="60% - Ênfase1 8" xfId="4368"/>
    <cellStyle name="60% - Ênfase1 8 2" xfId="4369"/>
    <cellStyle name="60% - Ênfase1 8 3" xfId="4370"/>
    <cellStyle name="60% - Ênfase1 8 4" xfId="4371"/>
    <cellStyle name="60% - Ênfase1 80" xfId="4372"/>
    <cellStyle name="60% - Ênfase1 81" xfId="4373"/>
    <cellStyle name="60% - Ênfase1 82" xfId="4374"/>
    <cellStyle name="60% - Ênfase1 83" xfId="4375"/>
    <cellStyle name="60% - Ênfase1 84" xfId="4376"/>
    <cellStyle name="60% - Ênfase1 85" xfId="4377"/>
    <cellStyle name="60% - Ênfase1 86" xfId="4378"/>
    <cellStyle name="60% - Ênfase1 87" xfId="4379"/>
    <cellStyle name="60% - Ênfase1 88" xfId="4380"/>
    <cellStyle name="60% - Ênfase1 89" xfId="4381"/>
    <cellStyle name="60% - Ênfase1 9" xfId="4382"/>
    <cellStyle name="60% - Ênfase1 90" xfId="4383"/>
    <cellStyle name="60% - Ênfase1 91" xfId="4384"/>
    <cellStyle name="60% - Ênfase1 92" xfId="4385"/>
    <cellStyle name="60% - Ênfase1 93" xfId="4386"/>
    <cellStyle name="60% - Ênfase1 94" xfId="4387"/>
    <cellStyle name="60% - Ênfase1 95" xfId="4388"/>
    <cellStyle name="60% - Ênfase1 96" xfId="4389"/>
    <cellStyle name="60% - Ênfase1 97" xfId="4390"/>
    <cellStyle name="60% - Ênfase1 98" xfId="4391"/>
    <cellStyle name="60% - Ênfase1 99" xfId="4392"/>
    <cellStyle name="60% - Ênfase2 10" xfId="4393"/>
    <cellStyle name="60% - Ênfase2 10 2" xfId="40510"/>
    <cellStyle name="60% - Ênfase2 100" xfId="4394"/>
    <cellStyle name="60% - Ênfase2 101" xfId="4395"/>
    <cellStyle name="60% - Ênfase2 102" xfId="4396"/>
    <cellStyle name="60% - Ênfase2 103" xfId="4397"/>
    <cellStyle name="60% - Ênfase2 104" xfId="4398"/>
    <cellStyle name="60% - Ênfase2 105" xfId="4399"/>
    <cellStyle name="60% - Ênfase2 106" xfId="4400"/>
    <cellStyle name="60% - Ênfase2 107" xfId="4401"/>
    <cellStyle name="60% - Ênfase2 108" xfId="4402"/>
    <cellStyle name="60% - Ênfase2 109" xfId="4403"/>
    <cellStyle name="60% - Ênfase2 11" xfId="4404"/>
    <cellStyle name="60% - Ênfase2 11 2" xfId="40511"/>
    <cellStyle name="60% - Ênfase2 110" xfId="4405"/>
    <cellStyle name="60% - Ênfase2 111" xfId="4406"/>
    <cellStyle name="60% - Ênfase2 112" xfId="4407"/>
    <cellStyle name="60% - Ênfase2 113" xfId="4408"/>
    <cellStyle name="60% - Ênfase2 114" xfId="4409"/>
    <cellStyle name="60% - Ênfase2 115" xfId="4410"/>
    <cellStyle name="60% - Ênfase2 116" xfId="4411"/>
    <cellStyle name="60% - Ênfase2 117" xfId="4412"/>
    <cellStyle name="60% - Ênfase2 118" xfId="4413"/>
    <cellStyle name="60% - Ênfase2 119" xfId="4414"/>
    <cellStyle name="60% - Ênfase2 12" xfId="4415"/>
    <cellStyle name="60% - Ênfase2 12 2" xfId="40512"/>
    <cellStyle name="60% - Ênfase2 120" xfId="4416"/>
    <cellStyle name="60% - Ênfase2 121" xfId="4417"/>
    <cellStyle name="60% - Ênfase2 122" xfId="4418"/>
    <cellStyle name="60% - Ênfase2 123" xfId="4419"/>
    <cellStyle name="60% - Ênfase2 124" xfId="4420"/>
    <cellStyle name="60% - Ênfase2 125" xfId="4421"/>
    <cellStyle name="60% - Ênfase2 126" xfId="4422"/>
    <cellStyle name="60% - Ênfase2 127" xfId="4423"/>
    <cellStyle name="60% - Ênfase2 128" xfId="4424"/>
    <cellStyle name="60% - Ênfase2 129" xfId="4425"/>
    <cellStyle name="60% - Ênfase2 13" xfId="4426"/>
    <cellStyle name="60% - Ênfase2 13 2" xfId="40513"/>
    <cellStyle name="60% - Ênfase2 130" xfId="4427"/>
    <cellStyle name="60% - Ênfase2 131" xfId="4428"/>
    <cellStyle name="60% - Ênfase2 132" xfId="4429"/>
    <cellStyle name="60% - Ênfase2 133" xfId="4430"/>
    <cellStyle name="60% - Ênfase2 134" xfId="4431"/>
    <cellStyle name="60% - Ênfase2 135" xfId="4432"/>
    <cellStyle name="60% - Ênfase2 136" xfId="4433"/>
    <cellStyle name="60% - Ênfase2 137" xfId="4434"/>
    <cellStyle name="60% - Ênfase2 138" xfId="4435"/>
    <cellStyle name="60% - Ênfase2 139" xfId="4436"/>
    <cellStyle name="60% - Ênfase2 14" xfId="4437"/>
    <cellStyle name="60% - Ênfase2 140" xfId="4438"/>
    <cellStyle name="60% - Ênfase2 141" xfId="4439"/>
    <cellStyle name="60% - Ênfase2 142" xfId="4440"/>
    <cellStyle name="60% - Ênfase2 143" xfId="4441"/>
    <cellStyle name="60% - Ênfase2 144" xfId="4442"/>
    <cellStyle name="60% - Ênfase2 145" xfId="4443"/>
    <cellStyle name="60% - Ênfase2 146" xfId="4444"/>
    <cellStyle name="60% - Ênfase2 147" xfId="4445"/>
    <cellStyle name="60% - Ênfase2 148" xfId="4446"/>
    <cellStyle name="60% - Ênfase2 149" xfId="4447"/>
    <cellStyle name="60% - Ênfase2 15" xfId="4448"/>
    <cellStyle name="60% - Ênfase2 15 2" xfId="4449"/>
    <cellStyle name="60% - Ênfase2 15 3" xfId="4450"/>
    <cellStyle name="60% - Ênfase2 150" xfId="4451"/>
    <cellStyle name="60% - Ênfase2 151" xfId="4452"/>
    <cellStyle name="60% - Ênfase2 152" xfId="4453"/>
    <cellStyle name="60% - Ênfase2 153" xfId="4454"/>
    <cellStyle name="60% - Ênfase2 154" xfId="4455"/>
    <cellStyle name="60% - Ênfase2 155" xfId="4456"/>
    <cellStyle name="60% - Ênfase2 156" xfId="4457"/>
    <cellStyle name="60% - Ênfase2 157" xfId="4458"/>
    <cellStyle name="60% - Ênfase2 158" xfId="4459"/>
    <cellStyle name="60% - Ênfase2 159" xfId="4460"/>
    <cellStyle name="60% - Ênfase2 16" xfId="4461"/>
    <cellStyle name="60% - Ênfase2 16 2" xfId="4462"/>
    <cellStyle name="60% - Ênfase2 16 3" xfId="4463"/>
    <cellStyle name="60% - Ênfase2 160" xfId="4464"/>
    <cellStyle name="60% - Ênfase2 161" xfId="4465"/>
    <cellStyle name="60% - Ênfase2 162" xfId="4466"/>
    <cellStyle name="60% - Ênfase2 163" xfId="4467"/>
    <cellStyle name="60% - Ênfase2 164" xfId="4468"/>
    <cellStyle name="60% - Ênfase2 165" xfId="4469"/>
    <cellStyle name="60% - Ênfase2 166" xfId="4470"/>
    <cellStyle name="60% - Ênfase2 167" xfId="4471"/>
    <cellStyle name="60% - Ênfase2 168" xfId="4472"/>
    <cellStyle name="60% - Ênfase2 169" xfId="4473"/>
    <cellStyle name="60% - Ênfase2 17" xfId="4474"/>
    <cellStyle name="60% - Ênfase2 17 2" xfId="4475"/>
    <cellStyle name="60% - Ênfase2 17 3" xfId="4476"/>
    <cellStyle name="60% - Ênfase2 170" xfId="4477"/>
    <cellStyle name="60% - Ênfase2 171" xfId="4478"/>
    <cellStyle name="60% - Ênfase2 172" xfId="4479"/>
    <cellStyle name="60% - Ênfase2 173" xfId="4480"/>
    <cellStyle name="60% - Ênfase2 174" xfId="4481"/>
    <cellStyle name="60% - Ênfase2 175" xfId="4482"/>
    <cellStyle name="60% - Ênfase2 176" xfId="4483"/>
    <cellStyle name="60% - Ênfase2 177" xfId="4484"/>
    <cellStyle name="60% - Ênfase2 178" xfId="4485"/>
    <cellStyle name="60% - Ênfase2 179" xfId="4486"/>
    <cellStyle name="60% - Ênfase2 18" xfId="4487"/>
    <cellStyle name="60% - Ênfase2 18 2" xfId="4488"/>
    <cellStyle name="60% - Ênfase2 18 3" xfId="4489"/>
    <cellStyle name="60% - Ênfase2 180" xfId="4490"/>
    <cellStyle name="60% - Ênfase2 181" xfId="4491"/>
    <cellStyle name="60% - Ênfase2 182" xfId="4492"/>
    <cellStyle name="60% - Ênfase2 183" xfId="4493"/>
    <cellStyle name="60% - Ênfase2 184" xfId="4494"/>
    <cellStyle name="60% - Ênfase2 185" xfId="4495"/>
    <cellStyle name="60% - Ênfase2 186" xfId="4496"/>
    <cellStyle name="60% - Ênfase2 187" xfId="4497"/>
    <cellStyle name="60% - Ênfase2 188" xfId="4498"/>
    <cellStyle name="60% - Ênfase2 189" xfId="4499"/>
    <cellStyle name="60% - Ênfase2 19" xfId="4500"/>
    <cellStyle name="60% - Ênfase2 19 2" xfId="4501"/>
    <cellStyle name="60% - Ênfase2 19 3" xfId="4502"/>
    <cellStyle name="60% - Ênfase2 190" xfId="4503"/>
    <cellStyle name="60% - Ênfase2 2" xfId="4504"/>
    <cellStyle name="60% - Ênfase2 2 10" xfId="4505"/>
    <cellStyle name="60% - Ênfase2 2 10 2" xfId="4506"/>
    <cellStyle name="60% - Ênfase2 2 10 3" xfId="4507"/>
    <cellStyle name="60% - Ênfase2 2 10 4" xfId="4508"/>
    <cellStyle name="60% - Ênfase2 2 10 5" xfId="4509"/>
    <cellStyle name="60% - Ênfase2 2 10 6" xfId="4510"/>
    <cellStyle name="60% - Ênfase2 2 10 7" xfId="4511"/>
    <cellStyle name="60% - Ênfase2 2 11" xfId="4512"/>
    <cellStyle name="60% - Ênfase2 2 11 2" xfId="4513"/>
    <cellStyle name="60% - Ênfase2 2 11 3" xfId="4514"/>
    <cellStyle name="60% - Ênfase2 2 11 4" xfId="4515"/>
    <cellStyle name="60% - Ênfase2 2 11 5" xfId="4516"/>
    <cellStyle name="60% - Ênfase2 2 11 6" xfId="4517"/>
    <cellStyle name="60% - Ênfase2 2 11 7" xfId="4518"/>
    <cellStyle name="60% - Ênfase2 2 12" xfId="4519"/>
    <cellStyle name="60% - Ênfase2 2 13" xfId="4520"/>
    <cellStyle name="60% - Ênfase2 2 14" xfId="4521"/>
    <cellStyle name="60% - Ênfase2 2 15" xfId="4522"/>
    <cellStyle name="60% - Ênfase2 2 16" xfId="4523"/>
    <cellStyle name="60% - Ênfase2 2 17" xfId="4524"/>
    <cellStyle name="60% - Ênfase2 2 18" xfId="4525"/>
    <cellStyle name="60% - Ênfase2 2 19" xfId="4526"/>
    <cellStyle name="60% - Ênfase2 2 2" xfId="4527"/>
    <cellStyle name="60% - Ênfase2 2 20" xfId="4528"/>
    <cellStyle name="60% - Ênfase2 2 21" xfId="4529"/>
    <cellStyle name="60% - Ênfase2 2 22" xfId="4530"/>
    <cellStyle name="60% - Ênfase2 2 23" xfId="4531"/>
    <cellStyle name="60% - Ênfase2 2 24" xfId="4532"/>
    <cellStyle name="60% - Ênfase2 2 25" xfId="4533"/>
    <cellStyle name="60% - Ênfase2 2 26" xfId="4534"/>
    <cellStyle name="60% - Ênfase2 2 27" xfId="4535"/>
    <cellStyle name="60% - Ênfase2 2 28" xfId="4536"/>
    <cellStyle name="60% - Ênfase2 2 29" xfId="4537"/>
    <cellStyle name="60% - Ênfase2 2 3" xfId="4538"/>
    <cellStyle name="60% - Ênfase2 2 30" xfId="4539"/>
    <cellStyle name="60% - Ênfase2 2 31" xfId="4540"/>
    <cellStyle name="60% - Ênfase2 2 32" xfId="4541"/>
    <cellStyle name="60% - Ênfase2 2 33" xfId="4542"/>
    <cellStyle name="60% - Ênfase2 2 34" xfId="4543"/>
    <cellStyle name="60% - Ênfase2 2 35" xfId="4544"/>
    <cellStyle name="60% - Ênfase2 2 4" xfId="4545"/>
    <cellStyle name="60% - Ênfase2 2 5" xfId="4546"/>
    <cellStyle name="60% - Ênfase2 2 6" xfId="4547"/>
    <cellStyle name="60% - Ênfase2 2 7" xfId="4548"/>
    <cellStyle name="60% - Ênfase2 2 8" xfId="4549"/>
    <cellStyle name="60% - Ênfase2 2 8 2" xfId="4550"/>
    <cellStyle name="60% - Ênfase2 2 8 3" xfId="4551"/>
    <cellStyle name="60% - Ênfase2 2 8 4" xfId="4552"/>
    <cellStyle name="60% - Ênfase2 2 8 5" xfId="4553"/>
    <cellStyle name="60% - Ênfase2 2 8 6" xfId="4554"/>
    <cellStyle name="60% - Ênfase2 2 8 7" xfId="4555"/>
    <cellStyle name="60% - Ênfase2 2 9" xfId="4556"/>
    <cellStyle name="60% - Ênfase2 2 9 2" xfId="4557"/>
    <cellStyle name="60% - Ênfase2 2 9 3" xfId="4558"/>
    <cellStyle name="60% - Ênfase2 2 9 4" xfId="4559"/>
    <cellStyle name="60% - Ênfase2 2 9 5" xfId="4560"/>
    <cellStyle name="60% - Ênfase2 2 9 6" xfId="4561"/>
    <cellStyle name="60% - Ênfase2 2 9 7" xfId="4562"/>
    <cellStyle name="60% - Ênfase2 20" xfId="4563"/>
    <cellStyle name="60% - Ênfase2 20 2" xfId="4564"/>
    <cellStyle name="60% - Ênfase2 20 3" xfId="4565"/>
    <cellStyle name="60% - Ênfase2 21" xfId="4566"/>
    <cellStyle name="60% - Ênfase2 22" xfId="4567"/>
    <cellStyle name="60% - Ênfase2 23" xfId="4568"/>
    <cellStyle name="60% - Ênfase2 24" xfId="4569"/>
    <cellStyle name="60% - Ênfase2 24 2" xfId="40940"/>
    <cellStyle name="60% - Ênfase2 25" xfId="4570"/>
    <cellStyle name="60% - Ênfase2 25 2" xfId="40975"/>
    <cellStyle name="60% - Ênfase2 26" xfId="4571"/>
    <cellStyle name="60% - Ênfase2 26 10" xfId="4572"/>
    <cellStyle name="60% - Ênfase2 26 11" xfId="4573"/>
    <cellStyle name="60% - Ênfase2 26 12" xfId="4574"/>
    <cellStyle name="60% - Ênfase2 26 13" xfId="4575"/>
    <cellStyle name="60% - Ênfase2 26 14" xfId="4576"/>
    <cellStyle name="60% - Ênfase2 26 15" xfId="4577"/>
    <cellStyle name="60% - Ênfase2 26 16" xfId="4578"/>
    <cellStyle name="60% - Ênfase2 26 2" xfId="4579"/>
    <cellStyle name="60% - Ênfase2 26 3" xfId="4580"/>
    <cellStyle name="60% - Ênfase2 26 4" xfId="4581"/>
    <cellStyle name="60% - Ênfase2 26 5" xfId="4582"/>
    <cellStyle name="60% - Ênfase2 26 6" xfId="4583"/>
    <cellStyle name="60% - Ênfase2 26 7" xfId="4584"/>
    <cellStyle name="60% - Ênfase2 26 8" xfId="4585"/>
    <cellStyle name="60% - Ênfase2 26 9" xfId="4586"/>
    <cellStyle name="60% - Ênfase2 27" xfId="4587"/>
    <cellStyle name="60% - Ênfase2 27 10" xfId="4588"/>
    <cellStyle name="60% - Ênfase2 27 11" xfId="4589"/>
    <cellStyle name="60% - Ênfase2 27 12" xfId="4590"/>
    <cellStyle name="60% - Ênfase2 27 13" xfId="4591"/>
    <cellStyle name="60% - Ênfase2 27 14" xfId="4592"/>
    <cellStyle name="60% - Ênfase2 27 15" xfId="4593"/>
    <cellStyle name="60% - Ênfase2 27 16" xfId="4594"/>
    <cellStyle name="60% - Ênfase2 27 2" xfId="4595"/>
    <cellStyle name="60% - Ênfase2 27 3" xfId="4596"/>
    <cellStyle name="60% - Ênfase2 27 4" xfId="4597"/>
    <cellStyle name="60% - Ênfase2 27 5" xfId="4598"/>
    <cellStyle name="60% - Ênfase2 27 6" xfId="4599"/>
    <cellStyle name="60% - Ênfase2 27 7" xfId="4600"/>
    <cellStyle name="60% - Ênfase2 27 8" xfId="4601"/>
    <cellStyle name="60% - Ênfase2 27 9" xfId="4602"/>
    <cellStyle name="60% - Ênfase2 28" xfId="4603"/>
    <cellStyle name="60% - Ênfase2 28 10" xfId="4604"/>
    <cellStyle name="60% - Ênfase2 28 11" xfId="4605"/>
    <cellStyle name="60% - Ênfase2 28 12" xfId="4606"/>
    <cellStyle name="60% - Ênfase2 28 13" xfId="4607"/>
    <cellStyle name="60% - Ênfase2 28 14" xfId="4608"/>
    <cellStyle name="60% - Ênfase2 28 15" xfId="4609"/>
    <cellStyle name="60% - Ênfase2 28 16" xfId="4610"/>
    <cellStyle name="60% - Ênfase2 28 2" xfId="4611"/>
    <cellStyle name="60% - Ênfase2 28 3" xfId="4612"/>
    <cellStyle name="60% - Ênfase2 28 4" xfId="4613"/>
    <cellStyle name="60% - Ênfase2 28 5" xfId="4614"/>
    <cellStyle name="60% - Ênfase2 28 6" xfId="4615"/>
    <cellStyle name="60% - Ênfase2 28 7" xfId="4616"/>
    <cellStyle name="60% - Ênfase2 28 8" xfId="4617"/>
    <cellStyle name="60% - Ênfase2 28 9" xfId="4618"/>
    <cellStyle name="60% - Ênfase2 29" xfId="4619"/>
    <cellStyle name="60% - Ênfase2 29 10" xfId="4620"/>
    <cellStyle name="60% - Ênfase2 29 11" xfId="4621"/>
    <cellStyle name="60% - Ênfase2 29 12" xfId="4622"/>
    <cellStyle name="60% - Ênfase2 29 13" xfId="4623"/>
    <cellStyle name="60% - Ênfase2 29 14" xfId="4624"/>
    <cellStyle name="60% - Ênfase2 29 15" xfId="4625"/>
    <cellStyle name="60% - Ênfase2 29 16" xfId="4626"/>
    <cellStyle name="60% - Ênfase2 29 2" xfId="4627"/>
    <cellStyle name="60% - Ênfase2 29 3" xfId="4628"/>
    <cellStyle name="60% - Ênfase2 29 4" xfId="4629"/>
    <cellStyle name="60% - Ênfase2 29 5" xfId="4630"/>
    <cellStyle name="60% - Ênfase2 29 6" xfId="4631"/>
    <cellStyle name="60% - Ênfase2 29 7" xfId="4632"/>
    <cellStyle name="60% - Ênfase2 29 8" xfId="4633"/>
    <cellStyle name="60% - Ênfase2 29 9" xfId="4634"/>
    <cellStyle name="60% - Ênfase2 3" xfId="4635"/>
    <cellStyle name="60% - Ênfase2 3 10" xfId="4636"/>
    <cellStyle name="60% - Ênfase2 3 11" xfId="4637"/>
    <cellStyle name="60% - Ênfase2 3 2" xfId="4638"/>
    <cellStyle name="60% - Ênfase2 3 3" xfId="4639"/>
    <cellStyle name="60% - Ênfase2 3 4" xfId="4640"/>
    <cellStyle name="60% - Ênfase2 3 5" xfId="4641"/>
    <cellStyle name="60% - Ênfase2 3 6" xfId="4642"/>
    <cellStyle name="60% - Ênfase2 3 7" xfId="4643"/>
    <cellStyle name="60% - Ênfase2 3 8" xfId="4644"/>
    <cellStyle name="60% - Ênfase2 3 9" xfId="4645"/>
    <cellStyle name="60% - Ênfase2 30" xfId="4646"/>
    <cellStyle name="60% - Ênfase2 31" xfId="4647"/>
    <cellStyle name="60% - Ênfase2 32" xfId="4648"/>
    <cellStyle name="60% - Ênfase2 33" xfId="4649"/>
    <cellStyle name="60% - Ênfase2 34" xfId="4650"/>
    <cellStyle name="60% - Ênfase2 35" xfId="4651"/>
    <cellStyle name="60% - Ênfase2 36" xfId="4652"/>
    <cellStyle name="60% - Ênfase2 37" xfId="4653"/>
    <cellStyle name="60% - Ênfase2 38" xfId="4654"/>
    <cellStyle name="60% - Ênfase2 39" xfId="4655"/>
    <cellStyle name="60% - Ênfase2 4" xfId="4656"/>
    <cellStyle name="60% - Ênfase2 4 10" xfId="4657"/>
    <cellStyle name="60% - Ênfase2 4 11" xfId="4658"/>
    <cellStyle name="60% - Ênfase2 4 2" xfId="4659"/>
    <cellStyle name="60% - Ênfase2 4 3" xfId="4660"/>
    <cellStyle name="60% - Ênfase2 4 4" xfId="4661"/>
    <cellStyle name="60% - Ênfase2 4 5" xfId="4662"/>
    <cellStyle name="60% - Ênfase2 4 6" xfId="4663"/>
    <cellStyle name="60% - Ênfase2 4 7" xfId="4664"/>
    <cellStyle name="60% - Ênfase2 4 8" xfId="4665"/>
    <cellStyle name="60% - Ênfase2 4 9" xfId="4666"/>
    <cellStyle name="60% - Ênfase2 40" xfId="4667"/>
    <cellStyle name="60% - Ênfase2 41" xfId="4668"/>
    <cellStyle name="60% - Ênfase2 42" xfId="4669"/>
    <cellStyle name="60% - Ênfase2 43" xfId="4670"/>
    <cellStyle name="60% - Ênfase2 44" xfId="4671"/>
    <cellStyle name="60% - Ênfase2 45" xfId="4672"/>
    <cellStyle name="60% - Ênfase2 46" xfId="4673"/>
    <cellStyle name="60% - Ênfase2 47" xfId="4674"/>
    <cellStyle name="60% - Ênfase2 48" xfId="4675"/>
    <cellStyle name="60% - Ênfase2 49" xfId="4676"/>
    <cellStyle name="60% - Ênfase2 5" xfId="4677"/>
    <cellStyle name="60% - Ênfase2 5 2" xfId="4678"/>
    <cellStyle name="60% - Ênfase2 5 3" xfId="4679"/>
    <cellStyle name="60% - Ênfase2 5 4" xfId="4680"/>
    <cellStyle name="60% - Ênfase2 50" xfId="4681"/>
    <cellStyle name="60% - Ênfase2 51" xfId="4682"/>
    <cellStyle name="60% - Ênfase2 52" xfId="4683"/>
    <cellStyle name="60% - Ênfase2 53" xfId="4684"/>
    <cellStyle name="60% - Ênfase2 54" xfId="4685"/>
    <cellStyle name="60% - Ênfase2 55" xfId="4686"/>
    <cellStyle name="60% - Ênfase2 56" xfId="4687"/>
    <cellStyle name="60% - Ênfase2 57" xfId="4688"/>
    <cellStyle name="60% - Ênfase2 58" xfId="4689"/>
    <cellStyle name="60% - Ênfase2 59" xfId="4690"/>
    <cellStyle name="60% - Ênfase2 6" xfId="4691"/>
    <cellStyle name="60% - Ênfase2 6 2" xfId="4692"/>
    <cellStyle name="60% - Ênfase2 6 3" xfId="4693"/>
    <cellStyle name="60% - Ênfase2 6 4" xfId="4694"/>
    <cellStyle name="60% - Ênfase2 60" xfId="4695"/>
    <cellStyle name="60% - Ênfase2 61" xfId="4696"/>
    <cellStyle name="60% - Ênfase2 62" xfId="4697"/>
    <cellStyle name="60% - Ênfase2 63" xfId="4698"/>
    <cellStyle name="60% - Ênfase2 64" xfId="4699"/>
    <cellStyle name="60% - Ênfase2 65" xfId="4700"/>
    <cellStyle name="60% - Ênfase2 66" xfId="4701"/>
    <cellStyle name="60% - Ênfase2 67" xfId="4702"/>
    <cellStyle name="60% - Ênfase2 68" xfId="4703"/>
    <cellStyle name="60% - Ênfase2 69" xfId="4704"/>
    <cellStyle name="60% - Ênfase2 7" xfId="4705"/>
    <cellStyle name="60% - Ênfase2 7 2" xfId="4706"/>
    <cellStyle name="60% - Ênfase2 7 3" xfId="4707"/>
    <cellStyle name="60% - Ênfase2 7 4" xfId="4708"/>
    <cellStyle name="60% - Ênfase2 70" xfId="4709"/>
    <cellStyle name="60% - Ênfase2 71" xfId="4710"/>
    <cellStyle name="60% - Ênfase2 72" xfId="4711"/>
    <cellStyle name="60% - Ênfase2 73" xfId="4712"/>
    <cellStyle name="60% - Ênfase2 74" xfId="4713"/>
    <cellStyle name="60% - Ênfase2 75" xfId="4714"/>
    <cellStyle name="60% - Ênfase2 76" xfId="4715"/>
    <cellStyle name="60% - Ênfase2 77" xfId="4716"/>
    <cellStyle name="60% - Ênfase2 78" xfId="4717"/>
    <cellStyle name="60% - Ênfase2 79" xfId="4718"/>
    <cellStyle name="60% - Ênfase2 8" xfId="4719"/>
    <cellStyle name="60% - Ênfase2 8 2" xfId="4720"/>
    <cellStyle name="60% - Ênfase2 8 3" xfId="4721"/>
    <cellStyle name="60% - Ênfase2 8 4" xfId="4722"/>
    <cellStyle name="60% - Ênfase2 80" xfId="4723"/>
    <cellStyle name="60% - Ênfase2 81" xfId="4724"/>
    <cellStyle name="60% - Ênfase2 82" xfId="4725"/>
    <cellStyle name="60% - Ênfase2 83" xfId="4726"/>
    <cellStyle name="60% - Ênfase2 84" xfId="4727"/>
    <cellStyle name="60% - Ênfase2 85" xfId="4728"/>
    <cellStyle name="60% - Ênfase2 86" xfId="4729"/>
    <cellStyle name="60% - Ênfase2 87" xfId="4730"/>
    <cellStyle name="60% - Ênfase2 88" xfId="4731"/>
    <cellStyle name="60% - Ênfase2 89" xfId="4732"/>
    <cellStyle name="60% - Ênfase2 9" xfId="4733"/>
    <cellStyle name="60% - Ênfase2 90" xfId="4734"/>
    <cellStyle name="60% - Ênfase2 91" xfId="4735"/>
    <cellStyle name="60% - Ênfase2 92" xfId="4736"/>
    <cellStyle name="60% - Ênfase2 93" xfId="4737"/>
    <cellStyle name="60% - Ênfase2 94" xfId="4738"/>
    <cellStyle name="60% - Ênfase2 95" xfId="4739"/>
    <cellStyle name="60% - Ênfase2 96" xfId="4740"/>
    <cellStyle name="60% - Ênfase2 97" xfId="4741"/>
    <cellStyle name="60% - Ênfase2 98" xfId="4742"/>
    <cellStyle name="60% - Ênfase2 99" xfId="4743"/>
    <cellStyle name="60% - Ênfase3 10" xfId="4744"/>
    <cellStyle name="60% - Ênfase3 10 2" xfId="40514"/>
    <cellStyle name="60% - Ênfase3 100" xfId="4745"/>
    <cellStyle name="60% - Ênfase3 101" xfId="4746"/>
    <cellStyle name="60% - Ênfase3 102" xfId="4747"/>
    <cellStyle name="60% - Ênfase3 103" xfId="4748"/>
    <cellStyle name="60% - Ênfase3 104" xfId="4749"/>
    <cellStyle name="60% - Ênfase3 105" xfId="4750"/>
    <cellStyle name="60% - Ênfase3 106" xfId="4751"/>
    <cellStyle name="60% - Ênfase3 107" xfId="4752"/>
    <cellStyle name="60% - Ênfase3 108" xfId="4753"/>
    <cellStyle name="60% - Ênfase3 109" xfId="4754"/>
    <cellStyle name="60% - Ênfase3 11" xfId="4755"/>
    <cellStyle name="60% - Ênfase3 11 2" xfId="40515"/>
    <cellStyle name="60% - Ênfase3 110" xfId="4756"/>
    <cellStyle name="60% - Ênfase3 111" xfId="4757"/>
    <cellStyle name="60% - Ênfase3 112" xfId="4758"/>
    <cellStyle name="60% - Ênfase3 113" xfId="4759"/>
    <cellStyle name="60% - Ênfase3 114" xfId="4760"/>
    <cellStyle name="60% - Ênfase3 115" xfId="4761"/>
    <cellStyle name="60% - Ênfase3 116" xfId="4762"/>
    <cellStyle name="60% - Ênfase3 117" xfId="4763"/>
    <cellStyle name="60% - Ênfase3 118" xfId="4764"/>
    <cellStyle name="60% - Ênfase3 119" xfId="4765"/>
    <cellStyle name="60% - Ênfase3 12" xfId="4766"/>
    <cellStyle name="60% - Ênfase3 12 2" xfId="40516"/>
    <cellStyle name="60% - Ênfase3 120" xfId="4767"/>
    <cellStyle name="60% - Ênfase3 121" xfId="4768"/>
    <cellStyle name="60% - Ênfase3 122" xfId="4769"/>
    <cellStyle name="60% - Ênfase3 123" xfId="4770"/>
    <cellStyle name="60% - Ênfase3 124" xfId="4771"/>
    <cellStyle name="60% - Ênfase3 125" xfId="4772"/>
    <cellStyle name="60% - Ênfase3 126" xfId="4773"/>
    <cellStyle name="60% - Ênfase3 127" xfId="4774"/>
    <cellStyle name="60% - Ênfase3 128" xfId="4775"/>
    <cellStyle name="60% - Ênfase3 129" xfId="4776"/>
    <cellStyle name="60% - Ênfase3 13" xfId="4777"/>
    <cellStyle name="60% - Ênfase3 13 2" xfId="40517"/>
    <cellStyle name="60% - Ênfase3 130" xfId="4778"/>
    <cellStyle name="60% - Ênfase3 131" xfId="4779"/>
    <cellStyle name="60% - Ênfase3 132" xfId="4780"/>
    <cellStyle name="60% - Ênfase3 133" xfId="4781"/>
    <cellStyle name="60% - Ênfase3 134" xfId="4782"/>
    <cellStyle name="60% - Ênfase3 135" xfId="4783"/>
    <cellStyle name="60% - Ênfase3 136" xfId="4784"/>
    <cellStyle name="60% - Ênfase3 137" xfId="4785"/>
    <cellStyle name="60% - Ênfase3 138" xfId="4786"/>
    <cellStyle name="60% - Ênfase3 139" xfId="4787"/>
    <cellStyle name="60% - Ênfase3 14" xfId="4788"/>
    <cellStyle name="60% - Ênfase3 140" xfId="4789"/>
    <cellStyle name="60% - Ênfase3 141" xfId="4790"/>
    <cellStyle name="60% - Ênfase3 142" xfId="4791"/>
    <cellStyle name="60% - Ênfase3 143" xfId="4792"/>
    <cellStyle name="60% - Ênfase3 144" xfId="4793"/>
    <cellStyle name="60% - Ênfase3 145" xfId="4794"/>
    <cellStyle name="60% - Ênfase3 146" xfId="4795"/>
    <cellStyle name="60% - Ênfase3 147" xfId="4796"/>
    <cellStyle name="60% - Ênfase3 148" xfId="4797"/>
    <cellStyle name="60% - Ênfase3 149" xfId="4798"/>
    <cellStyle name="60% - Ênfase3 15" xfId="4799"/>
    <cellStyle name="60% - Ênfase3 15 2" xfId="4800"/>
    <cellStyle name="60% - Ênfase3 15 3" xfId="4801"/>
    <cellStyle name="60% - Ênfase3 150" xfId="4802"/>
    <cellStyle name="60% - Ênfase3 151" xfId="4803"/>
    <cellStyle name="60% - Ênfase3 152" xfId="4804"/>
    <cellStyle name="60% - Ênfase3 153" xfId="4805"/>
    <cellStyle name="60% - Ênfase3 154" xfId="4806"/>
    <cellStyle name="60% - Ênfase3 155" xfId="4807"/>
    <cellStyle name="60% - Ênfase3 156" xfId="4808"/>
    <cellStyle name="60% - Ênfase3 157" xfId="4809"/>
    <cellStyle name="60% - Ênfase3 158" xfId="4810"/>
    <cellStyle name="60% - Ênfase3 159" xfId="4811"/>
    <cellStyle name="60% - Ênfase3 16" xfId="4812"/>
    <cellStyle name="60% - Ênfase3 16 2" xfId="4813"/>
    <cellStyle name="60% - Ênfase3 16 3" xfId="4814"/>
    <cellStyle name="60% - Ênfase3 160" xfId="4815"/>
    <cellStyle name="60% - Ênfase3 161" xfId="4816"/>
    <cellStyle name="60% - Ênfase3 162" xfId="4817"/>
    <cellStyle name="60% - Ênfase3 163" xfId="4818"/>
    <cellStyle name="60% - Ênfase3 164" xfId="4819"/>
    <cellStyle name="60% - Ênfase3 165" xfId="4820"/>
    <cellStyle name="60% - Ênfase3 166" xfId="4821"/>
    <cellStyle name="60% - Ênfase3 167" xfId="4822"/>
    <cellStyle name="60% - Ênfase3 168" xfId="4823"/>
    <cellStyle name="60% - Ênfase3 169" xfId="4824"/>
    <cellStyle name="60% - Ênfase3 17" xfId="4825"/>
    <cellStyle name="60% - Ênfase3 17 2" xfId="4826"/>
    <cellStyle name="60% - Ênfase3 17 3" xfId="4827"/>
    <cellStyle name="60% - Ênfase3 170" xfId="4828"/>
    <cellStyle name="60% - Ênfase3 171" xfId="4829"/>
    <cellStyle name="60% - Ênfase3 172" xfId="4830"/>
    <cellStyle name="60% - Ênfase3 173" xfId="4831"/>
    <cellStyle name="60% - Ênfase3 174" xfId="4832"/>
    <cellStyle name="60% - Ênfase3 175" xfId="4833"/>
    <cellStyle name="60% - Ênfase3 176" xfId="4834"/>
    <cellStyle name="60% - Ênfase3 177" xfId="4835"/>
    <cellStyle name="60% - Ênfase3 178" xfId="4836"/>
    <cellStyle name="60% - Ênfase3 179" xfId="4837"/>
    <cellStyle name="60% - Ênfase3 18" xfId="4838"/>
    <cellStyle name="60% - Ênfase3 18 2" xfId="4839"/>
    <cellStyle name="60% - Ênfase3 18 3" xfId="4840"/>
    <cellStyle name="60% - Ênfase3 180" xfId="4841"/>
    <cellStyle name="60% - Ênfase3 181" xfId="4842"/>
    <cellStyle name="60% - Ênfase3 182" xfId="4843"/>
    <cellStyle name="60% - Ênfase3 183" xfId="4844"/>
    <cellStyle name="60% - Ênfase3 184" xfId="4845"/>
    <cellStyle name="60% - Ênfase3 185" xfId="4846"/>
    <cellStyle name="60% - Ênfase3 186" xfId="4847"/>
    <cellStyle name="60% - Ênfase3 187" xfId="4848"/>
    <cellStyle name="60% - Ênfase3 188" xfId="4849"/>
    <cellStyle name="60% - Ênfase3 189" xfId="4850"/>
    <cellStyle name="60% - Ênfase3 19" xfId="4851"/>
    <cellStyle name="60% - Ênfase3 19 2" xfId="4852"/>
    <cellStyle name="60% - Ênfase3 19 3" xfId="4853"/>
    <cellStyle name="60% - Ênfase3 190" xfId="4854"/>
    <cellStyle name="60% - Ênfase3 2" xfId="4855"/>
    <cellStyle name="60% - Ênfase3 2 10" xfId="4856"/>
    <cellStyle name="60% - Ênfase3 2 10 2" xfId="4857"/>
    <cellStyle name="60% - Ênfase3 2 10 3" xfId="4858"/>
    <cellStyle name="60% - Ênfase3 2 10 4" xfId="4859"/>
    <cellStyle name="60% - Ênfase3 2 10 5" xfId="4860"/>
    <cellStyle name="60% - Ênfase3 2 10 6" xfId="4861"/>
    <cellStyle name="60% - Ênfase3 2 10 7" xfId="4862"/>
    <cellStyle name="60% - Ênfase3 2 11" xfId="4863"/>
    <cellStyle name="60% - Ênfase3 2 11 2" xfId="4864"/>
    <cellStyle name="60% - Ênfase3 2 11 3" xfId="4865"/>
    <cellStyle name="60% - Ênfase3 2 11 4" xfId="4866"/>
    <cellStyle name="60% - Ênfase3 2 11 5" xfId="4867"/>
    <cellStyle name="60% - Ênfase3 2 11 6" xfId="4868"/>
    <cellStyle name="60% - Ênfase3 2 11 7" xfId="4869"/>
    <cellStyle name="60% - Ênfase3 2 12" xfId="4870"/>
    <cellStyle name="60% - Ênfase3 2 13" xfId="4871"/>
    <cellStyle name="60% - Ênfase3 2 14" xfId="4872"/>
    <cellStyle name="60% - Ênfase3 2 15" xfId="4873"/>
    <cellStyle name="60% - Ênfase3 2 16" xfId="4874"/>
    <cellStyle name="60% - Ênfase3 2 17" xfId="4875"/>
    <cellStyle name="60% - Ênfase3 2 18" xfId="4876"/>
    <cellStyle name="60% - Ênfase3 2 19" xfId="4877"/>
    <cellStyle name="60% - Ênfase3 2 2" xfId="4878"/>
    <cellStyle name="60% - Ênfase3 2 20" xfId="4879"/>
    <cellStyle name="60% - Ênfase3 2 21" xfId="4880"/>
    <cellStyle name="60% - Ênfase3 2 22" xfId="4881"/>
    <cellStyle name="60% - Ênfase3 2 23" xfId="4882"/>
    <cellStyle name="60% - Ênfase3 2 24" xfId="4883"/>
    <cellStyle name="60% - Ênfase3 2 25" xfId="4884"/>
    <cellStyle name="60% - Ênfase3 2 26" xfId="4885"/>
    <cellStyle name="60% - Ênfase3 2 27" xfId="4886"/>
    <cellStyle name="60% - Ênfase3 2 28" xfId="4887"/>
    <cellStyle name="60% - Ênfase3 2 29" xfId="4888"/>
    <cellStyle name="60% - Ênfase3 2 3" xfId="4889"/>
    <cellStyle name="60% - Ênfase3 2 30" xfId="4890"/>
    <cellStyle name="60% - Ênfase3 2 31" xfId="4891"/>
    <cellStyle name="60% - Ênfase3 2 32" xfId="4892"/>
    <cellStyle name="60% - Ênfase3 2 33" xfId="4893"/>
    <cellStyle name="60% - Ênfase3 2 34" xfId="4894"/>
    <cellStyle name="60% - Ênfase3 2 35" xfId="4895"/>
    <cellStyle name="60% - Ênfase3 2 4" xfId="4896"/>
    <cellStyle name="60% - Ênfase3 2 5" xfId="4897"/>
    <cellStyle name="60% - Ênfase3 2 6" xfId="4898"/>
    <cellStyle name="60% - Ênfase3 2 7" xfId="4899"/>
    <cellStyle name="60% - Ênfase3 2 8" xfId="4900"/>
    <cellStyle name="60% - Ênfase3 2 8 2" xfId="4901"/>
    <cellStyle name="60% - Ênfase3 2 8 3" xfId="4902"/>
    <cellStyle name="60% - Ênfase3 2 8 4" xfId="4903"/>
    <cellStyle name="60% - Ênfase3 2 8 5" xfId="4904"/>
    <cellStyle name="60% - Ênfase3 2 8 6" xfId="4905"/>
    <cellStyle name="60% - Ênfase3 2 8 7" xfId="4906"/>
    <cellStyle name="60% - Ênfase3 2 9" xfId="4907"/>
    <cellStyle name="60% - Ênfase3 2 9 2" xfId="4908"/>
    <cellStyle name="60% - Ênfase3 2 9 3" xfId="4909"/>
    <cellStyle name="60% - Ênfase3 2 9 4" xfId="4910"/>
    <cellStyle name="60% - Ênfase3 2 9 5" xfId="4911"/>
    <cellStyle name="60% - Ênfase3 2 9 6" xfId="4912"/>
    <cellStyle name="60% - Ênfase3 2 9 7" xfId="4913"/>
    <cellStyle name="60% - Ênfase3 20" xfId="4914"/>
    <cellStyle name="60% - Ênfase3 20 2" xfId="4915"/>
    <cellStyle name="60% - Ênfase3 20 3" xfId="4916"/>
    <cellStyle name="60% - Ênfase3 21" xfId="4917"/>
    <cellStyle name="60% - Ênfase3 22" xfId="4918"/>
    <cellStyle name="60% - Ênfase3 23" xfId="4919"/>
    <cellStyle name="60% - Ênfase3 24" xfId="4920"/>
    <cellStyle name="60% - Ênfase3 24 2" xfId="40941"/>
    <cellStyle name="60% - Ênfase3 25" xfId="4921"/>
    <cellStyle name="60% - Ênfase3 25 2" xfId="40976"/>
    <cellStyle name="60% - Ênfase3 26" xfId="4922"/>
    <cellStyle name="60% - Ênfase3 26 10" xfId="4923"/>
    <cellStyle name="60% - Ênfase3 26 11" xfId="4924"/>
    <cellStyle name="60% - Ênfase3 26 12" xfId="4925"/>
    <cellStyle name="60% - Ênfase3 26 13" xfId="4926"/>
    <cellStyle name="60% - Ênfase3 26 14" xfId="4927"/>
    <cellStyle name="60% - Ênfase3 26 15" xfId="4928"/>
    <cellStyle name="60% - Ênfase3 26 16" xfId="4929"/>
    <cellStyle name="60% - Ênfase3 26 2" xfId="4930"/>
    <cellStyle name="60% - Ênfase3 26 3" xfId="4931"/>
    <cellStyle name="60% - Ênfase3 26 4" xfId="4932"/>
    <cellStyle name="60% - Ênfase3 26 5" xfId="4933"/>
    <cellStyle name="60% - Ênfase3 26 6" xfId="4934"/>
    <cellStyle name="60% - Ênfase3 26 7" xfId="4935"/>
    <cellStyle name="60% - Ênfase3 26 8" xfId="4936"/>
    <cellStyle name="60% - Ênfase3 26 9" xfId="4937"/>
    <cellStyle name="60% - Ênfase3 27" xfId="4938"/>
    <cellStyle name="60% - Ênfase3 27 10" xfId="4939"/>
    <cellStyle name="60% - Ênfase3 27 11" xfId="4940"/>
    <cellStyle name="60% - Ênfase3 27 12" xfId="4941"/>
    <cellStyle name="60% - Ênfase3 27 13" xfId="4942"/>
    <cellStyle name="60% - Ênfase3 27 14" xfId="4943"/>
    <cellStyle name="60% - Ênfase3 27 15" xfId="4944"/>
    <cellStyle name="60% - Ênfase3 27 16" xfId="4945"/>
    <cellStyle name="60% - Ênfase3 27 2" xfId="4946"/>
    <cellStyle name="60% - Ênfase3 27 3" xfId="4947"/>
    <cellStyle name="60% - Ênfase3 27 4" xfId="4948"/>
    <cellStyle name="60% - Ênfase3 27 5" xfId="4949"/>
    <cellStyle name="60% - Ênfase3 27 6" xfId="4950"/>
    <cellStyle name="60% - Ênfase3 27 7" xfId="4951"/>
    <cellStyle name="60% - Ênfase3 27 8" xfId="4952"/>
    <cellStyle name="60% - Ênfase3 27 9" xfId="4953"/>
    <cellStyle name="60% - Ênfase3 28" xfId="4954"/>
    <cellStyle name="60% - Ênfase3 28 10" xfId="4955"/>
    <cellStyle name="60% - Ênfase3 28 11" xfId="4956"/>
    <cellStyle name="60% - Ênfase3 28 12" xfId="4957"/>
    <cellStyle name="60% - Ênfase3 28 13" xfId="4958"/>
    <cellStyle name="60% - Ênfase3 28 14" xfId="4959"/>
    <cellStyle name="60% - Ênfase3 28 15" xfId="4960"/>
    <cellStyle name="60% - Ênfase3 28 16" xfId="4961"/>
    <cellStyle name="60% - Ênfase3 28 2" xfId="4962"/>
    <cellStyle name="60% - Ênfase3 28 3" xfId="4963"/>
    <cellStyle name="60% - Ênfase3 28 4" xfId="4964"/>
    <cellStyle name="60% - Ênfase3 28 5" xfId="4965"/>
    <cellStyle name="60% - Ênfase3 28 6" xfId="4966"/>
    <cellStyle name="60% - Ênfase3 28 7" xfId="4967"/>
    <cellStyle name="60% - Ênfase3 28 8" xfId="4968"/>
    <cellStyle name="60% - Ênfase3 28 9" xfId="4969"/>
    <cellStyle name="60% - Ênfase3 29" xfId="4970"/>
    <cellStyle name="60% - Ênfase3 29 10" xfId="4971"/>
    <cellStyle name="60% - Ênfase3 29 11" xfId="4972"/>
    <cellStyle name="60% - Ênfase3 29 12" xfId="4973"/>
    <cellStyle name="60% - Ênfase3 29 13" xfId="4974"/>
    <cellStyle name="60% - Ênfase3 29 14" xfId="4975"/>
    <cellStyle name="60% - Ênfase3 29 15" xfId="4976"/>
    <cellStyle name="60% - Ênfase3 29 16" xfId="4977"/>
    <cellStyle name="60% - Ênfase3 29 2" xfId="4978"/>
    <cellStyle name="60% - Ênfase3 29 3" xfId="4979"/>
    <cellStyle name="60% - Ênfase3 29 4" xfId="4980"/>
    <cellStyle name="60% - Ênfase3 29 5" xfId="4981"/>
    <cellStyle name="60% - Ênfase3 29 6" xfId="4982"/>
    <cellStyle name="60% - Ênfase3 29 7" xfId="4983"/>
    <cellStyle name="60% - Ênfase3 29 8" xfId="4984"/>
    <cellStyle name="60% - Ênfase3 29 9" xfId="4985"/>
    <cellStyle name="60% - Ênfase3 3" xfId="4986"/>
    <cellStyle name="60% - Ênfase3 3 10" xfId="4987"/>
    <cellStyle name="60% - Ênfase3 3 11" xfId="4988"/>
    <cellStyle name="60% - Ênfase3 3 2" xfId="4989"/>
    <cellStyle name="60% - Ênfase3 3 3" xfId="4990"/>
    <cellStyle name="60% - Ênfase3 3 4" xfId="4991"/>
    <cellStyle name="60% - Ênfase3 3 5" xfId="4992"/>
    <cellStyle name="60% - Ênfase3 3 6" xfId="4993"/>
    <cellStyle name="60% - Ênfase3 3 7" xfId="4994"/>
    <cellStyle name="60% - Ênfase3 3 8" xfId="4995"/>
    <cellStyle name="60% - Ênfase3 3 9" xfId="4996"/>
    <cellStyle name="60% - Ênfase3 30" xfId="4997"/>
    <cellStyle name="60% - Ênfase3 31" xfId="4998"/>
    <cellStyle name="60% - Ênfase3 32" xfId="4999"/>
    <cellStyle name="60% - Ênfase3 33" xfId="5000"/>
    <cellStyle name="60% - Ênfase3 34" xfId="5001"/>
    <cellStyle name="60% - Ênfase3 35" xfId="5002"/>
    <cellStyle name="60% - Ênfase3 36" xfId="5003"/>
    <cellStyle name="60% - Ênfase3 37" xfId="5004"/>
    <cellStyle name="60% - Ênfase3 38" xfId="5005"/>
    <cellStyle name="60% - Ênfase3 39" xfId="5006"/>
    <cellStyle name="60% - Ênfase3 4" xfId="5007"/>
    <cellStyle name="60% - Ênfase3 4 10" xfId="5008"/>
    <cellStyle name="60% - Ênfase3 4 11" xfId="5009"/>
    <cellStyle name="60% - Ênfase3 4 2" xfId="5010"/>
    <cellStyle name="60% - Ênfase3 4 3" xfId="5011"/>
    <cellStyle name="60% - Ênfase3 4 4" xfId="5012"/>
    <cellStyle name="60% - Ênfase3 4 5" xfId="5013"/>
    <cellStyle name="60% - Ênfase3 4 6" xfId="5014"/>
    <cellStyle name="60% - Ênfase3 4 7" xfId="5015"/>
    <cellStyle name="60% - Ênfase3 4 8" xfId="5016"/>
    <cellStyle name="60% - Ênfase3 4 9" xfId="5017"/>
    <cellStyle name="60% - Ênfase3 40" xfId="5018"/>
    <cellStyle name="60% - Ênfase3 41" xfId="5019"/>
    <cellStyle name="60% - Ênfase3 42" xfId="5020"/>
    <cellStyle name="60% - Ênfase3 43" xfId="5021"/>
    <cellStyle name="60% - Ênfase3 44" xfId="5022"/>
    <cellStyle name="60% - Ênfase3 45" xfId="5023"/>
    <cellStyle name="60% - Ênfase3 46" xfId="5024"/>
    <cellStyle name="60% - Ênfase3 47" xfId="5025"/>
    <cellStyle name="60% - Ênfase3 48" xfId="5026"/>
    <cellStyle name="60% - Ênfase3 49" xfId="5027"/>
    <cellStyle name="60% - Ênfase3 5" xfId="5028"/>
    <cellStyle name="60% - Ênfase3 5 2" xfId="5029"/>
    <cellStyle name="60% - Ênfase3 5 3" xfId="5030"/>
    <cellStyle name="60% - Ênfase3 5 4" xfId="5031"/>
    <cellStyle name="60% - Ênfase3 50" xfId="5032"/>
    <cellStyle name="60% - Ênfase3 51" xfId="5033"/>
    <cellStyle name="60% - Ênfase3 52" xfId="5034"/>
    <cellStyle name="60% - Ênfase3 53" xfId="5035"/>
    <cellStyle name="60% - Ênfase3 54" xfId="5036"/>
    <cellStyle name="60% - Ênfase3 55" xfId="5037"/>
    <cellStyle name="60% - Ênfase3 56" xfId="5038"/>
    <cellStyle name="60% - Ênfase3 57" xfId="5039"/>
    <cellStyle name="60% - Ênfase3 58" xfId="5040"/>
    <cellStyle name="60% - Ênfase3 59" xfId="5041"/>
    <cellStyle name="60% - Ênfase3 6" xfId="5042"/>
    <cellStyle name="60% - Ênfase3 6 2" xfId="5043"/>
    <cellStyle name="60% - Ênfase3 6 3" xfId="5044"/>
    <cellStyle name="60% - Ênfase3 6 4" xfId="5045"/>
    <cellStyle name="60% - Ênfase3 60" xfId="5046"/>
    <cellStyle name="60% - Ênfase3 61" xfId="5047"/>
    <cellStyle name="60% - Ênfase3 62" xfId="5048"/>
    <cellStyle name="60% - Ênfase3 63" xfId="5049"/>
    <cellStyle name="60% - Ênfase3 64" xfId="5050"/>
    <cellStyle name="60% - Ênfase3 65" xfId="5051"/>
    <cellStyle name="60% - Ênfase3 66" xfId="5052"/>
    <cellStyle name="60% - Ênfase3 67" xfId="5053"/>
    <cellStyle name="60% - Ênfase3 68" xfId="5054"/>
    <cellStyle name="60% - Ênfase3 69" xfId="5055"/>
    <cellStyle name="60% - Ênfase3 7" xfId="5056"/>
    <cellStyle name="60% - Ênfase3 7 2" xfId="5057"/>
    <cellStyle name="60% - Ênfase3 7 3" xfId="5058"/>
    <cellStyle name="60% - Ênfase3 7 4" xfId="5059"/>
    <cellStyle name="60% - Ênfase3 70" xfId="5060"/>
    <cellStyle name="60% - Ênfase3 71" xfId="5061"/>
    <cellStyle name="60% - Ênfase3 72" xfId="5062"/>
    <cellStyle name="60% - Ênfase3 73" xfId="5063"/>
    <cellStyle name="60% - Ênfase3 74" xfId="5064"/>
    <cellStyle name="60% - Ênfase3 75" xfId="5065"/>
    <cellStyle name="60% - Ênfase3 76" xfId="5066"/>
    <cellStyle name="60% - Ênfase3 77" xfId="5067"/>
    <cellStyle name="60% - Ênfase3 78" xfId="5068"/>
    <cellStyle name="60% - Ênfase3 79" xfId="5069"/>
    <cellStyle name="60% - Ênfase3 8" xfId="5070"/>
    <cellStyle name="60% - Ênfase3 8 2" xfId="5071"/>
    <cellStyle name="60% - Ênfase3 8 3" xfId="5072"/>
    <cellStyle name="60% - Ênfase3 8 4" xfId="5073"/>
    <cellStyle name="60% - Ênfase3 80" xfId="5074"/>
    <cellStyle name="60% - Ênfase3 81" xfId="5075"/>
    <cellStyle name="60% - Ênfase3 82" xfId="5076"/>
    <cellStyle name="60% - Ênfase3 83" xfId="5077"/>
    <cellStyle name="60% - Ênfase3 84" xfId="5078"/>
    <cellStyle name="60% - Ênfase3 85" xfId="5079"/>
    <cellStyle name="60% - Ênfase3 86" xfId="5080"/>
    <cellStyle name="60% - Ênfase3 87" xfId="5081"/>
    <cellStyle name="60% - Ênfase3 88" xfId="5082"/>
    <cellStyle name="60% - Ênfase3 89" xfId="5083"/>
    <cellStyle name="60% - Ênfase3 9" xfId="5084"/>
    <cellStyle name="60% - Ênfase3 90" xfId="5085"/>
    <cellStyle name="60% - Ênfase3 91" xfId="5086"/>
    <cellStyle name="60% - Ênfase3 92" xfId="5087"/>
    <cellStyle name="60% - Ênfase3 93" xfId="5088"/>
    <cellStyle name="60% - Ênfase3 94" xfId="5089"/>
    <cellStyle name="60% - Ênfase3 95" xfId="5090"/>
    <cellStyle name="60% - Ênfase3 96" xfId="5091"/>
    <cellStyle name="60% - Ênfase3 97" xfId="5092"/>
    <cellStyle name="60% - Ênfase3 98" xfId="5093"/>
    <cellStyle name="60% - Ênfase3 99" xfId="5094"/>
    <cellStyle name="60% - Ênfase4 10" xfId="5095"/>
    <cellStyle name="60% - Ênfase4 10 2" xfId="40518"/>
    <cellStyle name="60% - Ênfase4 100" xfId="5096"/>
    <cellStyle name="60% - Ênfase4 101" xfId="5097"/>
    <cellStyle name="60% - Ênfase4 102" xfId="5098"/>
    <cellStyle name="60% - Ênfase4 103" xfId="5099"/>
    <cellStyle name="60% - Ênfase4 104" xfId="5100"/>
    <cellStyle name="60% - Ênfase4 105" xfId="5101"/>
    <cellStyle name="60% - Ênfase4 106" xfId="5102"/>
    <cellStyle name="60% - Ênfase4 107" xfId="5103"/>
    <cellStyle name="60% - Ênfase4 108" xfId="5104"/>
    <cellStyle name="60% - Ênfase4 109" xfId="5105"/>
    <cellStyle name="60% - Ênfase4 11" xfId="5106"/>
    <cellStyle name="60% - Ênfase4 11 2" xfId="40519"/>
    <cellStyle name="60% - Ênfase4 110" xfId="5107"/>
    <cellStyle name="60% - Ênfase4 111" xfId="5108"/>
    <cellStyle name="60% - Ênfase4 112" xfId="5109"/>
    <cellStyle name="60% - Ênfase4 113" xfId="5110"/>
    <cellStyle name="60% - Ênfase4 114" xfId="5111"/>
    <cellStyle name="60% - Ênfase4 115" xfId="5112"/>
    <cellStyle name="60% - Ênfase4 116" xfId="5113"/>
    <cellStyle name="60% - Ênfase4 117" xfId="5114"/>
    <cellStyle name="60% - Ênfase4 118" xfId="5115"/>
    <cellStyle name="60% - Ênfase4 119" xfId="5116"/>
    <cellStyle name="60% - Ênfase4 12" xfId="5117"/>
    <cellStyle name="60% - Ênfase4 12 2" xfId="40520"/>
    <cellStyle name="60% - Ênfase4 120" xfId="5118"/>
    <cellStyle name="60% - Ênfase4 121" xfId="5119"/>
    <cellStyle name="60% - Ênfase4 122" xfId="5120"/>
    <cellStyle name="60% - Ênfase4 123" xfId="5121"/>
    <cellStyle name="60% - Ênfase4 124" xfId="5122"/>
    <cellStyle name="60% - Ênfase4 125" xfId="5123"/>
    <cellStyle name="60% - Ênfase4 126" xfId="5124"/>
    <cellStyle name="60% - Ênfase4 127" xfId="5125"/>
    <cellStyle name="60% - Ênfase4 128" xfId="5126"/>
    <cellStyle name="60% - Ênfase4 129" xfId="5127"/>
    <cellStyle name="60% - Ênfase4 13" xfId="5128"/>
    <cellStyle name="60% - Ênfase4 13 2" xfId="40521"/>
    <cellStyle name="60% - Ênfase4 130" xfId="5129"/>
    <cellStyle name="60% - Ênfase4 131" xfId="5130"/>
    <cellStyle name="60% - Ênfase4 132" xfId="5131"/>
    <cellStyle name="60% - Ênfase4 133" xfId="5132"/>
    <cellStyle name="60% - Ênfase4 134" xfId="5133"/>
    <cellStyle name="60% - Ênfase4 135" xfId="5134"/>
    <cellStyle name="60% - Ênfase4 136" xfId="5135"/>
    <cellStyle name="60% - Ênfase4 137" xfId="5136"/>
    <cellStyle name="60% - Ênfase4 138" xfId="5137"/>
    <cellStyle name="60% - Ênfase4 139" xfId="5138"/>
    <cellStyle name="60% - Ênfase4 14" xfId="5139"/>
    <cellStyle name="60% - Ênfase4 140" xfId="5140"/>
    <cellStyle name="60% - Ênfase4 141" xfId="5141"/>
    <cellStyle name="60% - Ênfase4 142" xfId="5142"/>
    <cellStyle name="60% - Ênfase4 143" xfId="5143"/>
    <cellStyle name="60% - Ênfase4 144" xfId="5144"/>
    <cellStyle name="60% - Ênfase4 145" xfId="5145"/>
    <cellStyle name="60% - Ênfase4 146" xfId="5146"/>
    <cellStyle name="60% - Ênfase4 147" xfId="5147"/>
    <cellStyle name="60% - Ênfase4 148" xfId="5148"/>
    <cellStyle name="60% - Ênfase4 149" xfId="5149"/>
    <cellStyle name="60% - Ênfase4 15" xfId="5150"/>
    <cellStyle name="60% - Ênfase4 15 2" xfId="5151"/>
    <cellStyle name="60% - Ênfase4 15 3" xfId="5152"/>
    <cellStyle name="60% - Ênfase4 150" xfId="5153"/>
    <cellStyle name="60% - Ênfase4 151" xfId="5154"/>
    <cellStyle name="60% - Ênfase4 152" xfId="5155"/>
    <cellStyle name="60% - Ênfase4 153" xfId="5156"/>
    <cellStyle name="60% - Ênfase4 154" xfId="5157"/>
    <cellStyle name="60% - Ênfase4 155" xfId="5158"/>
    <cellStyle name="60% - Ênfase4 156" xfId="5159"/>
    <cellStyle name="60% - Ênfase4 157" xfId="5160"/>
    <cellStyle name="60% - Ênfase4 158" xfId="5161"/>
    <cellStyle name="60% - Ênfase4 159" xfId="5162"/>
    <cellStyle name="60% - Ênfase4 16" xfId="5163"/>
    <cellStyle name="60% - Ênfase4 16 2" xfId="5164"/>
    <cellStyle name="60% - Ênfase4 16 3" xfId="5165"/>
    <cellStyle name="60% - Ênfase4 160" xfId="5166"/>
    <cellStyle name="60% - Ênfase4 161" xfId="5167"/>
    <cellStyle name="60% - Ênfase4 162" xfId="5168"/>
    <cellStyle name="60% - Ênfase4 163" xfId="5169"/>
    <cellStyle name="60% - Ênfase4 164" xfId="5170"/>
    <cellStyle name="60% - Ênfase4 165" xfId="5171"/>
    <cellStyle name="60% - Ênfase4 166" xfId="5172"/>
    <cellStyle name="60% - Ênfase4 167" xfId="5173"/>
    <cellStyle name="60% - Ênfase4 168" xfId="5174"/>
    <cellStyle name="60% - Ênfase4 169" xfId="5175"/>
    <cellStyle name="60% - Ênfase4 17" xfId="5176"/>
    <cellStyle name="60% - Ênfase4 17 2" xfId="5177"/>
    <cellStyle name="60% - Ênfase4 17 3" xfId="5178"/>
    <cellStyle name="60% - Ênfase4 170" xfId="5179"/>
    <cellStyle name="60% - Ênfase4 171" xfId="5180"/>
    <cellStyle name="60% - Ênfase4 172" xfId="5181"/>
    <cellStyle name="60% - Ênfase4 173" xfId="5182"/>
    <cellStyle name="60% - Ênfase4 174" xfId="5183"/>
    <cellStyle name="60% - Ênfase4 175" xfId="5184"/>
    <cellStyle name="60% - Ênfase4 176" xfId="5185"/>
    <cellStyle name="60% - Ênfase4 177" xfId="5186"/>
    <cellStyle name="60% - Ênfase4 178" xfId="5187"/>
    <cellStyle name="60% - Ênfase4 179" xfId="5188"/>
    <cellStyle name="60% - Ênfase4 18" xfId="5189"/>
    <cellStyle name="60% - Ênfase4 18 2" xfId="5190"/>
    <cellStyle name="60% - Ênfase4 18 3" xfId="5191"/>
    <cellStyle name="60% - Ênfase4 180" xfId="5192"/>
    <cellStyle name="60% - Ênfase4 181" xfId="5193"/>
    <cellStyle name="60% - Ênfase4 182" xfId="5194"/>
    <cellStyle name="60% - Ênfase4 183" xfId="5195"/>
    <cellStyle name="60% - Ênfase4 184" xfId="5196"/>
    <cellStyle name="60% - Ênfase4 185" xfId="5197"/>
    <cellStyle name="60% - Ênfase4 186" xfId="5198"/>
    <cellStyle name="60% - Ênfase4 187" xfId="5199"/>
    <cellStyle name="60% - Ênfase4 188" xfId="5200"/>
    <cellStyle name="60% - Ênfase4 189" xfId="5201"/>
    <cellStyle name="60% - Ênfase4 19" xfId="5202"/>
    <cellStyle name="60% - Ênfase4 19 2" xfId="5203"/>
    <cellStyle name="60% - Ênfase4 19 3" xfId="5204"/>
    <cellStyle name="60% - Ênfase4 190" xfId="5205"/>
    <cellStyle name="60% - Ênfase4 2" xfId="5206"/>
    <cellStyle name="60% - Ênfase4 2 10" xfId="5207"/>
    <cellStyle name="60% - Ênfase4 2 10 2" xfId="5208"/>
    <cellStyle name="60% - Ênfase4 2 10 3" xfId="5209"/>
    <cellStyle name="60% - Ênfase4 2 10 4" xfId="5210"/>
    <cellStyle name="60% - Ênfase4 2 10 5" xfId="5211"/>
    <cellStyle name="60% - Ênfase4 2 10 6" xfId="5212"/>
    <cellStyle name="60% - Ênfase4 2 10 7" xfId="5213"/>
    <cellStyle name="60% - Ênfase4 2 11" xfId="5214"/>
    <cellStyle name="60% - Ênfase4 2 11 2" xfId="5215"/>
    <cellStyle name="60% - Ênfase4 2 11 3" xfId="5216"/>
    <cellStyle name="60% - Ênfase4 2 11 4" xfId="5217"/>
    <cellStyle name="60% - Ênfase4 2 11 5" xfId="5218"/>
    <cellStyle name="60% - Ênfase4 2 11 6" xfId="5219"/>
    <cellStyle name="60% - Ênfase4 2 11 7" xfId="5220"/>
    <cellStyle name="60% - Ênfase4 2 12" xfId="5221"/>
    <cellStyle name="60% - Ênfase4 2 13" xfId="5222"/>
    <cellStyle name="60% - Ênfase4 2 14" xfId="5223"/>
    <cellStyle name="60% - Ênfase4 2 15" xfId="5224"/>
    <cellStyle name="60% - Ênfase4 2 16" xfId="5225"/>
    <cellStyle name="60% - Ênfase4 2 17" xfId="5226"/>
    <cellStyle name="60% - Ênfase4 2 18" xfId="5227"/>
    <cellStyle name="60% - Ênfase4 2 19" xfId="5228"/>
    <cellStyle name="60% - Ênfase4 2 2" xfId="5229"/>
    <cellStyle name="60% - Ênfase4 2 20" xfId="5230"/>
    <cellStyle name="60% - Ênfase4 2 21" xfId="5231"/>
    <cellStyle name="60% - Ênfase4 2 22" xfId="5232"/>
    <cellStyle name="60% - Ênfase4 2 23" xfId="5233"/>
    <cellStyle name="60% - Ênfase4 2 24" xfId="5234"/>
    <cellStyle name="60% - Ênfase4 2 25" xfId="5235"/>
    <cellStyle name="60% - Ênfase4 2 26" xfId="5236"/>
    <cellStyle name="60% - Ênfase4 2 27" xfId="5237"/>
    <cellStyle name="60% - Ênfase4 2 28" xfId="5238"/>
    <cellStyle name="60% - Ênfase4 2 29" xfId="5239"/>
    <cellStyle name="60% - Ênfase4 2 3" xfId="5240"/>
    <cellStyle name="60% - Ênfase4 2 30" xfId="5241"/>
    <cellStyle name="60% - Ênfase4 2 31" xfId="5242"/>
    <cellStyle name="60% - Ênfase4 2 32" xfId="5243"/>
    <cellStyle name="60% - Ênfase4 2 33" xfId="5244"/>
    <cellStyle name="60% - Ênfase4 2 34" xfId="5245"/>
    <cellStyle name="60% - Ênfase4 2 35" xfId="5246"/>
    <cellStyle name="60% - Ênfase4 2 4" xfId="5247"/>
    <cellStyle name="60% - Ênfase4 2 5" xfId="5248"/>
    <cellStyle name="60% - Ênfase4 2 6" xfId="5249"/>
    <cellStyle name="60% - Ênfase4 2 7" xfId="5250"/>
    <cellStyle name="60% - Ênfase4 2 8" xfId="5251"/>
    <cellStyle name="60% - Ênfase4 2 8 2" xfId="5252"/>
    <cellStyle name="60% - Ênfase4 2 8 3" xfId="5253"/>
    <cellStyle name="60% - Ênfase4 2 8 4" xfId="5254"/>
    <cellStyle name="60% - Ênfase4 2 8 5" xfId="5255"/>
    <cellStyle name="60% - Ênfase4 2 8 6" xfId="5256"/>
    <cellStyle name="60% - Ênfase4 2 8 7" xfId="5257"/>
    <cellStyle name="60% - Ênfase4 2 9" xfId="5258"/>
    <cellStyle name="60% - Ênfase4 2 9 2" xfId="5259"/>
    <cellStyle name="60% - Ênfase4 2 9 3" xfId="5260"/>
    <cellStyle name="60% - Ênfase4 2 9 4" xfId="5261"/>
    <cellStyle name="60% - Ênfase4 2 9 5" xfId="5262"/>
    <cellStyle name="60% - Ênfase4 2 9 6" xfId="5263"/>
    <cellStyle name="60% - Ênfase4 2 9 7" xfId="5264"/>
    <cellStyle name="60% - Ênfase4 20" xfId="5265"/>
    <cellStyle name="60% - Ênfase4 20 2" xfId="5266"/>
    <cellStyle name="60% - Ênfase4 20 3" xfId="5267"/>
    <cellStyle name="60% - Ênfase4 21" xfId="5268"/>
    <cellStyle name="60% - Ênfase4 22" xfId="5269"/>
    <cellStyle name="60% - Ênfase4 23" xfId="5270"/>
    <cellStyle name="60% - Ênfase4 24" xfId="5271"/>
    <cellStyle name="60% - Ênfase4 24 2" xfId="40942"/>
    <cellStyle name="60% - Ênfase4 25" xfId="5272"/>
    <cellStyle name="60% - Ênfase4 25 2" xfId="40977"/>
    <cellStyle name="60% - Ênfase4 26" xfId="5273"/>
    <cellStyle name="60% - Ênfase4 26 10" xfId="5274"/>
    <cellStyle name="60% - Ênfase4 26 11" xfId="5275"/>
    <cellStyle name="60% - Ênfase4 26 12" xfId="5276"/>
    <cellStyle name="60% - Ênfase4 26 13" xfId="5277"/>
    <cellStyle name="60% - Ênfase4 26 14" xfId="5278"/>
    <cellStyle name="60% - Ênfase4 26 15" xfId="5279"/>
    <cellStyle name="60% - Ênfase4 26 16" xfId="5280"/>
    <cellStyle name="60% - Ênfase4 26 2" xfId="5281"/>
    <cellStyle name="60% - Ênfase4 26 3" xfId="5282"/>
    <cellStyle name="60% - Ênfase4 26 4" xfId="5283"/>
    <cellStyle name="60% - Ênfase4 26 5" xfId="5284"/>
    <cellStyle name="60% - Ênfase4 26 6" xfId="5285"/>
    <cellStyle name="60% - Ênfase4 26 7" xfId="5286"/>
    <cellStyle name="60% - Ênfase4 26 8" xfId="5287"/>
    <cellStyle name="60% - Ênfase4 26 9" xfId="5288"/>
    <cellStyle name="60% - Ênfase4 27" xfId="5289"/>
    <cellStyle name="60% - Ênfase4 27 10" xfId="5290"/>
    <cellStyle name="60% - Ênfase4 27 11" xfId="5291"/>
    <cellStyle name="60% - Ênfase4 27 12" xfId="5292"/>
    <cellStyle name="60% - Ênfase4 27 13" xfId="5293"/>
    <cellStyle name="60% - Ênfase4 27 14" xfId="5294"/>
    <cellStyle name="60% - Ênfase4 27 15" xfId="5295"/>
    <cellStyle name="60% - Ênfase4 27 16" xfId="5296"/>
    <cellStyle name="60% - Ênfase4 27 2" xfId="5297"/>
    <cellStyle name="60% - Ênfase4 27 3" xfId="5298"/>
    <cellStyle name="60% - Ênfase4 27 4" xfId="5299"/>
    <cellStyle name="60% - Ênfase4 27 5" xfId="5300"/>
    <cellStyle name="60% - Ênfase4 27 6" xfId="5301"/>
    <cellStyle name="60% - Ênfase4 27 7" xfId="5302"/>
    <cellStyle name="60% - Ênfase4 27 8" xfId="5303"/>
    <cellStyle name="60% - Ênfase4 27 9" xfId="5304"/>
    <cellStyle name="60% - Ênfase4 28" xfId="5305"/>
    <cellStyle name="60% - Ênfase4 28 10" xfId="5306"/>
    <cellStyle name="60% - Ênfase4 28 11" xfId="5307"/>
    <cellStyle name="60% - Ênfase4 28 12" xfId="5308"/>
    <cellStyle name="60% - Ênfase4 28 13" xfId="5309"/>
    <cellStyle name="60% - Ênfase4 28 14" xfId="5310"/>
    <cellStyle name="60% - Ênfase4 28 15" xfId="5311"/>
    <cellStyle name="60% - Ênfase4 28 16" xfId="5312"/>
    <cellStyle name="60% - Ênfase4 28 2" xfId="5313"/>
    <cellStyle name="60% - Ênfase4 28 3" xfId="5314"/>
    <cellStyle name="60% - Ênfase4 28 4" xfId="5315"/>
    <cellStyle name="60% - Ênfase4 28 5" xfId="5316"/>
    <cellStyle name="60% - Ênfase4 28 6" xfId="5317"/>
    <cellStyle name="60% - Ênfase4 28 7" xfId="5318"/>
    <cellStyle name="60% - Ênfase4 28 8" xfId="5319"/>
    <cellStyle name="60% - Ênfase4 28 9" xfId="5320"/>
    <cellStyle name="60% - Ênfase4 29" xfId="5321"/>
    <cellStyle name="60% - Ênfase4 29 10" xfId="5322"/>
    <cellStyle name="60% - Ênfase4 29 11" xfId="5323"/>
    <cellStyle name="60% - Ênfase4 29 12" xfId="5324"/>
    <cellStyle name="60% - Ênfase4 29 13" xfId="5325"/>
    <cellStyle name="60% - Ênfase4 29 14" xfId="5326"/>
    <cellStyle name="60% - Ênfase4 29 15" xfId="5327"/>
    <cellStyle name="60% - Ênfase4 29 16" xfId="5328"/>
    <cellStyle name="60% - Ênfase4 29 2" xfId="5329"/>
    <cellStyle name="60% - Ênfase4 29 3" xfId="5330"/>
    <cellStyle name="60% - Ênfase4 29 4" xfId="5331"/>
    <cellStyle name="60% - Ênfase4 29 5" xfId="5332"/>
    <cellStyle name="60% - Ênfase4 29 6" xfId="5333"/>
    <cellStyle name="60% - Ênfase4 29 7" xfId="5334"/>
    <cellStyle name="60% - Ênfase4 29 8" xfId="5335"/>
    <cellStyle name="60% - Ênfase4 29 9" xfId="5336"/>
    <cellStyle name="60% - Ênfase4 3" xfId="5337"/>
    <cellStyle name="60% - Ênfase4 3 10" xfId="5338"/>
    <cellStyle name="60% - Ênfase4 3 11" xfId="5339"/>
    <cellStyle name="60% - Ênfase4 3 2" xfId="5340"/>
    <cellStyle name="60% - Ênfase4 3 3" xfId="5341"/>
    <cellStyle name="60% - Ênfase4 3 4" xfId="5342"/>
    <cellStyle name="60% - Ênfase4 3 5" xfId="5343"/>
    <cellStyle name="60% - Ênfase4 3 6" xfId="5344"/>
    <cellStyle name="60% - Ênfase4 3 7" xfId="5345"/>
    <cellStyle name="60% - Ênfase4 3 8" xfId="5346"/>
    <cellStyle name="60% - Ênfase4 3 9" xfId="5347"/>
    <cellStyle name="60% - Ênfase4 30" xfId="5348"/>
    <cellStyle name="60% - Ênfase4 31" xfId="5349"/>
    <cellStyle name="60% - Ênfase4 32" xfId="5350"/>
    <cellStyle name="60% - Ênfase4 33" xfId="5351"/>
    <cellStyle name="60% - Ênfase4 34" xfId="5352"/>
    <cellStyle name="60% - Ênfase4 35" xfId="5353"/>
    <cellStyle name="60% - Ênfase4 36" xfId="5354"/>
    <cellStyle name="60% - Ênfase4 37" xfId="5355"/>
    <cellStyle name="60% - Ênfase4 38" xfId="5356"/>
    <cellStyle name="60% - Ênfase4 39" xfId="5357"/>
    <cellStyle name="60% - Ênfase4 4" xfId="5358"/>
    <cellStyle name="60% - Ênfase4 4 10" xfId="5359"/>
    <cellStyle name="60% - Ênfase4 4 11" xfId="5360"/>
    <cellStyle name="60% - Ênfase4 4 2" xfId="5361"/>
    <cellStyle name="60% - Ênfase4 4 3" xfId="5362"/>
    <cellStyle name="60% - Ênfase4 4 4" xfId="5363"/>
    <cellStyle name="60% - Ênfase4 4 5" xfId="5364"/>
    <cellStyle name="60% - Ênfase4 4 6" xfId="5365"/>
    <cellStyle name="60% - Ênfase4 4 7" xfId="5366"/>
    <cellStyle name="60% - Ênfase4 4 8" xfId="5367"/>
    <cellStyle name="60% - Ênfase4 4 9" xfId="5368"/>
    <cellStyle name="60% - Ênfase4 40" xfId="5369"/>
    <cellStyle name="60% - Ênfase4 41" xfId="5370"/>
    <cellStyle name="60% - Ênfase4 42" xfId="5371"/>
    <cellStyle name="60% - Ênfase4 43" xfId="5372"/>
    <cellStyle name="60% - Ênfase4 44" xfId="5373"/>
    <cellStyle name="60% - Ênfase4 45" xfId="5374"/>
    <cellStyle name="60% - Ênfase4 46" xfId="5375"/>
    <cellStyle name="60% - Ênfase4 47" xfId="5376"/>
    <cellStyle name="60% - Ênfase4 48" xfId="5377"/>
    <cellStyle name="60% - Ênfase4 49" xfId="5378"/>
    <cellStyle name="60% - Ênfase4 5" xfId="5379"/>
    <cellStyle name="60% - Ênfase4 5 2" xfId="5380"/>
    <cellStyle name="60% - Ênfase4 5 3" xfId="5381"/>
    <cellStyle name="60% - Ênfase4 5 4" xfId="5382"/>
    <cellStyle name="60% - Ênfase4 50" xfId="5383"/>
    <cellStyle name="60% - Ênfase4 51" xfId="5384"/>
    <cellStyle name="60% - Ênfase4 52" xfId="5385"/>
    <cellStyle name="60% - Ênfase4 53" xfId="5386"/>
    <cellStyle name="60% - Ênfase4 54" xfId="5387"/>
    <cellStyle name="60% - Ênfase4 55" xfId="5388"/>
    <cellStyle name="60% - Ênfase4 56" xfId="5389"/>
    <cellStyle name="60% - Ênfase4 57" xfId="5390"/>
    <cellStyle name="60% - Ênfase4 58" xfId="5391"/>
    <cellStyle name="60% - Ênfase4 59" xfId="5392"/>
    <cellStyle name="60% - Ênfase4 6" xfId="5393"/>
    <cellStyle name="60% - Ênfase4 6 2" xfId="5394"/>
    <cellStyle name="60% - Ênfase4 6 3" xfId="5395"/>
    <cellStyle name="60% - Ênfase4 6 4" xfId="5396"/>
    <cellStyle name="60% - Ênfase4 60" xfId="5397"/>
    <cellStyle name="60% - Ênfase4 61" xfId="5398"/>
    <cellStyle name="60% - Ênfase4 62" xfId="5399"/>
    <cellStyle name="60% - Ênfase4 63" xfId="5400"/>
    <cellStyle name="60% - Ênfase4 64" xfId="5401"/>
    <cellStyle name="60% - Ênfase4 65" xfId="5402"/>
    <cellStyle name="60% - Ênfase4 66" xfId="5403"/>
    <cellStyle name="60% - Ênfase4 67" xfId="5404"/>
    <cellStyle name="60% - Ênfase4 68" xfId="5405"/>
    <cellStyle name="60% - Ênfase4 69" xfId="5406"/>
    <cellStyle name="60% - Ênfase4 7" xfId="5407"/>
    <cellStyle name="60% - Ênfase4 7 2" xfId="5408"/>
    <cellStyle name="60% - Ênfase4 7 3" xfId="5409"/>
    <cellStyle name="60% - Ênfase4 7 4" xfId="5410"/>
    <cellStyle name="60% - Ênfase4 70" xfId="5411"/>
    <cellStyle name="60% - Ênfase4 71" xfId="5412"/>
    <cellStyle name="60% - Ênfase4 72" xfId="5413"/>
    <cellStyle name="60% - Ênfase4 73" xfId="5414"/>
    <cellStyle name="60% - Ênfase4 74" xfId="5415"/>
    <cellStyle name="60% - Ênfase4 75" xfId="5416"/>
    <cellStyle name="60% - Ênfase4 76" xfId="5417"/>
    <cellStyle name="60% - Ênfase4 77" xfId="5418"/>
    <cellStyle name="60% - Ênfase4 78" xfId="5419"/>
    <cellStyle name="60% - Ênfase4 79" xfId="5420"/>
    <cellStyle name="60% - Ênfase4 8" xfId="5421"/>
    <cellStyle name="60% - Ênfase4 8 2" xfId="5422"/>
    <cellStyle name="60% - Ênfase4 8 3" xfId="5423"/>
    <cellStyle name="60% - Ênfase4 8 4" xfId="5424"/>
    <cellStyle name="60% - Ênfase4 80" xfId="5425"/>
    <cellStyle name="60% - Ênfase4 81" xfId="5426"/>
    <cellStyle name="60% - Ênfase4 82" xfId="5427"/>
    <cellStyle name="60% - Ênfase4 83" xfId="5428"/>
    <cellStyle name="60% - Ênfase4 84" xfId="5429"/>
    <cellStyle name="60% - Ênfase4 85" xfId="5430"/>
    <cellStyle name="60% - Ênfase4 86" xfId="5431"/>
    <cellStyle name="60% - Ênfase4 87" xfId="5432"/>
    <cellStyle name="60% - Ênfase4 88" xfId="5433"/>
    <cellStyle name="60% - Ênfase4 89" xfId="5434"/>
    <cellStyle name="60% - Ênfase4 9" xfId="5435"/>
    <cellStyle name="60% - Ênfase4 90" xfId="5436"/>
    <cellStyle name="60% - Ênfase4 91" xfId="5437"/>
    <cellStyle name="60% - Ênfase4 92" xfId="5438"/>
    <cellStyle name="60% - Ênfase4 93" xfId="5439"/>
    <cellStyle name="60% - Ênfase4 94" xfId="5440"/>
    <cellStyle name="60% - Ênfase4 95" xfId="5441"/>
    <cellStyle name="60% - Ênfase4 96" xfId="5442"/>
    <cellStyle name="60% - Ênfase4 97" xfId="5443"/>
    <cellStyle name="60% - Ênfase4 98" xfId="5444"/>
    <cellStyle name="60% - Ênfase4 99" xfId="5445"/>
    <cellStyle name="60% - Ênfase5 10" xfId="5446"/>
    <cellStyle name="60% - Ênfase5 10 2" xfId="40522"/>
    <cellStyle name="60% - Ênfase5 100" xfId="5447"/>
    <cellStyle name="60% - Ênfase5 101" xfId="5448"/>
    <cellStyle name="60% - Ênfase5 102" xfId="5449"/>
    <cellStyle name="60% - Ênfase5 103" xfId="5450"/>
    <cellStyle name="60% - Ênfase5 104" xfId="5451"/>
    <cellStyle name="60% - Ênfase5 105" xfId="5452"/>
    <cellStyle name="60% - Ênfase5 106" xfId="5453"/>
    <cellStyle name="60% - Ênfase5 107" xfId="5454"/>
    <cellStyle name="60% - Ênfase5 108" xfId="5455"/>
    <cellStyle name="60% - Ênfase5 109" xfId="5456"/>
    <cellStyle name="60% - Ênfase5 11" xfId="5457"/>
    <cellStyle name="60% - Ênfase5 11 2" xfId="40523"/>
    <cellStyle name="60% - Ênfase5 110" xfId="5458"/>
    <cellStyle name="60% - Ênfase5 111" xfId="5459"/>
    <cellStyle name="60% - Ênfase5 112" xfId="5460"/>
    <cellStyle name="60% - Ênfase5 113" xfId="5461"/>
    <cellStyle name="60% - Ênfase5 114" xfId="5462"/>
    <cellStyle name="60% - Ênfase5 115" xfId="5463"/>
    <cellStyle name="60% - Ênfase5 116" xfId="5464"/>
    <cellStyle name="60% - Ênfase5 117" xfId="5465"/>
    <cellStyle name="60% - Ênfase5 118" xfId="5466"/>
    <cellStyle name="60% - Ênfase5 119" xfId="5467"/>
    <cellStyle name="60% - Ênfase5 12" xfId="5468"/>
    <cellStyle name="60% - Ênfase5 12 2" xfId="40524"/>
    <cellStyle name="60% - Ênfase5 120" xfId="5469"/>
    <cellStyle name="60% - Ênfase5 121" xfId="5470"/>
    <cellStyle name="60% - Ênfase5 122" xfId="5471"/>
    <cellStyle name="60% - Ênfase5 123" xfId="5472"/>
    <cellStyle name="60% - Ênfase5 124" xfId="5473"/>
    <cellStyle name="60% - Ênfase5 125" xfId="5474"/>
    <cellStyle name="60% - Ênfase5 126" xfId="5475"/>
    <cellStyle name="60% - Ênfase5 127" xfId="5476"/>
    <cellStyle name="60% - Ênfase5 128" xfId="5477"/>
    <cellStyle name="60% - Ênfase5 129" xfId="5478"/>
    <cellStyle name="60% - Ênfase5 13" xfId="5479"/>
    <cellStyle name="60% - Ênfase5 13 2" xfId="40525"/>
    <cellStyle name="60% - Ênfase5 130" xfId="5480"/>
    <cellStyle name="60% - Ênfase5 131" xfId="5481"/>
    <cellStyle name="60% - Ênfase5 132" xfId="5482"/>
    <cellStyle name="60% - Ênfase5 133" xfId="5483"/>
    <cellStyle name="60% - Ênfase5 134" xfId="5484"/>
    <cellStyle name="60% - Ênfase5 135" xfId="5485"/>
    <cellStyle name="60% - Ênfase5 136" xfId="5486"/>
    <cellStyle name="60% - Ênfase5 137" xfId="5487"/>
    <cellStyle name="60% - Ênfase5 138" xfId="5488"/>
    <cellStyle name="60% - Ênfase5 139" xfId="5489"/>
    <cellStyle name="60% - Ênfase5 14" xfId="5490"/>
    <cellStyle name="60% - Ênfase5 140" xfId="5491"/>
    <cellStyle name="60% - Ênfase5 141" xfId="5492"/>
    <cellStyle name="60% - Ênfase5 142" xfId="5493"/>
    <cellStyle name="60% - Ênfase5 143" xfId="5494"/>
    <cellStyle name="60% - Ênfase5 144" xfId="5495"/>
    <cellStyle name="60% - Ênfase5 145" xfId="5496"/>
    <cellStyle name="60% - Ênfase5 146" xfId="5497"/>
    <cellStyle name="60% - Ênfase5 147" xfId="5498"/>
    <cellStyle name="60% - Ênfase5 148" xfId="5499"/>
    <cellStyle name="60% - Ênfase5 149" xfId="5500"/>
    <cellStyle name="60% - Ênfase5 15" xfId="5501"/>
    <cellStyle name="60% - Ênfase5 15 2" xfId="5502"/>
    <cellStyle name="60% - Ênfase5 15 3" xfId="5503"/>
    <cellStyle name="60% - Ênfase5 150" xfId="5504"/>
    <cellStyle name="60% - Ênfase5 151" xfId="5505"/>
    <cellStyle name="60% - Ênfase5 152" xfId="5506"/>
    <cellStyle name="60% - Ênfase5 153" xfId="5507"/>
    <cellStyle name="60% - Ênfase5 154" xfId="5508"/>
    <cellStyle name="60% - Ênfase5 155" xfId="5509"/>
    <cellStyle name="60% - Ênfase5 156" xfId="5510"/>
    <cellStyle name="60% - Ênfase5 157" xfId="5511"/>
    <cellStyle name="60% - Ênfase5 158" xfId="5512"/>
    <cellStyle name="60% - Ênfase5 159" xfId="5513"/>
    <cellStyle name="60% - Ênfase5 16" xfId="5514"/>
    <cellStyle name="60% - Ênfase5 16 2" xfId="5515"/>
    <cellStyle name="60% - Ênfase5 16 3" xfId="5516"/>
    <cellStyle name="60% - Ênfase5 160" xfId="5517"/>
    <cellStyle name="60% - Ênfase5 161" xfId="5518"/>
    <cellStyle name="60% - Ênfase5 162" xfId="5519"/>
    <cellStyle name="60% - Ênfase5 163" xfId="5520"/>
    <cellStyle name="60% - Ênfase5 164" xfId="5521"/>
    <cellStyle name="60% - Ênfase5 165" xfId="5522"/>
    <cellStyle name="60% - Ênfase5 166" xfId="5523"/>
    <cellStyle name="60% - Ênfase5 167" xfId="5524"/>
    <cellStyle name="60% - Ênfase5 168" xfId="5525"/>
    <cellStyle name="60% - Ênfase5 169" xfId="5526"/>
    <cellStyle name="60% - Ênfase5 17" xfId="5527"/>
    <cellStyle name="60% - Ênfase5 17 2" xfId="5528"/>
    <cellStyle name="60% - Ênfase5 17 3" xfId="5529"/>
    <cellStyle name="60% - Ênfase5 170" xfId="5530"/>
    <cellStyle name="60% - Ênfase5 171" xfId="5531"/>
    <cellStyle name="60% - Ênfase5 172" xfId="5532"/>
    <cellStyle name="60% - Ênfase5 173" xfId="5533"/>
    <cellStyle name="60% - Ênfase5 174" xfId="5534"/>
    <cellStyle name="60% - Ênfase5 175" xfId="5535"/>
    <cellStyle name="60% - Ênfase5 176" xfId="5536"/>
    <cellStyle name="60% - Ênfase5 177" xfId="5537"/>
    <cellStyle name="60% - Ênfase5 178" xfId="5538"/>
    <cellStyle name="60% - Ênfase5 179" xfId="5539"/>
    <cellStyle name="60% - Ênfase5 18" xfId="5540"/>
    <cellStyle name="60% - Ênfase5 18 2" xfId="5541"/>
    <cellStyle name="60% - Ênfase5 18 3" xfId="5542"/>
    <cellStyle name="60% - Ênfase5 180" xfId="5543"/>
    <cellStyle name="60% - Ênfase5 181" xfId="5544"/>
    <cellStyle name="60% - Ênfase5 182" xfId="5545"/>
    <cellStyle name="60% - Ênfase5 183" xfId="5546"/>
    <cellStyle name="60% - Ênfase5 184" xfId="5547"/>
    <cellStyle name="60% - Ênfase5 185" xfId="5548"/>
    <cellStyle name="60% - Ênfase5 186" xfId="5549"/>
    <cellStyle name="60% - Ênfase5 187" xfId="5550"/>
    <cellStyle name="60% - Ênfase5 188" xfId="5551"/>
    <cellStyle name="60% - Ênfase5 189" xfId="5552"/>
    <cellStyle name="60% - Ênfase5 19" xfId="5553"/>
    <cellStyle name="60% - Ênfase5 19 2" xfId="5554"/>
    <cellStyle name="60% - Ênfase5 19 3" xfId="5555"/>
    <cellStyle name="60% - Ênfase5 190" xfId="5556"/>
    <cellStyle name="60% - Ênfase5 2" xfId="5557"/>
    <cellStyle name="60% - Ênfase5 2 10" xfId="5558"/>
    <cellStyle name="60% - Ênfase5 2 10 2" xfId="5559"/>
    <cellStyle name="60% - Ênfase5 2 10 3" xfId="5560"/>
    <cellStyle name="60% - Ênfase5 2 10 4" xfId="5561"/>
    <cellStyle name="60% - Ênfase5 2 10 5" xfId="5562"/>
    <cellStyle name="60% - Ênfase5 2 10 6" xfId="5563"/>
    <cellStyle name="60% - Ênfase5 2 10 7" xfId="5564"/>
    <cellStyle name="60% - Ênfase5 2 11" xfId="5565"/>
    <cellStyle name="60% - Ênfase5 2 11 2" xfId="5566"/>
    <cellStyle name="60% - Ênfase5 2 11 3" xfId="5567"/>
    <cellStyle name="60% - Ênfase5 2 11 4" xfId="5568"/>
    <cellStyle name="60% - Ênfase5 2 11 5" xfId="5569"/>
    <cellStyle name="60% - Ênfase5 2 11 6" xfId="5570"/>
    <cellStyle name="60% - Ênfase5 2 11 7" xfId="5571"/>
    <cellStyle name="60% - Ênfase5 2 12" xfId="5572"/>
    <cellStyle name="60% - Ênfase5 2 13" xfId="5573"/>
    <cellStyle name="60% - Ênfase5 2 14" xfId="5574"/>
    <cellStyle name="60% - Ênfase5 2 15" xfId="5575"/>
    <cellStyle name="60% - Ênfase5 2 16" xfId="5576"/>
    <cellStyle name="60% - Ênfase5 2 17" xfId="5577"/>
    <cellStyle name="60% - Ênfase5 2 18" xfId="5578"/>
    <cellStyle name="60% - Ênfase5 2 19" xfId="5579"/>
    <cellStyle name="60% - Ênfase5 2 2" xfId="5580"/>
    <cellStyle name="60% - Ênfase5 2 20" xfId="5581"/>
    <cellStyle name="60% - Ênfase5 2 21" xfId="5582"/>
    <cellStyle name="60% - Ênfase5 2 22" xfId="5583"/>
    <cellStyle name="60% - Ênfase5 2 23" xfId="5584"/>
    <cellStyle name="60% - Ênfase5 2 24" xfId="5585"/>
    <cellStyle name="60% - Ênfase5 2 25" xfId="5586"/>
    <cellStyle name="60% - Ênfase5 2 26" xfId="5587"/>
    <cellStyle name="60% - Ênfase5 2 27" xfId="5588"/>
    <cellStyle name="60% - Ênfase5 2 28" xfId="5589"/>
    <cellStyle name="60% - Ênfase5 2 29" xfId="5590"/>
    <cellStyle name="60% - Ênfase5 2 3" xfId="5591"/>
    <cellStyle name="60% - Ênfase5 2 30" xfId="5592"/>
    <cellStyle name="60% - Ênfase5 2 31" xfId="5593"/>
    <cellStyle name="60% - Ênfase5 2 32" xfId="5594"/>
    <cellStyle name="60% - Ênfase5 2 33" xfId="5595"/>
    <cellStyle name="60% - Ênfase5 2 34" xfId="5596"/>
    <cellStyle name="60% - Ênfase5 2 35" xfId="5597"/>
    <cellStyle name="60% - Ênfase5 2 4" xfId="5598"/>
    <cellStyle name="60% - Ênfase5 2 5" xfId="5599"/>
    <cellStyle name="60% - Ênfase5 2 6" xfId="5600"/>
    <cellStyle name="60% - Ênfase5 2 7" xfId="5601"/>
    <cellStyle name="60% - Ênfase5 2 8" xfId="5602"/>
    <cellStyle name="60% - Ênfase5 2 8 2" xfId="5603"/>
    <cellStyle name="60% - Ênfase5 2 8 3" xfId="5604"/>
    <cellStyle name="60% - Ênfase5 2 8 4" xfId="5605"/>
    <cellStyle name="60% - Ênfase5 2 8 5" xfId="5606"/>
    <cellStyle name="60% - Ênfase5 2 8 6" xfId="5607"/>
    <cellStyle name="60% - Ênfase5 2 8 7" xfId="5608"/>
    <cellStyle name="60% - Ênfase5 2 9" xfId="5609"/>
    <cellStyle name="60% - Ênfase5 2 9 2" xfId="5610"/>
    <cellStyle name="60% - Ênfase5 2 9 3" xfId="5611"/>
    <cellStyle name="60% - Ênfase5 2 9 4" xfId="5612"/>
    <cellStyle name="60% - Ênfase5 2 9 5" xfId="5613"/>
    <cellStyle name="60% - Ênfase5 2 9 6" xfId="5614"/>
    <cellStyle name="60% - Ênfase5 2 9 7" xfId="5615"/>
    <cellStyle name="60% - Ênfase5 20" xfId="5616"/>
    <cellStyle name="60% - Ênfase5 20 2" xfId="5617"/>
    <cellStyle name="60% - Ênfase5 20 3" xfId="5618"/>
    <cellStyle name="60% - Ênfase5 21" xfId="5619"/>
    <cellStyle name="60% - Ênfase5 22" xfId="5620"/>
    <cellStyle name="60% - Ênfase5 23" xfId="5621"/>
    <cellStyle name="60% - Ênfase5 24" xfId="5622"/>
    <cellStyle name="60% - Ênfase5 24 2" xfId="40943"/>
    <cellStyle name="60% - Ênfase5 25" xfId="5623"/>
    <cellStyle name="60% - Ênfase5 25 2" xfId="40978"/>
    <cellStyle name="60% - Ênfase5 26" xfId="5624"/>
    <cellStyle name="60% - Ênfase5 26 10" xfId="5625"/>
    <cellStyle name="60% - Ênfase5 26 11" xfId="5626"/>
    <cellStyle name="60% - Ênfase5 26 12" xfId="5627"/>
    <cellStyle name="60% - Ênfase5 26 13" xfId="5628"/>
    <cellStyle name="60% - Ênfase5 26 14" xfId="5629"/>
    <cellStyle name="60% - Ênfase5 26 15" xfId="5630"/>
    <cellStyle name="60% - Ênfase5 26 16" xfId="5631"/>
    <cellStyle name="60% - Ênfase5 26 2" xfId="5632"/>
    <cellStyle name="60% - Ênfase5 26 3" xfId="5633"/>
    <cellStyle name="60% - Ênfase5 26 4" xfId="5634"/>
    <cellStyle name="60% - Ênfase5 26 5" xfId="5635"/>
    <cellStyle name="60% - Ênfase5 26 6" xfId="5636"/>
    <cellStyle name="60% - Ênfase5 26 7" xfId="5637"/>
    <cellStyle name="60% - Ênfase5 26 8" xfId="5638"/>
    <cellStyle name="60% - Ênfase5 26 9" xfId="5639"/>
    <cellStyle name="60% - Ênfase5 27" xfId="5640"/>
    <cellStyle name="60% - Ênfase5 27 10" xfId="5641"/>
    <cellStyle name="60% - Ênfase5 27 11" xfId="5642"/>
    <cellStyle name="60% - Ênfase5 27 12" xfId="5643"/>
    <cellStyle name="60% - Ênfase5 27 13" xfId="5644"/>
    <cellStyle name="60% - Ênfase5 27 14" xfId="5645"/>
    <cellStyle name="60% - Ênfase5 27 15" xfId="5646"/>
    <cellStyle name="60% - Ênfase5 27 16" xfId="5647"/>
    <cellStyle name="60% - Ênfase5 27 2" xfId="5648"/>
    <cellStyle name="60% - Ênfase5 27 3" xfId="5649"/>
    <cellStyle name="60% - Ênfase5 27 4" xfId="5650"/>
    <cellStyle name="60% - Ênfase5 27 5" xfId="5651"/>
    <cellStyle name="60% - Ênfase5 27 6" xfId="5652"/>
    <cellStyle name="60% - Ênfase5 27 7" xfId="5653"/>
    <cellStyle name="60% - Ênfase5 27 8" xfId="5654"/>
    <cellStyle name="60% - Ênfase5 27 9" xfId="5655"/>
    <cellStyle name="60% - Ênfase5 28" xfId="5656"/>
    <cellStyle name="60% - Ênfase5 28 10" xfId="5657"/>
    <cellStyle name="60% - Ênfase5 28 11" xfId="5658"/>
    <cellStyle name="60% - Ênfase5 28 12" xfId="5659"/>
    <cellStyle name="60% - Ênfase5 28 13" xfId="5660"/>
    <cellStyle name="60% - Ênfase5 28 14" xfId="5661"/>
    <cellStyle name="60% - Ênfase5 28 15" xfId="5662"/>
    <cellStyle name="60% - Ênfase5 28 16" xfId="5663"/>
    <cellStyle name="60% - Ênfase5 28 2" xfId="5664"/>
    <cellStyle name="60% - Ênfase5 28 3" xfId="5665"/>
    <cellStyle name="60% - Ênfase5 28 4" xfId="5666"/>
    <cellStyle name="60% - Ênfase5 28 5" xfId="5667"/>
    <cellStyle name="60% - Ênfase5 28 6" xfId="5668"/>
    <cellStyle name="60% - Ênfase5 28 7" xfId="5669"/>
    <cellStyle name="60% - Ênfase5 28 8" xfId="5670"/>
    <cellStyle name="60% - Ênfase5 28 9" xfId="5671"/>
    <cellStyle name="60% - Ênfase5 29" xfId="5672"/>
    <cellStyle name="60% - Ênfase5 29 10" xfId="5673"/>
    <cellStyle name="60% - Ênfase5 29 11" xfId="5674"/>
    <cellStyle name="60% - Ênfase5 29 12" xfId="5675"/>
    <cellStyle name="60% - Ênfase5 29 13" xfId="5676"/>
    <cellStyle name="60% - Ênfase5 29 14" xfId="5677"/>
    <cellStyle name="60% - Ênfase5 29 15" xfId="5678"/>
    <cellStyle name="60% - Ênfase5 29 16" xfId="5679"/>
    <cellStyle name="60% - Ênfase5 29 2" xfId="5680"/>
    <cellStyle name="60% - Ênfase5 29 3" xfId="5681"/>
    <cellStyle name="60% - Ênfase5 29 4" xfId="5682"/>
    <cellStyle name="60% - Ênfase5 29 5" xfId="5683"/>
    <cellStyle name="60% - Ênfase5 29 6" xfId="5684"/>
    <cellStyle name="60% - Ênfase5 29 7" xfId="5685"/>
    <cellStyle name="60% - Ênfase5 29 8" xfId="5686"/>
    <cellStyle name="60% - Ênfase5 29 9" xfId="5687"/>
    <cellStyle name="60% - Ênfase5 3" xfId="5688"/>
    <cellStyle name="60% - Ênfase5 3 10" xfId="5689"/>
    <cellStyle name="60% - Ênfase5 3 11" xfId="5690"/>
    <cellStyle name="60% - Ênfase5 3 2" xfId="5691"/>
    <cellStyle name="60% - Ênfase5 3 3" xfId="5692"/>
    <cellStyle name="60% - Ênfase5 3 4" xfId="5693"/>
    <cellStyle name="60% - Ênfase5 3 5" xfId="5694"/>
    <cellStyle name="60% - Ênfase5 3 6" xfId="5695"/>
    <cellStyle name="60% - Ênfase5 3 7" xfId="5696"/>
    <cellStyle name="60% - Ênfase5 3 8" xfId="5697"/>
    <cellStyle name="60% - Ênfase5 3 9" xfId="5698"/>
    <cellStyle name="60% - Ênfase5 30" xfId="5699"/>
    <cellStyle name="60% - Ênfase5 31" xfId="5700"/>
    <cellStyle name="60% - Ênfase5 32" xfId="5701"/>
    <cellStyle name="60% - Ênfase5 33" xfId="5702"/>
    <cellStyle name="60% - Ênfase5 34" xfId="5703"/>
    <cellStyle name="60% - Ênfase5 35" xfId="5704"/>
    <cellStyle name="60% - Ênfase5 36" xfId="5705"/>
    <cellStyle name="60% - Ênfase5 37" xfId="5706"/>
    <cellStyle name="60% - Ênfase5 38" xfId="5707"/>
    <cellStyle name="60% - Ênfase5 39" xfId="5708"/>
    <cellStyle name="60% - Ênfase5 4" xfId="5709"/>
    <cellStyle name="60% - Ênfase5 4 10" xfId="5710"/>
    <cellStyle name="60% - Ênfase5 4 11" xfId="5711"/>
    <cellStyle name="60% - Ênfase5 4 2" xfId="5712"/>
    <cellStyle name="60% - Ênfase5 4 3" xfId="5713"/>
    <cellStyle name="60% - Ênfase5 4 4" xfId="5714"/>
    <cellStyle name="60% - Ênfase5 4 5" xfId="5715"/>
    <cellStyle name="60% - Ênfase5 4 6" xfId="5716"/>
    <cellStyle name="60% - Ênfase5 4 7" xfId="5717"/>
    <cellStyle name="60% - Ênfase5 4 8" xfId="5718"/>
    <cellStyle name="60% - Ênfase5 4 9" xfId="5719"/>
    <cellStyle name="60% - Ênfase5 40" xfId="5720"/>
    <cellStyle name="60% - Ênfase5 41" xfId="5721"/>
    <cellStyle name="60% - Ênfase5 42" xfId="5722"/>
    <cellStyle name="60% - Ênfase5 43" xfId="5723"/>
    <cellStyle name="60% - Ênfase5 44" xfId="5724"/>
    <cellStyle name="60% - Ênfase5 45" xfId="5725"/>
    <cellStyle name="60% - Ênfase5 46" xfId="5726"/>
    <cellStyle name="60% - Ênfase5 47" xfId="5727"/>
    <cellStyle name="60% - Ênfase5 48" xfId="5728"/>
    <cellStyle name="60% - Ênfase5 49" xfId="5729"/>
    <cellStyle name="60% - Ênfase5 5" xfId="5730"/>
    <cellStyle name="60% - Ênfase5 5 2" xfId="5731"/>
    <cellStyle name="60% - Ênfase5 5 3" xfId="5732"/>
    <cellStyle name="60% - Ênfase5 5 4" xfId="5733"/>
    <cellStyle name="60% - Ênfase5 50" xfId="5734"/>
    <cellStyle name="60% - Ênfase5 51" xfId="5735"/>
    <cellStyle name="60% - Ênfase5 52" xfId="5736"/>
    <cellStyle name="60% - Ênfase5 53" xfId="5737"/>
    <cellStyle name="60% - Ênfase5 54" xfId="5738"/>
    <cellStyle name="60% - Ênfase5 55" xfId="5739"/>
    <cellStyle name="60% - Ênfase5 56" xfId="5740"/>
    <cellStyle name="60% - Ênfase5 57" xfId="5741"/>
    <cellStyle name="60% - Ênfase5 58" xfId="5742"/>
    <cellStyle name="60% - Ênfase5 59" xfId="5743"/>
    <cellStyle name="60% - Ênfase5 6" xfId="5744"/>
    <cellStyle name="60% - Ênfase5 6 2" xfId="5745"/>
    <cellStyle name="60% - Ênfase5 6 3" xfId="5746"/>
    <cellStyle name="60% - Ênfase5 6 4" xfId="5747"/>
    <cellStyle name="60% - Ênfase5 60" xfId="5748"/>
    <cellStyle name="60% - Ênfase5 61" xfId="5749"/>
    <cellStyle name="60% - Ênfase5 62" xfId="5750"/>
    <cellStyle name="60% - Ênfase5 63" xfId="5751"/>
    <cellStyle name="60% - Ênfase5 64" xfId="5752"/>
    <cellStyle name="60% - Ênfase5 65" xfId="5753"/>
    <cellStyle name="60% - Ênfase5 66" xfId="5754"/>
    <cellStyle name="60% - Ênfase5 67" xfId="5755"/>
    <cellStyle name="60% - Ênfase5 68" xfId="5756"/>
    <cellStyle name="60% - Ênfase5 69" xfId="5757"/>
    <cellStyle name="60% - Ênfase5 7" xfId="5758"/>
    <cellStyle name="60% - Ênfase5 7 2" xfId="5759"/>
    <cellStyle name="60% - Ênfase5 7 3" xfId="5760"/>
    <cellStyle name="60% - Ênfase5 7 4" xfId="5761"/>
    <cellStyle name="60% - Ênfase5 70" xfId="5762"/>
    <cellStyle name="60% - Ênfase5 71" xfId="5763"/>
    <cellStyle name="60% - Ênfase5 72" xfId="5764"/>
    <cellStyle name="60% - Ênfase5 73" xfId="5765"/>
    <cellStyle name="60% - Ênfase5 74" xfId="5766"/>
    <cellStyle name="60% - Ênfase5 75" xfId="5767"/>
    <cellStyle name="60% - Ênfase5 76" xfId="5768"/>
    <cellStyle name="60% - Ênfase5 77" xfId="5769"/>
    <cellStyle name="60% - Ênfase5 78" xfId="5770"/>
    <cellStyle name="60% - Ênfase5 79" xfId="5771"/>
    <cellStyle name="60% - Ênfase5 8" xfId="5772"/>
    <cellStyle name="60% - Ênfase5 8 2" xfId="5773"/>
    <cellStyle name="60% - Ênfase5 8 3" xfId="5774"/>
    <cellStyle name="60% - Ênfase5 8 4" xfId="5775"/>
    <cellStyle name="60% - Ênfase5 80" xfId="5776"/>
    <cellStyle name="60% - Ênfase5 81" xfId="5777"/>
    <cellStyle name="60% - Ênfase5 82" xfId="5778"/>
    <cellStyle name="60% - Ênfase5 83" xfId="5779"/>
    <cellStyle name="60% - Ênfase5 84" xfId="5780"/>
    <cellStyle name="60% - Ênfase5 85" xfId="5781"/>
    <cellStyle name="60% - Ênfase5 86" xfId="5782"/>
    <cellStyle name="60% - Ênfase5 87" xfId="5783"/>
    <cellStyle name="60% - Ênfase5 88" xfId="5784"/>
    <cellStyle name="60% - Ênfase5 89" xfId="5785"/>
    <cellStyle name="60% - Ênfase5 9" xfId="5786"/>
    <cellStyle name="60% - Ênfase5 90" xfId="5787"/>
    <cellStyle name="60% - Ênfase5 91" xfId="5788"/>
    <cellStyle name="60% - Ênfase5 92" xfId="5789"/>
    <cellStyle name="60% - Ênfase5 93" xfId="5790"/>
    <cellStyle name="60% - Ênfase5 94" xfId="5791"/>
    <cellStyle name="60% - Ênfase5 95" xfId="5792"/>
    <cellStyle name="60% - Ênfase5 96" xfId="5793"/>
    <cellStyle name="60% - Ênfase5 97" xfId="5794"/>
    <cellStyle name="60% - Ênfase5 98" xfId="5795"/>
    <cellStyle name="60% - Ênfase5 99" xfId="5796"/>
    <cellStyle name="60% - Ênfase6 10" xfId="5797"/>
    <cellStyle name="60% - Ênfase6 10 2" xfId="40526"/>
    <cellStyle name="60% - Ênfase6 100" xfId="5798"/>
    <cellStyle name="60% - Ênfase6 101" xfId="5799"/>
    <cellStyle name="60% - Ênfase6 102" xfId="5800"/>
    <cellStyle name="60% - Ênfase6 103" xfId="5801"/>
    <cellStyle name="60% - Ênfase6 104" xfId="5802"/>
    <cellStyle name="60% - Ênfase6 105" xfId="5803"/>
    <cellStyle name="60% - Ênfase6 106" xfId="5804"/>
    <cellStyle name="60% - Ênfase6 107" xfId="5805"/>
    <cellStyle name="60% - Ênfase6 108" xfId="5806"/>
    <cellStyle name="60% - Ênfase6 109" xfId="5807"/>
    <cellStyle name="60% - Ênfase6 11" xfId="5808"/>
    <cellStyle name="60% - Ênfase6 11 2" xfId="40527"/>
    <cellStyle name="60% - Ênfase6 110" xfId="5809"/>
    <cellStyle name="60% - Ênfase6 111" xfId="5810"/>
    <cellStyle name="60% - Ênfase6 112" xfId="5811"/>
    <cellStyle name="60% - Ênfase6 113" xfId="5812"/>
    <cellStyle name="60% - Ênfase6 114" xfId="5813"/>
    <cellStyle name="60% - Ênfase6 115" xfId="5814"/>
    <cellStyle name="60% - Ênfase6 116" xfId="5815"/>
    <cellStyle name="60% - Ênfase6 117" xfId="5816"/>
    <cellStyle name="60% - Ênfase6 118" xfId="5817"/>
    <cellStyle name="60% - Ênfase6 119" xfId="5818"/>
    <cellStyle name="60% - Ênfase6 12" xfId="5819"/>
    <cellStyle name="60% - Ênfase6 12 2" xfId="40528"/>
    <cellStyle name="60% - Ênfase6 120" xfId="5820"/>
    <cellStyle name="60% - Ênfase6 121" xfId="5821"/>
    <cellStyle name="60% - Ênfase6 122" xfId="5822"/>
    <cellStyle name="60% - Ênfase6 123" xfId="5823"/>
    <cellStyle name="60% - Ênfase6 124" xfId="5824"/>
    <cellStyle name="60% - Ênfase6 125" xfId="5825"/>
    <cellStyle name="60% - Ênfase6 126" xfId="5826"/>
    <cellStyle name="60% - Ênfase6 127" xfId="5827"/>
    <cellStyle name="60% - Ênfase6 128" xfId="5828"/>
    <cellStyle name="60% - Ênfase6 129" xfId="5829"/>
    <cellStyle name="60% - Ênfase6 13" xfId="5830"/>
    <cellStyle name="60% - Ênfase6 13 2" xfId="40529"/>
    <cellStyle name="60% - Ênfase6 130" xfId="5831"/>
    <cellStyle name="60% - Ênfase6 131" xfId="5832"/>
    <cellStyle name="60% - Ênfase6 132" xfId="5833"/>
    <cellStyle name="60% - Ênfase6 133" xfId="5834"/>
    <cellStyle name="60% - Ênfase6 134" xfId="5835"/>
    <cellStyle name="60% - Ênfase6 135" xfId="5836"/>
    <cellStyle name="60% - Ênfase6 136" xfId="5837"/>
    <cellStyle name="60% - Ênfase6 137" xfId="5838"/>
    <cellStyle name="60% - Ênfase6 138" xfId="5839"/>
    <cellStyle name="60% - Ênfase6 139" xfId="5840"/>
    <cellStyle name="60% - Ênfase6 14" xfId="5841"/>
    <cellStyle name="60% - Ênfase6 140" xfId="5842"/>
    <cellStyle name="60% - Ênfase6 141" xfId="5843"/>
    <cellStyle name="60% - Ênfase6 142" xfId="5844"/>
    <cellStyle name="60% - Ênfase6 143" xfId="5845"/>
    <cellStyle name="60% - Ênfase6 144" xfId="5846"/>
    <cellStyle name="60% - Ênfase6 145" xfId="5847"/>
    <cellStyle name="60% - Ênfase6 146" xfId="5848"/>
    <cellStyle name="60% - Ênfase6 147" xfId="5849"/>
    <cellStyle name="60% - Ênfase6 148" xfId="5850"/>
    <cellStyle name="60% - Ênfase6 149" xfId="5851"/>
    <cellStyle name="60% - Ênfase6 15" xfId="5852"/>
    <cellStyle name="60% - Ênfase6 15 2" xfId="5853"/>
    <cellStyle name="60% - Ênfase6 15 3" xfId="5854"/>
    <cellStyle name="60% - Ênfase6 150" xfId="5855"/>
    <cellStyle name="60% - Ênfase6 151" xfId="5856"/>
    <cellStyle name="60% - Ênfase6 152" xfId="5857"/>
    <cellStyle name="60% - Ênfase6 153" xfId="5858"/>
    <cellStyle name="60% - Ênfase6 154" xfId="5859"/>
    <cellStyle name="60% - Ênfase6 155" xfId="5860"/>
    <cellStyle name="60% - Ênfase6 156" xfId="5861"/>
    <cellStyle name="60% - Ênfase6 157" xfId="5862"/>
    <cellStyle name="60% - Ênfase6 158" xfId="5863"/>
    <cellStyle name="60% - Ênfase6 159" xfId="5864"/>
    <cellStyle name="60% - Ênfase6 16" xfId="5865"/>
    <cellStyle name="60% - Ênfase6 16 2" xfId="5866"/>
    <cellStyle name="60% - Ênfase6 16 3" xfId="5867"/>
    <cellStyle name="60% - Ênfase6 160" xfId="5868"/>
    <cellStyle name="60% - Ênfase6 161" xfId="5869"/>
    <cellStyle name="60% - Ênfase6 162" xfId="5870"/>
    <cellStyle name="60% - Ênfase6 163" xfId="5871"/>
    <cellStyle name="60% - Ênfase6 164" xfId="5872"/>
    <cellStyle name="60% - Ênfase6 165" xfId="5873"/>
    <cellStyle name="60% - Ênfase6 166" xfId="5874"/>
    <cellStyle name="60% - Ênfase6 167" xfId="5875"/>
    <cellStyle name="60% - Ênfase6 168" xfId="5876"/>
    <cellStyle name="60% - Ênfase6 169" xfId="5877"/>
    <cellStyle name="60% - Ênfase6 17" xfId="5878"/>
    <cellStyle name="60% - Ênfase6 17 2" xfId="5879"/>
    <cellStyle name="60% - Ênfase6 17 3" xfId="5880"/>
    <cellStyle name="60% - Ênfase6 170" xfId="5881"/>
    <cellStyle name="60% - Ênfase6 171" xfId="5882"/>
    <cellStyle name="60% - Ênfase6 172" xfId="5883"/>
    <cellStyle name="60% - Ênfase6 173" xfId="5884"/>
    <cellStyle name="60% - Ênfase6 174" xfId="5885"/>
    <cellStyle name="60% - Ênfase6 175" xfId="5886"/>
    <cellStyle name="60% - Ênfase6 176" xfId="5887"/>
    <cellStyle name="60% - Ênfase6 177" xfId="5888"/>
    <cellStyle name="60% - Ênfase6 178" xfId="5889"/>
    <cellStyle name="60% - Ênfase6 179" xfId="5890"/>
    <cellStyle name="60% - Ênfase6 18" xfId="5891"/>
    <cellStyle name="60% - Ênfase6 18 2" xfId="5892"/>
    <cellStyle name="60% - Ênfase6 18 3" xfId="5893"/>
    <cellStyle name="60% - Ênfase6 180" xfId="5894"/>
    <cellStyle name="60% - Ênfase6 181" xfId="5895"/>
    <cellStyle name="60% - Ênfase6 182" xfId="5896"/>
    <cellStyle name="60% - Ênfase6 183" xfId="5897"/>
    <cellStyle name="60% - Ênfase6 184" xfId="5898"/>
    <cellStyle name="60% - Ênfase6 185" xfId="5899"/>
    <cellStyle name="60% - Ênfase6 186" xfId="5900"/>
    <cellStyle name="60% - Ênfase6 187" xfId="5901"/>
    <cellStyle name="60% - Ênfase6 188" xfId="5902"/>
    <cellStyle name="60% - Ênfase6 189" xfId="5903"/>
    <cellStyle name="60% - Ênfase6 19" xfId="5904"/>
    <cellStyle name="60% - Ênfase6 19 2" xfId="5905"/>
    <cellStyle name="60% - Ênfase6 19 3" xfId="5906"/>
    <cellStyle name="60% - Ênfase6 190" xfId="5907"/>
    <cellStyle name="60% - Ênfase6 2" xfId="5908"/>
    <cellStyle name="60% - Ênfase6 2 10" xfId="5909"/>
    <cellStyle name="60% - Ênfase6 2 10 2" xfId="5910"/>
    <cellStyle name="60% - Ênfase6 2 10 3" xfId="5911"/>
    <cellStyle name="60% - Ênfase6 2 10 4" xfId="5912"/>
    <cellStyle name="60% - Ênfase6 2 10 5" xfId="5913"/>
    <cellStyle name="60% - Ênfase6 2 10 6" xfId="5914"/>
    <cellStyle name="60% - Ênfase6 2 10 7" xfId="5915"/>
    <cellStyle name="60% - Ênfase6 2 11" xfId="5916"/>
    <cellStyle name="60% - Ênfase6 2 11 2" xfId="5917"/>
    <cellStyle name="60% - Ênfase6 2 11 3" xfId="5918"/>
    <cellStyle name="60% - Ênfase6 2 11 4" xfId="5919"/>
    <cellStyle name="60% - Ênfase6 2 11 5" xfId="5920"/>
    <cellStyle name="60% - Ênfase6 2 11 6" xfId="5921"/>
    <cellStyle name="60% - Ênfase6 2 11 7" xfId="5922"/>
    <cellStyle name="60% - Ênfase6 2 12" xfId="5923"/>
    <cellStyle name="60% - Ênfase6 2 13" xfId="10"/>
    <cellStyle name="60% - Ênfase6 2 13 2" xfId="29364"/>
    <cellStyle name="60% - Ênfase6 2 14" xfId="5924"/>
    <cellStyle name="60% - Ênfase6 2 15" xfId="5925"/>
    <cellStyle name="60% - Ênfase6 2 16" xfId="5926"/>
    <cellStyle name="60% - Ênfase6 2 17" xfId="5927"/>
    <cellStyle name="60% - Ênfase6 2 18" xfId="5928"/>
    <cellStyle name="60% - Ênfase6 2 19" xfId="5929"/>
    <cellStyle name="60% - Ênfase6 2 2" xfId="5930"/>
    <cellStyle name="60% - Ênfase6 2 20" xfId="5931"/>
    <cellStyle name="60% - Ênfase6 2 21" xfId="5932"/>
    <cellStyle name="60% - Ênfase6 2 22" xfId="5933"/>
    <cellStyle name="60% - Ênfase6 2 23" xfId="5934"/>
    <cellStyle name="60% - Ênfase6 2 24" xfId="5935"/>
    <cellStyle name="60% - Ênfase6 2 25" xfId="5936"/>
    <cellStyle name="60% - Ênfase6 2 26" xfId="5937"/>
    <cellStyle name="60% - Ênfase6 2 27" xfId="5938"/>
    <cellStyle name="60% - Ênfase6 2 28" xfId="5939"/>
    <cellStyle name="60% - Ênfase6 2 29" xfId="5940"/>
    <cellStyle name="60% - Ênfase6 2 3" xfId="5941"/>
    <cellStyle name="60% - Ênfase6 2 30" xfId="5942"/>
    <cellStyle name="60% - Ênfase6 2 31" xfId="5943"/>
    <cellStyle name="60% - Ênfase6 2 32" xfId="5944"/>
    <cellStyle name="60% - Ênfase6 2 33" xfId="5945"/>
    <cellStyle name="60% - Ênfase6 2 34" xfId="5946"/>
    <cellStyle name="60% - Ênfase6 2 35" xfId="5947"/>
    <cellStyle name="60% - Ênfase6 2 4" xfId="5948"/>
    <cellStyle name="60% - Ênfase6 2 5" xfId="5949"/>
    <cellStyle name="60% - Ênfase6 2 6" xfId="5950"/>
    <cellStyle name="60% - Ênfase6 2 7" xfId="5951"/>
    <cellStyle name="60% - Ênfase6 2 8" xfId="5952"/>
    <cellStyle name="60% - Ênfase6 2 8 2" xfId="5953"/>
    <cellStyle name="60% - Ênfase6 2 8 3" xfId="5954"/>
    <cellStyle name="60% - Ênfase6 2 8 4" xfId="5955"/>
    <cellStyle name="60% - Ênfase6 2 8 5" xfId="5956"/>
    <cellStyle name="60% - Ênfase6 2 8 6" xfId="5957"/>
    <cellStyle name="60% - Ênfase6 2 8 7" xfId="5958"/>
    <cellStyle name="60% - Ênfase6 2 9" xfId="5959"/>
    <cellStyle name="60% - Ênfase6 2 9 2" xfId="5960"/>
    <cellStyle name="60% - Ênfase6 2 9 3" xfId="5961"/>
    <cellStyle name="60% - Ênfase6 2 9 4" xfId="5962"/>
    <cellStyle name="60% - Ênfase6 2 9 5" xfId="5963"/>
    <cellStyle name="60% - Ênfase6 2 9 6" xfId="5964"/>
    <cellStyle name="60% - Ênfase6 2 9 7" xfId="5965"/>
    <cellStyle name="60% - Ênfase6 20" xfId="5966"/>
    <cellStyle name="60% - Ênfase6 20 2" xfId="5967"/>
    <cellStyle name="60% - Ênfase6 20 3" xfId="5968"/>
    <cellStyle name="60% - Ênfase6 21" xfId="5969"/>
    <cellStyle name="60% - Ênfase6 22" xfId="5970"/>
    <cellStyle name="60% - Ênfase6 23" xfId="5971"/>
    <cellStyle name="60% - Ênfase6 24" xfId="5972"/>
    <cellStyle name="60% - Ênfase6 24 2" xfId="40944"/>
    <cellStyle name="60% - Ênfase6 25" xfId="5973"/>
    <cellStyle name="60% - Ênfase6 25 2" xfId="40979"/>
    <cellStyle name="60% - Ênfase6 26" xfId="5974"/>
    <cellStyle name="60% - Ênfase6 26 10" xfId="5975"/>
    <cellStyle name="60% - Ênfase6 26 11" xfId="5976"/>
    <cellStyle name="60% - Ênfase6 26 12" xfId="5977"/>
    <cellStyle name="60% - Ênfase6 26 13" xfId="5978"/>
    <cellStyle name="60% - Ênfase6 26 14" xfId="5979"/>
    <cellStyle name="60% - Ênfase6 26 15" xfId="5980"/>
    <cellStyle name="60% - Ênfase6 26 16" xfId="5981"/>
    <cellStyle name="60% - Ênfase6 26 2" xfId="5982"/>
    <cellStyle name="60% - Ênfase6 26 3" xfId="5983"/>
    <cellStyle name="60% - Ênfase6 26 4" xfId="5984"/>
    <cellStyle name="60% - Ênfase6 26 5" xfId="5985"/>
    <cellStyle name="60% - Ênfase6 26 6" xfId="5986"/>
    <cellStyle name="60% - Ênfase6 26 7" xfId="5987"/>
    <cellStyle name="60% - Ênfase6 26 8" xfId="5988"/>
    <cellStyle name="60% - Ênfase6 26 9" xfId="5989"/>
    <cellStyle name="60% - Ênfase6 27" xfId="5990"/>
    <cellStyle name="60% - Ênfase6 27 10" xfId="5991"/>
    <cellStyle name="60% - Ênfase6 27 11" xfId="5992"/>
    <cellStyle name="60% - Ênfase6 27 12" xfId="5993"/>
    <cellStyle name="60% - Ênfase6 27 13" xfId="5994"/>
    <cellStyle name="60% - Ênfase6 27 14" xfId="5995"/>
    <cellStyle name="60% - Ênfase6 27 15" xfId="5996"/>
    <cellStyle name="60% - Ênfase6 27 16" xfId="5997"/>
    <cellStyle name="60% - Ênfase6 27 2" xfId="5998"/>
    <cellStyle name="60% - Ênfase6 27 3" xfId="5999"/>
    <cellStyle name="60% - Ênfase6 27 4" xfId="6000"/>
    <cellStyle name="60% - Ênfase6 27 5" xfId="6001"/>
    <cellStyle name="60% - Ênfase6 27 6" xfId="6002"/>
    <cellStyle name="60% - Ênfase6 27 7" xfId="6003"/>
    <cellStyle name="60% - Ênfase6 27 8" xfId="6004"/>
    <cellStyle name="60% - Ênfase6 27 9" xfId="6005"/>
    <cellStyle name="60% - Ênfase6 28" xfId="6006"/>
    <cellStyle name="60% - Ênfase6 28 10" xfId="6007"/>
    <cellStyle name="60% - Ênfase6 28 11" xfId="6008"/>
    <cellStyle name="60% - Ênfase6 28 12" xfId="6009"/>
    <cellStyle name="60% - Ênfase6 28 13" xfId="6010"/>
    <cellStyle name="60% - Ênfase6 28 14" xfId="6011"/>
    <cellStyle name="60% - Ênfase6 28 15" xfId="6012"/>
    <cellStyle name="60% - Ênfase6 28 16" xfId="6013"/>
    <cellStyle name="60% - Ênfase6 28 2" xfId="6014"/>
    <cellStyle name="60% - Ênfase6 28 3" xfId="6015"/>
    <cellStyle name="60% - Ênfase6 28 4" xfId="6016"/>
    <cellStyle name="60% - Ênfase6 28 5" xfId="6017"/>
    <cellStyle name="60% - Ênfase6 28 6" xfId="6018"/>
    <cellStyle name="60% - Ênfase6 28 7" xfId="6019"/>
    <cellStyle name="60% - Ênfase6 28 8" xfId="6020"/>
    <cellStyle name="60% - Ênfase6 28 9" xfId="6021"/>
    <cellStyle name="60% - Ênfase6 29" xfId="6022"/>
    <cellStyle name="60% - Ênfase6 29 10" xfId="6023"/>
    <cellStyle name="60% - Ênfase6 29 11" xfId="6024"/>
    <cellStyle name="60% - Ênfase6 29 12" xfId="6025"/>
    <cellStyle name="60% - Ênfase6 29 13" xfId="6026"/>
    <cellStyle name="60% - Ênfase6 29 14" xfId="6027"/>
    <cellStyle name="60% - Ênfase6 29 15" xfId="6028"/>
    <cellStyle name="60% - Ênfase6 29 16" xfId="6029"/>
    <cellStyle name="60% - Ênfase6 29 2" xfId="6030"/>
    <cellStyle name="60% - Ênfase6 29 3" xfId="6031"/>
    <cellStyle name="60% - Ênfase6 29 4" xfId="6032"/>
    <cellStyle name="60% - Ênfase6 29 5" xfId="6033"/>
    <cellStyle name="60% - Ênfase6 29 6" xfId="6034"/>
    <cellStyle name="60% - Ênfase6 29 7" xfId="6035"/>
    <cellStyle name="60% - Ênfase6 29 8" xfId="6036"/>
    <cellStyle name="60% - Ênfase6 29 9" xfId="6037"/>
    <cellStyle name="60% - Ênfase6 3" xfId="6038"/>
    <cellStyle name="60% - Ênfase6 3 10" xfId="6039"/>
    <cellStyle name="60% - Ênfase6 3 11" xfId="6040"/>
    <cellStyle name="60% - Ênfase6 3 2" xfId="6041"/>
    <cellStyle name="60% - Ênfase6 3 3" xfId="6042"/>
    <cellStyle name="60% - Ênfase6 3 4" xfId="6043"/>
    <cellStyle name="60% - Ênfase6 3 5" xfId="6044"/>
    <cellStyle name="60% - Ênfase6 3 6" xfId="6045"/>
    <cellStyle name="60% - Ênfase6 3 7" xfId="6046"/>
    <cellStyle name="60% - Ênfase6 3 8" xfId="6047"/>
    <cellStyle name="60% - Ênfase6 3 9" xfId="6048"/>
    <cellStyle name="60% - Ênfase6 30" xfId="6049"/>
    <cellStyle name="60% - Ênfase6 31" xfId="6050"/>
    <cellStyle name="60% - Ênfase6 32" xfId="6051"/>
    <cellStyle name="60% - Ênfase6 33" xfId="6052"/>
    <cellStyle name="60% - Ênfase6 34" xfId="6053"/>
    <cellStyle name="60% - Ênfase6 35" xfId="6054"/>
    <cellStyle name="60% - Ênfase6 36" xfId="6055"/>
    <cellStyle name="60% - Ênfase6 37" xfId="6056"/>
    <cellStyle name="60% - Ênfase6 38" xfId="6057"/>
    <cellStyle name="60% - Ênfase6 39" xfId="6058"/>
    <cellStyle name="60% - Ênfase6 4" xfId="6059"/>
    <cellStyle name="60% - Ênfase6 4 10" xfId="6060"/>
    <cellStyle name="60% - Ênfase6 4 11" xfId="6061"/>
    <cellStyle name="60% - Ênfase6 4 2" xfId="6062"/>
    <cellStyle name="60% - Ênfase6 4 3" xfId="6063"/>
    <cellStyle name="60% - Ênfase6 4 4" xfId="6064"/>
    <cellStyle name="60% - Ênfase6 4 5" xfId="6065"/>
    <cellStyle name="60% - Ênfase6 4 6" xfId="6066"/>
    <cellStyle name="60% - Ênfase6 4 7" xfId="6067"/>
    <cellStyle name="60% - Ênfase6 4 8" xfId="6068"/>
    <cellStyle name="60% - Ênfase6 4 9" xfId="6069"/>
    <cellStyle name="60% - Ênfase6 40" xfId="6070"/>
    <cellStyle name="60% - Ênfase6 41" xfId="6071"/>
    <cellStyle name="60% - Ênfase6 42" xfId="6072"/>
    <cellStyle name="60% - Ênfase6 43" xfId="6073"/>
    <cellStyle name="60% - Ênfase6 44" xfId="6074"/>
    <cellStyle name="60% - Ênfase6 45" xfId="6075"/>
    <cellStyle name="60% - Ênfase6 46" xfId="6076"/>
    <cellStyle name="60% - Ênfase6 47" xfId="6077"/>
    <cellStyle name="60% - Ênfase6 48" xfId="6078"/>
    <cellStyle name="60% - Ênfase6 49" xfId="6079"/>
    <cellStyle name="60% - Ênfase6 5" xfId="6080"/>
    <cellStyle name="60% - Ênfase6 5 2" xfId="6081"/>
    <cellStyle name="60% - Ênfase6 5 3" xfId="6082"/>
    <cellStyle name="60% - Ênfase6 5 4" xfId="6083"/>
    <cellStyle name="60% - Ênfase6 50" xfId="6084"/>
    <cellStyle name="60% - Ênfase6 51" xfId="6085"/>
    <cellStyle name="60% - Ênfase6 52" xfId="6086"/>
    <cellStyle name="60% - Ênfase6 53" xfId="6087"/>
    <cellStyle name="60% - Ênfase6 54" xfId="6088"/>
    <cellStyle name="60% - Ênfase6 55" xfId="6089"/>
    <cellStyle name="60% - Ênfase6 56" xfId="6090"/>
    <cellStyle name="60% - Ênfase6 57" xfId="6091"/>
    <cellStyle name="60% - Ênfase6 58" xfId="6092"/>
    <cellStyle name="60% - Ênfase6 59" xfId="6093"/>
    <cellStyle name="60% - Ênfase6 6" xfId="6094"/>
    <cellStyle name="60% - Ênfase6 6 2" xfId="6095"/>
    <cellStyle name="60% - Ênfase6 6 3" xfId="6096"/>
    <cellStyle name="60% - Ênfase6 6 4" xfId="6097"/>
    <cellStyle name="60% - Ênfase6 60" xfId="6098"/>
    <cellStyle name="60% - Ênfase6 61" xfId="6099"/>
    <cellStyle name="60% - Ênfase6 62" xfId="6100"/>
    <cellStyle name="60% - Ênfase6 63" xfId="6101"/>
    <cellStyle name="60% - Ênfase6 64" xfId="6102"/>
    <cellStyle name="60% - Ênfase6 65" xfId="6103"/>
    <cellStyle name="60% - Ênfase6 66" xfId="6104"/>
    <cellStyle name="60% - Ênfase6 67" xfId="6105"/>
    <cellStyle name="60% - Ênfase6 68" xfId="6106"/>
    <cellStyle name="60% - Ênfase6 69" xfId="6107"/>
    <cellStyle name="60% - Ênfase6 7" xfId="6108"/>
    <cellStyle name="60% - Ênfase6 7 2" xfId="6109"/>
    <cellStyle name="60% - Ênfase6 7 3" xfId="6110"/>
    <cellStyle name="60% - Ênfase6 7 4" xfId="6111"/>
    <cellStyle name="60% - Ênfase6 70" xfId="6112"/>
    <cellStyle name="60% - Ênfase6 71" xfId="6113"/>
    <cellStyle name="60% - Ênfase6 72" xfId="6114"/>
    <cellStyle name="60% - Ênfase6 73" xfId="6115"/>
    <cellStyle name="60% - Ênfase6 74" xfId="6116"/>
    <cellStyle name="60% - Ênfase6 75" xfId="6117"/>
    <cellStyle name="60% - Ênfase6 76" xfId="6118"/>
    <cellStyle name="60% - Ênfase6 77" xfId="6119"/>
    <cellStyle name="60% - Ênfase6 78" xfId="6120"/>
    <cellStyle name="60% - Ênfase6 79" xfId="6121"/>
    <cellStyle name="60% - Ênfase6 8" xfId="6122"/>
    <cellStyle name="60% - Ênfase6 8 2" xfId="6123"/>
    <cellStyle name="60% - Ênfase6 8 3" xfId="6124"/>
    <cellStyle name="60% - Ênfase6 8 4" xfId="6125"/>
    <cellStyle name="60% - Ênfase6 80" xfId="6126"/>
    <cellStyle name="60% - Ênfase6 81" xfId="6127"/>
    <cellStyle name="60% - Ênfase6 82" xfId="6128"/>
    <cellStyle name="60% - Ênfase6 83" xfId="6129"/>
    <cellStyle name="60% - Ênfase6 84" xfId="6130"/>
    <cellStyle name="60% - Ênfase6 85" xfId="6131"/>
    <cellStyle name="60% - Ênfase6 86" xfId="6132"/>
    <cellStyle name="60% - Ênfase6 87" xfId="6133"/>
    <cellStyle name="60% - Ênfase6 88" xfId="6134"/>
    <cellStyle name="60% - Ênfase6 89" xfId="6135"/>
    <cellStyle name="60% - Ênfase6 9" xfId="6136"/>
    <cellStyle name="60% - Ênfase6 90" xfId="6137"/>
    <cellStyle name="60% - Ênfase6 91" xfId="6138"/>
    <cellStyle name="60% - Ênfase6 92" xfId="6139"/>
    <cellStyle name="60% - Ênfase6 93" xfId="6140"/>
    <cellStyle name="60% - Ênfase6 94" xfId="6141"/>
    <cellStyle name="60% - Ênfase6 95" xfId="6142"/>
    <cellStyle name="60% - Ênfase6 96" xfId="6143"/>
    <cellStyle name="60% - Ênfase6 97" xfId="6144"/>
    <cellStyle name="60% - Ênfase6 98" xfId="6145"/>
    <cellStyle name="60% - Ênfase6 99" xfId="6146"/>
    <cellStyle name="Bom 10" xfId="6147"/>
    <cellStyle name="Bom 10 2" xfId="40530"/>
    <cellStyle name="Bom 100" xfId="6148"/>
    <cellStyle name="Bom 101" xfId="6149"/>
    <cellStyle name="Bom 102" xfId="6150"/>
    <cellStyle name="Bom 103" xfId="6151"/>
    <cellStyle name="Bom 104" xfId="6152"/>
    <cellStyle name="Bom 105" xfId="6153"/>
    <cellStyle name="Bom 106" xfId="6154"/>
    <cellStyle name="Bom 107" xfId="6155"/>
    <cellStyle name="Bom 108" xfId="6156"/>
    <cellStyle name="Bom 109" xfId="6157"/>
    <cellStyle name="Bom 11" xfId="6158"/>
    <cellStyle name="Bom 11 2" xfId="40531"/>
    <cellStyle name="Bom 110" xfId="6159"/>
    <cellStyle name="Bom 111" xfId="6160"/>
    <cellStyle name="Bom 112" xfId="6161"/>
    <cellStyle name="Bom 113" xfId="6162"/>
    <cellStyle name="Bom 114" xfId="6163"/>
    <cellStyle name="Bom 115" xfId="6164"/>
    <cellStyle name="Bom 116" xfId="6165"/>
    <cellStyle name="Bom 117" xfId="6166"/>
    <cellStyle name="Bom 118" xfId="6167"/>
    <cellStyle name="Bom 119" xfId="6168"/>
    <cellStyle name="Bom 12" xfId="6169"/>
    <cellStyle name="Bom 12 2" xfId="40532"/>
    <cellStyle name="Bom 120" xfId="6170"/>
    <cellStyle name="Bom 121" xfId="6171"/>
    <cellStyle name="Bom 122" xfId="6172"/>
    <cellStyle name="Bom 123" xfId="6173"/>
    <cellStyle name="Bom 124" xfId="6174"/>
    <cellStyle name="Bom 125" xfId="6175"/>
    <cellStyle name="Bom 126" xfId="6176"/>
    <cellStyle name="Bom 127" xfId="6177"/>
    <cellStyle name="Bom 128" xfId="6178"/>
    <cellStyle name="Bom 129" xfId="6179"/>
    <cellStyle name="Bom 13" xfId="6180"/>
    <cellStyle name="Bom 13 2" xfId="40533"/>
    <cellStyle name="Bom 130" xfId="6181"/>
    <cellStyle name="Bom 131" xfId="6182"/>
    <cellStyle name="Bom 132" xfId="6183"/>
    <cellStyle name="Bom 133" xfId="6184"/>
    <cellStyle name="Bom 134" xfId="6185"/>
    <cellStyle name="Bom 135" xfId="6186"/>
    <cellStyle name="Bom 136" xfId="6187"/>
    <cellStyle name="Bom 137" xfId="6188"/>
    <cellStyle name="Bom 138" xfId="6189"/>
    <cellStyle name="Bom 139" xfId="6190"/>
    <cellStyle name="Bom 14" xfId="6191"/>
    <cellStyle name="Bom 140" xfId="6192"/>
    <cellStyle name="Bom 141" xfId="6193"/>
    <cellStyle name="Bom 142" xfId="6194"/>
    <cellStyle name="Bom 143" xfId="6195"/>
    <cellStyle name="Bom 144" xfId="6196"/>
    <cellStyle name="Bom 145" xfId="6197"/>
    <cellStyle name="Bom 146" xfId="6198"/>
    <cellStyle name="Bom 147" xfId="6199"/>
    <cellStyle name="Bom 148" xfId="6200"/>
    <cellStyle name="Bom 149" xfId="6201"/>
    <cellStyle name="Bom 15" xfId="6202"/>
    <cellStyle name="Bom 15 2" xfId="6203"/>
    <cellStyle name="Bom 15 3" xfId="6204"/>
    <cellStyle name="Bom 150" xfId="6205"/>
    <cellStyle name="Bom 151" xfId="6206"/>
    <cellStyle name="Bom 152" xfId="6207"/>
    <cellStyle name="Bom 153" xfId="6208"/>
    <cellStyle name="Bom 154" xfId="6209"/>
    <cellStyle name="Bom 155" xfId="6210"/>
    <cellStyle name="Bom 156" xfId="6211"/>
    <cellStyle name="Bom 157" xfId="6212"/>
    <cellStyle name="Bom 158" xfId="6213"/>
    <cellStyle name="Bom 159" xfId="6214"/>
    <cellStyle name="Bom 16" xfId="6215"/>
    <cellStyle name="Bom 16 2" xfId="6216"/>
    <cellStyle name="Bom 16 3" xfId="6217"/>
    <cellStyle name="Bom 160" xfId="6218"/>
    <cellStyle name="Bom 161" xfId="6219"/>
    <cellStyle name="Bom 162" xfId="6220"/>
    <cellStyle name="Bom 163" xfId="6221"/>
    <cellStyle name="Bom 164" xfId="6222"/>
    <cellStyle name="Bom 165" xfId="6223"/>
    <cellStyle name="Bom 166" xfId="6224"/>
    <cellStyle name="Bom 167" xfId="6225"/>
    <cellStyle name="Bom 168" xfId="6226"/>
    <cellStyle name="Bom 169" xfId="6227"/>
    <cellStyle name="Bom 17" xfId="6228"/>
    <cellStyle name="Bom 17 2" xfId="6229"/>
    <cellStyle name="Bom 17 3" xfId="6230"/>
    <cellStyle name="Bom 170" xfId="6231"/>
    <cellStyle name="Bom 171" xfId="6232"/>
    <cellStyle name="Bom 172" xfId="6233"/>
    <cellStyle name="Bom 173" xfId="6234"/>
    <cellStyle name="Bom 174" xfId="6235"/>
    <cellStyle name="Bom 175" xfId="6236"/>
    <cellStyle name="Bom 176" xfId="6237"/>
    <cellStyle name="Bom 177" xfId="6238"/>
    <cellStyle name="Bom 178" xfId="6239"/>
    <cellStyle name="Bom 179" xfId="6240"/>
    <cellStyle name="Bom 18" xfId="6241"/>
    <cellStyle name="Bom 18 2" xfId="6242"/>
    <cellStyle name="Bom 18 3" xfId="6243"/>
    <cellStyle name="Bom 180" xfId="6244"/>
    <cellStyle name="Bom 181" xfId="6245"/>
    <cellStyle name="Bom 182" xfId="6246"/>
    <cellStyle name="Bom 183" xfId="6247"/>
    <cellStyle name="Bom 184" xfId="6248"/>
    <cellStyle name="Bom 185" xfId="6249"/>
    <cellStyle name="Bom 186" xfId="6250"/>
    <cellStyle name="Bom 187" xfId="6251"/>
    <cellStyle name="Bom 188" xfId="6252"/>
    <cellStyle name="Bom 189" xfId="6253"/>
    <cellStyle name="Bom 19" xfId="6254"/>
    <cellStyle name="Bom 19 2" xfId="6255"/>
    <cellStyle name="Bom 19 3" xfId="6256"/>
    <cellStyle name="Bom 190" xfId="6257"/>
    <cellStyle name="Bom 2" xfId="6258"/>
    <cellStyle name="Bom 2 10" xfId="6259"/>
    <cellStyle name="Bom 2 10 2" xfId="6260"/>
    <cellStyle name="Bom 2 10 3" xfId="6261"/>
    <cellStyle name="Bom 2 10 4" xfId="6262"/>
    <cellStyle name="Bom 2 10 5" xfId="6263"/>
    <cellStyle name="Bom 2 10 6" xfId="6264"/>
    <cellStyle name="Bom 2 10 7" xfId="6265"/>
    <cellStyle name="Bom 2 11" xfId="6266"/>
    <cellStyle name="Bom 2 11 2" xfId="6267"/>
    <cellStyle name="Bom 2 11 3" xfId="6268"/>
    <cellStyle name="Bom 2 11 4" xfId="6269"/>
    <cellStyle name="Bom 2 11 5" xfId="6270"/>
    <cellStyle name="Bom 2 11 6" xfId="6271"/>
    <cellStyle name="Bom 2 11 7" xfId="6272"/>
    <cellStyle name="Bom 2 12" xfId="6273"/>
    <cellStyle name="Bom 2 13" xfId="6274"/>
    <cellStyle name="Bom 2 14" xfId="6275"/>
    <cellStyle name="Bom 2 15" xfId="6276"/>
    <cellStyle name="Bom 2 16" xfId="6277"/>
    <cellStyle name="Bom 2 17" xfId="6278"/>
    <cellStyle name="Bom 2 18" xfId="6279"/>
    <cellStyle name="Bom 2 19" xfId="6280"/>
    <cellStyle name="Bom 2 2" xfId="6281"/>
    <cellStyle name="Bom 2 20" xfId="6282"/>
    <cellStyle name="Bom 2 21" xfId="6283"/>
    <cellStyle name="Bom 2 22" xfId="6284"/>
    <cellStyle name="Bom 2 23" xfId="6285"/>
    <cellStyle name="Bom 2 24" xfId="6286"/>
    <cellStyle name="Bom 2 25" xfId="6287"/>
    <cellStyle name="Bom 2 26" xfId="6288"/>
    <cellStyle name="Bom 2 27" xfId="6289"/>
    <cellStyle name="Bom 2 28" xfId="6290"/>
    <cellStyle name="Bom 2 29" xfId="6291"/>
    <cellStyle name="Bom 2 3" xfId="6292"/>
    <cellStyle name="Bom 2 30" xfId="6293"/>
    <cellStyle name="Bom 2 31" xfId="6294"/>
    <cellStyle name="Bom 2 32" xfId="6295"/>
    <cellStyle name="Bom 2 33" xfId="6296"/>
    <cellStyle name="Bom 2 34" xfId="6297"/>
    <cellStyle name="Bom 2 35" xfId="6298"/>
    <cellStyle name="Bom 2 4" xfId="6299"/>
    <cellStyle name="Bom 2 5" xfId="6300"/>
    <cellStyle name="Bom 2 6" xfId="6301"/>
    <cellStyle name="Bom 2 7" xfId="6302"/>
    <cellStyle name="Bom 2 8" xfId="6303"/>
    <cellStyle name="Bom 2 8 2" xfId="6304"/>
    <cellStyle name="Bom 2 8 3" xfId="6305"/>
    <cellStyle name="Bom 2 8 4" xfId="6306"/>
    <cellStyle name="Bom 2 8 5" xfId="6307"/>
    <cellStyle name="Bom 2 8 6" xfId="6308"/>
    <cellStyle name="Bom 2 8 7" xfId="6309"/>
    <cellStyle name="Bom 2 9" xfId="6310"/>
    <cellStyle name="Bom 2 9 2" xfId="6311"/>
    <cellStyle name="Bom 2 9 3" xfId="6312"/>
    <cellStyle name="Bom 2 9 4" xfId="6313"/>
    <cellStyle name="Bom 2 9 5" xfId="6314"/>
    <cellStyle name="Bom 2 9 6" xfId="6315"/>
    <cellStyle name="Bom 2 9 7" xfId="6316"/>
    <cellStyle name="Bom 20" xfId="6317"/>
    <cellStyle name="Bom 20 2" xfId="6318"/>
    <cellStyle name="Bom 20 3" xfId="6319"/>
    <cellStyle name="Bom 21" xfId="6320"/>
    <cellStyle name="Bom 22" xfId="6321"/>
    <cellStyle name="Bom 23" xfId="6322"/>
    <cellStyle name="Bom 24" xfId="6323"/>
    <cellStyle name="Bom 24 2" xfId="40945"/>
    <cellStyle name="Bom 25" xfId="6324"/>
    <cellStyle name="Bom 25 2" xfId="40980"/>
    <cellStyle name="Bom 26" xfId="6325"/>
    <cellStyle name="Bom 26 10" xfId="6326"/>
    <cellStyle name="Bom 26 11" xfId="6327"/>
    <cellStyle name="Bom 26 12" xfId="6328"/>
    <cellStyle name="Bom 26 13" xfId="6329"/>
    <cellStyle name="Bom 26 14" xfId="6330"/>
    <cellStyle name="Bom 26 15" xfId="6331"/>
    <cellStyle name="Bom 26 16" xfId="6332"/>
    <cellStyle name="Bom 26 2" xfId="6333"/>
    <cellStyle name="Bom 26 3" xfId="6334"/>
    <cellStyle name="Bom 26 4" xfId="6335"/>
    <cellStyle name="Bom 26 5" xfId="6336"/>
    <cellStyle name="Bom 26 6" xfId="6337"/>
    <cellStyle name="Bom 26 7" xfId="6338"/>
    <cellStyle name="Bom 26 8" xfId="6339"/>
    <cellStyle name="Bom 26 9" xfId="6340"/>
    <cellStyle name="Bom 27" xfId="6341"/>
    <cellStyle name="Bom 27 10" xfId="6342"/>
    <cellStyle name="Bom 27 11" xfId="6343"/>
    <cellStyle name="Bom 27 12" xfId="6344"/>
    <cellStyle name="Bom 27 13" xfId="6345"/>
    <cellStyle name="Bom 27 14" xfId="6346"/>
    <cellStyle name="Bom 27 15" xfId="6347"/>
    <cellStyle name="Bom 27 16" xfId="6348"/>
    <cellStyle name="Bom 27 2" xfId="6349"/>
    <cellStyle name="Bom 27 3" xfId="6350"/>
    <cellStyle name="Bom 27 4" xfId="6351"/>
    <cellStyle name="Bom 27 5" xfId="6352"/>
    <cellStyle name="Bom 27 6" xfId="6353"/>
    <cellStyle name="Bom 27 7" xfId="6354"/>
    <cellStyle name="Bom 27 8" xfId="6355"/>
    <cellStyle name="Bom 27 9" xfId="6356"/>
    <cellStyle name="Bom 28" xfId="6357"/>
    <cellStyle name="Bom 28 10" xfId="6358"/>
    <cellStyle name="Bom 28 11" xfId="6359"/>
    <cellStyle name="Bom 28 12" xfId="6360"/>
    <cellStyle name="Bom 28 13" xfId="6361"/>
    <cellStyle name="Bom 28 14" xfId="6362"/>
    <cellStyle name="Bom 28 15" xfId="6363"/>
    <cellStyle name="Bom 28 16" xfId="6364"/>
    <cellStyle name="Bom 28 2" xfId="6365"/>
    <cellStyle name="Bom 28 3" xfId="6366"/>
    <cellStyle name="Bom 28 4" xfId="6367"/>
    <cellStyle name="Bom 28 5" xfId="6368"/>
    <cellStyle name="Bom 28 6" xfId="6369"/>
    <cellStyle name="Bom 28 7" xfId="6370"/>
    <cellStyle name="Bom 28 8" xfId="6371"/>
    <cellStyle name="Bom 28 9" xfId="6372"/>
    <cellStyle name="Bom 29" xfId="6373"/>
    <cellStyle name="Bom 29 10" xfId="6374"/>
    <cellStyle name="Bom 29 11" xfId="6375"/>
    <cellStyle name="Bom 29 12" xfId="6376"/>
    <cellStyle name="Bom 29 13" xfId="6377"/>
    <cellStyle name="Bom 29 14" xfId="6378"/>
    <cellStyle name="Bom 29 15" xfId="6379"/>
    <cellStyle name="Bom 29 16" xfId="6380"/>
    <cellStyle name="Bom 29 2" xfId="6381"/>
    <cellStyle name="Bom 29 3" xfId="6382"/>
    <cellStyle name="Bom 29 4" xfId="6383"/>
    <cellStyle name="Bom 29 5" xfId="6384"/>
    <cellStyle name="Bom 29 6" xfId="6385"/>
    <cellStyle name="Bom 29 7" xfId="6386"/>
    <cellStyle name="Bom 29 8" xfId="6387"/>
    <cellStyle name="Bom 29 9" xfId="6388"/>
    <cellStyle name="Bom 3" xfId="6389"/>
    <cellStyle name="Bom 3 10" xfId="6390"/>
    <cellStyle name="Bom 3 11" xfId="6391"/>
    <cellStyle name="Bom 3 2" xfId="6392"/>
    <cellStyle name="Bom 3 3" xfId="6393"/>
    <cellStyle name="Bom 3 4" xfId="6394"/>
    <cellStyle name="Bom 3 5" xfId="6395"/>
    <cellStyle name="Bom 3 6" xfId="6396"/>
    <cellStyle name="Bom 3 7" xfId="6397"/>
    <cellStyle name="Bom 3 8" xfId="6398"/>
    <cellStyle name="Bom 3 9" xfId="6399"/>
    <cellStyle name="Bom 30" xfId="6400"/>
    <cellStyle name="Bom 31" xfId="6401"/>
    <cellStyle name="Bom 32" xfId="6402"/>
    <cellStyle name="Bom 33" xfId="6403"/>
    <cellStyle name="Bom 34" xfId="6404"/>
    <cellStyle name="Bom 35" xfId="6405"/>
    <cellStyle name="Bom 36" xfId="6406"/>
    <cellStyle name="Bom 37" xfId="6407"/>
    <cellStyle name="Bom 38" xfId="6408"/>
    <cellStyle name="Bom 39" xfId="6409"/>
    <cellStyle name="Bom 4" xfId="6410"/>
    <cellStyle name="Bom 4 10" xfId="6411"/>
    <cellStyle name="Bom 4 11" xfId="6412"/>
    <cellStyle name="Bom 4 2" xfId="6413"/>
    <cellStyle name="Bom 4 3" xfId="6414"/>
    <cellStyle name="Bom 4 4" xfId="6415"/>
    <cellStyle name="Bom 4 5" xfId="6416"/>
    <cellStyle name="Bom 4 6" xfId="6417"/>
    <cellStyle name="Bom 4 7" xfId="6418"/>
    <cellStyle name="Bom 4 8" xfId="6419"/>
    <cellStyle name="Bom 4 9" xfId="6420"/>
    <cellStyle name="Bom 40" xfId="6421"/>
    <cellStyle name="Bom 41" xfId="6422"/>
    <cellStyle name="Bom 42" xfId="6423"/>
    <cellStyle name="Bom 43" xfId="6424"/>
    <cellStyle name="Bom 44" xfId="6425"/>
    <cellStyle name="Bom 45" xfId="6426"/>
    <cellStyle name="Bom 46" xfId="6427"/>
    <cellStyle name="Bom 47" xfId="6428"/>
    <cellStyle name="Bom 48" xfId="6429"/>
    <cellStyle name="Bom 49" xfId="6430"/>
    <cellStyle name="Bom 5" xfId="6431"/>
    <cellStyle name="Bom 5 2" xfId="6432"/>
    <cellStyle name="Bom 5 3" xfId="6433"/>
    <cellStyle name="Bom 5 4" xfId="6434"/>
    <cellStyle name="Bom 50" xfId="6435"/>
    <cellStyle name="Bom 51" xfId="6436"/>
    <cellStyle name="Bom 52" xfId="6437"/>
    <cellStyle name="Bom 53" xfId="6438"/>
    <cellStyle name="Bom 54" xfId="6439"/>
    <cellStyle name="Bom 55" xfId="6440"/>
    <cellStyle name="Bom 56" xfId="6441"/>
    <cellStyle name="Bom 57" xfId="6442"/>
    <cellStyle name="Bom 58" xfId="6443"/>
    <cellStyle name="Bom 59" xfId="6444"/>
    <cellStyle name="Bom 6" xfId="6445"/>
    <cellStyle name="Bom 6 2" xfId="6446"/>
    <cellStyle name="Bom 6 3" xfId="6447"/>
    <cellStyle name="Bom 6 4" xfId="6448"/>
    <cellStyle name="Bom 60" xfId="6449"/>
    <cellStyle name="Bom 61" xfId="6450"/>
    <cellStyle name="Bom 62" xfId="6451"/>
    <cellStyle name="Bom 63" xfId="6452"/>
    <cellStyle name="Bom 64" xfId="6453"/>
    <cellStyle name="Bom 65" xfId="6454"/>
    <cellStyle name="Bom 66" xfId="6455"/>
    <cellStyle name="Bom 67" xfId="6456"/>
    <cellStyle name="Bom 68" xfId="6457"/>
    <cellStyle name="Bom 69" xfId="6458"/>
    <cellStyle name="Bom 7" xfId="6459"/>
    <cellStyle name="Bom 7 2" xfId="6460"/>
    <cellStyle name="Bom 7 3" xfId="6461"/>
    <cellStyle name="Bom 7 4" xfId="6462"/>
    <cellStyle name="Bom 70" xfId="6463"/>
    <cellStyle name="Bom 71" xfId="6464"/>
    <cellStyle name="Bom 72" xfId="6465"/>
    <cellStyle name="Bom 73" xfId="6466"/>
    <cellStyle name="Bom 74" xfId="6467"/>
    <cellStyle name="Bom 75" xfId="6468"/>
    <cellStyle name="Bom 76" xfId="6469"/>
    <cellStyle name="Bom 77" xfId="6470"/>
    <cellStyle name="Bom 78" xfId="6471"/>
    <cellStyle name="Bom 79" xfId="6472"/>
    <cellStyle name="Bom 8" xfId="6473"/>
    <cellStyle name="Bom 8 2" xfId="6474"/>
    <cellStyle name="Bom 8 3" xfId="6475"/>
    <cellStyle name="Bom 8 4" xfId="6476"/>
    <cellStyle name="Bom 80" xfId="6477"/>
    <cellStyle name="Bom 81" xfId="6478"/>
    <cellStyle name="Bom 82" xfId="6479"/>
    <cellStyle name="Bom 83" xfId="6480"/>
    <cellStyle name="Bom 84" xfId="6481"/>
    <cellStyle name="Bom 85" xfId="6482"/>
    <cellStyle name="Bom 86" xfId="6483"/>
    <cellStyle name="Bom 87" xfId="6484"/>
    <cellStyle name="Bom 88" xfId="6485"/>
    <cellStyle name="Bom 89" xfId="6486"/>
    <cellStyle name="Bom 9" xfId="6487"/>
    <cellStyle name="Bom 90" xfId="6488"/>
    <cellStyle name="Bom 91" xfId="6489"/>
    <cellStyle name="Bom 92" xfId="6490"/>
    <cellStyle name="Bom 93" xfId="6491"/>
    <cellStyle name="Bom 94" xfId="6492"/>
    <cellStyle name="Bom 95" xfId="6493"/>
    <cellStyle name="Bom 96" xfId="6494"/>
    <cellStyle name="Bom 97" xfId="6495"/>
    <cellStyle name="Bom 98" xfId="6496"/>
    <cellStyle name="Bom 99" xfId="6497"/>
    <cellStyle name="Cálculo 10" xfId="6498"/>
    <cellStyle name="Cálculo 10 2" xfId="29074"/>
    <cellStyle name="Cálculo 100" xfId="6499"/>
    <cellStyle name="Cálculo 100 2" xfId="29379"/>
    <cellStyle name="Cálculo 101" xfId="6500"/>
    <cellStyle name="Cálculo 101 2" xfId="29380"/>
    <cellStyle name="Cálculo 102" xfId="6501"/>
    <cellStyle name="Cálculo 102 2" xfId="29381"/>
    <cellStyle name="Cálculo 103" xfId="6502"/>
    <cellStyle name="Cálculo 103 2" xfId="29382"/>
    <cellStyle name="Cálculo 104" xfId="6503"/>
    <cellStyle name="Cálculo 104 2" xfId="29383"/>
    <cellStyle name="Cálculo 105" xfId="6504"/>
    <cellStyle name="Cálculo 105 2" xfId="29384"/>
    <cellStyle name="Cálculo 106" xfId="6505"/>
    <cellStyle name="Cálculo 106 2" xfId="29385"/>
    <cellStyle name="Cálculo 107" xfId="6506"/>
    <cellStyle name="Cálculo 107 2" xfId="29386"/>
    <cellStyle name="Cálculo 108" xfId="6507"/>
    <cellStyle name="Cálculo 108 2" xfId="29387"/>
    <cellStyle name="Cálculo 109" xfId="6508"/>
    <cellStyle name="Cálculo 109 2" xfId="29388"/>
    <cellStyle name="Cálculo 11" xfId="6509"/>
    <cellStyle name="Cálculo 11 2" xfId="29075"/>
    <cellStyle name="Cálculo 110" xfId="6510"/>
    <cellStyle name="Cálculo 110 2" xfId="29389"/>
    <cellStyle name="Cálculo 111" xfId="6511"/>
    <cellStyle name="Cálculo 111 2" xfId="29390"/>
    <cellStyle name="Cálculo 112" xfId="6512"/>
    <cellStyle name="Cálculo 112 2" xfId="29391"/>
    <cellStyle name="Cálculo 113" xfId="6513"/>
    <cellStyle name="Cálculo 113 2" xfId="29392"/>
    <cellStyle name="Cálculo 114" xfId="6514"/>
    <cellStyle name="Cálculo 114 2" xfId="29393"/>
    <cellStyle name="Cálculo 115" xfId="6515"/>
    <cellStyle name="Cálculo 115 2" xfId="29394"/>
    <cellStyle name="Cálculo 116" xfId="6516"/>
    <cellStyle name="Cálculo 116 2" xfId="29395"/>
    <cellStyle name="Cálculo 117" xfId="6517"/>
    <cellStyle name="Cálculo 117 2" xfId="29396"/>
    <cellStyle name="Cálculo 118" xfId="6518"/>
    <cellStyle name="Cálculo 118 2" xfId="29397"/>
    <cellStyle name="Cálculo 119" xfId="6519"/>
    <cellStyle name="Cálculo 119 2" xfId="29398"/>
    <cellStyle name="Cálculo 12" xfId="6520"/>
    <cellStyle name="Cálculo 12 2" xfId="29076"/>
    <cellStyle name="Cálculo 120" xfId="6521"/>
    <cellStyle name="Cálculo 120 2" xfId="29399"/>
    <cellStyle name="Cálculo 121" xfId="6522"/>
    <cellStyle name="Cálculo 121 2" xfId="29400"/>
    <cellStyle name="Cálculo 122" xfId="6523"/>
    <cellStyle name="Cálculo 122 2" xfId="29401"/>
    <cellStyle name="Cálculo 123" xfId="6524"/>
    <cellStyle name="Cálculo 123 2" xfId="29402"/>
    <cellStyle name="Cálculo 124" xfId="6525"/>
    <cellStyle name="Cálculo 124 2" xfId="29403"/>
    <cellStyle name="Cálculo 125" xfId="6526"/>
    <cellStyle name="Cálculo 125 2" xfId="29404"/>
    <cellStyle name="Cálculo 126" xfId="6527"/>
    <cellStyle name="Cálculo 126 2" xfId="29405"/>
    <cellStyle name="Cálculo 127" xfId="6528"/>
    <cellStyle name="Cálculo 127 2" xfId="29406"/>
    <cellStyle name="Cálculo 128" xfId="6529"/>
    <cellStyle name="Cálculo 128 2" xfId="29407"/>
    <cellStyle name="Cálculo 129" xfId="6530"/>
    <cellStyle name="Cálculo 129 2" xfId="29408"/>
    <cellStyle name="Cálculo 13" xfId="6531"/>
    <cellStyle name="Cálculo 13 2" xfId="29077"/>
    <cellStyle name="Cálculo 130" xfId="6532"/>
    <cellStyle name="Cálculo 130 2" xfId="29409"/>
    <cellStyle name="Cálculo 131" xfId="6533"/>
    <cellStyle name="Cálculo 131 2" xfId="29410"/>
    <cellStyle name="Cálculo 132" xfId="6534"/>
    <cellStyle name="Cálculo 132 2" xfId="29411"/>
    <cellStyle name="Cálculo 133" xfId="6535"/>
    <cellStyle name="Cálculo 133 2" xfId="29412"/>
    <cellStyle name="Cálculo 134" xfId="6536"/>
    <cellStyle name="Cálculo 134 2" xfId="29413"/>
    <cellStyle name="Cálculo 135" xfId="6537"/>
    <cellStyle name="Cálculo 135 2" xfId="29414"/>
    <cellStyle name="Cálculo 136" xfId="6538"/>
    <cellStyle name="Cálculo 136 2" xfId="29415"/>
    <cellStyle name="Cálculo 137" xfId="6539"/>
    <cellStyle name="Cálculo 137 2" xfId="29416"/>
    <cellStyle name="Cálculo 138" xfId="6540"/>
    <cellStyle name="Cálculo 138 2" xfId="29417"/>
    <cellStyle name="Cálculo 139" xfId="6541"/>
    <cellStyle name="Cálculo 139 2" xfId="29418"/>
    <cellStyle name="Cálculo 14" xfId="6542"/>
    <cellStyle name="Cálculo 14 2" xfId="29078"/>
    <cellStyle name="Cálculo 140" xfId="6543"/>
    <cellStyle name="Cálculo 140 2" xfId="29419"/>
    <cellStyle name="Cálculo 141" xfId="6544"/>
    <cellStyle name="Cálculo 141 2" xfId="29420"/>
    <cellStyle name="Cálculo 142" xfId="6545"/>
    <cellStyle name="Cálculo 142 2" xfId="29421"/>
    <cellStyle name="Cálculo 143" xfId="6546"/>
    <cellStyle name="Cálculo 143 2" xfId="29422"/>
    <cellStyle name="Cálculo 144" xfId="6547"/>
    <cellStyle name="Cálculo 144 2" xfId="29423"/>
    <cellStyle name="Cálculo 145" xfId="6548"/>
    <cellStyle name="Cálculo 145 2" xfId="29424"/>
    <cellStyle name="Cálculo 146" xfId="6549"/>
    <cellStyle name="Cálculo 146 2" xfId="29425"/>
    <cellStyle name="Cálculo 147" xfId="6550"/>
    <cellStyle name="Cálculo 147 2" xfId="29426"/>
    <cellStyle name="Cálculo 148" xfId="6551"/>
    <cellStyle name="Cálculo 148 2" xfId="29427"/>
    <cellStyle name="Cálculo 149" xfId="6552"/>
    <cellStyle name="Cálculo 149 2" xfId="29428"/>
    <cellStyle name="Cálculo 15" xfId="6553"/>
    <cellStyle name="Cálculo 15 2" xfId="6554"/>
    <cellStyle name="Cálculo 15 2 2" xfId="29429"/>
    <cellStyle name="Cálculo 15 3" xfId="6555"/>
    <cellStyle name="Cálculo 15 3 2" xfId="29430"/>
    <cellStyle name="Cálculo 15 4" xfId="29079"/>
    <cellStyle name="Cálculo 150" xfId="6556"/>
    <cellStyle name="Cálculo 150 2" xfId="29431"/>
    <cellStyle name="Cálculo 151" xfId="6557"/>
    <cellStyle name="Cálculo 151 2" xfId="29432"/>
    <cellStyle name="Cálculo 152" xfId="6558"/>
    <cellStyle name="Cálculo 152 2" xfId="29433"/>
    <cellStyle name="Cálculo 153" xfId="6559"/>
    <cellStyle name="Cálculo 153 2" xfId="29434"/>
    <cellStyle name="Cálculo 154" xfId="6560"/>
    <cellStyle name="Cálculo 154 2" xfId="29435"/>
    <cellStyle name="Cálculo 155" xfId="6561"/>
    <cellStyle name="Cálculo 155 2" xfId="29436"/>
    <cellStyle name="Cálculo 156" xfId="6562"/>
    <cellStyle name="Cálculo 156 2" xfId="29437"/>
    <cellStyle name="Cálculo 157" xfId="6563"/>
    <cellStyle name="Cálculo 157 2" xfId="29438"/>
    <cellStyle name="Cálculo 158" xfId="6564"/>
    <cellStyle name="Cálculo 158 2" xfId="29439"/>
    <cellStyle name="Cálculo 159" xfId="6565"/>
    <cellStyle name="Cálculo 159 2" xfId="29440"/>
    <cellStyle name="Cálculo 16" xfId="6566"/>
    <cellStyle name="Cálculo 16 2" xfId="6567"/>
    <cellStyle name="Cálculo 16 2 2" xfId="29441"/>
    <cellStyle name="Cálculo 16 3" xfId="6568"/>
    <cellStyle name="Cálculo 16 3 2" xfId="29442"/>
    <cellStyle name="Cálculo 16 4" xfId="29080"/>
    <cellStyle name="Cálculo 160" xfId="6569"/>
    <cellStyle name="Cálculo 160 2" xfId="29443"/>
    <cellStyle name="Cálculo 161" xfId="6570"/>
    <cellStyle name="Cálculo 161 2" xfId="29444"/>
    <cellStyle name="Cálculo 162" xfId="6571"/>
    <cellStyle name="Cálculo 162 2" xfId="29445"/>
    <cellStyle name="Cálculo 163" xfId="6572"/>
    <cellStyle name="Cálculo 163 2" xfId="29446"/>
    <cellStyle name="Cálculo 164" xfId="6573"/>
    <cellStyle name="Cálculo 164 2" xfId="29447"/>
    <cellStyle name="Cálculo 165" xfId="6574"/>
    <cellStyle name="Cálculo 165 2" xfId="29448"/>
    <cellStyle name="Cálculo 166" xfId="6575"/>
    <cellStyle name="Cálculo 166 2" xfId="29449"/>
    <cellStyle name="Cálculo 167" xfId="6576"/>
    <cellStyle name="Cálculo 167 2" xfId="29450"/>
    <cellStyle name="Cálculo 168" xfId="6577"/>
    <cellStyle name="Cálculo 168 2" xfId="29451"/>
    <cellStyle name="Cálculo 169" xfId="6578"/>
    <cellStyle name="Cálculo 169 2" xfId="29452"/>
    <cellStyle name="Cálculo 17" xfId="6579"/>
    <cellStyle name="Cálculo 17 2" xfId="6580"/>
    <cellStyle name="Cálculo 17 2 2" xfId="29453"/>
    <cellStyle name="Cálculo 17 3" xfId="6581"/>
    <cellStyle name="Cálculo 17 3 2" xfId="29454"/>
    <cellStyle name="Cálculo 17 4" xfId="29081"/>
    <cellStyle name="Cálculo 170" xfId="6582"/>
    <cellStyle name="Cálculo 170 2" xfId="29455"/>
    <cellStyle name="Cálculo 171" xfId="6583"/>
    <cellStyle name="Cálculo 171 2" xfId="29456"/>
    <cellStyle name="Cálculo 172" xfId="6584"/>
    <cellStyle name="Cálculo 172 2" xfId="29457"/>
    <cellStyle name="Cálculo 173" xfId="6585"/>
    <cellStyle name="Cálculo 173 2" xfId="29458"/>
    <cellStyle name="Cálculo 174" xfId="6586"/>
    <cellStyle name="Cálculo 174 2" xfId="29459"/>
    <cellStyle name="Cálculo 175" xfId="6587"/>
    <cellStyle name="Cálculo 175 2" xfId="29460"/>
    <cellStyle name="Cálculo 176" xfId="6588"/>
    <cellStyle name="Cálculo 176 2" xfId="29461"/>
    <cellStyle name="Cálculo 177" xfId="6589"/>
    <cellStyle name="Cálculo 177 2" xfId="29462"/>
    <cellStyle name="Cálculo 178" xfId="6590"/>
    <cellStyle name="Cálculo 178 2" xfId="29463"/>
    <cellStyle name="Cálculo 179" xfId="6591"/>
    <cellStyle name="Cálculo 179 2" xfId="29464"/>
    <cellStyle name="Cálculo 18" xfId="6592"/>
    <cellStyle name="Cálculo 18 2" xfId="6593"/>
    <cellStyle name="Cálculo 18 2 2" xfId="29465"/>
    <cellStyle name="Cálculo 18 3" xfId="6594"/>
    <cellStyle name="Cálculo 18 3 2" xfId="29466"/>
    <cellStyle name="Cálculo 18 4" xfId="29082"/>
    <cellStyle name="Cálculo 180" xfId="6595"/>
    <cellStyle name="Cálculo 180 2" xfId="29467"/>
    <cellStyle name="Cálculo 181" xfId="6596"/>
    <cellStyle name="Cálculo 181 2" xfId="29468"/>
    <cellStyle name="Cálculo 182" xfId="6597"/>
    <cellStyle name="Cálculo 182 2" xfId="29469"/>
    <cellStyle name="Cálculo 183" xfId="6598"/>
    <cellStyle name="Cálculo 183 2" xfId="29470"/>
    <cellStyle name="Cálculo 184" xfId="6599"/>
    <cellStyle name="Cálculo 184 2" xfId="29471"/>
    <cellStyle name="Cálculo 185" xfId="6600"/>
    <cellStyle name="Cálculo 185 2" xfId="29472"/>
    <cellStyle name="Cálculo 186" xfId="6601"/>
    <cellStyle name="Cálculo 186 2" xfId="29473"/>
    <cellStyle name="Cálculo 187" xfId="6602"/>
    <cellStyle name="Cálculo 187 2" xfId="29474"/>
    <cellStyle name="Cálculo 188" xfId="6603"/>
    <cellStyle name="Cálculo 188 2" xfId="29475"/>
    <cellStyle name="Cálculo 189" xfId="6604"/>
    <cellStyle name="Cálculo 189 2" xfId="29476"/>
    <cellStyle name="Cálculo 19" xfId="6605"/>
    <cellStyle name="Cálculo 19 2" xfId="6606"/>
    <cellStyle name="Cálculo 19 2 2" xfId="29477"/>
    <cellStyle name="Cálculo 19 3" xfId="6607"/>
    <cellStyle name="Cálculo 19 3 2" xfId="29478"/>
    <cellStyle name="Cálculo 19 4" xfId="29083"/>
    <cellStyle name="Cálculo 190" xfId="6608"/>
    <cellStyle name="Cálculo 190 2" xfId="29479"/>
    <cellStyle name="Cálculo 2" xfId="6609"/>
    <cellStyle name="Cálculo 2 10" xfId="6610"/>
    <cellStyle name="Cálculo 2 10 2" xfId="6611"/>
    <cellStyle name="Cálculo 2 10 2 2" xfId="29481"/>
    <cellStyle name="Cálculo 2 10 3" xfId="6612"/>
    <cellStyle name="Cálculo 2 10 3 2" xfId="29482"/>
    <cellStyle name="Cálculo 2 10 4" xfId="6613"/>
    <cellStyle name="Cálculo 2 10 4 2" xfId="29483"/>
    <cellStyle name="Cálculo 2 10 5" xfId="6614"/>
    <cellStyle name="Cálculo 2 10 5 2" xfId="29484"/>
    <cellStyle name="Cálculo 2 10 6" xfId="6615"/>
    <cellStyle name="Cálculo 2 10 6 2" xfId="29485"/>
    <cellStyle name="Cálculo 2 10 7" xfId="6616"/>
    <cellStyle name="Cálculo 2 10 7 2" xfId="29486"/>
    <cellStyle name="Cálculo 2 10 8" xfId="29480"/>
    <cellStyle name="Cálculo 2 11" xfId="6617"/>
    <cellStyle name="Cálculo 2 11 2" xfId="6618"/>
    <cellStyle name="Cálculo 2 11 2 2" xfId="29488"/>
    <cellStyle name="Cálculo 2 11 3" xfId="6619"/>
    <cellStyle name="Cálculo 2 11 3 2" xfId="29489"/>
    <cellStyle name="Cálculo 2 11 4" xfId="6620"/>
    <cellStyle name="Cálculo 2 11 4 2" xfId="29490"/>
    <cellStyle name="Cálculo 2 11 5" xfId="6621"/>
    <cellStyle name="Cálculo 2 11 5 2" xfId="29491"/>
    <cellStyle name="Cálculo 2 11 6" xfId="6622"/>
    <cellStyle name="Cálculo 2 11 6 2" xfId="29492"/>
    <cellStyle name="Cálculo 2 11 7" xfId="6623"/>
    <cellStyle name="Cálculo 2 11 7 2" xfId="29493"/>
    <cellStyle name="Cálculo 2 11 8" xfId="29487"/>
    <cellStyle name="Cálculo 2 12" xfId="6624"/>
    <cellStyle name="Cálculo 2 12 2" xfId="29494"/>
    <cellStyle name="Cálculo 2 13" xfId="6625"/>
    <cellStyle name="Cálculo 2 13 2" xfId="29495"/>
    <cellStyle name="Cálculo 2 14" xfId="6626"/>
    <cellStyle name="Cálculo 2 14 2" xfId="29496"/>
    <cellStyle name="Cálculo 2 15" xfId="6627"/>
    <cellStyle name="Cálculo 2 15 2" xfId="29497"/>
    <cellStyle name="Cálculo 2 16" xfId="6628"/>
    <cellStyle name="Cálculo 2 16 2" xfId="29498"/>
    <cellStyle name="Cálculo 2 17" xfId="6629"/>
    <cellStyle name="Cálculo 2 17 2" xfId="29499"/>
    <cellStyle name="Cálculo 2 18" xfId="6630"/>
    <cellStyle name="Cálculo 2 18 2" xfId="29500"/>
    <cellStyle name="Cálculo 2 19" xfId="6631"/>
    <cellStyle name="Cálculo 2 19 2" xfId="29501"/>
    <cellStyle name="Cálculo 2 2" xfId="6632"/>
    <cellStyle name="Cálculo 2 2 2" xfId="29084"/>
    <cellStyle name="Cálculo 2 20" xfId="6633"/>
    <cellStyle name="Cálculo 2 20 2" xfId="29502"/>
    <cellStyle name="Cálculo 2 21" xfId="6634"/>
    <cellStyle name="Cálculo 2 21 2" xfId="29503"/>
    <cellStyle name="Cálculo 2 22" xfId="6635"/>
    <cellStyle name="Cálculo 2 22 2" xfId="29504"/>
    <cellStyle name="Cálculo 2 23" xfId="6636"/>
    <cellStyle name="Cálculo 2 23 2" xfId="29505"/>
    <cellStyle name="Cálculo 2 24" xfId="6637"/>
    <cellStyle name="Cálculo 2 24 2" xfId="29506"/>
    <cellStyle name="Cálculo 2 25" xfId="11"/>
    <cellStyle name="Cálculo 2 25 2" xfId="29363"/>
    <cellStyle name="Cálculo 2 26" xfId="6638"/>
    <cellStyle name="Cálculo 2 26 2" xfId="29507"/>
    <cellStyle name="Cálculo 2 27" xfId="6639"/>
    <cellStyle name="Cálculo 2 27 2" xfId="29508"/>
    <cellStyle name="Cálculo 2 28" xfId="6640"/>
    <cellStyle name="Cálculo 2 28 2" xfId="29509"/>
    <cellStyle name="Cálculo 2 29" xfId="6641"/>
    <cellStyle name="Cálculo 2 29 2" xfId="29510"/>
    <cellStyle name="Cálculo 2 3" xfId="6642"/>
    <cellStyle name="Cálculo 2 3 2" xfId="29085"/>
    <cellStyle name="Cálculo 2 30" xfId="6643"/>
    <cellStyle name="Cálculo 2 30 2" xfId="29511"/>
    <cellStyle name="Cálculo 2 31" xfId="6644"/>
    <cellStyle name="Cálculo 2 31 2" xfId="29512"/>
    <cellStyle name="Cálculo 2 32" xfId="6645"/>
    <cellStyle name="Cálculo 2 32 2" xfId="29513"/>
    <cellStyle name="Cálculo 2 33" xfId="6646"/>
    <cellStyle name="Cálculo 2 33 2" xfId="29514"/>
    <cellStyle name="Cálculo 2 34" xfId="6647"/>
    <cellStyle name="Cálculo 2 34 2" xfId="29515"/>
    <cellStyle name="Cálculo 2 35" xfId="6648"/>
    <cellStyle name="Cálculo 2 35 2" xfId="29516"/>
    <cellStyle name="Cálculo 2 36" xfId="29373"/>
    <cellStyle name="Cálculo 2 4" xfId="6649"/>
    <cellStyle name="Cálculo 2 4 2" xfId="29086"/>
    <cellStyle name="Cálculo 2 5" xfId="6650"/>
    <cellStyle name="Cálculo 2 5 2" xfId="29087"/>
    <cellStyle name="Cálculo 2 6" xfId="6651"/>
    <cellStyle name="Cálculo 2 6 2" xfId="29088"/>
    <cellStyle name="Cálculo 2 7" xfId="6652"/>
    <cellStyle name="Cálculo 2 7 2" xfId="29089"/>
    <cellStyle name="Cálculo 2 8" xfId="6653"/>
    <cellStyle name="Cálculo 2 8 2" xfId="6654"/>
    <cellStyle name="Cálculo 2 8 2 2" xfId="29518"/>
    <cellStyle name="Cálculo 2 8 3" xfId="6655"/>
    <cellStyle name="Cálculo 2 8 3 2" xfId="29519"/>
    <cellStyle name="Cálculo 2 8 4" xfId="6656"/>
    <cellStyle name="Cálculo 2 8 4 2" xfId="29520"/>
    <cellStyle name="Cálculo 2 8 5" xfId="6657"/>
    <cellStyle name="Cálculo 2 8 5 2" xfId="29521"/>
    <cellStyle name="Cálculo 2 8 6" xfId="6658"/>
    <cellStyle name="Cálculo 2 8 6 2" xfId="29522"/>
    <cellStyle name="Cálculo 2 8 7" xfId="6659"/>
    <cellStyle name="Cálculo 2 8 7 2" xfId="29523"/>
    <cellStyle name="Cálculo 2 8 8" xfId="29517"/>
    <cellStyle name="Cálculo 2 9" xfId="6660"/>
    <cellStyle name="Cálculo 2 9 2" xfId="6661"/>
    <cellStyle name="Cálculo 2 9 2 2" xfId="29525"/>
    <cellStyle name="Cálculo 2 9 3" xfId="6662"/>
    <cellStyle name="Cálculo 2 9 3 2" xfId="29526"/>
    <cellStyle name="Cálculo 2 9 4" xfId="6663"/>
    <cellStyle name="Cálculo 2 9 4 2" xfId="29527"/>
    <cellStyle name="Cálculo 2 9 5" xfId="6664"/>
    <cellStyle name="Cálculo 2 9 5 2" xfId="29528"/>
    <cellStyle name="Cálculo 2 9 6" xfId="6665"/>
    <cellStyle name="Cálculo 2 9 6 2" xfId="29529"/>
    <cellStyle name="Cálculo 2 9 7" xfId="6666"/>
    <cellStyle name="Cálculo 2 9 7 2" xfId="29530"/>
    <cellStyle name="Cálculo 2 9 8" xfId="29524"/>
    <cellStyle name="Cálculo 20" xfId="6667"/>
    <cellStyle name="Cálculo 20 2" xfId="6668"/>
    <cellStyle name="Cálculo 20 2 2" xfId="29531"/>
    <cellStyle name="Cálculo 20 3" xfId="6669"/>
    <cellStyle name="Cálculo 20 3 2" xfId="29532"/>
    <cellStyle name="Cálculo 20 4" xfId="29090"/>
    <cellStyle name="Cálculo 21" xfId="6670"/>
    <cellStyle name="Cálculo 21 2" xfId="29091"/>
    <cellStyle name="Cálculo 22" xfId="6671"/>
    <cellStyle name="Cálculo 22 2" xfId="29092"/>
    <cellStyle name="Cálculo 23" xfId="6672"/>
    <cellStyle name="Cálculo 23 2" xfId="29093"/>
    <cellStyle name="Cálculo 24" xfId="6673"/>
    <cellStyle name="Cálculo 24 2" xfId="29094"/>
    <cellStyle name="Cálculo 24 2 2" xfId="40946"/>
    <cellStyle name="Cálculo 25" xfId="6674"/>
    <cellStyle name="Cálculo 25 2" xfId="29095"/>
    <cellStyle name="Cálculo 25 2 2" xfId="40981"/>
    <cellStyle name="Cálculo 26" xfId="6675"/>
    <cellStyle name="Cálculo 26 10" xfId="6676"/>
    <cellStyle name="Cálculo 26 10 2" xfId="29534"/>
    <cellStyle name="Cálculo 26 11" xfId="6677"/>
    <cellStyle name="Cálculo 26 11 2" xfId="29535"/>
    <cellStyle name="Cálculo 26 12" xfId="6678"/>
    <cellStyle name="Cálculo 26 12 2" xfId="29536"/>
    <cellStyle name="Cálculo 26 13" xfId="6679"/>
    <cellStyle name="Cálculo 26 13 2" xfId="29537"/>
    <cellStyle name="Cálculo 26 14" xfId="6680"/>
    <cellStyle name="Cálculo 26 14 2" xfId="29538"/>
    <cellStyle name="Cálculo 26 15" xfId="6681"/>
    <cellStyle name="Cálculo 26 15 2" xfId="29539"/>
    <cellStyle name="Cálculo 26 16" xfId="6682"/>
    <cellStyle name="Cálculo 26 16 2" xfId="29540"/>
    <cellStyle name="Cálculo 26 17" xfId="29533"/>
    <cellStyle name="Cálculo 26 2" xfId="6683"/>
    <cellStyle name="Cálculo 26 2 2" xfId="29541"/>
    <cellStyle name="Cálculo 26 3" xfId="6684"/>
    <cellStyle name="Cálculo 26 3 2" xfId="29542"/>
    <cellStyle name="Cálculo 26 4" xfId="6685"/>
    <cellStyle name="Cálculo 26 4 2" xfId="29543"/>
    <cellStyle name="Cálculo 26 5" xfId="6686"/>
    <cellStyle name="Cálculo 26 5 2" xfId="29544"/>
    <cellStyle name="Cálculo 26 6" xfId="6687"/>
    <cellStyle name="Cálculo 26 6 2" xfId="29545"/>
    <cellStyle name="Cálculo 26 7" xfId="6688"/>
    <cellStyle name="Cálculo 26 7 2" xfId="29546"/>
    <cellStyle name="Cálculo 26 8" xfId="6689"/>
    <cellStyle name="Cálculo 26 8 2" xfId="29547"/>
    <cellStyle name="Cálculo 26 9" xfId="6690"/>
    <cellStyle name="Cálculo 26 9 2" xfId="29548"/>
    <cellStyle name="Cálculo 27" xfId="6691"/>
    <cellStyle name="Cálculo 27 10" xfId="6692"/>
    <cellStyle name="Cálculo 27 10 2" xfId="29550"/>
    <cellStyle name="Cálculo 27 11" xfId="6693"/>
    <cellStyle name="Cálculo 27 11 2" xfId="29551"/>
    <cellStyle name="Cálculo 27 12" xfId="6694"/>
    <cellStyle name="Cálculo 27 12 2" xfId="29552"/>
    <cellStyle name="Cálculo 27 13" xfId="6695"/>
    <cellStyle name="Cálculo 27 13 2" xfId="29553"/>
    <cellStyle name="Cálculo 27 14" xfId="6696"/>
    <cellStyle name="Cálculo 27 14 2" xfId="29554"/>
    <cellStyle name="Cálculo 27 15" xfId="6697"/>
    <cellStyle name="Cálculo 27 15 2" xfId="29555"/>
    <cellStyle name="Cálculo 27 16" xfId="6698"/>
    <cellStyle name="Cálculo 27 16 2" xfId="29556"/>
    <cellStyle name="Cálculo 27 17" xfId="29549"/>
    <cellStyle name="Cálculo 27 2" xfId="6699"/>
    <cellStyle name="Cálculo 27 2 2" xfId="29557"/>
    <cellStyle name="Cálculo 27 3" xfId="6700"/>
    <cellStyle name="Cálculo 27 3 2" xfId="29558"/>
    <cellStyle name="Cálculo 27 4" xfId="6701"/>
    <cellStyle name="Cálculo 27 4 2" xfId="29559"/>
    <cellStyle name="Cálculo 27 5" xfId="6702"/>
    <cellStyle name="Cálculo 27 5 2" xfId="29560"/>
    <cellStyle name="Cálculo 27 6" xfId="6703"/>
    <cellStyle name="Cálculo 27 6 2" xfId="29561"/>
    <cellStyle name="Cálculo 27 7" xfId="6704"/>
    <cellStyle name="Cálculo 27 7 2" xfId="29562"/>
    <cellStyle name="Cálculo 27 8" xfId="6705"/>
    <cellStyle name="Cálculo 27 8 2" xfId="29563"/>
    <cellStyle name="Cálculo 27 9" xfId="6706"/>
    <cellStyle name="Cálculo 27 9 2" xfId="29564"/>
    <cellStyle name="Cálculo 28" xfId="6707"/>
    <cellStyle name="Cálculo 28 10" xfId="6708"/>
    <cellStyle name="Cálculo 28 10 2" xfId="29566"/>
    <cellStyle name="Cálculo 28 11" xfId="6709"/>
    <cellStyle name="Cálculo 28 11 2" xfId="29567"/>
    <cellStyle name="Cálculo 28 12" xfId="6710"/>
    <cellStyle name="Cálculo 28 12 2" xfId="29568"/>
    <cellStyle name="Cálculo 28 13" xfId="6711"/>
    <cellStyle name="Cálculo 28 13 2" xfId="29569"/>
    <cellStyle name="Cálculo 28 14" xfId="6712"/>
    <cellStyle name="Cálculo 28 14 2" xfId="29570"/>
    <cellStyle name="Cálculo 28 15" xfId="6713"/>
    <cellStyle name="Cálculo 28 15 2" xfId="29571"/>
    <cellStyle name="Cálculo 28 16" xfId="6714"/>
    <cellStyle name="Cálculo 28 16 2" xfId="29572"/>
    <cellStyle name="Cálculo 28 17" xfId="29565"/>
    <cellStyle name="Cálculo 28 2" xfId="6715"/>
    <cellStyle name="Cálculo 28 2 2" xfId="29573"/>
    <cellStyle name="Cálculo 28 3" xfId="6716"/>
    <cellStyle name="Cálculo 28 3 2" xfId="29574"/>
    <cellStyle name="Cálculo 28 4" xfId="6717"/>
    <cellStyle name="Cálculo 28 4 2" xfId="29575"/>
    <cellStyle name="Cálculo 28 5" xfId="6718"/>
    <cellStyle name="Cálculo 28 5 2" xfId="29576"/>
    <cellStyle name="Cálculo 28 6" xfId="6719"/>
    <cellStyle name="Cálculo 28 6 2" xfId="29577"/>
    <cellStyle name="Cálculo 28 7" xfId="6720"/>
    <cellStyle name="Cálculo 28 7 2" xfId="29578"/>
    <cellStyle name="Cálculo 28 8" xfId="6721"/>
    <cellStyle name="Cálculo 28 8 2" xfId="29579"/>
    <cellStyle name="Cálculo 28 9" xfId="6722"/>
    <cellStyle name="Cálculo 28 9 2" xfId="29580"/>
    <cellStyle name="Cálculo 29" xfId="6723"/>
    <cellStyle name="Cálculo 29 10" xfId="6724"/>
    <cellStyle name="Cálculo 29 10 2" xfId="29582"/>
    <cellStyle name="Cálculo 29 11" xfId="6725"/>
    <cellStyle name="Cálculo 29 11 2" xfId="29583"/>
    <cellStyle name="Cálculo 29 12" xfId="6726"/>
    <cellStyle name="Cálculo 29 12 2" xfId="29584"/>
    <cellStyle name="Cálculo 29 13" xfId="6727"/>
    <cellStyle name="Cálculo 29 13 2" xfId="29585"/>
    <cellStyle name="Cálculo 29 14" xfId="6728"/>
    <cellStyle name="Cálculo 29 14 2" xfId="29586"/>
    <cellStyle name="Cálculo 29 15" xfId="6729"/>
    <cellStyle name="Cálculo 29 15 2" xfId="29587"/>
    <cellStyle name="Cálculo 29 16" xfId="6730"/>
    <cellStyle name="Cálculo 29 16 2" xfId="29588"/>
    <cellStyle name="Cálculo 29 17" xfId="29581"/>
    <cellStyle name="Cálculo 29 2" xfId="6731"/>
    <cellStyle name="Cálculo 29 2 2" xfId="29589"/>
    <cellStyle name="Cálculo 29 3" xfId="6732"/>
    <cellStyle name="Cálculo 29 3 2" xfId="29590"/>
    <cellStyle name="Cálculo 29 4" xfId="6733"/>
    <cellStyle name="Cálculo 29 4 2" xfId="29591"/>
    <cellStyle name="Cálculo 29 5" xfId="6734"/>
    <cellStyle name="Cálculo 29 5 2" xfId="29592"/>
    <cellStyle name="Cálculo 29 6" xfId="6735"/>
    <cellStyle name="Cálculo 29 6 2" xfId="29593"/>
    <cellStyle name="Cálculo 29 7" xfId="6736"/>
    <cellStyle name="Cálculo 29 7 2" xfId="29594"/>
    <cellStyle name="Cálculo 29 8" xfId="6737"/>
    <cellStyle name="Cálculo 29 8 2" xfId="29595"/>
    <cellStyle name="Cálculo 29 9" xfId="6738"/>
    <cellStyle name="Cálculo 29 9 2" xfId="29596"/>
    <cellStyle name="Cálculo 3" xfId="6739"/>
    <cellStyle name="Cálculo 3 10" xfId="6740"/>
    <cellStyle name="Cálculo 3 10 2" xfId="29597"/>
    <cellStyle name="Cálculo 3 11" xfId="6741"/>
    <cellStyle name="Cálculo 3 11 2" xfId="29598"/>
    <cellStyle name="Cálculo 3 2" xfId="6742"/>
    <cellStyle name="Cálculo 3 2 2" xfId="29096"/>
    <cellStyle name="Cálculo 3 3" xfId="6743"/>
    <cellStyle name="Cálculo 3 3 2" xfId="29097"/>
    <cellStyle name="Cálculo 3 4" xfId="6744"/>
    <cellStyle name="Cálculo 3 4 2" xfId="29098"/>
    <cellStyle name="Cálculo 3 5" xfId="6745"/>
    <cellStyle name="Cálculo 3 5 2" xfId="29099"/>
    <cellStyle name="Cálculo 3 6" xfId="6746"/>
    <cellStyle name="Cálculo 3 6 2" xfId="29100"/>
    <cellStyle name="Cálculo 3 7" xfId="6747"/>
    <cellStyle name="Cálculo 3 7 2" xfId="29101"/>
    <cellStyle name="Cálculo 3 8" xfId="6748"/>
    <cellStyle name="Cálculo 3 8 2" xfId="29599"/>
    <cellStyle name="Cálculo 3 9" xfId="6749"/>
    <cellStyle name="Cálculo 3 9 2" xfId="29600"/>
    <cellStyle name="Cálculo 30" xfId="6750"/>
    <cellStyle name="Cálculo 30 2" xfId="29601"/>
    <cellStyle name="Cálculo 31" xfId="6751"/>
    <cellStyle name="Cálculo 31 2" xfId="29602"/>
    <cellStyle name="Cálculo 32" xfId="6752"/>
    <cellStyle name="Cálculo 32 2" xfId="29603"/>
    <cellStyle name="Cálculo 33" xfId="6753"/>
    <cellStyle name="Cálculo 33 2" xfId="29604"/>
    <cellStyle name="Cálculo 34" xfId="6754"/>
    <cellStyle name="Cálculo 34 2" xfId="29605"/>
    <cellStyle name="Cálculo 35" xfId="6755"/>
    <cellStyle name="Cálculo 35 2" xfId="29606"/>
    <cellStyle name="Cálculo 36" xfId="6756"/>
    <cellStyle name="Cálculo 36 2" xfId="29607"/>
    <cellStyle name="Cálculo 37" xfId="6757"/>
    <cellStyle name="Cálculo 37 2" xfId="29608"/>
    <cellStyle name="Cálculo 38" xfId="6758"/>
    <cellStyle name="Cálculo 38 2" xfId="29609"/>
    <cellStyle name="Cálculo 39" xfId="6759"/>
    <cellStyle name="Cálculo 39 2" xfId="29610"/>
    <cellStyle name="Cálculo 4" xfId="6760"/>
    <cellStyle name="Cálculo 4 10" xfId="6761"/>
    <cellStyle name="Cálculo 4 10 2" xfId="29611"/>
    <cellStyle name="Cálculo 4 11" xfId="6762"/>
    <cellStyle name="Cálculo 4 11 2" xfId="29612"/>
    <cellStyle name="Cálculo 4 2" xfId="6763"/>
    <cellStyle name="Cálculo 4 2 2" xfId="29102"/>
    <cellStyle name="Cálculo 4 3" xfId="6764"/>
    <cellStyle name="Cálculo 4 3 2" xfId="29103"/>
    <cellStyle name="Cálculo 4 4" xfId="6765"/>
    <cellStyle name="Cálculo 4 4 2" xfId="29104"/>
    <cellStyle name="Cálculo 4 5" xfId="6766"/>
    <cellStyle name="Cálculo 4 5 2" xfId="29105"/>
    <cellStyle name="Cálculo 4 6" xfId="6767"/>
    <cellStyle name="Cálculo 4 6 2" xfId="29106"/>
    <cellStyle name="Cálculo 4 7" xfId="6768"/>
    <cellStyle name="Cálculo 4 7 2" xfId="29107"/>
    <cellStyle name="Cálculo 4 8" xfId="6769"/>
    <cellStyle name="Cálculo 4 8 2" xfId="29613"/>
    <cellStyle name="Cálculo 4 9" xfId="6770"/>
    <cellStyle name="Cálculo 4 9 2" xfId="29614"/>
    <cellStyle name="Cálculo 40" xfId="6771"/>
    <cellStyle name="Cálculo 40 2" xfId="29615"/>
    <cellStyle name="Cálculo 41" xfId="6772"/>
    <cellStyle name="Cálculo 41 2" xfId="29616"/>
    <cellStyle name="Cálculo 42" xfId="6773"/>
    <cellStyle name="Cálculo 42 2" xfId="29617"/>
    <cellStyle name="Cálculo 43" xfId="6774"/>
    <cellStyle name="Cálculo 43 2" xfId="29618"/>
    <cellStyle name="Cálculo 44" xfId="6775"/>
    <cellStyle name="Cálculo 44 2" xfId="29619"/>
    <cellStyle name="Cálculo 45" xfId="6776"/>
    <cellStyle name="Cálculo 45 2" xfId="29620"/>
    <cellStyle name="Cálculo 46" xfId="6777"/>
    <cellStyle name="Cálculo 46 2" xfId="29621"/>
    <cellStyle name="Cálculo 47" xfId="6778"/>
    <cellStyle name="Cálculo 47 2" xfId="29622"/>
    <cellStyle name="Cálculo 48" xfId="6779"/>
    <cellStyle name="Cálculo 48 2" xfId="29623"/>
    <cellStyle name="Cálculo 49" xfId="6780"/>
    <cellStyle name="Cálculo 49 2" xfId="29624"/>
    <cellStyle name="Cálculo 5" xfId="6781"/>
    <cellStyle name="Cálculo 5 2" xfId="6782"/>
    <cellStyle name="Cálculo 5 2 2" xfId="29109"/>
    <cellStyle name="Cálculo 5 3" xfId="6783"/>
    <cellStyle name="Cálculo 5 3 2" xfId="29110"/>
    <cellStyle name="Cálculo 5 4" xfId="6784"/>
    <cellStyle name="Cálculo 5 4 2" xfId="29111"/>
    <cellStyle name="Cálculo 5 5" xfId="29108"/>
    <cellStyle name="Cálculo 50" xfId="6785"/>
    <cellStyle name="Cálculo 50 2" xfId="29625"/>
    <cellStyle name="Cálculo 51" xfId="6786"/>
    <cellStyle name="Cálculo 51 2" xfId="29626"/>
    <cellStyle name="Cálculo 52" xfId="6787"/>
    <cellStyle name="Cálculo 52 2" xfId="29627"/>
    <cellStyle name="Cálculo 53" xfId="6788"/>
    <cellStyle name="Cálculo 53 2" xfId="29628"/>
    <cellStyle name="Cálculo 54" xfId="6789"/>
    <cellStyle name="Cálculo 54 2" xfId="29629"/>
    <cellStyle name="Cálculo 55" xfId="6790"/>
    <cellStyle name="Cálculo 55 2" xfId="29630"/>
    <cellStyle name="Cálculo 56" xfId="6791"/>
    <cellStyle name="Cálculo 56 2" xfId="29631"/>
    <cellStyle name="Cálculo 57" xfId="6792"/>
    <cellStyle name="Cálculo 57 2" xfId="29632"/>
    <cellStyle name="Cálculo 58" xfId="6793"/>
    <cellStyle name="Cálculo 58 2" xfId="29633"/>
    <cellStyle name="Cálculo 59" xfId="6794"/>
    <cellStyle name="Cálculo 59 2" xfId="29634"/>
    <cellStyle name="Cálculo 6" xfId="6795"/>
    <cellStyle name="Cálculo 6 2" xfId="6796"/>
    <cellStyle name="Cálculo 6 2 2" xfId="29113"/>
    <cellStyle name="Cálculo 6 3" xfId="6797"/>
    <cellStyle name="Cálculo 6 3 2" xfId="29114"/>
    <cellStyle name="Cálculo 6 4" xfId="6798"/>
    <cellStyle name="Cálculo 6 4 2" xfId="29115"/>
    <cellStyle name="Cálculo 6 5" xfId="29112"/>
    <cellStyle name="Cálculo 60" xfId="6799"/>
    <cellStyle name="Cálculo 60 2" xfId="29635"/>
    <cellStyle name="Cálculo 61" xfId="6800"/>
    <cellStyle name="Cálculo 61 2" xfId="29636"/>
    <cellStyle name="Cálculo 62" xfId="6801"/>
    <cellStyle name="Cálculo 62 2" xfId="29637"/>
    <cellStyle name="Cálculo 63" xfId="6802"/>
    <cellStyle name="Cálculo 63 2" xfId="29638"/>
    <cellStyle name="Cálculo 64" xfId="6803"/>
    <cellStyle name="Cálculo 64 2" xfId="29639"/>
    <cellStyle name="Cálculo 65" xfId="6804"/>
    <cellStyle name="Cálculo 65 2" xfId="29640"/>
    <cellStyle name="Cálculo 66" xfId="6805"/>
    <cellStyle name="Cálculo 66 2" xfId="29641"/>
    <cellStyle name="Cálculo 67" xfId="6806"/>
    <cellStyle name="Cálculo 67 2" xfId="29642"/>
    <cellStyle name="Cálculo 68" xfId="6807"/>
    <cellStyle name="Cálculo 68 2" xfId="29643"/>
    <cellStyle name="Cálculo 69" xfId="6808"/>
    <cellStyle name="Cálculo 69 2" xfId="29644"/>
    <cellStyle name="Cálculo 7" xfId="6809"/>
    <cellStyle name="Cálculo 7 2" xfId="6810"/>
    <cellStyle name="Cálculo 7 2 2" xfId="29117"/>
    <cellStyle name="Cálculo 7 3" xfId="6811"/>
    <cellStyle name="Cálculo 7 3 2" xfId="29118"/>
    <cellStyle name="Cálculo 7 4" xfId="6812"/>
    <cellStyle name="Cálculo 7 4 2" xfId="29119"/>
    <cellStyle name="Cálculo 7 5" xfId="29116"/>
    <cellStyle name="Cálculo 70" xfId="6813"/>
    <cellStyle name="Cálculo 70 2" xfId="29645"/>
    <cellStyle name="Cálculo 71" xfId="6814"/>
    <cellStyle name="Cálculo 71 2" xfId="29646"/>
    <cellStyle name="Cálculo 72" xfId="6815"/>
    <cellStyle name="Cálculo 72 2" xfId="29647"/>
    <cellStyle name="Cálculo 73" xfId="6816"/>
    <cellStyle name="Cálculo 73 2" xfId="29648"/>
    <cellStyle name="Cálculo 74" xfId="6817"/>
    <cellStyle name="Cálculo 74 2" xfId="29649"/>
    <cellStyle name="Cálculo 75" xfId="6818"/>
    <cellStyle name="Cálculo 75 2" xfId="29650"/>
    <cellStyle name="Cálculo 76" xfId="6819"/>
    <cellStyle name="Cálculo 76 2" xfId="29651"/>
    <cellStyle name="Cálculo 77" xfId="6820"/>
    <cellStyle name="Cálculo 77 2" xfId="29652"/>
    <cellStyle name="Cálculo 78" xfId="6821"/>
    <cellStyle name="Cálculo 78 2" xfId="29653"/>
    <cellStyle name="Cálculo 79" xfId="6822"/>
    <cellStyle name="Cálculo 79 2" xfId="29654"/>
    <cellStyle name="Cálculo 8" xfId="6823"/>
    <cellStyle name="Cálculo 8 2" xfId="6824"/>
    <cellStyle name="Cálculo 8 2 2" xfId="29121"/>
    <cellStyle name="Cálculo 8 3" xfId="6825"/>
    <cellStyle name="Cálculo 8 3 2" xfId="29122"/>
    <cellStyle name="Cálculo 8 4" xfId="6826"/>
    <cellStyle name="Cálculo 8 4 2" xfId="29123"/>
    <cellStyle name="Cálculo 8 5" xfId="29120"/>
    <cellStyle name="Cálculo 80" xfId="6827"/>
    <cellStyle name="Cálculo 80 2" xfId="29655"/>
    <cellStyle name="Cálculo 81" xfId="6828"/>
    <cellStyle name="Cálculo 81 2" xfId="29656"/>
    <cellStyle name="Cálculo 82" xfId="6829"/>
    <cellStyle name="Cálculo 82 2" xfId="29657"/>
    <cellStyle name="Cálculo 83" xfId="6830"/>
    <cellStyle name="Cálculo 83 2" xfId="29658"/>
    <cellStyle name="Cálculo 84" xfId="6831"/>
    <cellStyle name="Cálculo 84 2" xfId="29659"/>
    <cellStyle name="Cálculo 85" xfId="6832"/>
    <cellStyle name="Cálculo 85 2" xfId="29660"/>
    <cellStyle name="Cálculo 86" xfId="6833"/>
    <cellStyle name="Cálculo 86 2" xfId="29661"/>
    <cellStyle name="Cálculo 87" xfId="6834"/>
    <cellStyle name="Cálculo 87 2" xfId="29662"/>
    <cellStyle name="Cálculo 88" xfId="6835"/>
    <cellStyle name="Cálculo 88 2" xfId="29663"/>
    <cellStyle name="Cálculo 89" xfId="6836"/>
    <cellStyle name="Cálculo 89 2" xfId="29664"/>
    <cellStyle name="Cálculo 9" xfId="6837"/>
    <cellStyle name="Cálculo 9 2" xfId="29124"/>
    <cellStyle name="Cálculo 90" xfId="6838"/>
    <cellStyle name="Cálculo 90 2" xfId="29665"/>
    <cellStyle name="Cálculo 91" xfId="6839"/>
    <cellStyle name="Cálculo 91 2" xfId="29666"/>
    <cellStyle name="Cálculo 92" xfId="6840"/>
    <cellStyle name="Cálculo 92 2" xfId="29667"/>
    <cellStyle name="Cálculo 93" xfId="6841"/>
    <cellStyle name="Cálculo 93 2" xfId="29668"/>
    <cellStyle name="Cálculo 94" xfId="6842"/>
    <cellStyle name="Cálculo 94 2" xfId="29669"/>
    <cellStyle name="Cálculo 95" xfId="6843"/>
    <cellStyle name="Cálculo 95 2" xfId="29670"/>
    <cellStyle name="Cálculo 96" xfId="6844"/>
    <cellStyle name="Cálculo 96 2" xfId="29671"/>
    <cellStyle name="Cálculo 97" xfId="6845"/>
    <cellStyle name="Cálculo 97 2" xfId="29672"/>
    <cellStyle name="Cálculo 98" xfId="6846"/>
    <cellStyle name="Cálculo 98 2" xfId="29673"/>
    <cellStyle name="Cálculo 99" xfId="6847"/>
    <cellStyle name="Cálculo 99 2" xfId="29674"/>
    <cellStyle name="Célula de Verificação 10" xfId="6848"/>
    <cellStyle name="Célula de Verificação 10 2" xfId="40534"/>
    <cellStyle name="Célula de Verificação 100" xfId="6849"/>
    <cellStyle name="Célula de Verificação 101" xfId="6850"/>
    <cellStyle name="Célula de Verificação 102" xfId="6851"/>
    <cellStyle name="Célula de Verificação 103" xfId="6852"/>
    <cellStyle name="Célula de Verificação 104" xfId="6853"/>
    <cellStyle name="Célula de Verificação 105" xfId="6854"/>
    <cellStyle name="Célula de Verificação 106" xfId="6855"/>
    <cellStyle name="Célula de Verificação 107" xfId="6856"/>
    <cellStyle name="Célula de Verificação 108" xfId="6857"/>
    <cellStyle name="Célula de Verificação 109" xfId="6858"/>
    <cellStyle name="Célula de Verificação 11" xfId="6859"/>
    <cellStyle name="Célula de Verificação 11 2" xfId="40535"/>
    <cellStyle name="Célula de Verificação 110" xfId="6860"/>
    <cellStyle name="Célula de Verificação 111" xfId="6861"/>
    <cellStyle name="Célula de Verificação 112" xfId="6862"/>
    <cellStyle name="Célula de Verificação 113" xfId="6863"/>
    <cellStyle name="Célula de Verificação 114" xfId="6864"/>
    <cellStyle name="Célula de Verificação 115" xfId="6865"/>
    <cellStyle name="Célula de Verificação 116" xfId="6866"/>
    <cellStyle name="Célula de Verificação 117" xfId="6867"/>
    <cellStyle name="Célula de Verificação 118" xfId="6868"/>
    <cellStyle name="Célula de Verificação 119" xfId="6869"/>
    <cellStyle name="Célula de Verificação 12" xfId="6870"/>
    <cellStyle name="Célula de Verificação 12 2" xfId="40536"/>
    <cellStyle name="Célula de Verificação 120" xfId="6871"/>
    <cellStyle name="Célula de Verificação 121" xfId="6872"/>
    <cellStyle name="Célula de Verificação 122" xfId="6873"/>
    <cellStyle name="Célula de Verificação 123" xfId="6874"/>
    <cellStyle name="Célula de Verificação 124" xfId="6875"/>
    <cellStyle name="Célula de Verificação 125" xfId="6876"/>
    <cellStyle name="Célula de Verificação 126" xfId="6877"/>
    <cellStyle name="Célula de Verificação 127" xfId="6878"/>
    <cellStyle name="Célula de Verificação 128" xfId="6879"/>
    <cellStyle name="Célula de Verificação 129" xfId="6880"/>
    <cellStyle name="Célula de Verificação 13" xfId="6881"/>
    <cellStyle name="Célula de Verificação 13 2" xfId="40537"/>
    <cellStyle name="Célula de Verificação 130" xfId="6882"/>
    <cellStyle name="Célula de Verificação 131" xfId="6883"/>
    <cellStyle name="Célula de Verificação 132" xfId="6884"/>
    <cellStyle name="Célula de Verificação 133" xfId="6885"/>
    <cellStyle name="Célula de Verificação 134" xfId="6886"/>
    <cellStyle name="Célula de Verificação 135" xfId="6887"/>
    <cellStyle name="Célula de Verificação 136" xfId="6888"/>
    <cellStyle name="Célula de Verificação 137" xfId="6889"/>
    <cellStyle name="Célula de Verificação 138" xfId="6890"/>
    <cellStyle name="Célula de Verificação 139" xfId="6891"/>
    <cellStyle name="Célula de Verificação 14" xfId="6892"/>
    <cellStyle name="Célula de Verificação 140" xfId="6893"/>
    <cellStyle name="Célula de Verificação 141" xfId="6894"/>
    <cellStyle name="Célula de Verificação 142" xfId="6895"/>
    <cellStyle name="Célula de Verificação 143" xfId="6896"/>
    <cellStyle name="Célula de Verificação 144" xfId="6897"/>
    <cellStyle name="Célula de Verificação 145" xfId="6898"/>
    <cellStyle name="Célula de Verificação 146" xfId="6899"/>
    <cellStyle name="Célula de Verificação 147" xfId="6900"/>
    <cellStyle name="Célula de Verificação 148" xfId="6901"/>
    <cellStyle name="Célula de Verificação 149" xfId="6902"/>
    <cellStyle name="Célula de Verificação 15" xfId="6903"/>
    <cellStyle name="Célula de Verificação 15 2" xfId="6904"/>
    <cellStyle name="Célula de Verificação 15 3" xfId="6905"/>
    <cellStyle name="Célula de Verificação 150" xfId="6906"/>
    <cellStyle name="Célula de Verificação 151" xfId="6907"/>
    <cellStyle name="Célula de Verificação 152" xfId="6908"/>
    <cellStyle name="Célula de Verificação 153" xfId="6909"/>
    <cellStyle name="Célula de Verificação 154" xfId="6910"/>
    <cellStyle name="Célula de Verificação 155" xfId="6911"/>
    <cellStyle name="Célula de Verificação 156" xfId="6912"/>
    <cellStyle name="Célula de Verificação 157" xfId="6913"/>
    <cellStyle name="Célula de Verificação 158" xfId="6914"/>
    <cellStyle name="Célula de Verificação 159" xfId="6915"/>
    <cellStyle name="Célula de Verificação 16" xfId="6916"/>
    <cellStyle name="Célula de Verificação 16 2" xfId="6917"/>
    <cellStyle name="Célula de Verificação 16 3" xfId="6918"/>
    <cellStyle name="Célula de Verificação 160" xfId="6919"/>
    <cellStyle name="Célula de Verificação 161" xfId="6920"/>
    <cellStyle name="Célula de Verificação 162" xfId="6921"/>
    <cellStyle name="Célula de Verificação 163" xfId="6922"/>
    <cellStyle name="Célula de Verificação 164" xfId="6923"/>
    <cellStyle name="Célula de Verificação 165" xfId="6924"/>
    <cellStyle name="Célula de Verificação 166" xfId="6925"/>
    <cellStyle name="Célula de Verificação 167" xfId="6926"/>
    <cellStyle name="Célula de Verificação 168" xfId="6927"/>
    <cellStyle name="Célula de Verificação 169" xfId="6928"/>
    <cellStyle name="Célula de Verificação 17" xfId="6929"/>
    <cellStyle name="Célula de Verificação 17 2" xfId="6930"/>
    <cellStyle name="Célula de Verificação 17 3" xfId="6931"/>
    <cellStyle name="Célula de Verificação 170" xfId="6932"/>
    <cellStyle name="Célula de Verificação 171" xfId="6933"/>
    <cellStyle name="Célula de Verificação 172" xfId="6934"/>
    <cellStyle name="Célula de Verificação 173" xfId="6935"/>
    <cellStyle name="Célula de Verificação 174" xfId="6936"/>
    <cellStyle name="Célula de Verificação 175" xfId="6937"/>
    <cellStyle name="Célula de Verificação 176" xfId="6938"/>
    <cellStyle name="Célula de Verificação 177" xfId="6939"/>
    <cellStyle name="Célula de Verificação 178" xfId="6940"/>
    <cellStyle name="Célula de Verificação 179" xfId="6941"/>
    <cellStyle name="Célula de Verificação 18" xfId="6942"/>
    <cellStyle name="Célula de Verificação 18 2" xfId="6943"/>
    <cellStyle name="Célula de Verificação 18 3" xfId="6944"/>
    <cellStyle name="Célula de Verificação 180" xfId="6945"/>
    <cellStyle name="Célula de Verificação 181" xfId="6946"/>
    <cellStyle name="Célula de Verificação 182" xfId="6947"/>
    <cellStyle name="Célula de Verificação 183" xfId="6948"/>
    <cellStyle name="Célula de Verificação 184" xfId="6949"/>
    <cellStyle name="Célula de Verificação 185" xfId="6950"/>
    <cellStyle name="Célula de Verificação 186" xfId="6951"/>
    <cellStyle name="Célula de Verificação 187" xfId="6952"/>
    <cellStyle name="Célula de Verificação 188" xfId="6953"/>
    <cellStyle name="Célula de Verificação 189" xfId="6954"/>
    <cellStyle name="Célula de Verificação 19" xfId="6955"/>
    <cellStyle name="Célula de Verificação 19 2" xfId="6956"/>
    <cellStyle name="Célula de Verificação 19 3" xfId="6957"/>
    <cellStyle name="Célula de Verificação 190" xfId="6958"/>
    <cellStyle name="Célula de Verificação 2" xfId="6959"/>
    <cellStyle name="Célula de Verificação 2 10" xfId="6960"/>
    <cellStyle name="Célula de Verificação 2 11" xfId="6961"/>
    <cellStyle name="Célula de Verificação 2 12" xfId="6962"/>
    <cellStyle name="Célula de Verificação 2 13" xfId="6963"/>
    <cellStyle name="Célula de Verificação 2 14" xfId="6964"/>
    <cellStyle name="Célula de Verificação 2 15" xfId="6965"/>
    <cellStyle name="Célula de Verificação 2 16" xfId="6966"/>
    <cellStyle name="Célula de Verificação 2 17" xfId="6967"/>
    <cellStyle name="Célula de Verificação 2 18" xfId="6968"/>
    <cellStyle name="Célula de Verificação 2 19" xfId="6969"/>
    <cellStyle name="Célula de Verificação 2 2" xfId="6970"/>
    <cellStyle name="Célula de Verificação 2 20" xfId="6971"/>
    <cellStyle name="Célula de Verificação 2 21" xfId="6972"/>
    <cellStyle name="Célula de Verificação 2 22" xfId="6973"/>
    <cellStyle name="Célula de Verificação 2 23" xfId="6974"/>
    <cellStyle name="Célula de Verificação 2 24" xfId="6975"/>
    <cellStyle name="Célula de Verificação 2 25" xfId="6976"/>
    <cellStyle name="Célula de Verificação 2 26" xfId="6977"/>
    <cellStyle name="Célula de Verificação 2 27" xfId="6978"/>
    <cellStyle name="Célula de Verificação 2 28" xfId="6979"/>
    <cellStyle name="Célula de Verificação 2 29" xfId="6980"/>
    <cellStyle name="Célula de Verificação 2 3" xfId="6981"/>
    <cellStyle name="Célula de Verificação 2 30" xfId="6982"/>
    <cellStyle name="Célula de Verificação 2 31" xfId="6983"/>
    <cellStyle name="Célula de Verificação 2 32" xfId="6984"/>
    <cellStyle name="Célula de Verificação 2 33" xfId="6985"/>
    <cellStyle name="Célula de Verificação 2 34" xfId="6986"/>
    <cellStyle name="Célula de Verificação 2 35" xfId="6987"/>
    <cellStyle name="Célula de Verificação 2 4" xfId="6988"/>
    <cellStyle name="Célula de Verificação 2 5" xfId="6989"/>
    <cellStyle name="Célula de Verificação 2 6" xfId="6990"/>
    <cellStyle name="Célula de Verificação 2 7" xfId="6991"/>
    <cellStyle name="Célula de Verificação 2 8" xfId="6992"/>
    <cellStyle name="Célula de Verificação 2 9" xfId="6993"/>
    <cellStyle name="Célula de Verificação 20" xfId="6994"/>
    <cellStyle name="Célula de Verificação 20 2" xfId="6995"/>
    <cellStyle name="Célula de Verificação 20 3" xfId="6996"/>
    <cellStyle name="Célula de Verificação 21" xfId="6997"/>
    <cellStyle name="Célula de Verificação 22" xfId="6998"/>
    <cellStyle name="Célula de Verificação 23" xfId="6999"/>
    <cellStyle name="Célula de Verificação 24" xfId="7000"/>
    <cellStyle name="Célula de Verificação 25" xfId="7001"/>
    <cellStyle name="Célula de Verificação 26" xfId="7002"/>
    <cellStyle name="Célula de Verificação 27" xfId="7003"/>
    <cellStyle name="Célula de Verificação 28" xfId="7004"/>
    <cellStyle name="Célula de Verificação 29" xfId="7005"/>
    <cellStyle name="Célula de Verificação 3" xfId="7006"/>
    <cellStyle name="Célula de Verificação 3 2" xfId="7007"/>
    <cellStyle name="Célula de Verificação 3 3" xfId="7008"/>
    <cellStyle name="Célula de Verificação 3 4" xfId="7009"/>
    <cellStyle name="Célula de Verificação 3 5" xfId="7010"/>
    <cellStyle name="Célula de Verificação 3 6" xfId="7011"/>
    <cellStyle name="Célula de Verificação 3 7" xfId="7012"/>
    <cellStyle name="Célula de Verificação 30" xfId="7013"/>
    <cellStyle name="Célula de Verificação 31" xfId="7014"/>
    <cellStyle name="Célula de Verificação 32" xfId="7015"/>
    <cellStyle name="Célula de Verificação 33" xfId="7016"/>
    <cellStyle name="Célula de Verificação 34" xfId="7017"/>
    <cellStyle name="Célula de Verificação 35" xfId="7018"/>
    <cellStyle name="Célula de Verificação 36" xfId="7019"/>
    <cellStyle name="Célula de Verificação 37" xfId="7020"/>
    <cellStyle name="Célula de Verificação 38" xfId="7021"/>
    <cellStyle name="Célula de Verificação 39" xfId="7022"/>
    <cellStyle name="Célula de Verificação 4" xfId="7023"/>
    <cellStyle name="Célula de Verificação 4 2" xfId="7024"/>
    <cellStyle name="Célula de Verificação 4 3" xfId="7025"/>
    <cellStyle name="Célula de Verificação 4 4" xfId="7026"/>
    <cellStyle name="Célula de Verificação 4 5" xfId="7027"/>
    <cellStyle name="Célula de Verificação 4 6" xfId="7028"/>
    <cellStyle name="Célula de Verificação 4 7" xfId="7029"/>
    <cellStyle name="Célula de Verificação 40" xfId="7030"/>
    <cellStyle name="Célula de Verificação 41" xfId="7031"/>
    <cellStyle name="Célula de Verificação 42" xfId="7032"/>
    <cellStyle name="Célula de Verificação 43" xfId="7033"/>
    <cellStyle name="Célula de Verificação 44" xfId="7034"/>
    <cellStyle name="Célula de Verificação 45" xfId="7035"/>
    <cellStyle name="Célula de Verificação 46" xfId="7036"/>
    <cellStyle name="Célula de Verificação 47" xfId="7037"/>
    <cellStyle name="Célula de Verificação 48" xfId="7038"/>
    <cellStyle name="Célula de Verificação 49" xfId="7039"/>
    <cellStyle name="Célula de Verificação 5" xfId="7040"/>
    <cellStyle name="Célula de Verificação 5 2" xfId="7041"/>
    <cellStyle name="Célula de Verificação 5 3" xfId="7042"/>
    <cellStyle name="Célula de Verificação 5 4" xfId="7043"/>
    <cellStyle name="Célula de Verificação 50" xfId="7044"/>
    <cellStyle name="Célula de Verificação 51" xfId="7045"/>
    <cellStyle name="Célula de Verificação 52" xfId="7046"/>
    <cellStyle name="Célula de Verificação 53" xfId="7047"/>
    <cellStyle name="Célula de Verificação 54" xfId="7048"/>
    <cellStyle name="Célula de Verificação 55" xfId="7049"/>
    <cellStyle name="Célula de Verificação 56" xfId="7050"/>
    <cellStyle name="Célula de Verificação 57" xfId="7051"/>
    <cellStyle name="Célula de Verificação 58" xfId="7052"/>
    <cellStyle name="Célula de Verificação 59" xfId="7053"/>
    <cellStyle name="Célula de Verificação 6" xfId="7054"/>
    <cellStyle name="Célula de Verificação 6 2" xfId="7055"/>
    <cellStyle name="Célula de Verificação 6 3" xfId="7056"/>
    <cellStyle name="Célula de Verificação 6 4" xfId="7057"/>
    <cellStyle name="Célula de Verificação 60" xfId="7058"/>
    <cellStyle name="Célula de Verificação 61" xfId="7059"/>
    <cellStyle name="Célula de Verificação 62" xfId="7060"/>
    <cellStyle name="Célula de Verificação 63" xfId="7061"/>
    <cellStyle name="Célula de Verificação 64" xfId="7062"/>
    <cellStyle name="Célula de Verificação 65" xfId="7063"/>
    <cellStyle name="Célula de Verificação 66" xfId="7064"/>
    <cellStyle name="Célula de Verificação 67" xfId="7065"/>
    <cellStyle name="Célula de Verificação 68" xfId="7066"/>
    <cellStyle name="Célula de Verificação 69" xfId="7067"/>
    <cellStyle name="Célula de Verificação 7" xfId="7068"/>
    <cellStyle name="Célula de Verificação 7 2" xfId="7069"/>
    <cellStyle name="Célula de Verificação 7 3" xfId="7070"/>
    <cellStyle name="Célula de Verificação 7 4" xfId="7071"/>
    <cellStyle name="Célula de Verificação 70" xfId="7072"/>
    <cellStyle name="Célula de Verificação 71" xfId="7073"/>
    <cellStyle name="Célula de Verificação 72" xfId="7074"/>
    <cellStyle name="Célula de Verificação 73" xfId="7075"/>
    <cellStyle name="Célula de Verificação 74" xfId="7076"/>
    <cellStyle name="Célula de Verificação 75" xfId="7077"/>
    <cellStyle name="Célula de Verificação 76" xfId="7078"/>
    <cellStyle name="Célula de Verificação 77" xfId="7079"/>
    <cellStyle name="Célula de Verificação 78" xfId="7080"/>
    <cellStyle name="Célula de Verificação 79" xfId="7081"/>
    <cellStyle name="Célula de Verificação 8" xfId="7082"/>
    <cellStyle name="Célula de Verificação 8 2" xfId="7083"/>
    <cellStyle name="Célula de Verificação 8 3" xfId="7084"/>
    <cellStyle name="Célula de Verificação 8 4" xfId="7085"/>
    <cellStyle name="Célula de Verificação 80" xfId="7086"/>
    <cellStyle name="Célula de Verificação 81" xfId="7087"/>
    <cellStyle name="Célula de Verificação 82" xfId="7088"/>
    <cellStyle name="Célula de Verificação 83" xfId="7089"/>
    <cellStyle name="Célula de Verificação 84" xfId="7090"/>
    <cellStyle name="Célula de Verificação 85" xfId="7091"/>
    <cellStyle name="Célula de Verificação 86" xfId="7092"/>
    <cellStyle name="Célula de Verificação 87" xfId="7093"/>
    <cellStyle name="Célula de Verificação 88" xfId="7094"/>
    <cellStyle name="Célula de Verificação 89" xfId="7095"/>
    <cellStyle name="Célula de Verificação 9" xfId="7096"/>
    <cellStyle name="Célula de Verificação 90" xfId="7097"/>
    <cellStyle name="Célula de Verificação 91" xfId="7098"/>
    <cellStyle name="Célula de Verificação 92" xfId="7099"/>
    <cellStyle name="Célula de Verificação 93" xfId="7100"/>
    <cellStyle name="Célula de Verificação 94" xfId="7101"/>
    <cellStyle name="Célula de Verificação 95" xfId="7102"/>
    <cellStyle name="Célula de Verificação 96" xfId="7103"/>
    <cellStyle name="Célula de Verificação 97" xfId="7104"/>
    <cellStyle name="Célula de Verificação 98" xfId="7105"/>
    <cellStyle name="Célula de Verificação 99" xfId="7106"/>
    <cellStyle name="Célula Vinculada 10" xfId="7107"/>
    <cellStyle name="Célula Vinculada 10 2" xfId="40539"/>
    <cellStyle name="Célula Vinculada 10 3" xfId="40538"/>
    <cellStyle name="Célula Vinculada 100" xfId="7108"/>
    <cellStyle name="Célula Vinculada 101" xfId="7109"/>
    <cellStyle name="Célula Vinculada 102" xfId="7110"/>
    <cellStyle name="Célula Vinculada 103" xfId="7111"/>
    <cellStyle name="Célula Vinculada 104" xfId="7112"/>
    <cellStyle name="Célula Vinculada 105" xfId="7113"/>
    <cellStyle name="Célula Vinculada 106" xfId="7114"/>
    <cellStyle name="Célula Vinculada 107" xfId="7115"/>
    <cellStyle name="Célula Vinculada 108" xfId="7116"/>
    <cellStyle name="Célula Vinculada 109" xfId="7117"/>
    <cellStyle name="Célula Vinculada 11" xfId="7118"/>
    <cellStyle name="Célula Vinculada 11 2" xfId="40541"/>
    <cellStyle name="Célula Vinculada 11 3" xfId="40540"/>
    <cellStyle name="Célula Vinculada 110" xfId="7119"/>
    <cellStyle name="Célula Vinculada 111" xfId="7120"/>
    <cellStyle name="Célula Vinculada 112" xfId="7121"/>
    <cellStyle name="Célula Vinculada 113" xfId="7122"/>
    <cellStyle name="Célula Vinculada 114" xfId="7123"/>
    <cellStyle name="Célula Vinculada 115" xfId="7124"/>
    <cellStyle name="Célula Vinculada 116" xfId="7125"/>
    <cellStyle name="Célula Vinculada 117" xfId="7126"/>
    <cellStyle name="Célula Vinculada 118" xfId="7127"/>
    <cellStyle name="Célula Vinculada 119" xfId="7128"/>
    <cellStyle name="Célula Vinculada 12" xfId="7129"/>
    <cellStyle name="Célula Vinculada 12 2" xfId="40543"/>
    <cellStyle name="Célula Vinculada 12 3" xfId="40542"/>
    <cellStyle name="Célula Vinculada 120" xfId="7130"/>
    <cellStyle name="Célula Vinculada 121" xfId="7131"/>
    <cellStyle name="Célula Vinculada 122" xfId="7132"/>
    <cellStyle name="Célula Vinculada 123" xfId="7133"/>
    <cellStyle name="Célula Vinculada 124" xfId="7134"/>
    <cellStyle name="Célula Vinculada 125" xfId="7135"/>
    <cellStyle name="Célula Vinculada 126" xfId="7136"/>
    <cellStyle name="Célula Vinculada 127" xfId="7137"/>
    <cellStyle name="Célula Vinculada 128" xfId="7138"/>
    <cellStyle name="Célula Vinculada 129" xfId="7139"/>
    <cellStyle name="Célula Vinculada 13" xfId="7140"/>
    <cellStyle name="Célula Vinculada 13 2" xfId="40545"/>
    <cellStyle name="Célula Vinculada 13 3" xfId="40544"/>
    <cellStyle name="Célula Vinculada 130" xfId="7141"/>
    <cellStyle name="Célula Vinculada 131" xfId="7142"/>
    <cellStyle name="Célula Vinculada 132" xfId="7143"/>
    <cellStyle name="Célula Vinculada 133" xfId="7144"/>
    <cellStyle name="Célula Vinculada 134" xfId="7145"/>
    <cellStyle name="Célula Vinculada 135" xfId="7146"/>
    <cellStyle name="Célula Vinculada 136" xfId="7147"/>
    <cellStyle name="Célula Vinculada 137" xfId="7148"/>
    <cellStyle name="Célula Vinculada 138" xfId="7149"/>
    <cellStyle name="Célula Vinculada 139" xfId="7150"/>
    <cellStyle name="Célula Vinculada 14" xfId="7151"/>
    <cellStyle name="Célula Vinculada 14 2" xfId="40546"/>
    <cellStyle name="Célula Vinculada 140" xfId="7152"/>
    <cellStyle name="Célula Vinculada 141" xfId="7153"/>
    <cellStyle name="Célula Vinculada 142" xfId="7154"/>
    <cellStyle name="Célula Vinculada 143" xfId="7155"/>
    <cellStyle name="Célula Vinculada 144" xfId="7156"/>
    <cellStyle name="Célula Vinculada 145" xfId="7157"/>
    <cellStyle name="Célula Vinculada 146" xfId="7158"/>
    <cellStyle name="Célula Vinculada 147" xfId="7159"/>
    <cellStyle name="Célula Vinculada 148" xfId="7160"/>
    <cellStyle name="Célula Vinculada 149" xfId="7161"/>
    <cellStyle name="Célula Vinculada 15" xfId="7162"/>
    <cellStyle name="Célula Vinculada 15 2" xfId="7163"/>
    <cellStyle name="Célula Vinculada 15 3" xfId="7164"/>
    <cellStyle name="Célula Vinculada 15 4" xfId="40547"/>
    <cellStyle name="Célula Vinculada 150" xfId="7165"/>
    <cellStyle name="Célula Vinculada 151" xfId="7166"/>
    <cellStyle name="Célula Vinculada 152" xfId="7167"/>
    <cellStyle name="Célula Vinculada 153" xfId="7168"/>
    <cellStyle name="Célula Vinculada 154" xfId="7169"/>
    <cellStyle name="Célula Vinculada 155" xfId="7170"/>
    <cellStyle name="Célula Vinculada 156" xfId="7171"/>
    <cellStyle name="Célula Vinculada 157" xfId="7172"/>
    <cellStyle name="Célula Vinculada 158" xfId="7173"/>
    <cellStyle name="Célula Vinculada 159" xfId="7174"/>
    <cellStyle name="Célula Vinculada 16" xfId="7175"/>
    <cellStyle name="Célula Vinculada 16 2" xfId="7176"/>
    <cellStyle name="Célula Vinculada 16 3" xfId="7177"/>
    <cellStyle name="Célula Vinculada 16 4" xfId="40548"/>
    <cellStyle name="Célula Vinculada 160" xfId="7178"/>
    <cellStyle name="Célula Vinculada 161" xfId="7179"/>
    <cellStyle name="Célula Vinculada 162" xfId="7180"/>
    <cellStyle name="Célula Vinculada 163" xfId="7181"/>
    <cellStyle name="Célula Vinculada 164" xfId="7182"/>
    <cellStyle name="Célula Vinculada 165" xfId="7183"/>
    <cellStyle name="Célula Vinculada 166" xfId="7184"/>
    <cellStyle name="Célula Vinculada 167" xfId="7185"/>
    <cellStyle name="Célula Vinculada 168" xfId="7186"/>
    <cellStyle name="Célula Vinculada 169" xfId="7187"/>
    <cellStyle name="Célula Vinculada 17" xfId="7188"/>
    <cellStyle name="Célula Vinculada 17 2" xfId="7189"/>
    <cellStyle name="Célula Vinculada 17 3" xfId="7190"/>
    <cellStyle name="Célula Vinculada 17 4" xfId="40549"/>
    <cellStyle name="Célula Vinculada 170" xfId="7191"/>
    <cellStyle name="Célula Vinculada 171" xfId="7192"/>
    <cellStyle name="Célula Vinculada 172" xfId="7193"/>
    <cellStyle name="Célula Vinculada 173" xfId="7194"/>
    <cellStyle name="Célula Vinculada 174" xfId="7195"/>
    <cellStyle name="Célula Vinculada 175" xfId="7196"/>
    <cellStyle name="Célula Vinculada 176" xfId="7197"/>
    <cellStyle name="Célula Vinculada 177" xfId="7198"/>
    <cellStyle name="Célula Vinculada 178" xfId="7199"/>
    <cellStyle name="Célula Vinculada 179" xfId="7200"/>
    <cellStyle name="Célula Vinculada 18" xfId="7201"/>
    <cellStyle name="Célula Vinculada 18 2" xfId="7202"/>
    <cellStyle name="Célula Vinculada 18 3" xfId="7203"/>
    <cellStyle name="Célula Vinculada 18 4" xfId="40550"/>
    <cellStyle name="Célula Vinculada 180" xfId="7204"/>
    <cellStyle name="Célula Vinculada 181" xfId="7205"/>
    <cellStyle name="Célula Vinculada 182" xfId="7206"/>
    <cellStyle name="Célula Vinculada 183" xfId="7207"/>
    <cellStyle name="Célula Vinculada 184" xfId="7208"/>
    <cellStyle name="Célula Vinculada 185" xfId="7209"/>
    <cellStyle name="Célula Vinculada 186" xfId="7210"/>
    <cellStyle name="Célula Vinculada 187" xfId="7211"/>
    <cellStyle name="Célula Vinculada 188" xfId="7212"/>
    <cellStyle name="Célula Vinculada 189" xfId="7213"/>
    <cellStyle name="Célula Vinculada 19" xfId="7214"/>
    <cellStyle name="Célula Vinculada 19 2" xfId="7215"/>
    <cellStyle name="Célula Vinculada 19 3" xfId="7216"/>
    <cellStyle name="Célula Vinculada 19 4" xfId="40551"/>
    <cellStyle name="Célula Vinculada 190" xfId="7217"/>
    <cellStyle name="Célula Vinculada 191" xfId="40449"/>
    <cellStyle name="Célula Vinculada 2" xfId="7218"/>
    <cellStyle name="Célula Vinculada 2 10" xfId="7219"/>
    <cellStyle name="Célula Vinculada 2 10 2" xfId="7220"/>
    <cellStyle name="Célula Vinculada 2 10 3" xfId="7221"/>
    <cellStyle name="Célula Vinculada 2 10 4" xfId="7222"/>
    <cellStyle name="Célula Vinculada 2 10 5" xfId="7223"/>
    <cellStyle name="Célula Vinculada 2 10 6" xfId="7224"/>
    <cellStyle name="Célula Vinculada 2 10 7" xfId="7225"/>
    <cellStyle name="Célula Vinculada 2 11" xfId="7226"/>
    <cellStyle name="Célula Vinculada 2 11 2" xfId="7227"/>
    <cellStyle name="Célula Vinculada 2 11 3" xfId="7228"/>
    <cellStyle name="Célula Vinculada 2 11 4" xfId="7229"/>
    <cellStyle name="Célula Vinculada 2 11 5" xfId="7230"/>
    <cellStyle name="Célula Vinculada 2 11 6" xfId="7231"/>
    <cellStyle name="Célula Vinculada 2 11 7" xfId="7232"/>
    <cellStyle name="Célula Vinculada 2 12" xfId="7233"/>
    <cellStyle name="Célula Vinculada 2 13" xfId="7234"/>
    <cellStyle name="Célula Vinculada 2 14" xfId="7235"/>
    <cellStyle name="Célula Vinculada 2 15" xfId="7236"/>
    <cellStyle name="Célula Vinculada 2 16" xfId="7237"/>
    <cellStyle name="Célula Vinculada 2 17" xfId="7238"/>
    <cellStyle name="Célula Vinculada 2 18" xfId="7239"/>
    <cellStyle name="Célula Vinculada 2 19" xfId="7240"/>
    <cellStyle name="Célula Vinculada 2 2" xfId="7241"/>
    <cellStyle name="Célula Vinculada 2 2 2" xfId="40552"/>
    <cellStyle name="Célula Vinculada 2 20" xfId="7242"/>
    <cellStyle name="Célula Vinculada 2 21" xfId="7243"/>
    <cellStyle name="Célula Vinculada 2 22" xfId="7244"/>
    <cellStyle name="Célula Vinculada 2 23" xfId="7245"/>
    <cellStyle name="Célula Vinculada 2 24" xfId="7246"/>
    <cellStyle name="Célula Vinculada 2 25" xfId="7247"/>
    <cellStyle name="Célula Vinculada 2 26" xfId="7248"/>
    <cellStyle name="Célula Vinculada 2 27" xfId="7249"/>
    <cellStyle name="Célula Vinculada 2 28" xfId="7250"/>
    <cellStyle name="Célula Vinculada 2 29" xfId="7251"/>
    <cellStyle name="Célula Vinculada 2 3" xfId="7252"/>
    <cellStyle name="Célula Vinculada 2 3 2" xfId="40553"/>
    <cellStyle name="Célula Vinculada 2 30" xfId="7253"/>
    <cellStyle name="Célula Vinculada 2 31" xfId="7254"/>
    <cellStyle name="Célula Vinculada 2 32" xfId="7255"/>
    <cellStyle name="Célula Vinculada 2 33" xfId="7256"/>
    <cellStyle name="Célula Vinculada 2 34" xfId="7257"/>
    <cellStyle name="Célula Vinculada 2 35" xfId="7258"/>
    <cellStyle name="Célula Vinculada 2 36" xfId="40454"/>
    <cellStyle name="Célula Vinculada 2 4" xfId="7259"/>
    <cellStyle name="Célula Vinculada 2 4 2" xfId="40554"/>
    <cellStyle name="Célula Vinculada 2 5" xfId="7260"/>
    <cellStyle name="Célula Vinculada 2 5 2" xfId="40555"/>
    <cellStyle name="Célula Vinculada 2 6" xfId="7261"/>
    <cellStyle name="Célula Vinculada 2 6 2" xfId="40556"/>
    <cellStyle name="Célula Vinculada 2 7" xfId="7262"/>
    <cellStyle name="Célula Vinculada 2 7 2" xfId="40557"/>
    <cellStyle name="Célula Vinculada 2 8" xfId="7263"/>
    <cellStyle name="Célula Vinculada 2 8 2" xfId="7264"/>
    <cellStyle name="Célula Vinculada 2 8 3" xfId="7265"/>
    <cellStyle name="Célula Vinculada 2 8 4" xfId="7266"/>
    <cellStyle name="Célula Vinculada 2 8 5" xfId="7267"/>
    <cellStyle name="Célula Vinculada 2 8 6" xfId="7268"/>
    <cellStyle name="Célula Vinculada 2 8 7" xfId="7269"/>
    <cellStyle name="Célula Vinculada 2 8 8" xfId="41034"/>
    <cellStyle name="Célula Vinculada 2 9" xfId="7270"/>
    <cellStyle name="Célula Vinculada 2 9 2" xfId="7271"/>
    <cellStyle name="Célula Vinculada 2 9 3" xfId="7272"/>
    <cellStyle name="Célula Vinculada 2 9 4" xfId="7273"/>
    <cellStyle name="Célula Vinculada 2 9 5" xfId="7274"/>
    <cellStyle name="Célula Vinculada 2 9 6" xfId="7275"/>
    <cellStyle name="Célula Vinculada 2 9 7" xfId="7276"/>
    <cellStyle name="Célula Vinculada 20" xfId="7277"/>
    <cellStyle name="Célula Vinculada 20 2" xfId="7278"/>
    <cellStyle name="Célula Vinculada 20 3" xfId="7279"/>
    <cellStyle name="Célula Vinculada 20 4" xfId="40558"/>
    <cellStyle name="Célula Vinculada 21" xfId="7280"/>
    <cellStyle name="Célula Vinculada 21 2" xfId="40559"/>
    <cellStyle name="Célula Vinculada 22" xfId="7281"/>
    <cellStyle name="Célula Vinculada 22 2" xfId="40560"/>
    <cellStyle name="Célula Vinculada 23" xfId="7282"/>
    <cellStyle name="Célula Vinculada 23 2" xfId="40561"/>
    <cellStyle name="Célula Vinculada 24" xfId="7283"/>
    <cellStyle name="Célula Vinculada 24 2" xfId="40947"/>
    <cellStyle name="Célula Vinculada 25" xfId="7284"/>
    <cellStyle name="Célula Vinculada 25 2" xfId="40982"/>
    <cellStyle name="Célula Vinculada 26" xfId="7285"/>
    <cellStyle name="Célula Vinculada 26 10" xfId="7286"/>
    <cellStyle name="Célula Vinculada 26 11" xfId="7287"/>
    <cellStyle name="Célula Vinculada 26 12" xfId="7288"/>
    <cellStyle name="Célula Vinculada 26 13" xfId="7289"/>
    <cellStyle name="Célula Vinculada 26 14" xfId="7290"/>
    <cellStyle name="Célula Vinculada 26 15" xfId="7291"/>
    <cellStyle name="Célula Vinculada 26 16" xfId="7292"/>
    <cellStyle name="Célula Vinculada 26 17" xfId="41000"/>
    <cellStyle name="Célula Vinculada 26 2" xfId="7293"/>
    <cellStyle name="Célula Vinculada 26 3" xfId="7294"/>
    <cellStyle name="Célula Vinculada 26 4" xfId="7295"/>
    <cellStyle name="Célula Vinculada 26 5" xfId="7296"/>
    <cellStyle name="Célula Vinculada 26 6" xfId="7297"/>
    <cellStyle name="Célula Vinculada 26 7" xfId="7298"/>
    <cellStyle name="Célula Vinculada 26 8" xfId="7299"/>
    <cellStyle name="Célula Vinculada 26 9" xfId="7300"/>
    <cellStyle name="Célula Vinculada 27" xfId="7301"/>
    <cellStyle name="Célula Vinculada 27 10" xfId="7302"/>
    <cellStyle name="Célula Vinculada 27 11" xfId="7303"/>
    <cellStyle name="Célula Vinculada 27 12" xfId="7304"/>
    <cellStyle name="Célula Vinculada 27 13" xfId="7305"/>
    <cellStyle name="Célula Vinculada 27 14" xfId="7306"/>
    <cellStyle name="Célula Vinculada 27 15" xfId="7307"/>
    <cellStyle name="Célula Vinculada 27 16" xfId="7308"/>
    <cellStyle name="Célula Vinculada 27 2" xfId="7309"/>
    <cellStyle name="Célula Vinculada 27 3" xfId="7310"/>
    <cellStyle name="Célula Vinculada 27 4" xfId="7311"/>
    <cellStyle name="Célula Vinculada 27 5" xfId="7312"/>
    <cellStyle name="Célula Vinculada 27 6" xfId="7313"/>
    <cellStyle name="Célula Vinculada 27 7" xfId="7314"/>
    <cellStyle name="Célula Vinculada 27 8" xfId="7315"/>
    <cellStyle name="Célula Vinculada 27 9" xfId="7316"/>
    <cellStyle name="Célula Vinculada 28" xfId="7317"/>
    <cellStyle name="Célula Vinculada 28 10" xfId="7318"/>
    <cellStyle name="Célula Vinculada 28 11" xfId="7319"/>
    <cellStyle name="Célula Vinculada 28 12" xfId="7320"/>
    <cellStyle name="Célula Vinculada 28 13" xfId="7321"/>
    <cellStyle name="Célula Vinculada 28 14" xfId="7322"/>
    <cellStyle name="Célula Vinculada 28 15" xfId="7323"/>
    <cellStyle name="Célula Vinculada 28 16" xfId="7324"/>
    <cellStyle name="Célula Vinculada 28 2" xfId="7325"/>
    <cellStyle name="Célula Vinculada 28 3" xfId="7326"/>
    <cellStyle name="Célula Vinculada 28 4" xfId="7327"/>
    <cellStyle name="Célula Vinculada 28 5" xfId="7328"/>
    <cellStyle name="Célula Vinculada 28 6" xfId="7329"/>
    <cellStyle name="Célula Vinculada 28 7" xfId="7330"/>
    <cellStyle name="Célula Vinculada 28 8" xfId="7331"/>
    <cellStyle name="Célula Vinculada 28 9" xfId="7332"/>
    <cellStyle name="Célula Vinculada 29" xfId="7333"/>
    <cellStyle name="Célula Vinculada 29 10" xfId="7334"/>
    <cellStyle name="Célula Vinculada 29 11" xfId="7335"/>
    <cellStyle name="Célula Vinculada 29 12" xfId="7336"/>
    <cellStyle name="Célula Vinculada 29 13" xfId="7337"/>
    <cellStyle name="Célula Vinculada 29 14" xfId="7338"/>
    <cellStyle name="Célula Vinculada 29 15" xfId="7339"/>
    <cellStyle name="Célula Vinculada 29 16" xfId="7340"/>
    <cellStyle name="Célula Vinculada 29 2" xfId="7341"/>
    <cellStyle name="Célula Vinculada 29 3" xfId="7342"/>
    <cellStyle name="Célula Vinculada 29 4" xfId="7343"/>
    <cellStyle name="Célula Vinculada 29 5" xfId="7344"/>
    <cellStyle name="Célula Vinculada 29 6" xfId="7345"/>
    <cellStyle name="Célula Vinculada 29 7" xfId="7346"/>
    <cellStyle name="Célula Vinculada 29 8" xfId="7347"/>
    <cellStyle name="Célula Vinculada 29 9" xfId="7348"/>
    <cellStyle name="Célula Vinculada 3" xfId="7349"/>
    <cellStyle name="Célula Vinculada 3 10" xfId="7350"/>
    <cellStyle name="Célula Vinculada 3 11" xfId="7351"/>
    <cellStyle name="Célula Vinculada 3 12" xfId="40562"/>
    <cellStyle name="Célula Vinculada 3 2" xfId="7352"/>
    <cellStyle name="Célula Vinculada 3 2 2" xfId="40563"/>
    <cellStyle name="Célula Vinculada 3 3" xfId="7353"/>
    <cellStyle name="Célula Vinculada 3 3 2" xfId="40564"/>
    <cellStyle name="Célula Vinculada 3 4" xfId="7354"/>
    <cellStyle name="Célula Vinculada 3 4 2" xfId="40565"/>
    <cellStyle name="Célula Vinculada 3 5" xfId="7355"/>
    <cellStyle name="Célula Vinculada 3 6" xfId="7356"/>
    <cellStyle name="Célula Vinculada 3 7" xfId="7357"/>
    <cellStyle name="Célula Vinculada 3 8" xfId="7358"/>
    <cellStyle name="Célula Vinculada 3 9" xfId="7359"/>
    <cellStyle name="Célula Vinculada 30" xfId="7360"/>
    <cellStyle name="Célula Vinculada 31" xfId="7361"/>
    <cellStyle name="Célula Vinculada 32" xfId="7362"/>
    <cellStyle name="Célula Vinculada 33" xfId="7363"/>
    <cellStyle name="Célula Vinculada 34" xfId="7364"/>
    <cellStyle name="Célula Vinculada 35" xfId="7365"/>
    <cellStyle name="Célula Vinculada 36" xfId="7366"/>
    <cellStyle name="Célula Vinculada 37" xfId="7367"/>
    <cellStyle name="Célula Vinculada 38" xfId="7368"/>
    <cellStyle name="Célula Vinculada 39" xfId="7369"/>
    <cellStyle name="Célula Vinculada 4" xfId="7370"/>
    <cellStyle name="Célula Vinculada 4 10" xfId="7371"/>
    <cellStyle name="Célula Vinculada 4 11" xfId="7372"/>
    <cellStyle name="Célula Vinculada 4 12" xfId="40566"/>
    <cellStyle name="Célula Vinculada 4 2" xfId="7373"/>
    <cellStyle name="Célula Vinculada 4 2 2" xfId="40567"/>
    <cellStyle name="Célula Vinculada 4 3" xfId="7374"/>
    <cellStyle name="Célula Vinculada 4 3 2" xfId="40568"/>
    <cellStyle name="Célula Vinculada 4 4" xfId="7375"/>
    <cellStyle name="Célula Vinculada 4 4 2" xfId="40569"/>
    <cellStyle name="Célula Vinculada 4 5" xfId="7376"/>
    <cellStyle name="Célula Vinculada 4 6" xfId="7377"/>
    <cellStyle name="Célula Vinculada 4 7" xfId="7378"/>
    <cellStyle name="Célula Vinculada 4 8" xfId="7379"/>
    <cellStyle name="Célula Vinculada 4 9" xfId="7380"/>
    <cellStyle name="Célula Vinculada 40" xfId="7381"/>
    <cellStyle name="Célula Vinculada 41" xfId="7382"/>
    <cellStyle name="Célula Vinculada 42" xfId="7383"/>
    <cellStyle name="Célula Vinculada 43" xfId="7384"/>
    <cellStyle name="Célula Vinculada 44" xfId="7385"/>
    <cellStyle name="Célula Vinculada 45" xfId="7386"/>
    <cellStyle name="Célula Vinculada 46" xfId="7387"/>
    <cellStyle name="Célula Vinculada 47" xfId="7388"/>
    <cellStyle name="Célula Vinculada 48" xfId="7389"/>
    <cellStyle name="Célula Vinculada 49" xfId="7390"/>
    <cellStyle name="Célula Vinculada 5" xfId="7391"/>
    <cellStyle name="Célula Vinculada 5 2" xfId="7392"/>
    <cellStyle name="Célula Vinculada 5 3" xfId="7393"/>
    <cellStyle name="Célula Vinculada 5 4" xfId="7394"/>
    <cellStyle name="Célula Vinculada 5 5" xfId="40570"/>
    <cellStyle name="Célula Vinculada 50" xfId="7395"/>
    <cellStyle name="Célula Vinculada 51" xfId="7396"/>
    <cellStyle name="Célula Vinculada 52" xfId="7397"/>
    <cellStyle name="Célula Vinculada 53" xfId="7398"/>
    <cellStyle name="Célula Vinculada 54" xfId="7399"/>
    <cellStyle name="Célula Vinculada 55" xfId="7400"/>
    <cellStyle name="Célula Vinculada 56" xfId="7401"/>
    <cellStyle name="Célula Vinculada 57" xfId="7402"/>
    <cellStyle name="Célula Vinculada 58" xfId="7403"/>
    <cellStyle name="Célula Vinculada 59" xfId="7404"/>
    <cellStyle name="Célula Vinculada 6" xfId="7405"/>
    <cellStyle name="Célula Vinculada 6 2" xfId="7406"/>
    <cellStyle name="Célula Vinculada 6 3" xfId="7407"/>
    <cellStyle name="Célula Vinculada 6 4" xfId="7408"/>
    <cellStyle name="Célula Vinculada 6 5" xfId="40571"/>
    <cellStyle name="Célula Vinculada 60" xfId="7409"/>
    <cellStyle name="Célula Vinculada 61" xfId="7410"/>
    <cellStyle name="Célula Vinculada 62" xfId="7411"/>
    <cellStyle name="Célula Vinculada 63" xfId="7412"/>
    <cellStyle name="Célula Vinculada 64" xfId="7413"/>
    <cellStyle name="Célula Vinculada 65" xfId="7414"/>
    <cellStyle name="Célula Vinculada 66" xfId="7415"/>
    <cellStyle name="Célula Vinculada 67" xfId="7416"/>
    <cellStyle name="Célula Vinculada 68" xfId="7417"/>
    <cellStyle name="Célula Vinculada 69" xfId="7418"/>
    <cellStyle name="Célula Vinculada 7" xfId="7419"/>
    <cellStyle name="Célula Vinculada 7 2" xfId="7420"/>
    <cellStyle name="Célula Vinculada 7 3" xfId="7421"/>
    <cellStyle name="Célula Vinculada 7 4" xfId="7422"/>
    <cellStyle name="Célula Vinculada 7 5" xfId="40572"/>
    <cellStyle name="Célula Vinculada 70" xfId="7423"/>
    <cellStyle name="Célula Vinculada 71" xfId="7424"/>
    <cellStyle name="Célula Vinculada 72" xfId="7425"/>
    <cellStyle name="Célula Vinculada 73" xfId="7426"/>
    <cellStyle name="Célula Vinculada 74" xfId="7427"/>
    <cellStyle name="Célula Vinculada 75" xfId="7428"/>
    <cellStyle name="Célula Vinculada 76" xfId="7429"/>
    <cellStyle name="Célula Vinculada 77" xfId="7430"/>
    <cellStyle name="Célula Vinculada 78" xfId="7431"/>
    <cellStyle name="Célula Vinculada 79" xfId="7432"/>
    <cellStyle name="Célula Vinculada 8" xfId="7433"/>
    <cellStyle name="Célula Vinculada 8 2" xfId="7434"/>
    <cellStyle name="Célula Vinculada 8 3" xfId="7435"/>
    <cellStyle name="Célula Vinculada 8 4" xfId="7436"/>
    <cellStyle name="Célula Vinculada 8 5" xfId="40573"/>
    <cellStyle name="Célula Vinculada 80" xfId="7437"/>
    <cellStyle name="Célula Vinculada 81" xfId="7438"/>
    <cellStyle name="Célula Vinculada 82" xfId="7439"/>
    <cellStyle name="Célula Vinculada 83" xfId="7440"/>
    <cellStyle name="Célula Vinculada 84" xfId="7441"/>
    <cellStyle name="Célula Vinculada 85" xfId="7442"/>
    <cellStyle name="Célula Vinculada 86" xfId="7443"/>
    <cellStyle name="Célula Vinculada 87" xfId="7444"/>
    <cellStyle name="Célula Vinculada 88" xfId="7445"/>
    <cellStyle name="Célula Vinculada 89" xfId="7446"/>
    <cellStyle name="Célula Vinculada 9" xfId="7447"/>
    <cellStyle name="Célula Vinculada 9 2" xfId="40574"/>
    <cellStyle name="Célula Vinculada 90" xfId="7448"/>
    <cellStyle name="Célula Vinculada 91" xfId="7449"/>
    <cellStyle name="Célula Vinculada 92" xfId="7450"/>
    <cellStyle name="Célula Vinculada 93" xfId="7451"/>
    <cellStyle name="Célula Vinculada 94" xfId="7452"/>
    <cellStyle name="Célula Vinculada 95" xfId="7453"/>
    <cellStyle name="Célula Vinculada 96" xfId="7454"/>
    <cellStyle name="Célula Vinculada 97" xfId="7455"/>
    <cellStyle name="Célula Vinculada 98" xfId="7456"/>
    <cellStyle name="Célula Vinculada 99" xfId="7457"/>
    <cellStyle name="Data" xfId="7458"/>
    <cellStyle name="Ênfase1 10" xfId="7459"/>
    <cellStyle name="Ênfase1 10 2" xfId="40575"/>
    <cellStyle name="Ênfase1 100" xfId="7460"/>
    <cellStyle name="Ênfase1 101" xfId="7461"/>
    <cellStyle name="Ênfase1 102" xfId="7462"/>
    <cellStyle name="Ênfase1 103" xfId="7463"/>
    <cellStyle name="Ênfase1 104" xfId="7464"/>
    <cellStyle name="Ênfase1 105" xfId="7465"/>
    <cellStyle name="Ênfase1 106" xfId="7466"/>
    <cellStyle name="Ênfase1 107" xfId="7467"/>
    <cellStyle name="Ênfase1 108" xfId="7468"/>
    <cellStyle name="Ênfase1 109" xfId="7469"/>
    <cellStyle name="Ênfase1 11" xfId="7470"/>
    <cellStyle name="Ênfase1 11 2" xfId="40576"/>
    <cellStyle name="Ênfase1 110" xfId="7471"/>
    <cellStyle name="Ênfase1 111" xfId="7472"/>
    <cellStyle name="Ênfase1 112" xfId="7473"/>
    <cellStyle name="Ênfase1 113" xfId="7474"/>
    <cellStyle name="Ênfase1 114" xfId="7475"/>
    <cellStyle name="Ênfase1 115" xfId="7476"/>
    <cellStyle name="Ênfase1 116" xfId="7477"/>
    <cellStyle name="Ênfase1 117" xfId="7478"/>
    <cellStyle name="Ênfase1 118" xfId="7479"/>
    <cellStyle name="Ênfase1 119" xfId="7480"/>
    <cellStyle name="Ênfase1 12" xfId="7481"/>
    <cellStyle name="Ênfase1 12 2" xfId="40577"/>
    <cellStyle name="Ênfase1 120" xfId="7482"/>
    <cellStyle name="Ênfase1 121" xfId="7483"/>
    <cellStyle name="Ênfase1 122" xfId="7484"/>
    <cellStyle name="Ênfase1 123" xfId="7485"/>
    <cellStyle name="Ênfase1 124" xfId="7486"/>
    <cellStyle name="Ênfase1 125" xfId="7487"/>
    <cellStyle name="Ênfase1 126" xfId="7488"/>
    <cellStyle name="Ênfase1 127" xfId="7489"/>
    <cellStyle name="Ênfase1 128" xfId="7490"/>
    <cellStyle name="Ênfase1 129" xfId="7491"/>
    <cellStyle name="Ênfase1 13" xfId="7492"/>
    <cellStyle name="Ênfase1 13 2" xfId="40578"/>
    <cellStyle name="Ênfase1 130" xfId="7493"/>
    <cellStyle name="Ênfase1 131" xfId="7494"/>
    <cellStyle name="Ênfase1 132" xfId="7495"/>
    <cellStyle name="Ênfase1 133" xfId="7496"/>
    <cellStyle name="Ênfase1 134" xfId="7497"/>
    <cellStyle name="Ênfase1 135" xfId="7498"/>
    <cellStyle name="Ênfase1 136" xfId="7499"/>
    <cellStyle name="Ênfase1 137" xfId="7500"/>
    <cellStyle name="Ênfase1 138" xfId="7501"/>
    <cellStyle name="Ênfase1 139" xfId="7502"/>
    <cellStyle name="Ênfase1 14" xfId="7503"/>
    <cellStyle name="Ênfase1 140" xfId="7504"/>
    <cellStyle name="Ênfase1 141" xfId="7505"/>
    <cellStyle name="Ênfase1 142" xfId="7506"/>
    <cellStyle name="Ênfase1 143" xfId="7507"/>
    <cellStyle name="Ênfase1 144" xfId="7508"/>
    <cellStyle name="Ênfase1 145" xfId="7509"/>
    <cellStyle name="Ênfase1 146" xfId="7510"/>
    <cellStyle name="Ênfase1 147" xfId="7511"/>
    <cellStyle name="Ênfase1 148" xfId="7512"/>
    <cellStyle name="Ênfase1 149" xfId="7513"/>
    <cellStyle name="Ênfase1 15" xfId="7514"/>
    <cellStyle name="Ênfase1 15 2" xfId="7515"/>
    <cellStyle name="Ênfase1 15 3" xfId="7516"/>
    <cellStyle name="Ênfase1 150" xfId="7517"/>
    <cellStyle name="Ênfase1 151" xfId="7518"/>
    <cellStyle name="Ênfase1 152" xfId="7519"/>
    <cellStyle name="Ênfase1 153" xfId="7520"/>
    <cellStyle name="Ênfase1 154" xfId="7521"/>
    <cellStyle name="Ênfase1 155" xfId="7522"/>
    <cellStyle name="Ênfase1 156" xfId="7523"/>
    <cellStyle name="Ênfase1 157" xfId="7524"/>
    <cellStyle name="Ênfase1 158" xfId="7525"/>
    <cellStyle name="Ênfase1 159" xfId="7526"/>
    <cellStyle name="Ênfase1 16" xfId="7527"/>
    <cellStyle name="Ênfase1 16 2" xfId="7528"/>
    <cellStyle name="Ênfase1 16 3" xfId="7529"/>
    <cellStyle name="Ênfase1 160" xfId="7530"/>
    <cellStyle name="Ênfase1 161" xfId="7531"/>
    <cellStyle name="Ênfase1 162" xfId="7532"/>
    <cellStyle name="Ênfase1 163" xfId="7533"/>
    <cellStyle name="Ênfase1 164" xfId="7534"/>
    <cellStyle name="Ênfase1 165" xfId="7535"/>
    <cellStyle name="Ênfase1 166" xfId="7536"/>
    <cellStyle name="Ênfase1 167" xfId="7537"/>
    <cellStyle name="Ênfase1 168" xfId="7538"/>
    <cellStyle name="Ênfase1 169" xfId="7539"/>
    <cellStyle name="Ênfase1 17" xfId="7540"/>
    <cellStyle name="Ênfase1 17 2" xfId="7541"/>
    <cellStyle name="Ênfase1 17 3" xfId="7542"/>
    <cellStyle name="Ênfase1 170" xfId="7543"/>
    <cellStyle name="Ênfase1 171" xfId="7544"/>
    <cellStyle name="Ênfase1 172" xfId="7545"/>
    <cellStyle name="Ênfase1 173" xfId="7546"/>
    <cellStyle name="Ênfase1 174" xfId="7547"/>
    <cellStyle name="Ênfase1 175" xfId="7548"/>
    <cellStyle name="Ênfase1 176" xfId="7549"/>
    <cellStyle name="Ênfase1 177" xfId="7550"/>
    <cellStyle name="Ênfase1 178" xfId="7551"/>
    <cellStyle name="Ênfase1 179" xfId="7552"/>
    <cellStyle name="Ênfase1 18" xfId="7553"/>
    <cellStyle name="Ênfase1 18 2" xfId="7554"/>
    <cellStyle name="Ênfase1 18 3" xfId="7555"/>
    <cellStyle name="Ênfase1 180" xfId="7556"/>
    <cellStyle name="Ênfase1 181" xfId="7557"/>
    <cellStyle name="Ênfase1 182" xfId="7558"/>
    <cellStyle name="Ênfase1 183" xfId="7559"/>
    <cellStyle name="Ênfase1 184" xfId="7560"/>
    <cellStyle name="Ênfase1 185" xfId="7561"/>
    <cellStyle name="Ênfase1 186" xfId="7562"/>
    <cellStyle name="Ênfase1 187" xfId="7563"/>
    <cellStyle name="Ênfase1 188" xfId="7564"/>
    <cellStyle name="Ênfase1 189" xfId="7565"/>
    <cellStyle name="Ênfase1 19" xfId="7566"/>
    <cellStyle name="Ênfase1 19 2" xfId="7567"/>
    <cellStyle name="Ênfase1 19 3" xfId="7568"/>
    <cellStyle name="Ênfase1 190" xfId="7569"/>
    <cellStyle name="Ênfase1 2" xfId="7570"/>
    <cellStyle name="Ênfase1 2 10" xfId="7571"/>
    <cellStyle name="Ênfase1 2 10 2" xfId="7572"/>
    <cellStyle name="Ênfase1 2 10 3" xfId="7573"/>
    <cellStyle name="Ênfase1 2 10 4" xfId="7574"/>
    <cellStyle name="Ênfase1 2 10 5" xfId="7575"/>
    <cellStyle name="Ênfase1 2 10 6" xfId="7576"/>
    <cellStyle name="Ênfase1 2 10 7" xfId="7577"/>
    <cellStyle name="Ênfase1 2 11" xfId="7578"/>
    <cellStyle name="Ênfase1 2 11 2" xfId="7579"/>
    <cellStyle name="Ênfase1 2 11 3" xfId="7580"/>
    <cellStyle name="Ênfase1 2 11 4" xfId="7581"/>
    <cellStyle name="Ênfase1 2 11 5" xfId="7582"/>
    <cellStyle name="Ênfase1 2 11 6" xfId="7583"/>
    <cellStyle name="Ênfase1 2 11 7" xfId="7584"/>
    <cellStyle name="Ênfase1 2 12" xfId="7585"/>
    <cellStyle name="Ênfase1 2 13" xfId="7586"/>
    <cellStyle name="Ênfase1 2 14" xfId="7587"/>
    <cellStyle name="Ênfase1 2 15" xfId="7588"/>
    <cellStyle name="Ênfase1 2 16" xfId="7589"/>
    <cellStyle name="Ênfase1 2 17" xfId="7590"/>
    <cellStyle name="Ênfase1 2 18" xfId="7591"/>
    <cellStyle name="Ênfase1 2 19" xfId="7592"/>
    <cellStyle name="Ênfase1 2 2" xfId="7593"/>
    <cellStyle name="Ênfase1 2 20" xfId="7594"/>
    <cellStyle name="Ênfase1 2 21" xfId="7595"/>
    <cellStyle name="Ênfase1 2 22" xfId="7596"/>
    <cellStyle name="Ênfase1 2 23" xfId="7597"/>
    <cellStyle name="Ênfase1 2 24" xfId="7598"/>
    <cellStyle name="Ênfase1 2 25" xfId="7599"/>
    <cellStyle name="Ênfase1 2 26" xfId="7600"/>
    <cellStyle name="Ênfase1 2 27" xfId="7601"/>
    <cellStyle name="Ênfase1 2 28" xfId="7602"/>
    <cellStyle name="Ênfase1 2 29" xfId="7603"/>
    <cellStyle name="Ênfase1 2 3" xfId="7604"/>
    <cellStyle name="Ênfase1 2 30" xfId="7605"/>
    <cellStyle name="Ênfase1 2 31" xfId="7606"/>
    <cellStyle name="Ênfase1 2 32" xfId="7607"/>
    <cellStyle name="Ênfase1 2 33" xfId="7608"/>
    <cellStyle name="Ênfase1 2 34" xfId="7609"/>
    <cellStyle name="Ênfase1 2 35" xfId="7610"/>
    <cellStyle name="Ênfase1 2 4" xfId="7611"/>
    <cellStyle name="Ênfase1 2 5" xfId="7612"/>
    <cellStyle name="Ênfase1 2 6" xfId="7613"/>
    <cellStyle name="Ênfase1 2 7" xfId="7614"/>
    <cellStyle name="Ênfase1 2 8" xfId="7615"/>
    <cellStyle name="Ênfase1 2 8 2" xfId="7616"/>
    <cellStyle name="Ênfase1 2 8 3" xfId="7617"/>
    <cellStyle name="Ênfase1 2 8 4" xfId="7618"/>
    <cellStyle name="Ênfase1 2 8 5" xfId="7619"/>
    <cellStyle name="Ênfase1 2 8 6" xfId="7620"/>
    <cellStyle name="Ênfase1 2 8 7" xfId="7621"/>
    <cellStyle name="Ênfase1 2 9" xfId="7622"/>
    <cellStyle name="Ênfase1 2 9 2" xfId="7623"/>
    <cellStyle name="Ênfase1 2 9 3" xfId="7624"/>
    <cellStyle name="Ênfase1 2 9 4" xfId="7625"/>
    <cellStyle name="Ênfase1 2 9 5" xfId="7626"/>
    <cellStyle name="Ênfase1 2 9 6" xfId="7627"/>
    <cellStyle name="Ênfase1 2 9 7" xfId="7628"/>
    <cellStyle name="Ênfase1 20" xfId="7629"/>
    <cellStyle name="Ênfase1 20 2" xfId="7630"/>
    <cellStyle name="Ênfase1 20 3" xfId="7631"/>
    <cellStyle name="Ênfase1 21" xfId="7632"/>
    <cellStyle name="Ênfase1 22" xfId="7633"/>
    <cellStyle name="Ênfase1 23" xfId="7634"/>
    <cellStyle name="Ênfase1 24" xfId="7635"/>
    <cellStyle name="Ênfase1 24 2" xfId="40948"/>
    <cellStyle name="Ênfase1 25" xfId="7636"/>
    <cellStyle name="Ênfase1 25 2" xfId="40983"/>
    <cellStyle name="Ênfase1 26" xfId="7637"/>
    <cellStyle name="Ênfase1 26 10" xfId="7638"/>
    <cellStyle name="Ênfase1 26 11" xfId="7639"/>
    <cellStyle name="Ênfase1 26 12" xfId="7640"/>
    <cellStyle name="Ênfase1 26 13" xfId="7641"/>
    <cellStyle name="Ênfase1 26 14" xfId="7642"/>
    <cellStyle name="Ênfase1 26 15" xfId="7643"/>
    <cellStyle name="Ênfase1 26 16" xfId="7644"/>
    <cellStyle name="Ênfase1 26 2" xfId="7645"/>
    <cellStyle name="Ênfase1 26 3" xfId="7646"/>
    <cellStyle name="Ênfase1 26 4" xfId="7647"/>
    <cellStyle name="Ênfase1 26 5" xfId="7648"/>
    <cellStyle name="Ênfase1 26 6" xfId="7649"/>
    <cellStyle name="Ênfase1 26 7" xfId="7650"/>
    <cellStyle name="Ênfase1 26 8" xfId="7651"/>
    <cellStyle name="Ênfase1 26 9" xfId="7652"/>
    <cellStyle name="Ênfase1 27" xfId="7653"/>
    <cellStyle name="Ênfase1 27 10" xfId="7654"/>
    <cellStyle name="Ênfase1 27 11" xfId="7655"/>
    <cellStyle name="Ênfase1 27 12" xfId="7656"/>
    <cellStyle name="Ênfase1 27 13" xfId="7657"/>
    <cellStyle name="Ênfase1 27 14" xfId="7658"/>
    <cellStyle name="Ênfase1 27 15" xfId="7659"/>
    <cellStyle name="Ênfase1 27 16" xfId="7660"/>
    <cellStyle name="Ênfase1 27 2" xfId="7661"/>
    <cellStyle name="Ênfase1 27 3" xfId="7662"/>
    <cellStyle name="Ênfase1 27 4" xfId="7663"/>
    <cellStyle name="Ênfase1 27 5" xfId="7664"/>
    <cellStyle name="Ênfase1 27 6" xfId="7665"/>
    <cellStyle name="Ênfase1 27 7" xfId="7666"/>
    <cellStyle name="Ênfase1 27 8" xfId="7667"/>
    <cellStyle name="Ênfase1 27 9" xfId="7668"/>
    <cellStyle name="Ênfase1 28" xfId="7669"/>
    <cellStyle name="Ênfase1 28 10" xfId="7670"/>
    <cellStyle name="Ênfase1 28 11" xfId="7671"/>
    <cellStyle name="Ênfase1 28 12" xfId="7672"/>
    <cellStyle name="Ênfase1 28 13" xfId="7673"/>
    <cellStyle name="Ênfase1 28 14" xfId="7674"/>
    <cellStyle name="Ênfase1 28 15" xfId="7675"/>
    <cellStyle name="Ênfase1 28 16" xfId="7676"/>
    <cellStyle name="Ênfase1 28 2" xfId="7677"/>
    <cellStyle name="Ênfase1 28 3" xfId="7678"/>
    <cellStyle name="Ênfase1 28 4" xfId="7679"/>
    <cellStyle name="Ênfase1 28 5" xfId="7680"/>
    <cellStyle name="Ênfase1 28 6" xfId="7681"/>
    <cellStyle name="Ênfase1 28 7" xfId="7682"/>
    <cellStyle name="Ênfase1 28 8" xfId="7683"/>
    <cellStyle name="Ênfase1 28 9" xfId="7684"/>
    <cellStyle name="Ênfase1 29" xfId="7685"/>
    <cellStyle name="Ênfase1 29 10" xfId="7686"/>
    <cellStyle name="Ênfase1 29 11" xfId="7687"/>
    <cellStyle name="Ênfase1 29 12" xfId="7688"/>
    <cellStyle name="Ênfase1 29 13" xfId="7689"/>
    <cellStyle name="Ênfase1 29 14" xfId="7690"/>
    <cellStyle name="Ênfase1 29 15" xfId="7691"/>
    <cellStyle name="Ênfase1 29 16" xfId="7692"/>
    <cellStyle name="Ênfase1 29 2" xfId="7693"/>
    <cellStyle name="Ênfase1 29 3" xfId="7694"/>
    <cellStyle name="Ênfase1 29 4" xfId="7695"/>
    <cellStyle name="Ênfase1 29 5" xfId="7696"/>
    <cellStyle name="Ênfase1 29 6" xfId="7697"/>
    <cellStyle name="Ênfase1 29 7" xfId="7698"/>
    <cellStyle name="Ênfase1 29 8" xfId="7699"/>
    <cellStyle name="Ênfase1 29 9" xfId="7700"/>
    <cellStyle name="Ênfase1 3" xfId="7701"/>
    <cellStyle name="Ênfase1 3 10" xfId="7702"/>
    <cellStyle name="Ênfase1 3 11" xfId="7703"/>
    <cellStyle name="Ênfase1 3 2" xfId="7704"/>
    <cellStyle name="Ênfase1 3 3" xfId="7705"/>
    <cellStyle name="Ênfase1 3 4" xfId="7706"/>
    <cellStyle name="Ênfase1 3 5" xfId="7707"/>
    <cellStyle name="Ênfase1 3 6" xfId="7708"/>
    <cellStyle name="Ênfase1 3 7" xfId="7709"/>
    <cellStyle name="Ênfase1 3 8" xfId="7710"/>
    <cellStyle name="Ênfase1 3 9" xfId="7711"/>
    <cellStyle name="Ênfase1 30" xfId="7712"/>
    <cellStyle name="Ênfase1 31" xfId="7713"/>
    <cellStyle name="Ênfase1 32" xfId="7714"/>
    <cellStyle name="Ênfase1 33" xfId="7715"/>
    <cellStyle name="Ênfase1 34" xfId="7716"/>
    <cellStyle name="Ênfase1 35" xfId="7717"/>
    <cellStyle name="Ênfase1 36" xfId="7718"/>
    <cellStyle name="Ênfase1 37" xfId="7719"/>
    <cellStyle name="Ênfase1 38" xfId="7720"/>
    <cellStyle name="Ênfase1 39" xfId="7721"/>
    <cellStyle name="Ênfase1 4" xfId="7722"/>
    <cellStyle name="Ênfase1 4 10" xfId="7723"/>
    <cellStyle name="Ênfase1 4 11" xfId="7724"/>
    <cellStyle name="Ênfase1 4 2" xfId="7725"/>
    <cellStyle name="Ênfase1 4 3" xfId="7726"/>
    <cellStyle name="Ênfase1 4 4" xfId="7727"/>
    <cellStyle name="Ênfase1 4 5" xfId="7728"/>
    <cellStyle name="Ênfase1 4 6" xfId="7729"/>
    <cellStyle name="Ênfase1 4 7" xfId="7730"/>
    <cellStyle name="Ênfase1 4 8" xfId="7731"/>
    <cellStyle name="Ênfase1 4 9" xfId="7732"/>
    <cellStyle name="Ênfase1 40" xfId="7733"/>
    <cellStyle name="Ênfase1 41" xfId="7734"/>
    <cellStyle name="Ênfase1 42" xfId="7735"/>
    <cellStyle name="Ênfase1 43" xfId="7736"/>
    <cellStyle name="Ênfase1 44" xfId="7737"/>
    <cellStyle name="Ênfase1 45" xfId="7738"/>
    <cellStyle name="Ênfase1 46" xfId="7739"/>
    <cellStyle name="Ênfase1 47" xfId="7740"/>
    <cellStyle name="Ênfase1 48" xfId="7741"/>
    <cellStyle name="Ênfase1 49" xfId="7742"/>
    <cellStyle name="Ênfase1 5" xfId="7743"/>
    <cellStyle name="Ênfase1 5 2" xfId="7744"/>
    <cellStyle name="Ênfase1 5 3" xfId="7745"/>
    <cellStyle name="Ênfase1 5 4" xfId="7746"/>
    <cellStyle name="Ênfase1 50" xfId="7747"/>
    <cellStyle name="Ênfase1 51" xfId="7748"/>
    <cellStyle name="Ênfase1 52" xfId="7749"/>
    <cellStyle name="Ênfase1 53" xfId="7750"/>
    <cellStyle name="Ênfase1 54" xfId="7751"/>
    <cellStyle name="Ênfase1 55" xfId="7752"/>
    <cellStyle name="Ênfase1 56" xfId="7753"/>
    <cellStyle name="Ênfase1 57" xfId="7754"/>
    <cellStyle name="Ênfase1 58" xfId="7755"/>
    <cellStyle name="Ênfase1 59" xfId="7756"/>
    <cellStyle name="Ênfase1 6" xfId="7757"/>
    <cellStyle name="Ênfase1 6 2" xfId="7758"/>
    <cellStyle name="Ênfase1 6 3" xfId="7759"/>
    <cellStyle name="Ênfase1 6 4" xfId="7760"/>
    <cellStyle name="Ênfase1 60" xfId="7761"/>
    <cellStyle name="Ênfase1 61" xfId="7762"/>
    <cellStyle name="Ênfase1 62" xfId="7763"/>
    <cellStyle name="Ênfase1 63" xfId="7764"/>
    <cellStyle name="Ênfase1 64" xfId="7765"/>
    <cellStyle name="Ênfase1 65" xfId="7766"/>
    <cellStyle name="Ênfase1 66" xfId="7767"/>
    <cellStyle name="Ênfase1 67" xfId="7768"/>
    <cellStyle name="Ênfase1 68" xfId="7769"/>
    <cellStyle name="Ênfase1 69" xfId="7770"/>
    <cellStyle name="Ênfase1 7" xfId="7771"/>
    <cellStyle name="Ênfase1 7 2" xfId="7772"/>
    <cellStyle name="Ênfase1 7 3" xfId="7773"/>
    <cellStyle name="Ênfase1 7 4" xfId="7774"/>
    <cellStyle name="Ênfase1 70" xfId="7775"/>
    <cellStyle name="Ênfase1 71" xfId="7776"/>
    <cellStyle name="Ênfase1 72" xfId="7777"/>
    <cellStyle name="Ênfase1 73" xfId="7778"/>
    <cellStyle name="Ênfase1 74" xfId="7779"/>
    <cellStyle name="Ênfase1 75" xfId="7780"/>
    <cellStyle name="Ênfase1 76" xfId="7781"/>
    <cellStyle name="Ênfase1 77" xfId="7782"/>
    <cellStyle name="Ênfase1 78" xfId="7783"/>
    <cellStyle name="Ênfase1 79" xfId="7784"/>
    <cellStyle name="Ênfase1 8" xfId="7785"/>
    <cellStyle name="Ênfase1 8 2" xfId="7786"/>
    <cellStyle name="Ênfase1 8 3" xfId="7787"/>
    <cellStyle name="Ênfase1 8 4" xfId="7788"/>
    <cellStyle name="Ênfase1 80" xfId="7789"/>
    <cellStyle name="Ênfase1 81" xfId="7790"/>
    <cellStyle name="Ênfase1 82" xfId="7791"/>
    <cellStyle name="Ênfase1 83" xfId="7792"/>
    <cellStyle name="Ênfase1 84" xfId="7793"/>
    <cellStyle name="Ênfase1 85" xfId="7794"/>
    <cellStyle name="Ênfase1 86" xfId="7795"/>
    <cellStyle name="Ênfase1 87" xfId="7796"/>
    <cellStyle name="Ênfase1 88" xfId="7797"/>
    <cellStyle name="Ênfase1 89" xfId="7798"/>
    <cellStyle name="Ênfase1 9" xfId="7799"/>
    <cellStyle name="Ênfase1 90" xfId="7800"/>
    <cellStyle name="Ênfase1 91" xfId="7801"/>
    <cellStyle name="Ênfase1 92" xfId="7802"/>
    <cellStyle name="Ênfase1 93" xfId="7803"/>
    <cellStyle name="Ênfase1 94" xfId="7804"/>
    <cellStyle name="Ênfase1 95" xfId="7805"/>
    <cellStyle name="Ênfase1 96" xfId="7806"/>
    <cellStyle name="Ênfase1 97" xfId="7807"/>
    <cellStyle name="Ênfase1 98" xfId="7808"/>
    <cellStyle name="Ênfase1 99" xfId="7809"/>
    <cellStyle name="Ênfase2 10" xfId="7810"/>
    <cellStyle name="Ênfase2 10 2" xfId="40579"/>
    <cellStyle name="Ênfase2 100" xfId="7811"/>
    <cellStyle name="Ênfase2 101" xfId="7812"/>
    <cellStyle name="Ênfase2 102" xfId="7813"/>
    <cellStyle name="Ênfase2 103" xfId="7814"/>
    <cellStyle name="Ênfase2 104" xfId="7815"/>
    <cellStyle name="Ênfase2 105" xfId="7816"/>
    <cellStyle name="Ênfase2 106" xfId="7817"/>
    <cellStyle name="Ênfase2 107" xfId="7818"/>
    <cellStyle name="Ênfase2 108" xfId="7819"/>
    <cellStyle name="Ênfase2 109" xfId="7820"/>
    <cellStyle name="Ênfase2 11" xfId="7821"/>
    <cellStyle name="Ênfase2 11 2" xfId="40580"/>
    <cellStyle name="Ênfase2 110" xfId="7822"/>
    <cellStyle name="Ênfase2 111" xfId="7823"/>
    <cellStyle name="Ênfase2 112" xfId="7824"/>
    <cellStyle name="Ênfase2 113" xfId="7825"/>
    <cellStyle name="Ênfase2 114" xfId="7826"/>
    <cellStyle name="Ênfase2 115" xfId="7827"/>
    <cellStyle name="Ênfase2 116" xfId="7828"/>
    <cellStyle name="Ênfase2 117" xfId="7829"/>
    <cellStyle name="Ênfase2 118" xfId="7830"/>
    <cellStyle name="Ênfase2 119" xfId="7831"/>
    <cellStyle name="Ênfase2 12" xfId="7832"/>
    <cellStyle name="Ênfase2 12 2" xfId="40581"/>
    <cellStyle name="Ênfase2 120" xfId="7833"/>
    <cellStyle name="Ênfase2 121" xfId="7834"/>
    <cellStyle name="Ênfase2 122" xfId="7835"/>
    <cellStyle name="Ênfase2 123" xfId="7836"/>
    <cellStyle name="Ênfase2 124" xfId="7837"/>
    <cellStyle name="Ênfase2 125" xfId="7838"/>
    <cellStyle name="Ênfase2 126" xfId="7839"/>
    <cellStyle name="Ênfase2 127" xfId="7840"/>
    <cellStyle name="Ênfase2 128" xfId="7841"/>
    <cellStyle name="Ênfase2 129" xfId="7842"/>
    <cellStyle name="Ênfase2 13" xfId="7843"/>
    <cellStyle name="Ênfase2 13 2" xfId="40582"/>
    <cellStyle name="Ênfase2 130" xfId="7844"/>
    <cellStyle name="Ênfase2 131" xfId="7845"/>
    <cellStyle name="Ênfase2 132" xfId="7846"/>
    <cellStyle name="Ênfase2 133" xfId="7847"/>
    <cellStyle name="Ênfase2 134" xfId="7848"/>
    <cellStyle name="Ênfase2 135" xfId="7849"/>
    <cellStyle name="Ênfase2 136" xfId="7850"/>
    <cellStyle name="Ênfase2 137" xfId="7851"/>
    <cellStyle name="Ênfase2 138" xfId="7852"/>
    <cellStyle name="Ênfase2 139" xfId="7853"/>
    <cellStyle name="Ênfase2 14" xfId="7854"/>
    <cellStyle name="Ênfase2 140" xfId="7855"/>
    <cellStyle name="Ênfase2 141" xfId="7856"/>
    <cellStyle name="Ênfase2 142" xfId="7857"/>
    <cellStyle name="Ênfase2 143" xfId="7858"/>
    <cellStyle name="Ênfase2 144" xfId="7859"/>
    <cellStyle name="Ênfase2 145" xfId="7860"/>
    <cellStyle name="Ênfase2 146" xfId="7861"/>
    <cellStyle name="Ênfase2 147" xfId="7862"/>
    <cellStyle name="Ênfase2 148" xfId="7863"/>
    <cellStyle name="Ênfase2 149" xfId="7864"/>
    <cellStyle name="Ênfase2 15" xfId="7865"/>
    <cellStyle name="Ênfase2 15 2" xfId="7866"/>
    <cellStyle name="Ênfase2 15 3" xfId="7867"/>
    <cellStyle name="Ênfase2 150" xfId="7868"/>
    <cellStyle name="Ênfase2 151" xfId="7869"/>
    <cellStyle name="Ênfase2 152" xfId="7870"/>
    <cellStyle name="Ênfase2 153" xfId="7871"/>
    <cellStyle name="Ênfase2 154" xfId="7872"/>
    <cellStyle name="Ênfase2 155" xfId="7873"/>
    <cellStyle name="Ênfase2 156" xfId="7874"/>
    <cellStyle name="Ênfase2 157" xfId="7875"/>
    <cellStyle name="Ênfase2 158" xfId="7876"/>
    <cellStyle name="Ênfase2 159" xfId="7877"/>
    <cellStyle name="Ênfase2 16" xfId="7878"/>
    <cellStyle name="Ênfase2 16 2" xfId="7879"/>
    <cellStyle name="Ênfase2 16 3" xfId="7880"/>
    <cellStyle name="Ênfase2 160" xfId="7881"/>
    <cellStyle name="Ênfase2 161" xfId="7882"/>
    <cellStyle name="Ênfase2 162" xfId="7883"/>
    <cellStyle name="Ênfase2 163" xfId="7884"/>
    <cellStyle name="Ênfase2 164" xfId="7885"/>
    <cellStyle name="Ênfase2 165" xfId="7886"/>
    <cellStyle name="Ênfase2 166" xfId="7887"/>
    <cellStyle name="Ênfase2 167" xfId="7888"/>
    <cellStyle name="Ênfase2 168" xfId="7889"/>
    <cellStyle name="Ênfase2 169" xfId="7890"/>
    <cellStyle name="Ênfase2 17" xfId="7891"/>
    <cellStyle name="Ênfase2 17 2" xfId="7892"/>
    <cellStyle name="Ênfase2 17 3" xfId="7893"/>
    <cellStyle name="Ênfase2 170" xfId="7894"/>
    <cellStyle name="Ênfase2 171" xfId="7895"/>
    <cellStyle name="Ênfase2 172" xfId="7896"/>
    <cellStyle name="Ênfase2 173" xfId="7897"/>
    <cellStyle name="Ênfase2 174" xfId="7898"/>
    <cellStyle name="Ênfase2 175" xfId="7899"/>
    <cellStyle name="Ênfase2 176" xfId="7900"/>
    <cellStyle name="Ênfase2 177" xfId="7901"/>
    <cellStyle name="Ênfase2 178" xfId="7902"/>
    <cellStyle name="Ênfase2 179" xfId="7903"/>
    <cellStyle name="Ênfase2 18" xfId="7904"/>
    <cellStyle name="Ênfase2 18 2" xfId="7905"/>
    <cellStyle name="Ênfase2 18 3" xfId="7906"/>
    <cellStyle name="Ênfase2 180" xfId="7907"/>
    <cellStyle name="Ênfase2 181" xfId="7908"/>
    <cellStyle name="Ênfase2 182" xfId="7909"/>
    <cellStyle name="Ênfase2 183" xfId="7910"/>
    <cellStyle name="Ênfase2 184" xfId="7911"/>
    <cellStyle name="Ênfase2 185" xfId="7912"/>
    <cellStyle name="Ênfase2 186" xfId="7913"/>
    <cellStyle name="Ênfase2 187" xfId="7914"/>
    <cellStyle name="Ênfase2 188" xfId="7915"/>
    <cellStyle name="Ênfase2 189" xfId="7916"/>
    <cellStyle name="Ênfase2 19" xfId="7917"/>
    <cellStyle name="Ênfase2 19 2" xfId="7918"/>
    <cellStyle name="Ênfase2 19 3" xfId="7919"/>
    <cellStyle name="Ênfase2 190" xfId="7920"/>
    <cellStyle name="Ênfase2 2" xfId="7921"/>
    <cellStyle name="Ênfase2 2 10" xfId="7922"/>
    <cellStyle name="Ênfase2 2 10 2" xfId="7923"/>
    <cellStyle name="Ênfase2 2 10 3" xfId="7924"/>
    <cellStyle name="Ênfase2 2 10 4" xfId="7925"/>
    <cellStyle name="Ênfase2 2 10 5" xfId="7926"/>
    <cellStyle name="Ênfase2 2 10 6" xfId="7927"/>
    <cellStyle name="Ênfase2 2 10 7" xfId="7928"/>
    <cellStyle name="Ênfase2 2 11" xfId="7929"/>
    <cellStyle name="Ênfase2 2 11 2" xfId="7930"/>
    <cellStyle name="Ênfase2 2 11 3" xfId="7931"/>
    <cellStyle name="Ênfase2 2 11 4" xfId="7932"/>
    <cellStyle name="Ênfase2 2 11 5" xfId="7933"/>
    <cellStyle name="Ênfase2 2 11 6" xfId="7934"/>
    <cellStyle name="Ênfase2 2 11 7" xfId="7935"/>
    <cellStyle name="Ênfase2 2 12" xfId="7936"/>
    <cellStyle name="Ênfase2 2 13" xfId="7937"/>
    <cellStyle name="Ênfase2 2 14" xfId="7938"/>
    <cellStyle name="Ênfase2 2 15" xfId="7939"/>
    <cellStyle name="Ênfase2 2 16" xfId="7940"/>
    <cellStyle name="Ênfase2 2 17" xfId="7941"/>
    <cellStyle name="Ênfase2 2 18" xfId="7942"/>
    <cellStyle name="Ênfase2 2 19" xfId="7943"/>
    <cellStyle name="Ênfase2 2 2" xfId="7944"/>
    <cellStyle name="Ênfase2 2 20" xfId="7945"/>
    <cellStyle name="Ênfase2 2 21" xfId="7946"/>
    <cellStyle name="Ênfase2 2 22" xfId="7947"/>
    <cellStyle name="Ênfase2 2 23" xfId="7948"/>
    <cellStyle name="Ênfase2 2 24" xfId="7949"/>
    <cellStyle name="Ênfase2 2 25" xfId="7950"/>
    <cellStyle name="Ênfase2 2 26" xfId="7951"/>
    <cellStyle name="Ênfase2 2 27" xfId="7952"/>
    <cellStyle name="Ênfase2 2 28" xfId="7953"/>
    <cellStyle name="Ênfase2 2 29" xfId="7954"/>
    <cellStyle name="Ênfase2 2 3" xfId="7955"/>
    <cellStyle name="Ênfase2 2 30" xfId="7956"/>
    <cellStyle name="Ênfase2 2 31" xfId="7957"/>
    <cellStyle name="Ênfase2 2 32" xfId="7958"/>
    <cellStyle name="Ênfase2 2 33" xfId="7959"/>
    <cellStyle name="Ênfase2 2 34" xfId="7960"/>
    <cellStyle name="Ênfase2 2 35" xfId="7961"/>
    <cellStyle name="Ênfase2 2 4" xfId="7962"/>
    <cellStyle name="Ênfase2 2 5" xfId="7963"/>
    <cellStyle name="Ênfase2 2 6" xfId="7964"/>
    <cellStyle name="Ênfase2 2 7" xfId="7965"/>
    <cellStyle name="Ênfase2 2 8" xfId="7966"/>
    <cellStyle name="Ênfase2 2 8 2" xfId="7967"/>
    <cellStyle name="Ênfase2 2 8 3" xfId="7968"/>
    <cellStyle name="Ênfase2 2 8 4" xfId="7969"/>
    <cellStyle name="Ênfase2 2 8 5" xfId="7970"/>
    <cellStyle name="Ênfase2 2 8 6" xfId="7971"/>
    <cellStyle name="Ênfase2 2 8 7" xfId="7972"/>
    <cellStyle name="Ênfase2 2 9" xfId="7973"/>
    <cellStyle name="Ênfase2 2 9 2" xfId="7974"/>
    <cellStyle name="Ênfase2 2 9 3" xfId="7975"/>
    <cellStyle name="Ênfase2 2 9 4" xfId="7976"/>
    <cellStyle name="Ênfase2 2 9 5" xfId="7977"/>
    <cellStyle name="Ênfase2 2 9 6" xfId="7978"/>
    <cellStyle name="Ênfase2 2 9 7" xfId="7979"/>
    <cellStyle name="Ênfase2 20" xfId="7980"/>
    <cellStyle name="Ênfase2 20 2" xfId="7981"/>
    <cellStyle name="Ênfase2 20 3" xfId="7982"/>
    <cellStyle name="Ênfase2 21" xfId="7983"/>
    <cellStyle name="Ênfase2 22" xfId="7984"/>
    <cellStyle name="Ênfase2 23" xfId="7985"/>
    <cellStyle name="Ênfase2 24" xfId="7986"/>
    <cellStyle name="Ênfase2 24 2" xfId="40949"/>
    <cellStyle name="Ênfase2 25" xfId="7987"/>
    <cellStyle name="Ênfase2 25 2" xfId="40984"/>
    <cellStyle name="Ênfase2 26" xfId="7988"/>
    <cellStyle name="Ênfase2 26 10" xfId="7989"/>
    <cellStyle name="Ênfase2 26 11" xfId="7990"/>
    <cellStyle name="Ênfase2 26 12" xfId="7991"/>
    <cellStyle name="Ênfase2 26 13" xfId="7992"/>
    <cellStyle name="Ênfase2 26 14" xfId="7993"/>
    <cellStyle name="Ênfase2 26 15" xfId="7994"/>
    <cellStyle name="Ênfase2 26 16" xfId="7995"/>
    <cellStyle name="Ênfase2 26 2" xfId="7996"/>
    <cellStyle name="Ênfase2 26 3" xfId="7997"/>
    <cellStyle name="Ênfase2 26 4" xfId="7998"/>
    <cellStyle name="Ênfase2 26 5" xfId="7999"/>
    <cellStyle name="Ênfase2 26 6" xfId="8000"/>
    <cellStyle name="Ênfase2 26 7" xfId="8001"/>
    <cellStyle name="Ênfase2 26 8" xfId="8002"/>
    <cellStyle name="Ênfase2 26 9" xfId="8003"/>
    <cellStyle name="Ênfase2 27" xfId="8004"/>
    <cellStyle name="Ênfase2 27 10" xfId="8005"/>
    <cellStyle name="Ênfase2 27 11" xfId="8006"/>
    <cellStyle name="Ênfase2 27 12" xfId="8007"/>
    <cellStyle name="Ênfase2 27 13" xfId="8008"/>
    <cellStyle name="Ênfase2 27 14" xfId="8009"/>
    <cellStyle name="Ênfase2 27 15" xfId="8010"/>
    <cellStyle name="Ênfase2 27 16" xfId="8011"/>
    <cellStyle name="Ênfase2 27 2" xfId="8012"/>
    <cellStyle name="Ênfase2 27 3" xfId="8013"/>
    <cellStyle name="Ênfase2 27 4" xfId="8014"/>
    <cellStyle name="Ênfase2 27 5" xfId="8015"/>
    <cellStyle name="Ênfase2 27 6" xfId="8016"/>
    <cellStyle name="Ênfase2 27 7" xfId="8017"/>
    <cellStyle name="Ênfase2 27 8" xfId="8018"/>
    <cellStyle name="Ênfase2 27 9" xfId="8019"/>
    <cellStyle name="Ênfase2 28" xfId="8020"/>
    <cellStyle name="Ênfase2 28 10" xfId="8021"/>
    <cellStyle name="Ênfase2 28 11" xfId="8022"/>
    <cellStyle name="Ênfase2 28 12" xfId="8023"/>
    <cellStyle name="Ênfase2 28 13" xfId="8024"/>
    <cellStyle name="Ênfase2 28 14" xfId="8025"/>
    <cellStyle name="Ênfase2 28 15" xfId="8026"/>
    <cellStyle name="Ênfase2 28 16" xfId="8027"/>
    <cellStyle name="Ênfase2 28 2" xfId="8028"/>
    <cellStyle name="Ênfase2 28 3" xfId="8029"/>
    <cellStyle name="Ênfase2 28 4" xfId="8030"/>
    <cellStyle name="Ênfase2 28 5" xfId="8031"/>
    <cellStyle name="Ênfase2 28 6" xfId="8032"/>
    <cellStyle name="Ênfase2 28 7" xfId="8033"/>
    <cellStyle name="Ênfase2 28 8" xfId="8034"/>
    <cellStyle name="Ênfase2 28 9" xfId="8035"/>
    <cellStyle name="Ênfase2 29" xfId="8036"/>
    <cellStyle name="Ênfase2 29 10" xfId="8037"/>
    <cellStyle name="Ênfase2 29 11" xfId="8038"/>
    <cellStyle name="Ênfase2 29 12" xfId="8039"/>
    <cellStyle name="Ênfase2 29 13" xfId="8040"/>
    <cellStyle name="Ênfase2 29 14" xfId="8041"/>
    <cellStyle name="Ênfase2 29 15" xfId="8042"/>
    <cellStyle name="Ênfase2 29 16" xfId="8043"/>
    <cellStyle name="Ênfase2 29 2" xfId="8044"/>
    <cellStyle name="Ênfase2 29 3" xfId="8045"/>
    <cellStyle name="Ênfase2 29 4" xfId="8046"/>
    <cellStyle name="Ênfase2 29 5" xfId="8047"/>
    <cellStyle name="Ênfase2 29 6" xfId="8048"/>
    <cellStyle name="Ênfase2 29 7" xfId="8049"/>
    <cellStyle name="Ênfase2 29 8" xfId="8050"/>
    <cellStyle name="Ênfase2 29 9" xfId="8051"/>
    <cellStyle name="Ênfase2 3" xfId="8052"/>
    <cellStyle name="Ênfase2 3 10" xfId="8053"/>
    <cellStyle name="Ênfase2 3 11" xfId="8054"/>
    <cellStyle name="Ênfase2 3 2" xfId="8055"/>
    <cellStyle name="Ênfase2 3 3" xfId="8056"/>
    <cellStyle name="Ênfase2 3 4" xfId="8057"/>
    <cellStyle name="Ênfase2 3 5" xfId="8058"/>
    <cellStyle name="Ênfase2 3 6" xfId="8059"/>
    <cellStyle name="Ênfase2 3 7" xfId="8060"/>
    <cellStyle name="Ênfase2 3 8" xfId="8061"/>
    <cellStyle name="Ênfase2 3 9" xfId="8062"/>
    <cellStyle name="Ênfase2 30" xfId="8063"/>
    <cellStyle name="Ênfase2 31" xfId="8064"/>
    <cellStyle name="Ênfase2 32" xfId="8065"/>
    <cellStyle name="Ênfase2 33" xfId="8066"/>
    <cellStyle name="Ênfase2 34" xfId="8067"/>
    <cellStyle name="Ênfase2 35" xfId="8068"/>
    <cellStyle name="Ênfase2 36" xfId="8069"/>
    <cellStyle name="Ênfase2 37" xfId="8070"/>
    <cellStyle name="Ênfase2 38" xfId="8071"/>
    <cellStyle name="Ênfase2 39" xfId="8072"/>
    <cellStyle name="Ênfase2 4" xfId="8073"/>
    <cellStyle name="Ênfase2 4 10" xfId="8074"/>
    <cellStyle name="Ênfase2 4 11" xfId="8075"/>
    <cellStyle name="Ênfase2 4 2" xfId="8076"/>
    <cellStyle name="Ênfase2 4 3" xfId="8077"/>
    <cellStyle name="Ênfase2 4 4" xfId="8078"/>
    <cellStyle name="Ênfase2 4 5" xfId="8079"/>
    <cellStyle name="Ênfase2 4 6" xfId="8080"/>
    <cellStyle name="Ênfase2 4 7" xfId="8081"/>
    <cellStyle name="Ênfase2 4 8" xfId="8082"/>
    <cellStyle name="Ênfase2 4 9" xfId="8083"/>
    <cellStyle name="Ênfase2 40" xfId="8084"/>
    <cellStyle name="Ênfase2 41" xfId="8085"/>
    <cellStyle name="Ênfase2 42" xfId="8086"/>
    <cellStyle name="Ênfase2 43" xfId="8087"/>
    <cellStyle name="Ênfase2 44" xfId="8088"/>
    <cellStyle name="Ênfase2 45" xfId="8089"/>
    <cellStyle name="Ênfase2 46" xfId="8090"/>
    <cellStyle name="Ênfase2 47" xfId="8091"/>
    <cellStyle name="Ênfase2 48" xfId="8092"/>
    <cellStyle name="Ênfase2 49" xfId="8093"/>
    <cellStyle name="Ênfase2 5" xfId="8094"/>
    <cellStyle name="Ênfase2 5 2" xfId="8095"/>
    <cellStyle name="Ênfase2 5 3" xfId="8096"/>
    <cellStyle name="Ênfase2 5 4" xfId="8097"/>
    <cellStyle name="Ênfase2 50" xfId="8098"/>
    <cellStyle name="Ênfase2 51" xfId="8099"/>
    <cellStyle name="Ênfase2 52" xfId="8100"/>
    <cellStyle name="Ênfase2 53" xfId="8101"/>
    <cellStyle name="Ênfase2 54" xfId="8102"/>
    <cellStyle name="Ênfase2 55" xfId="8103"/>
    <cellStyle name="Ênfase2 56" xfId="8104"/>
    <cellStyle name="Ênfase2 57" xfId="8105"/>
    <cellStyle name="Ênfase2 58" xfId="8106"/>
    <cellStyle name="Ênfase2 59" xfId="8107"/>
    <cellStyle name="Ênfase2 6" xfId="8108"/>
    <cellStyle name="Ênfase2 6 2" xfId="8109"/>
    <cellStyle name="Ênfase2 6 3" xfId="8110"/>
    <cellStyle name="Ênfase2 6 4" xfId="8111"/>
    <cellStyle name="Ênfase2 60" xfId="8112"/>
    <cellStyle name="Ênfase2 61" xfId="8113"/>
    <cellStyle name="Ênfase2 62" xfId="8114"/>
    <cellStyle name="Ênfase2 63" xfId="8115"/>
    <cellStyle name="Ênfase2 64" xfId="8116"/>
    <cellStyle name="Ênfase2 65" xfId="8117"/>
    <cellStyle name="Ênfase2 66" xfId="8118"/>
    <cellStyle name="Ênfase2 67" xfId="8119"/>
    <cellStyle name="Ênfase2 68" xfId="8120"/>
    <cellStyle name="Ênfase2 69" xfId="8121"/>
    <cellStyle name="Ênfase2 7" xfId="8122"/>
    <cellStyle name="Ênfase2 7 2" xfId="8123"/>
    <cellStyle name="Ênfase2 7 3" xfId="8124"/>
    <cellStyle name="Ênfase2 7 4" xfId="8125"/>
    <cellStyle name="Ênfase2 70" xfId="8126"/>
    <cellStyle name="Ênfase2 71" xfId="8127"/>
    <cellStyle name="Ênfase2 72" xfId="8128"/>
    <cellStyle name="Ênfase2 73" xfId="8129"/>
    <cellStyle name="Ênfase2 74" xfId="8130"/>
    <cellStyle name="Ênfase2 75" xfId="8131"/>
    <cellStyle name="Ênfase2 76" xfId="8132"/>
    <cellStyle name="Ênfase2 77" xfId="8133"/>
    <cellStyle name="Ênfase2 78" xfId="8134"/>
    <cellStyle name="Ênfase2 79" xfId="8135"/>
    <cellStyle name="Ênfase2 8" xfId="8136"/>
    <cellStyle name="Ênfase2 8 2" xfId="8137"/>
    <cellStyle name="Ênfase2 8 3" xfId="8138"/>
    <cellStyle name="Ênfase2 8 4" xfId="8139"/>
    <cellStyle name="Ênfase2 80" xfId="8140"/>
    <cellStyle name="Ênfase2 81" xfId="8141"/>
    <cellStyle name="Ênfase2 82" xfId="8142"/>
    <cellStyle name="Ênfase2 83" xfId="8143"/>
    <cellStyle name="Ênfase2 84" xfId="8144"/>
    <cellStyle name="Ênfase2 85" xfId="8145"/>
    <cellStyle name="Ênfase2 86" xfId="8146"/>
    <cellStyle name="Ênfase2 87" xfId="8147"/>
    <cellStyle name="Ênfase2 88" xfId="8148"/>
    <cellStyle name="Ênfase2 89" xfId="8149"/>
    <cellStyle name="Ênfase2 9" xfId="8150"/>
    <cellStyle name="Ênfase2 90" xfId="8151"/>
    <cellStyle name="Ênfase2 91" xfId="8152"/>
    <cellStyle name="Ênfase2 92" xfId="8153"/>
    <cellStyle name="Ênfase2 93" xfId="8154"/>
    <cellStyle name="Ênfase2 94" xfId="8155"/>
    <cellStyle name="Ênfase2 95" xfId="8156"/>
    <cellStyle name="Ênfase2 96" xfId="8157"/>
    <cellStyle name="Ênfase2 97" xfId="8158"/>
    <cellStyle name="Ênfase2 98" xfId="8159"/>
    <cellStyle name="Ênfase2 99" xfId="8160"/>
    <cellStyle name="Ênfase3 10" xfId="8161"/>
    <cellStyle name="Ênfase3 10 2" xfId="40583"/>
    <cellStyle name="Ênfase3 100" xfId="8162"/>
    <cellStyle name="Ênfase3 101" xfId="8163"/>
    <cellStyle name="Ênfase3 102" xfId="8164"/>
    <cellStyle name="Ênfase3 103" xfId="8165"/>
    <cellStyle name="Ênfase3 104" xfId="8166"/>
    <cellStyle name="Ênfase3 105" xfId="8167"/>
    <cellStyle name="Ênfase3 106" xfId="8168"/>
    <cellStyle name="Ênfase3 107" xfId="8169"/>
    <cellStyle name="Ênfase3 108" xfId="8170"/>
    <cellStyle name="Ênfase3 109" xfId="8171"/>
    <cellStyle name="Ênfase3 11" xfId="8172"/>
    <cellStyle name="Ênfase3 11 2" xfId="40584"/>
    <cellStyle name="Ênfase3 110" xfId="8173"/>
    <cellStyle name="Ênfase3 111" xfId="8174"/>
    <cellStyle name="Ênfase3 112" xfId="8175"/>
    <cellStyle name="Ênfase3 113" xfId="8176"/>
    <cellStyle name="Ênfase3 114" xfId="8177"/>
    <cellStyle name="Ênfase3 115" xfId="8178"/>
    <cellStyle name="Ênfase3 116" xfId="8179"/>
    <cellStyle name="Ênfase3 117" xfId="8180"/>
    <cellStyle name="Ênfase3 118" xfId="8181"/>
    <cellStyle name="Ênfase3 119" xfId="8182"/>
    <cellStyle name="Ênfase3 12" xfId="8183"/>
    <cellStyle name="Ênfase3 12 2" xfId="40585"/>
    <cellStyle name="Ênfase3 120" xfId="8184"/>
    <cellStyle name="Ênfase3 121" xfId="8185"/>
    <cellStyle name="Ênfase3 122" xfId="8186"/>
    <cellStyle name="Ênfase3 123" xfId="8187"/>
    <cellStyle name="Ênfase3 124" xfId="8188"/>
    <cellStyle name="Ênfase3 125" xfId="8189"/>
    <cellStyle name="Ênfase3 126" xfId="8190"/>
    <cellStyle name="Ênfase3 127" xfId="8191"/>
    <cellStyle name="Ênfase3 128" xfId="8192"/>
    <cellStyle name="Ênfase3 129" xfId="8193"/>
    <cellStyle name="Ênfase3 13" xfId="8194"/>
    <cellStyle name="Ênfase3 13 2" xfId="40586"/>
    <cellStyle name="Ênfase3 130" xfId="8195"/>
    <cellStyle name="Ênfase3 131" xfId="8196"/>
    <cellStyle name="Ênfase3 132" xfId="8197"/>
    <cellStyle name="Ênfase3 133" xfId="8198"/>
    <cellStyle name="Ênfase3 134" xfId="8199"/>
    <cellStyle name="Ênfase3 135" xfId="8200"/>
    <cellStyle name="Ênfase3 136" xfId="8201"/>
    <cellStyle name="Ênfase3 137" xfId="8202"/>
    <cellStyle name="Ênfase3 138" xfId="8203"/>
    <cellStyle name="Ênfase3 139" xfId="8204"/>
    <cellStyle name="Ênfase3 14" xfId="8205"/>
    <cellStyle name="Ênfase3 140" xfId="8206"/>
    <cellStyle name="Ênfase3 141" xfId="8207"/>
    <cellStyle name="Ênfase3 142" xfId="8208"/>
    <cellStyle name="Ênfase3 143" xfId="8209"/>
    <cellStyle name="Ênfase3 144" xfId="8210"/>
    <cellStyle name="Ênfase3 145" xfId="8211"/>
    <cellStyle name="Ênfase3 146" xfId="8212"/>
    <cellStyle name="Ênfase3 147" xfId="8213"/>
    <cellStyle name="Ênfase3 148" xfId="8214"/>
    <cellStyle name="Ênfase3 149" xfId="8215"/>
    <cellStyle name="Ênfase3 15" xfId="8216"/>
    <cellStyle name="Ênfase3 15 2" xfId="8217"/>
    <cellStyle name="Ênfase3 15 3" xfId="8218"/>
    <cellStyle name="Ênfase3 150" xfId="8219"/>
    <cellStyle name="Ênfase3 151" xfId="8220"/>
    <cellStyle name="Ênfase3 152" xfId="8221"/>
    <cellStyle name="Ênfase3 153" xfId="8222"/>
    <cellStyle name="Ênfase3 154" xfId="8223"/>
    <cellStyle name="Ênfase3 155" xfId="8224"/>
    <cellStyle name="Ênfase3 156" xfId="8225"/>
    <cellStyle name="Ênfase3 157" xfId="8226"/>
    <cellStyle name="Ênfase3 158" xfId="8227"/>
    <cellStyle name="Ênfase3 159" xfId="8228"/>
    <cellStyle name="Ênfase3 16" xfId="8229"/>
    <cellStyle name="Ênfase3 16 2" xfId="8230"/>
    <cellStyle name="Ênfase3 16 3" xfId="8231"/>
    <cellStyle name="Ênfase3 160" xfId="8232"/>
    <cellStyle name="Ênfase3 161" xfId="8233"/>
    <cellStyle name="Ênfase3 162" xfId="8234"/>
    <cellStyle name="Ênfase3 163" xfId="8235"/>
    <cellStyle name="Ênfase3 164" xfId="8236"/>
    <cellStyle name="Ênfase3 165" xfId="8237"/>
    <cellStyle name="Ênfase3 166" xfId="8238"/>
    <cellStyle name="Ênfase3 167" xfId="8239"/>
    <cellStyle name="Ênfase3 168" xfId="8240"/>
    <cellStyle name="Ênfase3 169" xfId="8241"/>
    <cellStyle name="Ênfase3 17" xfId="8242"/>
    <cellStyle name="Ênfase3 17 2" xfId="8243"/>
    <cellStyle name="Ênfase3 17 3" xfId="8244"/>
    <cellStyle name="Ênfase3 170" xfId="8245"/>
    <cellStyle name="Ênfase3 171" xfId="8246"/>
    <cellStyle name="Ênfase3 172" xfId="8247"/>
    <cellStyle name="Ênfase3 173" xfId="8248"/>
    <cellStyle name="Ênfase3 174" xfId="8249"/>
    <cellStyle name="Ênfase3 175" xfId="8250"/>
    <cellStyle name="Ênfase3 176" xfId="8251"/>
    <cellStyle name="Ênfase3 177" xfId="8252"/>
    <cellStyle name="Ênfase3 178" xfId="8253"/>
    <cellStyle name="Ênfase3 179" xfId="8254"/>
    <cellStyle name="Ênfase3 18" xfId="8255"/>
    <cellStyle name="Ênfase3 18 2" xfId="8256"/>
    <cellStyle name="Ênfase3 18 3" xfId="8257"/>
    <cellStyle name="Ênfase3 180" xfId="8258"/>
    <cellStyle name="Ênfase3 181" xfId="8259"/>
    <cellStyle name="Ênfase3 182" xfId="8260"/>
    <cellStyle name="Ênfase3 183" xfId="8261"/>
    <cellStyle name="Ênfase3 184" xfId="8262"/>
    <cellStyle name="Ênfase3 185" xfId="8263"/>
    <cellStyle name="Ênfase3 186" xfId="8264"/>
    <cellStyle name="Ênfase3 187" xfId="8265"/>
    <cellStyle name="Ênfase3 188" xfId="8266"/>
    <cellStyle name="Ênfase3 189" xfId="8267"/>
    <cellStyle name="Ênfase3 19" xfId="8268"/>
    <cellStyle name="Ênfase3 19 2" xfId="8269"/>
    <cellStyle name="Ênfase3 19 3" xfId="8270"/>
    <cellStyle name="Ênfase3 190" xfId="8271"/>
    <cellStyle name="Ênfase3 2" xfId="8272"/>
    <cellStyle name="Ênfase3 2 10" xfId="8273"/>
    <cellStyle name="Ênfase3 2 10 2" xfId="8274"/>
    <cellStyle name="Ênfase3 2 10 3" xfId="8275"/>
    <cellStyle name="Ênfase3 2 10 4" xfId="8276"/>
    <cellStyle name="Ênfase3 2 10 5" xfId="8277"/>
    <cellStyle name="Ênfase3 2 10 6" xfId="8278"/>
    <cellStyle name="Ênfase3 2 10 7" xfId="8279"/>
    <cellStyle name="Ênfase3 2 11" xfId="8280"/>
    <cellStyle name="Ênfase3 2 11 2" xfId="8281"/>
    <cellStyle name="Ênfase3 2 11 3" xfId="8282"/>
    <cellStyle name="Ênfase3 2 11 4" xfId="8283"/>
    <cellStyle name="Ênfase3 2 11 5" xfId="8284"/>
    <cellStyle name="Ênfase3 2 11 6" xfId="8285"/>
    <cellStyle name="Ênfase3 2 11 7" xfId="8286"/>
    <cellStyle name="Ênfase3 2 12" xfId="12"/>
    <cellStyle name="Ênfase3 2 12 2" xfId="29362"/>
    <cellStyle name="Ênfase3 2 13" xfId="8287"/>
    <cellStyle name="Ênfase3 2 14" xfId="8288"/>
    <cellStyle name="Ênfase3 2 15" xfId="8289"/>
    <cellStyle name="Ênfase3 2 16" xfId="8290"/>
    <cellStyle name="Ênfase3 2 17" xfId="8291"/>
    <cellStyle name="Ênfase3 2 18" xfId="8292"/>
    <cellStyle name="Ênfase3 2 19" xfId="8293"/>
    <cellStyle name="Ênfase3 2 2" xfId="8294"/>
    <cellStyle name="Ênfase3 2 20" xfId="8295"/>
    <cellStyle name="Ênfase3 2 21" xfId="8296"/>
    <cellStyle name="Ênfase3 2 22" xfId="8297"/>
    <cellStyle name="Ênfase3 2 23" xfId="8298"/>
    <cellStyle name="Ênfase3 2 24" xfId="8299"/>
    <cellStyle name="Ênfase3 2 25" xfId="8300"/>
    <cellStyle name="Ênfase3 2 26" xfId="8301"/>
    <cellStyle name="Ênfase3 2 27" xfId="8302"/>
    <cellStyle name="Ênfase3 2 28" xfId="8303"/>
    <cellStyle name="Ênfase3 2 29" xfId="8304"/>
    <cellStyle name="Ênfase3 2 3" xfId="8305"/>
    <cellStyle name="Ênfase3 2 30" xfId="8306"/>
    <cellStyle name="Ênfase3 2 31" xfId="8307"/>
    <cellStyle name="Ênfase3 2 32" xfId="8308"/>
    <cellStyle name="Ênfase3 2 33" xfId="8309"/>
    <cellStyle name="Ênfase3 2 34" xfId="8310"/>
    <cellStyle name="Ênfase3 2 35" xfId="8311"/>
    <cellStyle name="Ênfase3 2 4" xfId="8312"/>
    <cellStyle name="Ênfase3 2 5" xfId="8313"/>
    <cellStyle name="Ênfase3 2 6" xfId="8314"/>
    <cellStyle name="Ênfase3 2 7" xfId="8315"/>
    <cellStyle name="Ênfase3 2 8" xfId="8316"/>
    <cellStyle name="Ênfase3 2 8 2" xfId="8317"/>
    <cellStyle name="Ênfase3 2 8 3" xfId="8318"/>
    <cellStyle name="Ênfase3 2 8 4" xfId="8319"/>
    <cellStyle name="Ênfase3 2 8 5" xfId="8320"/>
    <cellStyle name="Ênfase3 2 8 6" xfId="8321"/>
    <cellStyle name="Ênfase3 2 8 7" xfId="8322"/>
    <cellStyle name="Ênfase3 2 9" xfId="8323"/>
    <cellStyle name="Ênfase3 2 9 2" xfId="8324"/>
    <cellStyle name="Ênfase3 2 9 3" xfId="8325"/>
    <cellStyle name="Ênfase3 2 9 4" xfId="8326"/>
    <cellStyle name="Ênfase3 2 9 5" xfId="8327"/>
    <cellStyle name="Ênfase3 2 9 6" xfId="8328"/>
    <cellStyle name="Ênfase3 2 9 7" xfId="8329"/>
    <cellStyle name="Ênfase3 20" xfId="8330"/>
    <cellStyle name="Ênfase3 20 2" xfId="8331"/>
    <cellStyle name="Ênfase3 20 3" xfId="8332"/>
    <cellStyle name="Ênfase3 21" xfId="8333"/>
    <cellStyle name="Ênfase3 22" xfId="8334"/>
    <cellStyle name="Ênfase3 23" xfId="8335"/>
    <cellStyle name="Ênfase3 24" xfId="8336"/>
    <cellStyle name="Ênfase3 24 2" xfId="40950"/>
    <cellStyle name="Ênfase3 25" xfId="8337"/>
    <cellStyle name="Ênfase3 25 2" xfId="40985"/>
    <cellStyle name="Ênfase3 26" xfId="8338"/>
    <cellStyle name="Ênfase3 26 10" xfId="8339"/>
    <cellStyle name="Ênfase3 26 11" xfId="8340"/>
    <cellStyle name="Ênfase3 26 12" xfId="8341"/>
    <cellStyle name="Ênfase3 26 13" xfId="8342"/>
    <cellStyle name="Ênfase3 26 14" xfId="8343"/>
    <cellStyle name="Ênfase3 26 15" xfId="8344"/>
    <cellStyle name="Ênfase3 26 16" xfId="8345"/>
    <cellStyle name="Ênfase3 26 2" xfId="8346"/>
    <cellStyle name="Ênfase3 26 3" xfId="8347"/>
    <cellStyle name="Ênfase3 26 4" xfId="8348"/>
    <cellStyle name="Ênfase3 26 5" xfId="8349"/>
    <cellStyle name="Ênfase3 26 6" xfId="8350"/>
    <cellStyle name="Ênfase3 26 7" xfId="8351"/>
    <cellStyle name="Ênfase3 26 8" xfId="8352"/>
    <cellStyle name="Ênfase3 26 9" xfId="8353"/>
    <cellStyle name="Ênfase3 27" xfId="8354"/>
    <cellStyle name="Ênfase3 27 10" xfId="8355"/>
    <cellStyle name="Ênfase3 27 11" xfId="8356"/>
    <cellStyle name="Ênfase3 27 12" xfId="8357"/>
    <cellStyle name="Ênfase3 27 13" xfId="8358"/>
    <cellStyle name="Ênfase3 27 14" xfId="8359"/>
    <cellStyle name="Ênfase3 27 15" xfId="8360"/>
    <cellStyle name="Ênfase3 27 16" xfId="8361"/>
    <cellStyle name="Ênfase3 27 2" xfId="8362"/>
    <cellStyle name="Ênfase3 27 3" xfId="8363"/>
    <cellStyle name="Ênfase3 27 4" xfId="8364"/>
    <cellStyle name="Ênfase3 27 5" xfId="8365"/>
    <cellStyle name="Ênfase3 27 6" xfId="8366"/>
    <cellStyle name="Ênfase3 27 7" xfId="8367"/>
    <cellStyle name="Ênfase3 27 8" xfId="8368"/>
    <cellStyle name="Ênfase3 27 9" xfId="8369"/>
    <cellStyle name="Ênfase3 28" xfId="8370"/>
    <cellStyle name="Ênfase3 28 10" xfId="8371"/>
    <cellStyle name="Ênfase3 28 11" xfId="8372"/>
    <cellStyle name="Ênfase3 28 12" xfId="8373"/>
    <cellStyle name="Ênfase3 28 13" xfId="8374"/>
    <cellStyle name="Ênfase3 28 14" xfId="8375"/>
    <cellStyle name="Ênfase3 28 15" xfId="8376"/>
    <cellStyle name="Ênfase3 28 16" xfId="8377"/>
    <cellStyle name="Ênfase3 28 2" xfId="8378"/>
    <cellStyle name="Ênfase3 28 3" xfId="8379"/>
    <cellStyle name="Ênfase3 28 4" xfId="8380"/>
    <cellStyle name="Ênfase3 28 5" xfId="8381"/>
    <cellStyle name="Ênfase3 28 6" xfId="8382"/>
    <cellStyle name="Ênfase3 28 7" xfId="8383"/>
    <cellStyle name="Ênfase3 28 8" xfId="8384"/>
    <cellStyle name="Ênfase3 28 9" xfId="8385"/>
    <cellStyle name="Ênfase3 29" xfId="8386"/>
    <cellStyle name="Ênfase3 29 10" xfId="8387"/>
    <cellStyle name="Ênfase3 29 11" xfId="8388"/>
    <cellStyle name="Ênfase3 29 12" xfId="8389"/>
    <cellStyle name="Ênfase3 29 13" xfId="8390"/>
    <cellStyle name="Ênfase3 29 14" xfId="8391"/>
    <cellStyle name="Ênfase3 29 15" xfId="8392"/>
    <cellStyle name="Ênfase3 29 16" xfId="8393"/>
    <cellStyle name="Ênfase3 29 2" xfId="8394"/>
    <cellStyle name="Ênfase3 29 3" xfId="8395"/>
    <cellStyle name="Ênfase3 29 4" xfId="8396"/>
    <cellStyle name="Ênfase3 29 5" xfId="8397"/>
    <cellStyle name="Ênfase3 29 6" xfId="8398"/>
    <cellStyle name="Ênfase3 29 7" xfId="8399"/>
    <cellStyle name="Ênfase3 29 8" xfId="8400"/>
    <cellStyle name="Ênfase3 29 9" xfId="8401"/>
    <cellStyle name="Ênfase3 3" xfId="8402"/>
    <cellStyle name="Ênfase3 3 10" xfId="8403"/>
    <cellStyle name="Ênfase3 3 11" xfId="8404"/>
    <cellStyle name="Ênfase3 3 2" xfId="8405"/>
    <cellStyle name="Ênfase3 3 3" xfId="8406"/>
    <cellStyle name="Ênfase3 3 4" xfId="8407"/>
    <cellStyle name="Ênfase3 3 5" xfId="8408"/>
    <cellStyle name="Ênfase3 3 6" xfId="8409"/>
    <cellStyle name="Ênfase3 3 7" xfId="8410"/>
    <cellStyle name="Ênfase3 3 8" xfId="8411"/>
    <cellStyle name="Ênfase3 3 9" xfId="8412"/>
    <cellStyle name="Ênfase3 30" xfId="8413"/>
    <cellStyle name="Ênfase3 31" xfId="8414"/>
    <cellStyle name="Ênfase3 32" xfId="8415"/>
    <cellStyle name="Ênfase3 33" xfId="8416"/>
    <cellStyle name="Ênfase3 34" xfId="8417"/>
    <cellStyle name="Ênfase3 35" xfId="8418"/>
    <cellStyle name="Ênfase3 36" xfId="8419"/>
    <cellStyle name="Ênfase3 37" xfId="8420"/>
    <cellStyle name="Ênfase3 38" xfId="8421"/>
    <cellStyle name="Ênfase3 39" xfId="8422"/>
    <cellStyle name="Ênfase3 4" xfId="8423"/>
    <cellStyle name="Ênfase3 4 10" xfId="8424"/>
    <cellStyle name="Ênfase3 4 11" xfId="8425"/>
    <cellStyle name="Ênfase3 4 2" xfId="8426"/>
    <cellStyle name="Ênfase3 4 3" xfId="8427"/>
    <cellStyle name="Ênfase3 4 4" xfId="8428"/>
    <cellStyle name="Ênfase3 4 5" xfId="8429"/>
    <cellStyle name="Ênfase3 4 6" xfId="8430"/>
    <cellStyle name="Ênfase3 4 7" xfId="8431"/>
    <cellStyle name="Ênfase3 4 8" xfId="8432"/>
    <cellStyle name="Ênfase3 4 9" xfId="8433"/>
    <cellStyle name="Ênfase3 40" xfId="8434"/>
    <cellStyle name="Ênfase3 41" xfId="8435"/>
    <cellStyle name="Ênfase3 42" xfId="8436"/>
    <cellStyle name="Ênfase3 43" xfId="8437"/>
    <cellStyle name="Ênfase3 44" xfId="8438"/>
    <cellStyle name="Ênfase3 45" xfId="8439"/>
    <cellStyle name="Ênfase3 46" xfId="8440"/>
    <cellStyle name="Ênfase3 47" xfId="8441"/>
    <cellStyle name="Ênfase3 48" xfId="8442"/>
    <cellStyle name="Ênfase3 49" xfId="8443"/>
    <cellStyle name="Ênfase3 5" xfId="8444"/>
    <cellStyle name="Ênfase3 5 2" xfId="8445"/>
    <cellStyle name="Ênfase3 5 3" xfId="8446"/>
    <cellStyle name="Ênfase3 5 4" xfId="8447"/>
    <cellStyle name="Ênfase3 50" xfId="8448"/>
    <cellStyle name="Ênfase3 51" xfId="8449"/>
    <cellStyle name="Ênfase3 52" xfId="8450"/>
    <cellStyle name="Ênfase3 53" xfId="8451"/>
    <cellStyle name="Ênfase3 54" xfId="8452"/>
    <cellStyle name="Ênfase3 55" xfId="8453"/>
    <cellStyle name="Ênfase3 56" xfId="8454"/>
    <cellStyle name="Ênfase3 57" xfId="8455"/>
    <cellStyle name="Ênfase3 58" xfId="8456"/>
    <cellStyle name="Ênfase3 59" xfId="8457"/>
    <cellStyle name="Ênfase3 6" xfId="8458"/>
    <cellStyle name="Ênfase3 6 2" xfId="8459"/>
    <cellStyle name="Ênfase3 6 3" xfId="8460"/>
    <cellStyle name="Ênfase3 6 4" xfId="8461"/>
    <cellStyle name="Ênfase3 60" xfId="8462"/>
    <cellStyle name="Ênfase3 61" xfId="8463"/>
    <cellStyle name="Ênfase3 62" xfId="8464"/>
    <cellStyle name="Ênfase3 63" xfId="8465"/>
    <cellStyle name="Ênfase3 64" xfId="8466"/>
    <cellStyle name="Ênfase3 65" xfId="8467"/>
    <cellStyle name="Ênfase3 66" xfId="8468"/>
    <cellStyle name="Ênfase3 67" xfId="8469"/>
    <cellStyle name="Ênfase3 68" xfId="8470"/>
    <cellStyle name="Ênfase3 69" xfId="8471"/>
    <cellStyle name="Ênfase3 7" xfId="8472"/>
    <cellStyle name="Ênfase3 7 2" xfId="8473"/>
    <cellStyle name="Ênfase3 7 3" xfId="8474"/>
    <cellStyle name="Ênfase3 7 4" xfId="8475"/>
    <cellStyle name="Ênfase3 70" xfId="8476"/>
    <cellStyle name="Ênfase3 71" xfId="8477"/>
    <cellStyle name="Ênfase3 72" xfId="8478"/>
    <cellStyle name="Ênfase3 73" xfId="8479"/>
    <cellStyle name="Ênfase3 74" xfId="8480"/>
    <cellStyle name="Ênfase3 75" xfId="8481"/>
    <cellStyle name="Ênfase3 76" xfId="8482"/>
    <cellStyle name="Ênfase3 77" xfId="8483"/>
    <cellStyle name="Ênfase3 78" xfId="8484"/>
    <cellStyle name="Ênfase3 79" xfId="8485"/>
    <cellStyle name="Ênfase3 8" xfId="8486"/>
    <cellStyle name="Ênfase3 8 2" xfId="8487"/>
    <cellStyle name="Ênfase3 8 3" xfId="8488"/>
    <cellStyle name="Ênfase3 8 4" xfId="8489"/>
    <cellStyle name="Ênfase3 80" xfId="8490"/>
    <cellStyle name="Ênfase3 81" xfId="8491"/>
    <cellStyle name="Ênfase3 82" xfId="8492"/>
    <cellStyle name="Ênfase3 83" xfId="8493"/>
    <cellStyle name="Ênfase3 84" xfId="8494"/>
    <cellStyle name="Ênfase3 85" xfId="8495"/>
    <cellStyle name="Ênfase3 86" xfId="8496"/>
    <cellStyle name="Ênfase3 87" xfId="8497"/>
    <cellStyle name="Ênfase3 88" xfId="8498"/>
    <cellStyle name="Ênfase3 89" xfId="8499"/>
    <cellStyle name="Ênfase3 9" xfId="8500"/>
    <cellStyle name="Ênfase3 90" xfId="8501"/>
    <cellStyle name="Ênfase3 91" xfId="8502"/>
    <cellStyle name="Ênfase3 92" xfId="8503"/>
    <cellStyle name="Ênfase3 93" xfId="8504"/>
    <cellStyle name="Ênfase3 94" xfId="8505"/>
    <cellStyle name="Ênfase3 95" xfId="8506"/>
    <cellStyle name="Ênfase3 96" xfId="8507"/>
    <cellStyle name="Ênfase3 97" xfId="8508"/>
    <cellStyle name="Ênfase3 98" xfId="8509"/>
    <cellStyle name="Ênfase3 99" xfId="8510"/>
    <cellStyle name="Ênfase4 10" xfId="8511"/>
    <cellStyle name="Ênfase4 10 2" xfId="40587"/>
    <cellStyle name="Ênfase4 100" xfId="8512"/>
    <cellStyle name="Ênfase4 101" xfId="8513"/>
    <cellStyle name="Ênfase4 102" xfId="8514"/>
    <cellStyle name="Ênfase4 103" xfId="8515"/>
    <cellStyle name="Ênfase4 104" xfId="8516"/>
    <cellStyle name="Ênfase4 105" xfId="8517"/>
    <cellStyle name="Ênfase4 106" xfId="8518"/>
    <cellStyle name="Ênfase4 107" xfId="8519"/>
    <cellStyle name="Ênfase4 108" xfId="8520"/>
    <cellStyle name="Ênfase4 109" xfId="8521"/>
    <cellStyle name="Ênfase4 11" xfId="8522"/>
    <cellStyle name="Ênfase4 11 2" xfId="40588"/>
    <cellStyle name="Ênfase4 110" xfId="8523"/>
    <cellStyle name="Ênfase4 111" xfId="8524"/>
    <cellStyle name="Ênfase4 112" xfId="8525"/>
    <cellStyle name="Ênfase4 113" xfId="8526"/>
    <cellStyle name="Ênfase4 114" xfId="8527"/>
    <cellStyle name="Ênfase4 115" xfId="8528"/>
    <cellStyle name="Ênfase4 116" xfId="8529"/>
    <cellStyle name="Ênfase4 117" xfId="8530"/>
    <cellStyle name="Ênfase4 118" xfId="8531"/>
    <cellStyle name="Ênfase4 119" xfId="8532"/>
    <cellStyle name="Ênfase4 12" xfId="8533"/>
    <cellStyle name="Ênfase4 12 2" xfId="40589"/>
    <cellStyle name="Ênfase4 120" xfId="8534"/>
    <cellStyle name="Ênfase4 121" xfId="8535"/>
    <cellStyle name="Ênfase4 122" xfId="8536"/>
    <cellStyle name="Ênfase4 123" xfId="8537"/>
    <cellStyle name="Ênfase4 124" xfId="8538"/>
    <cellStyle name="Ênfase4 125" xfId="8539"/>
    <cellStyle name="Ênfase4 126" xfId="8540"/>
    <cellStyle name="Ênfase4 127" xfId="8541"/>
    <cellStyle name="Ênfase4 128" xfId="8542"/>
    <cellStyle name="Ênfase4 129" xfId="8543"/>
    <cellStyle name="Ênfase4 13" xfId="8544"/>
    <cellStyle name="Ênfase4 13 2" xfId="40590"/>
    <cellStyle name="Ênfase4 130" xfId="8545"/>
    <cellStyle name="Ênfase4 131" xfId="8546"/>
    <cellStyle name="Ênfase4 132" xfId="8547"/>
    <cellStyle name="Ênfase4 133" xfId="8548"/>
    <cellStyle name="Ênfase4 134" xfId="8549"/>
    <cellStyle name="Ênfase4 135" xfId="8550"/>
    <cellStyle name="Ênfase4 136" xfId="8551"/>
    <cellStyle name="Ênfase4 137" xfId="8552"/>
    <cellStyle name="Ênfase4 138" xfId="8553"/>
    <cellStyle name="Ênfase4 139" xfId="8554"/>
    <cellStyle name="Ênfase4 14" xfId="8555"/>
    <cellStyle name="Ênfase4 140" xfId="8556"/>
    <cellStyle name="Ênfase4 141" xfId="8557"/>
    <cellStyle name="Ênfase4 142" xfId="8558"/>
    <cellStyle name="Ênfase4 143" xfId="8559"/>
    <cellStyle name="Ênfase4 144" xfId="8560"/>
    <cellStyle name="Ênfase4 145" xfId="8561"/>
    <cellStyle name="Ênfase4 146" xfId="8562"/>
    <cellStyle name="Ênfase4 147" xfId="8563"/>
    <cellStyle name="Ênfase4 148" xfId="8564"/>
    <cellStyle name="Ênfase4 149" xfId="8565"/>
    <cellStyle name="Ênfase4 15" xfId="8566"/>
    <cellStyle name="Ênfase4 15 2" xfId="8567"/>
    <cellStyle name="Ênfase4 15 3" xfId="8568"/>
    <cellStyle name="Ênfase4 150" xfId="8569"/>
    <cellStyle name="Ênfase4 151" xfId="8570"/>
    <cellStyle name="Ênfase4 152" xfId="8571"/>
    <cellStyle name="Ênfase4 153" xfId="8572"/>
    <cellStyle name="Ênfase4 154" xfId="8573"/>
    <cellStyle name="Ênfase4 155" xfId="8574"/>
    <cellStyle name="Ênfase4 156" xfId="8575"/>
    <cellStyle name="Ênfase4 157" xfId="8576"/>
    <cellStyle name="Ênfase4 158" xfId="8577"/>
    <cellStyle name="Ênfase4 159" xfId="8578"/>
    <cellStyle name="Ênfase4 16" xfId="8579"/>
    <cellStyle name="Ênfase4 16 2" xfId="8580"/>
    <cellStyle name="Ênfase4 16 3" xfId="8581"/>
    <cellStyle name="Ênfase4 160" xfId="8582"/>
    <cellStyle name="Ênfase4 161" xfId="8583"/>
    <cellStyle name="Ênfase4 162" xfId="8584"/>
    <cellStyle name="Ênfase4 163" xfId="8585"/>
    <cellStyle name="Ênfase4 164" xfId="8586"/>
    <cellStyle name="Ênfase4 165" xfId="8587"/>
    <cellStyle name="Ênfase4 166" xfId="8588"/>
    <cellStyle name="Ênfase4 167" xfId="8589"/>
    <cellStyle name="Ênfase4 168" xfId="8590"/>
    <cellStyle name="Ênfase4 169" xfId="8591"/>
    <cellStyle name="Ênfase4 17" xfId="8592"/>
    <cellStyle name="Ênfase4 17 2" xfId="8593"/>
    <cellStyle name="Ênfase4 17 3" xfId="8594"/>
    <cellStyle name="Ênfase4 170" xfId="8595"/>
    <cellStyle name="Ênfase4 171" xfId="8596"/>
    <cellStyle name="Ênfase4 172" xfId="8597"/>
    <cellStyle name="Ênfase4 173" xfId="8598"/>
    <cellStyle name="Ênfase4 174" xfId="8599"/>
    <cellStyle name="Ênfase4 175" xfId="8600"/>
    <cellStyle name="Ênfase4 176" xfId="8601"/>
    <cellStyle name="Ênfase4 177" xfId="8602"/>
    <cellStyle name="Ênfase4 178" xfId="8603"/>
    <cellStyle name="Ênfase4 179" xfId="8604"/>
    <cellStyle name="Ênfase4 18" xfId="8605"/>
    <cellStyle name="Ênfase4 18 2" xfId="8606"/>
    <cellStyle name="Ênfase4 18 3" xfId="8607"/>
    <cellStyle name="Ênfase4 180" xfId="8608"/>
    <cellStyle name="Ênfase4 181" xfId="8609"/>
    <cellStyle name="Ênfase4 182" xfId="8610"/>
    <cellStyle name="Ênfase4 183" xfId="8611"/>
    <cellStyle name="Ênfase4 184" xfId="8612"/>
    <cellStyle name="Ênfase4 185" xfId="8613"/>
    <cellStyle name="Ênfase4 186" xfId="8614"/>
    <cellStyle name="Ênfase4 187" xfId="8615"/>
    <cellStyle name="Ênfase4 188" xfId="8616"/>
    <cellStyle name="Ênfase4 189" xfId="8617"/>
    <cellStyle name="Ênfase4 19" xfId="8618"/>
    <cellStyle name="Ênfase4 19 2" xfId="8619"/>
    <cellStyle name="Ênfase4 19 3" xfId="8620"/>
    <cellStyle name="Ênfase4 190" xfId="8621"/>
    <cellStyle name="Ênfase4 2" xfId="8622"/>
    <cellStyle name="Ênfase4 2 10" xfId="8623"/>
    <cellStyle name="Ênfase4 2 10 2" xfId="8624"/>
    <cellStyle name="Ênfase4 2 10 3" xfId="8625"/>
    <cellStyle name="Ênfase4 2 10 4" xfId="8626"/>
    <cellStyle name="Ênfase4 2 10 5" xfId="8627"/>
    <cellStyle name="Ênfase4 2 10 6" xfId="8628"/>
    <cellStyle name="Ênfase4 2 10 7" xfId="8629"/>
    <cellStyle name="Ênfase4 2 11" xfId="8630"/>
    <cellStyle name="Ênfase4 2 11 2" xfId="8631"/>
    <cellStyle name="Ênfase4 2 11 3" xfId="8632"/>
    <cellStyle name="Ênfase4 2 11 4" xfId="8633"/>
    <cellStyle name="Ênfase4 2 11 5" xfId="8634"/>
    <cellStyle name="Ênfase4 2 11 6" xfId="8635"/>
    <cellStyle name="Ênfase4 2 11 7" xfId="8636"/>
    <cellStyle name="Ênfase4 2 12" xfId="8637"/>
    <cellStyle name="Ênfase4 2 13" xfId="8638"/>
    <cellStyle name="Ênfase4 2 14" xfId="8639"/>
    <cellStyle name="Ênfase4 2 15" xfId="8640"/>
    <cellStyle name="Ênfase4 2 16" xfId="8641"/>
    <cellStyle name="Ênfase4 2 17" xfId="8642"/>
    <cellStyle name="Ênfase4 2 18" xfId="8643"/>
    <cellStyle name="Ênfase4 2 19" xfId="8644"/>
    <cellStyle name="Ênfase4 2 2" xfId="8645"/>
    <cellStyle name="Ênfase4 2 20" xfId="8646"/>
    <cellStyle name="Ênfase4 2 21" xfId="8647"/>
    <cellStyle name="Ênfase4 2 22" xfId="8648"/>
    <cellStyle name="Ênfase4 2 23" xfId="8649"/>
    <cellStyle name="Ênfase4 2 24" xfId="8650"/>
    <cellStyle name="Ênfase4 2 25" xfId="8651"/>
    <cellStyle name="Ênfase4 2 26" xfId="8652"/>
    <cellStyle name="Ênfase4 2 27" xfId="8653"/>
    <cellStyle name="Ênfase4 2 28" xfId="8654"/>
    <cellStyle name="Ênfase4 2 29" xfId="8655"/>
    <cellStyle name="Ênfase4 2 3" xfId="8656"/>
    <cellStyle name="Ênfase4 2 30" xfId="8657"/>
    <cellStyle name="Ênfase4 2 31" xfId="8658"/>
    <cellStyle name="Ênfase4 2 32" xfId="8659"/>
    <cellStyle name="Ênfase4 2 33" xfId="8660"/>
    <cellStyle name="Ênfase4 2 34" xfId="8661"/>
    <cellStyle name="Ênfase4 2 35" xfId="8662"/>
    <cellStyle name="Ênfase4 2 4" xfId="8663"/>
    <cellStyle name="Ênfase4 2 5" xfId="8664"/>
    <cellStyle name="Ênfase4 2 6" xfId="8665"/>
    <cellStyle name="Ênfase4 2 7" xfId="8666"/>
    <cellStyle name="Ênfase4 2 8" xfId="8667"/>
    <cellStyle name="Ênfase4 2 8 2" xfId="8668"/>
    <cellStyle name="Ênfase4 2 8 3" xfId="8669"/>
    <cellStyle name="Ênfase4 2 8 4" xfId="8670"/>
    <cellStyle name="Ênfase4 2 8 5" xfId="8671"/>
    <cellStyle name="Ênfase4 2 8 6" xfId="8672"/>
    <cellStyle name="Ênfase4 2 8 7" xfId="8673"/>
    <cellStyle name="Ênfase4 2 9" xfId="8674"/>
    <cellStyle name="Ênfase4 2 9 2" xfId="8675"/>
    <cellStyle name="Ênfase4 2 9 3" xfId="8676"/>
    <cellStyle name="Ênfase4 2 9 4" xfId="8677"/>
    <cellStyle name="Ênfase4 2 9 5" xfId="8678"/>
    <cellStyle name="Ênfase4 2 9 6" xfId="8679"/>
    <cellStyle name="Ênfase4 2 9 7" xfId="8680"/>
    <cellStyle name="Ênfase4 20" xfId="8681"/>
    <cellStyle name="Ênfase4 20 2" xfId="8682"/>
    <cellStyle name="Ênfase4 20 3" xfId="8683"/>
    <cellStyle name="Ênfase4 21" xfId="8684"/>
    <cellStyle name="Ênfase4 22" xfId="8685"/>
    <cellStyle name="Ênfase4 23" xfId="8686"/>
    <cellStyle name="Ênfase4 24" xfId="8687"/>
    <cellStyle name="Ênfase4 24 2" xfId="40951"/>
    <cellStyle name="Ênfase4 25" xfId="8688"/>
    <cellStyle name="Ênfase4 25 2" xfId="40986"/>
    <cellStyle name="Ênfase4 26" xfId="8689"/>
    <cellStyle name="Ênfase4 26 10" xfId="8690"/>
    <cellStyle name="Ênfase4 26 11" xfId="8691"/>
    <cellStyle name="Ênfase4 26 12" xfId="8692"/>
    <cellStyle name="Ênfase4 26 13" xfId="8693"/>
    <cellStyle name="Ênfase4 26 14" xfId="8694"/>
    <cellStyle name="Ênfase4 26 15" xfId="8695"/>
    <cellStyle name="Ênfase4 26 16" xfId="8696"/>
    <cellStyle name="Ênfase4 26 2" xfId="8697"/>
    <cellStyle name="Ênfase4 26 3" xfId="8698"/>
    <cellStyle name="Ênfase4 26 4" xfId="8699"/>
    <cellStyle name="Ênfase4 26 5" xfId="8700"/>
    <cellStyle name="Ênfase4 26 6" xfId="8701"/>
    <cellStyle name="Ênfase4 26 7" xfId="8702"/>
    <cellStyle name="Ênfase4 26 8" xfId="8703"/>
    <cellStyle name="Ênfase4 26 9" xfId="8704"/>
    <cellStyle name="Ênfase4 27" xfId="8705"/>
    <cellStyle name="Ênfase4 27 10" xfId="8706"/>
    <cellStyle name="Ênfase4 27 11" xfId="8707"/>
    <cellStyle name="Ênfase4 27 12" xfId="8708"/>
    <cellStyle name="Ênfase4 27 13" xfId="8709"/>
    <cellStyle name="Ênfase4 27 14" xfId="8710"/>
    <cellStyle name="Ênfase4 27 15" xfId="8711"/>
    <cellStyle name="Ênfase4 27 16" xfId="8712"/>
    <cellStyle name="Ênfase4 27 2" xfId="8713"/>
    <cellStyle name="Ênfase4 27 3" xfId="8714"/>
    <cellStyle name="Ênfase4 27 4" xfId="8715"/>
    <cellStyle name="Ênfase4 27 5" xfId="8716"/>
    <cellStyle name="Ênfase4 27 6" xfId="8717"/>
    <cellStyle name="Ênfase4 27 7" xfId="8718"/>
    <cellStyle name="Ênfase4 27 8" xfId="8719"/>
    <cellStyle name="Ênfase4 27 9" xfId="8720"/>
    <cellStyle name="Ênfase4 28" xfId="8721"/>
    <cellStyle name="Ênfase4 28 10" xfId="8722"/>
    <cellStyle name="Ênfase4 28 11" xfId="8723"/>
    <cellStyle name="Ênfase4 28 12" xfId="8724"/>
    <cellStyle name="Ênfase4 28 13" xfId="8725"/>
    <cellStyle name="Ênfase4 28 14" xfId="8726"/>
    <cellStyle name="Ênfase4 28 15" xfId="8727"/>
    <cellStyle name="Ênfase4 28 16" xfId="8728"/>
    <cellStyle name="Ênfase4 28 2" xfId="8729"/>
    <cellStyle name="Ênfase4 28 3" xfId="8730"/>
    <cellStyle name="Ênfase4 28 4" xfId="8731"/>
    <cellStyle name="Ênfase4 28 5" xfId="8732"/>
    <cellStyle name="Ênfase4 28 6" xfId="8733"/>
    <cellStyle name="Ênfase4 28 7" xfId="8734"/>
    <cellStyle name="Ênfase4 28 8" xfId="8735"/>
    <cellStyle name="Ênfase4 28 9" xfId="8736"/>
    <cellStyle name="Ênfase4 29" xfId="8737"/>
    <cellStyle name="Ênfase4 29 10" xfId="8738"/>
    <cellStyle name="Ênfase4 29 11" xfId="8739"/>
    <cellStyle name="Ênfase4 29 12" xfId="8740"/>
    <cellStyle name="Ênfase4 29 13" xfId="8741"/>
    <cellStyle name="Ênfase4 29 14" xfId="8742"/>
    <cellStyle name="Ênfase4 29 15" xfId="8743"/>
    <cellStyle name="Ênfase4 29 16" xfId="8744"/>
    <cellStyle name="Ênfase4 29 2" xfId="8745"/>
    <cellStyle name="Ênfase4 29 3" xfId="8746"/>
    <cellStyle name="Ênfase4 29 4" xfId="8747"/>
    <cellStyle name="Ênfase4 29 5" xfId="8748"/>
    <cellStyle name="Ênfase4 29 6" xfId="8749"/>
    <cellStyle name="Ênfase4 29 7" xfId="8750"/>
    <cellStyle name="Ênfase4 29 8" xfId="8751"/>
    <cellStyle name="Ênfase4 29 9" xfId="8752"/>
    <cellStyle name="Ênfase4 3" xfId="8753"/>
    <cellStyle name="Ênfase4 3 10" xfId="8754"/>
    <cellStyle name="Ênfase4 3 11" xfId="8755"/>
    <cellStyle name="Ênfase4 3 2" xfId="8756"/>
    <cellStyle name="Ênfase4 3 3" xfId="8757"/>
    <cellStyle name="Ênfase4 3 4" xfId="8758"/>
    <cellStyle name="Ênfase4 3 5" xfId="8759"/>
    <cellStyle name="Ênfase4 3 6" xfId="8760"/>
    <cellStyle name="Ênfase4 3 7" xfId="8761"/>
    <cellStyle name="Ênfase4 3 8" xfId="8762"/>
    <cellStyle name="Ênfase4 3 9" xfId="8763"/>
    <cellStyle name="Ênfase4 30" xfId="8764"/>
    <cellStyle name="Ênfase4 31" xfId="8765"/>
    <cellStyle name="Ênfase4 32" xfId="8766"/>
    <cellStyle name="Ênfase4 33" xfId="8767"/>
    <cellStyle name="Ênfase4 34" xfId="8768"/>
    <cellStyle name="Ênfase4 35" xfId="8769"/>
    <cellStyle name="Ênfase4 36" xfId="8770"/>
    <cellStyle name="Ênfase4 37" xfId="8771"/>
    <cellStyle name="Ênfase4 38" xfId="8772"/>
    <cellStyle name="Ênfase4 39" xfId="8773"/>
    <cellStyle name="Ênfase4 4" xfId="8774"/>
    <cellStyle name="Ênfase4 4 10" xfId="8775"/>
    <cellStyle name="Ênfase4 4 11" xfId="8776"/>
    <cellStyle name="Ênfase4 4 2" xfId="8777"/>
    <cellStyle name="Ênfase4 4 3" xfId="8778"/>
    <cellStyle name="Ênfase4 4 4" xfId="8779"/>
    <cellStyle name="Ênfase4 4 5" xfId="8780"/>
    <cellStyle name="Ênfase4 4 6" xfId="8781"/>
    <cellStyle name="Ênfase4 4 7" xfId="8782"/>
    <cellStyle name="Ênfase4 4 8" xfId="8783"/>
    <cellStyle name="Ênfase4 4 9" xfId="8784"/>
    <cellStyle name="Ênfase4 40" xfId="8785"/>
    <cellStyle name="Ênfase4 41" xfId="8786"/>
    <cellStyle name="Ênfase4 42" xfId="8787"/>
    <cellStyle name="Ênfase4 43" xfId="8788"/>
    <cellStyle name="Ênfase4 44" xfId="8789"/>
    <cellStyle name="Ênfase4 45" xfId="8790"/>
    <cellStyle name="Ênfase4 46" xfId="8791"/>
    <cellStyle name="Ênfase4 47" xfId="8792"/>
    <cellStyle name="Ênfase4 48" xfId="8793"/>
    <cellStyle name="Ênfase4 49" xfId="8794"/>
    <cellStyle name="Ênfase4 5" xfId="8795"/>
    <cellStyle name="Ênfase4 5 2" xfId="8796"/>
    <cellStyle name="Ênfase4 5 3" xfId="8797"/>
    <cellStyle name="Ênfase4 5 4" xfId="8798"/>
    <cellStyle name="Ênfase4 50" xfId="8799"/>
    <cellStyle name="Ênfase4 51" xfId="8800"/>
    <cellStyle name="Ênfase4 52" xfId="8801"/>
    <cellStyle name="Ênfase4 53" xfId="8802"/>
    <cellStyle name="Ênfase4 54" xfId="8803"/>
    <cellStyle name="Ênfase4 55" xfId="8804"/>
    <cellStyle name="Ênfase4 56" xfId="8805"/>
    <cellStyle name="Ênfase4 57" xfId="8806"/>
    <cellStyle name="Ênfase4 58" xfId="8807"/>
    <cellStyle name="Ênfase4 59" xfId="8808"/>
    <cellStyle name="Ênfase4 6" xfId="8809"/>
    <cellStyle name="Ênfase4 6 2" xfId="8810"/>
    <cellStyle name="Ênfase4 6 3" xfId="8811"/>
    <cellStyle name="Ênfase4 6 4" xfId="8812"/>
    <cellStyle name="Ênfase4 60" xfId="8813"/>
    <cellStyle name="Ênfase4 61" xfId="8814"/>
    <cellStyle name="Ênfase4 62" xfId="8815"/>
    <cellStyle name="Ênfase4 63" xfId="8816"/>
    <cellStyle name="Ênfase4 64" xfId="8817"/>
    <cellStyle name="Ênfase4 65" xfId="8818"/>
    <cellStyle name="Ênfase4 66" xfId="8819"/>
    <cellStyle name="Ênfase4 67" xfId="8820"/>
    <cellStyle name="Ênfase4 68" xfId="8821"/>
    <cellStyle name="Ênfase4 69" xfId="8822"/>
    <cellStyle name="Ênfase4 7" xfId="8823"/>
    <cellStyle name="Ênfase4 7 2" xfId="8824"/>
    <cellStyle name="Ênfase4 7 3" xfId="8825"/>
    <cellStyle name="Ênfase4 7 4" xfId="8826"/>
    <cellStyle name="Ênfase4 70" xfId="8827"/>
    <cellStyle name="Ênfase4 71" xfId="8828"/>
    <cellStyle name="Ênfase4 72" xfId="8829"/>
    <cellStyle name="Ênfase4 73" xfId="8830"/>
    <cellStyle name="Ênfase4 74" xfId="8831"/>
    <cellStyle name="Ênfase4 75" xfId="8832"/>
    <cellStyle name="Ênfase4 76" xfId="8833"/>
    <cellStyle name="Ênfase4 77" xfId="8834"/>
    <cellStyle name="Ênfase4 78" xfId="8835"/>
    <cellStyle name="Ênfase4 79" xfId="8836"/>
    <cellStyle name="Ênfase4 8" xfId="8837"/>
    <cellStyle name="Ênfase4 8 2" xfId="8838"/>
    <cellStyle name="Ênfase4 8 3" xfId="8839"/>
    <cellStyle name="Ênfase4 8 4" xfId="8840"/>
    <cellStyle name="Ênfase4 80" xfId="8841"/>
    <cellStyle name="Ênfase4 81" xfId="8842"/>
    <cellStyle name="Ênfase4 82" xfId="8843"/>
    <cellStyle name="Ênfase4 83" xfId="8844"/>
    <cellStyle name="Ênfase4 84" xfId="8845"/>
    <cellStyle name="Ênfase4 85" xfId="8846"/>
    <cellStyle name="Ênfase4 86" xfId="8847"/>
    <cellStyle name="Ênfase4 87" xfId="8848"/>
    <cellStyle name="Ênfase4 88" xfId="8849"/>
    <cellStyle name="Ênfase4 89" xfId="8850"/>
    <cellStyle name="Ênfase4 9" xfId="8851"/>
    <cellStyle name="Ênfase4 90" xfId="8852"/>
    <cellStyle name="Ênfase4 91" xfId="8853"/>
    <cellStyle name="Ênfase4 92" xfId="8854"/>
    <cellStyle name="Ênfase4 93" xfId="8855"/>
    <cellStyle name="Ênfase4 94" xfId="8856"/>
    <cellStyle name="Ênfase4 95" xfId="8857"/>
    <cellStyle name="Ênfase4 96" xfId="8858"/>
    <cellStyle name="Ênfase4 97" xfId="8859"/>
    <cellStyle name="Ênfase4 98" xfId="8860"/>
    <cellStyle name="Ênfase4 99" xfId="8861"/>
    <cellStyle name="Ênfase5 10" xfId="8862"/>
    <cellStyle name="Ênfase5 10 2" xfId="40591"/>
    <cellStyle name="Ênfase5 100" xfId="8863"/>
    <cellStyle name="Ênfase5 101" xfId="8864"/>
    <cellStyle name="Ênfase5 102" xfId="8865"/>
    <cellStyle name="Ênfase5 103" xfId="8866"/>
    <cellStyle name="Ênfase5 104" xfId="8867"/>
    <cellStyle name="Ênfase5 105" xfId="8868"/>
    <cellStyle name="Ênfase5 106" xfId="8869"/>
    <cellStyle name="Ênfase5 107" xfId="8870"/>
    <cellStyle name="Ênfase5 108" xfId="8871"/>
    <cellStyle name="Ênfase5 109" xfId="8872"/>
    <cellStyle name="Ênfase5 11" xfId="8873"/>
    <cellStyle name="Ênfase5 11 2" xfId="40592"/>
    <cellStyle name="Ênfase5 110" xfId="8874"/>
    <cellStyle name="Ênfase5 111" xfId="8875"/>
    <cellStyle name="Ênfase5 112" xfId="8876"/>
    <cellStyle name="Ênfase5 113" xfId="8877"/>
    <cellStyle name="Ênfase5 114" xfId="8878"/>
    <cellStyle name="Ênfase5 115" xfId="8879"/>
    <cellStyle name="Ênfase5 116" xfId="8880"/>
    <cellStyle name="Ênfase5 117" xfId="8881"/>
    <cellStyle name="Ênfase5 118" xfId="8882"/>
    <cellStyle name="Ênfase5 119" xfId="8883"/>
    <cellStyle name="Ênfase5 12" xfId="8884"/>
    <cellStyle name="Ênfase5 12 2" xfId="40593"/>
    <cellStyle name="Ênfase5 120" xfId="8885"/>
    <cellStyle name="Ênfase5 121" xfId="8886"/>
    <cellStyle name="Ênfase5 122" xfId="8887"/>
    <cellStyle name="Ênfase5 123" xfId="8888"/>
    <cellStyle name="Ênfase5 124" xfId="8889"/>
    <cellStyle name="Ênfase5 125" xfId="8890"/>
    <cellStyle name="Ênfase5 126" xfId="8891"/>
    <cellStyle name="Ênfase5 127" xfId="8892"/>
    <cellStyle name="Ênfase5 128" xfId="8893"/>
    <cellStyle name="Ênfase5 129" xfId="8894"/>
    <cellStyle name="Ênfase5 13" xfId="8895"/>
    <cellStyle name="Ênfase5 13 2" xfId="40594"/>
    <cellStyle name="Ênfase5 130" xfId="8896"/>
    <cellStyle name="Ênfase5 131" xfId="8897"/>
    <cellStyle name="Ênfase5 132" xfId="8898"/>
    <cellStyle name="Ênfase5 133" xfId="8899"/>
    <cellStyle name="Ênfase5 134" xfId="8900"/>
    <cellStyle name="Ênfase5 135" xfId="8901"/>
    <cellStyle name="Ênfase5 136" xfId="8902"/>
    <cellStyle name="Ênfase5 137" xfId="8903"/>
    <cellStyle name="Ênfase5 138" xfId="8904"/>
    <cellStyle name="Ênfase5 139" xfId="8905"/>
    <cellStyle name="Ênfase5 14" xfId="8906"/>
    <cellStyle name="Ênfase5 140" xfId="8907"/>
    <cellStyle name="Ênfase5 141" xfId="8908"/>
    <cellStyle name="Ênfase5 142" xfId="8909"/>
    <cellStyle name="Ênfase5 143" xfId="8910"/>
    <cellStyle name="Ênfase5 144" xfId="8911"/>
    <cellStyle name="Ênfase5 145" xfId="8912"/>
    <cellStyle name="Ênfase5 146" xfId="8913"/>
    <cellStyle name="Ênfase5 147" xfId="8914"/>
    <cellStyle name="Ênfase5 148" xfId="8915"/>
    <cellStyle name="Ênfase5 149" xfId="8916"/>
    <cellStyle name="Ênfase5 15" xfId="8917"/>
    <cellStyle name="Ênfase5 15 2" xfId="8918"/>
    <cellStyle name="Ênfase5 15 3" xfId="8919"/>
    <cellStyle name="Ênfase5 150" xfId="8920"/>
    <cellStyle name="Ênfase5 151" xfId="8921"/>
    <cellStyle name="Ênfase5 152" xfId="8922"/>
    <cellStyle name="Ênfase5 153" xfId="8923"/>
    <cellStyle name="Ênfase5 154" xfId="8924"/>
    <cellStyle name="Ênfase5 155" xfId="8925"/>
    <cellStyle name="Ênfase5 156" xfId="8926"/>
    <cellStyle name="Ênfase5 157" xfId="8927"/>
    <cellStyle name="Ênfase5 158" xfId="8928"/>
    <cellStyle name="Ênfase5 159" xfId="8929"/>
    <cellStyle name="Ênfase5 16" xfId="8930"/>
    <cellStyle name="Ênfase5 16 2" xfId="8931"/>
    <cellStyle name="Ênfase5 16 3" xfId="8932"/>
    <cellStyle name="Ênfase5 160" xfId="8933"/>
    <cellStyle name="Ênfase5 161" xfId="8934"/>
    <cellStyle name="Ênfase5 162" xfId="8935"/>
    <cellStyle name="Ênfase5 163" xfId="8936"/>
    <cellStyle name="Ênfase5 164" xfId="8937"/>
    <cellStyle name="Ênfase5 165" xfId="8938"/>
    <cellStyle name="Ênfase5 166" xfId="8939"/>
    <cellStyle name="Ênfase5 167" xfId="8940"/>
    <cellStyle name="Ênfase5 168" xfId="8941"/>
    <cellStyle name="Ênfase5 169" xfId="8942"/>
    <cellStyle name="Ênfase5 17" xfId="8943"/>
    <cellStyle name="Ênfase5 17 2" xfId="8944"/>
    <cellStyle name="Ênfase5 17 3" xfId="8945"/>
    <cellStyle name="Ênfase5 170" xfId="8946"/>
    <cellStyle name="Ênfase5 171" xfId="8947"/>
    <cellStyle name="Ênfase5 172" xfId="8948"/>
    <cellStyle name="Ênfase5 173" xfId="8949"/>
    <cellStyle name="Ênfase5 174" xfId="8950"/>
    <cellStyle name="Ênfase5 175" xfId="8951"/>
    <cellStyle name="Ênfase5 176" xfId="8952"/>
    <cellStyle name="Ênfase5 177" xfId="8953"/>
    <cellStyle name="Ênfase5 178" xfId="8954"/>
    <cellStyle name="Ênfase5 179" xfId="8955"/>
    <cellStyle name="Ênfase5 18" xfId="8956"/>
    <cellStyle name="Ênfase5 18 2" xfId="8957"/>
    <cellStyle name="Ênfase5 18 3" xfId="8958"/>
    <cellStyle name="Ênfase5 180" xfId="8959"/>
    <cellStyle name="Ênfase5 181" xfId="8960"/>
    <cellStyle name="Ênfase5 182" xfId="8961"/>
    <cellStyle name="Ênfase5 183" xfId="8962"/>
    <cellStyle name="Ênfase5 184" xfId="8963"/>
    <cellStyle name="Ênfase5 185" xfId="8964"/>
    <cellStyle name="Ênfase5 186" xfId="8965"/>
    <cellStyle name="Ênfase5 187" xfId="8966"/>
    <cellStyle name="Ênfase5 188" xfId="8967"/>
    <cellStyle name="Ênfase5 189" xfId="8968"/>
    <cellStyle name="Ênfase5 19" xfId="8969"/>
    <cellStyle name="Ênfase5 19 2" xfId="8970"/>
    <cellStyle name="Ênfase5 19 3" xfId="8971"/>
    <cellStyle name="Ênfase5 190" xfId="8972"/>
    <cellStyle name="Ênfase5 2" xfId="8973"/>
    <cellStyle name="Ênfase5 2 10" xfId="8974"/>
    <cellStyle name="Ênfase5 2 11" xfId="8975"/>
    <cellStyle name="Ênfase5 2 12" xfId="8976"/>
    <cellStyle name="Ênfase5 2 13" xfId="8977"/>
    <cellStyle name="Ênfase5 2 14" xfId="8978"/>
    <cellStyle name="Ênfase5 2 15" xfId="8979"/>
    <cellStyle name="Ênfase5 2 16" xfId="8980"/>
    <cellStyle name="Ênfase5 2 17" xfId="8981"/>
    <cellStyle name="Ênfase5 2 18" xfId="8982"/>
    <cellStyle name="Ênfase5 2 19" xfId="8983"/>
    <cellStyle name="Ênfase5 2 2" xfId="8984"/>
    <cellStyle name="Ênfase5 2 20" xfId="8985"/>
    <cellStyle name="Ênfase5 2 21" xfId="8986"/>
    <cellStyle name="Ênfase5 2 22" xfId="8987"/>
    <cellStyle name="Ênfase5 2 23" xfId="8988"/>
    <cellStyle name="Ênfase5 2 24" xfId="8989"/>
    <cellStyle name="Ênfase5 2 25" xfId="8990"/>
    <cellStyle name="Ênfase5 2 26" xfId="8991"/>
    <cellStyle name="Ênfase5 2 27" xfId="8992"/>
    <cellStyle name="Ênfase5 2 28" xfId="8993"/>
    <cellStyle name="Ênfase5 2 29" xfId="8994"/>
    <cellStyle name="Ênfase5 2 3" xfId="8995"/>
    <cellStyle name="Ênfase5 2 30" xfId="8996"/>
    <cellStyle name="Ênfase5 2 31" xfId="8997"/>
    <cellStyle name="Ênfase5 2 32" xfId="13"/>
    <cellStyle name="Ênfase5 2 32 2" xfId="29361"/>
    <cellStyle name="Ênfase5 2 33" xfId="8998"/>
    <cellStyle name="Ênfase5 2 34" xfId="8999"/>
    <cellStyle name="Ênfase5 2 35" xfId="9000"/>
    <cellStyle name="Ênfase5 2 4" xfId="9001"/>
    <cellStyle name="Ênfase5 2 5" xfId="9002"/>
    <cellStyle name="Ênfase5 2 6" xfId="9003"/>
    <cellStyle name="Ênfase5 2 7" xfId="9004"/>
    <cellStyle name="Ênfase5 2 8" xfId="9005"/>
    <cellStyle name="Ênfase5 2 9" xfId="9006"/>
    <cellStyle name="Ênfase5 20" xfId="9007"/>
    <cellStyle name="Ênfase5 20 2" xfId="9008"/>
    <cellStyle name="Ênfase5 20 3" xfId="9009"/>
    <cellStyle name="Ênfase5 21" xfId="9010"/>
    <cellStyle name="Ênfase5 22" xfId="9011"/>
    <cellStyle name="Ênfase5 23" xfId="9012"/>
    <cellStyle name="Ênfase5 24" xfId="9013"/>
    <cellStyle name="Ênfase5 25" xfId="9014"/>
    <cellStyle name="Ênfase5 26" xfId="9015"/>
    <cellStyle name="Ênfase5 27" xfId="9016"/>
    <cellStyle name="Ênfase5 28" xfId="9017"/>
    <cellStyle name="Ênfase5 29" xfId="9018"/>
    <cellStyle name="Ênfase5 3" xfId="9019"/>
    <cellStyle name="Ênfase5 3 2" xfId="9020"/>
    <cellStyle name="Ênfase5 3 3" xfId="9021"/>
    <cellStyle name="Ênfase5 3 4" xfId="9022"/>
    <cellStyle name="Ênfase5 3 5" xfId="9023"/>
    <cellStyle name="Ênfase5 3 6" xfId="9024"/>
    <cellStyle name="Ênfase5 3 7" xfId="9025"/>
    <cellStyle name="Ênfase5 30" xfId="9026"/>
    <cellStyle name="Ênfase5 31" xfId="9027"/>
    <cellStyle name="Ênfase5 32" xfId="9028"/>
    <cellStyle name="Ênfase5 33" xfId="9029"/>
    <cellStyle name="Ênfase5 34" xfId="9030"/>
    <cellStyle name="Ênfase5 35" xfId="9031"/>
    <cellStyle name="Ênfase5 36" xfId="9032"/>
    <cellStyle name="Ênfase5 37" xfId="9033"/>
    <cellStyle name="Ênfase5 38" xfId="9034"/>
    <cellStyle name="Ênfase5 39" xfId="9035"/>
    <cellStyle name="Ênfase5 4" xfId="9036"/>
    <cellStyle name="Ênfase5 4 2" xfId="9037"/>
    <cellStyle name="Ênfase5 4 3" xfId="9038"/>
    <cellStyle name="Ênfase5 4 4" xfId="9039"/>
    <cellStyle name="Ênfase5 4 5" xfId="9040"/>
    <cellStyle name="Ênfase5 4 6" xfId="9041"/>
    <cellStyle name="Ênfase5 4 7" xfId="9042"/>
    <cellStyle name="Ênfase5 40" xfId="9043"/>
    <cellStyle name="Ênfase5 41" xfId="9044"/>
    <cellStyle name="Ênfase5 42" xfId="9045"/>
    <cellStyle name="Ênfase5 43" xfId="9046"/>
    <cellStyle name="Ênfase5 44" xfId="9047"/>
    <cellStyle name="Ênfase5 45" xfId="9048"/>
    <cellStyle name="Ênfase5 46" xfId="9049"/>
    <cellStyle name="Ênfase5 47" xfId="9050"/>
    <cellStyle name="Ênfase5 48" xfId="9051"/>
    <cellStyle name="Ênfase5 49" xfId="9052"/>
    <cellStyle name="Ênfase5 5" xfId="9053"/>
    <cellStyle name="Ênfase5 5 2" xfId="9054"/>
    <cellStyle name="Ênfase5 5 3" xfId="9055"/>
    <cellStyle name="Ênfase5 5 4" xfId="9056"/>
    <cellStyle name="Ênfase5 50" xfId="9057"/>
    <cellStyle name="Ênfase5 51" xfId="9058"/>
    <cellStyle name="Ênfase5 52" xfId="9059"/>
    <cellStyle name="Ênfase5 53" xfId="9060"/>
    <cellStyle name="Ênfase5 54" xfId="9061"/>
    <cellStyle name="Ênfase5 55" xfId="9062"/>
    <cellStyle name="Ênfase5 56" xfId="9063"/>
    <cellStyle name="Ênfase5 57" xfId="9064"/>
    <cellStyle name="Ênfase5 58" xfId="9065"/>
    <cellStyle name="Ênfase5 59" xfId="9066"/>
    <cellStyle name="Ênfase5 6" xfId="9067"/>
    <cellStyle name="Ênfase5 6 2" xfId="9068"/>
    <cellStyle name="Ênfase5 6 3" xfId="9069"/>
    <cellStyle name="Ênfase5 6 4" xfId="9070"/>
    <cellStyle name="Ênfase5 60" xfId="9071"/>
    <cellStyle name="Ênfase5 61" xfId="9072"/>
    <cellStyle name="Ênfase5 62" xfId="9073"/>
    <cellStyle name="Ênfase5 63" xfId="9074"/>
    <cellStyle name="Ênfase5 64" xfId="9075"/>
    <cellStyle name="Ênfase5 65" xfId="9076"/>
    <cellStyle name="Ênfase5 66" xfId="9077"/>
    <cellStyle name="Ênfase5 67" xfId="9078"/>
    <cellStyle name="Ênfase5 68" xfId="9079"/>
    <cellStyle name="Ênfase5 69" xfId="9080"/>
    <cellStyle name="Ênfase5 7" xfId="9081"/>
    <cellStyle name="Ênfase5 7 2" xfId="9082"/>
    <cellStyle name="Ênfase5 7 3" xfId="9083"/>
    <cellStyle name="Ênfase5 7 4" xfId="9084"/>
    <cellStyle name="Ênfase5 70" xfId="9085"/>
    <cellStyle name="Ênfase5 71" xfId="9086"/>
    <cellStyle name="Ênfase5 72" xfId="9087"/>
    <cellStyle name="Ênfase5 73" xfId="9088"/>
    <cellStyle name="Ênfase5 74" xfId="9089"/>
    <cellStyle name="Ênfase5 75" xfId="9090"/>
    <cellStyle name="Ênfase5 76" xfId="9091"/>
    <cellStyle name="Ênfase5 77" xfId="9092"/>
    <cellStyle name="Ênfase5 78" xfId="9093"/>
    <cellStyle name="Ênfase5 79" xfId="9094"/>
    <cellStyle name="Ênfase5 8" xfId="9095"/>
    <cellStyle name="Ênfase5 8 2" xfId="9096"/>
    <cellStyle name="Ênfase5 8 3" xfId="9097"/>
    <cellStyle name="Ênfase5 8 4" xfId="9098"/>
    <cellStyle name="Ênfase5 80" xfId="9099"/>
    <cellStyle name="Ênfase5 81" xfId="9100"/>
    <cellStyle name="Ênfase5 82" xfId="9101"/>
    <cellStyle name="Ênfase5 83" xfId="9102"/>
    <cellStyle name="Ênfase5 84" xfId="9103"/>
    <cellStyle name="Ênfase5 85" xfId="9104"/>
    <cellStyle name="Ênfase5 86" xfId="9105"/>
    <cellStyle name="Ênfase5 87" xfId="9106"/>
    <cellStyle name="Ênfase5 88" xfId="9107"/>
    <cellStyle name="Ênfase5 89" xfId="9108"/>
    <cellStyle name="Ênfase5 9" xfId="9109"/>
    <cellStyle name="Ênfase5 90" xfId="9110"/>
    <cellStyle name="Ênfase5 91" xfId="9111"/>
    <cellStyle name="Ênfase5 92" xfId="9112"/>
    <cellStyle name="Ênfase5 93" xfId="9113"/>
    <cellStyle name="Ênfase5 94" xfId="9114"/>
    <cellStyle name="Ênfase5 95" xfId="9115"/>
    <cellStyle name="Ênfase5 96" xfId="9116"/>
    <cellStyle name="Ênfase5 97" xfId="9117"/>
    <cellStyle name="Ênfase5 98" xfId="9118"/>
    <cellStyle name="Ênfase5 99" xfId="9119"/>
    <cellStyle name="Ênfase6 10" xfId="9120"/>
    <cellStyle name="Ênfase6 10 2" xfId="40595"/>
    <cellStyle name="Ênfase6 100" xfId="9121"/>
    <cellStyle name="Ênfase6 101" xfId="9122"/>
    <cellStyle name="Ênfase6 102" xfId="9123"/>
    <cellStyle name="Ênfase6 103" xfId="9124"/>
    <cellStyle name="Ênfase6 104" xfId="9125"/>
    <cellStyle name="Ênfase6 105" xfId="9126"/>
    <cellStyle name="Ênfase6 106" xfId="9127"/>
    <cellStyle name="Ênfase6 107" xfId="9128"/>
    <cellStyle name="Ênfase6 108" xfId="9129"/>
    <cellStyle name="Ênfase6 109" xfId="9130"/>
    <cellStyle name="Ênfase6 11" xfId="9131"/>
    <cellStyle name="Ênfase6 11 2" xfId="40596"/>
    <cellStyle name="Ênfase6 110" xfId="9132"/>
    <cellStyle name="Ênfase6 111" xfId="9133"/>
    <cellStyle name="Ênfase6 112" xfId="9134"/>
    <cellStyle name="Ênfase6 113" xfId="9135"/>
    <cellStyle name="Ênfase6 114" xfId="9136"/>
    <cellStyle name="Ênfase6 115" xfId="9137"/>
    <cellStyle name="Ênfase6 116" xfId="9138"/>
    <cellStyle name="Ênfase6 117" xfId="9139"/>
    <cellStyle name="Ênfase6 118" xfId="9140"/>
    <cellStyle name="Ênfase6 119" xfId="9141"/>
    <cellStyle name="Ênfase6 12" xfId="9142"/>
    <cellStyle name="Ênfase6 12 2" xfId="40597"/>
    <cellStyle name="Ênfase6 120" xfId="9143"/>
    <cellStyle name="Ênfase6 121" xfId="9144"/>
    <cellStyle name="Ênfase6 122" xfId="9145"/>
    <cellStyle name="Ênfase6 123" xfId="9146"/>
    <cellStyle name="Ênfase6 124" xfId="9147"/>
    <cellStyle name="Ênfase6 125" xfId="9148"/>
    <cellStyle name="Ênfase6 126" xfId="9149"/>
    <cellStyle name="Ênfase6 127" xfId="9150"/>
    <cellStyle name="Ênfase6 128" xfId="9151"/>
    <cellStyle name="Ênfase6 129" xfId="9152"/>
    <cellStyle name="Ênfase6 13" xfId="9153"/>
    <cellStyle name="Ênfase6 13 2" xfId="40598"/>
    <cellStyle name="Ênfase6 130" xfId="9154"/>
    <cellStyle name="Ênfase6 131" xfId="9155"/>
    <cellStyle name="Ênfase6 132" xfId="9156"/>
    <cellStyle name="Ênfase6 133" xfId="9157"/>
    <cellStyle name="Ênfase6 134" xfId="9158"/>
    <cellStyle name="Ênfase6 135" xfId="9159"/>
    <cellStyle name="Ênfase6 136" xfId="9160"/>
    <cellStyle name="Ênfase6 137" xfId="9161"/>
    <cellStyle name="Ênfase6 138" xfId="9162"/>
    <cellStyle name="Ênfase6 139" xfId="9163"/>
    <cellStyle name="Ênfase6 14" xfId="9164"/>
    <cellStyle name="Ênfase6 140" xfId="9165"/>
    <cellStyle name="Ênfase6 141" xfId="9166"/>
    <cellStyle name="Ênfase6 142" xfId="9167"/>
    <cellStyle name="Ênfase6 143" xfId="9168"/>
    <cellStyle name="Ênfase6 144" xfId="9169"/>
    <cellStyle name="Ênfase6 145" xfId="9170"/>
    <cellStyle name="Ênfase6 146" xfId="9171"/>
    <cellStyle name="Ênfase6 147" xfId="9172"/>
    <cellStyle name="Ênfase6 148" xfId="9173"/>
    <cellStyle name="Ênfase6 149" xfId="9174"/>
    <cellStyle name="Ênfase6 15" xfId="9175"/>
    <cellStyle name="Ênfase6 15 2" xfId="9176"/>
    <cellStyle name="Ênfase6 15 3" xfId="9177"/>
    <cellStyle name="Ênfase6 150" xfId="9178"/>
    <cellStyle name="Ênfase6 151" xfId="9179"/>
    <cellStyle name="Ênfase6 152" xfId="9180"/>
    <cellStyle name="Ênfase6 153" xfId="9181"/>
    <cellStyle name="Ênfase6 154" xfId="9182"/>
    <cellStyle name="Ênfase6 155" xfId="9183"/>
    <cellStyle name="Ênfase6 156" xfId="9184"/>
    <cellStyle name="Ênfase6 157" xfId="9185"/>
    <cellStyle name="Ênfase6 158" xfId="9186"/>
    <cellStyle name="Ênfase6 159" xfId="9187"/>
    <cellStyle name="Ênfase6 16" xfId="9188"/>
    <cellStyle name="Ênfase6 16 2" xfId="9189"/>
    <cellStyle name="Ênfase6 16 3" xfId="9190"/>
    <cellStyle name="Ênfase6 160" xfId="9191"/>
    <cellStyle name="Ênfase6 161" xfId="9192"/>
    <cellStyle name="Ênfase6 162" xfId="9193"/>
    <cellStyle name="Ênfase6 163" xfId="9194"/>
    <cellStyle name="Ênfase6 164" xfId="9195"/>
    <cellStyle name="Ênfase6 165" xfId="9196"/>
    <cellStyle name="Ênfase6 166" xfId="9197"/>
    <cellStyle name="Ênfase6 167" xfId="9198"/>
    <cellStyle name="Ênfase6 168" xfId="9199"/>
    <cellStyle name="Ênfase6 169" xfId="9200"/>
    <cellStyle name="Ênfase6 17" xfId="9201"/>
    <cellStyle name="Ênfase6 17 2" xfId="9202"/>
    <cellStyle name="Ênfase6 17 3" xfId="9203"/>
    <cellStyle name="Ênfase6 170" xfId="9204"/>
    <cellStyle name="Ênfase6 171" xfId="9205"/>
    <cellStyle name="Ênfase6 172" xfId="9206"/>
    <cellStyle name="Ênfase6 173" xfId="9207"/>
    <cellStyle name="Ênfase6 174" xfId="9208"/>
    <cellStyle name="Ênfase6 175" xfId="9209"/>
    <cellStyle name="Ênfase6 176" xfId="9210"/>
    <cellStyle name="Ênfase6 177" xfId="9211"/>
    <cellStyle name="Ênfase6 178" xfId="9212"/>
    <cellStyle name="Ênfase6 179" xfId="9213"/>
    <cellStyle name="Ênfase6 18" xfId="9214"/>
    <cellStyle name="Ênfase6 18 2" xfId="9215"/>
    <cellStyle name="Ênfase6 18 3" xfId="9216"/>
    <cellStyle name="Ênfase6 180" xfId="9217"/>
    <cellStyle name="Ênfase6 181" xfId="9218"/>
    <cellStyle name="Ênfase6 182" xfId="9219"/>
    <cellStyle name="Ênfase6 183" xfId="9220"/>
    <cellStyle name="Ênfase6 184" xfId="9221"/>
    <cellStyle name="Ênfase6 185" xfId="9222"/>
    <cellStyle name="Ênfase6 186" xfId="9223"/>
    <cellStyle name="Ênfase6 187" xfId="9224"/>
    <cellStyle name="Ênfase6 188" xfId="9225"/>
    <cellStyle name="Ênfase6 189" xfId="9226"/>
    <cellStyle name="Ênfase6 19" xfId="9227"/>
    <cellStyle name="Ênfase6 19 2" xfId="9228"/>
    <cellStyle name="Ênfase6 19 3" xfId="9229"/>
    <cellStyle name="Ênfase6 190" xfId="9230"/>
    <cellStyle name="Ênfase6 2" xfId="9231"/>
    <cellStyle name="Ênfase6 2 10" xfId="9232"/>
    <cellStyle name="Ênfase6 2 10 2" xfId="9233"/>
    <cellStyle name="Ênfase6 2 10 3" xfId="9234"/>
    <cellStyle name="Ênfase6 2 10 4" xfId="9235"/>
    <cellStyle name="Ênfase6 2 10 5" xfId="9236"/>
    <cellStyle name="Ênfase6 2 10 6" xfId="9237"/>
    <cellStyle name="Ênfase6 2 10 7" xfId="9238"/>
    <cellStyle name="Ênfase6 2 11" xfId="9239"/>
    <cellStyle name="Ênfase6 2 11 2" xfId="9240"/>
    <cellStyle name="Ênfase6 2 11 3" xfId="9241"/>
    <cellStyle name="Ênfase6 2 11 4" xfId="9242"/>
    <cellStyle name="Ênfase6 2 11 5" xfId="9243"/>
    <cellStyle name="Ênfase6 2 11 6" xfId="9244"/>
    <cellStyle name="Ênfase6 2 11 7" xfId="9245"/>
    <cellStyle name="Ênfase6 2 12" xfId="9246"/>
    <cellStyle name="Ênfase6 2 13" xfId="9247"/>
    <cellStyle name="Ênfase6 2 14" xfId="9248"/>
    <cellStyle name="Ênfase6 2 15" xfId="9249"/>
    <cellStyle name="Ênfase6 2 16" xfId="9250"/>
    <cellStyle name="Ênfase6 2 17" xfId="9251"/>
    <cellStyle name="Ênfase6 2 18" xfId="9252"/>
    <cellStyle name="Ênfase6 2 19" xfId="9253"/>
    <cellStyle name="Ênfase6 2 2" xfId="9254"/>
    <cellStyle name="Ênfase6 2 20" xfId="9255"/>
    <cellStyle name="Ênfase6 2 21" xfId="9256"/>
    <cellStyle name="Ênfase6 2 22" xfId="9257"/>
    <cellStyle name="Ênfase6 2 23" xfId="9258"/>
    <cellStyle name="Ênfase6 2 24" xfId="9259"/>
    <cellStyle name="Ênfase6 2 25" xfId="9260"/>
    <cellStyle name="Ênfase6 2 26" xfId="9261"/>
    <cellStyle name="Ênfase6 2 27" xfId="9262"/>
    <cellStyle name="Ênfase6 2 28" xfId="9263"/>
    <cellStyle name="Ênfase6 2 29" xfId="9264"/>
    <cellStyle name="Ênfase6 2 3" xfId="9265"/>
    <cellStyle name="Ênfase6 2 30" xfId="9266"/>
    <cellStyle name="Ênfase6 2 31" xfId="9267"/>
    <cellStyle name="Ênfase6 2 32" xfId="9268"/>
    <cellStyle name="Ênfase6 2 33" xfId="9269"/>
    <cellStyle name="Ênfase6 2 34" xfId="9270"/>
    <cellStyle name="Ênfase6 2 35" xfId="9271"/>
    <cellStyle name="Ênfase6 2 4" xfId="9272"/>
    <cellStyle name="Ênfase6 2 5" xfId="9273"/>
    <cellStyle name="Ênfase6 2 6" xfId="9274"/>
    <cellStyle name="Ênfase6 2 7" xfId="9275"/>
    <cellStyle name="Ênfase6 2 8" xfId="9276"/>
    <cellStyle name="Ênfase6 2 8 2" xfId="9277"/>
    <cellStyle name="Ênfase6 2 8 3" xfId="9278"/>
    <cellStyle name="Ênfase6 2 8 4" xfId="9279"/>
    <cellStyle name="Ênfase6 2 8 5" xfId="9280"/>
    <cellStyle name="Ênfase6 2 8 6" xfId="9281"/>
    <cellStyle name="Ênfase6 2 8 7" xfId="9282"/>
    <cellStyle name="Ênfase6 2 9" xfId="9283"/>
    <cellStyle name="Ênfase6 2 9 2" xfId="9284"/>
    <cellStyle name="Ênfase6 2 9 3" xfId="9285"/>
    <cellStyle name="Ênfase6 2 9 4" xfId="9286"/>
    <cellStyle name="Ênfase6 2 9 5" xfId="9287"/>
    <cellStyle name="Ênfase6 2 9 6" xfId="9288"/>
    <cellStyle name="Ênfase6 2 9 7" xfId="9289"/>
    <cellStyle name="Ênfase6 20" xfId="9290"/>
    <cellStyle name="Ênfase6 20 2" xfId="9291"/>
    <cellStyle name="Ênfase6 20 3" xfId="9292"/>
    <cellStyle name="Ênfase6 21" xfId="9293"/>
    <cellStyle name="Ênfase6 22" xfId="9294"/>
    <cellStyle name="Ênfase6 23" xfId="9295"/>
    <cellStyle name="Ênfase6 24" xfId="9296"/>
    <cellStyle name="Ênfase6 24 2" xfId="40952"/>
    <cellStyle name="Ênfase6 25" xfId="9297"/>
    <cellStyle name="Ênfase6 25 2" xfId="40987"/>
    <cellStyle name="Ênfase6 26" xfId="9298"/>
    <cellStyle name="Ênfase6 26 10" xfId="9299"/>
    <cellStyle name="Ênfase6 26 11" xfId="9300"/>
    <cellStyle name="Ênfase6 26 12" xfId="9301"/>
    <cellStyle name="Ênfase6 26 13" xfId="9302"/>
    <cellStyle name="Ênfase6 26 14" xfId="9303"/>
    <cellStyle name="Ênfase6 26 15" xfId="9304"/>
    <cellStyle name="Ênfase6 26 16" xfId="9305"/>
    <cellStyle name="Ênfase6 26 2" xfId="9306"/>
    <cellStyle name="Ênfase6 26 3" xfId="9307"/>
    <cellStyle name="Ênfase6 26 4" xfId="9308"/>
    <cellStyle name="Ênfase6 26 5" xfId="9309"/>
    <cellStyle name="Ênfase6 26 6" xfId="9310"/>
    <cellStyle name="Ênfase6 26 7" xfId="9311"/>
    <cellStyle name="Ênfase6 26 8" xfId="9312"/>
    <cellStyle name="Ênfase6 26 9" xfId="9313"/>
    <cellStyle name="Ênfase6 27" xfId="9314"/>
    <cellStyle name="Ênfase6 27 10" xfId="9315"/>
    <cellStyle name="Ênfase6 27 11" xfId="9316"/>
    <cellStyle name="Ênfase6 27 12" xfId="9317"/>
    <cellStyle name="Ênfase6 27 13" xfId="9318"/>
    <cellStyle name="Ênfase6 27 14" xfId="9319"/>
    <cellStyle name="Ênfase6 27 15" xfId="9320"/>
    <cellStyle name="Ênfase6 27 16" xfId="9321"/>
    <cellStyle name="Ênfase6 27 2" xfId="9322"/>
    <cellStyle name="Ênfase6 27 3" xfId="9323"/>
    <cellStyle name="Ênfase6 27 4" xfId="9324"/>
    <cellStyle name="Ênfase6 27 5" xfId="9325"/>
    <cellStyle name="Ênfase6 27 6" xfId="9326"/>
    <cellStyle name="Ênfase6 27 7" xfId="9327"/>
    <cellStyle name="Ênfase6 27 8" xfId="9328"/>
    <cellStyle name="Ênfase6 27 9" xfId="9329"/>
    <cellStyle name="Ênfase6 28" xfId="9330"/>
    <cellStyle name="Ênfase6 28 10" xfId="9331"/>
    <cellStyle name="Ênfase6 28 11" xfId="9332"/>
    <cellStyle name="Ênfase6 28 12" xfId="9333"/>
    <cellStyle name="Ênfase6 28 13" xfId="9334"/>
    <cellStyle name="Ênfase6 28 14" xfId="9335"/>
    <cellStyle name="Ênfase6 28 15" xfId="9336"/>
    <cellStyle name="Ênfase6 28 16" xfId="9337"/>
    <cellStyle name="Ênfase6 28 2" xfId="9338"/>
    <cellStyle name="Ênfase6 28 3" xfId="9339"/>
    <cellStyle name="Ênfase6 28 4" xfId="9340"/>
    <cellStyle name="Ênfase6 28 5" xfId="9341"/>
    <cellStyle name="Ênfase6 28 6" xfId="9342"/>
    <cellStyle name="Ênfase6 28 7" xfId="9343"/>
    <cellStyle name="Ênfase6 28 8" xfId="9344"/>
    <cellStyle name="Ênfase6 28 9" xfId="9345"/>
    <cellStyle name="Ênfase6 29" xfId="9346"/>
    <cellStyle name="Ênfase6 29 10" xfId="9347"/>
    <cellStyle name="Ênfase6 29 11" xfId="9348"/>
    <cellStyle name="Ênfase6 29 12" xfId="9349"/>
    <cellStyle name="Ênfase6 29 13" xfId="9350"/>
    <cellStyle name="Ênfase6 29 14" xfId="9351"/>
    <cellStyle name="Ênfase6 29 15" xfId="9352"/>
    <cellStyle name="Ênfase6 29 16" xfId="9353"/>
    <cellStyle name="Ênfase6 29 2" xfId="9354"/>
    <cellStyle name="Ênfase6 29 3" xfId="9355"/>
    <cellStyle name="Ênfase6 29 4" xfId="9356"/>
    <cellStyle name="Ênfase6 29 5" xfId="9357"/>
    <cellStyle name="Ênfase6 29 6" xfId="9358"/>
    <cellStyle name="Ênfase6 29 7" xfId="9359"/>
    <cellStyle name="Ênfase6 29 8" xfId="9360"/>
    <cellStyle name="Ênfase6 29 9" xfId="9361"/>
    <cellStyle name="Ênfase6 3" xfId="9362"/>
    <cellStyle name="Ênfase6 3 10" xfId="9363"/>
    <cellStyle name="Ênfase6 3 11" xfId="9364"/>
    <cellStyle name="Ênfase6 3 2" xfId="9365"/>
    <cellStyle name="Ênfase6 3 3" xfId="9366"/>
    <cellStyle name="Ênfase6 3 4" xfId="9367"/>
    <cellStyle name="Ênfase6 3 5" xfId="9368"/>
    <cellStyle name="Ênfase6 3 6" xfId="9369"/>
    <cellStyle name="Ênfase6 3 7" xfId="9370"/>
    <cellStyle name="Ênfase6 3 8" xfId="9371"/>
    <cellStyle name="Ênfase6 3 9" xfId="9372"/>
    <cellStyle name="Ênfase6 30" xfId="9373"/>
    <cellStyle name="Ênfase6 31" xfId="9374"/>
    <cellStyle name="Ênfase6 32" xfId="9375"/>
    <cellStyle name="Ênfase6 33" xfId="9376"/>
    <cellStyle name="Ênfase6 34" xfId="9377"/>
    <cellStyle name="Ênfase6 35" xfId="9378"/>
    <cellStyle name="Ênfase6 36" xfId="9379"/>
    <cellStyle name="Ênfase6 37" xfId="9380"/>
    <cellStyle name="Ênfase6 38" xfId="9381"/>
    <cellStyle name="Ênfase6 39" xfId="9382"/>
    <cellStyle name="Ênfase6 4" xfId="9383"/>
    <cellStyle name="Ênfase6 4 10" xfId="9384"/>
    <cellStyle name="Ênfase6 4 11" xfId="9385"/>
    <cellStyle name="Ênfase6 4 2" xfId="9386"/>
    <cellStyle name="Ênfase6 4 3" xfId="9387"/>
    <cellStyle name="Ênfase6 4 4" xfId="9388"/>
    <cellStyle name="Ênfase6 4 5" xfId="9389"/>
    <cellStyle name="Ênfase6 4 6" xfId="9390"/>
    <cellStyle name="Ênfase6 4 7" xfId="9391"/>
    <cellStyle name="Ênfase6 4 8" xfId="9392"/>
    <cellStyle name="Ênfase6 4 9" xfId="9393"/>
    <cellStyle name="Ênfase6 40" xfId="9394"/>
    <cellStyle name="Ênfase6 41" xfId="9395"/>
    <cellStyle name="Ênfase6 42" xfId="9396"/>
    <cellStyle name="Ênfase6 43" xfId="9397"/>
    <cellStyle name="Ênfase6 44" xfId="9398"/>
    <cellStyle name="Ênfase6 45" xfId="9399"/>
    <cellStyle name="Ênfase6 46" xfId="9400"/>
    <cellStyle name="Ênfase6 47" xfId="9401"/>
    <cellStyle name="Ênfase6 48" xfId="9402"/>
    <cellStyle name="Ênfase6 49" xfId="9403"/>
    <cellStyle name="Ênfase6 5" xfId="9404"/>
    <cellStyle name="Ênfase6 5 2" xfId="9405"/>
    <cellStyle name="Ênfase6 5 3" xfId="9406"/>
    <cellStyle name="Ênfase6 5 4" xfId="9407"/>
    <cellStyle name="Ênfase6 50" xfId="9408"/>
    <cellStyle name="Ênfase6 51" xfId="9409"/>
    <cellStyle name="Ênfase6 52" xfId="9410"/>
    <cellStyle name="Ênfase6 53" xfId="9411"/>
    <cellStyle name="Ênfase6 54" xfId="9412"/>
    <cellStyle name="Ênfase6 55" xfId="9413"/>
    <cellStyle name="Ênfase6 56" xfId="9414"/>
    <cellStyle name="Ênfase6 57" xfId="9415"/>
    <cellStyle name="Ênfase6 58" xfId="9416"/>
    <cellStyle name="Ênfase6 59" xfId="9417"/>
    <cellStyle name="Ênfase6 6" xfId="9418"/>
    <cellStyle name="Ênfase6 6 2" xfId="9419"/>
    <cellStyle name="Ênfase6 6 3" xfId="9420"/>
    <cellStyle name="Ênfase6 6 4" xfId="9421"/>
    <cellStyle name="Ênfase6 60" xfId="9422"/>
    <cellStyle name="Ênfase6 61" xfId="9423"/>
    <cellStyle name="Ênfase6 62" xfId="9424"/>
    <cellStyle name="Ênfase6 63" xfId="9425"/>
    <cellStyle name="Ênfase6 64" xfId="9426"/>
    <cellStyle name="Ênfase6 65" xfId="9427"/>
    <cellStyle name="Ênfase6 66" xfId="9428"/>
    <cellStyle name="Ênfase6 67" xfId="9429"/>
    <cellStyle name="Ênfase6 68" xfId="9430"/>
    <cellStyle name="Ênfase6 69" xfId="9431"/>
    <cellStyle name="Ênfase6 7" xfId="9432"/>
    <cellStyle name="Ênfase6 7 2" xfId="9433"/>
    <cellStyle name="Ênfase6 7 3" xfId="9434"/>
    <cellStyle name="Ênfase6 7 4" xfId="9435"/>
    <cellStyle name="Ênfase6 70" xfId="9436"/>
    <cellStyle name="Ênfase6 71" xfId="9437"/>
    <cellStyle name="Ênfase6 72" xfId="9438"/>
    <cellStyle name="Ênfase6 73" xfId="9439"/>
    <cellStyle name="Ênfase6 74" xfId="9440"/>
    <cellStyle name="Ênfase6 75" xfId="9441"/>
    <cellStyle name="Ênfase6 76" xfId="9442"/>
    <cellStyle name="Ênfase6 77" xfId="9443"/>
    <cellStyle name="Ênfase6 78" xfId="9444"/>
    <cellStyle name="Ênfase6 79" xfId="9445"/>
    <cellStyle name="Ênfase6 8" xfId="9446"/>
    <cellStyle name="Ênfase6 8 2" xfId="9447"/>
    <cellStyle name="Ênfase6 8 3" xfId="9448"/>
    <cellStyle name="Ênfase6 8 4" xfId="9449"/>
    <cellStyle name="Ênfase6 80" xfId="9450"/>
    <cellStyle name="Ênfase6 81" xfId="9451"/>
    <cellStyle name="Ênfase6 82" xfId="9452"/>
    <cellStyle name="Ênfase6 83" xfId="9453"/>
    <cellStyle name="Ênfase6 84" xfId="9454"/>
    <cellStyle name="Ênfase6 85" xfId="9455"/>
    <cellStyle name="Ênfase6 86" xfId="9456"/>
    <cellStyle name="Ênfase6 87" xfId="9457"/>
    <cellStyle name="Ênfase6 88" xfId="9458"/>
    <cellStyle name="Ênfase6 89" xfId="9459"/>
    <cellStyle name="Ênfase6 9" xfId="9460"/>
    <cellStyle name="Ênfase6 90" xfId="9461"/>
    <cellStyle name="Ênfase6 91" xfId="9462"/>
    <cellStyle name="Ênfase6 92" xfId="9463"/>
    <cellStyle name="Ênfase6 93" xfId="9464"/>
    <cellStyle name="Ênfase6 94" xfId="9465"/>
    <cellStyle name="Ênfase6 95" xfId="9466"/>
    <cellStyle name="Ênfase6 96" xfId="9467"/>
    <cellStyle name="Ênfase6 97" xfId="9468"/>
    <cellStyle name="Ênfase6 98" xfId="9469"/>
    <cellStyle name="Ênfase6 99" xfId="9470"/>
    <cellStyle name="Entrada 10" xfId="9471"/>
    <cellStyle name="Entrada 10 2" xfId="29125"/>
    <cellStyle name="Entrada 100" xfId="9472"/>
    <cellStyle name="Entrada 100 2" xfId="29675"/>
    <cellStyle name="Entrada 101" xfId="9473"/>
    <cellStyle name="Entrada 101 2" xfId="29676"/>
    <cellStyle name="Entrada 102" xfId="9474"/>
    <cellStyle name="Entrada 102 2" xfId="29677"/>
    <cellStyle name="Entrada 103" xfId="9475"/>
    <cellStyle name="Entrada 103 2" xfId="29678"/>
    <cellStyle name="Entrada 104" xfId="9476"/>
    <cellStyle name="Entrada 104 2" xfId="29679"/>
    <cellStyle name="Entrada 105" xfId="9477"/>
    <cellStyle name="Entrada 105 2" xfId="29680"/>
    <cellStyle name="Entrada 106" xfId="9478"/>
    <cellStyle name="Entrada 106 2" xfId="29681"/>
    <cellStyle name="Entrada 107" xfId="9479"/>
    <cellStyle name="Entrada 107 2" xfId="29682"/>
    <cellStyle name="Entrada 108" xfId="9480"/>
    <cellStyle name="Entrada 108 2" xfId="29683"/>
    <cellStyle name="Entrada 109" xfId="9481"/>
    <cellStyle name="Entrada 109 2" xfId="29684"/>
    <cellStyle name="Entrada 11" xfId="9482"/>
    <cellStyle name="Entrada 11 2" xfId="29126"/>
    <cellStyle name="Entrada 110" xfId="9483"/>
    <cellStyle name="Entrada 110 2" xfId="29685"/>
    <cellStyle name="Entrada 111" xfId="9484"/>
    <cellStyle name="Entrada 111 2" xfId="29686"/>
    <cellStyle name="Entrada 112" xfId="9485"/>
    <cellStyle name="Entrada 112 2" xfId="29687"/>
    <cellStyle name="Entrada 113" xfId="9486"/>
    <cellStyle name="Entrada 113 2" xfId="29688"/>
    <cellStyle name="Entrada 114" xfId="9487"/>
    <cellStyle name="Entrada 114 2" xfId="29689"/>
    <cellStyle name="Entrada 115" xfId="9488"/>
    <cellStyle name="Entrada 115 2" xfId="29690"/>
    <cellStyle name="Entrada 116" xfId="9489"/>
    <cellStyle name="Entrada 116 2" xfId="29691"/>
    <cellStyle name="Entrada 117" xfId="9490"/>
    <cellStyle name="Entrada 117 2" xfId="29692"/>
    <cellStyle name="Entrada 118" xfId="9491"/>
    <cellStyle name="Entrada 118 2" xfId="29693"/>
    <cellStyle name="Entrada 119" xfId="9492"/>
    <cellStyle name="Entrada 119 2" xfId="29694"/>
    <cellStyle name="Entrada 12" xfId="9493"/>
    <cellStyle name="Entrada 12 2" xfId="29127"/>
    <cellStyle name="Entrada 120" xfId="9494"/>
    <cellStyle name="Entrada 120 2" xfId="29695"/>
    <cellStyle name="Entrada 121" xfId="9495"/>
    <cellStyle name="Entrada 121 2" xfId="29696"/>
    <cellStyle name="Entrada 122" xfId="9496"/>
    <cellStyle name="Entrada 122 2" xfId="29697"/>
    <cellStyle name="Entrada 123" xfId="9497"/>
    <cellStyle name="Entrada 123 2" xfId="29698"/>
    <cellStyle name="Entrada 124" xfId="9498"/>
    <cellStyle name="Entrada 124 2" xfId="29699"/>
    <cellStyle name="Entrada 125" xfId="9499"/>
    <cellStyle name="Entrada 125 2" xfId="29700"/>
    <cellStyle name="Entrada 126" xfId="9500"/>
    <cellStyle name="Entrada 126 2" xfId="29701"/>
    <cellStyle name="Entrada 127" xfId="9501"/>
    <cellStyle name="Entrada 127 2" xfId="29702"/>
    <cellStyle name="Entrada 128" xfId="9502"/>
    <cellStyle name="Entrada 128 2" xfId="29703"/>
    <cellStyle name="Entrada 129" xfId="9503"/>
    <cellStyle name="Entrada 129 2" xfId="29704"/>
    <cellStyle name="Entrada 13" xfId="9504"/>
    <cellStyle name="Entrada 13 2" xfId="29128"/>
    <cellStyle name="Entrada 130" xfId="9505"/>
    <cellStyle name="Entrada 130 2" xfId="29705"/>
    <cellStyle name="Entrada 131" xfId="9506"/>
    <cellStyle name="Entrada 131 2" xfId="29706"/>
    <cellStyle name="Entrada 132" xfId="9507"/>
    <cellStyle name="Entrada 132 2" xfId="29707"/>
    <cellStyle name="Entrada 133" xfId="9508"/>
    <cellStyle name="Entrada 133 2" xfId="29708"/>
    <cellStyle name="Entrada 134" xfId="9509"/>
    <cellStyle name="Entrada 134 2" xfId="29709"/>
    <cellStyle name="Entrada 135" xfId="9510"/>
    <cellStyle name="Entrada 135 2" xfId="29710"/>
    <cellStyle name="Entrada 136" xfId="9511"/>
    <cellStyle name="Entrada 136 2" xfId="29711"/>
    <cellStyle name="Entrada 137" xfId="9512"/>
    <cellStyle name="Entrada 137 2" xfId="29712"/>
    <cellStyle name="Entrada 138" xfId="9513"/>
    <cellStyle name="Entrada 138 2" xfId="29713"/>
    <cellStyle name="Entrada 139" xfId="9514"/>
    <cellStyle name="Entrada 139 2" xfId="29714"/>
    <cellStyle name="Entrada 14" xfId="9515"/>
    <cellStyle name="Entrada 14 2" xfId="29129"/>
    <cellStyle name="Entrada 140" xfId="9516"/>
    <cellStyle name="Entrada 140 2" xfId="29715"/>
    <cellStyle name="Entrada 141" xfId="9517"/>
    <cellStyle name="Entrada 141 2" xfId="29716"/>
    <cellStyle name="Entrada 142" xfId="9518"/>
    <cellStyle name="Entrada 142 2" xfId="29717"/>
    <cellStyle name="Entrada 143" xfId="9519"/>
    <cellStyle name="Entrada 143 2" xfId="29718"/>
    <cellStyle name="Entrada 144" xfId="9520"/>
    <cellStyle name="Entrada 144 2" xfId="29719"/>
    <cellStyle name="Entrada 145" xfId="9521"/>
    <cellStyle name="Entrada 145 2" xfId="29720"/>
    <cellStyle name="Entrada 146" xfId="9522"/>
    <cellStyle name="Entrada 146 2" xfId="29721"/>
    <cellStyle name="Entrada 147" xfId="9523"/>
    <cellStyle name="Entrada 147 2" xfId="29722"/>
    <cellStyle name="Entrada 148" xfId="9524"/>
    <cellStyle name="Entrada 148 2" xfId="29723"/>
    <cellStyle name="Entrada 149" xfId="9525"/>
    <cellStyle name="Entrada 149 2" xfId="29724"/>
    <cellStyle name="Entrada 15" xfId="9526"/>
    <cellStyle name="Entrada 15 2" xfId="9527"/>
    <cellStyle name="Entrada 15 2 2" xfId="29725"/>
    <cellStyle name="Entrada 15 3" xfId="9528"/>
    <cellStyle name="Entrada 15 3 2" xfId="29726"/>
    <cellStyle name="Entrada 15 4" xfId="29130"/>
    <cellStyle name="Entrada 150" xfId="9529"/>
    <cellStyle name="Entrada 150 2" xfId="29727"/>
    <cellStyle name="Entrada 151" xfId="9530"/>
    <cellStyle name="Entrada 151 2" xfId="29728"/>
    <cellStyle name="Entrada 152" xfId="9531"/>
    <cellStyle name="Entrada 152 2" xfId="29729"/>
    <cellStyle name="Entrada 153" xfId="9532"/>
    <cellStyle name="Entrada 153 2" xfId="29730"/>
    <cellStyle name="Entrada 154" xfId="9533"/>
    <cellStyle name="Entrada 154 2" xfId="29731"/>
    <cellStyle name="Entrada 155" xfId="9534"/>
    <cellStyle name="Entrada 155 2" xfId="29732"/>
    <cellStyle name="Entrada 156" xfId="9535"/>
    <cellStyle name="Entrada 156 2" xfId="29733"/>
    <cellStyle name="Entrada 157" xfId="9536"/>
    <cellStyle name="Entrada 157 2" xfId="29734"/>
    <cellStyle name="Entrada 158" xfId="9537"/>
    <cellStyle name="Entrada 158 2" xfId="29735"/>
    <cellStyle name="Entrada 159" xfId="9538"/>
    <cellStyle name="Entrada 159 2" xfId="29736"/>
    <cellStyle name="Entrada 16" xfId="9539"/>
    <cellStyle name="Entrada 16 2" xfId="9540"/>
    <cellStyle name="Entrada 16 2 2" xfId="29737"/>
    <cellStyle name="Entrada 16 3" xfId="9541"/>
    <cellStyle name="Entrada 16 3 2" xfId="29738"/>
    <cellStyle name="Entrada 16 4" xfId="29131"/>
    <cellStyle name="Entrada 160" xfId="9542"/>
    <cellStyle name="Entrada 160 2" xfId="29739"/>
    <cellStyle name="Entrada 161" xfId="9543"/>
    <cellStyle name="Entrada 161 2" xfId="29740"/>
    <cellStyle name="Entrada 162" xfId="9544"/>
    <cellStyle name="Entrada 162 2" xfId="29741"/>
    <cellStyle name="Entrada 163" xfId="9545"/>
    <cellStyle name="Entrada 163 2" xfId="29742"/>
    <cellStyle name="Entrada 164" xfId="9546"/>
    <cellStyle name="Entrada 164 2" xfId="29743"/>
    <cellStyle name="Entrada 165" xfId="9547"/>
    <cellStyle name="Entrada 165 2" xfId="29744"/>
    <cellStyle name="Entrada 166" xfId="9548"/>
    <cellStyle name="Entrada 166 2" xfId="29745"/>
    <cellStyle name="Entrada 167" xfId="9549"/>
    <cellStyle name="Entrada 167 2" xfId="29746"/>
    <cellStyle name="Entrada 168" xfId="9550"/>
    <cellStyle name="Entrada 168 2" xfId="29747"/>
    <cellStyle name="Entrada 169" xfId="9551"/>
    <cellStyle name="Entrada 169 2" xfId="29748"/>
    <cellStyle name="Entrada 17" xfId="9552"/>
    <cellStyle name="Entrada 17 2" xfId="9553"/>
    <cellStyle name="Entrada 17 2 2" xfId="29749"/>
    <cellStyle name="Entrada 17 3" xfId="9554"/>
    <cellStyle name="Entrada 17 3 2" xfId="29750"/>
    <cellStyle name="Entrada 17 4" xfId="29132"/>
    <cellStyle name="Entrada 170" xfId="9555"/>
    <cellStyle name="Entrada 170 2" xfId="29751"/>
    <cellStyle name="Entrada 171" xfId="9556"/>
    <cellStyle name="Entrada 171 2" xfId="29752"/>
    <cellStyle name="Entrada 172" xfId="9557"/>
    <cellStyle name="Entrada 172 2" xfId="29753"/>
    <cellStyle name="Entrada 173" xfId="9558"/>
    <cellStyle name="Entrada 173 2" xfId="29754"/>
    <cellStyle name="Entrada 174" xfId="9559"/>
    <cellStyle name="Entrada 174 2" xfId="29755"/>
    <cellStyle name="Entrada 175" xfId="9560"/>
    <cellStyle name="Entrada 175 2" xfId="29756"/>
    <cellStyle name="Entrada 176" xfId="9561"/>
    <cellStyle name="Entrada 176 2" xfId="29757"/>
    <cellStyle name="Entrada 177" xfId="9562"/>
    <cellStyle name="Entrada 177 2" xfId="29758"/>
    <cellStyle name="Entrada 178" xfId="9563"/>
    <cellStyle name="Entrada 178 2" xfId="29759"/>
    <cellStyle name="Entrada 179" xfId="9564"/>
    <cellStyle name="Entrada 179 2" xfId="29760"/>
    <cellStyle name="Entrada 18" xfId="9565"/>
    <cellStyle name="Entrada 18 2" xfId="9566"/>
    <cellStyle name="Entrada 18 2 2" xfId="29761"/>
    <cellStyle name="Entrada 18 3" xfId="9567"/>
    <cellStyle name="Entrada 18 3 2" xfId="29762"/>
    <cellStyle name="Entrada 18 4" xfId="29133"/>
    <cellStyle name="Entrada 180" xfId="9568"/>
    <cellStyle name="Entrada 180 2" xfId="29763"/>
    <cellStyle name="Entrada 181" xfId="9569"/>
    <cellStyle name="Entrada 181 2" xfId="29764"/>
    <cellStyle name="Entrada 182" xfId="9570"/>
    <cellStyle name="Entrada 182 2" xfId="29765"/>
    <cellStyle name="Entrada 183" xfId="9571"/>
    <cellStyle name="Entrada 183 2" xfId="29766"/>
    <cellStyle name="Entrada 184" xfId="9572"/>
    <cellStyle name="Entrada 184 2" xfId="29767"/>
    <cellStyle name="Entrada 185" xfId="9573"/>
    <cellStyle name="Entrada 185 2" xfId="29768"/>
    <cellStyle name="Entrada 186" xfId="9574"/>
    <cellStyle name="Entrada 186 2" xfId="29769"/>
    <cellStyle name="Entrada 187" xfId="9575"/>
    <cellStyle name="Entrada 187 2" xfId="29770"/>
    <cellStyle name="Entrada 188" xfId="9576"/>
    <cellStyle name="Entrada 188 2" xfId="29771"/>
    <cellStyle name="Entrada 189" xfId="9577"/>
    <cellStyle name="Entrada 189 2" xfId="29772"/>
    <cellStyle name="Entrada 19" xfId="9578"/>
    <cellStyle name="Entrada 19 2" xfId="9579"/>
    <cellStyle name="Entrada 19 2 2" xfId="29773"/>
    <cellStyle name="Entrada 19 3" xfId="9580"/>
    <cellStyle name="Entrada 19 3 2" xfId="29774"/>
    <cellStyle name="Entrada 19 4" xfId="29134"/>
    <cellStyle name="Entrada 190" xfId="9581"/>
    <cellStyle name="Entrada 190 2" xfId="29775"/>
    <cellStyle name="Entrada 2" xfId="9582"/>
    <cellStyle name="Entrada 2 10" xfId="9583"/>
    <cellStyle name="Entrada 2 10 2" xfId="9584"/>
    <cellStyle name="Entrada 2 10 2 2" xfId="29777"/>
    <cellStyle name="Entrada 2 10 3" xfId="9585"/>
    <cellStyle name="Entrada 2 10 3 2" xfId="29778"/>
    <cellStyle name="Entrada 2 10 4" xfId="9586"/>
    <cellStyle name="Entrada 2 10 4 2" xfId="29779"/>
    <cellStyle name="Entrada 2 10 5" xfId="9587"/>
    <cellStyle name="Entrada 2 10 5 2" xfId="29780"/>
    <cellStyle name="Entrada 2 10 6" xfId="9588"/>
    <cellStyle name="Entrada 2 10 6 2" xfId="29781"/>
    <cellStyle name="Entrada 2 10 7" xfId="9589"/>
    <cellStyle name="Entrada 2 10 7 2" xfId="29782"/>
    <cellStyle name="Entrada 2 10 8" xfId="29776"/>
    <cellStyle name="Entrada 2 11" xfId="9590"/>
    <cellStyle name="Entrada 2 11 2" xfId="9591"/>
    <cellStyle name="Entrada 2 11 2 2" xfId="29784"/>
    <cellStyle name="Entrada 2 11 3" xfId="9592"/>
    <cellStyle name="Entrada 2 11 3 2" xfId="29785"/>
    <cellStyle name="Entrada 2 11 4" xfId="9593"/>
    <cellStyle name="Entrada 2 11 4 2" xfId="29786"/>
    <cellStyle name="Entrada 2 11 5" xfId="9594"/>
    <cellStyle name="Entrada 2 11 5 2" xfId="29787"/>
    <cellStyle name="Entrada 2 11 6" xfId="9595"/>
    <cellStyle name="Entrada 2 11 6 2" xfId="29788"/>
    <cellStyle name="Entrada 2 11 7" xfId="9596"/>
    <cellStyle name="Entrada 2 11 7 2" xfId="29789"/>
    <cellStyle name="Entrada 2 11 8" xfId="29783"/>
    <cellStyle name="Entrada 2 12" xfId="9597"/>
    <cellStyle name="Entrada 2 12 2" xfId="29790"/>
    <cellStyle name="Entrada 2 13" xfId="9598"/>
    <cellStyle name="Entrada 2 13 2" xfId="29791"/>
    <cellStyle name="Entrada 2 14" xfId="9599"/>
    <cellStyle name="Entrada 2 14 2" xfId="29792"/>
    <cellStyle name="Entrada 2 15" xfId="9600"/>
    <cellStyle name="Entrada 2 15 2" xfId="29793"/>
    <cellStyle name="Entrada 2 16" xfId="9601"/>
    <cellStyle name="Entrada 2 16 2" xfId="29794"/>
    <cellStyle name="Entrada 2 17" xfId="9602"/>
    <cellStyle name="Entrada 2 17 2" xfId="29795"/>
    <cellStyle name="Entrada 2 18" xfId="9603"/>
    <cellStyle name="Entrada 2 18 2" xfId="29796"/>
    <cellStyle name="Entrada 2 19" xfId="9604"/>
    <cellStyle name="Entrada 2 19 2" xfId="29797"/>
    <cellStyle name="Entrada 2 2" xfId="9605"/>
    <cellStyle name="Entrada 2 2 2" xfId="29135"/>
    <cellStyle name="Entrada 2 20" xfId="9606"/>
    <cellStyle name="Entrada 2 20 2" xfId="29798"/>
    <cellStyle name="Entrada 2 21" xfId="9607"/>
    <cellStyle name="Entrada 2 21 2" xfId="29799"/>
    <cellStyle name="Entrada 2 22" xfId="9608"/>
    <cellStyle name="Entrada 2 22 2" xfId="29800"/>
    <cellStyle name="Entrada 2 23" xfId="9609"/>
    <cellStyle name="Entrada 2 23 2" xfId="29801"/>
    <cellStyle name="Entrada 2 24" xfId="9610"/>
    <cellStyle name="Entrada 2 24 2" xfId="29802"/>
    <cellStyle name="Entrada 2 25" xfId="9611"/>
    <cellStyle name="Entrada 2 25 2" xfId="29803"/>
    <cellStyle name="Entrada 2 26" xfId="9612"/>
    <cellStyle name="Entrada 2 26 2" xfId="29804"/>
    <cellStyle name="Entrada 2 27" xfId="9613"/>
    <cellStyle name="Entrada 2 27 2" xfId="29805"/>
    <cellStyle name="Entrada 2 28" xfId="9614"/>
    <cellStyle name="Entrada 2 28 2" xfId="29806"/>
    <cellStyle name="Entrada 2 29" xfId="9615"/>
    <cellStyle name="Entrada 2 29 2" xfId="29807"/>
    <cellStyle name="Entrada 2 3" xfId="9616"/>
    <cellStyle name="Entrada 2 3 2" xfId="29136"/>
    <cellStyle name="Entrada 2 30" xfId="9617"/>
    <cellStyle name="Entrada 2 30 2" xfId="29808"/>
    <cellStyle name="Entrada 2 31" xfId="9618"/>
    <cellStyle name="Entrada 2 31 2" xfId="29809"/>
    <cellStyle name="Entrada 2 32" xfId="9619"/>
    <cellStyle name="Entrada 2 32 2" xfId="29810"/>
    <cellStyle name="Entrada 2 33" xfId="9620"/>
    <cellStyle name="Entrada 2 33 2" xfId="29811"/>
    <cellStyle name="Entrada 2 34" xfId="9621"/>
    <cellStyle name="Entrada 2 34 2" xfId="29812"/>
    <cellStyle name="Entrada 2 35" xfId="9622"/>
    <cellStyle name="Entrada 2 35 2" xfId="29813"/>
    <cellStyle name="Entrada 2 36" xfId="29374"/>
    <cellStyle name="Entrada 2 4" xfId="9623"/>
    <cellStyle name="Entrada 2 4 2" xfId="29137"/>
    <cellStyle name="Entrada 2 5" xfId="9624"/>
    <cellStyle name="Entrada 2 5 2" xfId="29138"/>
    <cellStyle name="Entrada 2 6" xfId="9625"/>
    <cellStyle name="Entrada 2 6 2" xfId="29139"/>
    <cellStyle name="Entrada 2 7" xfId="9626"/>
    <cellStyle name="Entrada 2 7 2" xfId="29140"/>
    <cellStyle name="Entrada 2 8" xfId="9627"/>
    <cellStyle name="Entrada 2 8 2" xfId="9628"/>
    <cellStyle name="Entrada 2 8 2 2" xfId="29815"/>
    <cellStyle name="Entrada 2 8 3" xfId="9629"/>
    <cellStyle name="Entrada 2 8 3 2" xfId="29816"/>
    <cellStyle name="Entrada 2 8 4" xfId="9630"/>
    <cellStyle name="Entrada 2 8 4 2" xfId="29817"/>
    <cellStyle name="Entrada 2 8 5" xfId="9631"/>
    <cellStyle name="Entrada 2 8 5 2" xfId="29818"/>
    <cellStyle name="Entrada 2 8 6" xfId="9632"/>
    <cellStyle name="Entrada 2 8 6 2" xfId="29819"/>
    <cellStyle name="Entrada 2 8 7" xfId="9633"/>
    <cellStyle name="Entrada 2 8 7 2" xfId="29820"/>
    <cellStyle name="Entrada 2 8 8" xfId="29814"/>
    <cellStyle name="Entrada 2 9" xfId="9634"/>
    <cellStyle name="Entrada 2 9 2" xfId="9635"/>
    <cellStyle name="Entrada 2 9 2 2" xfId="29822"/>
    <cellStyle name="Entrada 2 9 3" xfId="9636"/>
    <cellStyle name="Entrada 2 9 3 2" xfId="29823"/>
    <cellStyle name="Entrada 2 9 4" xfId="9637"/>
    <cellStyle name="Entrada 2 9 4 2" xfId="29824"/>
    <cellStyle name="Entrada 2 9 5" xfId="9638"/>
    <cellStyle name="Entrada 2 9 5 2" xfId="29825"/>
    <cellStyle name="Entrada 2 9 6" xfId="9639"/>
    <cellStyle name="Entrada 2 9 6 2" xfId="29826"/>
    <cellStyle name="Entrada 2 9 7" xfId="9640"/>
    <cellStyle name="Entrada 2 9 7 2" xfId="29827"/>
    <cellStyle name="Entrada 2 9 8" xfId="29821"/>
    <cellStyle name="Entrada 20" xfId="9641"/>
    <cellStyle name="Entrada 20 2" xfId="9642"/>
    <cellStyle name="Entrada 20 2 2" xfId="29828"/>
    <cellStyle name="Entrada 20 3" xfId="9643"/>
    <cellStyle name="Entrada 20 3 2" xfId="29829"/>
    <cellStyle name="Entrada 20 4" xfId="29141"/>
    <cellStyle name="Entrada 21" xfId="9644"/>
    <cellStyle name="Entrada 21 2" xfId="29142"/>
    <cellStyle name="Entrada 22" xfId="9645"/>
    <cellStyle name="Entrada 22 2" xfId="29143"/>
    <cellStyle name="Entrada 23" xfId="9646"/>
    <cellStyle name="Entrada 23 2" xfId="29144"/>
    <cellStyle name="Entrada 24" xfId="9647"/>
    <cellStyle name="Entrada 24 2" xfId="29145"/>
    <cellStyle name="Entrada 24 2 2" xfId="40953"/>
    <cellStyle name="Entrada 25" xfId="9648"/>
    <cellStyle name="Entrada 25 2" xfId="29146"/>
    <cellStyle name="Entrada 25 2 2" xfId="40988"/>
    <cellStyle name="Entrada 26" xfId="9649"/>
    <cellStyle name="Entrada 26 10" xfId="9650"/>
    <cellStyle name="Entrada 26 10 2" xfId="29831"/>
    <cellStyle name="Entrada 26 11" xfId="9651"/>
    <cellStyle name="Entrada 26 11 2" xfId="29832"/>
    <cellStyle name="Entrada 26 12" xfId="9652"/>
    <cellStyle name="Entrada 26 12 2" xfId="29833"/>
    <cellStyle name="Entrada 26 13" xfId="9653"/>
    <cellStyle name="Entrada 26 13 2" xfId="29834"/>
    <cellStyle name="Entrada 26 14" xfId="9654"/>
    <cellStyle name="Entrada 26 14 2" xfId="29835"/>
    <cellStyle name="Entrada 26 15" xfId="9655"/>
    <cellStyle name="Entrada 26 15 2" xfId="29836"/>
    <cellStyle name="Entrada 26 16" xfId="9656"/>
    <cellStyle name="Entrada 26 16 2" xfId="29837"/>
    <cellStyle name="Entrada 26 17" xfId="29830"/>
    <cellStyle name="Entrada 26 2" xfId="9657"/>
    <cellStyle name="Entrada 26 2 2" xfId="29838"/>
    <cellStyle name="Entrada 26 3" xfId="9658"/>
    <cellStyle name="Entrada 26 3 2" xfId="29839"/>
    <cellStyle name="Entrada 26 4" xfId="9659"/>
    <cellStyle name="Entrada 26 4 2" xfId="29840"/>
    <cellStyle name="Entrada 26 5" xfId="9660"/>
    <cellStyle name="Entrada 26 5 2" xfId="29841"/>
    <cellStyle name="Entrada 26 6" xfId="9661"/>
    <cellStyle name="Entrada 26 6 2" xfId="29842"/>
    <cellStyle name="Entrada 26 7" xfId="9662"/>
    <cellStyle name="Entrada 26 7 2" xfId="29843"/>
    <cellStyle name="Entrada 26 8" xfId="9663"/>
    <cellStyle name="Entrada 26 8 2" xfId="29844"/>
    <cellStyle name="Entrada 26 9" xfId="9664"/>
    <cellStyle name="Entrada 26 9 2" xfId="29845"/>
    <cellStyle name="Entrada 27" xfId="9665"/>
    <cellStyle name="Entrada 27 10" xfId="9666"/>
    <cellStyle name="Entrada 27 10 2" xfId="29847"/>
    <cellStyle name="Entrada 27 11" xfId="9667"/>
    <cellStyle name="Entrada 27 11 2" xfId="29848"/>
    <cellStyle name="Entrada 27 12" xfId="9668"/>
    <cellStyle name="Entrada 27 12 2" xfId="29849"/>
    <cellStyle name="Entrada 27 13" xfId="9669"/>
    <cellStyle name="Entrada 27 13 2" xfId="29850"/>
    <cellStyle name="Entrada 27 14" xfId="9670"/>
    <cellStyle name="Entrada 27 14 2" xfId="29851"/>
    <cellStyle name="Entrada 27 15" xfId="9671"/>
    <cellStyle name="Entrada 27 15 2" xfId="29852"/>
    <cellStyle name="Entrada 27 16" xfId="9672"/>
    <cellStyle name="Entrada 27 16 2" xfId="29853"/>
    <cellStyle name="Entrada 27 17" xfId="29846"/>
    <cellStyle name="Entrada 27 2" xfId="9673"/>
    <cellStyle name="Entrada 27 2 2" xfId="29854"/>
    <cellStyle name="Entrada 27 3" xfId="9674"/>
    <cellStyle name="Entrada 27 3 2" xfId="29855"/>
    <cellStyle name="Entrada 27 4" xfId="9675"/>
    <cellStyle name="Entrada 27 4 2" xfId="29856"/>
    <cellStyle name="Entrada 27 5" xfId="9676"/>
    <cellStyle name="Entrada 27 5 2" xfId="29857"/>
    <cellStyle name="Entrada 27 6" xfId="9677"/>
    <cellStyle name="Entrada 27 6 2" xfId="29858"/>
    <cellStyle name="Entrada 27 7" xfId="9678"/>
    <cellStyle name="Entrada 27 7 2" xfId="29859"/>
    <cellStyle name="Entrada 27 8" xfId="9679"/>
    <cellStyle name="Entrada 27 8 2" xfId="29860"/>
    <cellStyle name="Entrada 27 9" xfId="9680"/>
    <cellStyle name="Entrada 27 9 2" xfId="29861"/>
    <cellStyle name="Entrada 28" xfId="9681"/>
    <cellStyle name="Entrada 28 10" xfId="9682"/>
    <cellStyle name="Entrada 28 10 2" xfId="29863"/>
    <cellStyle name="Entrada 28 11" xfId="9683"/>
    <cellStyle name="Entrada 28 11 2" xfId="29864"/>
    <cellStyle name="Entrada 28 12" xfId="9684"/>
    <cellStyle name="Entrada 28 12 2" xfId="29865"/>
    <cellStyle name="Entrada 28 13" xfId="9685"/>
    <cellStyle name="Entrada 28 13 2" xfId="29866"/>
    <cellStyle name="Entrada 28 14" xfId="9686"/>
    <cellStyle name="Entrada 28 14 2" xfId="29867"/>
    <cellStyle name="Entrada 28 15" xfId="9687"/>
    <cellStyle name="Entrada 28 15 2" xfId="29868"/>
    <cellStyle name="Entrada 28 16" xfId="9688"/>
    <cellStyle name="Entrada 28 16 2" xfId="29869"/>
    <cellStyle name="Entrada 28 17" xfId="29862"/>
    <cellStyle name="Entrada 28 2" xfId="9689"/>
    <cellStyle name="Entrada 28 2 2" xfId="29870"/>
    <cellStyle name="Entrada 28 3" xfId="9690"/>
    <cellStyle name="Entrada 28 3 2" xfId="29871"/>
    <cellStyle name="Entrada 28 4" xfId="9691"/>
    <cellStyle name="Entrada 28 4 2" xfId="29872"/>
    <cellStyle name="Entrada 28 5" xfId="9692"/>
    <cellStyle name="Entrada 28 5 2" xfId="29873"/>
    <cellStyle name="Entrada 28 6" xfId="9693"/>
    <cellStyle name="Entrada 28 6 2" xfId="29874"/>
    <cellStyle name="Entrada 28 7" xfId="9694"/>
    <cellStyle name="Entrada 28 7 2" xfId="29875"/>
    <cellStyle name="Entrada 28 8" xfId="9695"/>
    <cellStyle name="Entrada 28 8 2" xfId="29876"/>
    <cellStyle name="Entrada 28 9" xfId="9696"/>
    <cellStyle name="Entrada 28 9 2" xfId="29877"/>
    <cellStyle name="Entrada 29" xfId="9697"/>
    <cellStyle name="Entrada 29 10" xfId="9698"/>
    <cellStyle name="Entrada 29 10 2" xfId="29879"/>
    <cellStyle name="Entrada 29 11" xfId="9699"/>
    <cellStyle name="Entrada 29 11 2" xfId="29880"/>
    <cellStyle name="Entrada 29 12" xfId="9700"/>
    <cellStyle name="Entrada 29 12 2" xfId="29881"/>
    <cellStyle name="Entrada 29 13" xfId="9701"/>
    <cellStyle name="Entrada 29 13 2" xfId="29882"/>
    <cellStyle name="Entrada 29 14" xfId="9702"/>
    <cellStyle name="Entrada 29 14 2" xfId="29883"/>
    <cellStyle name="Entrada 29 15" xfId="9703"/>
    <cellStyle name="Entrada 29 15 2" xfId="29884"/>
    <cellStyle name="Entrada 29 16" xfId="9704"/>
    <cellStyle name="Entrada 29 16 2" xfId="29885"/>
    <cellStyle name="Entrada 29 17" xfId="29878"/>
    <cellStyle name="Entrada 29 2" xfId="9705"/>
    <cellStyle name="Entrada 29 2 2" xfId="29886"/>
    <cellStyle name="Entrada 29 3" xfId="9706"/>
    <cellStyle name="Entrada 29 3 2" xfId="29887"/>
    <cellStyle name="Entrada 29 4" xfId="9707"/>
    <cellStyle name="Entrada 29 4 2" xfId="29888"/>
    <cellStyle name="Entrada 29 5" xfId="9708"/>
    <cellStyle name="Entrada 29 5 2" xfId="29889"/>
    <cellStyle name="Entrada 29 6" xfId="9709"/>
    <cellStyle name="Entrada 29 6 2" xfId="29890"/>
    <cellStyle name="Entrada 29 7" xfId="9710"/>
    <cellStyle name="Entrada 29 7 2" xfId="29891"/>
    <cellStyle name="Entrada 29 8" xfId="9711"/>
    <cellStyle name="Entrada 29 8 2" xfId="29892"/>
    <cellStyle name="Entrada 29 9" xfId="9712"/>
    <cellStyle name="Entrada 29 9 2" xfId="29893"/>
    <cellStyle name="Entrada 3" xfId="9713"/>
    <cellStyle name="Entrada 3 10" xfId="9714"/>
    <cellStyle name="Entrada 3 10 2" xfId="29894"/>
    <cellStyle name="Entrada 3 11" xfId="9715"/>
    <cellStyle name="Entrada 3 11 2" xfId="29895"/>
    <cellStyle name="Entrada 3 2" xfId="9716"/>
    <cellStyle name="Entrada 3 2 2" xfId="29147"/>
    <cellStyle name="Entrada 3 3" xfId="9717"/>
    <cellStyle name="Entrada 3 3 2" xfId="29148"/>
    <cellStyle name="Entrada 3 4" xfId="9718"/>
    <cellStyle name="Entrada 3 4 2" xfId="29149"/>
    <cellStyle name="Entrada 3 5" xfId="9719"/>
    <cellStyle name="Entrada 3 5 2" xfId="29150"/>
    <cellStyle name="Entrada 3 6" xfId="9720"/>
    <cellStyle name="Entrada 3 6 2" xfId="29151"/>
    <cellStyle name="Entrada 3 7" xfId="9721"/>
    <cellStyle name="Entrada 3 7 2" xfId="29152"/>
    <cellStyle name="Entrada 3 8" xfId="9722"/>
    <cellStyle name="Entrada 3 8 2" xfId="29896"/>
    <cellStyle name="Entrada 3 9" xfId="9723"/>
    <cellStyle name="Entrada 3 9 2" xfId="29897"/>
    <cellStyle name="Entrada 30" xfId="9724"/>
    <cellStyle name="Entrada 30 2" xfId="29898"/>
    <cellStyle name="Entrada 31" xfId="9725"/>
    <cellStyle name="Entrada 31 2" xfId="29899"/>
    <cellStyle name="Entrada 32" xfId="9726"/>
    <cellStyle name="Entrada 32 2" xfId="29900"/>
    <cellStyle name="Entrada 33" xfId="9727"/>
    <cellStyle name="Entrada 33 2" xfId="29901"/>
    <cellStyle name="Entrada 34" xfId="9728"/>
    <cellStyle name="Entrada 34 2" xfId="29902"/>
    <cellStyle name="Entrada 35" xfId="9729"/>
    <cellStyle name="Entrada 35 2" xfId="29903"/>
    <cellStyle name="Entrada 36" xfId="9730"/>
    <cellStyle name="Entrada 36 2" xfId="29904"/>
    <cellStyle name="Entrada 37" xfId="9731"/>
    <cellStyle name="Entrada 37 2" xfId="29905"/>
    <cellStyle name="Entrada 38" xfId="9732"/>
    <cellStyle name="Entrada 38 2" xfId="29906"/>
    <cellStyle name="Entrada 39" xfId="9733"/>
    <cellStyle name="Entrada 39 2" xfId="29907"/>
    <cellStyle name="Entrada 4" xfId="9734"/>
    <cellStyle name="Entrada 4 10" xfId="9735"/>
    <cellStyle name="Entrada 4 10 2" xfId="29908"/>
    <cellStyle name="Entrada 4 11" xfId="9736"/>
    <cellStyle name="Entrada 4 11 2" xfId="29909"/>
    <cellStyle name="Entrada 4 2" xfId="9737"/>
    <cellStyle name="Entrada 4 2 2" xfId="29153"/>
    <cellStyle name="Entrada 4 3" xfId="9738"/>
    <cellStyle name="Entrada 4 3 2" xfId="29154"/>
    <cellStyle name="Entrada 4 4" xfId="9739"/>
    <cellStyle name="Entrada 4 4 2" xfId="29155"/>
    <cellStyle name="Entrada 4 5" xfId="9740"/>
    <cellStyle name="Entrada 4 5 2" xfId="29156"/>
    <cellStyle name="Entrada 4 6" xfId="9741"/>
    <cellStyle name="Entrada 4 6 2" xfId="29157"/>
    <cellStyle name="Entrada 4 7" xfId="9742"/>
    <cellStyle name="Entrada 4 7 2" xfId="29158"/>
    <cellStyle name="Entrada 4 8" xfId="9743"/>
    <cellStyle name="Entrada 4 8 2" xfId="29910"/>
    <cellStyle name="Entrada 4 9" xfId="9744"/>
    <cellStyle name="Entrada 4 9 2" xfId="29911"/>
    <cellStyle name="Entrada 40" xfId="9745"/>
    <cellStyle name="Entrada 40 2" xfId="29912"/>
    <cellStyle name="Entrada 41" xfId="9746"/>
    <cellStyle name="Entrada 41 2" xfId="29913"/>
    <cellStyle name="Entrada 42" xfId="9747"/>
    <cellStyle name="Entrada 42 2" xfId="29914"/>
    <cellStyle name="Entrada 43" xfId="9748"/>
    <cellStyle name="Entrada 43 2" xfId="29915"/>
    <cellStyle name="Entrada 44" xfId="9749"/>
    <cellStyle name="Entrada 44 2" xfId="29916"/>
    <cellStyle name="Entrada 45" xfId="9750"/>
    <cellStyle name="Entrada 45 2" xfId="29917"/>
    <cellStyle name="Entrada 46" xfId="9751"/>
    <cellStyle name="Entrada 46 2" xfId="29918"/>
    <cellStyle name="Entrada 47" xfId="9752"/>
    <cellStyle name="Entrada 47 2" xfId="29919"/>
    <cellStyle name="Entrada 48" xfId="9753"/>
    <cellStyle name="Entrada 48 2" xfId="29920"/>
    <cellStyle name="Entrada 49" xfId="9754"/>
    <cellStyle name="Entrada 49 2" xfId="29921"/>
    <cellStyle name="Entrada 5" xfId="9755"/>
    <cellStyle name="Entrada 5 2" xfId="9756"/>
    <cellStyle name="Entrada 5 2 2" xfId="29160"/>
    <cellStyle name="Entrada 5 3" xfId="9757"/>
    <cellStyle name="Entrada 5 3 2" xfId="29161"/>
    <cellStyle name="Entrada 5 4" xfId="9758"/>
    <cellStyle name="Entrada 5 4 2" xfId="29162"/>
    <cellStyle name="Entrada 5 5" xfId="29159"/>
    <cellStyle name="Entrada 50" xfId="9759"/>
    <cellStyle name="Entrada 50 2" xfId="29922"/>
    <cellStyle name="Entrada 51" xfId="9760"/>
    <cellStyle name="Entrada 51 2" xfId="29923"/>
    <cellStyle name="Entrada 52" xfId="9761"/>
    <cellStyle name="Entrada 52 2" xfId="29924"/>
    <cellStyle name="Entrada 53" xfId="9762"/>
    <cellStyle name="Entrada 53 2" xfId="29925"/>
    <cellStyle name="Entrada 54" xfId="9763"/>
    <cellStyle name="Entrada 54 2" xfId="29926"/>
    <cellStyle name="Entrada 55" xfId="9764"/>
    <cellStyle name="Entrada 55 2" xfId="29927"/>
    <cellStyle name="Entrada 56" xfId="9765"/>
    <cellStyle name="Entrada 56 2" xfId="29928"/>
    <cellStyle name="Entrada 57" xfId="9766"/>
    <cellStyle name="Entrada 57 2" xfId="29929"/>
    <cellStyle name="Entrada 58" xfId="9767"/>
    <cellStyle name="Entrada 58 2" xfId="29930"/>
    <cellStyle name="Entrada 59" xfId="9768"/>
    <cellStyle name="Entrada 59 2" xfId="29931"/>
    <cellStyle name="Entrada 6" xfId="14"/>
    <cellStyle name="Entrada 6 2" xfId="9769"/>
    <cellStyle name="Entrada 6 2 2" xfId="29164"/>
    <cellStyle name="Entrada 6 3" xfId="9770"/>
    <cellStyle name="Entrada 6 3 2" xfId="29165"/>
    <cellStyle name="Entrada 6 4" xfId="9771"/>
    <cellStyle name="Entrada 6 4 2" xfId="29166"/>
    <cellStyle name="Entrada 6 5" xfId="29163"/>
    <cellStyle name="Entrada 6 6" xfId="29360"/>
    <cellStyle name="Entrada 60" xfId="9772"/>
    <cellStyle name="Entrada 60 2" xfId="29932"/>
    <cellStyle name="Entrada 61" xfId="9773"/>
    <cellStyle name="Entrada 61 2" xfId="29933"/>
    <cellStyle name="Entrada 62" xfId="9774"/>
    <cellStyle name="Entrada 62 2" xfId="29934"/>
    <cellStyle name="Entrada 63" xfId="9775"/>
    <cellStyle name="Entrada 63 2" xfId="29935"/>
    <cellStyle name="Entrada 64" xfId="9776"/>
    <cellStyle name="Entrada 64 2" xfId="29936"/>
    <cellStyle name="Entrada 65" xfId="9777"/>
    <cellStyle name="Entrada 65 2" xfId="29937"/>
    <cellStyle name="Entrada 66" xfId="9778"/>
    <cellStyle name="Entrada 66 2" xfId="29938"/>
    <cellStyle name="Entrada 67" xfId="9779"/>
    <cellStyle name="Entrada 67 2" xfId="29939"/>
    <cellStyle name="Entrada 68" xfId="9780"/>
    <cellStyle name="Entrada 68 2" xfId="29940"/>
    <cellStyle name="Entrada 69" xfId="9781"/>
    <cellStyle name="Entrada 69 2" xfId="29941"/>
    <cellStyle name="Entrada 7" xfId="9782"/>
    <cellStyle name="Entrada 7 2" xfId="9783"/>
    <cellStyle name="Entrada 7 2 2" xfId="29168"/>
    <cellStyle name="Entrada 7 3" xfId="9784"/>
    <cellStyle name="Entrada 7 3 2" xfId="29169"/>
    <cellStyle name="Entrada 7 4" xfId="9785"/>
    <cellStyle name="Entrada 7 4 2" xfId="29170"/>
    <cellStyle name="Entrada 7 5" xfId="29167"/>
    <cellStyle name="Entrada 70" xfId="9786"/>
    <cellStyle name="Entrada 70 2" xfId="29942"/>
    <cellStyle name="Entrada 71" xfId="9787"/>
    <cellStyle name="Entrada 71 2" xfId="29943"/>
    <cellStyle name="Entrada 72" xfId="9788"/>
    <cellStyle name="Entrada 72 2" xfId="29944"/>
    <cellStyle name="Entrada 73" xfId="9789"/>
    <cellStyle name="Entrada 73 2" xfId="29945"/>
    <cellStyle name="Entrada 74" xfId="9790"/>
    <cellStyle name="Entrada 74 2" xfId="29946"/>
    <cellStyle name="Entrada 75" xfId="9791"/>
    <cellStyle name="Entrada 75 2" xfId="29947"/>
    <cellStyle name="Entrada 76" xfId="9792"/>
    <cellStyle name="Entrada 76 2" xfId="29948"/>
    <cellStyle name="Entrada 77" xfId="9793"/>
    <cellStyle name="Entrada 77 2" xfId="29949"/>
    <cellStyle name="Entrada 78" xfId="9794"/>
    <cellStyle name="Entrada 78 2" xfId="29950"/>
    <cellStyle name="Entrada 79" xfId="9795"/>
    <cellStyle name="Entrada 79 2" xfId="29951"/>
    <cellStyle name="Entrada 8" xfId="9796"/>
    <cellStyle name="Entrada 8 2" xfId="9797"/>
    <cellStyle name="Entrada 8 2 2" xfId="29172"/>
    <cellStyle name="Entrada 8 3" xfId="9798"/>
    <cellStyle name="Entrada 8 3 2" xfId="29173"/>
    <cellStyle name="Entrada 8 4" xfId="9799"/>
    <cellStyle name="Entrada 8 4 2" xfId="29174"/>
    <cellStyle name="Entrada 8 5" xfId="29171"/>
    <cellStyle name="Entrada 80" xfId="9800"/>
    <cellStyle name="Entrada 80 2" xfId="29952"/>
    <cellStyle name="Entrada 81" xfId="9801"/>
    <cellStyle name="Entrada 81 2" xfId="29953"/>
    <cellStyle name="Entrada 82" xfId="9802"/>
    <cellStyle name="Entrada 82 2" xfId="29954"/>
    <cellStyle name="Entrada 83" xfId="9803"/>
    <cellStyle name="Entrada 83 2" xfId="29955"/>
    <cellStyle name="Entrada 84" xfId="9804"/>
    <cellStyle name="Entrada 84 2" xfId="29956"/>
    <cellStyle name="Entrada 85" xfId="9805"/>
    <cellStyle name="Entrada 85 2" xfId="29957"/>
    <cellStyle name="Entrada 86" xfId="9806"/>
    <cellStyle name="Entrada 86 2" xfId="29958"/>
    <cellStyle name="Entrada 87" xfId="9807"/>
    <cellStyle name="Entrada 87 2" xfId="29959"/>
    <cellStyle name="Entrada 88" xfId="9808"/>
    <cellStyle name="Entrada 88 2" xfId="29960"/>
    <cellStyle name="Entrada 89" xfId="9809"/>
    <cellStyle name="Entrada 89 2" xfId="29961"/>
    <cellStyle name="Entrada 9" xfId="9810"/>
    <cellStyle name="Entrada 9 2" xfId="29175"/>
    <cellStyle name="Entrada 90" xfId="9811"/>
    <cellStyle name="Entrada 90 2" xfId="29962"/>
    <cellStyle name="Entrada 91" xfId="9812"/>
    <cellStyle name="Entrada 91 2" xfId="29963"/>
    <cellStyle name="Entrada 92" xfId="9813"/>
    <cellStyle name="Entrada 92 2" xfId="29964"/>
    <cellStyle name="Entrada 93" xfId="9814"/>
    <cellStyle name="Entrada 93 2" xfId="29965"/>
    <cellStyle name="Entrada 94" xfId="9815"/>
    <cellStyle name="Entrada 94 2" xfId="29966"/>
    <cellStyle name="Entrada 95" xfId="9816"/>
    <cellStyle name="Entrada 95 2" xfId="29967"/>
    <cellStyle name="Entrada 96" xfId="9817"/>
    <cellStyle name="Entrada 96 2" xfId="29968"/>
    <cellStyle name="Entrada 97" xfId="9818"/>
    <cellStyle name="Entrada 97 2" xfId="29969"/>
    <cellStyle name="Entrada 98" xfId="9819"/>
    <cellStyle name="Entrada 98 2" xfId="29970"/>
    <cellStyle name="Entrada 99" xfId="9820"/>
    <cellStyle name="Entrada 99 2" xfId="29971"/>
    <cellStyle name="Euro" xfId="9821"/>
    <cellStyle name="Euro 10" xfId="9822"/>
    <cellStyle name="Euro 10 10" xfId="9823"/>
    <cellStyle name="Euro 10 11" xfId="9824"/>
    <cellStyle name="Euro 10 12" xfId="9825"/>
    <cellStyle name="Euro 10 13" xfId="9826"/>
    <cellStyle name="Euro 10 14" xfId="9827"/>
    <cellStyle name="Euro 10 15" xfId="9828"/>
    <cellStyle name="Euro 10 2" xfId="9829"/>
    <cellStyle name="Euro 10 3" xfId="9830"/>
    <cellStyle name="Euro 10 4" xfId="9831"/>
    <cellStyle name="Euro 10 5" xfId="9832"/>
    <cellStyle name="Euro 10 6" xfId="9833"/>
    <cellStyle name="Euro 10 7" xfId="9834"/>
    <cellStyle name="Euro 10 8" xfId="9835"/>
    <cellStyle name="Euro 10 9" xfId="9836"/>
    <cellStyle name="Euro 11" xfId="9837"/>
    <cellStyle name="Euro 11 10" xfId="9838"/>
    <cellStyle name="Euro 11 11" xfId="9839"/>
    <cellStyle name="Euro 11 12" xfId="9840"/>
    <cellStyle name="Euro 11 13" xfId="9841"/>
    <cellStyle name="Euro 11 14" xfId="9842"/>
    <cellStyle name="Euro 11 15" xfId="9843"/>
    <cellStyle name="Euro 11 2" xfId="9844"/>
    <cellStyle name="Euro 11 3" xfId="9845"/>
    <cellStyle name="Euro 11 4" xfId="9846"/>
    <cellStyle name="Euro 11 5" xfId="9847"/>
    <cellStyle name="Euro 11 6" xfId="9848"/>
    <cellStyle name="Euro 11 7" xfId="9849"/>
    <cellStyle name="Euro 11 8" xfId="9850"/>
    <cellStyle name="Euro 11 9" xfId="9851"/>
    <cellStyle name="Euro 12" xfId="9852"/>
    <cellStyle name="Euro 12 10" xfId="9853"/>
    <cellStyle name="Euro 12 11" xfId="9854"/>
    <cellStyle name="Euro 12 12" xfId="9855"/>
    <cellStyle name="Euro 12 13" xfId="9856"/>
    <cellStyle name="Euro 12 14" xfId="9857"/>
    <cellStyle name="Euro 12 15" xfId="9858"/>
    <cellStyle name="Euro 12 2" xfId="9859"/>
    <cellStyle name="Euro 12 3" xfId="9860"/>
    <cellStyle name="Euro 12 4" xfId="9861"/>
    <cellStyle name="Euro 12 5" xfId="9862"/>
    <cellStyle name="Euro 12 6" xfId="9863"/>
    <cellStyle name="Euro 12 7" xfId="9864"/>
    <cellStyle name="Euro 12 8" xfId="9865"/>
    <cellStyle name="Euro 12 9" xfId="9866"/>
    <cellStyle name="Euro 13" xfId="40450"/>
    <cellStyle name="Euro 2" xfId="9867"/>
    <cellStyle name="Euro 2 2" xfId="9868"/>
    <cellStyle name="Euro 2 2 2" xfId="9869"/>
    <cellStyle name="Euro 2 2 3" xfId="9870"/>
    <cellStyle name="Euro 2 2 4" xfId="9871"/>
    <cellStyle name="Euro 2 2 5" xfId="9872"/>
    <cellStyle name="Euro 2 2 6" xfId="9873"/>
    <cellStyle name="Euro 2 2 7" xfId="9874"/>
    <cellStyle name="Euro 2 3" xfId="9875"/>
    <cellStyle name="Euro 2 4" xfId="9876"/>
    <cellStyle name="Euro 2 5" xfId="9877"/>
    <cellStyle name="Euro 2 6" xfId="9878"/>
    <cellStyle name="Euro 2 7" xfId="9879"/>
    <cellStyle name="Euro 2 8" xfId="9880"/>
    <cellStyle name="Euro 2 9" xfId="40599"/>
    <cellStyle name="Euro 3" xfId="9881"/>
    <cellStyle name="Euro 4" xfId="9882"/>
    <cellStyle name="Euro 5" xfId="9883"/>
    <cellStyle name="Euro 6" xfId="9884"/>
    <cellStyle name="Euro 7" xfId="9885"/>
    <cellStyle name="Euro 8" xfId="9886"/>
    <cellStyle name="Euro 9" xfId="9887"/>
    <cellStyle name="Euro 9 10" xfId="9888"/>
    <cellStyle name="Euro 9 11" xfId="9889"/>
    <cellStyle name="Euro 9 12" xfId="9890"/>
    <cellStyle name="Euro 9 13" xfId="9891"/>
    <cellStyle name="Euro 9 14" xfId="9892"/>
    <cellStyle name="Euro 9 15" xfId="9893"/>
    <cellStyle name="Euro 9 2" xfId="9894"/>
    <cellStyle name="Euro 9 3" xfId="9895"/>
    <cellStyle name="Euro 9 4" xfId="9896"/>
    <cellStyle name="Euro 9 5" xfId="9897"/>
    <cellStyle name="Euro 9 6" xfId="9898"/>
    <cellStyle name="Euro 9 7" xfId="9899"/>
    <cellStyle name="Euro 9 8" xfId="9900"/>
    <cellStyle name="Euro 9 9" xfId="9901"/>
    <cellStyle name="Fixo" xfId="9902"/>
    <cellStyle name="Hiperlink" xfId="41057" builtinId="8"/>
    <cellStyle name="Hiperlink 2" xfId="41074"/>
    <cellStyle name="Hyperlink 2" xfId="9903"/>
    <cellStyle name="Hyperlink 2 2" xfId="9904"/>
    <cellStyle name="Incorreto 10" xfId="9905"/>
    <cellStyle name="Incorreto 10 2" xfId="40600"/>
    <cellStyle name="Incorreto 100" xfId="9906"/>
    <cellStyle name="Incorreto 101" xfId="9907"/>
    <cellStyle name="Incorreto 102" xfId="9908"/>
    <cellStyle name="Incorreto 103" xfId="9909"/>
    <cellStyle name="Incorreto 104" xfId="9910"/>
    <cellStyle name="Incorreto 105" xfId="9911"/>
    <cellStyle name="Incorreto 106" xfId="9912"/>
    <cellStyle name="Incorreto 107" xfId="9913"/>
    <cellStyle name="Incorreto 108" xfId="9914"/>
    <cellStyle name="Incorreto 109" xfId="9915"/>
    <cellStyle name="Incorreto 11" xfId="9916"/>
    <cellStyle name="Incorreto 11 2" xfId="40601"/>
    <cellStyle name="Incorreto 110" xfId="9917"/>
    <cellStyle name="Incorreto 111" xfId="9918"/>
    <cellStyle name="Incorreto 112" xfId="9919"/>
    <cellStyle name="Incorreto 113" xfId="9920"/>
    <cellStyle name="Incorreto 114" xfId="9921"/>
    <cellStyle name="Incorreto 115" xfId="9922"/>
    <cellStyle name="Incorreto 116" xfId="9923"/>
    <cellStyle name="Incorreto 117" xfId="9924"/>
    <cellStyle name="Incorreto 118" xfId="9925"/>
    <cellStyle name="Incorreto 119" xfId="9926"/>
    <cellStyle name="Incorreto 12" xfId="9927"/>
    <cellStyle name="Incorreto 12 2" xfId="40602"/>
    <cellStyle name="Incorreto 120" xfId="9928"/>
    <cellStyle name="Incorreto 121" xfId="9929"/>
    <cellStyle name="Incorreto 122" xfId="9930"/>
    <cellStyle name="Incorreto 123" xfId="9931"/>
    <cellStyle name="Incorreto 124" xfId="9932"/>
    <cellStyle name="Incorreto 125" xfId="9933"/>
    <cellStyle name="Incorreto 126" xfId="9934"/>
    <cellStyle name="Incorreto 127" xfId="9935"/>
    <cellStyle name="Incorreto 128" xfId="9936"/>
    <cellStyle name="Incorreto 129" xfId="9937"/>
    <cellStyle name="Incorreto 13" xfId="9938"/>
    <cellStyle name="Incorreto 13 2" xfId="40603"/>
    <cellStyle name="Incorreto 130" xfId="9939"/>
    <cellStyle name="Incorreto 131" xfId="9940"/>
    <cellStyle name="Incorreto 132" xfId="9941"/>
    <cellStyle name="Incorreto 133" xfId="9942"/>
    <cellStyle name="Incorreto 134" xfId="9943"/>
    <cellStyle name="Incorreto 135" xfId="9944"/>
    <cellStyle name="Incorreto 136" xfId="9945"/>
    <cellStyle name="Incorreto 137" xfId="9946"/>
    <cellStyle name="Incorreto 138" xfId="9947"/>
    <cellStyle name="Incorreto 139" xfId="9948"/>
    <cellStyle name="Incorreto 14" xfId="9949"/>
    <cellStyle name="Incorreto 140" xfId="9950"/>
    <cellStyle name="Incorreto 141" xfId="9951"/>
    <cellStyle name="Incorreto 142" xfId="9952"/>
    <cellStyle name="Incorreto 143" xfId="9953"/>
    <cellStyle name="Incorreto 144" xfId="9954"/>
    <cellStyle name="Incorreto 145" xfId="9955"/>
    <cellStyle name="Incorreto 146" xfId="9956"/>
    <cellStyle name="Incorreto 147" xfId="9957"/>
    <cellStyle name="Incorreto 148" xfId="9958"/>
    <cellStyle name="Incorreto 149" xfId="9959"/>
    <cellStyle name="Incorreto 15" xfId="9960"/>
    <cellStyle name="Incorreto 15 2" xfId="9961"/>
    <cellStyle name="Incorreto 15 3" xfId="9962"/>
    <cellStyle name="Incorreto 150" xfId="9963"/>
    <cellStyle name="Incorreto 151" xfId="9964"/>
    <cellStyle name="Incorreto 152" xfId="9965"/>
    <cellStyle name="Incorreto 153" xfId="9966"/>
    <cellStyle name="Incorreto 154" xfId="9967"/>
    <cellStyle name="Incorreto 155" xfId="9968"/>
    <cellStyle name="Incorreto 156" xfId="9969"/>
    <cellStyle name="Incorreto 157" xfId="9970"/>
    <cellStyle name="Incorreto 158" xfId="9971"/>
    <cellStyle name="Incorreto 159" xfId="9972"/>
    <cellStyle name="Incorreto 16" xfId="9973"/>
    <cellStyle name="Incorreto 16 2" xfId="9974"/>
    <cellStyle name="Incorreto 16 3" xfId="9975"/>
    <cellStyle name="Incorreto 160" xfId="9976"/>
    <cellStyle name="Incorreto 161" xfId="9977"/>
    <cellStyle name="Incorreto 162" xfId="9978"/>
    <cellStyle name="Incorreto 163" xfId="9979"/>
    <cellStyle name="Incorreto 164" xfId="9980"/>
    <cellStyle name="Incorreto 165" xfId="9981"/>
    <cellStyle name="Incorreto 166" xfId="9982"/>
    <cellStyle name="Incorreto 167" xfId="9983"/>
    <cellStyle name="Incorreto 168" xfId="9984"/>
    <cellStyle name="Incorreto 169" xfId="9985"/>
    <cellStyle name="Incorreto 17" xfId="9986"/>
    <cellStyle name="Incorreto 17 2" xfId="9987"/>
    <cellStyle name="Incorreto 17 3" xfId="9988"/>
    <cellStyle name="Incorreto 170" xfId="9989"/>
    <cellStyle name="Incorreto 171" xfId="9990"/>
    <cellStyle name="Incorreto 172" xfId="9991"/>
    <cellStyle name="Incorreto 173" xfId="9992"/>
    <cellStyle name="Incorreto 174" xfId="9993"/>
    <cellStyle name="Incorreto 175" xfId="9994"/>
    <cellStyle name="Incorreto 176" xfId="9995"/>
    <cellStyle name="Incorreto 177" xfId="9996"/>
    <cellStyle name="Incorreto 178" xfId="9997"/>
    <cellStyle name="Incorreto 179" xfId="9998"/>
    <cellStyle name="Incorreto 18" xfId="9999"/>
    <cellStyle name="Incorreto 18 2" xfId="10000"/>
    <cellStyle name="Incorreto 18 3" xfId="10001"/>
    <cellStyle name="Incorreto 180" xfId="10002"/>
    <cellStyle name="Incorreto 181" xfId="10003"/>
    <cellStyle name="Incorreto 182" xfId="10004"/>
    <cellStyle name="Incorreto 183" xfId="10005"/>
    <cellStyle name="Incorreto 184" xfId="10006"/>
    <cellStyle name="Incorreto 185" xfId="10007"/>
    <cellStyle name="Incorreto 186" xfId="10008"/>
    <cellStyle name="Incorreto 187" xfId="10009"/>
    <cellStyle name="Incorreto 188" xfId="10010"/>
    <cellStyle name="Incorreto 189" xfId="10011"/>
    <cellStyle name="Incorreto 19" xfId="10012"/>
    <cellStyle name="Incorreto 19 2" xfId="10013"/>
    <cellStyle name="Incorreto 19 3" xfId="10014"/>
    <cellStyle name="Incorreto 190" xfId="10015"/>
    <cellStyle name="Incorreto 2" xfId="10016"/>
    <cellStyle name="Incorreto 2 10" xfId="10017"/>
    <cellStyle name="Incorreto 2 10 2" xfId="10018"/>
    <cellStyle name="Incorreto 2 10 3" xfId="10019"/>
    <cellStyle name="Incorreto 2 10 4" xfId="10020"/>
    <cellStyle name="Incorreto 2 10 5" xfId="10021"/>
    <cellStyle name="Incorreto 2 10 6" xfId="10022"/>
    <cellStyle name="Incorreto 2 10 7" xfId="10023"/>
    <cellStyle name="Incorreto 2 11" xfId="10024"/>
    <cellStyle name="Incorreto 2 11 2" xfId="10025"/>
    <cellStyle name="Incorreto 2 11 3" xfId="10026"/>
    <cellStyle name="Incorreto 2 11 4" xfId="10027"/>
    <cellStyle name="Incorreto 2 11 5" xfId="10028"/>
    <cellStyle name="Incorreto 2 11 6" xfId="10029"/>
    <cellStyle name="Incorreto 2 11 7" xfId="10030"/>
    <cellStyle name="Incorreto 2 12" xfId="10031"/>
    <cellStyle name="Incorreto 2 13" xfId="10032"/>
    <cellStyle name="Incorreto 2 14" xfId="10033"/>
    <cellStyle name="Incorreto 2 15" xfId="10034"/>
    <cellStyle name="Incorreto 2 16" xfId="10035"/>
    <cellStyle name="Incorreto 2 17" xfId="10036"/>
    <cellStyle name="Incorreto 2 18" xfId="10037"/>
    <cellStyle name="Incorreto 2 19" xfId="10038"/>
    <cellStyle name="Incorreto 2 2" xfId="10039"/>
    <cellStyle name="Incorreto 2 20" xfId="10040"/>
    <cellStyle name="Incorreto 2 21" xfId="10041"/>
    <cellStyle name="Incorreto 2 22" xfId="10042"/>
    <cellStyle name="Incorreto 2 23" xfId="10043"/>
    <cellStyle name="Incorreto 2 24" xfId="10044"/>
    <cellStyle name="Incorreto 2 25" xfId="10045"/>
    <cellStyle name="Incorreto 2 26" xfId="10046"/>
    <cellStyle name="Incorreto 2 27" xfId="10047"/>
    <cellStyle name="Incorreto 2 28" xfId="10048"/>
    <cellStyle name="Incorreto 2 29" xfId="10049"/>
    <cellStyle name="Incorreto 2 3" xfId="10050"/>
    <cellStyle name="Incorreto 2 30" xfId="10051"/>
    <cellStyle name="Incorreto 2 31" xfId="10052"/>
    <cellStyle name="Incorreto 2 32" xfId="10053"/>
    <cellStyle name="Incorreto 2 33" xfId="10054"/>
    <cellStyle name="Incorreto 2 34" xfId="10055"/>
    <cellStyle name="Incorreto 2 35" xfId="10056"/>
    <cellStyle name="Incorreto 2 4" xfId="10057"/>
    <cellStyle name="Incorreto 2 5" xfId="10058"/>
    <cellStyle name="Incorreto 2 6" xfId="10059"/>
    <cellStyle name="Incorreto 2 7" xfId="10060"/>
    <cellStyle name="Incorreto 2 8" xfId="10061"/>
    <cellStyle name="Incorreto 2 8 2" xfId="10062"/>
    <cellStyle name="Incorreto 2 8 3" xfId="10063"/>
    <cellStyle name="Incorreto 2 8 4" xfId="10064"/>
    <cellStyle name="Incorreto 2 8 5" xfId="10065"/>
    <cellStyle name="Incorreto 2 8 6" xfId="10066"/>
    <cellStyle name="Incorreto 2 8 7" xfId="10067"/>
    <cellStyle name="Incorreto 2 9" xfId="10068"/>
    <cellStyle name="Incorreto 2 9 2" xfId="10069"/>
    <cellStyle name="Incorreto 2 9 3" xfId="10070"/>
    <cellStyle name="Incorreto 2 9 4" xfId="10071"/>
    <cellStyle name="Incorreto 2 9 5" xfId="10072"/>
    <cellStyle name="Incorreto 2 9 6" xfId="10073"/>
    <cellStyle name="Incorreto 2 9 7" xfId="10074"/>
    <cellStyle name="Incorreto 20" xfId="10075"/>
    <cellStyle name="Incorreto 20 2" xfId="10076"/>
    <cellStyle name="Incorreto 20 3" xfId="10077"/>
    <cellStyle name="Incorreto 21" xfId="10078"/>
    <cellStyle name="Incorreto 22" xfId="10079"/>
    <cellStyle name="Incorreto 23" xfId="10080"/>
    <cellStyle name="Incorreto 24" xfId="10081"/>
    <cellStyle name="Incorreto 24 2" xfId="40954"/>
    <cellStyle name="Incorreto 25" xfId="10082"/>
    <cellStyle name="Incorreto 25 2" xfId="40989"/>
    <cellStyle name="Incorreto 26" xfId="10083"/>
    <cellStyle name="Incorreto 26 10" xfId="10084"/>
    <cellStyle name="Incorreto 26 11" xfId="10085"/>
    <cellStyle name="Incorreto 26 12" xfId="10086"/>
    <cellStyle name="Incorreto 26 13" xfId="10087"/>
    <cellStyle name="Incorreto 26 14" xfId="10088"/>
    <cellStyle name="Incorreto 26 15" xfId="10089"/>
    <cellStyle name="Incorreto 26 16" xfId="10090"/>
    <cellStyle name="Incorreto 26 2" xfId="10091"/>
    <cellStyle name="Incorreto 26 3" xfId="10092"/>
    <cellStyle name="Incorreto 26 4" xfId="10093"/>
    <cellStyle name="Incorreto 26 5" xfId="10094"/>
    <cellStyle name="Incorreto 26 6" xfId="10095"/>
    <cellStyle name="Incorreto 26 7" xfId="10096"/>
    <cellStyle name="Incorreto 26 8" xfId="10097"/>
    <cellStyle name="Incorreto 26 9" xfId="10098"/>
    <cellStyle name="Incorreto 27" xfId="10099"/>
    <cellStyle name="Incorreto 27 10" xfId="10100"/>
    <cellStyle name="Incorreto 27 11" xfId="10101"/>
    <cellStyle name="Incorreto 27 12" xfId="10102"/>
    <cellStyle name="Incorreto 27 13" xfId="10103"/>
    <cellStyle name="Incorreto 27 14" xfId="10104"/>
    <cellStyle name="Incorreto 27 15" xfId="10105"/>
    <cellStyle name="Incorreto 27 16" xfId="10106"/>
    <cellStyle name="Incorreto 27 2" xfId="10107"/>
    <cellStyle name="Incorreto 27 3" xfId="10108"/>
    <cellStyle name="Incorreto 27 4" xfId="10109"/>
    <cellStyle name="Incorreto 27 5" xfId="10110"/>
    <cellStyle name="Incorreto 27 6" xfId="10111"/>
    <cellStyle name="Incorreto 27 7" xfId="10112"/>
    <cellStyle name="Incorreto 27 8" xfId="10113"/>
    <cellStyle name="Incorreto 27 9" xfId="10114"/>
    <cellStyle name="Incorreto 28" xfId="10115"/>
    <cellStyle name="Incorreto 28 10" xfId="10116"/>
    <cellStyle name="Incorreto 28 11" xfId="10117"/>
    <cellStyle name="Incorreto 28 12" xfId="10118"/>
    <cellStyle name="Incorreto 28 13" xfId="10119"/>
    <cellStyle name="Incorreto 28 14" xfId="10120"/>
    <cellStyle name="Incorreto 28 15" xfId="10121"/>
    <cellStyle name="Incorreto 28 16" xfId="10122"/>
    <cellStyle name="Incorreto 28 2" xfId="10123"/>
    <cellStyle name="Incorreto 28 3" xfId="10124"/>
    <cellStyle name="Incorreto 28 4" xfId="10125"/>
    <cellStyle name="Incorreto 28 5" xfId="10126"/>
    <cellStyle name="Incorreto 28 6" xfId="10127"/>
    <cellStyle name="Incorreto 28 7" xfId="10128"/>
    <cellStyle name="Incorreto 28 8" xfId="10129"/>
    <cellStyle name="Incorreto 28 9" xfId="10130"/>
    <cellStyle name="Incorreto 29" xfId="10131"/>
    <cellStyle name="Incorreto 29 10" xfId="10132"/>
    <cellStyle name="Incorreto 29 11" xfId="10133"/>
    <cellStyle name="Incorreto 29 12" xfId="10134"/>
    <cellStyle name="Incorreto 29 13" xfId="10135"/>
    <cellStyle name="Incorreto 29 14" xfId="10136"/>
    <cellStyle name="Incorreto 29 15" xfId="10137"/>
    <cellStyle name="Incorreto 29 16" xfId="10138"/>
    <cellStyle name="Incorreto 29 2" xfId="10139"/>
    <cellStyle name="Incorreto 29 3" xfId="10140"/>
    <cellStyle name="Incorreto 29 4" xfId="10141"/>
    <cellStyle name="Incorreto 29 5" xfId="10142"/>
    <cellStyle name="Incorreto 29 6" xfId="10143"/>
    <cellStyle name="Incorreto 29 7" xfId="10144"/>
    <cellStyle name="Incorreto 29 8" xfId="10145"/>
    <cellStyle name="Incorreto 29 9" xfId="10146"/>
    <cellStyle name="Incorreto 3" xfId="10147"/>
    <cellStyle name="Incorreto 3 10" xfId="10148"/>
    <cellStyle name="Incorreto 3 11" xfId="10149"/>
    <cellStyle name="Incorreto 3 2" xfId="10150"/>
    <cellStyle name="Incorreto 3 3" xfId="10151"/>
    <cellStyle name="Incorreto 3 4" xfId="10152"/>
    <cellStyle name="Incorreto 3 5" xfId="10153"/>
    <cellStyle name="Incorreto 3 6" xfId="10154"/>
    <cellStyle name="Incorreto 3 7" xfId="10155"/>
    <cellStyle name="Incorreto 3 8" xfId="10156"/>
    <cellStyle name="Incorreto 3 9" xfId="10157"/>
    <cellStyle name="Incorreto 30" xfId="10158"/>
    <cellStyle name="Incorreto 31" xfId="10159"/>
    <cellStyle name="Incorreto 32" xfId="10160"/>
    <cellStyle name="Incorreto 33" xfId="10161"/>
    <cellStyle name="Incorreto 34" xfId="10162"/>
    <cellStyle name="Incorreto 35" xfId="10163"/>
    <cellStyle name="Incorreto 36" xfId="10164"/>
    <cellStyle name="Incorreto 37" xfId="10165"/>
    <cellStyle name="Incorreto 38" xfId="10166"/>
    <cellStyle name="Incorreto 39" xfId="10167"/>
    <cellStyle name="Incorreto 4" xfId="10168"/>
    <cellStyle name="Incorreto 4 10" xfId="10169"/>
    <cellStyle name="Incorreto 4 11" xfId="10170"/>
    <cellStyle name="Incorreto 4 2" xfId="10171"/>
    <cellStyle name="Incorreto 4 3" xfId="10172"/>
    <cellStyle name="Incorreto 4 4" xfId="10173"/>
    <cellStyle name="Incorreto 4 5" xfId="10174"/>
    <cellStyle name="Incorreto 4 6" xfId="10175"/>
    <cellStyle name="Incorreto 4 7" xfId="10176"/>
    <cellStyle name="Incorreto 4 8" xfId="10177"/>
    <cellStyle name="Incorreto 4 9" xfId="10178"/>
    <cellStyle name="Incorreto 40" xfId="10179"/>
    <cellStyle name="Incorreto 41" xfId="10180"/>
    <cellStyle name="Incorreto 42" xfId="10181"/>
    <cellStyle name="Incorreto 43" xfId="10182"/>
    <cellStyle name="Incorreto 44" xfId="10183"/>
    <cellStyle name="Incorreto 45" xfId="10184"/>
    <cellStyle name="Incorreto 46" xfId="10185"/>
    <cellStyle name="Incorreto 47" xfId="10186"/>
    <cellStyle name="Incorreto 48" xfId="10187"/>
    <cellStyle name="Incorreto 49" xfId="10188"/>
    <cellStyle name="Incorreto 5" xfId="10189"/>
    <cellStyle name="Incorreto 5 2" xfId="10190"/>
    <cellStyle name="Incorreto 5 3" xfId="10191"/>
    <cellStyle name="Incorreto 5 4" xfId="10192"/>
    <cellStyle name="Incorreto 50" xfId="10193"/>
    <cellStyle name="Incorreto 51" xfId="10194"/>
    <cellStyle name="Incorreto 52" xfId="10195"/>
    <cellStyle name="Incorreto 53" xfId="10196"/>
    <cellStyle name="Incorreto 54" xfId="10197"/>
    <cellStyle name="Incorreto 55" xfId="10198"/>
    <cellStyle name="Incorreto 56" xfId="10199"/>
    <cellStyle name="Incorreto 57" xfId="10200"/>
    <cellStyle name="Incorreto 58" xfId="10201"/>
    <cellStyle name="Incorreto 59" xfId="10202"/>
    <cellStyle name="Incorreto 6" xfId="10203"/>
    <cellStyle name="Incorreto 6 2" xfId="10204"/>
    <cellStyle name="Incorreto 6 3" xfId="10205"/>
    <cellStyle name="Incorreto 6 4" xfId="10206"/>
    <cellStyle name="Incorreto 60" xfId="10207"/>
    <cellStyle name="Incorreto 61" xfId="10208"/>
    <cellStyle name="Incorreto 62" xfId="10209"/>
    <cellStyle name="Incorreto 63" xfId="10210"/>
    <cellStyle name="Incorreto 64" xfId="10211"/>
    <cellStyle name="Incorreto 65" xfId="10212"/>
    <cellStyle name="Incorreto 66" xfId="10213"/>
    <cellStyle name="Incorreto 67" xfId="10214"/>
    <cellStyle name="Incorreto 68" xfId="10215"/>
    <cellStyle name="Incorreto 69" xfId="10216"/>
    <cellStyle name="Incorreto 7" xfId="10217"/>
    <cellStyle name="Incorreto 7 2" xfId="10218"/>
    <cellStyle name="Incorreto 7 3" xfId="10219"/>
    <cellStyle name="Incorreto 7 4" xfId="10220"/>
    <cellStyle name="Incorreto 70" xfId="10221"/>
    <cellStyle name="Incorreto 71" xfId="10222"/>
    <cellStyle name="Incorreto 72" xfId="10223"/>
    <cellStyle name="Incorreto 73" xfId="10224"/>
    <cellStyle name="Incorreto 74" xfId="10225"/>
    <cellStyle name="Incorreto 75" xfId="10226"/>
    <cellStyle name="Incorreto 76" xfId="10227"/>
    <cellStyle name="Incorreto 77" xfId="10228"/>
    <cellStyle name="Incorreto 78" xfId="10229"/>
    <cellStyle name="Incorreto 79" xfId="10230"/>
    <cellStyle name="Incorreto 8" xfId="10231"/>
    <cellStyle name="Incorreto 8 2" xfId="10232"/>
    <cellStyle name="Incorreto 8 3" xfId="10233"/>
    <cellStyle name="Incorreto 8 4" xfId="10234"/>
    <cellStyle name="Incorreto 80" xfId="10235"/>
    <cellStyle name="Incorreto 81" xfId="10236"/>
    <cellStyle name="Incorreto 82" xfId="10237"/>
    <cellStyle name="Incorreto 83" xfId="10238"/>
    <cellStyle name="Incorreto 84" xfId="10239"/>
    <cellStyle name="Incorreto 85" xfId="10240"/>
    <cellStyle name="Incorreto 86" xfId="10241"/>
    <cellStyle name="Incorreto 87" xfId="10242"/>
    <cellStyle name="Incorreto 88" xfId="10243"/>
    <cellStyle name="Incorreto 89" xfId="10244"/>
    <cellStyle name="Incorreto 9" xfId="10245"/>
    <cellStyle name="Incorreto 90" xfId="10246"/>
    <cellStyle name="Incorreto 91" xfId="10247"/>
    <cellStyle name="Incorreto 92" xfId="10248"/>
    <cellStyle name="Incorreto 93" xfId="10249"/>
    <cellStyle name="Incorreto 94" xfId="10250"/>
    <cellStyle name="Incorreto 95" xfId="10251"/>
    <cellStyle name="Incorreto 96" xfId="10252"/>
    <cellStyle name="Incorreto 97" xfId="10253"/>
    <cellStyle name="Incorreto 98" xfId="10254"/>
    <cellStyle name="Incorreto 99" xfId="10255"/>
    <cellStyle name="Indefinido" xfId="10256"/>
    <cellStyle name="Moeda" xfId="41059" builtinId="4"/>
    <cellStyle name="Moeda 2" xfId="10257"/>
    <cellStyle name="Moeda 3" xfId="10258"/>
    <cellStyle name="Moeda 4" xfId="29372"/>
    <cellStyle name="Moeda 4 2" xfId="41053"/>
    <cellStyle name="Moeda 5" xfId="40448"/>
    <cellStyle name="Neutra 10" xfId="10259"/>
    <cellStyle name="Neutra 10 2" xfId="40604"/>
    <cellStyle name="Neutra 100" xfId="10260"/>
    <cellStyle name="Neutra 101" xfId="10261"/>
    <cellStyle name="Neutra 102" xfId="10262"/>
    <cellStyle name="Neutra 103" xfId="10263"/>
    <cellStyle name="Neutra 104" xfId="10264"/>
    <cellStyle name="Neutra 105" xfId="10265"/>
    <cellStyle name="Neutra 106" xfId="10266"/>
    <cellStyle name="Neutra 107" xfId="10267"/>
    <cellStyle name="Neutra 108" xfId="10268"/>
    <cellStyle name="Neutra 109" xfId="10269"/>
    <cellStyle name="Neutra 11" xfId="10270"/>
    <cellStyle name="Neutra 11 2" xfId="40605"/>
    <cellStyle name="Neutra 110" xfId="10271"/>
    <cellStyle name="Neutra 111" xfId="10272"/>
    <cellStyle name="Neutra 112" xfId="10273"/>
    <cellStyle name="Neutra 113" xfId="10274"/>
    <cellStyle name="Neutra 114" xfId="10275"/>
    <cellStyle name="Neutra 115" xfId="10276"/>
    <cellStyle name="Neutra 116" xfId="10277"/>
    <cellStyle name="Neutra 117" xfId="10278"/>
    <cellStyle name="Neutra 118" xfId="10279"/>
    <cellStyle name="Neutra 119" xfId="10280"/>
    <cellStyle name="Neutra 12" xfId="10281"/>
    <cellStyle name="Neutra 12 2" xfId="40606"/>
    <cellStyle name="Neutra 120" xfId="10282"/>
    <cellStyle name="Neutra 121" xfId="10283"/>
    <cellStyle name="Neutra 122" xfId="10284"/>
    <cellStyle name="Neutra 123" xfId="10285"/>
    <cellStyle name="Neutra 124" xfId="10286"/>
    <cellStyle name="Neutra 125" xfId="10287"/>
    <cellStyle name="Neutra 126" xfId="10288"/>
    <cellStyle name="Neutra 127" xfId="10289"/>
    <cellStyle name="Neutra 128" xfId="10290"/>
    <cellStyle name="Neutra 129" xfId="10291"/>
    <cellStyle name="Neutra 13" xfId="10292"/>
    <cellStyle name="Neutra 13 2" xfId="40607"/>
    <cellStyle name="Neutra 130" xfId="10293"/>
    <cellStyle name="Neutra 131" xfId="10294"/>
    <cellStyle name="Neutra 132" xfId="10295"/>
    <cellStyle name="Neutra 133" xfId="10296"/>
    <cellStyle name="Neutra 134" xfId="10297"/>
    <cellStyle name="Neutra 135" xfId="10298"/>
    <cellStyle name="Neutra 136" xfId="10299"/>
    <cellStyle name="Neutra 137" xfId="10300"/>
    <cellStyle name="Neutra 138" xfId="10301"/>
    <cellStyle name="Neutra 139" xfId="10302"/>
    <cellStyle name="Neutra 14" xfId="10303"/>
    <cellStyle name="Neutra 140" xfId="10304"/>
    <cellStyle name="Neutra 141" xfId="10305"/>
    <cellStyle name="Neutra 142" xfId="10306"/>
    <cellStyle name="Neutra 143" xfId="10307"/>
    <cellStyle name="Neutra 144" xfId="10308"/>
    <cellStyle name="Neutra 145" xfId="10309"/>
    <cellStyle name="Neutra 146" xfId="10310"/>
    <cellStyle name="Neutra 147" xfId="10311"/>
    <cellStyle name="Neutra 148" xfId="10312"/>
    <cellStyle name="Neutra 149" xfId="10313"/>
    <cellStyle name="Neutra 15" xfId="10314"/>
    <cellStyle name="Neutra 15 2" xfId="10315"/>
    <cellStyle name="Neutra 15 3" xfId="10316"/>
    <cellStyle name="Neutra 150" xfId="10317"/>
    <cellStyle name="Neutra 151" xfId="10318"/>
    <cellStyle name="Neutra 152" xfId="10319"/>
    <cellStyle name="Neutra 153" xfId="10320"/>
    <cellStyle name="Neutra 154" xfId="10321"/>
    <cellStyle name="Neutra 155" xfId="10322"/>
    <cellStyle name="Neutra 156" xfId="10323"/>
    <cellStyle name="Neutra 157" xfId="10324"/>
    <cellStyle name="Neutra 158" xfId="10325"/>
    <cellStyle name="Neutra 159" xfId="10326"/>
    <cellStyle name="Neutra 16" xfId="10327"/>
    <cellStyle name="Neutra 16 2" xfId="10328"/>
    <cellStyle name="Neutra 16 3" xfId="10329"/>
    <cellStyle name="Neutra 160" xfId="10330"/>
    <cellStyle name="Neutra 161" xfId="10331"/>
    <cellStyle name="Neutra 162" xfId="10332"/>
    <cellStyle name="Neutra 163" xfId="10333"/>
    <cellStyle name="Neutra 164" xfId="10334"/>
    <cellStyle name="Neutra 165" xfId="10335"/>
    <cellStyle name="Neutra 166" xfId="10336"/>
    <cellStyle name="Neutra 167" xfId="10337"/>
    <cellStyle name="Neutra 168" xfId="10338"/>
    <cellStyle name="Neutra 169" xfId="10339"/>
    <cellStyle name="Neutra 17" xfId="10340"/>
    <cellStyle name="Neutra 17 2" xfId="10341"/>
    <cellStyle name="Neutra 17 3" xfId="10342"/>
    <cellStyle name="Neutra 170" xfId="10343"/>
    <cellStyle name="Neutra 171" xfId="10344"/>
    <cellStyle name="Neutra 172" xfId="10345"/>
    <cellStyle name="Neutra 173" xfId="10346"/>
    <cellStyle name="Neutra 174" xfId="10347"/>
    <cellStyle name="Neutra 175" xfId="10348"/>
    <cellStyle name="Neutra 176" xfId="10349"/>
    <cellStyle name="Neutra 177" xfId="10350"/>
    <cellStyle name="Neutra 178" xfId="10351"/>
    <cellStyle name="Neutra 179" xfId="10352"/>
    <cellStyle name="Neutra 18" xfId="10353"/>
    <cellStyle name="Neutra 18 2" xfId="10354"/>
    <cellStyle name="Neutra 18 3" xfId="10355"/>
    <cellStyle name="Neutra 180" xfId="10356"/>
    <cellStyle name="Neutra 181" xfId="10357"/>
    <cellStyle name="Neutra 182" xfId="10358"/>
    <cellStyle name="Neutra 183" xfId="10359"/>
    <cellStyle name="Neutra 184" xfId="10360"/>
    <cellStyle name="Neutra 185" xfId="10361"/>
    <cellStyle name="Neutra 186" xfId="10362"/>
    <cellStyle name="Neutra 187" xfId="10363"/>
    <cellStyle name="Neutra 188" xfId="10364"/>
    <cellStyle name="Neutra 189" xfId="10365"/>
    <cellStyle name="Neutra 19" xfId="10366"/>
    <cellStyle name="Neutra 19 2" xfId="10367"/>
    <cellStyle name="Neutra 19 3" xfId="10368"/>
    <cellStyle name="Neutra 190" xfId="10369"/>
    <cellStyle name="Neutra 2" xfId="10370"/>
    <cellStyle name="Neutra 2 10" xfId="10371"/>
    <cellStyle name="Neutra 2 10 2" xfId="10372"/>
    <cellStyle name="Neutra 2 10 3" xfId="10373"/>
    <cellStyle name="Neutra 2 10 4" xfId="10374"/>
    <cellStyle name="Neutra 2 10 5" xfId="10375"/>
    <cellStyle name="Neutra 2 10 6" xfId="10376"/>
    <cellStyle name="Neutra 2 10 7" xfId="10377"/>
    <cellStyle name="Neutra 2 11" xfId="10378"/>
    <cellStyle name="Neutra 2 11 2" xfId="10379"/>
    <cellStyle name="Neutra 2 11 3" xfId="10380"/>
    <cellStyle name="Neutra 2 11 4" xfId="10381"/>
    <cellStyle name="Neutra 2 11 5" xfId="10382"/>
    <cellStyle name="Neutra 2 11 6" xfId="10383"/>
    <cellStyle name="Neutra 2 11 7" xfId="10384"/>
    <cellStyle name="Neutra 2 12" xfId="10385"/>
    <cellStyle name="Neutra 2 13" xfId="10386"/>
    <cellStyle name="Neutra 2 14" xfId="10387"/>
    <cellStyle name="Neutra 2 15" xfId="10388"/>
    <cellStyle name="Neutra 2 16" xfId="10389"/>
    <cellStyle name="Neutra 2 17" xfId="10390"/>
    <cellStyle name="Neutra 2 18" xfId="10391"/>
    <cellStyle name="Neutra 2 19" xfId="10392"/>
    <cellStyle name="Neutra 2 2" xfId="10393"/>
    <cellStyle name="Neutra 2 20" xfId="10394"/>
    <cellStyle name="Neutra 2 21" xfId="10395"/>
    <cellStyle name="Neutra 2 22" xfId="10396"/>
    <cellStyle name="Neutra 2 23" xfId="10397"/>
    <cellStyle name="Neutra 2 24" xfId="10398"/>
    <cellStyle name="Neutra 2 25" xfId="10399"/>
    <cellStyle name="Neutra 2 26" xfId="10400"/>
    <cellStyle name="Neutra 2 27" xfId="10401"/>
    <cellStyle name="Neutra 2 28" xfId="10402"/>
    <cellStyle name="Neutra 2 29" xfId="10403"/>
    <cellStyle name="Neutra 2 3" xfId="10404"/>
    <cellStyle name="Neutra 2 30" xfId="10405"/>
    <cellStyle name="Neutra 2 31" xfId="10406"/>
    <cellStyle name="Neutra 2 32" xfId="10407"/>
    <cellStyle name="Neutra 2 33" xfId="10408"/>
    <cellStyle name="Neutra 2 34" xfId="10409"/>
    <cellStyle name="Neutra 2 35" xfId="10410"/>
    <cellStyle name="Neutra 2 4" xfId="10411"/>
    <cellStyle name="Neutra 2 5" xfId="10412"/>
    <cellStyle name="Neutra 2 6" xfId="10413"/>
    <cellStyle name="Neutra 2 7" xfId="10414"/>
    <cellStyle name="Neutra 2 8" xfId="10415"/>
    <cellStyle name="Neutra 2 8 2" xfId="10416"/>
    <cellStyle name="Neutra 2 8 3" xfId="10417"/>
    <cellStyle name="Neutra 2 8 4" xfId="10418"/>
    <cellStyle name="Neutra 2 8 5" xfId="10419"/>
    <cellStyle name="Neutra 2 8 6" xfId="10420"/>
    <cellStyle name="Neutra 2 8 7" xfId="10421"/>
    <cellStyle name="Neutra 2 9" xfId="10422"/>
    <cellStyle name="Neutra 2 9 2" xfId="10423"/>
    <cellStyle name="Neutra 2 9 3" xfId="10424"/>
    <cellStyle name="Neutra 2 9 4" xfId="10425"/>
    <cellStyle name="Neutra 2 9 5" xfId="10426"/>
    <cellStyle name="Neutra 2 9 6" xfId="10427"/>
    <cellStyle name="Neutra 2 9 7" xfId="10428"/>
    <cellStyle name="Neutra 20" xfId="10429"/>
    <cellStyle name="Neutra 20 2" xfId="10430"/>
    <cellStyle name="Neutra 20 3" xfId="10431"/>
    <cellStyle name="Neutra 21" xfId="10432"/>
    <cellStyle name="Neutra 22" xfId="10433"/>
    <cellStyle name="Neutra 23" xfId="10434"/>
    <cellStyle name="Neutra 24" xfId="10435"/>
    <cellStyle name="Neutra 24 2" xfId="40955"/>
    <cellStyle name="Neutra 25" xfId="10436"/>
    <cellStyle name="Neutra 25 2" xfId="40990"/>
    <cellStyle name="Neutra 26" xfId="10437"/>
    <cellStyle name="Neutra 26 10" xfId="10438"/>
    <cellStyle name="Neutra 26 11" xfId="10439"/>
    <cellStyle name="Neutra 26 12" xfId="10440"/>
    <cellStyle name="Neutra 26 13" xfId="10441"/>
    <cellStyle name="Neutra 26 14" xfId="10442"/>
    <cellStyle name="Neutra 26 15" xfId="10443"/>
    <cellStyle name="Neutra 26 16" xfId="10444"/>
    <cellStyle name="Neutra 26 2" xfId="10445"/>
    <cellStyle name="Neutra 26 3" xfId="10446"/>
    <cellStyle name="Neutra 26 4" xfId="10447"/>
    <cellStyle name="Neutra 26 5" xfId="10448"/>
    <cellStyle name="Neutra 26 6" xfId="10449"/>
    <cellStyle name="Neutra 26 7" xfId="10450"/>
    <cellStyle name="Neutra 26 8" xfId="10451"/>
    <cellStyle name="Neutra 26 9" xfId="10452"/>
    <cellStyle name="Neutra 27" xfId="10453"/>
    <cellStyle name="Neutra 27 10" xfId="10454"/>
    <cellStyle name="Neutra 27 11" xfId="10455"/>
    <cellStyle name="Neutra 27 12" xfId="10456"/>
    <cellStyle name="Neutra 27 13" xfId="10457"/>
    <cellStyle name="Neutra 27 14" xfId="10458"/>
    <cellStyle name="Neutra 27 15" xfId="10459"/>
    <cellStyle name="Neutra 27 16" xfId="10460"/>
    <cellStyle name="Neutra 27 2" xfId="10461"/>
    <cellStyle name="Neutra 27 3" xfId="10462"/>
    <cellStyle name="Neutra 27 4" xfId="10463"/>
    <cellStyle name="Neutra 27 5" xfId="10464"/>
    <cellStyle name="Neutra 27 6" xfId="10465"/>
    <cellStyle name="Neutra 27 7" xfId="10466"/>
    <cellStyle name="Neutra 27 8" xfId="10467"/>
    <cellStyle name="Neutra 27 9" xfId="10468"/>
    <cellStyle name="Neutra 28" xfId="10469"/>
    <cellStyle name="Neutra 28 10" xfId="10470"/>
    <cellStyle name="Neutra 28 11" xfId="10471"/>
    <cellStyle name="Neutra 28 12" xfId="10472"/>
    <cellStyle name="Neutra 28 13" xfId="10473"/>
    <cellStyle name="Neutra 28 14" xfId="10474"/>
    <cellStyle name="Neutra 28 15" xfId="10475"/>
    <cellStyle name="Neutra 28 16" xfId="10476"/>
    <cellStyle name="Neutra 28 2" xfId="10477"/>
    <cellStyle name="Neutra 28 3" xfId="10478"/>
    <cellStyle name="Neutra 28 4" xfId="10479"/>
    <cellStyle name="Neutra 28 5" xfId="10480"/>
    <cellStyle name="Neutra 28 6" xfId="10481"/>
    <cellStyle name="Neutra 28 7" xfId="10482"/>
    <cellStyle name="Neutra 28 8" xfId="10483"/>
    <cellStyle name="Neutra 28 9" xfId="10484"/>
    <cellStyle name="Neutra 29" xfId="10485"/>
    <cellStyle name="Neutra 29 10" xfId="10486"/>
    <cellStyle name="Neutra 29 11" xfId="10487"/>
    <cellStyle name="Neutra 29 12" xfId="10488"/>
    <cellStyle name="Neutra 29 13" xfId="10489"/>
    <cellStyle name="Neutra 29 14" xfId="10490"/>
    <cellStyle name="Neutra 29 15" xfId="10491"/>
    <cellStyle name="Neutra 29 16" xfId="10492"/>
    <cellStyle name="Neutra 29 2" xfId="10493"/>
    <cellStyle name="Neutra 29 3" xfId="10494"/>
    <cellStyle name="Neutra 29 4" xfId="10495"/>
    <cellStyle name="Neutra 29 5" xfId="10496"/>
    <cellStyle name="Neutra 29 6" xfId="10497"/>
    <cellStyle name="Neutra 29 7" xfId="10498"/>
    <cellStyle name="Neutra 29 8" xfId="10499"/>
    <cellStyle name="Neutra 29 9" xfId="10500"/>
    <cellStyle name="Neutra 3" xfId="10501"/>
    <cellStyle name="Neutra 3 10" xfId="10502"/>
    <cellStyle name="Neutra 3 11" xfId="10503"/>
    <cellStyle name="Neutra 3 2" xfId="10504"/>
    <cellStyle name="Neutra 3 3" xfId="10505"/>
    <cellStyle name="Neutra 3 4" xfId="10506"/>
    <cellStyle name="Neutra 3 5" xfId="10507"/>
    <cellStyle name="Neutra 3 6" xfId="10508"/>
    <cellStyle name="Neutra 3 7" xfId="10509"/>
    <cellStyle name="Neutra 3 8" xfId="10510"/>
    <cellStyle name="Neutra 3 9" xfId="10511"/>
    <cellStyle name="Neutra 30" xfId="10512"/>
    <cellStyle name="Neutra 31" xfId="10513"/>
    <cellStyle name="Neutra 32" xfId="10514"/>
    <cellStyle name="Neutra 33" xfId="10515"/>
    <cellStyle name="Neutra 34" xfId="10516"/>
    <cellStyle name="Neutra 35" xfId="10517"/>
    <cellStyle name="Neutra 36" xfId="10518"/>
    <cellStyle name="Neutra 37" xfId="10519"/>
    <cellStyle name="Neutra 38" xfId="10520"/>
    <cellStyle name="Neutra 39" xfId="10521"/>
    <cellStyle name="Neutra 4" xfId="10522"/>
    <cellStyle name="Neutra 4 10" xfId="10523"/>
    <cellStyle name="Neutra 4 11" xfId="10524"/>
    <cellStyle name="Neutra 4 2" xfId="10525"/>
    <cellStyle name="Neutra 4 3" xfId="10526"/>
    <cellStyle name="Neutra 4 4" xfId="10527"/>
    <cellStyle name="Neutra 4 5" xfId="10528"/>
    <cellStyle name="Neutra 4 6" xfId="10529"/>
    <cellStyle name="Neutra 4 7" xfId="10530"/>
    <cellStyle name="Neutra 4 8" xfId="10531"/>
    <cellStyle name="Neutra 4 9" xfId="10532"/>
    <cellStyle name="Neutra 40" xfId="10533"/>
    <cellStyle name="Neutra 41" xfId="10534"/>
    <cellStyle name="Neutra 42" xfId="10535"/>
    <cellStyle name="Neutra 43" xfId="10536"/>
    <cellStyle name="Neutra 44" xfId="10537"/>
    <cellStyle name="Neutra 45" xfId="10538"/>
    <cellStyle name="Neutra 46" xfId="10539"/>
    <cellStyle name="Neutra 47" xfId="10540"/>
    <cellStyle name="Neutra 48" xfId="10541"/>
    <cellStyle name="Neutra 49" xfId="10542"/>
    <cellStyle name="Neutra 5" xfId="10543"/>
    <cellStyle name="Neutra 5 2" xfId="10544"/>
    <cellStyle name="Neutra 5 3" xfId="10545"/>
    <cellStyle name="Neutra 5 4" xfId="10546"/>
    <cellStyle name="Neutra 50" xfId="10547"/>
    <cellStyle name="Neutra 51" xfId="10548"/>
    <cellStyle name="Neutra 52" xfId="10549"/>
    <cellStyle name="Neutra 53" xfId="10550"/>
    <cellStyle name="Neutra 54" xfId="10551"/>
    <cellStyle name="Neutra 55" xfId="10552"/>
    <cellStyle name="Neutra 56" xfId="10553"/>
    <cellStyle name="Neutra 57" xfId="10554"/>
    <cellStyle name="Neutra 58" xfId="10555"/>
    <cellStyle name="Neutra 59" xfId="10556"/>
    <cellStyle name="Neutra 6" xfId="10557"/>
    <cellStyle name="Neutra 6 2" xfId="10558"/>
    <cellStyle name="Neutra 6 3" xfId="10559"/>
    <cellStyle name="Neutra 6 4" xfId="10560"/>
    <cellStyle name="Neutra 60" xfId="10561"/>
    <cellStyle name="Neutra 61" xfId="10562"/>
    <cellStyle name="Neutra 62" xfId="10563"/>
    <cellStyle name="Neutra 63" xfId="10564"/>
    <cellStyle name="Neutra 64" xfId="10565"/>
    <cellStyle name="Neutra 65" xfId="10566"/>
    <cellStyle name="Neutra 66" xfId="10567"/>
    <cellStyle name="Neutra 67" xfId="10568"/>
    <cellStyle name="Neutra 68" xfId="10569"/>
    <cellStyle name="Neutra 69" xfId="10570"/>
    <cellStyle name="Neutra 7" xfId="10571"/>
    <cellStyle name="Neutra 7 2" xfId="10572"/>
    <cellStyle name="Neutra 7 3" xfId="10573"/>
    <cellStyle name="Neutra 7 4" xfId="10574"/>
    <cellStyle name="Neutra 70" xfId="10575"/>
    <cellStyle name="Neutra 71" xfId="10576"/>
    <cellStyle name="Neutra 72" xfId="10577"/>
    <cellStyle name="Neutra 73" xfId="10578"/>
    <cellStyle name="Neutra 74" xfId="10579"/>
    <cellStyle name="Neutra 75" xfId="10580"/>
    <cellStyle name="Neutra 76" xfId="10581"/>
    <cellStyle name="Neutra 77" xfId="10582"/>
    <cellStyle name="Neutra 78" xfId="10583"/>
    <cellStyle name="Neutra 79" xfId="10584"/>
    <cellStyle name="Neutra 8" xfId="10585"/>
    <cellStyle name="Neutra 8 2" xfId="10586"/>
    <cellStyle name="Neutra 8 3" xfId="10587"/>
    <cellStyle name="Neutra 8 4" xfId="10588"/>
    <cellStyle name="Neutra 80" xfId="10589"/>
    <cellStyle name="Neutra 81" xfId="10590"/>
    <cellStyle name="Neutra 82" xfId="10591"/>
    <cellStyle name="Neutra 83" xfId="10592"/>
    <cellStyle name="Neutra 84" xfId="10593"/>
    <cellStyle name="Neutra 85" xfId="10594"/>
    <cellStyle name="Neutra 86" xfId="10595"/>
    <cellStyle name="Neutra 87" xfId="10596"/>
    <cellStyle name="Neutra 88" xfId="10597"/>
    <cellStyle name="Neutra 89" xfId="10598"/>
    <cellStyle name="Neutra 9" xfId="10599"/>
    <cellStyle name="Neutra 90" xfId="10600"/>
    <cellStyle name="Neutra 91" xfId="10601"/>
    <cellStyle name="Neutra 92" xfId="10602"/>
    <cellStyle name="Neutra 93" xfId="10603"/>
    <cellStyle name="Neutra 94" xfId="10604"/>
    <cellStyle name="Neutra 95" xfId="10605"/>
    <cellStyle name="Neutra 96" xfId="10606"/>
    <cellStyle name="Neutra 97" xfId="10607"/>
    <cellStyle name="Neutra 98" xfId="10608"/>
    <cellStyle name="Neutra 99" xfId="10609"/>
    <cellStyle name="Normal" xfId="0" builtinId="0"/>
    <cellStyle name="Normal 10" xfId="10610"/>
    <cellStyle name="Normal 10 10" xfId="10611"/>
    <cellStyle name="Normal 10 11" xfId="10612"/>
    <cellStyle name="Normal 10 2" xfId="10613"/>
    <cellStyle name="Normal 10 2 2" xfId="10614"/>
    <cellStyle name="Normal 10 2 3" xfId="10615"/>
    <cellStyle name="Normal 10 2 4" xfId="10616"/>
    <cellStyle name="Normal 10 2 5" xfId="10617"/>
    <cellStyle name="Normal 10 2 6" xfId="10618"/>
    <cellStyle name="Normal 10 2 7" xfId="10619"/>
    <cellStyle name="Normal 10 3" xfId="10620"/>
    <cellStyle name="Normal 10 3 2" xfId="10621"/>
    <cellStyle name="Normal 10 4" xfId="10622"/>
    <cellStyle name="Normal 10 4 2" xfId="10623"/>
    <cellStyle name="Normal 10 5" xfId="10624"/>
    <cellStyle name="Normal 10 5 2" xfId="10625"/>
    <cellStyle name="Normal 10 6" xfId="10626"/>
    <cellStyle name="Normal 10 6 2" xfId="10627"/>
    <cellStyle name="Normal 10 7" xfId="10628"/>
    <cellStyle name="Normal 10 8" xfId="10629"/>
    <cellStyle name="Normal 10 9" xfId="10630"/>
    <cellStyle name="Normal 11" xfId="10631"/>
    <cellStyle name="Normal 11 10" xfId="10632"/>
    <cellStyle name="Normal 11 2" xfId="10633"/>
    <cellStyle name="Normal 11 2 10" xfId="10634"/>
    <cellStyle name="Normal 11 2 11" xfId="10635"/>
    <cellStyle name="Normal 11 2 12" xfId="10636"/>
    <cellStyle name="Normal 11 2 13" xfId="10637"/>
    <cellStyle name="Normal 11 2 14" xfId="10638"/>
    <cellStyle name="Normal 11 2 15" xfId="10639"/>
    <cellStyle name="Normal 11 2 16" xfId="10640"/>
    <cellStyle name="Normal 11 2 2" xfId="10641"/>
    <cellStyle name="Normal 11 2 3" xfId="10642"/>
    <cellStyle name="Normal 11 2 4" xfId="10643"/>
    <cellStyle name="Normal 11 2 5" xfId="10644"/>
    <cellStyle name="Normal 11 2 6" xfId="10645"/>
    <cellStyle name="Normal 11 2 7" xfId="10646"/>
    <cellStyle name="Normal 11 2 8" xfId="10647"/>
    <cellStyle name="Normal 11 2 9" xfId="10648"/>
    <cellStyle name="Normal 11 3" xfId="10649"/>
    <cellStyle name="Normal 11 3 10" xfId="10650"/>
    <cellStyle name="Normal 11 3 11" xfId="10651"/>
    <cellStyle name="Normal 11 3 12" xfId="10652"/>
    <cellStyle name="Normal 11 3 13" xfId="10653"/>
    <cellStyle name="Normal 11 3 14" xfId="10654"/>
    <cellStyle name="Normal 11 3 15" xfId="10655"/>
    <cellStyle name="Normal 11 3 16" xfId="10656"/>
    <cellStyle name="Normal 11 3 2" xfId="10657"/>
    <cellStyle name="Normal 11 3 3" xfId="10658"/>
    <cellStyle name="Normal 11 3 4" xfId="10659"/>
    <cellStyle name="Normal 11 3 5" xfId="10660"/>
    <cellStyle name="Normal 11 3 6" xfId="10661"/>
    <cellStyle name="Normal 11 3 7" xfId="10662"/>
    <cellStyle name="Normal 11 3 8" xfId="10663"/>
    <cellStyle name="Normal 11 3 9" xfId="10664"/>
    <cellStyle name="Normal 11 4" xfId="10665"/>
    <cellStyle name="Normal 11 4 10" xfId="10666"/>
    <cellStyle name="Normal 11 4 11" xfId="10667"/>
    <cellStyle name="Normal 11 4 12" xfId="10668"/>
    <cellStyle name="Normal 11 4 13" xfId="10669"/>
    <cellStyle name="Normal 11 4 14" xfId="10670"/>
    <cellStyle name="Normal 11 4 15" xfId="10671"/>
    <cellStyle name="Normal 11 4 16" xfId="10672"/>
    <cellStyle name="Normal 11 4 2" xfId="10673"/>
    <cellStyle name="Normal 11 4 3" xfId="10674"/>
    <cellStyle name="Normal 11 4 4" xfId="10675"/>
    <cellStyle name="Normal 11 4 5" xfId="10676"/>
    <cellStyle name="Normal 11 4 6" xfId="10677"/>
    <cellStyle name="Normal 11 4 7" xfId="10678"/>
    <cellStyle name="Normal 11 4 8" xfId="10679"/>
    <cellStyle name="Normal 11 4 9" xfId="10680"/>
    <cellStyle name="Normal 11 5" xfId="10681"/>
    <cellStyle name="Normal 11 5 10" xfId="10682"/>
    <cellStyle name="Normal 11 5 11" xfId="10683"/>
    <cellStyle name="Normal 11 5 12" xfId="10684"/>
    <cellStyle name="Normal 11 5 13" xfId="10685"/>
    <cellStyle name="Normal 11 5 14" xfId="10686"/>
    <cellStyle name="Normal 11 5 15" xfId="10687"/>
    <cellStyle name="Normal 11 5 16" xfId="10688"/>
    <cellStyle name="Normal 11 5 2" xfId="10689"/>
    <cellStyle name="Normal 11 5 3" xfId="10690"/>
    <cellStyle name="Normal 11 5 4" xfId="10691"/>
    <cellStyle name="Normal 11 5 5" xfId="10692"/>
    <cellStyle name="Normal 11 5 6" xfId="10693"/>
    <cellStyle name="Normal 11 5 7" xfId="10694"/>
    <cellStyle name="Normal 11 5 8" xfId="10695"/>
    <cellStyle name="Normal 11 5 9" xfId="10696"/>
    <cellStyle name="Normal 11 6" xfId="10697"/>
    <cellStyle name="Normal 11 7" xfId="10698"/>
    <cellStyle name="Normal 11 8" xfId="10699"/>
    <cellStyle name="Normal 11 9" xfId="10700"/>
    <cellStyle name="Normal 12" xfId="10701"/>
    <cellStyle name="Normal 12 2" xfId="10702"/>
    <cellStyle name="Normal 12 2 2" xfId="10703"/>
    <cellStyle name="Normal 12 2 3" xfId="10704"/>
    <cellStyle name="Normal 12 2 4" xfId="10705"/>
    <cellStyle name="Normal 12 2 5" xfId="10706"/>
    <cellStyle name="Normal 12 2 6" xfId="10707"/>
    <cellStyle name="Normal 12 2 7" xfId="10708"/>
    <cellStyle name="Normal 12 3" xfId="10709"/>
    <cellStyle name="Normal 12 4" xfId="10710"/>
    <cellStyle name="Normal 12 5" xfId="10711"/>
    <cellStyle name="Normal 12 6" xfId="10712"/>
    <cellStyle name="Normal 12 7" xfId="10713"/>
    <cellStyle name="Normal 13" xfId="10714"/>
    <cellStyle name="Normal 13 10" xfId="10715"/>
    <cellStyle name="Normal 13 10 2" xfId="29972"/>
    <cellStyle name="Normal 13 2" xfId="10716"/>
    <cellStyle name="Normal 13 2 2" xfId="10717"/>
    <cellStyle name="Normal 13 2 2 2" xfId="10718"/>
    <cellStyle name="Normal 13 2 2 3" xfId="10719"/>
    <cellStyle name="Normal 13 2 2 4" xfId="10720"/>
    <cellStyle name="Normal 13 2 2 5" xfId="10721"/>
    <cellStyle name="Normal 13 2 2 6" xfId="10722"/>
    <cellStyle name="Normal 13 2 2 7" xfId="10723"/>
    <cellStyle name="Normal 13 2 3" xfId="10724"/>
    <cellStyle name="Normal 13 2 4" xfId="10725"/>
    <cellStyle name="Normal 13 2 5" xfId="10726"/>
    <cellStyle name="Normal 13 2 6" xfId="10727"/>
    <cellStyle name="Normal 13 2 7" xfId="10728"/>
    <cellStyle name="Normal 13 2 8" xfId="29973"/>
    <cellStyle name="Normal 13 3" xfId="10729"/>
    <cellStyle name="Normal 13 4" xfId="10730"/>
    <cellStyle name="Normal 13 5" xfId="10731"/>
    <cellStyle name="Normal 13 6" xfId="10732"/>
    <cellStyle name="Normal 13 6 2" xfId="29974"/>
    <cellStyle name="Normal 13 7" xfId="10733"/>
    <cellStyle name="Normal 13 7 2" xfId="29975"/>
    <cellStyle name="Normal 13 8" xfId="10734"/>
    <cellStyle name="Normal 13 8 2" xfId="29976"/>
    <cellStyle name="Normal 13 9" xfId="10735"/>
    <cellStyle name="Normal 13 9 2" xfId="29977"/>
    <cellStyle name="Normal 14" xfId="10736"/>
    <cellStyle name="Normal 14 2" xfId="41054"/>
    <cellStyle name="Normal 15" xfId="10737"/>
    <cellStyle name="Normal 15 2" xfId="10738"/>
    <cellStyle name="Normal 15 2 10" xfId="10739"/>
    <cellStyle name="Normal 15 2 11" xfId="10740"/>
    <cellStyle name="Normal 15 2 12" xfId="10741"/>
    <cellStyle name="Normal 15 2 13" xfId="10742"/>
    <cellStyle name="Normal 15 2 14" xfId="10743"/>
    <cellStyle name="Normal 15 2 15" xfId="10744"/>
    <cellStyle name="Normal 15 2 2" xfId="10745"/>
    <cellStyle name="Normal 15 2 3" xfId="10746"/>
    <cellStyle name="Normal 15 2 4" xfId="10747"/>
    <cellStyle name="Normal 15 2 5" xfId="10748"/>
    <cellStyle name="Normal 15 2 6" xfId="10749"/>
    <cellStyle name="Normal 15 2 7" xfId="10750"/>
    <cellStyle name="Normal 15 2 8" xfId="10751"/>
    <cellStyle name="Normal 15 2 9" xfId="10752"/>
    <cellStyle name="Normal 15 3" xfId="10753"/>
    <cellStyle name="Normal 15 3 10" xfId="10754"/>
    <cellStyle name="Normal 15 3 11" xfId="10755"/>
    <cellStyle name="Normal 15 3 12" xfId="10756"/>
    <cellStyle name="Normal 15 3 13" xfId="10757"/>
    <cellStyle name="Normal 15 3 14" xfId="10758"/>
    <cellStyle name="Normal 15 3 15" xfId="10759"/>
    <cellStyle name="Normal 15 3 2" xfId="10760"/>
    <cellStyle name="Normal 15 3 3" xfId="10761"/>
    <cellStyle name="Normal 15 3 4" xfId="10762"/>
    <cellStyle name="Normal 15 3 5" xfId="10763"/>
    <cellStyle name="Normal 15 3 6" xfId="10764"/>
    <cellStyle name="Normal 15 3 7" xfId="10765"/>
    <cellStyle name="Normal 15 3 8" xfId="10766"/>
    <cellStyle name="Normal 15 3 9" xfId="10767"/>
    <cellStyle name="Normal 15 4" xfId="10768"/>
    <cellStyle name="Normal 15 4 10" xfId="10769"/>
    <cellStyle name="Normal 15 4 11" xfId="10770"/>
    <cellStyle name="Normal 15 4 12" xfId="10771"/>
    <cellStyle name="Normal 15 4 13" xfId="10772"/>
    <cellStyle name="Normal 15 4 14" xfId="10773"/>
    <cellStyle name="Normal 15 4 15" xfId="10774"/>
    <cellStyle name="Normal 15 4 2" xfId="10775"/>
    <cellStyle name="Normal 15 4 3" xfId="10776"/>
    <cellStyle name="Normal 15 4 4" xfId="10777"/>
    <cellStyle name="Normal 15 4 5" xfId="10778"/>
    <cellStyle name="Normal 15 4 6" xfId="10779"/>
    <cellStyle name="Normal 15 4 7" xfId="10780"/>
    <cellStyle name="Normal 15 4 8" xfId="10781"/>
    <cellStyle name="Normal 15 4 9" xfId="10782"/>
    <cellStyle name="Normal 15 5" xfId="10783"/>
    <cellStyle name="Normal 15 5 10" xfId="10784"/>
    <cellStyle name="Normal 15 5 11" xfId="10785"/>
    <cellStyle name="Normal 15 5 12" xfId="10786"/>
    <cellStyle name="Normal 15 5 13" xfId="10787"/>
    <cellStyle name="Normal 15 5 14" xfId="10788"/>
    <cellStyle name="Normal 15 5 15" xfId="10789"/>
    <cellStyle name="Normal 15 5 2" xfId="10790"/>
    <cellStyle name="Normal 15 5 3" xfId="10791"/>
    <cellStyle name="Normal 15 5 4" xfId="10792"/>
    <cellStyle name="Normal 15 5 5" xfId="10793"/>
    <cellStyle name="Normal 15 5 6" xfId="10794"/>
    <cellStyle name="Normal 15 5 7" xfId="10795"/>
    <cellStyle name="Normal 15 5 8" xfId="10796"/>
    <cellStyle name="Normal 15 5 9" xfId="10797"/>
    <cellStyle name="Normal 16" xfId="10798"/>
    <cellStyle name="Normal 17" xfId="10799"/>
    <cellStyle name="Normal 17 2" xfId="10800"/>
    <cellStyle name="Normal 17 3" xfId="10801"/>
    <cellStyle name="Normal 17 4" xfId="10802"/>
    <cellStyle name="Normal 17 5" xfId="10803"/>
    <cellStyle name="Normal 17 6" xfId="10804"/>
    <cellStyle name="Normal 17 7" xfId="10805"/>
    <cellStyle name="Normal 18" xfId="10806"/>
    <cellStyle name="Normal 18 2" xfId="10807"/>
    <cellStyle name="Normal 18 3" xfId="10808"/>
    <cellStyle name="Normal 18 4" xfId="10809"/>
    <cellStyle name="Normal 18 5" xfId="10810"/>
    <cellStyle name="Normal 18 6" xfId="10811"/>
    <cellStyle name="Normal 18 7" xfId="10812"/>
    <cellStyle name="Normal 19" xfId="10813"/>
    <cellStyle name="Normal 19 2" xfId="10814"/>
    <cellStyle name="Normal 19 3" xfId="10815"/>
    <cellStyle name="Normal 2" xfId="15"/>
    <cellStyle name="Normal 2 10" xfId="10816"/>
    <cellStyle name="Normal 2 10 10" xfId="10817"/>
    <cellStyle name="Normal 2 10 11" xfId="10818"/>
    <cellStyle name="Normal 2 10 12" xfId="10819"/>
    <cellStyle name="Normal 2 10 2" xfId="10820"/>
    <cellStyle name="Normal 2 10 2 2" xfId="10821"/>
    <cellStyle name="Normal 2 10 2 3" xfId="10822"/>
    <cellStyle name="Normal 2 10 2 4" xfId="10823"/>
    <cellStyle name="Normal 2 10 2 5" xfId="10824"/>
    <cellStyle name="Normal 2 10 2 6" xfId="10825"/>
    <cellStyle name="Normal 2 10 2 7" xfId="10826"/>
    <cellStyle name="Normal 2 10 2 8" xfId="40608"/>
    <cellStyle name="Normal 2 10 3" xfId="10827"/>
    <cellStyle name="Normal 2 10 3 2" xfId="40609"/>
    <cellStyle name="Normal 2 10 4" xfId="10828"/>
    <cellStyle name="Normal 2 10 4 2" xfId="40610"/>
    <cellStyle name="Normal 2 10 5" xfId="10829"/>
    <cellStyle name="Normal 2 10 6" xfId="10830"/>
    <cellStyle name="Normal 2 10 7" xfId="10831"/>
    <cellStyle name="Normal 2 10 8" xfId="10832"/>
    <cellStyle name="Normal 2 10 9" xfId="10833"/>
    <cellStyle name="Normal 2 100" xfId="10834"/>
    <cellStyle name="Normal 2 101" xfId="10835"/>
    <cellStyle name="Normal 2 102" xfId="10836"/>
    <cellStyle name="Normal 2 103" xfId="10837"/>
    <cellStyle name="Normal 2 104" xfId="10838"/>
    <cellStyle name="Normal 2 105" xfId="10839"/>
    <cellStyle name="Normal 2 106" xfId="10840"/>
    <cellStyle name="Normal 2 107" xfId="10841"/>
    <cellStyle name="Normal 2 108" xfId="10842"/>
    <cellStyle name="Normal 2 109" xfId="10843"/>
    <cellStyle name="Normal 2 11" xfId="10844"/>
    <cellStyle name="Normal 2 11 10" xfId="10845"/>
    <cellStyle name="Normal 2 11 11" xfId="10846"/>
    <cellStyle name="Normal 2 11 12" xfId="10847"/>
    <cellStyle name="Normal 2 11 2" xfId="10848"/>
    <cellStyle name="Normal 2 11 2 2" xfId="10849"/>
    <cellStyle name="Normal 2 11 2 3" xfId="10850"/>
    <cellStyle name="Normal 2 11 2 4" xfId="10851"/>
    <cellStyle name="Normal 2 11 2 5" xfId="10852"/>
    <cellStyle name="Normal 2 11 2 6" xfId="10853"/>
    <cellStyle name="Normal 2 11 2 7" xfId="10854"/>
    <cellStyle name="Normal 2 11 2 8" xfId="40611"/>
    <cellStyle name="Normal 2 11 3" xfId="10855"/>
    <cellStyle name="Normal 2 11 3 2" xfId="40612"/>
    <cellStyle name="Normal 2 11 4" xfId="10856"/>
    <cellStyle name="Normal 2 11 4 2" xfId="40613"/>
    <cellStyle name="Normal 2 11 5" xfId="10857"/>
    <cellStyle name="Normal 2 11 6" xfId="10858"/>
    <cellStyle name="Normal 2 11 7" xfId="10859"/>
    <cellStyle name="Normal 2 11 8" xfId="10860"/>
    <cellStyle name="Normal 2 11 9" xfId="10861"/>
    <cellStyle name="Normal 2 110" xfId="10862"/>
    <cellStyle name="Normal 2 111" xfId="10863"/>
    <cellStyle name="Normal 2 112" xfId="10864"/>
    <cellStyle name="Normal 2 113" xfId="10865"/>
    <cellStyle name="Normal 2 114" xfId="10866"/>
    <cellStyle name="Normal 2 115" xfId="10867"/>
    <cellStyle name="Normal 2 116" xfId="10868"/>
    <cellStyle name="Normal 2 117" xfId="10869"/>
    <cellStyle name="Normal 2 118" xfId="10870"/>
    <cellStyle name="Normal 2 119" xfId="10871"/>
    <cellStyle name="Normal 2 12" xfId="10872"/>
    <cellStyle name="Normal 2 12 10" xfId="10873"/>
    <cellStyle name="Normal 2 12 11" xfId="10874"/>
    <cellStyle name="Normal 2 12 12" xfId="10875"/>
    <cellStyle name="Normal 2 12 2" xfId="10876"/>
    <cellStyle name="Normal 2 12 2 2" xfId="10877"/>
    <cellStyle name="Normal 2 12 2 3" xfId="10878"/>
    <cellStyle name="Normal 2 12 2 4" xfId="10879"/>
    <cellStyle name="Normal 2 12 2 5" xfId="10880"/>
    <cellStyle name="Normal 2 12 2 6" xfId="10881"/>
    <cellStyle name="Normal 2 12 2 7" xfId="10882"/>
    <cellStyle name="Normal 2 12 2 8" xfId="40614"/>
    <cellStyle name="Normal 2 12 3" xfId="10883"/>
    <cellStyle name="Normal 2 12 3 2" xfId="40615"/>
    <cellStyle name="Normal 2 12 4" xfId="10884"/>
    <cellStyle name="Normal 2 12 4 2" xfId="40616"/>
    <cellStyle name="Normal 2 12 5" xfId="10885"/>
    <cellStyle name="Normal 2 12 6" xfId="10886"/>
    <cellStyle name="Normal 2 12 7" xfId="10887"/>
    <cellStyle name="Normal 2 12 8" xfId="10888"/>
    <cellStyle name="Normal 2 12 9" xfId="10889"/>
    <cellStyle name="Normal 2 120" xfId="10890"/>
    <cellStyle name="Normal 2 121" xfId="10891"/>
    <cellStyle name="Normal 2 122" xfId="10892"/>
    <cellStyle name="Normal 2 123" xfId="10893"/>
    <cellStyle name="Normal 2 124" xfId="10894"/>
    <cellStyle name="Normal 2 125" xfId="10895"/>
    <cellStyle name="Normal 2 126" xfId="10896"/>
    <cellStyle name="Normal 2 127" xfId="10897"/>
    <cellStyle name="Normal 2 128" xfId="10898"/>
    <cellStyle name="Normal 2 129" xfId="10899"/>
    <cellStyle name="Normal 2 13" xfId="10900"/>
    <cellStyle name="Normal 2 13 10" xfId="10901"/>
    <cellStyle name="Normal 2 13 11" xfId="10902"/>
    <cellStyle name="Normal 2 13 12" xfId="10903"/>
    <cellStyle name="Normal 2 13 13" xfId="10904"/>
    <cellStyle name="Normal 2 13 14" xfId="10905"/>
    <cellStyle name="Normal 2 13 15" xfId="10906"/>
    <cellStyle name="Normal 2 13 16" xfId="10907"/>
    <cellStyle name="Normal 2 13 17" xfId="10908"/>
    <cellStyle name="Normal 2 13 18" xfId="10909"/>
    <cellStyle name="Normal 2 13 19" xfId="10910"/>
    <cellStyle name="Normal 2 13 2" xfId="10911"/>
    <cellStyle name="Normal 2 13 2 2" xfId="10912"/>
    <cellStyle name="Normal 2 13 2 3" xfId="10913"/>
    <cellStyle name="Normal 2 13 2 4" xfId="10914"/>
    <cellStyle name="Normal 2 13 2 5" xfId="10915"/>
    <cellStyle name="Normal 2 13 2 6" xfId="10916"/>
    <cellStyle name="Normal 2 13 2 7" xfId="10917"/>
    <cellStyle name="Normal 2 13 2 8" xfId="40617"/>
    <cellStyle name="Normal 2 13 20" xfId="10918"/>
    <cellStyle name="Normal 2 13 21" xfId="10919"/>
    <cellStyle name="Normal 2 13 22" xfId="10920"/>
    <cellStyle name="Normal 2 13 23" xfId="10921"/>
    <cellStyle name="Normal 2 13 24" xfId="10922"/>
    <cellStyle name="Normal 2 13 25" xfId="10923"/>
    <cellStyle name="Normal 2 13 26" xfId="10924"/>
    <cellStyle name="Normal 2 13 27" xfId="10925"/>
    <cellStyle name="Normal 2 13 28" xfId="10926"/>
    <cellStyle name="Normal 2 13 29" xfId="10927"/>
    <cellStyle name="Normal 2 13 3" xfId="10928"/>
    <cellStyle name="Normal 2 13 3 2" xfId="40618"/>
    <cellStyle name="Normal 2 13 4" xfId="10929"/>
    <cellStyle name="Normal 2 13 4 2" xfId="40619"/>
    <cellStyle name="Normal 2 13 5" xfId="10930"/>
    <cellStyle name="Normal 2 13 6" xfId="10931"/>
    <cellStyle name="Normal 2 13 7" xfId="10932"/>
    <cellStyle name="Normal 2 13 8" xfId="10933"/>
    <cellStyle name="Normal 2 13 9" xfId="10934"/>
    <cellStyle name="Normal 2 130" xfId="10935"/>
    <cellStyle name="Normal 2 131" xfId="10936"/>
    <cellStyle name="Normal 2 132" xfId="10937"/>
    <cellStyle name="Normal 2 133" xfId="10938"/>
    <cellStyle name="Normal 2 134" xfId="10939"/>
    <cellStyle name="Normal 2 135" xfId="10940"/>
    <cellStyle name="Normal 2 136" xfId="10941"/>
    <cellStyle name="Normal 2 137" xfId="10942"/>
    <cellStyle name="Normal 2 138" xfId="10943"/>
    <cellStyle name="Normal 2 139" xfId="10944"/>
    <cellStyle name="Normal 2 14" xfId="10945"/>
    <cellStyle name="Normal 2 14 10" xfId="10946"/>
    <cellStyle name="Normal 2 14 11" xfId="10947"/>
    <cellStyle name="Normal 2 14 12" xfId="10948"/>
    <cellStyle name="Normal 2 14 13" xfId="10949"/>
    <cellStyle name="Normal 2 14 14" xfId="10950"/>
    <cellStyle name="Normal 2 14 2" xfId="10951"/>
    <cellStyle name="Normal 2 14 2 10" xfId="10952"/>
    <cellStyle name="Normal 2 14 2 11" xfId="10953"/>
    <cellStyle name="Normal 2 14 2 12" xfId="10954"/>
    <cellStyle name="Normal 2 14 2 13" xfId="10955"/>
    <cellStyle name="Normal 2 14 2 14" xfId="10956"/>
    <cellStyle name="Normal 2 14 2 15" xfId="10957"/>
    <cellStyle name="Normal 2 14 2 16" xfId="10958"/>
    <cellStyle name="Normal 2 14 2 17" xfId="10959"/>
    <cellStyle name="Normal 2 14 2 18" xfId="10960"/>
    <cellStyle name="Normal 2 14 2 19" xfId="10961"/>
    <cellStyle name="Normal 2 14 2 2" xfId="10962"/>
    <cellStyle name="Normal 2 14 2 2 2" xfId="10963"/>
    <cellStyle name="Normal 2 14 2 2 3" xfId="10964"/>
    <cellStyle name="Normal 2 14 2 2 4" xfId="10965"/>
    <cellStyle name="Normal 2 14 2 2 5" xfId="10966"/>
    <cellStyle name="Normal 2 14 2 2 6" xfId="10967"/>
    <cellStyle name="Normal 2 14 2 2 7" xfId="10968"/>
    <cellStyle name="Normal 2 14 2 20" xfId="10969"/>
    <cellStyle name="Normal 2 14 2 21" xfId="10970"/>
    <cellStyle name="Normal 2 14 2 22" xfId="40620"/>
    <cellStyle name="Normal 2 14 2 3" xfId="10971"/>
    <cellStyle name="Normal 2 14 2 4" xfId="10972"/>
    <cellStyle name="Normal 2 14 2 5" xfId="10973"/>
    <cellStyle name="Normal 2 14 2 6" xfId="10974"/>
    <cellStyle name="Normal 2 14 2 7" xfId="10975"/>
    <cellStyle name="Normal 2 14 2 8" xfId="10976"/>
    <cellStyle name="Normal 2 14 2 9" xfId="10977"/>
    <cellStyle name="Normal 2 14 3" xfId="10978"/>
    <cellStyle name="Normal 2 14 3 2" xfId="40621"/>
    <cellStyle name="Normal 2 14 4" xfId="10979"/>
    <cellStyle name="Normal 2 14 4 2" xfId="40622"/>
    <cellStyle name="Normal 2 14 5" xfId="10980"/>
    <cellStyle name="Normal 2 14 6" xfId="10981"/>
    <cellStyle name="Normal 2 14 7" xfId="10982"/>
    <cellStyle name="Normal 2 14 8" xfId="10983"/>
    <cellStyle name="Normal 2 14 9" xfId="10984"/>
    <cellStyle name="Normal 2 140" xfId="10985"/>
    <cellStyle name="Normal 2 141" xfId="10986"/>
    <cellStyle name="Normal 2 142" xfId="10987"/>
    <cellStyle name="Normal 2 143" xfId="10988"/>
    <cellStyle name="Normal 2 144" xfId="10989"/>
    <cellStyle name="Normal 2 145" xfId="10990"/>
    <cellStyle name="Normal 2 146" xfId="10991"/>
    <cellStyle name="Normal 2 147" xfId="10992"/>
    <cellStyle name="Normal 2 148" xfId="10993"/>
    <cellStyle name="Normal 2 149" xfId="10994"/>
    <cellStyle name="Normal 2 15" xfId="10995"/>
    <cellStyle name="Normal 2 15 10" xfId="10996"/>
    <cellStyle name="Normal 2 15 11" xfId="10997"/>
    <cellStyle name="Normal 2 15 12" xfId="10998"/>
    <cellStyle name="Normal 2 15 13" xfId="10999"/>
    <cellStyle name="Normal 2 15 14" xfId="11000"/>
    <cellStyle name="Normal 2 15 15" xfId="40623"/>
    <cellStyle name="Normal 2 15 2" xfId="11001"/>
    <cellStyle name="Normal 2 15 2 10" xfId="11002"/>
    <cellStyle name="Normal 2 15 2 11" xfId="11003"/>
    <cellStyle name="Normal 2 15 2 12" xfId="11004"/>
    <cellStyle name="Normal 2 15 2 13" xfId="11005"/>
    <cellStyle name="Normal 2 15 2 14" xfId="11006"/>
    <cellStyle name="Normal 2 15 2 15" xfId="11007"/>
    <cellStyle name="Normal 2 15 2 16" xfId="11008"/>
    <cellStyle name="Normal 2 15 2 17" xfId="11009"/>
    <cellStyle name="Normal 2 15 2 18" xfId="11010"/>
    <cellStyle name="Normal 2 15 2 19" xfId="11011"/>
    <cellStyle name="Normal 2 15 2 2" xfId="11012"/>
    <cellStyle name="Normal 2 15 2 2 2" xfId="11013"/>
    <cellStyle name="Normal 2 15 2 2 3" xfId="11014"/>
    <cellStyle name="Normal 2 15 2 2 4" xfId="11015"/>
    <cellStyle name="Normal 2 15 2 2 5" xfId="11016"/>
    <cellStyle name="Normal 2 15 2 2 6" xfId="11017"/>
    <cellStyle name="Normal 2 15 2 2 7" xfId="11018"/>
    <cellStyle name="Normal 2 15 2 20" xfId="11019"/>
    <cellStyle name="Normal 2 15 2 21" xfId="11020"/>
    <cellStyle name="Normal 2 15 2 3" xfId="11021"/>
    <cellStyle name="Normal 2 15 2 4" xfId="11022"/>
    <cellStyle name="Normal 2 15 2 5" xfId="11023"/>
    <cellStyle name="Normal 2 15 2 6" xfId="11024"/>
    <cellStyle name="Normal 2 15 2 7" xfId="11025"/>
    <cellStyle name="Normal 2 15 2 8" xfId="11026"/>
    <cellStyle name="Normal 2 15 2 9" xfId="11027"/>
    <cellStyle name="Normal 2 15 3" xfId="11028"/>
    <cellStyle name="Normal 2 15 4" xfId="11029"/>
    <cellStyle name="Normal 2 15 5" xfId="11030"/>
    <cellStyle name="Normal 2 15 6" xfId="11031"/>
    <cellStyle name="Normal 2 15 7" xfId="11032"/>
    <cellStyle name="Normal 2 15 8" xfId="11033"/>
    <cellStyle name="Normal 2 15 9" xfId="11034"/>
    <cellStyle name="Normal 2 150" xfId="11035"/>
    <cellStyle name="Normal 2 151" xfId="11036"/>
    <cellStyle name="Normal 2 152" xfId="11037"/>
    <cellStyle name="Normal 2 153" xfId="11038"/>
    <cellStyle name="Normal 2 154" xfId="11039"/>
    <cellStyle name="Normal 2 155" xfId="11040"/>
    <cellStyle name="Normal 2 156" xfId="11041"/>
    <cellStyle name="Normal 2 157" xfId="11042"/>
    <cellStyle name="Normal 2 158" xfId="11043"/>
    <cellStyle name="Normal 2 159" xfId="11044"/>
    <cellStyle name="Normal 2 16" xfId="11045"/>
    <cellStyle name="Normal 2 16 10" xfId="11046"/>
    <cellStyle name="Normal 2 16 11" xfId="11047"/>
    <cellStyle name="Normal 2 16 12" xfId="11048"/>
    <cellStyle name="Normal 2 16 13" xfId="11049"/>
    <cellStyle name="Normal 2 16 14" xfId="11050"/>
    <cellStyle name="Normal 2 16 15" xfId="40624"/>
    <cellStyle name="Normal 2 16 2" xfId="11051"/>
    <cellStyle name="Normal 2 16 2 10" xfId="11052"/>
    <cellStyle name="Normal 2 16 2 11" xfId="11053"/>
    <cellStyle name="Normal 2 16 2 12" xfId="11054"/>
    <cellStyle name="Normal 2 16 2 13" xfId="11055"/>
    <cellStyle name="Normal 2 16 2 14" xfId="11056"/>
    <cellStyle name="Normal 2 16 2 15" xfId="11057"/>
    <cellStyle name="Normal 2 16 2 16" xfId="11058"/>
    <cellStyle name="Normal 2 16 2 17" xfId="11059"/>
    <cellStyle name="Normal 2 16 2 18" xfId="11060"/>
    <cellStyle name="Normal 2 16 2 19" xfId="11061"/>
    <cellStyle name="Normal 2 16 2 2" xfId="11062"/>
    <cellStyle name="Normal 2 16 2 2 2" xfId="11063"/>
    <cellStyle name="Normal 2 16 2 2 3" xfId="11064"/>
    <cellStyle name="Normal 2 16 2 2 4" xfId="11065"/>
    <cellStyle name="Normal 2 16 2 2 5" xfId="11066"/>
    <cellStyle name="Normal 2 16 2 2 6" xfId="11067"/>
    <cellStyle name="Normal 2 16 2 2 7" xfId="11068"/>
    <cellStyle name="Normal 2 16 2 20" xfId="11069"/>
    <cellStyle name="Normal 2 16 2 21" xfId="11070"/>
    <cellStyle name="Normal 2 16 2 3" xfId="11071"/>
    <cellStyle name="Normal 2 16 2 4" xfId="11072"/>
    <cellStyle name="Normal 2 16 2 5" xfId="11073"/>
    <cellStyle name="Normal 2 16 2 6" xfId="11074"/>
    <cellStyle name="Normal 2 16 2 7" xfId="11075"/>
    <cellStyle name="Normal 2 16 2 8" xfId="11076"/>
    <cellStyle name="Normal 2 16 2 9" xfId="11077"/>
    <cellStyle name="Normal 2 16 3" xfId="11078"/>
    <cellStyle name="Normal 2 16 4" xfId="11079"/>
    <cellStyle name="Normal 2 16 5" xfId="11080"/>
    <cellStyle name="Normal 2 16 6" xfId="11081"/>
    <cellStyle name="Normal 2 16 7" xfId="11082"/>
    <cellStyle name="Normal 2 16 8" xfId="11083"/>
    <cellStyle name="Normal 2 16 9" xfId="11084"/>
    <cellStyle name="Normal 2 160" xfId="11085"/>
    <cellStyle name="Normal 2 161" xfId="11086"/>
    <cellStyle name="Normal 2 162" xfId="11087"/>
    <cellStyle name="Normal 2 163" xfId="11088"/>
    <cellStyle name="Normal 2 164" xfId="11089"/>
    <cellStyle name="Normal 2 165" xfId="11090"/>
    <cellStyle name="Normal 2 166" xfId="11091"/>
    <cellStyle name="Normal 2 167" xfId="11092"/>
    <cellStyle name="Normal 2 168" xfId="11093"/>
    <cellStyle name="Normal 2 169" xfId="11094"/>
    <cellStyle name="Normal 2 17" xfId="11095"/>
    <cellStyle name="Normal 2 17 10" xfId="11096"/>
    <cellStyle name="Normal 2 17 11" xfId="11097"/>
    <cellStyle name="Normal 2 17 12" xfId="11098"/>
    <cellStyle name="Normal 2 17 13" xfId="11099"/>
    <cellStyle name="Normal 2 17 14" xfId="11100"/>
    <cellStyle name="Normal 2 17 15" xfId="40625"/>
    <cellStyle name="Normal 2 17 2" xfId="11101"/>
    <cellStyle name="Normal 2 17 2 10" xfId="11102"/>
    <cellStyle name="Normal 2 17 2 11" xfId="11103"/>
    <cellStyle name="Normal 2 17 2 12" xfId="11104"/>
    <cellStyle name="Normal 2 17 2 13" xfId="11105"/>
    <cellStyle name="Normal 2 17 2 14" xfId="11106"/>
    <cellStyle name="Normal 2 17 2 15" xfId="11107"/>
    <cellStyle name="Normal 2 17 2 16" xfId="11108"/>
    <cellStyle name="Normal 2 17 2 17" xfId="11109"/>
    <cellStyle name="Normal 2 17 2 18" xfId="11110"/>
    <cellStyle name="Normal 2 17 2 19" xfId="11111"/>
    <cellStyle name="Normal 2 17 2 2" xfId="11112"/>
    <cellStyle name="Normal 2 17 2 2 2" xfId="11113"/>
    <cellStyle name="Normal 2 17 2 2 3" xfId="11114"/>
    <cellStyle name="Normal 2 17 2 2 4" xfId="11115"/>
    <cellStyle name="Normal 2 17 2 2 5" xfId="11116"/>
    <cellStyle name="Normal 2 17 2 2 6" xfId="11117"/>
    <cellStyle name="Normal 2 17 2 2 7" xfId="11118"/>
    <cellStyle name="Normal 2 17 2 20" xfId="11119"/>
    <cellStyle name="Normal 2 17 2 21" xfId="11120"/>
    <cellStyle name="Normal 2 17 2 3" xfId="11121"/>
    <cellStyle name="Normal 2 17 2 4" xfId="11122"/>
    <cellStyle name="Normal 2 17 2 5" xfId="11123"/>
    <cellStyle name="Normal 2 17 2 6" xfId="11124"/>
    <cellStyle name="Normal 2 17 2 7" xfId="11125"/>
    <cellStyle name="Normal 2 17 2 8" xfId="11126"/>
    <cellStyle name="Normal 2 17 2 9" xfId="11127"/>
    <cellStyle name="Normal 2 17 3" xfId="11128"/>
    <cellStyle name="Normal 2 17 4" xfId="11129"/>
    <cellStyle name="Normal 2 17 5" xfId="11130"/>
    <cellStyle name="Normal 2 17 6" xfId="11131"/>
    <cellStyle name="Normal 2 17 7" xfId="11132"/>
    <cellStyle name="Normal 2 17 8" xfId="11133"/>
    <cellStyle name="Normal 2 17 9" xfId="11134"/>
    <cellStyle name="Normal 2 170" xfId="11135"/>
    <cellStyle name="Normal 2 171" xfId="11136"/>
    <cellStyle name="Normal 2 172" xfId="11137"/>
    <cellStyle name="Normal 2 173" xfId="11138"/>
    <cellStyle name="Normal 2 174" xfId="11139"/>
    <cellStyle name="Normal 2 175" xfId="11140"/>
    <cellStyle name="Normal 2 176" xfId="11141"/>
    <cellStyle name="Normal 2 177" xfId="11142"/>
    <cellStyle name="Normal 2 178" xfId="11143"/>
    <cellStyle name="Normal 2 179" xfId="11144"/>
    <cellStyle name="Normal 2 18" xfId="11145"/>
    <cellStyle name="Normal 2 18 10" xfId="11146"/>
    <cellStyle name="Normal 2 18 11" xfId="11147"/>
    <cellStyle name="Normal 2 18 12" xfId="11148"/>
    <cellStyle name="Normal 2 18 13" xfId="11149"/>
    <cellStyle name="Normal 2 18 14" xfId="11150"/>
    <cellStyle name="Normal 2 18 15" xfId="40626"/>
    <cellStyle name="Normal 2 18 2" xfId="11151"/>
    <cellStyle name="Normal 2 18 2 10" xfId="11152"/>
    <cellStyle name="Normal 2 18 2 11" xfId="11153"/>
    <cellStyle name="Normal 2 18 2 12" xfId="11154"/>
    <cellStyle name="Normal 2 18 2 13" xfId="11155"/>
    <cellStyle name="Normal 2 18 2 14" xfId="11156"/>
    <cellStyle name="Normal 2 18 2 15" xfId="11157"/>
    <cellStyle name="Normal 2 18 2 16" xfId="11158"/>
    <cellStyle name="Normal 2 18 2 17" xfId="11159"/>
    <cellStyle name="Normal 2 18 2 18" xfId="11160"/>
    <cellStyle name="Normal 2 18 2 19" xfId="11161"/>
    <cellStyle name="Normal 2 18 2 2" xfId="11162"/>
    <cellStyle name="Normal 2 18 2 2 2" xfId="11163"/>
    <cellStyle name="Normal 2 18 2 2 3" xfId="11164"/>
    <cellStyle name="Normal 2 18 2 2 4" xfId="11165"/>
    <cellStyle name="Normal 2 18 2 2 5" xfId="11166"/>
    <cellStyle name="Normal 2 18 2 2 6" xfId="11167"/>
    <cellStyle name="Normal 2 18 2 2 7" xfId="11168"/>
    <cellStyle name="Normal 2 18 2 20" xfId="11169"/>
    <cellStyle name="Normal 2 18 2 21" xfId="11170"/>
    <cellStyle name="Normal 2 18 2 3" xfId="11171"/>
    <cellStyle name="Normal 2 18 2 4" xfId="11172"/>
    <cellStyle name="Normal 2 18 2 5" xfId="11173"/>
    <cellStyle name="Normal 2 18 2 6" xfId="11174"/>
    <cellStyle name="Normal 2 18 2 7" xfId="11175"/>
    <cellStyle name="Normal 2 18 2 8" xfId="11176"/>
    <cellStyle name="Normal 2 18 2 9" xfId="11177"/>
    <cellStyle name="Normal 2 18 3" xfId="11178"/>
    <cellStyle name="Normal 2 18 4" xfId="11179"/>
    <cellStyle name="Normal 2 18 5" xfId="11180"/>
    <cellStyle name="Normal 2 18 6" xfId="11181"/>
    <cellStyle name="Normal 2 18 7" xfId="11182"/>
    <cellStyle name="Normal 2 18 8" xfId="11183"/>
    <cellStyle name="Normal 2 18 9" xfId="11184"/>
    <cellStyle name="Normal 2 180" xfId="11185"/>
    <cellStyle name="Normal 2 181" xfId="11186"/>
    <cellStyle name="Normal 2 182" xfId="11187"/>
    <cellStyle name="Normal 2 183" xfId="11188"/>
    <cellStyle name="Normal 2 184" xfId="11189"/>
    <cellStyle name="Normal 2 185" xfId="11190"/>
    <cellStyle name="Normal 2 186" xfId="11191"/>
    <cellStyle name="Normal 2 187" xfId="11192"/>
    <cellStyle name="Normal 2 188" xfId="11193"/>
    <cellStyle name="Normal 2 189" xfId="11194"/>
    <cellStyle name="Normal 2 19" xfId="11195"/>
    <cellStyle name="Normal 2 19 10" xfId="11196"/>
    <cellStyle name="Normal 2 19 11" xfId="40627"/>
    <cellStyle name="Normal 2 19 2" xfId="11197"/>
    <cellStyle name="Normal 2 19 2 2" xfId="11198"/>
    <cellStyle name="Normal 2 19 2 3" xfId="11199"/>
    <cellStyle name="Normal 2 19 2 4" xfId="11200"/>
    <cellStyle name="Normal 2 19 2 5" xfId="11201"/>
    <cellStyle name="Normal 2 19 2 6" xfId="11202"/>
    <cellStyle name="Normal 2 19 2 7" xfId="11203"/>
    <cellStyle name="Normal 2 19 3" xfId="11204"/>
    <cellStyle name="Normal 2 19 4" xfId="11205"/>
    <cellStyle name="Normal 2 19 5" xfId="11206"/>
    <cellStyle name="Normal 2 19 6" xfId="11207"/>
    <cellStyle name="Normal 2 19 7" xfId="11208"/>
    <cellStyle name="Normal 2 19 8" xfId="11209"/>
    <cellStyle name="Normal 2 19 9" xfId="11210"/>
    <cellStyle name="Normal 2 190" xfId="11211"/>
    <cellStyle name="Normal 2 191" xfId="11212"/>
    <cellStyle name="Normal 2 192" xfId="11213"/>
    <cellStyle name="Normal 2 193" xfId="11214"/>
    <cellStyle name="Normal 2 194" xfId="11215"/>
    <cellStyle name="Normal 2 195" xfId="11216"/>
    <cellStyle name="Normal 2 196" xfId="11217"/>
    <cellStyle name="Normal 2 197" xfId="11218"/>
    <cellStyle name="Normal 2 198" xfId="11219"/>
    <cellStyle name="Normal 2 199" xfId="11220"/>
    <cellStyle name="Normal 2 2" xfId="11221"/>
    <cellStyle name="Normal 2 2 10" xfId="11222"/>
    <cellStyle name="Normal 2 2 10 2" xfId="11223"/>
    <cellStyle name="Normal 2 2 11" xfId="11224"/>
    <cellStyle name="Normal 2 2 11 2" xfId="11225"/>
    <cellStyle name="Normal 2 2 12" xfId="11226"/>
    <cellStyle name="Normal 2 2 12 2" xfId="11227"/>
    <cellStyle name="Normal 2 2 13" xfId="11228"/>
    <cellStyle name="Normal 2 2 13 2" xfId="11229"/>
    <cellStyle name="Normal 2 2 14" xfId="11230"/>
    <cellStyle name="Normal 2 2 14 2" xfId="11231"/>
    <cellStyle name="Normal 2 2 15" xfId="11232"/>
    <cellStyle name="Normal 2 2 15 2" xfId="11233"/>
    <cellStyle name="Normal 2 2 16" xfId="11234"/>
    <cellStyle name="Normal 2 2 16 2" xfId="11235"/>
    <cellStyle name="Normal 2 2 17" xfId="11236"/>
    <cellStyle name="Normal 2 2 17 2" xfId="11237"/>
    <cellStyle name="Normal 2 2 18" xfId="11238"/>
    <cellStyle name="Normal 2 2 18 2" xfId="11239"/>
    <cellStyle name="Normal 2 2 19" xfId="11240"/>
    <cellStyle name="Normal 2 2 19 2" xfId="11241"/>
    <cellStyle name="Normal 2 2 2" xfId="11242"/>
    <cellStyle name="Normal 2 2 2 10" xfId="11243"/>
    <cellStyle name="Normal 2 2 2 11" xfId="11244"/>
    <cellStyle name="Normal 2 2 2 12" xfId="11245"/>
    <cellStyle name="Normal 2 2 2 13" xfId="11246"/>
    <cellStyle name="Normal 2 2 2 14" xfId="11247"/>
    <cellStyle name="Normal 2 2 2 2" xfId="11248"/>
    <cellStyle name="Normal 2 2 2 2 2" xfId="11249"/>
    <cellStyle name="Normal 2 2 2 2 3" xfId="11250"/>
    <cellStyle name="Normal 2 2 2 2 4" xfId="11251"/>
    <cellStyle name="Normal 2 2 2 2 5" xfId="11252"/>
    <cellStyle name="Normal 2 2 2 2 6" xfId="11253"/>
    <cellStyle name="Normal 2 2 2 2 7" xfId="11254"/>
    <cellStyle name="Normal 2 2 2 2 8" xfId="40629"/>
    <cellStyle name="Normal 2 2 2 3" xfId="11255"/>
    <cellStyle name="Normal 2 2 2 4" xfId="11256"/>
    <cellStyle name="Normal 2 2 2 4 10" xfId="11257"/>
    <cellStyle name="Normal 2 2 2 4 11" xfId="11258"/>
    <cellStyle name="Normal 2 2 2 4 12" xfId="11259"/>
    <cellStyle name="Normal 2 2 2 4 13" xfId="11260"/>
    <cellStyle name="Normal 2 2 2 4 14" xfId="11261"/>
    <cellStyle name="Normal 2 2 2 4 15" xfId="11262"/>
    <cellStyle name="Normal 2 2 2 4 16" xfId="11263"/>
    <cellStyle name="Normal 2 2 2 4 2" xfId="11264"/>
    <cellStyle name="Normal 2 2 2 4 3" xfId="11265"/>
    <cellStyle name="Normal 2 2 2 4 4" xfId="11266"/>
    <cellStyle name="Normal 2 2 2 4 5" xfId="11267"/>
    <cellStyle name="Normal 2 2 2 4 6" xfId="11268"/>
    <cellStyle name="Normal 2 2 2 4 7" xfId="11269"/>
    <cellStyle name="Normal 2 2 2 4 8" xfId="11270"/>
    <cellStyle name="Normal 2 2 2 4 9" xfId="11271"/>
    <cellStyle name="Normal 2 2 2 5" xfId="11272"/>
    <cellStyle name="Normal 2 2 2 5 10" xfId="11273"/>
    <cellStyle name="Normal 2 2 2 5 11" xfId="11274"/>
    <cellStyle name="Normal 2 2 2 5 12" xfId="11275"/>
    <cellStyle name="Normal 2 2 2 5 13" xfId="11276"/>
    <cellStyle name="Normal 2 2 2 5 14" xfId="11277"/>
    <cellStyle name="Normal 2 2 2 5 15" xfId="11278"/>
    <cellStyle name="Normal 2 2 2 5 16" xfId="11279"/>
    <cellStyle name="Normal 2 2 2 5 2" xfId="11280"/>
    <cellStyle name="Normal 2 2 2 5 3" xfId="11281"/>
    <cellStyle name="Normal 2 2 2 5 4" xfId="11282"/>
    <cellStyle name="Normal 2 2 2 5 5" xfId="11283"/>
    <cellStyle name="Normal 2 2 2 5 6" xfId="11284"/>
    <cellStyle name="Normal 2 2 2 5 7" xfId="11285"/>
    <cellStyle name="Normal 2 2 2 5 8" xfId="11286"/>
    <cellStyle name="Normal 2 2 2 5 9" xfId="11287"/>
    <cellStyle name="Normal 2 2 2 6" xfId="11288"/>
    <cellStyle name="Normal 2 2 2 6 2" xfId="11289"/>
    <cellStyle name="Normal 2 2 2 7" xfId="11290"/>
    <cellStyle name="Normal 2 2 2 7 2" xfId="11291"/>
    <cellStyle name="Normal 2 2 2 8" xfId="11292"/>
    <cellStyle name="Normal 2 2 2 8 2" xfId="11293"/>
    <cellStyle name="Normal 2 2 2 9" xfId="11294"/>
    <cellStyle name="Normal 2 2 20" xfId="11295"/>
    <cellStyle name="Normal 2 2 20 2" xfId="11296"/>
    <cellStyle name="Normal 2 2 21" xfId="11297"/>
    <cellStyle name="Normal 2 2 21 2" xfId="11298"/>
    <cellStyle name="Normal 2 2 22" xfId="11299"/>
    <cellStyle name="Normal 2 2 22 2" xfId="11300"/>
    <cellStyle name="Normal 2 2 23" xfId="11301"/>
    <cellStyle name="Normal 2 2 23 2" xfId="11302"/>
    <cellStyle name="Normal 2 2 24" xfId="11303"/>
    <cellStyle name="Normal 2 2 24 2" xfId="11304"/>
    <cellStyle name="Normal 2 2 25" xfId="11305"/>
    <cellStyle name="Normal 2 2 25 2" xfId="11306"/>
    <cellStyle name="Normal 2 2 26" xfId="11307"/>
    <cellStyle name="Normal 2 2 26 2" xfId="11308"/>
    <cellStyle name="Normal 2 2 27" xfId="11309"/>
    <cellStyle name="Normal 2 2 27 2" xfId="11310"/>
    <cellStyle name="Normal 2 2 28" xfId="11311"/>
    <cellStyle name="Normal 2 2 28 2" xfId="11312"/>
    <cellStyle name="Normal 2 2 29" xfId="11313"/>
    <cellStyle name="Normal 2 2 29 2" xfId="11314"/>
    <cellStyle name="Normal 2 2 3" xfId="11315"/>
    <cellStyle name="Normal 2 2 3 2" xfId="40631"/>
    <cellStyle name="Normal 2 2 3 3" xfId="40630"/>
    <cellStyle name="Normal 2 2 30" xfId="11316"/>
    <cellStyle name="Normal 2 2 30 2" xfId="11317"/>
    <cellStyle name="Normal 2 2 31" xfId="11318"/>
    <cellStyle name="Normal 2 2 31 2" xfId="11319"/>
    <cellStyle name="Normal 2 2 32" xfId="11320"/>
    <cellStyle name="Normal 2 2 32 2" xfId="11321"/>
    <cellStyle name="Normal 2 2 33" xfId="11322"/>
    <cellStyle name="Normal 2 2 34" xfId="11323"/>
    <cellStyle name="Normal 2 2 35" xfId="11324"/>
    <cellStyle name="Normal 2 2 36" xfId="40628"/>
    <cellStyle name="Normal 2 2 4" xfId="11325"/>
    <cellStyle name="Normal 2 2 4 10" xfId="11326"/>
    <cellStyle name="Normal 2 2 4 11" xfId="11327"/>
    <cellStyle name="Normal 2 2 4 12" xfId="11328"/>
    <cellStyle name="Normal 2 2 4 13" xfId="11329"/>
    <cellStyle name="Normal 2 2 4 14" xfId="11330"/>
    <cellStyle name="Normal 2 2 4 15" xfId="11331"/>
    <cellStyle name="Normal 2 2 4 16" xfId="11332"/>
    <cellStyle name="Normal 2 2 4 17" xfId="40632"/>
    <cellStyle name="Normal 2 2 4 2" xfId="11333"/>
    <cellStyle name="Normal 2 2 4 2 2" xfId="40633"/>
    <cellStyle name="Normal 2 2 4 3" xfId="11334"/>
    <cellStyle name="Normal 2 2 4 4" xfId="11335"/>
    <cellStyle name="Normal 2 2 4 5" xfId="11336"/>
    <cellStyle name="Normal 2 2 4 6" xfId="11337"/>
    <cellStyle name="Normal 2 2 4 7" xfId="11338"/>
    <cellStyle name="Normal 2 2 4 8" xfId="11339"/>
    <cellStyle name="Normal 2 2 4 9" xfId="11340"/>
    <cellStyle name="Normal 2 2 5" xfId="11341"/>
    <cellStyle name="Normal 2 2 5 10" xfId="11342"/>
    <cellStyle name="Normal 2 2 5 11" xfId="11343"/>
    <cellStyle name="Normal 2 2 5 12" xfId="11344"/>
    <cellStyle name="Normal 2 2 5 13" xfId="11345"/>
    <cellStyle name="Normal 2 2 5 14" xfId="11346"/>
    <cellStyle name="Normal 2 2 5 15" xfId="11347"/>
    <cellStyle name="Normal 2 2 5 16" xfId="11348"/>
    <cellStyle name="Normal 2 2 5 17" xfId="40634"/>
    <cellStyle name="Normal 2 2 5 2" xfId="11349"/>
    <cellStyle name="Normal 2 2 5 3" xfId="11350"/>
    <cellStyle name="Normal 2 2 5 4" xfId="11351"/>
    <cellStyle name="Normal 2 2 5 5" xfId="11352"/>
    <cellStyle name="Normal 2 2 5 6" xfId="11353"/>
    <cellStyle name="Normal 2 2 5 7" xfId="11354"/>
    <cellStyle name="Normal 2 2 5 8" xfId="11355"/>
    <cellStyle name="Normal 2 2 5 9" xfId="11356"/>
    <cellStyle name="Normal 2 2 6" xfId="11357"/>
    <cellStyle name="Normal 2 2 6 10" xfId="11358"/>
    <cellStyle name="Normal 2 2 6 11" xfId="11359"/>
    <cellStyle name="Normal 2 2 6 12" xfId="11360"/>
    <cellStyle name="Normal 2 2 6 13" xfId="11361"/>
    <cellStyle name="Normal 2 2 6 14" xfId="11362"/>
    <cellStyle name="Normal 2 2 6 15" xfId="11363"/>
    <cellStyle name="Normal 2 2 6 16" xfId="11364"/>
    <cellStyle name="Normal 2 2 6 17" xfId="40635"/>
    <cellStyle name="Normal 2 2 6 2" xfId="11365"/>
    <cellStyle name="Normal 2 2 6 3" xfId="11366"/>
    <cellStyle name="Normal 2 2 6 4" xfId="11367"/>
    <cellStyle name="Normal 2 2 6 5" xfId="11368"/>
    <cellStyle name="Normal 2 2 6 6" xfId="11369"/>
    <cellStyle name="Normal 2 2 6 7" xfId="11370"/>
    <cellStyle name="Normal 2 2 6 8" xfId="11371"/>
    <cellStyle name="Normal 2 2 6 9" xfId="11372"/>
    <cellStyle name="Normal 2 2 7" xfId="11373"/>
    <cellStyle name="Normal 2 2 7 10" xfId="11374"/>
    <cellStyle name="Normal 2 2 7 11" xfId="11375"/>
    <cellStyle name="Normal 2 2 7 12" xfId="11376"/>
    <cellStyle name="Normal 2 2 7 13" xfId="11377"/>
    <cellStyle name="Normal 2 2 7 14" xfId="11378"/>
    <cellStyle name="Normal 2 2 7 15" xfId="11379"/>
    <cellStyle name="Normal 2 2 7 16" xfId="11380"/>
    <cellStyle name="Normal 2 2 7 17" xfId="40636"/>
    <cellStyle name="Normal 2 2 7 2" xfId="11381"/>
    <cellStyle name="Normal 2 2 7 3" xfId="11382"/>
    <cellStyle name="Normal 2 2 7 4" xfId="11383"/>
    <cellStyle name="Normal 2 2 7 5" xfId="11384"/>
    <cellStyle name="Normal 2 2 7 6" xfId="11385"/>
    <cellStyle name="Normal 2 2 7 7" xfId="11386"/>
    <cellStyle name="Normal 2 2 7 8" xfId="11387"/>
    <cellStyle name="Normal 2 2 7 9" xfId="11388"/>
    <cellStyle name="Normal 2 2 8" xfId="11389"/>
    <cellStyle name="Normal 2 2 8 2" xfId="11390"/>
    <cellStyle name="Normal 2 2 9" xfId="11391"/>
    <cellStyle name="Normal 2 2 9 2" xfId="11392"/>
    <cellStyle name="Normal 2 20" xfId="11393"/>
    <cellStyle name="Normal 2 20 2" xfId="11394"/>
    <cellStyle name="Normal 2 20 3" xfId="11395"/>
    <cellStyle name="Normal 2 200" xfId="11396"/>
    <cellStyle name="Normal 2 201" xfId="11397"/>
    <cellStyle name="Normal 2 202" xfId="11398"/>
    <cellStyle name="Normal 2 203" xfId="11399"/>
    <cellStyle name="Normal 2 204" xfId="11400"/>
    <cellStyle name="Normal 2 205" xfId="11401"/>
    <cellStyle name="Normal 2 206" xfId="11402"/>
    <cellStyle name="Normal 2 207" xfId="11403"/>
    <cellStyle name="Normal 2 208" xfId="11404"/>
    <cellStyle name="Normal 2 209" xfId="11405"/>
    <cellStyle name="Normal 2 21" xfId="11406"/>
    <cellStyle name="Normal 2 21 2" xfId="11407"/>
    <cellStyle name="Normal 2 21 2 2" xfId="11408"/>
    <cellStyle name="Normal 2 21 2 3" xfId="11409"/>
    <cellStyle name="Normal 2 21 2 4" xfId="11410"/>
    <cellStyle name="Normal 2 21 2 5" xfId="11411"/>
    <cellStyle name="Normal 2 21 2 6" xfId="11412"/>
    <cellStyle name="Normal 2 21 2 7" xfId="11413"/>
    <cellStyle name="Normal 2 21 3" xfId="11414"/>
    <cellStyle name="Normal 2 21 4" xfId="11415"/>
    <cellStyle name="Normal 2 21 5" xfId="11416"/>
    <cellStyle name="Normal 2 21 6" xfId="11417"/>
    <cellStyle name="Normal 2 21 7" xfId="11418"/>
    <cellStyle name="Normal 2 21 8" xfId="11419"/>
    <cellStyle name="Normal 2 210" xfId="11420"/>
    <cellStyle name="Normal 2 211" xfId="11421"/>
    <cellStyle name="Normal 2 212" xfId="11422"/>
    <cellStyle name="Normal 2 213" xfId="11423"/>
    <cellStyle name="Normal 2 214" xfId="11424"/>
    <cellStyle name="Normal 2 215" xfId="11425"/>
    <cellStyle name="Normal 2 216" xfId="11426"/>
    <cellStyle name="Normal 2 217" xfId="11427"/>
    <cellStyle name="Normal 2 218" xfId="11428"/>
    <cellStyle name="Normal 2 219" xfId="11429"/>
    <cellStyle name="Normal 2 22" xfId="11430"/>
    <cellStyle name="Normal 2 22 2" xfId="11431"/>
    <cellStyle name="Normal 2 22 2 2" xfId="11432"/>
    <cellStyle name="Normal 2 22 2 3" xfId="11433"/>
    <cellStyle name="Normal 2 22 2 4" xfId="11434"/>
    <cellStyle name="Normal 2 22 2 5" xfId="11435"/>
    <cellStyle name="Normal 2 22 2 6" xfId="11436"/>
    <cellStyle name="Normal 2 22 2 7" xfId="11437"/>
    <cellStyle name="Normal 2 22 3" xfId="11438"/>
    <cellStyle name="Normal 2 22 4" xfId="11439"/>
    <cellStyle name="Normal 2 22 5" xfId="11440"/>
    <cellStyle name="Normal 2 22 6" xfId="11441"/>
    <cellStyle name="Normal 2 22 7" xfId="11442"/>
    <cellStyle name="Normal 2 22 8" xfId="11443"/>
    <cellStyle name="Normal 2 220" xfId="11444"/>
    <cellStyle name="Normal 2 221" xfId="11445"/>
    <cellStyle name="Normal 2 222" xfId="11446"/>
    <cellStyle name="Normal 2 223" xfId="11447"/>
    <cellStyle name="Normal 2 224" xfId="11448"/>
    <cellStyle name="Normal 2 225" xfId="11449"/>
    <cellStyle name="Normal 2 226" xfId="11450"/>
    <cellStyle name="Normal 2 227" xfId="11451"/>
    <cellStyle name="Normal 2 228" xfId="11452"/>
    <cellStyle name="Normal 2 229" xfId="11453"/>
    <cellStyle name="Normal 2 23" xfId="11454"/>
    <cellStyle name="Normal 2 230" xfId="11455"/>
    <cellStyle name="Normal 2 231" xfId="11456"/>
    <cellStyle name="Normal 2 232" xfId="11457"/>
    <cellStyle name="Normal 2 233" xfId="11458"/>
    <cellStyle name="Normal 2 234" xfId="11459"/>
    <cellStyle name="Normal 2 235" xfId="41069"/>
    <cellStyle name="Normal 2 24" xfId="11460"/>
    <cellStyle name="Normal 2 25" xfId="11461"/>
    <cellStyle name="Normal 2 26" xfId="11462"/>
    <cellStyle name="Normal 2 26 10" xfId="11463"/>
    <cellStyle name="Normal 2 26 10 2" xfId="11464"/>
    <cellStyle name="Normal 2 26 10 2 2" xfId="41064"/>
    <cellStyle name="Normal 2 26 11" xfId="11465"/>
    <cellStyle name="Normal 2 26 12" xfId="11466"/>
    <cellStyle name="Normal 2 26 13" xfId="11467"/>
    <cellStyle name="Normal 2 26 14" xfId="11468"/>
    <cellStyle name="Normal 2 26 15" xfId="11469"/>
    <cellStyle name="Normal 2 26 16" xfId="11470"/>
    <cellStyle name="Normal 2 26 17" xfId="11471"/>
    <cellStyle name="Normal 2 26 18" xfId="11472"/>
    <cellStyle name="Normal 2 26 19" xfId="11473"/>
    <cellStyle name="Normal 2 26 2" xfId="11474"/>
    <cellStyle name="Normal 2 26 2 10" xfId="11475"/>
    <cellStyle name="Normal 2 26 2 11" xfId="11476"/>
    <cellStyle name="Normal 2 26 2 12" xfId="11477"/>
    <cellStyle name="Normal 2 26 2 13" xfId="11478"/>
    <cellStyle name="Normal 2 26 2 14" xfId="11479"/>
    <cellStyle name="Normal 2 26 2 15" xfId="11480"/>
    <cellStyle name="Normal 2 26 2 16" xfId="11481"/>
    <cellStyle name="Normal 2 26 2 2" xfId="11482"/>
    <cellStyle name="Normal 2 26 2 3" xfId="11483"/>
    <cellStyle name="Normal 2 26 2 4" xfId="11484"/>
    <cellStyle name="Normal 2 26 2 5" xfId="11485"/>
    <cellStyle name="Normal 2 26 2 6" xfId="11486"/>
    <cellStyle name="Normal 2 26 2 7" xfId="11487"/>
    <cellStyle name="Normal 2 26 2 8" xfId="11488"/>
    <cellStyle name="Normal 2 26 2 9" xfId="11489"/>
    <cellStyle name="Normal 2 26 20" xfId="11490"/>
    <cellStyle name="Normal 2 26 21" xfId="11491"/>
    <cellStyle name="Normal 2 26 22" xfId="11492"/>
    <cellStyle name="Normal 2 26 23" xfId="11493"/>
    <cellStyle name="Normal 2 26 24" xfId="11494"/>
    <cellStyle name="Normal 2 26 25" xfId="11495"/>
    <cellStyle name="Normal 2 26 3" xfId="11496"/>
    <cellStyle name="Normal 2 26 3 10" xfId="11497"/>
    <cellStyle name="Normal 2 26 3 11" xfId="11498"/>
    <cellStyle name="Normal 2 26 3 12" xfId="11499"/>
    <cellStyle name="Normal 2 26 3 13" xfId="11500"/>
    <cellStyle name="Normal 2 26 3 14" xfId="11501"/>
    <cellStyle name="Normal 2 26 3 15" xfId="11502"/>
    <cellStyle name="Normal 2 26 3 16" xfId="11503"/>
    <cellStyle name="Normal 2 26 3 2" xfId="11504"/>
    <cellStyle name="Normal 2 26 3 3" xfId="11505"/>
    <cellStyle name="Normal 2 26 3 4" xfId="11506"/>
    <cellStyle name="Normal 2 26 3 5" xfId="11507"/>
    <cellStyle name="Normal 2 26 3 6" xfId="11508"/>
    <cellStyle name="Normal 2 26 3 7" xfId="11509"/>
    <cellStyle name="Normal 2 26 3 8" xfId="11510"/>
    <cellStyle name="Normal 2 26 3 9" xfId="11511"/>
    <cellStyle name="Normal 2 26 4" xfId="11512"/>
    <cellStyle name="Normal 2 26 4 10" xfId="11513"/>
    <cellStyle name="Normal 2 26 4 11" xfId="11514"/>
    <cellStyle name="Normal 2 26 4 12" xfId="11515"/>
    <cellStyle name="Normal 2 26 4 13" xfId="11516"/>
    <cellStyle name="Normal 2 26 4 14" xfId="11517"/>
    <cellStyle name="Normal 2 26 4 15" xfId="11518"/>
    <cellStyle name="Normal 2 26 4 16" xfId="11519"/>
    <cellStyle name="Normal 2 26 4 2" xfId="11520"/>
    <cellStyle name="Normal 2 26 4 3" xfId="11521"/>
    <cellStyle name="Normal 2 26 4 4" xfId="11522"/>
    <cellStyle name="Normal 2 26 4 5" xfId="11523"/>
    <cellStyle name="Normal 2 26 4 6" xfId="11524"/>
    <cellStyle name="Normal 2 26 4 7" xfId="11525"/>
    <cellStyle name="Normal 2 26 4 8" xfId="11526"/>
    <cellStyle name="Normal 2 26 4 9" xfId="11527"/>
    <cellStyle name="Normal 2 26 5" xfId="11528"/>
    <cellStyle name="Normal 2 26 5 10" xfId="11529"/>
    <cellStyle name="Normal 2 26 5 11" xfId="11530"/>
    <cellStyle name="Normal 2 26 5 12" xfId="11531"/>
    <cellStyle name="Normal 2 26 5 13" xfId="11532"/>
    <cellStyle name="Normal 2 26 5 14" xfId="11533"/>
    <cellStyle name="Normal 2 26 5 15" xfId="11534"/>
    <cellStyle name="Normal 2 26 5 16" xfId="11535"/>
    <cellStyle name="Normal 2 26 5 2" xfId="11536"/>
    <cellStyle name="Normal 2 26 5 3" xfId="11537"/>
    <cellStyle name="Normal 2 26 5 4" xfId="11538"/>
    <cellStyle name="Normal 2 26 5 5" xfId="11539"/>
    <cellStyle name="Normal 2 26 5 6" xfId="11540"/>
    <cellStyle name="Normal 2 26 5 7" xfId="11541"/>
    <cellStyle name="Normal 2 26 5 8" xfId="11542"/>
    <cellStyle name="Normal 2 26 5 9" xfId="11543"/>
    <cellStyle name="Normal 2 26 6" xfId="11544"/>
    <cellStyle name="Normal 2 26 6 2" xfId="11545"/>
    <cellStyle name="Normal 2 26 7" xfId="11546"/>
    <cellStyle name="Normal 2 26 7 2" xfId="11547"/>
    <cellStyle name="Normal 2 26 8" xfId="11548"/>
    <cellStyle name="Normal 2 26 8 2" xfId="11549"/>
    <cellStyle name="Normal 2 26 9" xfId="11550"/>
    <cellStyle name="Normal 2 26 9 2" xfId="11551"/>
    <cellStyle name="Normal 2 27" xfId="11552"/>
    <cellStyle name="Normal 2 27 2" xfId="11553"/>
    <cellStyle name="Normal 2 27 3" xfId="11554"/>
    <cellStyle name="Normal 2 27 4" xfId="11555"/>
    <cellStyle name="Normal 2 27 5" xfId="11556"/>
    <cellStyle name="Normal 2 28" xfId="11557"/>
    <cellStyle name="Normal 2 28 2" xfId="11558"/>
    <cellStyle name="Normal 2 28 3" xfId="11559"/>
    <cellStyle name="Normal 2 28 4" xfId="11560"/>
    <cellStyle name="Normal 2 28 5" xfId="11561"/>
    <cellStyle name="Normal 2 29" xfId="11562"/>
    <cellStyle name="Normal 2 29 2" xfId="11563"/>
    <cellStyle name="Normal 2 29 3" xfId="11564"/>
    <cellStyle name="Normal 2 29 4" xfId="11565"/>
    <cellStyle name="Normal 2 29 5" xfId="11566"/>
    <cellStyle name="Normal 2 3" xfId="11567"/>
    <cellStyle name="Normal 2 3 10" xfId="11568"/>
    <cellStyle name="Normal 2 3 10 2" xfId="11569"/>
    <cellStyle name="Normal 2 3 11" xfId="11570"/>
    <cellStyle name="Normal 2 3 11 2" xfId="11571"/>
    <cellStyle name="Normal 2 3 12" xfId="11572"/>
    <cellStyle name="Normal 2 3 12 2" xfId="11573"/>
    <cellStyle name="Normal 2 3 13" xfId="11574"/>
    <cellStyle name="Normal 2 3 14" xfId="11575"/>
    <cellStyle name="Normal 2 3 14 2" xfId="11576"/>
    <cellStyle name="Normal 2 3 15" xfId="11577"/>
    <cellStyle name="Normal 2 3 15 2" xfId="11578"/>
    <cellStyle name="Normal 2 3 16" xfId="11579"/>
    <cellStyle name="Normal 2 3 16 2" xfId="11580"/>
    <cellStyle name="Normal 2 3 17" xfId="11581"/>
    <cellStyle name="Normal 2 3 18" xfId="11582"/>
    <cellStyle name="Normal 2 3 19" xfId="11583"/>
    <cellStyle name="Normal 2 3 2" xfId="11584"/>
    <cellStyle name="Normal 2 3 2 2" xfId="40637"/>
    <cellStyle name="Normal 2 3 20" xfId="11585"/>
    <cellStyle name="Normal 2 3 21" xfId="11586"/>
    <cellStyle name="Normal 2 3 22" xfId="11587"/>
    <cellStyle name="Normal 2 3 23" xfId="11588"/>
    <cellStyle name="Normal 2 3 24" xfId="11589"/>
    <cellStyle name="Normal 2 3 25" xfId="11590"/>
    <cellStyle name="Normal 2 3 26" xfId="11591"/>
    <cellStyle name="Normal 2 3 27" xfId="11592"/>
    <cellStyle name="Normal 2 3 28" xfId="11593"/>
    <cellStyle name="Normal 2 3 29" xfId="11594"/>
    <cellStyle name="Normal 2 3 3" xfId="11595"/>
    <cellStyle name="Normal 2 3 3 2" xfId="11596"/>
    <cellStyle name="Normal 2 3 3 3" xfId="11597"/>
    <cellStyle name="Normal 2 3 3 4" xfId="11598"/>
    <cellStyle name="Normal 2 3 3 5" xfId="11599"/>
    <cellStyle name="Normal 2 3 3 6" xfId="11600"/>
    <cellStyle name="Normal 2 3 3 7" xfId="11601"/>
    <cellStyle name="Normal 2 3 3 8" xfId="40638"/>
    <cellStyle name="Normal 2 3 30" xfId="11602"/>
    <cellStyle name="Normal 2 3 31" xfId="11603"/>
    <cellStyle name="Normal 2 3 32" xfId="11604"/>
    <cellStyle name="Normal 2 3 4" xfId="11605"/>
    <cellStyle name="Normal 2 3 4 10" xfId="11606"/>
    <cellStyle name="Normal 2 3 4 11" xfId="11607"/>
    <cellStyle name="Normal 2 3 4 12" xfId="11608"/>
    <cellStyle name="Normal 2 3 4 13" xfId="11609"/>
    <cellStyle name="Normal 2 3 4 14" xfId="11610"/>
    <cellStyle name="Normal 2 3 4 15" xfId="11611"/>
    <cellStyle name="Normal 2 3 4 16" xfId="11612"/>
    <cellStyle name="Normal 2 3 4 17" xfId="40639"/>
    <cellStyle name="Normal 2 3 4 2" xfId="11613"/>
    <cellStyle name="Normal 2 3 4 3" xfId="11614"/>
    <cellStyle name="Normal 2 3 4 4" xfId="11615"/>
    <cellStyle name="Normal 2 3 4 5" xfId="11616"/>
    <cellStyle name="Normal 2 3 4 6" xfId="11617"/>
    <cellStyle name="Normal 2 3 4 7" xfId="11618"/>
    <cellStyle name="Normal 2 3 4 8" xfId="11619"/>
    <cellStyle name="Normal 2 3 4 9" xfId="11620"/>
    <cellStyle name="Normal 2 3 5" xfId="11621"/>
    <cellStyle name="Normal 2 3 5 10" xfId="11622"/>
    <cellStyle name="Normal 2 3 5 11" xfId="11623"/>
    <cellStyle name="Normal 2 3 5 12" xfId="11624"/>
    <cellStyle name="Normal 2 3 5 13" xfId="11625"/>
    <cellStyle name="Normal 2 3 5 14" xfId="11626"/>
    <cellStyle name="Normal 2 3 5 15" xfId="11627"/>
    <cellStyle name="Normal 2 3 5 16" xfId="11628"/>
    <cellStyle name="Normal 2 3 5 2" xfId="11629"/>
    <cellStyle name="Normal 2 3 5 3" xfId="11630"/>
    <cellStyle name="Normal 2 3 5 4" xfId="11631"/>
    <cellStyle name="Normal 2 3 5 5" xfId="11632"/>
    <cellStyle name="Normal 2 3 5 6" xfId="11633"/>
    <cellStyle name="Normal 2 3 5 7" xfId="11634"/>
    <cellStyle name="Normal 2 3 5 8" xfId="11635"/>
    <cellStyle name="Normal 2 3 5 9" xfId="11636"/>
    <cellStyle name="Normal 2 3 6" xfId="11637"/>
    <cellStyle name="Normal 2 3 6 2" xfId="11638"/>
    <cellStyle name="Normal 2 3 7" xfId="11639"/>
    <cellStyle name="Normal 2 3 7 2" xfId="11640"/>
    <cellStyle name="Normal 2 3 8" xfId="11641"/>
    <cellStyle name="Normal 2 3 8 2" xfId="11642"/>
    <cellStyle name="Normal 2 3 9" xfId="11643"/>
    <cellStyle name="Normal 2 3 9 2" xfId="11644"/>
    <cellStyle name="Normal 2 30" xfId="11645"/>
    <cellStyle name="Normal 2 30 10" xfId="11646"/>
    <cellStyle name="Normal 2 30 10 2" xfId="11647"/>
    <cellStyle name="Normal 2 30 10 2 2" xfId="29979"/>
    <cellStyle name="Normal 2 30 10 3" xfId="11648"/>
    <cellStyle name="Normal 2 30 10 3 2" xfId="29980"/>
    <cellStyle name="Normal 2 30 10 4" xfId="11649"/>
    <cellStyle name="Normal 2 30 10 4 2" xfId="29981"/>
    <cellStyle name="Normal 2 30 10 5" xfId="11650"/>
    <cellStyle name="Normal 2 30 10 5 2" xfId="29982"/>
    <cellStyle name="Normal 2 30 10 6" xfId="29978"/>
    <cellStyle name="Normal 2 30 11" xfId="11651"/>
    <cellStyle name="Normal 2 30 11 2" xfId="11652"/>
    <cellStyle name="Normal 2 30 11 2 2" xfId="29984"/>
    <cellStyle name="Normal 2 30 11 3" xfId="11653"/>
    <cellStyle name="Normal 2 30 11 3 2" xfId="29985"/>
    <cellStyle name="Normal 2 30 11 4" xfId="11654"/>
    <cellStyle name="Normal 2 30 11 4 2" xfId="29986"/>
    <cellStyle name="Normal 2 30 11 5" xfId="11655"/>
    <cellStyle name="Normal 2 30 11 5 2" xfId="29987"/>
    <cellStyle name="Normal 2 30 11 6" xfId="29983"/>
    <cellStyle name="Normal 2 30 12" xfId="11656"/>
    <cellStyle name="Normal 2 30 12 2" xfId="11657"/>
    <cellStyle name="Normal 2 30 12 2 2" xfId="29989"/>
    <cellStyle name="Normal 2 30 12 3" xfId="11658"/>
    <cellStyle name="Normal 2 30 12 3 2" xfId="29990"/>
    <cellStyle name="Normal 2 30 12 4" xfId="11659"/>
    <cellStyle name="Normal 2 30 12 4 2" xfId="29991"/>
    <cellStyle name="Normal 2 30 12 5" xfId="11660"/>
    <cellStyle name="Normal 2 30 12 5 2" xfId="29992"/>
    <cellStyle name="Normal 2 30 12 6" xfId="29988"/>
    <cellStyle name="Normal 2 30 13" xfId="11661"/>
    <cellStyle name="Normal 2 30 13 2" xfId="11662"/>
    <cellStyle name="Normal 2 30 13 2 2" xfId="29994"/>
    <cellStyle name="Normal 2 30 13 3" xfId="11663"/>
    <cellStyle name="Normal 2 30 13 3 2" xfId="29995"/>
    <cellStyle name="Normal 2 30 13 4" xfId="11664"/>
    <cellStyle name="Normal 2 30 13 4 2" xfId="29996"/>
    <cellStyle name="Normal 2 30 13 5" xfId="11665"/>
    <cellStyle name="Normal 2 30 13 5 2" xfId="29997"/>
    <cellStyle name="Normal 2 30 13 6" xfId="29993"/>
    <cellStyle name="Normal 2 30 14" xfId="11666"/>
    <cellStyle name="Normal 2 30 14 2" xfId="11667"/>
    <cellStyle name="Normal 2 30 14 2 2" xfId="29999"/>
    <cellStyle name="Normal 2 30 14 3" xfId="11668"/>
    <cellStyle name="Normal 2 30 14 3 2" xfId="30000"/>
    <cellStyle name="Normal 2 30 14 4" xfId="11669"/>
    <cellStyle name="Normal 2 30 14 4 2" xfId="30001"/>
    <cellStyle name="Normal 2 30 14 5" xfId="11670"/>
    <cellStyle name="Normal 2 30 14 5 2" xfId="30002"/>
    <cellStyle name="Normal 2 30 14 6" xfId="29998"/>
    <cellStyle name="Normal 2 30 15" xfId="11671"/>
    <cellStyle name="Normal 2 30 15 2" xfId="11672"/>
    <cellStyle name="Normal 2 30 15 2 2" xfId="30004"/>
    <cellStyle name="Normal 2 30 15 3" xfId="11673"/>
    <cellStyle name="Normal 2 30 15 3 2" xfId="30005"/>
    <cellStyle name="Normal 2 30 15 4" xfId="11674"/>
    <cellStyle name="Normal 2 30 15 4 2" xfId="30006"/>
    <cellStyle name="Normal 2 30 15 5" xfId="11675"/>
    <cellStyle name="Normal 2 30 15 5 2" xfId="30007"/>
    <cellStyle name="Normal 2 30 15 6" xfId="30003"/>
    <cellStyle name="Normal 2 30 16" xfId="11676"/>
    <cellStyle name="Normal 2 30 16 2" xfId="11677"/>
    <cellStyle name="Normal 2 30 16 2 2" xfId="30009"/>
    <cellStyle name="Normal 2 30 16 3" xfId="11678"/>
    <cellStyle name="Normal 2 30 16 3 2" xfId="30010"/>
    <cellStyle name="Normal 2 30 16 4" xfId="11679"/>
    <cellStyle name="Normal 2 30 16 4 2" xfId="30011"/>
    <cellStyle name="Normal 2 30 16 5" xfId="11680"/>
    <cellStyle name="Normal 2 30 16 5 2" xfId="30012"/>
    <cellStyle name="Normal 2 30 16 6" xfId="30008"/>
    <cellStyle name="Normal 2 30 17" xfId="11681"/>
    <cellStyle name="Normal 2 30 17 2" xfId="11682"/>
    <cellStyle name="Normal 2 30 17 2 2" xfId="30014"/>
    <cellStyle name="Normal 2 30 17 3" xfId="11683"/>
    <cellStyle name="Normal 2 30 17 3 2" xfId="30015"/>
    <cellStyle name="Normal 2 30 17 4" xfId="11684"/>
    <cellStyle name="Normal 2 30 17 4 2" xfId="30016"/>
    <cellStyle name="Normal 2 30 17 5" xfId="11685"/>
    <cellStyle name="Normal 2 30 17 5 2" xfId="30017"/>
    <cellStyle name="Normal 2 30 17 6" xfId="30013"/>
    <cellStyle name="Normal 2 30 18" xfId="11686"/>
    <cellStyle name="Normal 2 30 18 2" xfId="11687"/>
    <cellStyle name="Normal 2 30 18 2 2" xfId="30019"/>
    <cellStyle name="Normal 2 30 18 3" xfId="11688"/>
    <cellStyle name="Normal 2 30 18 3 2" xfId="30020"/>
    <cellStyle name="Normal 2 30 18 4" xfId="11689"/>
    <cellStyle name="Normal 2 30 18 4 2" xfId="30021"/>
    <cellStyle name="Normal 2 30 18 5" xfId="11690"/>
    <cellStyle name="Normal 2 30 18 5 2" xfId="30022"/>
    <cellStyle name="Normal 2 30 18 6" xfId="30018"/>
    <cellStyle name="Normal 2 30 19" xfId="11691"/>
    <cellStyle name="Normal 2 30 19 2" xfId="11692"/>
    <cellStyle name="Normal 2 30 19 2 2" xfId="30024"/>
    <cellStyle name="Normal 2 30 19 3" xfId="11693"/>
    <cellStyle name="Normal 2 30 19 3 2" xfId="30025"/>
    <cellStyle name="Normal 2 30 19 4" xfId="11694"/>
    <cellStyle name="Normal 2 30 19 4 2" xfId="30026"/>
    <cellStyle name="Normal 2 30 19 5" xfId="11695"/>
    <cellStyle name="Normal 2 30 19 5 2" xfId="30027"/>
    <cellStyle name="Normal 2 30 19 6" xfId="30023"/>
    <cellStyle name="Normal 2 30 2" xfId="11696"/>
    <cellStyle name="Normal 2 30 2 10" xfId="11697"/>
    <cellStyle name="Normal 2 30 2 10 2" xfId="11698"/>
    <cellStyle name="Normal 2 30 2 10 2 2" xfId="30030"/>
    <cellStyle name="Normal 2 30 2 10 3" xfId="11699"/>
    <cellStyle name="Normal 2 30 2 10 3 2" xfId="30031"/>
    <cellStyle name="Normal 2 30 2 10 4" xfId="11700"/>
    <cellStyle name="Normal 2 30 2 10 4 2" xfId="30032"/>
    <cellStyle name="Normal 2 30 2 10 5" xfId="11701"/>
    <cellStyle name="Normal 2 30 2 10 5 2" xfId="30033"/>
    <cellStyle name="Normal 2 30 2 10 6" xfId="30029"/>
    <cellStyle name="Normal 2 30 2 11" xfId="11702"/>
    <cellStyle name="Normal 2 30 2 11 2" xfId="11703"/>
    <cellStyle name="Normal 2 30 2 11 2 2" xfId="30035"/>
    <cellStyle name="Normal 2 30 2 11 3" xfId="11704"/>
    <cellStyle name="Normal 2 30 2 11 3 2" xfId="30036"/>
    <cellStyle name="Normal 2 30 2 11 4" xfId="11705"/>
    <cellStyle name="Normal 2 30 2 11 4 2" xfId="30037"/>
    <cellStyle name="Normal 2 30 2 11 5" xfId="11706"/>
    <cellStyle name="Normal 2 30 2 11 5 2" xfId="30038"/>
    <cellStyle name="Normal 2 30 2 11 6" xfId="30034"/>
    <cellStyle name="Normal 2 30 2 12" xfId="11707"/>
    <cellStyle name="Normal 2 30 2 12 2" xfId="11708"/>
    <cellStyle name="Normal 2 30 2 12 2 2" xfId="30040"/>
    <cellStyle name="Normal 2 30 2 12 3" xfId="11709"/>
    <cellStyle name="Normal 2 30 2 12 3 2" xfId="30041"/>
    <cellStyle name="Normal 2 30 2 12 4" xfId="11710"/>
    <cellStyle name="Normal 2 30 2 12 4 2" xfId="30042"/>
    <cellStyle name="Normal 2 30 2 12 5" xfId="11711"/>
    <cellStyle name="Normal 2 30 2 12 5 2" xfId="30043"/>
    <cellStyle name="Normal 2 30 2 12 6" xfId="30039"/>
    <cellStyle name="Normal 2 30 2 13" xfId="11712"/>
    <cellStyle name="Normal 2 30 2 13 2" xfId="11713"/>
    <cellStyle name="Normal 2 30 2 13 2 2" xfId="30045"/>
    <cellStyle name="Normal 2 30 2 13 3" xfId="11714"/>
    <cellStyle name="Normal 2 30 2 13 3 2" xfId="30046"/>
    <cellStyle name="Normal 2 30 2 13 4" xfId="11715"/>
    <cellStyle name="Normal 2 30 2 13 4 2" xfId="30047"/>
    <cellStyle name="Normal 2 30 2 13 5" xfId="11716"/>
    <cellStyle name="Normal 2 30 2 13 5 2" xfId="30048"/>
    <cellStyle name="Normal 2 30 2 13 6" xfId="30044"/>
    <cellStyle name="Normal 2 30 2 14" xfId="11717"/>
    <cellStyle name="Normal 2 30 2 14 2" xfId="11718"/>
    <cellStyle name="Normal 2 30 2 14 2 2" xfId="30050"/>
    <cellStyle name="Normal 2 30 2 14 3" xfId="11719"/>
    <cellStyle name="Normal 2 30 2 14 3 2" xfId="30051"/>
    <cellStyle name="Normal 2 30 2 14 4" xfId="11720"/>
    <cellStyle name="Normal 2 30 2 14 4 2" xfId="30052"/>
    <cellStyle name="Normal 2 30 2 14 5" xfId="11721"/>
    <cellStyle name="Normal 2 30 2 14 5 2" xfId="30053"/>
    <cellStyle name="Normal 2 30 2 14 6" xfId="30049"/>
    <cellStyle name="Normal 2 30 2 15" xfId="11722"/>
    <cellStyle name="Normal 2 30 2 15 2" xfId="11723"/>
    <cellStyle name="Normal 2 30 2 15 2 2" xfId="30055"/>
    <cellStyle name="Normal 2 30 2 15 3" xfId="11724"/>
    <cellStyle name="Normal 2 30 2 15 3 2" xfId="30056"/>
    <cellStyle name="Normal 2 30 2 15 4" xfId="11725"/>
    <cellStyle name="Normal 2 30 2 15 4 2" xfId="30057"/>
    <cellStyle name="Normal 2 30 2 15 5" xfId="11726"/>
    <cellStyle name="Normal 2 30 2 15 5 2" xfId="30058"/>
    <cellStyle name="Normal 2 30 2 15 6" xfId="30054"/>
    <cellStyle name="Normal 2 30 2 16" xfId="11727"/>
    <cellStyle name="Normal 2 30 2 16 2" xfId="11728"/>
    <cellStyle name="Normal 2 30 2 16 2 2" xfId="30060"/>
    <cellStyle name="Normal 2 30 2 16 3" xfId="11729"/>
    <cellStyle name="Normal 2 30 2 16 3 2" xfId="30061"/>
    <cellStyle name="Normal 2 30 2 16 4" xfId="11730"/>
    <cellStyle name="Normal 2 30 2 16 4 2" xfId="30062"/>
    <cellStyle name="Normal 2 30 2 16 5" xfId="11731"/>
    <cellStyle name="Normal 2 30 2 16 5 2" xfId="30063"/>
    <cellStyle name="Normal 2 30 2 16 6" xfId="30059"/>
    <cellStyle name="Normal 2 30 2 17" xfId="11732"/>
    <cellStyle name="Normal 2 30 2 17 2" xfId="11733"/>
    <cellStyle name="Normal 2 30 2 17 2 2" xfId="30065"/>
    <cellStyle name="Normal 2 30 2 17 3" xfId="11734"/>
    <cellStyle name="Normal 2 30 2 17 3 2" xfId="30066"/>
    <cellStyle name="Normal 2 30 2 17 4" xfId="11735"/>
    <cellStyle name="Normal 2 30 2 17 4 2" xfId="30067"/>
    <cellStyle name="Normal 2 30 2 17 5" xfId="11736"/>
    <cellStyle name="Normal 2 30 2 17 5 2" xfId="30068"/>
    <cellStyle name="Normal 2 30 2 17 6" xfId="30064"/>
    <cellStyle name="Normal 2 30 2 18" xfId="11737"/>
    <cellStyle name="Normal 2 30 2 18 2" xfId="11738"/>
    <cellStyle name="Normal 2 30 2 18 2 2" xfId="30070"/>
    <cellStyle name="Normal 2 30 2 18 3" xfId="11739"/>
    <cellStyle name="Normal 2 30 2 18 3 2" xfId="30071"/>
    <cellStyle name="Normal 2 30 2 18 4" xfId="11740"/>
    <cellStyle name="Normal 2 30 2 18 4 2" xfId="30072"/>
    <cellStyle name="Normal 2 30 2 18 5" xfId="11741"/>
    <cellStyle name="Normal 2 30 2 18 5 2" xfId="30073"/>
    <cellStyle name="Normal 2 30 2 18 6" xfId="30069"/>
    <cellStyle name="Normal 2 30 2 19" xfId="11742"/>
    <cellStyle name="Normal 2 30 2 19 2" xfId="11743"/>
    <cellStyle name="Normal 2 30 2 19 2 2" xfId="30075"/>
    <cellStyle name="Normal 2 30 2 19 3" xfId="11744"/>
    <cellStyle name="Normal 2 30 2 19 3 2" xfId="30076"/>
    <cellStyle name="Normal 2 30 2 19 4" xfId="11745"/>
    <cellStyle name="Normal 2 30 2 19 4 2" xfId="30077"/>
    <cellStyle name="Normal 2 30 2 19 5" xfId="11746"/>
    <cellStyle name="Normal 2 30 2 19 5 2" xfId="30078"/>
    <cellStyle name="Normal 2 30 2 19 6" xfId="30074"/>
    <cellStyle name="Normal 2 30 2 2" xfId="11747"/>
    <cellStyle name="Normal 2 30 2 2 10" xfId="11748"/>
    <cellStyle name="Normal 2 30 2 2 10 2" xfId="11749"/>
    <cellStyle name="Normal 2 30 2 2 10 2 2" xfId="30081"/>
    <cellStyle name="Normal 2 30 2 2 10 3" xfId="11750"/>
    <cellStyle name="Normal 2 30 2 2 10 3 2" xfId="30082"/>
    <cellStyle name="Normal 2 30 2 2 10 4" xfId="11751"/>
    <cellStyle name="Normal 2 30 2 2 10 4 2" xfId="30083"/>
    <cellStyle name="Normal 2 30 2 2 10 5" xfId="11752"/>
    <cellStyle name="Normal 2 30 2 2 10 5 2" xfId="30084"/>
    <cellStyle name="Normal 2 30 2 2 10 6" xfId="30080"/>
    <cellStyle name="Normal 2 30 2 2 11" xfId="11753"/>
    <cellStyle name="Normal 2 30 2 2 11 2" xfId="11754"/>
    <cellStyle name="Normal 2 30 2 2 11 2 2" xfId="30086"/>
    <cellStyle name="Normal 2 30 2 2 11 3" xfId="11755"/>
    <cellStyle name="Normal 2 30 2 2 11 3 2" xfId="30087"/>
    <cellStyle name="Normal 2 30 2 2 11 4" xfId="11756"/>
    <cellStyle name="Normal 2 30 2 2 11 4 2" xfId="30088"/>
    <cellStyle name="Normal 2 30 2 2 11 5" xfId="11757"/>
    <cellStyle name="Normal 2 30 2 2 11 5 2" xfId="30089"/>
    <cellStyle name="Normal 2 30 2 2 11 6" xfId="30085"/>
    <cellStyle name="Normal 2 30 2 2 12" xfId="11758"/>
    <cellStyle name="Normal 2 30 2 2 12 2" xfId="11759"/>
    <cellStyle name="Normal 2 30 2 2 12 2 2" xfId="30091"/>
    <cellStyle name="Normal 2 30 2 2 12 3" xfId="11760"/>
    <cellStyle name="Normal 2 30 2 2 12 3 2" xfId="30092"/>
    <cellStyle name="Normal 2 30 2 2 12 4" xfId="11761"/>
    <cellStyle name="Normal 2 30 2 2 12 4 2" xfId="30093"/>
    <cellStyle name="Normal 2 30 2 2 12 5" xfId="11762"/>
    <cellStyle name="Normal 2 30 2 2 12 5 2" xfId="30094"/>
    <cellStyle name="Normal 2 30 2 2 12 6" xfId="30090"/>
    <cellStyle name="Normal 2 30 2 2 13" xfId="11763"/>
    <cellStyle name="Normal 2 30 2 2 13 2" xfId="11764"/>
    <cellStyle name="Normal 2 30 2 2 13 2 2" xfId="30096"/>
    <cellStyle name="Normal 2 30 2 2 13 3" xfId="11765"/>
    <cellStyle name="Normal 2 30 2 2 13 3 2" xfId="30097"/>
    <cellStyle name="Normal 2 30 2 2 13 4" xfId="11766"/>
    <cellStyle name="Normal 2 30 2 2 13 4 2" xfId="30098"/>
    <cellStyle name="Normal 2 30 2 2 13 5" xfId="11767"/>
    <cellStyle name="Normal 2 30 2 2 13 5 2" xfId="30099"/>
    <cellStyle name="Normal 2 30 2 2 13 6" xfId="30095"/>
    <cellStyle name="Normal 2 30 2 2 14" xfId="11768"/>
    <cellStyle name="Normal 2 30 2 2 14 2" xfId="11769"/>
    <cellStyle name="Normal 2 30 2 2 14 2 2" xfId="30101"/>
    <cellStyle name="Normal 2 30 2 2 14 3" xfId="11770"/>
    <cellStyle name="Normal 2 30 2 2 14 3 2" xfId="30102"/>
    <cellStyle name="Normal 2 30 2 2 14 4" xfId="11771"/>
    <cellStyle name="Normal 2 30 2 2 14 4 2" xfId="30103"/>
    <cellStyle name="Normal 2 30 2 2 14 5" xfId="11772"/>
    <cellStyle name="Normal 2 30 2 2 14 5 2" xfId="30104"/>
    <cellStyle name="Normal 2 30 2 2 14 6" xfId="30100"/>
    <cellStyle name="Normal 2 30 2 2 15" xfId="11773"/>
    <cellStyle name="Normal 2 30 2 2 15 2" xfId="11774"/>
    <cellStyle name="Normal 2 30 2 2 15 2 2" xfId="30106"/>
    <cellStyle name="Normal 2 30 2 2 15 3" xfId="11775"/>
    <cellStyle name="Normal 2 30 2 2 15 3 2" xfId="30107"/>
    <cellStyle name="Normal 2 30 2 2 15 4" xfId="11776"/>
    <cellStyle name="Normal 2 30 2 2 15 4 2" xfId="30108"/>
    <cellStyle name="Normal 2 30 2 2 15 5" xfId="11777"/>
    <cellStyle name="Normal 2 30 2 2 15 5 2" xfId="30109"/>
    <cellStyle name="Normal 2 30 2 2 15 6" xfId="30105"/>
    <cellStyle name="Normal 2 30 2 2 16" xfId="11778"/>
    <cellStyle name="Normal 2 30 2 2 16 2" xfId="11779"/>
    <cellStyle name="Normal 2 30 2 2 16 2 2" xfId="30111"/>
    <cellStyle name="Normal 2 30 2 2 16 3" xfId="11780"/>
    <cellStyle name="Normal 2 30 2 2 16 3 2" xfId="30112"/>
    <cellStyle name="Normal 2 30 2 2 16 4" xfId="11781"/>
    <cellStyle name="Normal 2 30 2 2 16 4 2" xfId="30113"/>
    <cellStyle name="Normal 2 30 2 2 16 5" xfId="11782"/>
    <cellStyle name="Normal 2 30 2 2 16 5 2" xfId="30114"/>
    <cellStyle name="Normal 2 30 2 2 16 6" xfId="30110"/>
    <cellStyle name="Normal 2 30 2 2 17" xfId="11783"/>
    <cellStyle name="Normal 2 30 2 2 17 2" xfId="30115"/>
    <cellStyle name="Normal 2 30 2 2 18" xfId="11784"/>
    <cellStyle name="Normal 2 30 2 2 18 2" xfId="30116"/>
    <cellStyle name="Normal 2 30 2 2 19" xfId="11785"/>
    <cellStyle name="Normal 2 30 2 2 19 2" xfId="30117"/>
    <cellStyle name="Normal 2 30 2 2 2" xfId="11786"/>
    <cellStyle name="Normal 2 30 2 2 2 10" xfId="11787"/>
    <cellStyle name="Normal 2 30 2 2 2 10 2" xfId="30119"/>
    <cellStyle name="Normal 2 30 2 2 2 11" xfId="11788"/>
    <cellStyle name="Normal 2 30 2 2 2 11 2" xfId="30120"/>
    <cellStyle name="Normal 2 30 2 2 2 12" xfId="30118"/>
    <cellStyle name="Normal 2 30 2 2 2 2" xfId="11789"/>
    <cellStyle name="Normal 2 30 2 2 2 2 2" xfId="11790"/>
    <cellStyle name="Normal 2 30 2 2 2 2 2 2" xfId="30122"/>
    <cellStyle name="Normal 2 30 2 2 2 2 3" xfId="11791"/>
    <cellStyle name="Normal 2 30 2 2 2 2 3 2" xfId="30123"/>
    <cellStyle name="Normal 2 30 2 2 2 2 4" xfId="11792"/>
    <cellStyle name="Normal 2 30 2 2 2 2 4 2" xfId="30124"/>
    <cellStyle name="Normal 2 30 2 2 2 2 5" xfId="11793"/>
    <cellStyle name="Normal 2 30 2 2 2 2 5 2" xfId="30125"/>
    <cellStyle name="Normal 2 30 2 2 2 2 6" xfId="30121"/>
    <cellStyle name="Normal 2 30 2 2 2 3" xfId="11794"/>
    <cellStyle name="Normal 2 30 2 2 2 3 2" xfId="11795"/>
    <cellStyle name="Normal 2 30 2 2 2 3 2 2" xfId="30127"/>
    <cellStyle name="Normal 2 30 2 2 2 3 3" xfId="11796"/>
    <cellStyle name="Normal 2 30 2 2 2 3 3 2" xfId="30128"/>
    <cellStyle name="Normal 2 30 2 2 2 3 4" xfId="11797"/>
    <cellStyle name="Normal 2 30 2 2 2 3 4 2" xfId="30129"/>
    <cellStyle name="Normal 2 30 2 2 2 3 5" xfId="11798"/>
    <cellStyle name="Normal 2 30 2 2 2 3 5 2" xfId="30130"/>
    <cellStyle name="Normal 2 30 2 2 2 3 6" xfId="30126"/>
    <cellStyle name="Normal 2 30 2 2 2 4" xfId="11799"/>
    <cellStyle name="Normal 2 30 2 2 2 4 2" xfId="11800"/>
    <cellStyle name="Normal 2 30 2 2 2 4 2 2" xfId="30132"/>
    <cellStyle name="Normal 2 30 2 2 2 4 3" xfId="11801"/>
    <cellStyle name="Normal 2 30 2 2 2 4 3 2" xfId="30133"/>
    <cellStyle name="Normal 2 30 2 2 2 4 4" xfId="11802"/>
    <cellStyle name="Normal 2 30 2 2 2 4 4 2" xfId="30134"/>
    <cellStyle name="Normal 2 30 2 2 2 4 5" xfId="11803"/>
    <cellStyle name="Normal 2 30 2 2 2 4 5 2" xfId="30135"/>
    <cellStyle name="Normal 2 30 2 2 2 4 6" xfId="30131"/>
    <cellStyle name="Normal 2 30 2 2 2 5" xfId="11804"/>
    <cellStyle name="Normal 2 30 2 2 2 5 2" xfId="11805"/>
    <cellStyle name="Normal 2 30 2 2 2 5 2 2" xfId="30137"/>
    <cellStyle name="Normal 2 30 2 2 2 5 3" xfId="11806"/>
    <cellStyle name="Normal 2 30 2 2 2 5 3 2" xfId="30138"/>
    <cellStyle name="Normal 2 30 2 2 2 5 4" xfId="11807"/>
    <cellStyle name="Normal 2 30 2 2 2 5 4 2" xfId="30139"/>
    <cellStyle name="Normal 2 30 2 2 2 5 5" xfId="11808"/>
    <cellStyle name="Normal 2 30 2 2 2 5 5 2" xfId="30140"/>
    <cellStyle name="Normal 2 30 2 2 2 5 6" xfId="30136"/>
    <cellStyle name="Normal 2 30 2 2 2 6" xfId="11809"/>
    <cellStyle name="Normal 2 30 2 2 2 6 2" xfId="11810"/>
    <cellStyle name="Normal 2 30 2 2 2 6 2 2" xfId="30142"/>
    <cellStyle name="Normal 2 30 2 2 2 6 3" xfId="11811"/>
    <cellStyle name="Normal 2 30 2 2 2 6 3 2" xfId="30143"/>
    <cellStyle name="Normal 2 30 2 2 2 6 4" xfId="11812"/>
    <cellStyle name="Normal 2 30 2 2 2 6 4 2" xfId="30144"/>
    <cellStyle name="Normal 2 30 2 2 2 6 5" xfId="11813"/>
    <cellStyle name="Normal 2 30 2 2 2 6 5 2" xfId="30145"/>
    <cellStyle name="Normal 2 30 2 2 2 6 6" xfId="30141"/>
    <cellStyle name="Normal 2 30 2 2 2 7" xfId="11814"/>
    <cellStyle name="Normal 2 30 2 2 2 7 2" xfId="11815"/>
    <cellStyle name="Normal 2 30 2 2 2 7 2 2" xfId="30147"/>
    <cellStyle name="Normal 2 30 2 2 2 7 3" xfId="11816"/>
    <cellStyle name="Normal 2 30 2 2 2 7 3 2" xfId="30148"/>
    <cellStyle name="Normal 2 30 2 2 2 7 4" xfId="11817"/>
    <cellStyle name="Normal 2 30 2 2 2 7 4 2" xfId="30149"/>
    <cellStyle name="Normal 2 30 2 2 2 7 5" xfId="11818"/>
    <cellStyle name="Normal 2 30 2 2 2 7 5 2" xfId="30150"/>
    <cellStyle name="Normal 2 30 2 2 2 7 6" xfId="30146"/>
    <cellStyle name="Normal 2 30 2 2 2 8" xfId="11819"/>
    <cellStyle name="Normal 2 30 2 2 2 8 2" xfId="30151"/>
    <cellStyle name="Normal 2 30 2 2 2 9" xfId="11820"/>
    <cellStyle name="Normal 2 30 2 2 2 9 2" xfId="30152"/>
    <cellStyle name="Normal 2 30 2 2 20" xfId="11821"/>
    <cellStyle name="Normal 2 30 2 2 20 2" xfId="30153"/>
    <cellStyle name="Normal 2 30 2 2 21" xfId="30079"/>
    <cellStyle name="Normal 2 30 2 2 3" xfId="11822"/>
    <cellStyle name="Normal 2 30 2 2 3 2" xfId="11823"/>
    <cellStyle name="Normal 2 30 2 2 3 2 2" xfId="11824"/>
    <cellStyle name="Normal 2 30 2 2 3 2 2 2" xfId="30156"/>
    <cellStyle name="Normal 2 30 2 2 3 2 3" xfId="11825"/>
    <cellStyle name="Normal 2 30 2 2 3 2 3 2" xfId="30157"/>
    <cellStyle name="Normal 2 30 2 2 3 2 4" xfId="11826"/>
    <cellStyle name="Normal 2 30 2 2 3 2 4 2" xfId="30158"/>
    <cellStyle name="Normal 2 30 2 2 3 2 5" xfId="11827"/>
    <cellStyle name="Normal 2 30 2 2 3 2 5 2" xfId="30159"/>
    <cellStyle name="Normal 2 30 2 2 3 2 6" xfId="30155"/>
    <cellStyle name="Normal 2 30 2 2 3 3" xfId="11828"/>
    <cellStyle name="Normal 2 30 2 2 3 3 2" xfId="30160"/>
    <cellStyle name="Normal 2 30 2 2 3 4" xfId="11829"/>
    <cellStyle name="Normal 2 30 2 2 3 4 2" xfId="30161"/>
    <cellStyle name="Normal 2 30 2 2 3 5" xfId="11830"/>
    <cellStyle name="Normal 2 30 2 2 3 5 2" xfId="30162"/>
    <cellStyle name="Normal 2 30 2 2 3 6" xfId="11831"/>
    <cellStyle name="Normal 2 30 2 2 3 6 2" xfId="30163"/>
    <cellStyle name="Normal 2 30 2 2 3 7" xfId="30154"/>
    <cellStyle name="Normal 2 30 2 2 4" xfId="11832"/>
    <cellStyle name="Normal 2 30 2 2 4 2" xfId="11833"/>
    <cellStyle name="Normal 2 30 2 2 4 2 2" xfId="11834"/>
    <cellStyle name="Normal 2 30 2 2 4 2 2 2" xfId="30166"/>
    <cellStyle name="Normal 2 30 2 2 4 2 3" xfId="11835"/>
    <cellStyle name="Normal 2 30 2 2 4 2 3 2" xfId="30167"/>
    <cellStyle name="Normal 2 30 2 2 4 2 4" xfId="11836"/>
    <cellStyle name="Normal 2 30 2 2 4 2 4 2" xfId="30168"/>
    <cellStyle name="Normal 2 30 2 2 4 2 5" xfId="11837"/>
    <cellStyle name="Normal 2 30 2 2 4 2 5 2" xfId="30169"/>
    <cellStyle name="Normal 2 30 2 2 4 2 6" xfId="30165"/>
    <cellStyle name="Normal 2 30 2 2 4 3" xfId="11838"/>
    <cellStyle name="Normal 2 30 2 2 4 3 2" xfId="30170"/>
    <cellStyle name="Normal 2 30 2 2 4 4" xfId="11839"/>
    <cellStyle name="Normal 2 30 2 2 4 4 2" xfId="30171"/>
    <cellStyle name="Normal 2 30 2 2 4 5" xfId="11840"/>
    <cellStyle name="Normal 2 30 2 2 4 5 2" xfId="30172"/>
    <cellStyle name="Normal 2 30 2 2 4 6" xfId="11841"/>
    <cellStyle name="Normal 2 30 2 2 4 6 2" xfId="30173"/>
    <cellStyle name="Normal 2 30 2 2 4 7" xfId="30164"/>
    <cellStyle name="Normal 2 30 2 2 5" xfId="11842"/>
    <cellStyle name="Normal 2 30 2 2 5 2" xfId="11843"/>
    <cellStyle name="Normal 2 30 2 2 5 2 2" xfId="30175"/>
    <cellStyle name="Normal 2 30 2 2 5 3" xfId="11844"/>
    <cellStyle name="Normal 2 30 2 2 5 3 2" xfId="30176"/>
    <cellStyle name="Normal 2 30 2 2 5 4" xfId="11845"/>
    <cellStyle name="Normal 2 30 2 2 5 4 2" xfId="30177"/>
    <cellStyle name="Normal 2 30 2 2 5 5" xfId="11846"/>
    <cellStyle name="Normal 2 30 2 2 5 5 2" xfId="30178"/>
    <cellStyle name="Normal 2 30 2 2 5 6" xfId="30174"/>
    <cellStyle name="Normal 2 30 2 2 6" xfId="11847"/>
    <cellStyle name="Normal 2 30 2 2 6 2" xfId="11848"/>
    <cellStyle name="Normal 2 30 2 2 6 2 2" xfId="30180"/>
    <cellStyle name="Normal 2 30 2 2 6 3" xfId="11849"/>
    <cellStyle name="Normal 2 30 2 2 6 3 2" xfId="30181"/>
    <cellStyle name="Normal 2 30 2 2 6 4" xfId="11850"/>
    <cellStyle name="Normal 2 30 2 2 6 4 2" xfId="30182"/>
    <cellStyle name="Normal 2 30 2 2 6 5" xfId="11851"/>
    <cellStyle name="Normal 2 30 2 2 6 5 2" xfId="30183"/>
    <cellStyle name="Normal 2 30 2 2 6 6" xfId="30179"/>
    <cellStyle name="Normal 2 30 2 2 7" xfId="11852"/>
    <cellStyle name="Normal 2 30 2 2 7 2" xfId="11853"/>
    <cellStyle name="Normal 2 30 2 2 7 2 2" xfId="30185"/>
    <cellStyle name="Normal 2 30 2 2 7 3" xfId="11854"/>
    <cellStyle name="Normal 2 30 2 2 7 3 2" xfId="30186"/>
    <cellStyle name="Normal 2 30 2 2 7 4" xfId="11855"/>
    <cellStyle name="Normal 2 30 2 2 7 4 2" xfId="30187"/>
    <cellStyle name="Normal 2 30 2 2 7 5" xfId="11856"/>
    <cellStyle name="Normal 2 30 2 2 7 5 2" xfId="30188"/>
    <cellStyle name="Normal 2 30 2 2 7 6" xfId="30184"/>
    <cellStyle name="Normal 2 30 2 2 8" xfId="11857"/>
    <cellStyle name="Normal 2 30 2 2 8 2" xfId="11858"/>
    <cellStyle name="Normal 2 30 2 2 8 2 2" xfId="30190"/>
    <cellStyle name="Normal 2 30 2 2 8 3" xfId="11859"/>
    <cellStyle name="Normal 2 30 2 2 8 3 2" xfId="30191"/>
    <cellStyle name="Normal 2 30 2 2 8 4" xfId="11860"/>
    <cellStyle name="Normal 2 30 2 2 8 4 2" xfId="30192"/>
    <cellStyle name="Normal 2 30 2 2 8 5" xfId="11861"/>
    <cellStyle name="Normal 2 30 2 2 8 5 2" xfId="30193"/>
    <cellStyle name="Normal 2 30 2 2 8 6" xfId="30189"/>
    <cellStyle name="Normal 2 30 2 2 9" xfId="11862"/>
    <cellStyle name="Normal 2 30 2 2 9 2" xfId="11863"/>
    <cellStyle name="Normal 2 30 2 2 9 2 2" xfId="30195"/>
    <cellStyle name="Normal 2 30 2 2 9 3" xfId="11864"/>
    <cellStyle name="Normal 2 30 2 2 9 3 2" xfId="30196"/>
    <cellStyle name="Normal 2 30 2 2 9 4" xfId="11865"/>
    <cellStyle name="Normal 2 30 2 2 9 4 2" xfId="30197"/>
    <cellStyle name="Normal 2 30 2 2 9 5" xfId="11866"/>
    <cellStyle name="Normal 2 30 2 2 9 5 2" xfId="30198"/>
    <cellStyle name="Normal 2 30 2 2 9 6" xfId="30194"/>
    <cellStyle name="Normal 2 30 2 20" xfId="11867"/>
    <cellStyle name="Normal 2 30 2 20 2" xfId="30199"/>
    <cellStyle name="Normal 2 30 2 21" xfId="11868"/>
    <cellStyle name="Normal 2 30 2 21 2" xfId="30200"/>
    <cellStyle name="Normal 2 30 2 22" xfId="11869"/>
    <cellStyle name="Normal 2 30 2 22 2" xfId="30201"/>
    <cellStyle name="Normal 2 30 2 23" xfId="11870"/>
    <cellStyle name="Normal 2 30 2 23 2" xfId="30202"/>
    <cellStyle name="Normal 2 30 2 24" xfId="30028"/>
    <cellStyle name="Normal 2 30 2 3" xfId="11871"/>
    <cellStyle name="Normal 2 30 2 3 10" xfId="11872"/>
    <cellStyle name="Normal 2 30 2 3 10 2" xfId="11873"/>
    <cellStyle name="Normal 2 30 2 3 10 2 2" xfId="30205"/>
    <cellStyle name="Normal 2 30 2 3 10 3" xfId="11874"/>
    <cellStyle name="Normal 2 30 2 3 10 3 2" xfId="30206"/>
    <cellStyle name="Normal 2 30 2 3 10 4" xfId="11875"/>
    <cellStyle name="Normal 2 30 2 3 10 4 2" xfId="30207"/>
    <cellStyle name="Normal 2 30 2 3 10 5" xfId="11876"/>
    <cellStyle name="Normal 2 30 2 3 10 5 2" xfId="30208"/>
    <cellStyle name="Normal 2 30 2 3 10 6" xfId="30204"/>
    <cellStyle name="Normal 2 30 2 3 11" xfId="11877"/>
    <cellStyle name="Normal 2 30 2 3 11 2" xfId="11878"/>
    <cellStyle name="Normal 2 30 2 3 11 2 2" xfId="30210"/>
    <cellStyle name="Normal 2 30 2 3 11 3" xfId="11879"/>
    <cellStyle name="Normal 2 30 2 3 11 3 2" xfId="30211"/>
    <cellStyle name="Normal 2 30 2 3 11 4" xfId="11880"/>
    <cellStyle name="Normal 2 30 2 3 11 4 2" xfId="30212"/>
    <cellStyle name="Normal 2 30 2 3 11 5" xfId="11881"/>
    <cellStyle name="Normal 2 30 2 3 11 5 2" xfId="30213"/>
    <cellStyle name="Normal 2 30 2 3 11 6" xfId="30209"/>
    <cellStyle name="Normal 2 30 2 3 12" xfId="11882"/>
    <cellStyle name="Normal 2 30 2 3 12 2" xfId="11883"/>
    <cellStyle name="Normal 2 30 2 3 12 2 2" xfId="30215"/>
    <cellStyle name="Normal 2 30 2 3 12 3" xfId="11884"/>
    <cellStyle name="Normal 2 30 2 3 12 3 2" xfId="30216"/>
    <cellStyle name="Normal 2 30 2 3 12 4" xfId="11885"/>
    <cellStyle name="Normal 2 30 2 3 12 4 2" xfId="30217"/>
    <cellStyle name="Normal 2 30 2 3 12 5" xfId="11886"/>
    <cellStyle name="Normal 2 30 2 3 12 5 2" xfId="30218"/>
    <cellStyle name="Normal 2 30 2 3 12 6" xfId="30214"/>
    <cellStyle name="Normal 2 30 2 3 13" xfId="11887"/>
    <cellStyle name="Normal 2 30 2 3 13 2" xfId="11888"/>
    <cellStyle name="Normal 2 30 2 3 13 2 2" xfId="30220"/>
    <cellStyle name="Normal 2 30 2 3 13 3" xfId="11889"/>
    <cellStyle name="Normal 2 30 2 3 13 3 2" xfId="30221"/>
    <cellStyle name="Normal 2 30 2 3 13 4" xfId="11890"/>
    <cellStyle name="Normal 2 30 2 3 13 4 2" xfId="30222"/>
    <cellStyle name="Normal 2 30 2 3 13 5" xfId="11891"/>
    <cellStyle name="Normal 2 30 2 3 13 5 2" xfId="30223"/>
    <cellStyle name="Normal 2 30 2 3 13 6" xfId="30219"/>
    <cellStyle name="Normal 2 30 2 3 14" xfId="11892"/>
    <cellStyle name="Normal 2 30 2 3 14 2" xfId="11893"/>
    <cellStyle name="Normal 2 30 2 3 14 2 2" xfId="30225"/>
    <cellStyle name="Normal 2 30 2 3 14 3" xfId="11894"/>
    <cellStyle name="Normal 2 30 2 3 14 3 2" xfId="30226"/>
    <cellStyle name="Normal 2 30 2 3 14 4" xfId="11895"/>
    <cellStyle name="Normal 2 30 2 3 14 4 2" xfId="30227"/>
    <cellStyle name="Normal 2 30 2 3 14 5" xfId="11896"/>
    <cellStyle name="Normal 2 30 2 3 14 5 2" xfId="30228"/>
    <cellStyle name="Normal 2 30 2 3 14 6" xfId="30224"/>
    <cellStyle name="Normal 2 30 2 3 15" xfId="11897"/>
    <cellStyle name="Normal 2 30 2 3 15 2" xfId="11898"/>
    <cellStyle name="Normal 2 30 2 3 15 2 2" xfId="30230"/>
    <cellStyle name="Normal 2 30 2 3 15 3" xfId="11899"/>
    <cellStyle name="Normal 2 30 2 3 15 3 2" xfId="30231"/>
    <cellStyle name="Normal 2 30 2 3 15 4" xfId="11900"/>
    <cellStyle name="Normal 2 30 2 3 15 4 2" xfId="30232"/>
    <cellStyle name="Normal 2 30 2 3 15 5" xfId="11901"/>
    <cellStyle name="Normal 2 30 2 3 15 5 2" xfId="30233"/>
    <cellStyle name="Normal 2 30 2 3 15 6" xfId="30229"/>
    <cellStyle name="Normal 2 30 2 3 16" xfId="11902"/>
    <cellStyle name="Normal 2 30 2 3 16 2" xfId="11903"/>
    <cellStyle name="Normal 2 30 2 3 16 2 2" xfId="30235"/>
    <cellStyle name="Normal 2 30 2 3 16 3" xfId="11904"/>
    <cellStyle name="Normal 2 30 2 3 16 3 2" xfId="30236"/>
    <cellStyle name="Normal 2 30 2 3 16 4" xfId="11905"/>
    <cellStyle name="Normal 2 30 2 3 16 4 2" xfId="30237"/>
    <cellStyle name="Normal 2 30 2 3 16 5" xfId="11906"/>
    <cellStyle name="Normal 2 30 2 3 16 5 2" xfId="30238"/>
    <cellStyle name="Normal 2 30 2 3 16 6" xfId="30234"/>
    <cellStyle name="Normal 2 30 2 3 17" xfId="11907"/>
    <cellStyle name="Normal 2 30 2 3 17 2" xfId="30239"/>
    <cellStyle name="Normal 2 30 2 3 18" xfId="11908"/>
    <cellStyle name="Normal 2 30 2 3 18 2" xfId="30240"/>
    <cellStyle name="Normal 2 30 2 3 19" xfId="11909"/>
    <cellStyle name="Normal 2 30 2 3 19 2" xfId="30241"/>
    <cellStyle name="Normal 2 30 2 3 2" xfId="11910"/>
    <cellStyle name="Normal 2 30 2 3 2 10" xfId="11911"/>
    <cellStyle name="Normal 2 30 2 3 2 10 2" xfId="30243"/>
    <cellStyle name="Normal 2 30 2 3 2 11" xfId="11912"/>
    <cellStyle name="Normal 2 30 2 3 2 11 2" xfId="30244"/>
    <cellStyle name="Normal 2 30 2 3 2 12" xfId="30242"/>
    <cellStyle name="Normal 2 30 2 3 2 2" xfId="11913"/>
    <cellStyle name="Normal 2 30 2 3 2 2 2" xfId="11914"/>
    <cellStyle name="Normal 2 30 2 3 2 2 2 2" xfId="30246"/>
    <cellStyle name="Normal 2 30 2 3 2 2 3" xfId="11915"/>
    <cellStyle name="Normal 2 30 2 3 2 2 3 2" xfId="30247"/>
    <cellStyle name="Normal 2 30 2 3 2 2 4" xfId="11916"/>
    <cellStyle name="Normal 2 30 2 3 2 2 4 2" xfId="30248"/>
    <cellStyle name="Normal 2 30 2 3 2 2 5" xfId="11917"/>
    <cellStyle name="Normal 2 30 2 3 2 2 5 2" xfId="30249"/>
    <cellStyle name="Normal 2 30 2 3 2 2 6" xfId="30245"/>
    <cellStyle name="Normal 2 30 2 3 2 3" xfId="11918"/>
    <cellStyle name="Normal 2 30 2 3 2 3 2" xfId="11919"/>
    <cellStyle name="Normal 2 30 2 3 2 3 2 2" xfId="30251"/>
    <cellStyle name="Normal 2 30 2 3 2 3 3" xfId="11920"/>
    <cellStyle name="Normal 2 30 2 3 2 3 3 2" xfId="30252"/>
    <cellStyle name="Normal 2 30 2 3 2 3 4" xfId="11921"/>
    <cellStyle name="Normal 2 30 2 3 2 3 4 2" xfId="30253"/>
    <cellStyle name="Normal 2 30 2 3 2 3 5" xfId="11922"/>
    <cellStyle name="Normal 2 30 2 3 2 3 5 2" xfId="30254"/>
    <cellStyle name="Normal 2 30 2 3 2 3 6" xfId="30250"/>
    <cellStyle name="Normal 2 30 2 3 2 4" xfId="11923"/>
    <cellStyle name="Normal 2 30 2 3 2 4 2" xfId="11924"/>
    <cellStyle name="Normal 2 30 2 3 2 4 2 2" xfId="30256"/>
    <cellStyle name="Normal 2 30 2 3 2 4 3" xfId="11925"/>
    <cellStyle name="Normal 2 30 2 3 2 4 3 2" xfId="30257"/>
    <cellStyle name="Normal 2 30 2 3 2 4 4" xfId="11926"/>
    <cellStyle name="Normal 2 30 2 3 2 4 4 2" xfId="30258"/>
    <cellStyle name="Normal 2 30 2 3 2 4 5" xfId="11927"/>
    <cellStyle name="Normal 2 30 2 3 2 4 5 2" xfId="30259"/>
    <cellStyle name="Normal 2 30 2 3 2 4 6" xfId="30255"/>
    <cellStyle name="Normal 2 30 2 3 2 5" xfId="11928"/>
    <cellStyle name="Normal 2 30 2 3 2 5 2" xfId="11929"/>
    <cellStyle name="Normal 2 30 2 3 2 5 2 2" xfId="30261"/>
    <cellStyle name="Normal 2 30 2 3 2 5 3" xfId="11930"/>
    <cellStyle name="Normal 2 30 2 3 2 5 3 2" xfId="30262"/>
    <cellStyle name="Normal 2 30 2 3 2 5 4" xfId="11931"/>
    <cellStyle name="Normal 2 30 2 3 2 5 4 2" xfId="30263"/>
    <cellStyle name="Normal 2 30 2 3 2 5 5" xfId="11932"/>
    <cellStyle name="Normal 2 30 2 3 2 5 5 2" xfId="30264"/>
    <cellStyle name="Normal 2 30 2 3 2 5 6" xfId="30260"/>
    <cellStyle name="Normal 2 30 2 3 2 6" xfId="11933"/>
    <cellStyle name="Normal 2 30 2 3 2 6 2" xfId="11934"/>
    <cellStyle name="Normal 2 30 2 3 2 6 2 2" xfId="30266"/>
    <cellStyle name="Normal 2 30 2 3 2 6 3" xfId="11935"/>
    <cellStyle name="Normal 2 30 2 3 2 6 3 2" xfId="30267"/>
    <cellStyle name="Normal 2 30 2 3 2 6 4" xfId="11936"/>
    <cellStyle name="Normal 2 30 2 3 2 6 4 2" xfId="30268"/>
    <cellStyle name="Normal 2 30 2 3 2 6 5" xfId="11937"/>
    <cellStyle name="Normal 2 30 2 3 2 6 5 2" xfId="30269"/>
    <cellStyle name="Normal 2 30 2 3 2 6 6" xfId="30265"/>
    <cellStyle name="Normal 2 30 2 3 2 7" xfId="11938"/>
    <cellStyle name="Normal 2 30 2 3 2 7 2" xfId="11939"/>
    <cellStyle name="Normal 2 30 2 3 2 7 2 2" xfId="30271"/>
    <cellStyle name="Normal 2 30 2 3 2 7 3" xfId="11940"/>
    <cellStyle name="Normal 2 30 2 3 2 7 3 2" xfId="30272"/>
    <cellStyle name="Normal 2 30 2 3 2 7 4" xfId="11941"/>
    <cellStyle name="Normal 2 30 2 3 2 7 4 2" xfId="30273"/>
    <cellStyle name="Normal 2 30 2 3 2 7 5" xfId="11942"/>
    <cellStyle name="Normal 2 30 2 3 2 7 5 2" xfId="30274"/>
    <cellStyle name="Normal 2 30 2 3 2 7 6" xfId="30270"/>
    <cellStyle name="Normal 2 30 2 3 2 8" xfId="11943"/>
    <cellStyle name="Normal 2 30 2 3 2 8 2" xfId="30275"/>
    <cellStyle name="Normal 2 30 2 3 2 9" xfId="11944"/>
    <cellStyle name="Normal 2 30 2 3 2 9 2" xfId="30276"/>
    <cellStyle name="Normal 2 30 2 3 20" xfId="11945"/>
    <cellStyle name="Normal 2 30 2 3 20 2" xfId="30277"/>
    <cellStyle name="Normal 2 30 2 3 21" xfId="30203"/>
    <cellStyle name="Normal 2 30 2 3 3" xfId="11946"/>
    <cellStyle name="Normal 2 30 2 3 3 2" xfId="11947"/>
    <cellStyle name="Normal 2 30 2 3 3 2 2" xfId="11948"/>
    <cellStyle name="Normal 2 30 2 3 3 2 2 2" xfId="30280"/>
    <cellStyle name="Normal 2 30 2 3 3 2 3" xfId="11949"/>
    <cellStyle name="Normal 2 30 2 3 3 2 3 2" xfId="30281"/>
    <cellStyle name="Normal 2 30 2 3 3 2 4" xfId="11950"/>
    <cellStyle name="Normal 2 30 2 3 3 2 4 2" xfId="30282"/>
    <cellStyle name="Normal 2 30 2 3 3 2 5" xfId="11951"/>
    <cellStyle name="Normal 2 30 2 3 3 2 5 2" xfId="30283"/>
    <cellStyle name="Normal 2 30 2 3 3 2 6" xfId="30279"/>
    <cellStyle name="Normal 2 30 2 3 3 3" xfId="11952"/>
    <cellStyle name="Normal 2 30 2 3 3 3 2" xfId="30284"/>
    <cellStyle name="Normal 2 30 2 3 3 4" xfId="11953"/>
    <cellStyle name="Normal 2 30 2 3 3 4 2" xfId="30285"/>
    <cellStyle name="Normal 2 30 2 3 3 5" xfId="11954"/>
    <cellStyle name="Normal 2 30 2 3 3 5 2" xfId="30286"/>
    <cellStyle name="Normal 2 30 2 3 3 6" xfId="11955"/>
    <cellStyle name="Normal 2 30 2 3 3 6 2" xfId="30287"/>
    <cellStyle name="Normal 2 30 2 3 3 7" xfId="30278"/>
    <cellStyle name="Normal 2 30 2 3 4" xfId="11956"/>
    <cellStyle name="Normal 2 30 2 3 4 2" xfId="11957"/>
    <cellStyle name="Normal 2 30 2 3 4 2 2" xfId="11958"/>
    <cellStyle name="Normal 2 30 2 3 4 2 2 2" xfId="30290"/>
    <cellStyle name="Normal 2 30 2 3 4 2 3" xfId="11959"/>
    <cellStyle name="Normal 2 30 2 3 4 2 3 2" xfId="30291"/>
    <cellStyle name="Normal 2 30 2 3 4 2 4" xfId="11960"/>
    <cellStyle name="Normal 2 30 2 3 4 2 4 2" xfId="30292"/>
    <cellStyle name="Normal 2 30 2 3 4 2 5" xfId="11961"/>
    <cellStyle name="Normal 2 30 2 3 4 2 5 2" xfId="30293"/>
    <cellStyle name="Normal 2 30 2 3 4 2 6" xfId="30289"/>
    <cellStyle name="Normal 2 30 2 3 4 3" xfId="11962"/>
    <cellStyle name="Normal 2 30 2 3 4 3 2" xfId="30294"/>
    <cellStyle name="Normal 2 30 2 3 4 4" xfId="11963"/>
    <cellStyle name="Normal 2 30 2 3 4 4 2" xfId="30295"/>
    <cellStyle name="Normal 2 30 2 3 4 5" xfId="11964"/>
    <cellStyle name="Normal 2 30 2 3 4 5 2" xfId="30296"/>
    <cellStyle name="Normal 2 30 2 3 4 6" xfId="11965"/>
    <cellStyle name="Normal 2 30 2 3 4 6 2" xfId="30297"/>
    <cellStyle name="Normal 2 30 2 3 4 7" xfId="30288"/>
    <cellStyle name="Normal 2 30 2 3 5" xfId="11966"/>
    <cellStyle name="Normal 2 30 2 3 5 2" xfId="11967"/>
    <cellStyle name="Normal 2 30 2 3 5 2 2" xfId="30299"/>
    <cellStyle name="Normal 2 30 2 3 5 3" xfId="11968"/>
    <cellStyle name="Normal 2 30 2 3 5 3 2" xfId="30300"/>
    <cellStyle name="Normal 2 30 2 3 5 4" xfId="11969"/>
    <cellStyle name="Normal 2 30 2 3 5 4 2" xfId="30301"/>
    <cellStyle name="Normal 2 30 2 3 5 5" xfId="11970"/>
    <cellStyle name="Normal 2 30 2 3 5 5 2" xfId="30302"/>
    <cellStyle name="Normal 2 30 2 3 5 6" xfId="30298"/>
    <cellStyle name="Normal 2 30 2 3 6" xfId="11971"/>
    <cellStyle name="Normal 2 30 2 3 6 2" xfId="11972"/>
    <cellStyle name="Normal 2 30 2 3 6 2 2" xfId="30304"/>
    <cellStyle name="Normal 2 30 2 3 6 3" xfId="11973"/>
    <cellStyle name="Normal 2 30 2 3 6 3 2" xfId="30305"/>
    <cellStyle name="Normal 2 30 2 3 6 4" xfId="11974"/>
    <cellStyle name="Normal 2 30 2 3 6 4 2" xfId="30306"/>
    <cellStyle name="Normal 2 30 2 3 6 5" xfId="11975"/>
    <cellStyle name="Normal 2 30 2 3 6 5 2" xfId="30307"/>
    <cellStyle name="Normal 2 30 2 3 6 6" xfId="30303"/>
    <cellStyle name="Normal 2 30 2 3 7" xfId="11976"/>
    <cellStyle name="Normal 2 30 2 3 7 2" xfId="11977"/>
    <cellStyle name="Normal 2 30 2 3 7 2 2" xfId="30309"/>
    <cellStyle name="Normal 2 30 2 3 7 3" xfId="11978"/>
    <cellStyle name="Normal 2 30 2 3 7 3 2" xfId="30310"/>
    <cellStyle name="Normal 2 30 2 3 7 4" xfId="11979"/>
    <cellStyle name="Normal 2 30 2 3 7 4 2" xfId="30311"/>
    <cellStyle name="Normal 2 30 2 3 7 5" xfId="11980"/>
    <cellStyle name="Normal 2 30 2 3 7 5 2" xfId="30312"/>
    <cellStyle name="Normal 2 30 2 3 7 6" xfId="30308"/>
    <cellStyle name="Normal 2 30 2 3 8" xfId="11981"/>
    <cellStyle name="Normal 2 30 2 3 8 2" xfId="11982"/>
    <cellStyle name="Normal 2 30 2 3 8 2 2" xfId="30314"/>
    <cellStyle name="Normal 2 30 2 3 8 3" xfId="11983"/>
    <cellStyle name="Normal 2 30 2 3 8 3 2" xfId="30315"/>
    <cellStyle name="Normal 2 30 2 3 8 4" xfId="11984"/>
    <cellStyle name="Normal 2 30 2 3 8 4 2" xfId="30316"/>
    <cellStyle name="Normal 2 30 2 3 8 5" xfId="11985"/>
    <cellStyle name="Normal 2 30 2 3 8 5 2" xfId="30317"/>
    <cellStyle name="Normal 2 30 2 3 8 6" xfId="30313"/>
    <cellStyle name="Normal 2 30 2 3 9" xfId="11986"/>
    <cellStyle name="Normal 2 30 2 3 9 2" xfId="11987"/>
    <cellStyle name="Normal 2 30 2 3 9 2 2" xfId="30319"/>
    <cellStyle name="Normal 2 30 2 3 9 3" xfId="11988"/>
    <cellStyle name="Normal 2 30 2 3 9 3 2" xfId="30320"/>
    <cellStyle name="Normal 2 30 2 3 9 4" xfId="11989"/>
    <cellStyle name="Normal 2 30 2 3 9 4 2" xfId="30321"/>
    <cellStyle name="Normal 2 30 2 3 9 5" xfId="11990"/>
    <cellStyle name="Normal 2 30 2 3 9 5 2" xfId="30322"/>
    <cellStyle name="Normal 2 30 2 3 9 6" xfId="30318"/>
    <cellStyle name="Normal 2 30 2 4" xfId="11991"/>
    <cellStyle name="Normal 2 30 2 4 10" xfId="11992"/>
    <cellStyle name="Normal 2 30 2 4 10 2" xfId="11993"/>
    <cellStyle name="Normal 2 30 2 4 10 2 2" xfId="30325"/>
    <cellStyle name="Normal 2 30 2 4 10 3" xfId="11994"/>
    <cellStyle name="Normal 2 30 2 4 10 3 2" xfId="30326"/>
    <cellStyle name="Normal 2 30 2 4 10 4" xfId="11995"/>
    <cellStyle name="Normal 2 30 2 4 10 4 2" xfId="30327"/>
    <cellStyle name="Normal 2 30 2 4 10 5" xfId="11996"/>
    <cellStyle name="Normal 2 30 2 4 10 5 2" xfId="30328"/>
    <cellStyle name="Normal 2 30 2 4 10 6" xfId="30324"/>
    <cellStyle name="Normal 2 30 2 4 11" xfId="11997"/>
    <cellStyle name="Normal 2 30 2 4 11 2" xfId="11998"/>
    <cellStyle name="Normal 2 30 2 4 11 2 2" xfId="30330"/>
    <cellStyle name="Normal 2 30 2 4 11 3" xfId="11999"/>
    <cellStyle name="Normal 2 30 2 4 11 3 2" xfId="30331"/>
    <cellStyle name="Normal 2 30 2 4 11 4" xfId="12000"/>
    <cellStyle name="Normal 2 30 2 4 11 4 2" xfId="30332"/>
    <cellStyle name="Normal 2 30 2 4 11 5" xfId="12001"/>
    <cellStyle name="Normal 2 30 2 4 11 5 2" xfId="30333"/>
    <cellStyle name="Normal 2 30 2 4 11 6" xfId="30329"/>
    <cellStyle name="Normal 2 30 2 4 12" xfId="12002"/>
    <cellStyle name="Normal 2 30 2 4 12 2" xfId="12003"/>
    <cellStyle name="Normal 2 30 2 4 12 2 2" xfId="30335"/>
    <cellStyle name="Normal 2 30 2 4 12 3" xfId="12004"/>
    <cellStyle name="Normal 2 30 2 4 12 3 2" xfId="30336"/>
    <cellStyle name="Normal 2 30 2 4 12 4" xfId="12005"/>
    <cellStyle name="Normal 2 30 2 4 12 4 2" xfId="30337"/>
    <cellStyle name="Normal 2 30 2 4 12 5" xfId="12006"/>
    <cellStyle name="Normal 2 30 2 4 12 5 2" xfId="30338"/>
    <cellStyle name="Normal 2 30 2 4 12 6" xfId="30334"/>
    <cellStyle name="Normal 2 30 2 4 13" xfId="12007"/>
    <cellStyle name="Normal 2 30 2 4 13 2" xfId="12008"/>
    <cellStyle name="Normal 2 30 2 4 13 2 2" xfId="30340"/>
    <cellStyle name="Normal 2 30 2 4 13 3" xfId="12009"/>
    <cellStyle name="Normal 2 30 2 4 13 3 2" xfId="30341"/>
    <cellStyle name="Normal 2 30 2 4 13 4" xfId="12010"/>
    <cellStyle name="Normal 2 30 2 4 13 4 2" xfId="30342"/>
    <cellStyle name="Normal 2 30 2 4 13 5" xfId="12011"/>
    <cellStyle name="Normal 2 30 2 4 13 5 2" xfId="30343"/>
    <cellStyle name="Normal 2 30 2 4 13 6" xfId="30339"/>
    <cellStyle name="Normal 2 30 2 4 14" xfId="12012"/>
    <cellStyle name="Normal 2 30 2 4 14 2" xfId="12013"/>
    <cellStyle name="Normal 2 30 2 4 14 2 2" xfId="30345"/>
    <cellStyle name="Normal 2 30 2 4 14 3" xfId="12014"/>
    <cellStyle name="Normal 2 30 2 4 14 3 2" xfId="30346"/>
    <cellStyle name="Normal 2 30 2 4 14 4" xfId="12015"/>
    <cellStyle name="Normal 2 30 2 4 14 4 2" xfId="30347"/>
    <cellStyle name="Normal 2 30 2 4 14 5" xfId="12016"/>
    <cellStyle name="Normal 2 30 2 4 14 5 2" xfId="30348"/>
    <cellStyle name="Normal 2 30 2 4 14 6" xfId="30344"/>
    <cellStyle name="Normal 2 30 2 4 15" xfId="12017"/>
    <cellStyle name="Normal 2 30 2 4 15 2" xfId="12018"/>
    <cellStyle name="Normal 2 30 2 4 15 2 2" xfId="30350"/>
    <cellStyle name="Normal 2 30 2 4 15 3" xfId="12019"/>
    <cellStyle name="Normal 2 30 2 4 15 3 2" xfId="30351"/>
    <cellStyle name="Normal 2 30 2 4 15 4" xfId="12020"/>
    <cellStyle name="Normal 2 30 2 4 15 4 2" xfId="30352"/>
    <cellStyle name="Normal 2 30 2 4 15 5" xfId="12021"/>
    <cellStyle name="Normal 2 30 2 4 15 5 2" xfId="30353"/>
    <cellStyle name="Normal 2 30 2 4 15 6" xfId="30349"/>
    <cellStyle name="Normal 2 30 2 4 16" xfId="12022"/>
    <cellStyle name="Normal 2 30 2 4 16 2" xfId="12023"/>
    <cellStyle name="Normal 2 30 2 4 16 2 2" xfId="30355"/>
    <cellStyle name="Normal 2 30 2 4 16 3" xfId="12024"/>
    <cellStyle name="Normal 2 30 2 4 16 3 2" xfId="30356"/>
    <cellStyle name="Normal 2 30 2 4 16 4" xfId="12025"/>
    <cellStyle name="Normal 2 30 2 4 16 4 2" xfId="30357"/>
    <cellStyle name="Normal 2 30 2 4 16 5" xfId="12026"/>
    <cellStyle name="Normal 2 30 2 4 16 5 2" xfId="30358"/>
    <cellStyle name="Normal 2 30 2 4 16 6" xfId="30354"/>
    <cellStyle name="Normal 2 30 2 4 17" xfId="12027"/>
    <cellStyle name="Normal 2 30 2 4 17 2" xfId="30359"/>
    <cellStyle name="Normal 2 30 2 4 18" xfId="12028"/>
    <cellStyle name="Normal 2 30 2 4 18 2" xfId="30360"/>
    <cellStyle name="Normal 2 30 2 4 19" xfId="12029"/>
    <cellStyle name="Normal 2 30 2 4 19 2" xfId="30361"/>
    <cellStyle name="Normal 2 30 2 4 2" xfId="12030"/>
    <cellStyle name="Normal 2 30 2 4 2 10" xfId="12031"/>
    <cellStyle name="Normal 2 30 2 4 2 10 2" xfId="30363"/>
    <cellStyle name="Normal 2 30 2 4 2 11" xfId="12032"/>
    <cellStyle name="Normal 2 30 2 4 2 11 2" xfId="30364"/>
    <cellStyle name="Normal 2 30 2 4 2 12" xfId="30362"/>
    <cellStyle name="Normal 2 30 2 4 2 2" xfId="12033"/>
    <cellStyle name="Normal 2 30 2 4 2 2 2" xfId="12034"/>
    <cellStyle name="Normal 2 30 2 4 2 2 2 2" xfId="30366"/>
    <cellStyle name="Normal 2 30 2 4 2 2 3" xfId="12035"/>
    <cellStyle name="Normal 2 30 2 4 2 2 3 2" xfId="30367"/>
    <cellStyle name="Normal 2 30 2 4 2 2 4" xfId="12036"/>
    <cellStyle name="Normal 2 30 2 4 2 2 4 2" xfId="30368"/>
    <cellStyle name="Normal 2 30 2 4 2 2 5" xfId="12037"/>
    <cellStyle name="Normal 2 30 2 4 2 2 5 2" xfId="30369"/>
    <cellStyle name="Normal 2 30 2 4 2 2 6" xfId="30365"/>
    <cellStyle name="Normal 2 30 2 4 2 3" xfId="12038"/>
    <cellStyle name="Normal 2 30 2 4 2 3 2" xfId="12039"/>
    <cellStyle name="Normal 2 30 2 4 2 3 2 2" xfId="30371"/>
    <cellStyle name="Normal 2 30 2 4 2 3 3" xfId="12040"/>
    <cellStyle name="Normal 2 30 2 4 2 3 3 2" xfId="30372"/>
    <cellStyle name="Normal 2 30 2 4 2 3 4" xfId="12041"/>
    <cellStyle name="Normal 2 30 2 4 2 3 4 2" xfId="30373"/>
    <cellStyle name="Normal 2 30 2 4 2 3 5" xfId="12042"/>
    <cellStyle name="Normal 2 30 2 4 2 3 5 2" xfId="30374"/>
    <cellStyle name="Normal 2 30 2 4 2 3 6" xfId="30370"/>
    <cellStyle name="Normal 2 30 2 4 2 4" xfId="12043"/>
    <cellStyle name="Normal 2 30 2 4 2 4 2" xfId="12044"/>
    <cellStyle name="Normal 2 30 2 4 2 4 2 2" xfId="30376"/>
    <cellStyle name="Normal 2 30 2 4 2 4 3" xfId="12045"/>
    <cellStyle name="Normal 2 30 2 4 2 4 3 2" xfId="30377"/>
    <cellStyle name="Normal 2 30 2 4 2 4 4" xfId="12046"/>
    <cellStyle name="Normal 2 30 2 4 2 4 4 2" xfId="30378"/>
    <cellStyle name="Normal 2 30 2 4 2 4 5" xfId="12047"/>
    <cellStyle name="Normal 2 30 2 4 2 4 5 2" xfId="30379"/>
    <cellStyle name="Normal 2 30 2 4 2 4 6" xfId="30375"/>
    <cellStyle name="Normal 2 30 2 4 2 5" xfId="12048"/>
    <cellStyle name="Normal 2 30 2 4 2 5 2" xfId="12049"/>
    <cellStyle name="Normal 2 30 2 4 2 5 2 2" xfId="30381"/>
    <cellStyle name="Normal 2 30 2 4 2 5 3" xfId="12050"/>
    <cellStyle name="Normal 2 30 2 4 2 5 3 2" xfId="30382"/>
    <cellStyle name="Normal 2 30 2 4 2 5 4" xfId="12051"/>
    <cellStyle name="Normal 2 30 2 4 2 5 4 2" xfId="30383"/>
    <cellStyle name="Normal 2 30 2 4 2 5 5" xfId="12052"/>
    <cellStyle name="Normal 2 30 2 4 2 5 5 2" xfId="30384"/>
    <cellStyle name="Normal 2 30 2 4 2 5 6" xfId="30380"/>
    <cellStyle name="Normal 2 30 2 4 2 6" xfId="12053"/>
    <cellStyle name="Normal 2 30 2 4 2 6 2" xfId="12054"/>
    <cellStyle name="Normal 2 30 2 4 2 6 2 2" xfId="30386"/>
    <cellStyle name="Normal 2 30 2 4 2 6 3" xfId="12055"/>
    <cellStyle name="Normal 2 30 2 4 2 6 3 2" xfId="30387"/>
    <cellStyle name="Normal 2 30 2 4 2 6 4" xfId="12056"/>
    <cellStyle name="Normal 2 30 2 4 2 6 4 2" xfId="30388"/>
    <cellStyle name="Normal 2 30 2 4 2 6 5" xfId="12057"/>
    <cellStyle name="Normal 2 30 2 4 2 6 5 2" xfId="30389"/>
    <cellStyle name="Normal 2 30 2 4 2 6 6" xfId="30385"/>
    <cellStyle name="Normal 2 30 2 4 2 7" xfId="12058"/>
    <cellStyle name="Normal 2 30 2 4 2 7 2" xfId="12059"/>
    <cellStyle name="Normal 2 30 2 4 2 7 2 2" xfId="30391"/>
    <cellStyle name="Normal 2 30 2 4 2 7 3" xfId="12060"/>
    <cellStyle name="Normal 2 30 2 4 2 7 3 2" xfId="30392"/>
    <cellStyle name="Normal 2 30 2 4 2 7 4" xfId="12061"/>
    <cellStyle name="Normal 2 30 2 4 2 7 4 2" xfId="30393"/>
    <cellStyle name="Normal 2 30 2 4 2 7 5" xfId="12062"/>
    <cellStyle name="Normal 2 30 2 4 2 7 5 2" xfId="30394"/>
    <cellStyle name="Normal 2 30 2 4 2 7 6" xfId="30390"/>
    <cellStyle name="Normal 2 30 2 4 2 8" xfId="12063"/>
    <cellStyle name="Normal 2 30 2 4 2 8 2" xfId="30395"/>
    <cellStyle name="Normal 2 30 2 4 2 9" xfId="12064"/>
    <cellStyle name="Normal 2 30 2 4 2 9 2" xfId="30396"/>
    <cellStyle name="Normal 2 30 2 4 20" xfId="12065"/>
    <cellStyle name="Normal 2 30 2 4 20 2" xfId="30397"/>
    <cellStyle name="Normal 2 30 2 4 21" xfId="30323"/>
    <cellStyle name="Normal 2 30 2 4 3" xfId="12066"/>
    <cellStyle name="Normal 2 30 2 4 3 2" xfId="12067"/>
    <cellStyle name="Normal 2 30 2 4 3 2 2" xfId="12068"/>
    <cellStyle name="Normal 2 30 2 4 3 2 2 2" xfId="30400"/>
    <cellStyle name="Normal 2 30 2 4 3 2 3" xfId="12069"/>
    <cellStyle name="Normal 2 30 2 4 3 2 3 2" xfId="30401"/>
    <cellStyle name="Normal 2 30 2 4 3 2 4" xfId="12070"/>
    <cellStyle name="Normal 2 30 2 4 3 2 4 2" xfId="30402"/>
    <cellStyle name="Normal 2 30 2 4 3 2 5" xfId="12071"/>
    <cellStyle name="Normal 2 30 2 4 3 2 5 2" xfId="30403"/>
    <cellStyle name="Normal 2 30 2 4 3 2 6" xfId="30399"/>
    <cellStyle name="Normal 2 30 2 4 3 3" xfId="12072"/>
    <cellStyle name="Normal 2 30 2 4 3 3 2" xfId="30404"/>
    <cellStyle name="Normal 2 30 2 4 3 4" xfId="12073"/>
    <cellStyle name="Normal 2 30 2 4 3 4 2" xfId="30405"/>
    <cellStyle name="Normal 2 30 2 4 3 5" xfId="12074"/>
    <cellStyle name="Normal 2 30 2 4 3 5 2" xfId="30406"/>
    <cellStyle name="Normal 2 30 2 4 3 6" xfId="12075"/>
    <cellStyle name="Normal 2 30 2 4 3 6 2" xfId="30407"/>
    <cellStyle name="Normal 2 30 2 4 3 7" xfId="30398"/>
    <cellStyle name="Normal 2 30 2 4 4" xfId="12076"/>
    <cellStyle name="Normal 2 30 2 4 4 2" xfId="12077"/>
    <cellStyle name="Normal 2 30 2 4 4 2 2" xfId="12078"/>
    <cellStyle name="Normal 2 30 2 4 4 2 2 2" xfId="30410"/>
    <cellStyle name="Normal 2 30 2 4 4 2 3" xfId="12079"/>
    <cellStyle name="Normal 2 30 2 4 4 2 3 2" xfId="30411"/>
    <cellStyle name="Normal 2 30 2 4 4 2 4" xfId="12080"/>
    <cellStyle name="Normal 2 30 2 4 4 2 4 2" xfId="30412"/>
    <cellStyle name="Normal 2 30 2 4 4 2 5" xfId="12081"/>
    <cellStyle name="Normal 2 30 2 4 4 2 5 2" xfId="30413"/>
    <cellStyle name="Normal 2 30 2 4 4 2 6" xfId="30409"/>
    <cellStyle name="Normal 2 30 2 4 4 3" xfId="12082"/>
    <cellStyle name="Normal 2 30 2 4 4 3 2" xfId="30414"/>
    <cellStyle name="Normal 2 30 2 4 4 4" xfId="12083"/>
    <cellStyle name="Normal 2 30 2 4 4 4 2" xfId="30415"/>
    <cellStyle name="Normal 2 30 2 4 4 5" xfId="12084"/>
    <cellStyle name="Normal 2 30 2 4 4 5 2" xfId="30416"/>
    <cellStyle name="Normal 2 30 2 4 4 6" xfId="12085"/>
    <cellStyle name="Normal 2 30 2 4 4 6 2" xfId="30417"/>
    <cellStyle name="Normal 2 30 2 4 4 7" xfId="30408"/>
    <cellStyle name="Normal 2 30 2 4 5" xfId="12086"/>
    <cellStyle name="Normal 2 30 2 4 5 2" xfId="12087"/>
    <cellStyle name="Normal 2 30 2 4 5 2 2" xfId="30419"/>
    <cellStyle name="Normal 2 30 2 4 5 3" xfId="12088"/>
    <cellStyle name="Normal 2 30 2 4 5 3 2" xfId="30420"/>
    <cellStyle name="Normal 2 30 2 4 5 4" xfId="12089"/>
    <cellStyle name="Normal 2 30 2 4 5 4 2" xfId="30421"/>
    <cellStyle name="Normal 2 30 2 4 5 5" xfId="12090"/>
    <cellStyle name="Normal 2 30 2 4 5 5 2" xfId="30422"/>
    <cellStyle name="Normal 2 30 2 4 5 6" xfId="30418"/>
    <cellStyle name="Normal 2 30 2 4 6" xfId="12091"/>
    <cellStyle name="Normal 2 30 2 4 6 2" xfId="12092"/>
    <cellStyle name="Normal 2 30 2 4 6 2 2" xfId="30424"/>
    <cellStyle name="Normal 2 30 2 4 6 3" xfId="12093"/>
    <cellStyle name="Normal 2 30 2 4 6 3 2" xfId="30425"/>
    <cellStyle name="Normal 2 30 2 4 6 4" xfId="12094"/>
    <cellStyle name="Normal 2 30 2 4 6 4 2" xfId="30426"/>
    <cellStyle name="Normal 2 30 2 4 6 5" xfId="12095"/>
    <cellStyle name="Normal 2 30 2 4 6 5 2" xfId="30427"/>
    <cellStyle name="Normal 2 30 2 4 6 6" xfId="30423"/>
    <cellStyle name="Normal 2 30 2 4 7" xfId="12096"/>
    <cellStyle name="Normal 2 30 2 4 7 2" xfId="12097"/>
    <cellStyle name="Normal 2 30 2 4 7 2 2" xfId="30429"/>
    <cellStyle name="Normal 2 30 2 4 7 3" xfId="12098"/>
    <cellStyle name="Normal 2 30 2 4 7 3 2" xfId="30430"/>
    <cellStyle name="Normal 2 30 2 4 7 4" xfId="12099"/>
    <cellStyle name="Normal 2 30 2 4 7 4 2" xfId="30431"/>
    <cellStyle name="Normal 2 30 2 4 7 5" xfId="12100"/>
    <cellStyle name="Normal 2 30 2 4 7 5 2" xfId="30432"/>
    <cellStyle name="Normal 2 30 2 4 7 6" xfId="30428"/>
    <cellStyle name="Normal 2 30 2 4 8" xfId="12101"/>
    <cellStyle name="Normal 2 30 2 4 8 2" xfId="12102"/>
    <cellStyle name="Normal 2 30 2 4 8 2 2" xfId="30434"/>
    <cellStyle name="Normal 2 30 2 4 8 3" xfId="12103"/>
    <cellStyle name="Normal 2 30 2 4 8 3 2" xfId="30435"/>
    <cellStyle name="Normal 2 30 2 4 8 4" xfId="12104"/>
    <cellStyle name="Normal 2 30 2 4 8 4 2" xfId="30436"/>
    <cellStyle name="Normal 2 30 2 4 8 5" xfId="12105"/>
    <cellStyle name="Normal 2 30 2 4 8 5 2" xfId="30437"/>
    <cellStyle name="Normal 2 30 2 4 8 6" xfId="30433"/>
    <cellStyle name="Normal 2 30 2 4 9" xfId="12106"/>
    <cellStyle name="Normal 2 30 2 4 9 2" xfId="12107"/>
    <cellStyle name="Normal 2 30 2 4 9 2 2" xfId="30439"/>
    <cellStyle name="Normal 2 30 2 4 9 3" xfId="12108"/>
    <cellStyle name="Normal 2 30 2 4 9 3 2" xfId="30440"/>
    <cellStyle name="Normal 2 30 2 4 9 4" xfId="12109"/>
    <cellStyle name="Normal 2 30 2 4 9 4 2" xfId="30441"/>
    <cellStyle name="Normal 2 30 2 4 9 5" xfId="12110"/>
    <cellStyle name="Normal 2 30 2 4 9 5 2" xfId="30442"/>
    <cellStyle name="Normal 2 30 2 4 9 6" xfId="30438"/>
    <cellStyle name="Normal 2 30 2 5" xfId="12111"/>
    <cellStyle name="Normal 2 30 2 5 10" xfId="12112"/>
    <cellStyle name="Normal 2 30 2 5 10 2" xfId="30444"/>
    <cellStyle name="Normal 2 30 2 5 11" xfId="12113"/>
    <cellStyle name="Normal 2 30 2 5 11 2" xfId="30445"/>
    <cellStyle name="Normal 2 30 2 5 12" xfId="30443"/>
    <cellStyle name="Normal 2 30 2 5 2" xfId="12114"/>
    <cellStyle name="Normal 2 30 2 5 2 2" xfId="12115"/>
    <cellStyle name="Normal 2 30 2 5 2 2 2" xfId="30447"/>
    <cellStyle name="Normal 2 30 2 5 2 3" xfId="12116"/>
    <cellStyle name="Normal 2 30 2 5 2 3 2" xfId="30448"/>
    <cellStyle name="Normal 2 30 2 5 2 4" xfId="12117"/>
    <cellStyle name="Normal 2 30 2 5 2 4 2" xfId="30449"/>
    <cellStyle name="Normal 2 30 2 5 2 5" xfId="12118"/>
    <cellStyle name="Normal 2 30 2 5 2 5 2" xfId="30450"/>
    <cellStyle name="Normal 2 30 2 5 2 6" xfId="30446"/>
    <cellStyle name="Normal 2 30 2 5 3" xfId="12119"/>
    <cellStyle name="Normal 2 30 2 5 3 2" xfId="12120"/>
    <cellStyle name="Normal 2 30 2 5 3 2 2" xfId="30452"/>
    <cellStyle name="Normal 2 30 2 5 3 3" xfId="12121"/>
    <cellStyle name="Normal 2 30 2 5 3 3 2" xfId="30453"/>
    <cellStyle name="Normal 2 30 2 5 3 4" xfId="12122"/>
    <cellStyle name="Normal 2 30 2 5 3 4 2" xfId="30454"/>
    <cellStyle name="Normal 2 30 2 5 3 5" xfId="12123"/>
    <cellStyle name="Normal 2 30 2 5 3 5 2" xfId="30455"/>
    <cellStyle name="Normal 2 30 2 5 3 6" xfId="30451"/>
    <cellStyle name="Normal 2 30 2 5 4" xfId="12124"/>
    <cellStyle name="Normal 2 30 2 5 4 2" xfId="12125"/>
    <cellStyle name="Normal 2 30 2 5 4 2 2" xfId="30457"/>
    <cellStyle name="Normal 2 30 2 5 4 3" xfId="12126"/>
    <cellStyle name="Normal 2 30 2 5 4 3 2" xfId="30458"/>
    <cellStyle name="Normal 2 30 2 5 4 4" xfId="12127"/>
    <cellStyle name="Normal 2 30 2 5 4 4 2" xfId="30459"/>
    <cellStyle name="Normal 2 30 2 5 4 5" xfId="12128"/>
    <cellStyle name="Normal 2 30 2 5 4 5 2" xfId="30460"/>
    <cellStyle name="Normal 2 30 2 5 4 6" xfId="30456"/>
    <cellStyle name="Normal 2 30 2 5 5" xfId="12129"/>
    <cellStyle name="Normal 2 30 2 5 5 2" xfId="12130"/>
    <cellStyle name="Normal 2 30 2 5 5 2 2" xfId="30462"/>
    <cellStyle name="Normal 2 30 2 5 5 3" xfId="12131"/>
    <cellStyle name="Normal 2 30 2 5 5 3 2" xfId="30463"/>
    <cellStyle name="Normal 2 30 2 5 5 4" xfId="12132"/>
    <cellStyle name="Normal 2 30 2 5 5 4 2" xfId="30464"/>
    <cellStyle name="Normal 2 30 2 5 5 5" xfId="12133"/>
    <cellStyle name="Normal 2 30 2 5 5 5 2" xfId="30465"/>
    <cellStyle name="Normal 2 30 2 5 5 6" xfId="30461"/>
    <cellStyle name="Normal 2 30 2 5 6" xfId="12134"/>
    <cellStyle name="Normal 2 30 2 5 6 2" xfId="12135"/>
    <cellStyle name="Normal 2 30 2 5 6 2 2" xfId="30467"/>
    <cellStyle name="Normal 2 30 2 5 6 3" xfId="12136"/>
    <cellStyle name="Normal 2 30 2 5 6 3 2" xfId="30468"/>
    <cellStyle name="Normal 2 30 2 5 6 4" xfId="12137"/>
    <cellStyle name="Normal 2 30 2 5 6 4 2" xfId="30469"/>
    <cellStyle name="Normal 2 30 2 5 6 5" xfId="12138"/>
    <cellStyle name="Normal 2 30 2 5 6 5 2" xfId="30470"/>
    <cellStyle name="Normal 2 30 2 5 6 6" xfId="30466"/>
    <cellStyle name="Normal 2 30 2 5 7" xfId="12139"/>
    <cellStyle name="Normal 2 30 2 5 7 2" xfId="12140"/>
    <cellStyle name="Normal 2 30 2 5 7 2 2" xfId="30472"/>
    <cellStyle name="Normal 2 30 2 5 7 3" xfId="12141"/>
    <cellStyle name="Normal 2 30 2 5 7 3 2" xfId="30473"/>
    <cellStyle name="Normal 2 30 2 5 7 4" xfId="12142"/>
    <cellStyle name="Normal 2 30 2 5 7 4 2" xfId="30474"/>
    <cellStyle name="Normal 2 30 2 5 7 5" xfId="12143"/>
    <cellStyle name="Normal 2 30 2 5 7 5 2" xfId="30475"/>
    <cellStyle name="Normal 2 30 2 5 7 6" xfId="30471"/>
    <cellStyle name="Normal 2 30 2 5 8" xfId="12144"/>
    <cellStyle name="Normal 2 30 2 5 8 2" xfId="30476"/>
    <cellStyle name="Normal 2 30 2 5 9" xfId="12145"/>
    <cellStyle name="Normal 2 30 2 5 9 2" xfId="30477"/>
    <cellStyle name="Normal 2 30 2 6" xfId="12146"/>
    <cellStyle name="Normal 2 30 2 6 2" xfId="12147"/>
    <cellStyle name="Normal 2 30 2 6 2 2" xfId="12148"/>
    <cellStyle name="Normal 2 30 2 6 2 2 2" xfId="30480"/>
    <cellStyle name="Normal 2 30 2 6 2 3" xfId="12149"/>
    <cellStyle name="Normal 2 30 2 6 2 3 2" xfId="30481"/>
    <cellStyle name="Normal 2 30 2 6 2 4" xfId="12150"/>
    <cellStyle name="Normal 2 30 2 6 2 4 2" xfId="30482"/>
    <cellStyle name="Normal 2 30 2 6 2 5" xfId="12151"/>
    <cellStyle name="Normal 2 30 2 6 2 5 2" xfId="30483"/>
    <cellStyle name="Normal 2 30 2 6 2 6" xfId="30479"/>
    <cellStyle name="Normal 2 30 2 6 3" xfId="12152"/>
    <cellStyle name="Normal 2 30 2 6 3 2" xfId="30484"/>
    <cellStyle name="Normal 2 30 2 6 4" xfId="12153"/>
    <cellStyle name="Normal 2 30 2 6 4 2" xfId="30485"/>
    <cellStyle name="Normal 2 30 2 6 5" xfId="12154"/>
    <cellStyle name="Normal 2 30 2 6 5 2" xfId="30486"/>
    <cellStyle name="Normal 2 30 2 6 6" xfId="12155"/>
    <cellStyle name="Normal 2 30 2 6 6 2" xfId="30487"/>
    <cellStyle name="Normal 2 30 2 6 7" xfId="30478"/>
    <cellStyle name="Normal 2 30 2 7" xfId="12156"/>
    <cellStyle name="Normal 2 30 2 7 2" xfId="12157"/>
    <cellStyle name="Normal 2 30 2 7 2 2" xfId="12158"/>
    <cellStyle name="Normal 2 30 2 7 2 2 2" xfId="30490"/>
    <cellStyle name="Normal 2 30 2 7 2 3" xfId="12159"/>
    <cellStyle name="Normal 2 30 2 7 2 3 2" xfId="30491"/>
    <cellStyle name="Normal 2 30 2 7 2 4" xfId="12160"/>
    <cellStyle name="Normal 2 30 2 7 2 4 2" xfId="30492"/>
    <cellStyle name="Normal 2 30 2 7 2 5" xfId="12161"/>
    <cellStyle name="Normal 2 30 2 7 2 5 2" xfId="30493"/>
    <cellStyle name="Normal 2 30 2 7 2 6" xfId="30489"/>
    <cellStyle name="Normal 2 30 2 7 3" xfId="12162"/>
    <cellStyle name="Normal 2 30 2 7 3 2" xfId="30494"/>
    <cellStyle name="Normal 2 30 2 7 4" xfId="12163"/>
    <cellStyle name="Normal 2 30 2 7 4 2" xfId="30495"/>
    <cellStyle name="Normal 2 30 2 7 5" xfId="12164"/>
    <cellStyle name="Normal 2 30 2 7 5 2" xfId="30496"/>
    <cellStyle name="Normal 2 30 2 7 6" xfId="12165"/>
    <cellStyle name="Normal 2 30 2 7 6 2" xfId="30497"/>
    <cellStyle name="Normal 2 30 2 7 7" xfId="30488"/>
    <cellStyle name="Normal 2 30 2 8" xfId="12166"/>
    <cellStyle name="Normal 2 30 2 8 2" xfId="12167"/>
    <cellStyle name="Normal 2 30 2 8 2 2" xfId="30499"/>
    <cellStyle name="Normal 2 30 2 8 3" xfId="12168"/>
    <cellStyle name="Normal 2 30 2 8 3 2" xfId="30500"/>
    <cellStyle name="Normal 2 30 2 8 4" xfId="12169"/>
    <cellStyle name="Normal 2 30 2 8 4 2" xfId="30501"/>
    <cellStyle name="Normal 2 30 2 8 5" xfId="12170"/>
    <cellStyle name="Normal 2 30 2 8 5 2" xfId="30502"/>
    <cellStyle name="Normal 2 30 2 8 6" xfId="30498"/>
    <cellStyle name="Normal 2 30 2 9" xfId="12171"/>
    <cellStyle name="Normal 2 30 2 9 2" xfId="12172"/>
    <cellStyle name="Normal 2 30 2 9 2 2" xfId="30504"/>
    <cellStyle name="Normal 2 30 2 9 3" xfId="12173"/>
    <cellStyle name="Normal 2 30 2 9 3 2" xfId="30505"/>
    <cellStyle name="Normal 2 30 2 9 4" xfId="12174"/>
    <cellStyle name="Normal 2 30 2 9 4 2" xfId="30506"/>
    <cellStyle name="Normal 2 30 2 9 5" xfId="12175"/>
    <cellStyle name="Normal 2 30 2 9 5 2" xfId="30507"/>
    <cellStyle name="Normal 2 30 2 9 6" xfId="30503"/>
    <cellStyle name="Normal 2 30 20" xfId="12176"/>
    <cellStyle name="Normal 2 30 20 2" xfId="12177"/>
    <cellStyle name="Normal 2 30 20 2 2" xfId="30509"/>
    <cellStyle name="Normal 2 30 20 3" xfId="12178"/>
    <cellStyle name="Normal 2 30 20 3 2" xfId="30510"/>
    <cellStyle name="Normal 2 30 20 4" xfId="12179"/>
    <cellStyle name="Normal 2 30 20 4 2" xfId="30511"/>
    <cellStyle name="Normal 2 30 20 5" xfId="12180"/>
    <cellStyle name="Normal 2 30 20 5 2" xfId="30512"/>
    <cellStyle name="Normal 2 30 20 6" xfId="30508"/>
    <cellStyle name="Normal 2 30 21" xfId="12181"/>
    <cellStyle name="Normal 2 30 21 2" xfId="12182"/>
    <cellStyle name="Normal 2 30 21 2 2" xfId="30514"/>
    <cellStyle name="Normal 2 30 21 3" xfId="12183"/>
    <cellStyle name="Normal 2 30 21 3 2" xfId="30515"/>
    <cellStyle name="Normal 2 30 21 4" xfId="12184"/>
    <cellStyle name="Normal 2 30 21 4 2" xfId="30516"/>
    <cellStyle name="Normal 2 30 21 5" xfId="12185"/>
    <cellStyle name="Normal 2 30 21 5 2" xfId="30517"/>
    <cellStyle name="Normal 2 30 21 6" xfId="30513"/>
    <cellStyle name="Normal 2 30 22" xfId="12186"/>
    <cellStyle name="Normal 2 30 22 2" xfId="12187"/>
    <cellStyle name="Normal 2 30 22 2 2" xfId="30519"/>
    <cellStyle name="Normal 2 30 22 3" xfId="12188"/>
    <cellStyle name="Normal 2 30 22 3 2" xfId="30520"/>
    <cellStyle name="Normal 2 30 22 4" xfId="12189"/>
    <cellStyle name="Normal 2 30 22 4 2" xfId="30521"/>
    <cellStyle name="Normal 2 30 22 5" xfId="12190"/>
    <cellStyle name="Normal 2 30 22 5 2" xfId="30522"/>
    <cellStyle name="Normal 2 30 22 6" xfId="30518"/>
    <cellStyle name="Normal 2 30 23" xfId="12191"/>
    <cellStyle name="Normal 2 30 23 2" xfId="12192"/>
    <cellStyle name="Normal 2 30 23 2 2" xfId="30524"/>
    <cellStyle name="Normal 2 30 23 3" xfId="12193"/>
    <cellStyle name="Normal 2 30 23 3 2" xfId="30525"/>
    <cellStyle name="Normal 2 30 23 4" xfId="12194"/>
    <cellStyle name="Normal 2 30 23 4 2" xfId="30526"/>
    <cellStyle name="Normal 2 30 23 5" xfId="12195"/>
    <cellStyle name="Normal 2 30 23 5 2" xfId="30527"/>
    <cellStyle name="Normal 2 30 23 6" xfId="30523"/>
    <cellStyle name="Normal 2 30 24" xfId="12196"/>
    <cellStyle name="Normal 2 30 24 2" xfId="30528"/>
    <cellStyle name="Normal 2 30 25" xfId="12197"/>
    <cellStyle name="Normal 2 30 25 2" xfId="30529"/>
    <cellStyle name="Normal 2 30 26" xfId="12198"/>
    <cellStyle name="Normal 2 30 26 2" xfId="30530"/>
    <cellStyle name="Normal 2 30 27" xfId="12199"/>
    <cellStyle name="Normal 2 30 27 2" xfId="30531"/>
    <cellStyle name="Normal 2 30 28" xfId="12200"/>
    <cellStyle name="Normal 2 30 28 2" xfId="30532"/>
    <cellStyle name="Normal 2 30 3" xfId="12201"/>
    <cellStyle name="Normal 2 30 3 10" xfId="12202"/>
    <cellStyle name="Normal 2 30 3 10 2" xfId="12203"/>
    <cellStyle name="Normal 2 30 3 10 2 2" xfId="30535"/>
    <cellStyle name="Normal 2 30 3 10 3" xfId="12204"/>
    <cellStyle name="Normal 2 30 3 10 3 2" xfId="30536"/>
    <cellStyle name="Normal 2 30 3 10 4" xfId="12205"/>
    <cellStyle name="Normal 2 30 3 10 4 2" xfId="30537"/>
    <cellStyle name="Normal 2 30 3 10 5" xfId="12206"/>
    <cellStyle name="Normal 2 30 3 10 5 2" xfId="30538"/>
    <cellStyle name="Normal 2 30 3 10 6" xfId="30534"/>
    <cellStyle name="Normal 2 30 3 11" xfId="12207"/>
    <cellStyle name="Normal 2 30 3 11 2" xfId="12208"/>
    <cellStyle name="Normal 2 30 3 11 2 2" xfId="30540"/>
    <cellStyle name="Normal 2 30 3 11 3" xfId="12209"/>
    <cellStyle name="Normal 2 30 3 11 3 2" xfId="30541"/>
    <cellStyle name="Normal 2 30 3 11 4" xfId="12210"/>
    <cellStyle name="Normal 2 30 3 11 4 2" xfId="30542"/>
    <cellStyle name="Normal 2 30 3 11 5" xfId="12211"/>
    <cellStyle name="Normal 2 30 3 11 5 2" xfId="30543"/>
    <cellStyle name="Normal 2 30 3 11 6" xfId="30539"/>
    <cellStyle name="Normal 2 30 3 12" xfId="12212"/>
    <cellStyle name="Normal 2 30 3 12 2" xfId="12213"/>
    <cellStyle name="Normal 2 30 3 12 2 2" xfId="30545"/>
    <cellStyle name="Normal 2 30 3 12 3" xfId="12214"/>
    <cellStyle name="Normal 2 30 3 12 3 2" xfId="30546"/>
    <cellStyle name="Normal 2 30 3 12 4" xfId="12215"/>
    <cellStyle name="Normal 2 30 3 12 4 2" xfId="30547"/>
    <cellStyle name="Normal 2 30 3 12 5" xfId="12216"/>
    <cellStyle name="Normal 2 30 3 12 5 2" xfId="30548"/>
    <cellStyle name="Normal 2 30 3 12 6" xfId="30544"/>
    <cellStyle name="Normal 2 30 3 13" xfId="12217"/>
    <cellStyle name="Normal 2 30 3 13 2" xfId="12218"/>
    <cellStyle name="Normal 2 30 3 13 2 2" xfId="30550"/>
    <cellStyle name="Normal 2 30 3 13 3" xfId="12219"/>
    <cellStyle name="Normal 2 30 3 13 3 2" xfId="30551"/>
    <cellStyle name="Normal 2 30 3 13 4" xfId="12220"/>
    <cellStyle name="Normal 2 30 3 13 4 2" xfId="30552"/>
    <cellStyle name="Normal 2 30 3 13 5" xfId="12221"/>
    <cellStyle name="Normal 2 30 3 13 5 2" xfId="30553"/>
    <cellStyle name="Normal 2 30 3 13 6" xfId="30549"/>
    <cellStyle name="Normal 2 30 3 14" xfId="12222"/>
    <cellStyle name="Normal 2 30 3 14 2" xfId="12223"/>
    <cellStyle name="Normal 2 30 3 14 2 2" xfId="30555"/>
    <cellStyle name="Normal 2 30 3 14 3" xfId="12224"/>
    <cellStyle name="Normal 2 30 3 14 3 2" xfId="30556"/>
    <cellStyle name="Normal 2 30 3 14 4" xfId="12225"/>
    <cellStyle name="Normal 2 30 3 14 4 2" xfId="30557"/>
    <cellStyle name="Normal 2 30 3 14 5" xfId="12226"/>
    <cellStyle name="Normal 2 30 3 14 5 2" xfId="30558"/>
    <cellStyle name="Normal 2 30 3 14 6" xfId="30554"/>
    <cellStyle name="Normal 2 30 3 15" xfId="12227"/>
    <cellStyle name="Normal 2 30 3 15 2" xfId="12228"/>
    <cellStyle name="Normal 2 30 3 15 2 2" xfId="30560"/>
    <cellStyle name="Normal 2 30 3 15 3" xfId="12229"/>
    <cellStyle name="Normal 2 30 3 15 3 2" xfId="30561"/>
    <cellStyle name="Normal 2 30 3 15 4" xfId="12230"/>
    <cellStyle name="Normal 2 30 3 15 4 2" xfId="30562"/>
    <cellStyle name="Normal 2 30 3 15 5" xfId="12231"/>
    <cellStyle name="Normal 2 30 3 15 5 2" xfId="30563"/>
    <cellStyle name="Normal 2 30 3 15 6" xfId="30559"/>
    <cellStyle name="Normal 2 30 3 16" xfId="12232"/>
    <cellStyle name="Normal 2 30 3 16 2" xfId="12233"/>
    <cellStyle name="Normal 2 30 3 16 2 2" xfId="30565"/>
    <cellStyle name="Normal 2 30 3 16 3" xfId="12234"/>
    <cellStyle name="Normal 2 30 3 16 3 2" xfId="30566"/>
    <cellStyle name="Normal 2 30 3 16 4" xfId="12235"/>
    <cellStyle name="Normal 2 30 3 16 4 2" xfId="30567"/>
    <cellStyle name="Normal 2 30 3 16 5" xfId="12236"/>
    <cellStyle name="Normal 2 30 3 16 5 2" xfId="30568"/>
    <cellStyle name="Normal 2 30 3 16 6" xfId="30564"/>
    <cellStyle name="Normal 2 30 3 17" xfId="12237"/>
    <cellStyle name="Normal 2 30 3 17 2" xfId="30569"/>
    <cellStyle name="Normal 2 30 3 18" xfId="12238"/>
    <cellStyle name="Normal 2 30 3 18 2" xfId="30570"/>
    <cellStyle name="Normal 2 30 3 19" xfId="12239"/>
    <cellStyle name="Normal 2 30 3 19 2" xfId="30571"/>
    <cellStyle name="Normal 2 30 3 2" xfId="12240"/>
    <cellStyle name="Normal 2 30 3 2 10" xfId="12241"/>
    <cellStyle name="Normal 2 30 3 2 10 2" xfId="30573"/>
    <cellStyle name="Normal 2 30 3 2 11" xfId="12242"/>
    <cellStyle name="Normal 2 30 3 2 11 2" xfId="30574"/>
    <cellStyle name="Normal 2 30 3 2 12" xfId="30572"/>
    <cellStyle name="Normal 2 30 3 2 2" xfId="12243"/>
    <cellStyle name="Normal 2 30 3 2 2 2" xfId="12244"/>
    <cellStyle name="Normal 2 30 3 2 2 2 2" xfId="30576"/>
    <cellStyle name="Normal 2 30 3 2 2 3" xfId="12245"/>
    <cellStyle name="Normal 2 30 3 2 2 3 2" xfId="30577"/>
    <cellStyle name="Normal 2 30 3 2 2 4" xfId="12246"/>
    <cellStyle name="Normal 2 30 3 2 2 4 2" xfId="30578"/>
    <cellStyle name="Normal 2 30 3 2 2 5" xfId="12247"/>
    <cellStyle name="Normal 2 30 3 2 2 5 2" xfId="30579"/>
    <cellStyle name="Normal 2 30 3 2 2 6" xfId="30575"/>
    <cellStyle name="Normal 2 30 3 2 3" xfId="12248"/>
    <cellStyle name="Normal 2 30 3 2 3 2" xfId="12249"/>
    <cellStyle name="Normal 2 30 3 2 3 2 2" xfId="30581"/>
    <cellStyle name="Normal 2 30 3 2 3 3" xfId="12250"/>
    <cellStyle name="Normal 2 30 3 2 3 3 2" xfId="30582"/>
    <cellStyle name="Normal 2 30 3 2 3 4" xfId="12251"/>
    <cellStyle name="Normal 2 30 3 2 3 4 2" xfId="30583"/>
    <cellStyle name="Normal 2 30 3 2 3 5" xfId="12252"/>
    <cellStyle name="Normal 2 30 3 2 3 5 2" xfId="30584"/>
    <cellStyle name="Normal 2 30 3 2 3 6" xfId="30580"/>
    <cellStyle name="Normal 2 30 3 2 4" xfId="12253"/>
    <cellStyle name="Normal 2 30 3 2 4 2" xfId="12254"/>
    <cellStyle name="Normal 2 30 3 2 4 2 2" xfId="30586"/>
    <cellStyle name="Normal 2 30 3 2 4 3" xfId="12255"/>
    <cellStyle name="Normal 2 30 3 2 4 3 2" xfId="30587"/>
    <cellStyle name="Normal 2 30 3 2 4 4" xfId="12256"/>
    <cellStyle name="Normal 2 30 3 2 4 4 2" xfId="30588"/>
    <cellStyle name="Normal 2 30 3 2 4 5" xfId="12257"/>
    <cellStyle name="Normal 2 30 3 2 4 5 2" xfId="30589"/>
    <cellStyle name="Normal 2 30 3 2 4 6" xfId="30585"/>
    <cellStyle name="Normal 2 30 3 2 5" xfId="12258"/>
    <cellStyle name="Normal 2 30 3 2 5 2" xfId="12259"/>
    <cellStyle name="Normal 2 30 3 2 5 2 2" xfId="30591"/>
    <cellStyle name="Normal 2 30 3 2 5 3" xfId="12260"/>
    <cellStyle name="Normal 2 30 3 2 5 3 2" xfId="30592"/>
    <cellStyle name="Normal 2 30 3 2 5 4" xfId="12261"/>
    <cellStyle name="Normal 2 30 3 2 5 4 2" xfId="30593"/>
    <cellStyle name="Normal 2 30 3 2 5 5" xfId="12262"/>
    <cellStyle name="Normal 2 30 3 2 5 5 2" xfId="30594"/>
    <cellStyle name="Normal 2 30 3 2 5 6" xfId="30590"/>
    <cellStyle name="Normal 2 30 3 2 6" xfId="12263"/>
    <cellStyle name="Normal 2 30 3 2 6 2" xfId="12264"/>
    <cellStyle name="Normal 2 30 3 2 6 2 2" xfId="30596"/>
    <cellStyle name="Normal 2 30 3 2 6 3" xfId="12265"/>
    <cellStyle name="Normal 2 30 3 2 6 3 2" xfId="30597"/>
    <cellStyle name="Normal 2 30 3 2 6 4" xfId="12266"/>
    <cellStyle name="Normal 2 30 3 2 6 4 2" xfId="30598"/>
    <cellStyle name="Normal 2 30 3 2 6 5" xfId="12267"/>
    <cellStyle name="Normal 2 30 3 2 6 5 2" xfId="30599"/>
    <cellStyle name="Normal 2 30 3 2 6 6" xfId="30595"/>
    <cellStyle name="Normal 2 30 3 2 7" xfId="12268"/>
    <cellStyle name="Normal 2 30 3 2 7 2" xfId="12269"/>
    <cellStyle name="Normal 2 30 3 2 7 2 2" xfId="30601"/>
    <cellStyle name="Normal 2 30 3 2 7 3" xfId="12270"/>
    <cellStyle name="Normal 2 30 3 2 7 3 2" xfId="30602"/>
    <cellStyle name="Normal 2 30 3 2 7 4" xfId="12271"/>
    <cellStyle name="Normal 2 30 3 2 7 4 2" xfId="30603"/>
    <cellStyle name="Normal 2 30 3 2 7 5" xfId="12272"/>
    <cellStyle name="Normal 2 30 3 2 7 5 2" xfId="30604"/>
    <cellStyle name="Normal 2 30 3 2 7 6" xfId="30600"/>
    <cellStyle name="Normal 2 30 3 2 8" xfId="12273"/>
    <cellStyle name="Normal 2 30 3 2 8 2" xfId="30605"/>
    <cellStyle name="Normal 2 30 3 2 9" xfId="12274"/>
    <cellStyle name="Normal 2 30 3 2 9 2" xfId="30606"/>
    <cellStyle name="Normal 2 30 3 20" xfId="12275"/>
    <cellStyle name="Normal 2 30 3 20 2" xfId="30607"/>
    <cellStyle name="Normal 2 30 3 21" xfId="30533"/>
    <cellStyle name="Normal 2 30 3 3" xfId="12276"/>
    <cellStyle name="Normal 2 30 3 3 2" xfId="12277"/>
    <cellStyle name="Normal 2 30 3 3 2 2" xfId="12278"/>
    <cellStyle name="Normal 2 30 3 3 2 2 2" xfId="30610"/>
    <cellStyle name="Normal 2 30 3 3 2 3" xfId="12279"/>
    <cellStyle name="Normal 2 30 3 3 2 3 2" xfId="30611"/>
    <cellStyle name="Normal 2 30 3 3 2 4" xfId="12280"/>
    <cellStyle name="Normal 2 30 3 3 2 4 2" xfId="30612"/>
    <cellStyle name="Normal 2 30 3 3 2 5" xfId="12281"/>
    <cellStyle name="Normal 2 30 3 3 2 5 2" xfId="30613"/>
    <cellStyle name="Normal 2 30 3 3 2 6" xfId="30609"/>
    <cellStyle name="Normal 2 30 3 3 3" xfId="12282"/>
    <cellStyle name="Normal 2 30 3 3 3 2" xfId="30614"/>
    <cellStyle name="Normal 2 30 3 3 4" xfId="12283"/>
    <cellStyle name="Normal 2 30 3 3 4 2" xfId="30615"/>
    <cellStyle name="Normal 2 30 3 3 5" xfId="12284"/>
    <cellStyle name="Normal 2 30 3 3 5 2" xfId="30616"/>
    <cellStyle name="Normal 2 30 3 3 6" xfId="12285"/>
    <cellStyle name="Normal 2 30 3 3 6 2" xfId="30617"/>
    <cellStyle name="Normal 2 30 3 3 7" xfId="30608"/>
    <cellStyle name="Normal 2 30 3 4" xfId="12286"/>
    <cellStyle name="Normal 2 30 3 4 2" xfId="12287"/>
    <cellStyle name="Normal 2 30 3 4 2 2" xfId="12288"/>
    <cellStyle name="Normal 2 30 3 4 2 2 2" xfId="30620"/>
    <cellStyle name="Normal 2 30 3 4 2 3" xfId="12289"/>
    <cellStyle name="Normal 2 30 3 4 2 3 2" xfId="30621"/>
    <cellStyle name="Normal 2 30 3 4 2 4" xfId="12290"/>
    <cellStyle name="Normal 2 30 3 4 2 4 2" xfId="30622"/>
    <cellStyle name="Normal 2 30 3 4 2 5" xfId="12291"/>
    <cellStyle name="Normal 2 30 3 4 2 5 2" xfId="30623"/>
    <cellStyle name="Normal 2 30 3 4 2 6" xfId="30619"/>
    <cellStyle name="Normal 2 30 3 4 3" xfId="12292"/>
    <cellStyle name="Normal 2 30 3 4 3 2" xfId="30624"/>
    <cellStyle name="Normal 2 30 3 4 4" xfId="12293"/>
    <cellStyle name="Normal 2 30 3 4 4 2" xfId="30625"/>
    <cellStyle name="Normal 2 30 3 4 5" xfId="12294"/>
    <cellStyle name="Normal 2 30 3 4 5 2" xfId="30626"/>
    <cellStyle name="Normal 2 30 3 4 6" xfId="12295"/>
    <cellStyle name="Normal 2 30 3 4 6 2" xfId="30627"/>
    <cellStyle name="Normal 2 30 3 4 7" xfId="30618"/>
    <cellStyle name="Normal 2 30 3 5" xfId="12296"/>
    <cellStyle name="Normal 2 30 3 5 2" xfId="12297"/>
    <cellStyle name="Normal 2 30 3 5 2 2" xfId="30629"/>
    <cellStyle name="Normal 2 30 3 5 3" xfId="12298"/>
    <cellStyle name="Normal 2 30 3 5 3 2" xfId="30630"/>
    <cellStyle name="Normal 2 30 3 5 4" xfId="12299"/>
    <cellStyle name="Normal 2 30 3 5 4 2" xfId="30631"/>
    <cellStyle name="Normal 2 30 3 5 5" xfId="12300"/>
    <cellStyle name="Normal 2 30 3 5 5 2" xfId="30632"/>
    <cellStyle name="Normal 2 30 3 5 6" xfId="30628"/>
    <cellStyle name="Normal 2 30 3 6" xfId="12301"/>
    <cellStyle name="Normal 2 30 3 6 2" xfId="12302"/>
    <cellStyle name="Normal 2 30 3 6 2 2" xfId="30634"/>
    <cellStyle name="Normal 2 30 3 6 3" xfId="12303"/>
    <cellStyle name="Normal 2 30 3 6 3 2" xfId="30635"/>
    <cellStyle name="Normal 2 30 3 6 4" xfId="12304"/>
    <cellStyle name="Normal 2 30 3 6 4 2" xfId="30636"/>
    <cellStyle name="Normal 2 30 3 6 5" xfId="12305"/>
    <cellStyle name="Normal 2 30 3 6 5 2" xfId="30637"/>
    <cellStyle name="Normal 2 30 3 6 6" xfId="30633"/>
    <cellStyle name="Normal 2 30 3 7" xfId="12306"/>
    <cellStyle name="Normal 2 30 3 7 2" xfId="12307"/>
    <cellStyle name="Normal 2 30 3 7 2 2" xfId="30639"/>
    <cellStyle name="Normal 2 30 3 7 3" xfId="12308"/>
    <cellStyle name="Normal 2 30 3 7 3 2" xfId="30640"/>
    <cellStyle name="Normal 2 30 3 7 4" xfId="12309"/>
    <cellStyle name="Normal 2 30 3 7 4 2" xfId="30641"/>
    <cellStyle name="Normal 2 30 3 7 5" xfId="12310"/>
    <cellStyle name="Normal 2 30 3 7 5 2" xfId="30642"/>
    <cellStyle name="Normal 2 30 3 7 6" xfId="30638"/>
    <cellStyle name="Normal 2 30 3 8" xfId="12311"/>
    <cellStyle name="Normal 2 30 3 8 2" xfId="12312"/>
    <cellStyle name="Normal 2 30 3 8 2 2" xfId="30644"/>
    <cellStyle name="Normal 2 30 3 8 3" xfId="12313"/>
    <cellStyle name="Normal 2 30 3 8 3 2" xfId="30645"/>
    <cellStyle name="Normal 2 30 3 8 4" xfId="12314"/>
    <cellStyle name="Normal 2 30 3 8 4 2" xfId="30646"/>
    <cellStyle name="Normal 2 30 3 8 5" xfId="12315"/>
    <cellStyle name="Normal 2 30 3 8 5 2" xfId="30647"/>
    <cellStyle name="Normal 2 30 3 8 6" xfId="30643"/>
    <cellStyle name="Normal 2 30 3 9" xfId="12316"/>
    <cellStyle name="Normal 2 30 3 9 2" xfId="12317"/>
    <cellStyle name="Normal 2 30 3 9 2 2" xfId="30649"/>
    <cellStyle name="Normal 2 30 3 9 3" xfId="12318"/>
    <cellStyle name="Normal 2 30 3 9 3 2" xfId="30650"/>
    <cellStyle name="Normal 2 30 3 9 4" xfId="12319"/>
    <cellStyle name="Normal 2 30 3 9 4 2" xfId="30651"/>
    <cellStyle name="Normal 2 30 3 9 5" xfId="12320"/>
    <cellStyle name="Normal 2 30 3 9 5 2" xfId="30652"/>
    <cellStyle name="Normal 2 30 3 9 6" xfId="30648"/>
    <cellStyle name="Normal 2 30 4" xfId="12321"/>
    <cellStyle name="Normal 2 30 4 10" xfId="12322"/>
    <cellStyle name="Normal 2 30 4 10 2" xfId="12323"/>
    <cellStyle name="Normal 2 30 4 10 2 2" xfId="30655"/>
    <cellStyle name="Normal 2 30 4 10 3" xfId="12324"/>
    <cellStyle name="Normal 2 30 4 10 3 2" xfId="30656"/>
    <cellStyle name="Normal 2 30 4 10 4" xfId="12325"/>
    <cellStyle name="Normal 2 30 4 10 4 2" xfId="30657"/>
    <cellStyle name="Normal 2 30 4 10 5" xfId="12326"/>
    <cellStyle name="Normal 2 30 4 10 5 2" xfId="30658"/>
    <cellStyle name="Normal 2 30 4 10 6" xfId="30654"/>
    <cellStyle name="Normal 2 30 4 11" xfId="12327"/>
    <cellStyle name="Normal 2 30 4 11 2" xfId="12328"/>
    <cellStyle name="Normal 2 30 4 11 2 2" xfId="30660"/>
    <cellStyle name="Normal 2 30 4 11 3" xfId="12329"/>
    <cellStyle name="Normal 2 30 4 11 3 2" xfId="30661"/>
    <cellStyle name="Normal 2 30 4 11 4" xfId="12330"/>
    <cellStyle name="Normal 2 30 4 11 4 2" xfId="30662"/>
    <cellStyle name="Normal 2 30 4 11 5" xfId="12331"/>
    <cellStyle name="Normal 2 30 4 11 5 2" xfId="30663"/>
    <cellStyle name="Normal 2 30 4 11 6" xfId="30659"/>
    <cellStyle name="Normal 2 30 4 12" xfId="12332"/>
    <cellStyle name="Normal 2 30 4 12 2" xfId="12333"/>
    <cellStyle name="Normal 2 30 4 12 2 2" xfId="30665"/>
    <cellStyle name="Normal 2 30 4 12 3" xfId="12334"/>
    <cellStyle name="Normal 2 30 4 12 3 2" xfId="30666"/>
    <cellStyle name="Normal 2 30 4 12 4" xfId="12335"/>
    <cellStyle name="Normal 2 30 4 12 4 2" xfId="30667"/>
    <cellStyle name="Normal 2 30 4 12 5" xfId="12336"/>
    <cellStyle name="Normal 2 30 4 12 5 2" xfId="30668"/>
    <cellStyle name="Normal 2 30 4 12 6" xfId="30664"/>
    <cellStyle name="Normal 2 30 4 13" xfId="12337"/>
    <cellStyle name="Normal 2 30 4 13 2" xfId="12338"/>
    <cellStyle name="Normal 2 30 4 13 2 2" xfId="30670"/>
    <cellStyle name="Normal 2 30 4 13 3" xfId="12339"/>
    <cellStyle name="Normal 2 30 4 13 3 2" xfId="30671"/>
    <cellStyle name="Normal 2 30 4 13 4" xfId="12340"/>
    <cellStyle name="Normal 2 30 4 13 4 2" xfId="30672"/>
    <cellStyle name="Normal 2 30 4 13 5" xfId="12341"/>
    <cellStyle name="Normal 2 30 4 13 5 2" xfId="30673"/>
    <cellStyle name="Normal 2 30 4 13 6" xfId="30669"/>
    <cellStyle name="Normal 2 30 4 14" xfId="12342"/>
    <cellStyle name="Normal 2 30 4 14 2" xfId="12343"/>
    <cellStyle name="Normal 2 30 4 14 2 2" xfId="30675"/>
    <cellStyle name="Normal 2 30 4 14 3" xfId="12344"/>
    <cellStyle name="Normal 2 30 4 14 3 2" xfId="30676"/>
    <cellStyle name="Normal 2 30 4 14 4" xfId="12345"/>
    <cellStyle name="Normal 2 30 4 14 4 2" xfId="30677"/>
    <cellStyle name="Normal 2 30 4 14 5" xfId="12346"/>
    <cellStyle name="Normal 2 30 4 14 5 2" xfId="30678"/>
    <cellStyle name="Normal 2 30 4 14 6" xfId="30674"/>
    <cellStyle name="Normal 2 30 4 15" xfId="12347"/>
    <cellStyle name="Normal 2 30 4 15 2" xfId="12348"/>
    <cellStyle name="Normal 2 30 4 15 2 2" xfId="30680"/>
    <cellStyle name="Normal 2 30 4 15 3" xfId="12349"/>
    <cellStyle name="Normal 2 30 4 15 3 2" xfId="30681"/>
    <cellStyle name="Normal 2 30 4 15 4" xfId="12350"/>
    <cellStyle name="Normal 2 30 4 15 4 2" xfId="30682"/>
    <cellStyle name="Normal 2 30 4 15 5" xfId="12351"/>
    <cellStyle name="Normal 2 30 4 15 5 2" xfId="30683"/>
    <cellStyle name="Normal 2 30 4 15 6" xfId="30679"/>
    <cellStyle name="Normal 2 30 4 16" xfId="12352"/>
    <cellStyle name="Normal 2 30 4 16 2" xfId="12353"/>
    <cellStyle name="Normal 2 30 4 16 2 2" xfId="30685"/>
    <cellStyle name="Normal 2 30 4 16 3" xfId="12354"/>
    <cellStyle name="Normal 2 30 4 16 3 2" xfId="30686"/>
    <cellStyle name="Normal 2 30 4 16 4" xfId="12355"/>
    <cellStyle name="Normal 2 30 4 16 4 2" xfId="30687"/>
    <cellStyle name="Normal 2 30 4 16 5" xfId="12356"/>
    <cellStyle name="Normal 2 30 4 16 5 2" xfId="30688"/>
    <cellStyle name="Normal 2 30 4 16 6" xfId="30684"/>
    <cellStyle name="Normal 2 30 4 17" xfId="12357"/>
    <cellStyle name="Normal 2 30 4 17 2" xfId="30689"/>
    <cellStyle name="Normal 2 30 4 18" xfId="12358"/>
    <cellStyle name="Normal 2 30 4 18 2" xfId="30690"/>
    <cellStyle name="Normal 2 30 4 19" xfId="12359"/>
    <cellStyle name="Normal 2 30 4 19 2" xfId="30691"/>
    <cellStyle name="Normal 2 30 4 2" xfId="12360"/>
    <cellStyle name="Normal 2 30 4 2 10" xfId="12361"/>
    <cellStyle name="Normal 2 30 4 2 10 2" xfId="30693"/>
    <cellStyle name="Normal 2 30 4 2 11" xfId="12362"/>
    <cellStyle name="Normal 2 30 4 2 11 2" xfId="30694"/>
    <cellStyle name="Normal 2 30 4 2 12" xfId="30692"/>
    <cellStyle name="Normal 2 30 4 2 2" xfId="12363"/>
    <cellStyle name="Normal 2 30 4 2 2 2" xfId="12364"/>
    <cellStyle name="Normal 2 30 4 2 2 2 2" xfId="30696"/>
    <cellStyle name="Normal 2 30 4 2 2 3" xfId="12365"/>
    <cellStyle name="Normal 2 30 4 2 2 3 2" xfId="30697"/>
    <cellStyle name="Normal 2 30 4 2 2 4" xfId="12366"/>
    <cellStyle name="Normal 2 30 4 2 2 4 2" xfId="30698"/>
    <cellStyle name="Normal 2 30 4 2 2 5" xfId="12367"/>
    <cellStyle name="Normal 2 30 4 2 2 5 2" xfId="30699"/>
    <cellStyle name="Normal 2 30 4 2 2 6" xfId="30695"/>
    <cellStyle name="Normal 2 30 4 2 3" xfId="12368"/>
    <cellStyle name="Normal 2 30 4 2 3 2" xfId="12369"/>
    <cellStyle name="Normal 2 30 4 2 3 2 2" xfId="30701"/>
    <cellStyle name="Normal 2 30 4 2 3 3" xfId="12370"/>
    <cellStyle name="Normal 2 30 4 2 3 3 2" xfId="30702"/>
    <cellStyle name="Normal 2 30 4 2 3 4" xfId="12371"/>
    <cellStyle name="Normal 2 30 4 2 3 4 2" xfId="30703"/>
    <cellStyle name="Normal 2 30 4 2 3 5" xfId="12372"/>
    <cellStyle name="Normal 2 30 4 2 3 5 2" xfId="30704"/>
    <cellStyle name="Normal 2 30 4 2 3 6" xfId="30700"/>
    <cellStyle name="Normal 2 30 4 2 4" xfId="12373"/>
    <cellStyle name="Normal 2 30 4 2 4 2" xfId="12374"/>
    <cellStyle name="Normal 2 30 4 2 4 2 2" xfId="30706"/>
    <cellStyle name="Normal 2 30 4 2 4 3" xfId="12375"/>
    <cellStyle name="Normal 2 30 4 2 4 3 2" xfId="30707"/>
    <cellStyle name="Normal 2 30 4 2 4 4" xfId="12376"/>
    <cellStyle name="Normal 2 30 4 2 4 4 2" xfId="30708"/>
    <cellStyle name="Normal 2 30 4 2 4 5" xfId="12377"/>
    <cellStyle name="Normal 2 30 4 2 4 5 2" xfId="30709"/>
    <cellStyle name="Normal 2 30 4 2 4 6" xfId="30705"/>
    <cellStyle name="Normal 2 30 4 2 5" xfId="12378"/>
    <cellStyle name="Normal 2 30 4 2 5 2" xfId="12379"/>
    <cellStyle name="Normal 2 30 4 2 5 2 2" xfId="30711"/>
    <cellStyle name="Normal 2 30 4 2 5 3" xfId="12380"/>
    <cellStyle name="Normal 2 30 4 2 5 3 2" xfId="30712"/>
    <cellStyle name="Normal 2 30 4 2 5 4" xfId="12381"/>
    <cellStyle name="Normal 2 30 4 2 5 4 2" xfId="30713"/>
    <cellStyle name="Normal 2 30 4 2 5 5" xfId="12382"/>
    <cellStyle name="Normal 2 30 4 2 5 5 2" xfId="30714"/>
    <cellStyle name="Normal 2 30 4 2 5 6" xfId="30710"/>
    <cellStyle name="Normal 2 30 4 2 6" xfId="12383"/>
    <cellStyle name="Normal 2 30 4 2 6 2" xfId="12384"/>
    <cellStyle name="Normal 2 30 4 2 6 2 2" xfId="30716"/>
    <cellStyle name="Normal 2 30 4 2 6 3" xfId="12385"/>
    <cellStyle name="Normal 2 30 4 2 6 3 2" xfId="30717"/>
    <cellStyle name="Normal 2 30 4 2 6 4" xfId="12386"/>
    <cellStyle name="Normal 2 30 4 2 6 4 2" xfId="30718"/>
    <cellStyle name="Normal 2 30 4 2 6 5" xfId="12387"/>
    <cellStyle name="Normal 2 30 4 2 6 5 2" xfId="30719"/>
    <cellStyle name="Normal 2 30 4 2 6 6" xfId="30715"/>
    <cellStyle name="Normal 2 30 4 2 7" xfId="12388"/>
    <cellStyle name="Normal 2 30 4 2 7 2" xfId="12389"/>
    <cellStyle name="Normal 2 30 4 2 7 2 2" xfId="30721"/>
    <cellStyle name="Normal 2 30 4 2 7 3" xfId="12390"/>
    <cellStyle name="Normal 2 30 4 2 7 3 2" xfId="30722"/>
    <cellStyle name="Normal 2 30 4 2 7 4" xfId="12391"/>
    <cellStyle name="Normal 2 30 4 2 7 4 2" xfId="30723"/>
    <cellStyle name="Normal 2 30 4 2 7 5" xfId="12392"/>
    <cellStyle name="Normal 2 30 4 2 7 5 2" xfId="30724"/>
    <cellStyle name="Normal 2 30 4 2 7 6" xfId="30720"/>
    <cellStyle name="Normal 2 30 4 2 8" xfId="12393"/>
    <cellStyle name="Normal 2 30 4 2 8 2" xfId="30725"/>
    <cellStyle name="Normal 2 30 4 2 9" xfId="12394"/>
    <cellStyle name="Normal 2 30 4 2 9 2" xfId="30726"/>
    <cellStyle name="Normal 2 30 4 20" xfId="12395"/>
    <cellStyle name="Normal 2 30 4 20 2" xfId="30727"/>
    <cellStyle name="Normal 2 30 4 21" xfId="30653"/>
    <cellStyle name="Normal 2 30 4 3" xfId="12396"/>
    <cellStyle name="Normal 2 30 4 3 2" xfId="12397"/>
    <cellStyle name="Normal 2 30 4 3 2 2" xfId="12398"/>
    <cellStyle name="Normal 2 30 4 3 2 2 2" xfId="30730"/>
    <cellStyle name="Normal 2 30 4 3 2 3" xfId="12399"/>
    <cellStyle name="Normal 2 30 4 3 2 3 2" xfId="30731"/>
    <cellStyle name="Normal 2 30 4 3 2 4" xfId="12400"/>
    <cellStyle name="Normal 2 30 4 3 2 4 2" xfId="30732"/>
    <cellStyle name="Normal 2 30 4 3 2 5" xfId="12401"/>
    <cellStyle name="Normal 2 30 4 3 2 5 2" xfId="30733"/>
    <cellStyle name="Normal 2 30 4 3 2 6" xfId="30729"/>
    <cellStyle name="Normal 2 30 4 3 3" xfId="12402"/>
    <cellStyle name="Normal 2 30 4 3 3 2" xfId="30734"/>
    <cellStyle name="Normal 2 30 4 3 4" xfId="12403"/>
    <cellStyle name="Normal 2 30 4 3 4 2" xfId="30735"/>
    <cellStyle name="Normal 2 30 4 3 5" xfId="12404"/>
    <cellStyle name="Normal 2 30 4 3 5 2" xfId="30736"/>
    <cellStyle name="Normal 2 30 4 3 6" xfId="12405"/>
    <cellStyle name="Normal 2 30 4 3 6 2" xfId="30737"/>
    <cellStyle name="Normal 2 30 4 3 7" xfId="30728"/>
    <cellStyle name="Normal 2 30 4 4" xfId="12406"/>
    <cellStyle name="Normal 2 30 4 4 2" xfId="12407"/>
    <cellStyle name="Normal 2 30 4 4 2 2" xfId="12408"/>
    <cellStyle name="Normal 2 30 4 4 2 2 2" xfId="30740"/>
    <cellStyle name="Normal 2 30 4 4 2 3" xfId="12409"/>
    <cellStyle name="Normal 2 30 4 4 2 3 2" xfId="30741"/>
    <cellStyle name="Normal 2 30 4 4 2 4" xfId="12410"/>
    <cellStyle name="Normal 2 30 4 4 2 4 2" xfId="30742"/>
    <cellStyle name="Normal 2 30 4 4 2 5" xfId="12411"/>
    <cellStyle name="Normal 2 30 4 4 2 5 2" xfId="30743"/>
    <cellStyle name="Normal 2 30 4 4 2 6" xfId="30739"/>
    <cellStyle name="Normal 2 30 4 4 3" xfId="12412"/>
    <cellStyle name="Normal 2 30 4 4 3 2" xfId="30744"/>
    <cellStyle name="Normal 2 30 4 4 4" xfId="12413"/>
    <cellStyle name="Normal 2 30 4 4 4 2" xfId="30745"/>
    <cellStyle name="Normal 2 30 4 4 5" xfId="12414"/>
    <cellStyle name="Normal 2 30 4 4 5 2" xfId="30746"/>
    <cellStyle name="Normal 2 30 4 4 6" xfId="12415"/>
    <cellStyle name="Normal 2 30 4 4 6 2" xfId="30747"/>
    <cellStyle name="Normal 2 30 4 4 7" xfId="30738"/>
    <cellStyle name="Normal 2 30 4 5" xfId="12416"/>
    <cellStyle name="Normal 2 30 4 5 2" xfId="12417"/>
    <cellStyle name="Normal 2 30 4 5 2 2" xfId="30749"/>
    <cellStyle name="Normal 2 30 4 5 3" xfId="12418"/>
    <cellStyle name="Normal 2 30 4 5 3 2" xfId="30750"/>
    <cellStyle name="Normal 2 30 4 5 4" xfId="12419"/>
    <cellStyle name="Normal 2 30 4 5 4 2" xfId="30751"/>
    <cellStyle name="Normal 2 30 4 5 5" xfId="12420"/>
    <cellStyle name="Normal 2 30 4 5 5 2" xfId="30752"/>
    <cellStyle name="Normal 2 30 4 5 6" xfId="30748"/>
    <cellStyle name="Normal 2 30 4 6" xfId="12421"/>
    <cellStyle name="Normal 2 30 4 6 2" xfId="12422"/>
    <cellStyle name="Normal 2 30 4 6 2 2" xfId="30754"/>
    <cellStyle name="Normal 2 30 4 6 3" xfId="12423"/>
    <cellStyle name="Normal 2 30 4 6 3 2" xfId="30755"/>
    <cellStyle name="Normal 2 30 4 6 4" xfId="12424"/>
    <cellStyle name="Normal 2 30 4 6 4 2" xfId="30756"/>
    <cellStyle name="Normal 2 30 4 6 5" xfId="12425"/>
    <cellStyle name="Normal 2 30 4 6 5 2" xfId="30757"/>
    <cellStyle name="Normal 2 30 4 6 6" xfId="30753"/>
    <cellStyle name="Normal 2 30 4 7" xfId="12426"/>
    <cellStyle name="Normal 2 30 4 7 2" xfId="12427"/>
    <cellStyle name="Normal 2 30 4 7 2 2" xfId="30759"/>
    <cellStyle name="Normal 2 30 4 7 3" xfId="12428"/>
    <cellStyle name="Normal 2 30 4 7 3 2" xfId="30760"/>
    <cellStyle name="Normal 2 30 4 7 4" xfId="12429"/>
    <cellStyle name="Normal 2 30 4 7 4 2" xfId="30761"/>
    <cellStyle name="Normal 2 30 4 7 5" xfId="12430"/>
    <cellStyle name="Normal 2 30 4 7 5 2" xfId="30762"/>
    <cellStyle name="Normal 2 30 4 7 6" xfId="30758"/>
    <cellStyle name="Normal 2 30 4 8" xfId="12431"/>
    <cellStyle name="Normal 2 30 4 8 2" xfId="12432"/>
    <cellStyle name="Normal 2 30 4 8 2 2" xfId="30764"/>
    <cellStyle name="Normal 2 30 4 8 3" xfId="12433"/>
    <cellStyle name="Normal 2 30 4 8 3 2" xfId="30765"/>
    <cellStyle name="Normal 2 30 4 8 4" xfId="12434"/>
    <cellStyle name="Normal 2 30 4 8 4 2" xfId="30766"/>
    <cellStyle name="Normal 2 30 4 8 5" xfId="12435"/>
    <cellStyle name="Normal 2 30 4 8 5 2" xfId="30767"/>
    <cellStyle name="Normal 2 30 4 8 6" xfId="30763"/>
    <cellStyle name="Normal 2 30 4 9" xfId="12436"/>
    <cellStyle name="Normal 2 30 4 9 2" xfId="12437"/>
    <cellStyle name="Normal 2 30 4 9 2 2" xfId="30769"/>
    <cellStyle name="Normal 2 30 4 9 3" xfId="12438"/>
    <cellStyle name="Normal 2 30 4 9 3 2" xfId="30770"/>
    <cellStyle name="Normal 2 30 4 9 4" xfId="12439"/>
    <cellStyle name="Normal 2 30 4 9 4 2" xfId="30771"/>
    <cellStyle name="Normal 2 30 4 9 5" xfId="12440"/>
    <cellStyle name="Normal 2 30 4 9 5 2" xfId="30772"/>
    <cellStyle name="Normal 2 30 4 9 6" xfId="30768"/>
    <cellStyle name="Normal 2 30 5" xfId="12441"/>
    <cellStyle name="Normal 2 30 5 10" xfId="12442"/>
    <cellStyle name="Normal 2 30 5 10 2" xfId="12443"/>
    <cellStyle name="Normal 2 30 5 10 2 2" xfId="30775"/>
    <cellStyle name="Normal 2 30 5 10 3" xfId="12444"/>
    <cellStyle name="Normal 2 30 5 10 3 2" xfId="30776"/>
    <cellStyle name="Normal 2 30 5 10 4" xfId="12445"/>
    <cellStyle name="Normal 2 30 5 10 4 2" xfId="30777"/>
    <cellStyle name="Normal 2 30 5 10 5" xfId="12446"/>
    <cellStyle name="Normal 2 30 5 10 5 2" xfId="30778"/>
    <cellStyle name="Normal 2 30 5 10 6" xfId="30774"/>
    <cellStyle name="Normal 2 30 5 11" xfId="12447"/>
    <cellStyle name="Normal 2 30 5 11 2" xfId="12448"/>
    <cellStyle name="Normal 2 30 5 11 2 2" xfId="30780"/>
    <cellStyle name="Normal 2 30 5 11 3" xfId="12449"/>
    <cellStyle name="Normal 2 30 5 11 3 2" xfId="30781"/>
    <cellStyle name="Normal 2 30 5 11 4" xfId="12450"/>
    <cellStyle name="Normal 2 30 5 11 4 2" xfId="30782"/>
    <cellStyle name="Normal 2 30 5 11 5" xfId="12451"/>
    <cellStyle name="Normal 2 30 5 11 5 2" xfId="30783"/>
    <cellStyle name="Normal 2 30 5 11 6" xfId="30779"/>
    <cellStyle name="Normal 2 30 5 12" xfId="12452"/>
    <cellStyle name="Normal 2 30 5 12 2" xfId="12453"/>
    <cellStyle name="Normal 2 30 5 12 2 2" xfId="30785"/>
    <cellStyle name="Normal 2 30 5 12 3" xfId="12454"/>
    <cellStyle name="Normal 2 30 5 12 3 2" xfId="30786"/>
    <cellStyle name="Normal 2 30 5 12 4" xfId="12455"/>
    <cellStyle name="Normal 2 30 5 12 4 2" xfId="30787"/>
    <cellStyle name="Normal 2 30 5 12 5" xfId="12456"/>
    <cellStyle name="Normal 2 30 5 12 5 2" xfId="30788"/>
    <cellStyle name="Normal 2 30 5 12 6" xfId="30784"/>
    <cellStyle name="Normal 2 30 5 13" xfId="12457"/>
    <cellStyle name="Normal 2 30 5 13 2" xfId="12458"/>
    <cellStyle name="Normal 2 30 5 13 2 2" xfId="30790"/>
    <cellStyle name="Normal 2 30 5 13 3" xfId="12459"/>
    <cellStyle name="Normal 2 30 5 13 3 2" xfId="30791"/>
    <cellStyle name="Normal 2 30 5 13 4" xfId="12460"/>
    <cellStyle name="Normal 2 30 5 13 4 2" xfId="30792"/>
    <cellStyle name="Normal 2 30 5 13 5" xfId="12461"/>
    <cellStyle name="Normal 2 30 5 13 5 2" xfId="30793"/>
    <cellStyle name="Normal 2 30 5 13 6" xfId="30789"/>
    <cellStyle name="Normal 2 30 5 14" xfId="12462"/>
    <cellStyle name="Normal 2 30 5 14 2" xfId="12463"/>
    <cellStyle name="Normal 2 30 5 14 2 2" xfId="30795"/>
    <cellStyle name="Normal 2 30 5 14 3" xfId="12464"/>
    <cellStyle name="Normal 2 30 5 14 3 2" xfId="30796"/>
    <cellStyle name="Normal 2 30 5 14 4" xfId="12465"/>
    <cellStyle name="Normal 2 30 5 14 4 2" xfId="30797"/>
    <cellStyle name="Normal 2 30 5 14 5" xfId="12466"/>
    <cellStyle name="Normal 2 30 5 14 5 2" xfId="30798"/>
    <cellStyle name="Normal 2 30 5 14 6" xfId="30794"/>
    <cellStyle name="Normal 2 30 5 15" xfId="12467"/>
    <cellStyle name="Normal 2 30 5 15 2" xfId="12468"/>
    <cellStyle name="Normal 2 30 5 15 2 2" xfId="30800"/>
    <cellStyle name="Normal 2 30 5 15 3" xfId="12469"/>
    <cellStyle name="Normal 2 30 5 15 3 2" xfId="30801"/>
    <cellStyle name="Normal 2 30 5 15 4" xfId="12470"/>
    <cellStyle name="Normal 2 30 5 15 4 2" xfId="30802"/>
    <cellStyle name="Normal 2 30 5 15 5" xfId="12471"/>
    <cellStyle name="Normal 2 30 5 15 5 2" xfId="30803"/>
    <cellStyle name="Normal 2 30 5 15 6" xfId="30799"/>
    <cellStyle name="Normal 2 30 5 16" xfId="12472"/>
    <cellStyle name="Normal 2 30 5 16 2" xfId="12473"/>
    <cellStyle name="Normal 2 30 5 16 2 2" xfId="30805"/>
    <cellStyle name="Normal 2 30 5 16 3" xfId="12474"/>
    <cellStyle name="Normal 2 30 5 16 3 2" xfId="30806"/>
    <cellStyle name="Normal 2 30 5 16 4" xfId="12475"/>
    <cellStyle name="Normal 2 30 5 16 4 2" xfId="30807"/>
    <cellStyle name="Normal 2 30 5 16 5" xfId="12476"/>
    <cellStyle name="Normal 2 30 5 16 5 2" xfId="30808"/>
    <cellStyle name="Normal 2 30 5 16 6" xfId="30804"/>
    <cellStyle name="Normal 2 30 5 17" xfId="12477"/>
    <cellStyle name="Normal 2 30 5 17 2" xfId="30809"/>
    <cellStyle name="Normal 2 30 5 18" xfId="12478"/>
    <cellStyle name="Normal 2 30 5 18 2" xfId="30810"/>
    <cellStyle name="Normal 2 30 5 19" xfId="12479"/>
    <cellStyle name="Normal 2 30 5 19 2" xfId="30811"/>
    <cellStyle name="Normal 2 30 5 2" xfId="12480"/>
    <cellStyle name="Normal 2 30 5 2 10" xfId="12481"/>
    <cellStyle name="Normal 2 30 5 2 10 2" xfId="30813"/>
    <cellStyle name="Normal 2 30 5 2 11" xfId="12482"/>
    <cellStyle name="Normal 2 30 5 2 11 2" xfId="30814"/>
    <cellStyle name="Normal 2 30 5 2 12" xfId="30812"/>
    <cellStyle name="Normal 2 30 5 2 2" xfId="12483"/>
    <cellStyle name="Normal 2 30 5 2 2 2" xfId="12484"/>
    <cellStyle name="Normal 2 30 5 2 2 2 2" xfId="30816"/>
    <cellStyle name="Normal 2 30 5 2 2 3" xfId="12485"/>
    <cellStyle name="Normal 2 30 5 2 2 3 2" xfId="30817"/>
    <cellStyle name="Normal 2 30 5 2 2 4" xfId="12486"/>
    <cellStyle name="Normal 2 30 5 2 2 4 2" xfId="30818"/>
    <cellStyle name="Normal 2 30 5 2 2 5" xfId="12487"/>
    <cellStyle name="Normal 2 30 5 2 2 5 2" xfId="30819"/>
    <cellStyle name="Normal 2 30 5 2 2 6" xfId="30815"/>
    <cellStyle name="Normal 2 30 5 2 3" xfId="12488"/>
    <cellStyle name="Normal 2 30 5 2 3 2" xfId="12489"/>
    <cellStyle name="Normal 2 30 5 2 3 2 2" xfId="30821"/>
    <cellStyle name="Normal 2 30 5 2 3 3" xfId="12490"/>
    <cellStyle name="Normal 2 30 5 2 3 3 2" xfId="30822"/>
    <cellStyle name="Normal 2 30 5 2 3 4" xfId="12491"/>
    <cellStyle name="Normal 2 30 5 2 3 4 2" xfId="30823"/>
    <cellStyle name="Normal 2 30 5 2 3 5" xfId="12492"/>
    <cellStyle name="Normal 2 30 5 2 3 5 2" xfId="30824"/>
    <cellStyle name="Normal 2 30 5 2 3 6" xfId="30820"/>
    <cellStyle name="Normal 2 30 5 2 4" xfId="12493"/>
    <cellStyle name="Normal 2 30 5 2 4 2" xfId="12494"/>
    <cellStyle name="Normal 2 30 5 2 4 2 2" xfId="30826"/>
    <cellStyle name="Normal 2 30 5 2 4 3" xfId="12495"/>
    <cellStyle name="Normal 2 30 5 2 4 3 2" xfId="30827"/>
    <cellStyle name="Normal 2 30 5 2 4 4" xfId="12496"/>
    <cellStyle name="Normal 2 30 5 2 4 4 2" xfId="30828"/>
    <cellStyle name="Normal 2 30 5 2 4 5" xfId="12497"/>
    <cellStyle name="Normal 2 30 5 2 4 5 2" xfId="30829"/>
    <cellStyle name="Normal 2 30 5 2 4 6" xfId="30825"/>
    <cellStyle name="Normal 2 30 5 2 5" xfId="12498"/>
    <cellStyle name="Normal 2 30 5 2 5 2" xfId="12499"/>
    <cellStyle name="Normal 2 30 5 2 5 2 2" xfId="30831"/>
    <cellStyle name="Normal 2 30 5 2 5 3" xfId="12500"/>
    <cellStyle name="Normal 2 30 5 2 5 3 2" xfId="30832"/>
    <cellStyle name="Normal 2 30 5 2 5 4" xfId="12501"/>
    <cellStyle name="Normal 2 30 5 2 5 4 2" xfId="30833"/>
    <cellStyle name="Normal 2 30 5 2 5 5" xfId="12502"/>
    <cellStyle name="Normal 2 30 5 2 5 5 2" xfId="30834"/>
    <cellStyle name="Normal 2 30 5 2 5 6" xfId="30830"/>
    <cellStyle name="Normal 2 30 5 2 6" xfId="12503"/>
    <cellStyle name="Normal 2 30 5 2 6 2" xfId="12504"/>
    <cellStyle name="Normal 2 30 5 2 6 2 2" xfId="30836"/>
    <cellStyle name="Normal 2 30 5 2 6 3" xfId="12505"/>
    <cellStyle name="Normal 2 30 5 2 6 3 2" xfId="30837"/>
    <cellStyle name="Normal 2 30 5 2 6 4" xfId="12506"/>
    <cellStyle name="Normal 2 30 5 2 6 4 2" xfId="30838"/>
    <cellStyle name="Normal 2 30 5 2 6 5" xfId="12507"/>
    <cellStyle name="Normal 2 30 5 2 6 5 2" xfId="30839"/>
    <cellStyle name="Normal 2 30 5 2 6 6" xfId="30835"/>
    <cellStyle name="Normal 2 30 5 2 7" xfId="12508"/>
    <cellStyle name="Normal 2 30 5 2 7 2" xfId="12509"/>
    <cellStyle name="Normal 2 30 5 2 7 2 2" xfId="30841"/>
    <cellStyle name="Normal 2 30 5 2 7 3" xfId="12510"/>
    <cellStyle name="Normal 2 30 5 2 7 3 2" xfId="30842"/>
    <cellStyle name="Normal 2 30 5 2 7 4" xfId="12511"/>
    <cellStyle name="Normal 2 30 5 2 7 4 2" xfId="30843"/>
    <cellStyle name="Normal 2 30 5 2 7 5" xfId="12512"/>
    <cellStyle name="Normal 2 30 5 2 7 5 2" xfId="30844"/>
    <cellStyle name="Normal 2 30 5 2 7 6" xfId="30840"/>
    <cellStyle name="Normal 2 30 5 2 8" xfId="12513"/>
    <cellStyle name="Normal 2 30 5 2 8 2" xfId="30845"/>
    <cellStyle name="Normal 2 30 5 2 9" xfId="12514"/>
    <cellStyle name="Normal 2 30 5 2 9 2" xfId="30846"/>
    <cellStyle name="Normal 2 30 5 20" xfId="12515"/>
    <cellStyle name="Normal 2 30 5 20 2" xfId="30847"/>
    <cellStyle name="Normal 2 30 5 21" xfId="30773"/>
    <cellStyle name="Normal 2 30 5 3" xfId="12516"/>
    <cellStyle name="Normal 2 30 5 3 2" xfId="12517"/>
    <cellStyle name="Normal 2 30 5 3 2 2" xfId="12518"/>
    <cellStyle name="Normal 2 30 5 3 2 2 2" xfId="30850"/>
    <cellStyle name="Normal 2 30 5 3 2 3" xfId="12519"/>
    <cellStyle name="Normal 2 30 5 3 2 3 2" xfId="30851"/>
    <cellStyle name="Normal 2 30 5 3 2 4" xfId="12520"/>
    <cellStyle name="Normal 2 30 5 3 2 4 2" xfId="30852"/>
    <cellStyle name="Normal 2 30 5 3 2 5" xfId="12521"/>
    <cellStyle name="Normal 2 30 5 3 2 5 2" xfId="30853"/>
    <cellStyle name="Normal 2 30 5 3 2 6" xfId="30849"/>
    <cellStyle name="Normal 2 30 5 3 3" xfId="12522"/>
    <cellStyle name="Normal 2 30 5 3 3 2" xfId="30854"/>
    <cellStyle name="Normal 2 30 5 3 4" xfId="12523"/>
    <cellStyle name="Normal 2 30 5 3 4 2" xfId="30855"/>
    <cellStyle name="Normal 2 30 5 3 5" xfId="12524"/>
    <cellStyle name="Normal 2 30 5 3 5 2" xfId="30856"/>
    <cellStyle name="Normal 2 30 5 3 6" xfId="12525"/>
    <cellStyle name="Normal 2 30 5 3 6 2" xfId="30857"/>
    <cellStyle name="Normal 2 30 5 3 7" xfId="30848"/>
    <cellStyle name="Normal 2 30 5 4" xfId="12526"/>
    <cellStyle name="Normal 2 30 5 4 2" xfId="12527"/>
    <cellStyle name="Normal 2 30 5 4 2 2" xfId="12528"/>
    <cellStyle name="Normal 2 30 5 4 2 2 2" xfId="30860"/>
    <cellStyle name="Normal 2 30 5 4 2 3" xfId="12529"/>
    <cellStyle name="Normal 2 30 5 4 2 3 2" xfId="30861"/>
    <cellStyle name="Normal 2 30 5 4 2 4" xfId="12530"/>
    <cellStyle name="Normal 2 30 5 4 2 4 2" xfId="30862"/>
    <cellStyle name="Normal 2 30 5 4 2 5" xfId="12531"/>
    <cellStyle name="Normal 2 30 5 4 2 5 2" xfId="30863"/>
    <cellStyle name="Normal 2 30 5 4 2 6" xfId="30859"/>
    <cellStyle name="Normal 2 30 5 4 3" xfId="12532"/>
    <cellStyle name="Normal 2 30 5 4 3 2" xfId="30864"/>
    <cellStyle name="Normal 2 30 5 4 4" xfId="12533"/>
    <cellStyle name="Normal 2 30 5 4 4 2" xfId="30865"/>
    <cellStyle name="Normal 2 30 5 4 5" xfId="12534"/>
    <cellStyle name="Normal 2 30 5 4 5 2" xfId="30866"/>
    <cellStyle name="Normal 2 30 5 4 6" xfId="12535"/>
    <cellStyle name="Normal 2 30 5 4 6 2" xfId="30867"/>
    <cellStyle name="Normal 2 30 5 4 7" xfId="30858"/>
    <cellStyle name="Normal 2 30 5 5" xfId="12536"/>
    <cellStyle name="Normal 2 30 5 5 2" xfId="12537"/>
    <cellStyle name="Normal 2 30 5 5 2 2" xfId="30869"/>
    <cellStyle name="Normal 2 30 5 5 3" xfId="12538"/>
    <cellStyle name="Normal 2 30 5 5 3 2" xfId="30870"/>
    <cellStyle name="Normal 2 30 5 5 4" xfId="12539"/>
    <cellStyle name="Normal 2 30 5 5 4 2" xfId="30871"/>
    <cellStyle name="Normal 2 30 5 5 5" xfId="12540"/>
    <cellStyle name="Normal 2 30 5 5 5 2" xfId="30872"/>
    <cellStyle name="Normal 2 30 5 5 6" xfId="30868"/>
    <cellStyle name="Normal 2 30 5 6" xfId="12541"/>
    <cellStyle name="Normal 2 30 5 6 2" xfId="12542"/>
    <cellStyle name="Normal 2 30 5 6 2 2" xfId="30874"/>
    <cellStyle name="Normal 2 30 5 6 3" xfId="12543"/>
    <cellStyle name="Normal 2 30 5 6 3 2" xfId="30875"/>
    <cellStyle name="Normal 2 30 5 6 4" xfId="12544"/>
    <cellStyle name="Normal 2 30 5 6 4 2" xfId="30876"/>
    <cellStyle name="Normal 2 30 5 6 5" xfId="12545"/>
    <cellStyle name="Normal 2 30 5 6 5 2" xfId="30877"/>
    <cellStyle name="Normal 2 30 5 6 6" xfId="30873"/>
    <cellStyle name="Normal 2 30 5 7" xfId="12546"/>
    <cellStyle name="Normal 2 30 5 7 2" xfId="12547"/>
    <cellStyle name="Normal 2 30 5 7 2 2" xfId="30879"/>
    <cellStyle name="Normal 2 30 5 7 3" xfId="12548"/>
    <cellStyle name="Normal 2 30 5 7 3 2" xfId="30880"/>
    <cellStyle name="Normal 2 30 5 7 4" xfId="12549"/>
    <cellStyle name="Normal 2 30 5 7 4 2" xfId="30881"/>
    <cellStyle name="Normal 2 30 5 7 5" xfId="12550"/>
    <cellStyle name="Normal 2 30 5 7 5 2" xfId="30882"/>
    <cellStyle name="Normal 2 30 5 7 6" xfId="30878"/>
    <cellStyle name="Normal 2 30 5 8" xfId="12551"/>
    <cellStyle name="Normal 2 30 5 8 2" xfId="12552"/>
    <cellStyle name="Normal 2 30 5 8 2 2" xfId="30884"/>
    <cellStyle name="Normal 2 30 5 8 3" xfId="12553"/>
    <cellStyle name="Normal 2 30 5 8 3 2" xfId="30885"/>
    <cellStyle name="Normal 2 30 5 8 4" xfId="12554"/>
    <cellStyle name="Normal 2 30 5 8 4 2" xfId="30886"/>
    <cellStyle name="Normal 2 30 5 8 5" xfId="12555"/>
    <cellStyle name="Normal 2 30 5 8 5 2" xfId="30887"/>
    <cellStyle name="Normal 2 30 5 8 6" xfId="30883"/>
    <cellStyle name="Normal 2 30 5 9" xfId="12556"/>
    <cellStyle name="Normal 2 30 5 9 2" xfId="12557"/>
    <cellStyle name="Normal 2 30 5 9 2 2" xfId="30889"/>
    <cellStyle name="Normal 2 30 5 9 3" xfId="12558"/>
    <cellStyle name="Normal 2 30 5 9 3 2" xfId="30890"/>
    <cellStyle name="Normal 2 30 5 9 4" xfId="12559"/>
    <cellStyle name="Normal 2 30 5 9 4 2" xfId="30891"/>
    <cellStyle name="Normal 2 30 5 9 5" xfId="12560"/>
    <cellStyle name="Normal 2 30 5 9 5 2" xfId="30892"/>
    <cellStyle name="Normal 2 30 5 9 6" xfId="30888"/>
    <cellStyle name="Normal 2 30 6" xfId="12561"/>
    <cellStyle name="Normal 2 30 6 10" xfId="12562"/>
    <cellStyle name="Normal 2 30 6 10 2" xfId="12563"/>
    <cellStyle name="Normal 2 30 6 10 2 2" xfId="30895"/>
    <cellStyle name="Normal 2 30 6 10 3" xfId="12564"/>
    <cellStyle name="Normal 2 30 6 10 3 2" xfId="30896"/>
    <cellStyle name="Normal 2 30 6 10 4" xfId="12565"/>
    <cellStyle name="Normal 2 30 6 10 4 2" xfId="30897"/>
    <cellStyle name="Normal 2 30 6 10 5" xfId="12566"/>
    <cellStyle name="Normal 2 30 6 10 5 2" xfId="30898"/>
    <cellStyle name="Normal 2 30 6 10 6" xfId="30894"/>
    <cellStyle name="Normal 2 30 6 11" xfId="12567"/>
    <cellStyle name="Normal 2 30 6 11 2" xfId="12568"/>
    <cellStyle name="Normal 2 30 6 11 2 2" xfId="30900"/>
    <cellStyle name="Normal 2 30 6 11 3" xfId="12569"/>
    <cellStyle name="Normal 2 30 6 11 3 2" xfId="30901"/>
    <cellStyle name="Normal 2 30 6 11 4" xfId="12570"/>
    <cellStyle name="Normal 2 30 6 11 4 2" xfId="30902"/>
    <cellStyle name="Normal 2 30 6 11 5" xfId="12571"/>
    <cellStyle name="Normal 2 30 6 11 5 2" xfId="30903"/>
    <cellStyle name="Normal 2 30 6 11 6" xfId="30899"/>
    <cellStyle name="Normal 2 30 6 12" xfId="12572"/>
    <cellStyle name="Normal 2 30 6 12 2" xfId="12573"/>
    <cellStyle name="Normal 2 30 6 12 2 2" xfId="30905"/>
    <cellStyle name="Normal 2 30 6 12 3" xfId="12574"/>
    <cellStyle name="Normal 2 30 6 12 3 2" xfId="30906"/>
    <cellStyle name="Normal 2 30 6 12 4" xfId="12575"/>
    <cellStyle name="Normal 2 30 6 12 4 2" xfId="30907"/>
    <cellStyle name="Normal 2 30 6 12 5" xfId="12576"/>
    <cellStyle name="Normal 2 30 6 12 5 2" xfId="30908"/>
    <cellStyle name="Normal 2 30 6 12 6" xfId="30904"/>
    <cellStyle name="Normal 2 30 6 13" xfId="12577"/>
    <cellStyle name="Normal 2 30 6 13 2" xfId="12578"/>
    <cellStyle name="Normal 2 30 6 13 2 2" xfId="30910"/>
    <cellStyle name="Normal 2 30 6 13 3" xfId="12579"/>
    <cellStyle name="Normal 2 30 6 13 3 2" xfId="30911"/>
    <cellStyle name="Normal 2 30 6 13 4" xfId="12580"/>
    <cellStyle name="Normal 2 30 6 13 4 2" xfId="30912"/>
    <cellStyle name="Normal 2 30 6 13 5" xfId="12581"/>
    <cellStyle name="Normal 2 30 6 13 5 2" xfId="30913"/>
    <cellStyle name="Normal 2 30 6 13 6" xfId="30909"/>
    <cellStyle name="Normal 2 30 6 14" xfId="12582"/>
    <cellStyle name="Normal 2 30 6 14 2" xfId="12583"/>
    <cellStyle name="Normal 2 30 6 14 2 2" xfId="30915"/>
    <cellStyle name="Normal 2 30 6 14 3" xfId="12584"/>
    <cellStyle name="Normal 2 30 6 14 3 2" xfId="30916"/>
    <cellStyle name="Normal 2 30 6 14 4" xfId="12585"/>
    <cellStyle name="Normal 2 30 6 14 4 2" xfId="30917"/>
    <cellStyle name="Normal 2 30 6 14 5" xfId="12586"/>
    <cellStyle name="Normal 2 30 6 14 5 2" xfId="30918"/>
    <cellStyle name="Normal 2 30 6 14 6" xfId="30914"/>
    <cellStyle name="Normal 2 30 6 15" xfId="12587"/>
    <cellStyle name="Normal 2 30 6 15 2" xfId="12588"/>
    <cellStyle name="Normal 2 30 6 15 2 2" xfId="30920"/>
    <cellStyle name="Normal 2 30 6 15 3" xfId="12589"/>
    <cellStyle name="Normal 2 30 6 15 3 2" xfId="30921"/>
    <cellStyle name="Normal 2 30 6 15 4" xfId="12590"/>
    <cellStyle name="Normal 2 30 6 15 4 2" xfId="30922"/>
    <cellStyle name="Normal 2 30 6 15 5" xfId="12591"/>
    <cellStyle name="Normal 2 30 6 15 5 2" xfId="30923"/>
    <cellStyle name="Normal 2 30 6 15 6" xfId="30919"/>
    <cellStyle name="Normal 2 30 6 16" xfId="12592"/>
    <cellStyle name="Normal 2 30 6 16 2" xfId="12593"/>
    <cellStyle name="Normal 2 30 6 16 2 2" xfId="30925"/>
    <cellStyle name="Normal 2 30 6 16 3" xfId="12594"/>
    <cellStyle name="Normal 2 30 6 16 3 2" xfId="30926"/>
    <cellStyle name="Normal 2 30 6 16 4" xfId="12595"/>
    <cellStyle name="Normal 2 30 6 16 4 2" xfId="30927"/>
    <cellStyle name="Normal 2 30 6 16 5" xfId="12596"/>
    <cellStyle name="Normal 2 30 6 16 5 2" xfId="30928"/>
    <cellStyle name="Normal 2 30 6 16 6" xfId="30924"/>
    <cellStyle name="Normal 2 30 6 17" xfId="12597"/>
    <cellStyle name="Normal 2 30 6 17 2" xfId="30929"/>
    <cellStyle name="Normal 2 30 6 18" xfId="12598"/>
    <cellStyle name="Normal 2 30 6 18 2" xfId="30930"/>
    <cellStyle name="Normal 2 30 6 19" xfId="12599"/>
    <cellStyle name="Normal 2 30 6 19 2" xfId="30931"/>
    <cellStyle name="Normal 2 30 6 2" xfId="12600"/>
    <cellStyle name="Normal 2 30 6 20" xfId="12601"/>
    <cellStyle name="Normal 2 30 6 20 2" xfId="30932"/>
    <cellStyle name="Normal 2 30 6 21" xfId="30893"/>
    <cellStyle name="Normal 2 30 6 3" xfId="12602"/>
    <cellStyle name="Normal 2 30 6 3 2" xfId="12603"/>
    <cellStyle name="Normal 2 30 6 3 2 2" xfId="30934"/>
    <cellStyle name="Normal 2 30 6 3 3" xfId="12604"/>
    <cellStyle name="Normal 2 30 6 3 3 2" xfId="30935"/>
    <cellStyle name="Normal 2 30 6 3 4" xfId="12605"/>
    <cellStyle name="Normal 2 30 6 3 4 2" xfId="30936"/>
    <cellStyle name="Normal 2 30 6 3 5" xfId="12606"/>
    <cellStyle name="Normal 2 30 6 3 5 2" xfId="30937"/>
    <cellStyle name="Normal 2 30 6 3 6" xfId="30933"/>
    <cellStyle name="Normal 2 30 6 4" xfId="12607"/>
    <cellStyle name="Normal 2 30 6 4 2" xfId="12608"/>
    <cellStyle name="Normal 2 30 6 4 2 2" xfId="30939"/>
    <cellStyle name="Normal 2 30 6 4 3" xfId="12609"/>
    <cellStyle name="Normal 2 30 6 4 3 2" xfId="30940"/>
    <cellStyle name="Normal 2 30 6 4 4" xfId="12610"/>
    <cellStyle name="Normal 2 30 6 4 4 2" xfId="30941"/>
    <cellStyle name="Normal 2 30 6 4 5" xfId="12611"/>
    <cellStyle name="Normal 2 30 6 4 5 2" xfId="30942"/>
    <cellStyle name="Normal 2 30 6 4 6" xfId="30938"/>
    <cellStyle name="Normal 2 30 6 5" xfId="12612"/>
    <cellStyle name="Normal 2 30 6 5 2" xfId="12613"/>
    <cellStyle name="Normal 2 30 6 5 2 2" xfId="30944"/>
    <cellStyle name="Normal 2 30 6 5 3" xfId="12614"/>
    <cellStyle name="Normal 2 30 6 5 3 2" xfId="30945"/>
    <cellStyle name="Normal 2 30 6 5 4" xfId="12615"/>
    <cellStyle name="Normal 2 30 6 5 4 2" xfId="30946"/>
    <cellStyle name="Normal 2 30 6 5 5" xfId="12616"/>
    <cellStyle name="Normal 2 30 6 5 5 2" xfId="30947"/>
    <cellStyle name="Normal 2 30 6 5 6" xfId="30943"/>
    <cellStyle name="Normal 2 30 6 6" xfId="12617"/>
    <cellStyle name="Normal 2 30 6 6 2" xfId="12618"/>
    <cellStyle name="Normal 2 30 6 6 2 2" xfId="30949"/>
    <cellStyle name="Normal 2 30 6 6 3" xfId="12619"/>
    <cellStyle name="Normal 2 30 6 6 3 2" xfId="30950"/>
    <cellStyle name="Normal 2 30 6 6 4" xfId="12620"/>
    <cellStyle name="Normal 2 30 6 6 4 2" xfId="30951"/>
    <cellStyle name="Normal 2 30 6 6 5" xfId="12621"/>
    <cellStyle name="Normal 2 30 6 6 5 2" xfId="30952"/>
    <cellStyle name="Normal 2 30 6 6 6" xfId="30948"/>
    <cellStyle name="Normal 2 30 6 7" xfId="12622"/>
    <cellStyle name="Normal 2 30 6 7 2" xfId="12623"/>
    <cellStyle name="Normal 2 30 6 7 2 2" xfId="30954"/>
    <cellStyle name="Normal 2 30 6 7 3" xfId="12624"/>
    <cellStyle name="Normal 2 30 6 7 3 2" xfId="30955"/>
    <cellStyle name="Normal 2 30 6 7 4" xfId="12625"/>
    <cellStyle name="Normal 2 30 6 7 4 2" xfId="30956"/>
    <cellStyle name="Normal 2 30 6 7 5" xfId="12626"/>
    <cellStyle name="Normal 2 30 6 7 5 2" xfId="30957"/>
    <cellStyle name="Normal 2 30 6 7 6" xfId="30953"/>
    <cellStyle name="Normal 2 30 6 8" xfId="12627"/>
    <cellStyle name="Normal 2 30 6 8 2" xfId="12628"/>
    <cellStyle name="Normal 2 30 6 8 2 2" xfId="30959"/>
    <cellStyle name="Normal 2 30 6 8 3" xfId="12629"/>
    <cellStyle name="Normal 2 30 6 8 3 2" xfId="30960"/>
    <cellStyle name="Normal 2 30 6 8 4" xfId="12630"/>
    <cellStyle name="Normal 2 30 6 8 4 2" xfId="30961"/>
    <cellStyle name="Normal 2 30 6 8 5" xfId="12631"/>
    <cellStyle name="Normal 2 30 6 8 5 2" xfId="30962"/>
    <cellStyle name="Normal 2 30 6 8 6" xfId="30958"/>
    <cellStyle name="Normal 2 30 6 9" xfId="12632"/>
    <cellStyle name="Normal 2 30 6 9 2" xfId="12633"/>
    <cellStyle name="Normal 2 30 6 9 2 2" xfId="30964"/>
    <cellStyle name="Normal 2 30 6 9 3" xfId="12634"/>
    <cellStyle name="Normal 2 30 6 9 3 2" xfId="30965"/>
    <cellStyle name="Normal 2 30 6 9 4" xfId="12635"/>
    <cellStyle name="Normal 2 30 6 9 4 2" xfId="30966"/>
    <cellStyle name="Normal 2 30 6 9 5" xfId="12636"/>
    <cellStyle name="Normal 2 30 6 9 5 2" xfId="30967"/>
    <cellStyle name="Normal 2 30 6 9 6" xfId="30963"/>
    <cellStyle name="Normal 2 30 7" xfId="12637"/>
    <cellStyle name="Normal 2 30 7 2" xfId="12638"/>
    <cellStyle name="Normal 2 30 7 3" xfId="12639"/>
    <cellStyle name="Normal 2 30 7 3 2" xfId="30969"/>
    <cellStyle name="Normal 2 30 7 4" xfId="12640"/>
    <cellStyle name="Normal 2 30 7 4 2" xfId="30970"/>
    <cellStyle name="Normal 2 30 7 5" xfId="12641"/>
    <cellStyle name="Normal 2 30 7 5 2" xfId="30971"/>
    <cellStyle name="Normal 2 30 7 6" xfId="12642"/>
    <cellStyle name="Normal 2 30 7 6 2" xfId="30972"/>
    <cellStyle name="Normal 2 30 7 7" xfId="30968"/>
    <cellStyle name="Normal 2 30 8" xfId="12643"/>
    <cellStyle name="Normal 2 30 8 2" xfId="12644"/>
    <cellStyle name="Normal 2 30 8 3" xfId="12645"/>
    <cellStyle name="Normal 2 30 8 3 2" xfId="30974"/>
    <cellStyle name="Normal 2 30 8 4" xfId="12646"/>
    <cellStyle name="Normal 2 30 8 4 2" xfId="30975"/>
    <cellStyle name="Normal 2 30 8 5" xfId="12647"/>
    <cellStyle name="Normal 2 30 8 5 2" xfId="30976"/>
    <cellStyle name="Normal 2 30 8 6" xfId="12648"/>
    <cellStyle name="Normal 2 30 8 6 2" xfId="30977"/>
    <cellStyle name="Normal 2 30 8 7" xfId="30973"/>
    <cellStyle name="Normal 2 30 9" xfId="12649"/>
    <cellStyle name="Normal 2 30 9 2" xfId="12650"/>
    <cellStyle name="Normal 2 30 9 3" xfId="12651"/>
    <cellStyle name="Normal 2 30 9 3 2" xfId="30979"/>
    <cellStyle name="Normal 2 30 9 4" xfId="12652"/>
    <cellStyle name="Normal 2 30 9 4 2" xfId="30980"/>
    <cellStyle name="Normal 2 30 9 5" xfId="12653"/>
    <cellStyle name="Normal 2 30 9 5 2" xfId="30981"/>
    <cellStyle name="Normal 2 30 9 6" xfId="12654"/>
    <cellStyle name="Normal 2 30 9 6 2" xfId="30982"/>
    <cellStyle name="Normal 2 30 9 7" xfId="30978"/>
    <cellStyle name="Normal 2 31" xfId="12655"/>
    <cellStyle name="Normal 2 31 10" xfId="12656"/>
    <cellStyle name="Normal 2 31 2" xfId="12657"/>
    <cellStyle name="Normal 2 31 2 2" xfId="12658"/>
    <cellStyle name="Normal 2 31 2 3" xfId="12659"/>
    <cellStyle name="Normal 2 31 2 4" xfId="12660"/>
    <cellStyle name="Normal 2 31 2 5" xfId="12661"/>
    <cellStyle name="Normal 2 31 2 6" xfId="12662"/>
    <cellStyle name="Normal 2 31 2 7" xfId="12663"/>
    <cellStyle name="Normal 2 31 3" xfId="12664"/>
    <cellStyle name="Normal 2 31 4" xfId="12665"/>
    <cellStyle name="Normal 2 31 5" xfId="12666"/>
    <cellStyle name="Normal 2 31 6" xfId="12667"/>
    <cellStyle name="Normal 2 31 7" xfId="12668"/>
    <cellStyle name="Normal 2 31 8" xfId="12669"/>
    <cellStyle name="Normal 2 31 9" xfId="12670"/>
    <cellStyle name="Normal 2 32" xfId="12671"/>
    <cellStyle name="Normal 2 32 2" xfId="12672"/>
    <cellStyle name="Normal 2 32 3" xfId="12673"/>
    <cellStyle name="Normal 2 32 4" xfId="12674"/>
    <cellStyle name="Normal 2 32 5" xfId="12675"/>
    <cellStyle name="Normal 2 33" xfId="12676"/>
    <cellStyle name="Normal 2 33 10" xfId="12677"/>
    <cellStyle name="Normal 2 33 10 2" xfId="12678"/>
    <cellStyle name="Normal 2 33 10 2 2" xfId="30984"/>
    <cellStyle name="Normal 2 33 10 3" xfId="12679"/>
    <cellStyle name="Normal 2 33 10 3 2" xfId="30985"/>
    <cellStyle name="Normal 2 33 10 4" xfId="12680"/>
    <cellStyle name="Normal 2 33 10 4 2" xfId="30986"/>
    <cellStyle name="Normal 2 33 10 5" xfId="12681"/>
    <cellStyle name="Normal 2 33 10 5 2" xfId="30987"/>
    <cellStyle name="Normal 2 33 10 6" xfId="30983"/>
    <cellStyle name="Normal 2 33 11" xfId="12682"/>
    <cellStyle name="Normal 2 33 11 2" xfId="12683"/>
    <cellStyle name="Normal 2 33 11 2 2" xfId="30989"/>
    <cellStyle name="Normal 2 33 11 3" xfId="12684"/>
    <cellStyle name="Normal 2 33 11 3 2" xfId="30990"/>
    <cellStyle name="Normal 2 33 11 4" xfId="12685"/>
    <cellStyle name="Normal 2 33 11 4 2" xfId="30991"/>
    <cellStyle name="Normal 2 33 11 5" xfId="12686"/>
    <cellStyle name="Normal 2 33 11 5 2" xfId="30992"/>
    <cellStyle name="Normal 2 33 11 6" xfId="30988"/>
    <cellStyle name="Normal 2 33 12" xfId="12687"/>
    <cellStyle name="Normal 2 33 12 2" xfId="12688"/>
    <cellStyle name="Normal 2 33 12 2 2" xfId="30994"/>
    <cellStyle name="Normal 2 33 12 3" xfId="12689"/>
    <cellStyle name="Normal 2 33 12 3 2" xfId="30995"/>
    <cellStyle name="Normal 2 33 12 4" xfId="12690"/>
    <cellStyle name="Normal 2 33 12 4 2" xfId="30996"/>
    <cellStyle name="Normal 2 33 12 5" xfId="12691"/>
    <cellStyle name="Normal 2 33 12 5 2" xfId="30997"/>
    <cellStyle name="Normal 2 33 12 6" xfId="30993"/>
    <cellStyle name="Normal 2 33 13" xfId="12692"/>
    <cellStyle name="Normal 2 33 13 2" xfId="12693"/>
    <cellStyle name="Normal 2 33 13 2 2" xfId="30999"/>
    <cellStyle name="Normal 2 33 13 3" xfId="12694"/>
    <cellStyle name="Normal 2 33 13 3 2" xfId="31000"/>
    <cellStyle name="Normal 2 33 13 4" xfId="12695"/>
    <cellStyle name="Normal 2 33 13 4 2" xfId="31001"/>
    <cellStyle name="Normal 2 33 13 5" xfId="12696"/>
    <cellStyle name="Normal 2 33 13 5 2" xfId="31002"/>
    <cellStyle name="Normal 2 33 13 6" xfId="30998"/>
    <cellStyle name="Normal 2 33 14" xfId="12697"/>
    <cellStyle name="Normal 2 33 14 2" xfId="12698"/>
    <cellStyle name="Normal 2 33 14 2 2" xfId="31004"/>
    <cellStyle name="Normal 2 33 14 3" xfId="12699"/>
    <cellStyle name="Normal 2 33 14 3 2" xfId="31005"/>
    <cellStyle name="Normal 2 33 14 4" xfId="12700"/>
    <cellStyle name="Normal 2 33 14 4 2" xfId="31006"/>
    <cellStyle name="Normal 2 33 14 5" xfId="12701"/>
    <cellStyle name="Normal 2 33 14 5 2" xfId="31007"/>
    <cellStyle name="Normal 2 33 14 6" xfId="31003"/>
    <cellStyle name="Normal 2 33 15" xfId="12702"/>
    <cellStyle name="Normal 2 33 15 2" xfId="12703"/>
    <cellStyle name="Normal 2 33 15 2 2" xfId="31009"/>
    <cellStyle name="Normal 2 33 15 3" xfId="12704"/>
    <cellStyle name="Normal 2 33 15 3 2" xfId="31010"/>
    <cellStyle name="Normal 2 33 15 4" xfId="12705"/>
    <cellStyle name="Normal 2 33 15 4 2" xfId="31011"/>
    <cellStyle name="Normal 2 33 15 5" xfId="12706"/>
    <cellStyle name="Normal 2 33 15 5 2" xfId="31012"/>
    <cellStyle name="Normal 2 33 15 6" xfId="31008"/>
    <cellStyle name="Normal 2 33 16" xfId="12707"/>
    <cellStyle name="Normal 2 33 16 2" xfId="12708"/>
    <cellStyle name="Normal 2 33 16 2 2" xfId="31014"/>
    <cellStyle name="Normal 2 33 16 3" xfId="12709"/>
    <cellStyle name="Normal 2 33 16 3 2" xfId="31015"/>
    <cellStyle name="Normal 2 33 16 4" xfId="12710"/>
    <cellStyle name="Normal 2 33 16 4 2" xfId="31016"/>
    <cellStyle name="Normal 2 33 16 5" xfId="12711"/>
    <cellStyle name="Normal 2 33 16 5 2" xfId="31017"/>
    <cellStyle name="Normal 2 33 16 6" xfId="31013"/>
    <cellStyle name="Normal 2 33 17" xfId="12712"/>
    <cellStyle name="Normal 2 33 17 2" xfId="12713"/>
    <cellStyle name="Normal 2 33 17 2 2" xfId="31019"/>
    <cellStyle name="Normal 2 33 17 3" xfId="12714"/>
    <cellStyle name="Normal 2 33 17 3 2" xfId="31020"/>
    <cellStyle name="Normal 2 33 17 4" xfId="12715"/>
    <cellStyle name="Normal 2 33 17 4 2" xfId="31021"/>
    <cellStyle name="Normal 2 33 17 5" xfId="12716"/>
    <cellStyle name="Normal 2 33 17 5 2" xfId="31022"/>
    <cellStyle name="Normal 2 33 17 6" xfId="31018"/>
    <cellStyle name="Normal 2 33 18" xfId="12717"/>
    <cellStyle name="Normal 2 33 18 2" xfId="12718"/>
    <cellStyle name="Normal 2 33 18 2 2" xfId="31024"/>
    <cellStyle name="Normal 2 33 18 3" xfId="12719"/>
    <cellStyle name="Normal 2 33 18 3 2" xfId="31025"/>
    <cellStyle name="Normal 2 33 18 4" xfId="12720"/>
    <cellStyle name="Normal 2 33 18 4 2" xfId="31026"/>
    <cellStyle name="Normal 2 33 18 5" xfId="12721"/>
    <cellStyle name="Normal 2 33 18 5 2" xfId="31027"/>
    <cellStyle name="Normal 2 33 18 6" xfId="31023"/>
    <cellStyle name="Normal 2 33 19" xfId="12722"/>
    <cellStyle name="Normal 2 33 19 2" xfId="12723"/>
    <cellStyle name="Normal 2 33 19 2 2" xfId="31029"/>
    <cellStyle name="Normal 2 33 19 3" xfId="12724"/>
    <cellStyle name="Normal 2 33 19 3 2" xfId="31030"/>
    <cellStyle name="Normal 2 33 19 4" xfId="12725"/>
    <cellStyle name="Normal 2 33 19 4 2" xfId="31031"/>
    <cellStyle name="Normal 2 33 19 5" xfId="12726"/>
    <cellStyle name="Normal 2 33 19 5 2" xfId="31032"/>
    <cellStyle name="Normal 2 33 19 6" xfId="31028"/>
    <cellStyle name="Normal 2 33 2" xfId="12727"/>
    <cellStyle name="Normal 2 33 2 10" xfId="12728"/>
    <cellStyle name="Normal 2 33 2 10 2" xfId="12729"/>
    <cellStyle name="Normal 2 33 2 10 2 2" xfId="31035"/>
    <cellStyle name="Normal 2 33 2 10 3" xfId="12730"/>
    <cellStyle name="Normal 2 33 2 10 3 2" xfId="31036"/>
    <cellStyle name="Normal 2 33 2 10 4" xfId="12731"/>
    <cellStyle name="Normal 2 33 2 10 4 2" xfId="31037"/>
    <cellStyle name="Normal 2 33 2 10 5" xfId="12732"/>
    <cellStyle name="Normal 2 33 2 10 5 2" xfId="31038"/>
    <cellStyle name="Normal 2 33 2 10 6" xfId="31034"/>
    <cellStyle name="Normal 2 33 2 11" xfId="12733"/>
    <cellStyle name="Normal 2 33 2 11 2" xfId="12734"/>
    <cellStyle name="Normal 2 33 2 11 2 2" xfId="31040"/>
    <cellStyle name="Normal 2 33 2 11 3" xfId="12735"/>
    <cellStyle name="Normal 2 33 2 11 3 2" xfId="31041"/>
    <cellStyle name="Normal 2 33 2 11 4" xfId="12736"/>
    <cellStyle name="Normal 2 33 2 11 4 2" xfId="31042"/>
    <cellStyle name="Normal 2 33 2 11 5" xfId="12737"/>
    <cellStyle name="Normal 2 33 2 11 5 2" xfId="31043"/>
    <cellStyle name="Normal 2 33 2 11 6" xfId="31039"/>
    <cellStyle name="Normal 2 33 2 12" xfId="12738"/>
    <cellStyle name="Normal 2 33 2 12 2" xfId="12739"/>
    <cellStyle name="Normal 2 33 2 12 2 2" xfId="31045"/>
    <cellStyle name="Normal 2 33 2 12 3" xfId="12740"/>
    <cellStyle name="Normal 2 33 2 12 3 2" xfId="31046"/>
    <cellStyle name="Normal 2 33 2 12 4" xfId="12741"/>
    <cellStyle name="Normal 2 33 2 12 4 2" xfId="31047"/>
    <cellStyle name="Normal 2 33 2 12 5" xfId="12742"/>
    <cellStyle name="Normal 2 33 2 12 5 2" xfId="31048"/>
    <cellStyle name="Normal 2 33 2 12 6" xfId="31044"/>
    <cellStyle name="Normal 2 33 2 13" xfId="12743"/>
    <cellStyle name="Normal 2 33 2 13 2" xfId="12744"/>
    <cellStyle name="Normal 2 33 2 13 2 2" xfId="31050"/>
    <cellStyle name="Normal 2 33 2 13 3" xfId="12745"/>
    <cellStyle name="Normal 2 33 2 13 3 2" xfId="31051"/>
    <cellStyle name="Normal 2 33 2 13 4" xfId="12746"/>
    <cellStyle name="Normal 2 33 2 13 4 2" xfId="31052"/>
    <cellStyle name="Normal 2 33 2 13 5" xfId="12747"/>
    <cellStyle name="Normal 2 33 2 13 5 2" xfId="31053"/>
    <cellStyle name="Normal 2 33 2 13 6" xfId="31049"/>
    <cellStyle name="Normal 2 33 2 14" xfId="12748"/>
    <cellStyle name="Normal 2 33 2 14 2" xfId="12749"/>
    <cellStyle name="Normal 2 33 2 14 2 2" xfId="31055"/>
    <cellStyle name="Normal 2 33 2 14 3" xfId="12750"/>
    <cellStyle name="Normal 2 33 2 14 3 2" xfId="31056"/>
    <cellStyle name="Normal 2 33 2 14 4" xfId="12751"/>
    <cellStyle name="Normal 2 33 2 14 4 2" xfId="31057"/>
    <cellStyle name="Normal 2 33 2 14 5" xfId="12752"/>
    <cellStyle name="Normal 2 33 2 14 5 2" xfId="31058"/>
    <cellStyle name="Normal 2 33 2 14 6" xfId="31054"/>
    <cellStyle name="Normal 2 33 2 15" xfId="12753"/>
    <cellStyle name="Normal 2 33 2 15 2" xfId="12754"/>
    <cellStyle name="Normal 2 33 2 15 2 2" xfId="31060"/>
    <cellStyle name="Normal 2 33 2 15 3" xfId="12755"/>
    <cellStyle name="Normal 2 33 2 15 3 2" xfId="31061"/>
    <cellStyle name="Normal 2 33 2 15 4" xfId="12756"/>
    <cellStyle name="Normal 2 33 2 15 4 2" xfId="31062"/>
    <cellStyle name="Normal 2 33 2 15 5" xfId="12757"/>
    <cellStyle name="Normal 2 33 2 15 5 2" xfId="31063"/>
    <cellStyle name="Normal 2 33 2 15 6" xfId="31059"/>
    <cellStyle name="Normal 2 33 2 16" xfId="12758"/>
    <cellStyle name="Normal 2 33 2 16 2" xfId="12759"/>
    <cellStyle name="Normal 2 33 2 16 2 2" xfId="31065"/>
    <cellStyle name="Normal 2 33 2 16 3" xfId="12760"/>
    <cellStyle name="Normal 2 33 2 16 3 2" xfId="31066"/>
    <cellStyle name="Normal 2 33 2 16 4" xfId="12761"/>
    <cellStyle name="Normal 2 33 2 16 4 2" xfId="31067"/>
    <cellStyle name="Normal 2 33 2 16 5" xfId="12762"/>
    <cellStyle name="Normal 2 33 2 16 5 2" xfId="31068"/>
    <cellStyle name="Normal 2 33 2 16 6" xfId="31064"/>
    <cellStyle name="Normal 2 33 2 17" xfId="12763"/>
    <cellStyle name="Normal 2 33 2 17 2" xfId="31069"/>
    <cellStyle name="Normal 2 33 2 18" xfId="12764"/>
    <cellStyle name="Normal 2 33 2 18 2" xfId="31070"/>
    <cellStyle name="Normal 2 33 2 19" xfId="12765"/>
    <cellStyle name="Normal 2 33 2 19 2" xfId="31071"/>
    <cellStyle name="Normal 2 33 2 2" xfId="12766"/>
    <cellStyle name="Normal 2 33 2 20" xfId="12767"/>
    <cellStyle name="Normal 2 33 2 20 2" xfId="31072"/>
    <cellStyle name="Normal 2 33 2 21" xfId="31033"/>
    <cellStyle name="Normal 2 33 2 3" xfId="12768"/>
    <cellStyle name="Normal 2 33 2 3 2" xfId="12769"/>
    <cellStyle name="Normal 2 33 2 3 2 2" xfId="31074"/>
    <cellStyle name="Normal 2 33 2 3 3" xfId="12770"/>
    <cellStyle name="Normal 2 33 2 3 3 2" xfId="31075"/>
    <cellStyle name="Normal 2 33 2 3 4" xfId="12771"/>
    <cellStyle name="Normal 2 33 2 3 4 2" xfId="31076"/>
    <cellStyle name="Normal 2 33 2 3 5" xfId="12772"/>
    <cellStyle name="Normal 2 33 2 3 5 2" xfId="31077"/>
    <cellStyle name="Normal 2 33 2 3 6" xfId="31073"/>
    <cellStyle name="Normal 2 33 2 4" xfId="12773"/>
    <cellStyle name="Normal 2 33 2 4 2" xfId="12774"/>
    <cellStyle name="Normal 2 33 2 4 2 2" xfId="31079"/>
    <cellStyle name="Normal 2 33 2 4 3" xfId="12775"/>
    <cellStyle name="Normal 2 33 2 4 3 2" xfId="31080"/>
    <cellStyle name="Normal 2 33 2 4 4" xfId="12776"/>
    <cellStyle name="Normal 2 33 2 4 4 2" xfId="31081"/>
    <cellStyle name="Normal 2 33 2 4 5" xfId="12777"/>
    <cellStyle name="Normal 2 33 2 4 5 2" xfId="31082"/>
    <cellStyle name="Normal 2 33 2 4 6" xfId="31078"/>
    <cellStyle name="Normal 2 33 2 5" xfId="12778"/>
    <cellStyle name="Normal 2 33 2 5 2" xfId="12779"/>
    <cellStyle name="Normal 2 33 2 5 2 2" xfId="31084"/>
    <cellStyle name="Normal 2 33 2 5 3" xfId="12780"/>
    <cellStyle name="Normal 2 33 2 5 3 2" xfId="31085"/>
    <cellStyle name="Normal 2 33 2 5 4" xfId="12781"/>
    <cellStyle name="Normal 2 33 2 5 4 2" xfId="31086"/>
    <cellStyle name="Normal 2 33 2 5 5" xfId="12782"/>
    <cellStyle name="Normal 2 33 2 5 5 2" xfId="31087"/>
    <cellStyle name="Normal 2 33 2 5 6" xfId="31083"/>
    <cellStyle name="Normal 2 33 2 6" xfId="12783"/>
    <cellStyle name="Normal 2 33 2 6 2" xfId="12784"/>
    <cellStyle name="Normal 2 33 2 6 2 2" xfId="31089"/>
    <cellStyle name="Normal 2 33 2 6 3" xfId="12785"/>
    <cellStyle name="Normal 2 33 2 6 3 2" xfId="31090"/>
    <cellStyle name="Normal 2 33 2 6 4" xfId="12786"/>
    <cellStyle name="Normal 2 33 2 6 4 2" xfId="31091"/>
    <cellStyle name="Normal 2 33 2 6 5" xfId="12787"/>
    <cellStyle name="Normal 2 33 2 6 5 2" xfId="31092"/>
    <cellStyle name="Normal 2 33 2 6 6" xfId="31088"/>
    <cellStyle name="Normal 2 33 2 7" xfId="12788"/>
    <cellStyle name="Normal 2 33 2 7 2" xfId="12789"/>
    <cellStyle name="Normal 2 33 2 7 2 2" xfId="31094"/>
    <cellStyle name="Normal 2 33 2 7 3" xfId="12790"/>
    <cellStyle name="Normal 2 33 2 7 3 2" xfId="31095"/>
    <cellStyle name="Normal 2 33 2 7 4" xfId="12791"/>
    <cellStyle name="Normal 2 33 2 7 4 2" xfId="31096"/>
    <cellStyle name="Normal 2 33 2 7 5" xfId="12792"/>
    <cellStyle name="Normal 2 33 2 7 5 2" xfId="31097"/>
    <cellStyle name="Normal 2 33 2 7 6" xfId="31093"/>
    <cellStyle name="Normal 2 33 2 8" xfId="12793"/>
    <cellStyle name="Normal 2 33 2 8 2" xfId="12794"/>
    <cellStyle name="Normal 2 33 2 8 2 2" xfId="31099"/>
    <cellStyle name="Normal 2 33 2 8 3" xfId="12795"/>
    <cellStyle name="Normal 2 33 2 8 3 2" xfId="31100"/>
    <cellStyle name="Normal 2 33 2 8 4" xfId="12796"/>
    <cellStyle name="Normal 2 33 2 8 4 2" xfId="31101"/>
    <cellStyle name="Normal 2 33 2 8 5" xfId="12797"/>
    <cellStyle name="Normal 2 33 2 8 5 2" xfId="31102"/>
    <cellStyle name="Normal 2 33 2 8 6" xfId="31098"/>
    <cellStyle name="Normal 2 33 2 9" xfId="12798"/>
    <cellStyle name="Normal 2 33 2 9 2" xfId="12799"/>
    <cellStyle name="Normal 2 33 2 9 2 2" xfId="31104"/>
    <cellStyle name="Normal 2 33 2 9 3" xfId="12800"/>
    <cellStyle name="Normal 2 33 2 9 3 2" xfId="31105"/>
    <cellStyle name="Normal 2 33 2 9 4" xfId="12801"/>
    <cellStyle name="Normal 2 33 2 9 4 2" xfId="31106"/>
    <cellStyle name="Normal 2 33 2 9 5" xfId="12802"/>
    <cellStyle name="Normal 2 33 2 9 5 2" xfId="31107"/>
    <cellStyle name="Normal 2 33 2 9 6" xfId="31103"/>
    <cellStyle name="Normal 2 33 20" xfId="12803"/>
    <cellStyle name="Normal 2 33 20 2" xfId="31108"/>
    <cellStyle name="Normal 2 33 21" xfId="12804"/>
    <cellStyle name="Normal 2 33 21 2" xfId="31109"/>
    <cellStyle name="Normal 2 33 22" xfId="12805"/>
    <cellStyle name="Normal 2 33 22 2" xfId="31110"/>
    <cellStyle name="Normal 2 33 23" xfId="12806"/>
    <cellStyle name="Normal 2 33 23 2" xfId="31111"/>
    <cellStyle name="Normal 2 33 24" xfId="12807"/>
    <cellStyle name="Normal 2 33 24 2" xfId="31112"/>
    <cellStyle name="Normal 2 33 3" xfId="12808"/>
    <cellStyle name="Normal 2 33 3 2" xfId="12809"/>
    <cellStyle name="Normal 2 33 3 3" xfId="12810"/>
    <cellStyle name="Normal 2 33 3 3 2" xfId="31114"/>
    <cellStyle name="Normal 2 33 3 4" xfId="12811"/>
    <cellStyle name="Normal 2 33 3 4 2" xfId="31115"/>
    <cellStyle name="Normal 2 33 3 5" xfId="12812"/>
    <cellStyle name="Normal 2 33 3 5 2" xfId="31116"/>
    <cellStyle name="Normal 2 33 3 6" xfId="12813"/>
    <cellStyle name="Normal 2 33 3 6 2" xfId="31117"/>
    <cellStyle name="Normal 2 33 3 7" xfId="31113"/>
    <cellStyle name="Normal 2 33 4" xfId="12814"/>
    <cellStyle name="Normal 2 33 4 2" xfId="12815"/>
    <cellStyle name="Normal 2 33 4 3" xfId="12816"/>
    <cellStyle name="Normal 2 33 4 3 2" xfId="31119"/>
    <cellStyle name="Normal 2 33 4 4" xfId="12817"/>
    <cellStyle name="Normal 2 33 4 4 2" xfId="31120"/>
    <cellStyle name="Normal 2 33 4 5" xfId="12818"/>
    <cellStyle name="Normal 2 33 4 5 2" xfId="31121"/>
    <cellStyle name="Normal 2 33 4 6" xfId="12819"/>
    <cellStyle name="Normal 2 33 4 6 2" xfId="31122"/>
    <cellStyle name="Normal 2 33 4 7" xfId="31118"/>
    <cellStyle name="Normal 2 33 5" xfId="12820"/>
    <cellStyle name="Normal 2 33 5 2" xfId="12821"/>
    <cellStyle name="Normal 2 33 5 3" xfId="12822"/>
    <cellStyle name="Normal 2 33 5 3 2" xfId="31124"/>
    <cellStyle name="Normal 2 33 5 4" xfId="12823"/>
    <cellStyle name="Normal 2 33 5 4 2" xfId="31125"/>
    <cellStyle name="Normal 2 33 5 5" xfId="12824"/>
    <cellStyle name="Normal 2 33 5 5 2" xfId="31126"/>
    <cellStyle name="Normal 2 33 5 6" xfId="12825"/>
    <cellStyle name="Normal 2 33 5 6 2" xfId="31127"/>
    <cellStyle name="Normal 2 33 5 7" xfId="31123"/>
    <cellStyle name="Normal 2 33 6" xfId="12826"/>
    <cellStyle name="Normal 2 33 6 2" xfId="12827"/>
    <cellStyle name="Normal 2 33 6 2 2" xfId="31129"/>
    <cellStyle name="Normal 2 33 6 3" xfId="12828"/>
    <cellStyle name="Normal 2 33 6 3 2" xfId="31130"/>
    <cellStyle name="Normal 2 33 6 4" xfId="12829"/>
    <cellStyle name="Normal 2 33 6 4 2" xfId="31131"/>
    <cellStyle name="Normal 2 33 6 5" xfId="12830"/>
    <cellStyle name="Normal 2 33 6 5 2" xfId="31132"/>
    <cellStyle name="Normal 2 33 6 6" xfId="31128"/>
    <cellStyle name="Normal 2 33 7" xfId="12831"/>
    <cellStyle name="Normal 2 33 7 2" xfId="12832"/>
    <cellStyle name="Normal 2 33 7 2 2" xfId="31134"/>
    <cellStyle name="Normal 2 33 7 3" xfId="12833"/>
    <cellStyle name="Normal 2 33 7 3 2" xfId="31135"/>
    <cellStyle name="Normal 2 33 7 4" xfId="12834"/>
    <cellStyle name="Normal 2 33 7 4 2" xfId="31136"/>
    <cellStyle name="Normal 2 33 7 5" xfId="12835"/>
    <cellStyle name="Normal 2 33 7 5 2" xfId="31137"/>
    <cellStyle name="Normal 2 33 7 6" xfId="31133"/>
    <cellStyle name="Normal 2 33 8" xfId="12836"/>
    <cellStyle name="Normal 2 33 8 2" xfId="12837"/>
    <cellStyle name="Normal 2 33 8 2 2" xfId="31139"/>
    <cellStyle name="Normal 2 33 8 3" xfId="12838"/>
    <cellStyle name="Normal 2 33 8 3 2" xfId="31140"/>
    <cellStyle name="Normal 2 33 8 4" xfId="12839"/>
    <cellStyle name="Normal 2 33 8 4 2" xfId="31141"/>
    <cellStyle name="Normal 2 33 8 5" xfId="12840"/>
    <cellStyle name="Normal 2 33 8 5 2" xfId="31142"/>
    <cellStyle name="Normal 2 33 8 6" xfId="31138"/>
    <cellStyle name="Normal 2 33 9" xfId="12841"/>
    <cellStyle name="Normal 2 33 9 2" xfId="12842"/>
    <cellStyle name="Normal 2 33 9 2 2" xfId="31144"/>
    <cellStyle name="Normal 2 33 9 3" xfId="12843"/>
    <cellStyle name="Normal 2 33 9 3 2" xfId="31145"/>
    <cellStyle name="Normal 2 33 9 4" xfId="12844"/>
    <cellStyle name="Normal 2 33 9 4 2" xfId="31146"/>
    <cellStyle name="Normal 2 33 9 5" xfId="12845"/>
    <cellStyle name="Normal 2 33 9 5 2" xfId="31147"/>
    <cellStyle name="Normal 2 33 9 6" xfId="31143"/>
    <cellStyle name="Normal 2 34" xfId="12846"/>
    <cellStyle name="Normal 2 34 10" xfId="12847"/>
    <cellStyle name="Normal 2 34 10 2" xfId="12848"/>
    <cellStyle name="Normal 2 34 10 2 2" xfId="31149"/>
    <cellStyle name="Normal 2 34 10 3" xfId="12849"/>
    <cellStyle name="Normal 2 34 10 3 2" xfId="31150"/>
    <cellStyle name="Normal 2 34 10 4" xfId="12850"/>
    <cellStyle name="Normal 2 34 10 4 2" xfId="31151"/>
    <cellStyle name="Normal 2 34 10 5" xfId="12851"/>
    <cellStyle name="Normal 2 34 10 5 2" xfId="31152"/>
    <cellStyle name="Normal 2 34 10 6" xfId="31148"/>
    <cellStyle name="Normal 2 34 11" xfId="12852"/>
    <cellStyle name="Normal 2 34 11 2" xfId="12853"/>
    <cellStyle name="Normal 2 34 11 2 2" xfId="31154"/>
    <cellStyle name="Normal 2 34 11 3" xfId="12854"/>
    <cellStyle name="Normal 2 34 11 3 2" xfId="31155"/>
    <cellStyle name="Normal 2 34 11 4" xfId="12855"/>
    <cellStyle name="Normal 2 34 11 4 2" xfId="31156"/>
    <cellStyle name="Normal 2 34 11 5" xfId="12856"/>
    <cellStyle name="Normal 2 34 11 5 2" xfId="31157"/>
    <cellStyle name="Normal 2 34 11 6" xfId="31153"/>
    <cellStyle name="Normal 2 34 12" xfId="12857"/>
    <cellStyle name="Normal 2 34 12 2" xfId="12858"/>
    <cellStyle name="Normal 2 34 12 2 2" xfId="31159"/>
    <cellStyle name="Normal 2 34 12 3" xfId="12859"/>
    <cellStyle name="Normal 2 34 12 3 2" xfId="31160"/>
    <cellStyle name="Normal 2 34 12 4" xfId="12860"/>
    <cellStyle name="Normal 2 34 12 4 2" xfId="31161"/>
    <cellStyle name="Normal 2 34 12 5" xfId="12861"/>
    <cellStyle name="Normal 2 34 12 5 2" xfId="31162"/>
    <cellStyle name="Normal 2 34 12 6" xfId="31158"/>
    <cellStyle name="Normal 2 34 13" xfId="12862"/>
    <cellStyle name="Normal 2 34 13 2" xfId="12863"/>
    <cellStyle name="Normal 2 34 13 2 2" xfId="31164"/>
    <cellStyle name="Normal 2 34 13 3" xfId="12864"/>
    <cellStyle name="Normal 2 34 13 3 2" xfId="31165"/>
    <cellStyle name="Normal 2 34 13 4" xfId="12865"/>
    <cellStyle name="Normal 2 34 13 4 2" xfId="31166"/>
    <cellStyle name="Normal 2 34 13 5" xfId="12866"/>
    <cellStyle name="Normal 2 34 13 5 2" xfId="31167"/>
    <cellStyle name="Normal 2 34 13 6" xfId="31163"/>
    <cellStyle name="Normal 2 34 14" xfId="12867"/>
    <cellStyle name="Normal 2 34 14 2" xfId="12868"/>
    <cellStyle name="Normal 2 34 14 2 2" xfId="31169"/>
    <cellStyle name="Normal 2 34 14 3" xfId="12869"/>
    <cellStyle name="Normal 2 34 14 3 2" xfId="31170"/>
    <cellStyle name="Normal 2 34 14 4" xfId="12870"/>
    <cellStyle name="Normal 2 34 14 4 2" xfId="31171"/>
    <cellStyle name="Normal 2 34 14 5" xfId="12871"/>
    <cellStyle name="Normal 2 34 14 5 2" xfId="31172"/>
    <cellStyle name="Normal 2 34 14 6" xfId="31168"/>
    <cellStyle name="Normal 2 34 15" xfId="12872"/>
    <cellStyle name="Normal 2 34 15 2" xfId="12873"/>
    <cellStyle name="Normal 2 34 15 2 2" xfId="31174"/>
    <cellStyle name="Normal 2 34 15 3" xfId="12874"/>
    <cellStyle name="Normal 2 34 15 3 2" xfId="31175"/>
    <cellStyle name="Normal 2 34 15 4" xfId="12875"/>
    <cellStyle name="Normal 2 34 15 4 2" xfId="31176"/>
    <cellStyle name="Normal 2 34 15 5" xfId="12876"/>
    <cellStyle name="Normal 2 34 15 5 2" xfId="31177"/>
    <cellStyle name="Normal 2 34 15 6" xfId="31173"/>
    <cellStyle name="Normal 2 34 16" xfId="12877"/>
    <cellStyle name="Normal 2 34 16 2" xfId="12878"/>
    <cellStyle name="Normal 2 34 16 2 2" xfId="31179"/>
    <cellStyle name="Normal 2 34 16 3" xfId="12879"/>
    <cellStyle name="Normal 2 34 16 3 2" xfId="31180"/>
    <cellStyle name="Normal 2 34 16 4" xfId="12880"/>
    <cellStyle name="Normal 2 34 16 4 2" xfId="31181"/>
    <cellStyle name="Normal 2 34 16 5" xfId="12881"/>
    <cellStyle name="Normal 2 34 16 5 2" xfId="31182"/>
    <cellStyle name="Normal 2 34 16 6" xfId="31178"/>
    <cellStyle name="Normal 2 34 17" xfId="12882"/>
    <cellStyle name="Normal 2 34 17 2" xfId="12883"/>
    <cellStyle name="Normal 2 34 17 2 2" xfId="31184"/>
    <cellStyle name="Normal 2 34 17 3" xfId="12884"/>
    <cellStyle name="Normal 2 34 17 3 2" xfId="31185"/>
    <cellStyle name="Normal 2 34 17 4" xfId="12885"/>
    <cellStyle name="Normal 2 34 17 4 2" xfId="31186"/>
    <cellStyle name="Normal 2 34 17 5" xfId="12886"/>
    <cellStyle name="Normal 2 34 17 5 2" xfId="31187"/>
    <cellStyle name="Normal 2 34 17 6" xfId="31183"/>
    <cellStyle name="Normal 2 34 18" xfId="12887"/>
    <cellStyle name="Normal 2 34 18 2" xfId="12888"/>
    <cellStyle name="Normal 2 34 18 2 2" xfId="31189"/>
    <cellStyle name="Normal 2 34 18 3" xfId="12889"/>
    <cellStyle name="Normal 2 34 18 3 2" xfId="31190"/>
    <cellStyle name="Normal 2 34 18 4" xfId="12890"/>
    <cellStyle name="Normal 2 34 18 4 2" xfId="31191"/>
    <cellStyle name="Normal 2 34 18 5" xfId="12891"/>
    <cellStyle name="Normal 2 34 18 5 2" xfId="31192"/>
    <cellStyle name="Normal 2 34 18 6" xfId="31188"/>
    <cellStyle name="Normal 2 34 19" xfId="12892"/>
    <cellStyle name="Normal 2 34 19 2" xfId="12893"/>
    <cellStyle name="Normal 2 34 19 2 2" xfId="31194"/>
    <cellStyle name="Normal 2 34 19 3" xfId="12894"/>
    <cellStyle name="Normal 2 34 19 3 2" xfId="31195"/>
    <cellStyle name="Normal 2 34 19 4" xfId="12895"/>
    <cellStyle name="Normal 2 34 19 4 2" xfId="31196"/>
    <cellStyle name="Normal 2 34 19 5" xfId="12896"/>
    <cellStyle name="Normal 2 34 19 5 2" xfId="31197"/>
    <cellStyle name="Normal 2 34 19 6" xfId="31193"/>
    <cellStyle name="Normal 2 34 2" xfId="12897"/>
    <cellStyle name="Normal 2 34 2 10" xfId="12898"/>
    <cellStyle name="Normal 2 34 2 10 2" xfId="12899"/>
    <cellStyle name="Normal 2 34 2 10 2 2" xfId="31200"/>
    <cellStyle name="Normal 2 34 2 10 3" xfId="12900"/>
    <cellStyle name="Normal 2 34 2 10 3 2" xfId="31201"/>
    <cellStyle name="Normal 2 34 2 10 4" xfId="12901"/>
    <cellStyle name="Normal 2 34 2 10 4 2" xfId="31202"/>
    <cellStyle name="Normal 2 34 2 10 5" xfId="12902"/>
    <cellStyle name="Normal 2 34 2 10 5 2" xfId="31203"/>
    <cellStyle name="Normal 2 34 2 10 6" xfId="31199"/>
    <cellStyle name="Normal 2 34 2 11" xfId="12903"/>
    <cellStyle name="Normal 2 34 2 11 2" xfId="12904"/>
    <cellStyle name="Normal 2 34 2 11 2 2" xfId="31205"/>
    <cellStyle name="Normal 2 34 2 11 3" xfId="12905"/>
    <cellStyle name="Normal 2 34 2 11 3 2" xfId="31206"/>
    <cellStyle name="Normal 2 34 2 11 4" xfId="12906"/>
    <cellStyle name="Normal 2 34 2 11 4 2" xfId="31207"/>
    <cellStyle name="Normal 2 34 2 11 5" xfId="12907"/>
    <cellStyle name="Normal 2 34 2 11 5 2" xfId="31208"/>
    <cellStyle name="Normal 2 34 2 11 6" xfId="31204"/>
    <cellStyle name="Normal 2 34 2 12" xfId="12908"/>
    <cellStyle name="Normal 2 34 2 12 2" xfId="12909"/>
    <cellStyle name="Normal 2 34 2 12 2 2" xfId="31210"/>
    <cellStyle name="Normal 2 34 2 12 3" xfId="12910"/>
    <cellStyle name="Normal 2 34 2 12 3 2" xfId="31211"/>
    <cellStyle name="Normal 2 34 2 12 4" xfId="12911"/>
    <cellStyle name="Normal 2 34 2 12 4 2" xfId="31212"/>
    <cellStyle name="Normal 2 34 2 12 5" xfId="12912"/>
    <cellStyle name="Normal 2 34 2 12 5 2" xfId="31213"/>
    <cellStyle name="Normal 2 34 2 12 6" xfId="31209"/>
    <cellStyle name="Normal 2 34 2 13" xfId="12913"/>
    <cellStyle name="Normal 2 34 2 13 2" xfId="12914"/>
    <cellStyle name="Normal 2 34 2 13 2 2" xfId="31215"/>
    <cellStyle name="Normal 2 34 2 13 3" xfId="12915"/>
    <cellStyle name="Normal 2 34 2 13 3 2" xfId="31216"/>
    <cellStyle name="Normal 2 34 2 13 4" xfId="12916"/>
    <cellStyle name="Normal 2 34 2 13 4 2" xfId="31217"/>
    <cellStyle name="Normal 2 34 2 13 5" xfId="12917"/>
    <cellStyle name="Normal 2 34 2 13 5 2" xfId="31218"/>
    <cellStyle name="Normal 2 34 2 13 6" xfId="31214"/>
    <cellStyle name="Normal 2 34 2 14" xfId="12918"/>
    <cellStyle name="Normal 2 34 2 14 2" xfId="12919"/>
    <cellStyle name="Normal 2 34 2 14 2 2" xfId="31220"/>
    <cellStyle name="Normal 2 34 2 14 3" xfId="12920"/>
    <cellStyle name="Normal 2 34 2 14 3 2" xfId="31221"/>
    <cellStyle name="Normal 2 34 2 14 4" xfId="12921"/>
    <cellStyle name="Normal 2 34 2 14 4 2" xfId="31222"/>
    <cellStyle name="Normal 2 34 2 14 5" xfId="12922"/>
    <cellStyle name="Normal 2 34 2 14 5 2" xfId="31223"/>
    <cellStyle name="Normal 2 34 2 14 6" xfId="31219"/>
    <cellStyle name="Normal 2 34 2 15" xfId="12923"/>
    <cellStyle name="Normal 2 34 2 15 2" xfId="12924"/>
    <cellStyle name="Normal 2 34 2 15 2 2" xfId="31225"/>
    <cellStyle name="Normal 2 34 2 15 3" xfId="12925"/>
    <cellStyle name="Normal 2 34 2 15 3 2" xfId="31226"/>
    <cellStyle name="Normal 2 34 2 15 4" xfId="12926"/>
    <cellStyle name="Normal 2 34 2 15 4 2" xfId="31227"/>
    <cellStyle name="Normal 2 34 2 15 5" xfId="12927"/>
    <cellStyle name="Normal 2 34 2 15 5 2" xfId="31228"/>
    <cellStyle name="Normal 2 34 2 15 6" xfId="31224"/>
    <cellStyle name="Normal 2 34 2 16" xfId="12928"/>
    <cellStyle name="Normal 2 34 2 16 2" xfId="12929"/>
    <cellStyle name="Normal 2 34 2 16 2 2" xfId="31230"/>
    <cellStyle name="Normal 2 34 2 16 3" xfId="12930"/>
    <cellStyle name="Normal 2 34 2 16 3 2" xfId="31231"/>
    <cellStyle name="Normal 2 34 2 16 4" xfId="12931"/>
    <cellStyle name="Normal 2 34 2 16 4 2" xfId="31232"/>
    <cellStyle name="Normal 2 34 2 16 5" xfId="12932"/>
    <cellStyle name="Normal 2 34 2 16 5 2" xfId="31233"/>
    <cellStyle name="Normal 2 34 2 16 6" xfId="31229"/>
    <cellStyle name="Normal 2 34 2 17" xfId="12933"/>
    <cellStyle name="Normal 2 34 2 17 2" xfId="31234"/>
    <cellStyle name="Normal 2 34 2 18" xfId="12934"/>
    <cellStyle name="Normal 2 34 2 18 2" xfId="31235"/>
    <cellStyle name="Normal 2 34 2 19" xfId="12935"/>
    <cellStyle name="Normal 2 34 2 19 2" xfId="31236"/>
    <cellStyle name="Normal 2 34 2 2" xfId="12936"/>
    <cellStyle name="Normal 2 34 2 20" xfId="12937"/>
    <cellStyle name="Normal 2 34 2 20 2" xfId="31237"/>
    <cellStyle name="Normal 2 34 2 21" xfId="31198"/>
    <cellStyle name="Normal 2 34 2 3" xfId="12938"/>
    <cellStyle name="Normal 2 34 2 3 2" xfId="12939"/>
    <cellStyle name="Normal 2 34 2 3 2 2" xfId="31239"/>
    <cellStyle name="Normal 2 34 2 3 3" xfId="12940"/>
    <cellStyle name="Normal 2 34 2 3 3 2" xfId="31240"/>
    <cellStyle name="Normal 2 34 2 3 4" xfId="12941"/>
    <cellStyle name="Normal 2 34 2 3 4 2" xfId="31241"/>
    <cellStyle name="Normal 2 34 2 3 5" xfId="12942"/>
    <cellStyle name="Normal 2 34 2 3 5 2" xfId="31242"/>
    <cellStyle name="Normal 2 34 2 3 6" xfId="31238"/>
    <cellStyle name="Normal 2 34 2 4" xfId="12943"/>
    <cellStyle name="Normal 2 34 2 4 2" xfId="12944"/>
    <cellStyle name="Normal 2 34 2 4 2 2" xfId="31244"/>
    <cellStyle name="Normal 2 34 2 4 3" xfId="12945"/>
    <cellStyle name="Normal 2 34 2 4 3 2" xfId="31245"/>
    <cellStyle name="Normal 2 34 2 4 4" xfId="12946"/>
    <cellStyle name="Normal 2 34 2 4 4 2" xfId="31246"/>
    <cellStyle name="Normal 2 34 2 4 5" xfId="12947"/>
    <cellStyle name="Normal 2 34 2 4 5 2" xfId="31247"/>
    <cellStyle name="Normal 2 34 2 4 6" xfId="31243"/>
    <cellStyle name="Normal 2 34 2 5" xfId="12948"/>
    <cellStyle name="Normal 2 34 2 5 2" xfId="12949"/>
    <cellStyle name="Normal 2 34 2 5 2 2" xfId="31249"/>
    <cellStyle name="Normal 2 34 2 5 3" xfId="12950"/>
    <cellStyle name="Normal 2 34 2 5 3 2" xfId="31250"/>
    <cellStyle name="Normal 2 34 2 5 4" xfId="12951"/>
    <cellStyle name="Normal 2 34 2 5 4 2" xfId="31251"/>
    <cellStyle name="Normal 2 34 2 5 5" xfId="12952"/>
    <cellStyle name="Normal 2 34 2 5 5 2" xfId="31252"/>
    <cellStyle name="Normal 2 34 2 5 6" xfId="31248"/>
    <cellStyle name="Normal 2 34 2 6" xfId="12953"/>
    <cellStyle name="Normal 2 34 2 6 2" xfId="12954"/>
    <cellStyle name="Normal 2 34 2 6 2 2" xfId="31254"/>
    <cellStyle name="Normal 2 34 2 6 3" xfId="12955"/>
    <cellStyle name="Normal 2 34 2 6 3 2" xfId="31255"/>
    <cellStyle name="Normal 2 34 2 6 4" xfId="12956"/>
    <cellStyle name="Normal 2 34 2 6 4 2" xfId="31256"/>
    <cellStyle name="Normal 2 34 2 6 5" xfId="12957"/>
    <cellStyle name="Normal 2 34 2 6 5 2" xfId="31257"/>
    <cellStyle name="Normal 2 34 2 6 6" xfId="31253"/>
    <cellStyle name="Normal 2 34 2 7" xfId="12958"/>
    <cellStyle name="Normal 2 34 2 7 2" xfId="12959"/>
    <cellStyle name="Normal 2 34 2 7 2 2" xfId="31259"/>
    <cellStyle name="Normal 2 34 2 7 3" xfId="12960"/>
    <cellStyle name="Normal 2 34 2 7 3 2" xfId="31260"/>
    <cellStyle name="Normal 2 34 2 7 4" xfId="12961"/>
    <cellStyle name="Normal 2 34 2 7 4 2" xfId="31261"/>
    <cellStyle name="Normal 2 34 2 7 5" xfId="12962"/>
    <cellStyle name="Normal 2 34 2 7 5 2" xfId="31262"/>
    <cellStyle name="Normal 2 34 2 7 6" xfId="31258"/>
    <cellStyle name="Normal 2 34 2 8" xfId="12963"/>
    <cellStyle name="Normal 2 34 2 8 2" xfId="12964"/>
    <cellStyle name="Normal 2 34 2 8 2 2" xfId="31264"/>
    <cellStyle name="Normal 2 34 2 8 3" xfId="12965"/>
    <cellStyle name="Normal 2 34 2 8 3 2" xfId="31265"/>
    <cellStyle name="Normal 2 34 2 8 4" xfId="12966"/>
    <cellStyle name="Normal 2 34 2 8 4 2" xfId="31266"/>
    <cellStyle name="Normal 2 34 2 8 5" xfId="12967"/>
    <cellStyle name="Normal 2 34 2 8 5 2" xfId="31267"/>
    <cellStyle name="Normal 2 34 2 8 6" xfId="31263"/>
    <cellStyle name="Normal 2 34 2 9" xfId="12968"/>
    <cellStyle name="Normal 2 34 2 9 2" xfId="12969"/>
    <cellStyle name="Normal 2 34 2 9 2 2" xfId="31269"/>
    <cellStyle name="Normal 2 34 2 9 3" xfId="12970"/>
    <cellStyle name="Normal 2 34 2 9 3 2" xfId="31270"/>
    <cellStyle name="Normal 2 34 2 9 4" xfId="12971"/>
    <cellStyle name="Normal 2 34 2 9 4 2" xfId="31271"/>
    <cellStyle name="Normal 2 34 2 9 5" xfId="12972"/>
    <cellStyle name="Normal 2 34 2 9 5 2" xfId="31272"/>
    <cellStyle name="Normal 2 34 2 9 6" xfId="31268"/>
    <cellStyle name="Normal 2 34 20" xfId="12973"/>
    <cellStyle name="Normal 2 34 20 2" xfId="31273"/>
    <cellStyle name="Normal 2 34 21" xfId="12974"/>
    <cellStyle name="Normal 2 34 21 2" xfId="31274"/>
    <cellStyle name="Normal 2 34 22" xfId="12975"/>
    <cellStyle name="Normal 2 34 22 2" xfId="31275"/>
    <cellStyle name="Normal 2 34 23" xfId="12976"/>
    <cellStyle name="Normal 2 34 23 2" xfId="31276"/>
    <cellStyle name="Normal 2 34 24" xfId="12977"/>
    <cellStyle name="Normal 2 34 24 2" xfId="31277"/>
    <cellStyle name="Normal 2 34 3" xfId="12978"/>
    <cellStyle name="Normal 2 34 3 2" xfId="12979"/>
    <cellStyle name="Normal 2 34 3 3" xfId="12980"/>
    <cellStyle name="Normal 2 34 3 3 2" xfId="31279"/>
    <cellStyle name="Normal 2 34 3 4" xfId="12981"/>
    <cellStyle name="Normal 2 34 3 4 2" xfId="31280"/>
    <cellStyle name="Normal 2 34 3 5" xfId="12982"/>
    <cellStyle name="Normal 2 34 3 5 2" xfId="31281"/>
    <cellStyle name="Normal 2 34 3 6" xfId="12983"/>
    <cellStyle name="Normal 2 34 3 6 2" xfId="31282"/>
    <cellStyle name="Normal 2 34 3 7" xfId="31278"/>
    <cellStyle name="Normal 2 34 4" xfId="12984"/>
    <cellStyle name="Normal 2 34 4 2" xfId="12985"/>
    <cellStyle name="Normal 2 34 4 3" xfId="12986"/>
    <cellStyle name="Normal 2 34 4 3 2" xfId="31284"/>
    <cellStyle name="Normal 2 34 4 4" xfId="12987"/>
    <cellStyle name="Normal 2 34 4 4 2" xfId="31285"/>
    <cellStyle name="Normal 2 34 4 5" xfId="12988"/>
    <cellStyle name="Normal 2 34 4 5 2" xfId="31286"/>
    <cellStyle name="Normal 2 34 4 6" xfId="12989"/>
    <cellStyle name="Normal 2 34 4 6 2" xfId="31287"/>
    <cellStyle name="Normal 2 34 4 7" xfId="31283"/>
    <cellStyle name="Normal 2 34 5" xfId="12990"/>
    <cellStyle name="Normal 2 34 5 2" xfId="12991"/>
    <cellStyle name="Normal 2 34 5 3" xfId="12992"/>
    <cellStyle name="Normal 2 34 5 3 2" xfId="31289"/>
    <cellStyle name="Normal 2 34 5 4" xfId="12993"/>
    <cellStyle name="Normal 2 34 5 4 2" xfId="31290"/>
    <cellStyle name="Normal 2 34 5 5" xfId="12994"/>
    <cellStyle name="Normal 2 34 5 5 2" xfId="31291"/>
    <cellStyle name="Normal 2 34 5 6" xfId="12995"/>
    <cellStyle name="Normal 2 34 5 6 2" xfId="31292"/>
    <cellStyle name="Normal 2 34 5 7" xfId="31288"/>
    <cellStyle name="Normal 2 34 6" xfId="12996"/>
    <cellStyle name="Normal 2 34 6 2" xfId="12997"/>
    <cellStyle name="Normal 2 34 6 2 2" xfId="31294"/>
    <cellStyle name="Normal 2 34 6 3" xfId="12998"/>
    <cellStyle name="Normal 2 34 6 3 2" xfId="31295"/>
    <cellStyle name="Normal 2 34 6 4" xfId="12999"/>
    <cellStyle name="Normal 2 34 6 4 2" xfId="31296"/>
    <cellStyle name="Normal 2 34 6 5" xfId="13000"/>
    <cellStyle name="Normal 2 34 6 5 2" xfId="31297"/>
    <cellStyle name="Normal 2 34 6 6" xfId="31293"/>
    <cellStyle name="Normal 2 34 7" xfId="13001"/>
    <cellStyle name="Normal 2 34 7 2" xfId="13002"/>
    <cellStyle name="Normal 2 34 7 2 2" xfId="31299"/>
    <cellStyle name="Normal 2 34 7 3" xfId="13003"/>
    <cellStyle name="Normal 2 34 7 3 2" xfId="31300"/>
    <cellStyle name="Normal 2 34 7 4" xfId="13004"/>
    <cellStyle name="Normal 2 34 7 4 2" xfId="31301"/>
    <cellStyle name="Normal 2 34 7 5" xfId="13005"/>
    <cellStyle name="Normal 2 34 7 5 2" xfId="31302"/>
    <cellStyle name="Normal 2 34 7 6" xfId="31298"/>
    <cellStyle name="Normal 2 34 8" xfId="13006"/>
    <cellStyle name="Normal 2 34 8 2" xfId="13007"/>
    <cellStyle name="Normal 2 34 8 2 2" xfId="31304"/>
    <cellStyle name="Normal 2 34 8 3" xfId="13008"/>
    <cellStyle name="Normal 2 34 8 3 2" xfId="31305"/>
    <cellStyle name="Normal 2 34 8 4" xfId="13009"/>
    <cellStyle name="Normal 2 34 8 4 2" xfId="31306"/>
    <cellStyle name="Normal 2 34 8 5" xfId="13010"/>
    <cellStyle name="Normal 2 34 8 5 2" xfId="31307"/>
    <cellStyle name="Normal 2 34 8 6" xfId="31303"/>
    <cellStyle name="Normal 2 34 9" xfId="13011"/>
    <cellStyle name="Normal 2 34 9 2" xfId="13012"/>
    <cellStyle name="Normal 2 34 9 2 2" xfId="31309"/>
    <cellStyle name="Normal 2 34 9 3" xfId="13013"/>
    <cellStyle name="Normal 2 34 9 3 2" xfId="31310"/>
    <cellStyle name="Normal 2 34 9 4" xfId="13014"/>
    <cellStyle name="Normal 2 34 9 4 2" xfId="31311"/>
    <cellStyle name="Normal 2 34 9 5" xfId="13015"/>
    <cellStyle name="Normal 2 34 9 5 2" xfId="31312"/>
    <cellStyle name="Normal 2 34 9 6" xfId="31308"/>
    <cellStyle name="Normal 2 35" xfId="13016"/>
    <cellStyle name="Normal 2 36" xfId="13017"/>
    <cellStyle name="Normal 2 36 2" xfId="13018"/>
    <cellStyle name="Normal 2 36 3" xfId="13019"/>
    <cellStyle name="Normal 2 36 4" xfId="13020"/>
    <cellStyle name="Normal 2 36 5" xfId="13021"/>
    <cellStyle name="Normal 2 36 6" xfId="13022"/>
    <cellStyle name="Normal 2 36 7" xfId="13023"/>
    <cellStyle name="Normal 2 37" xfId="13024"/>
    <cellStyle name="Normal 2 38" xfId="13025"/>
    <cellStyle name="Normal 2 39" xfId="13026"/>
    <cellStyle name="Normal 2 4" xfId="13027"/>
    <cellStyle name="Normal 2 4 10" xfId="13028"/>
    <cellStyle name="Normal 2 4 10 2" xfId="13029"/>
    <cellStyle name="Normal 2 4 11" xfId="13030"/>
    <cellStyle name="Normal 2 4 11 2" xfId="13031"/>
    <cellStyle name="Normal 2 4 12" xfId="13032"/>
    <cellStyle name="Normal 2 4 12 2" xfId="13033"/>
    <cellStyle name="Normal 2 4 13" xfId="13034"/>
    <cellStyle name="Normal 2 4 14" xfId="13035"/>
    <cellStyle name="Normal 2 4 14 2" xfId="13036"/>
    <cellStyle name="Normal 2 4 15" xfId="13037"/>
    <cellStyle name="Normal 2 4 15 2" xfId="13038"/>
    <cellStyle name="Normal 2 4 16" xfId="13039"/>
    <cellStyle name="Normal 2 4 16 2" xfId="13040"/>
    <cellStyle name="Normal 2 4 17" xfId="13041"/>
    <cellStyle name="Normal 2 4 18" xfId="13042"/>
    <cellStyle name="Normal 2 4 19" xfId="13043"/>
    <cellStyle name="Normal 2 4 2" xfId="13044"/>
    <cellStyle name="Normal 2 4 2 2" xfId="13045"/>
    <cellStyle name="Normal 2 4 2 3" xfId="13046"/>
    <cellStyle name="Normal 2 4 2 4" xfId="13047"/>
    <cellStyle name="Normal 2 4 2 5" xfId="13048"/>
    <cellStyle name="Normal 2 4 2 6" xfId="13049"/>
    <cellStyle name="Normal 2 4 2 7" xfId="13050"/>
    <cellStyle name="Normal 2 4 2 8" xfId="40640"/>
    <cellStyle name="Normal 2 4 20" xfId="13051"/>
    <cellStyle name="Normal 2 4 21" xfId="13052"/>
    <cellStyle name="Normal 2 4 22" xfId="13053"/>
    <cellStyle name="Normal 2 4 23" xfId="13054"/>
    <cellStyle name="Normal 2 4 24" xfId="13055"/>
    <cellStyle name="Normal 2 4 25" xfId="13056"/>
    <cellStyle name="Normal 2 4 26" xfId="13057"/>
    <cellStyle name="Normal 2 4 27" xfId="13058"/>
    <cellStyle name="Normal 2 4 28" xfId="13059"/>
    <cellStyle name="Normal 2 4 29" xfId="13060"/>
    <cellStyle name="Normal 2 4 3" xfId="13061"/>
    <cellStyle name="Normal 2 4 3 2" xfId="40641"/>
    <cellStyle name="Normal 2 4 30" xfId="13062"/>
    <cellStyle name="Normal 2 4 31" xfId="13063"/>
    <cellStyle name="Normal 2 4 32" xfId="13064"/>
    <cellStyle name="Normal 2 4 4" xfId="13065"/>
    <cellStyle name="Normal 2 4 4 10" xfId="13066"/>
    <cellStyle name="Normal 2 4 4 11" xfId="13067"/>
    <cellStyle name="Normal 2 4 4 12" xfId="13068"/>
    <cellStyle name="Normal 2 4 4 13" xfId="13069"/>
    <cellStyle name="Normal 2 4 4 14" xfId="13070"/>
    <cellStyle name="Normal 2 4 4 15" xfId="13071"/>
    <cellStyle name="Normal 2 4 4 16" xfId="13072"/>
    <cellStyle name="Normal 2 4 4 17" xfId="40642"/>
    <cellStyle name="Normal 2 4 4 2" xfId="13073"/>
    <cellStyle name="Normal 2 4 4 3" xfId="13074"/>
    <cellStyle name="Normal 2 4 4 4" xfId="13075"/>
    <cellStyle name="Normal 2 4 4 5" xfId="13076"/>
    <cellStyle name="Normal 2 4 4 6" xfId="13077"/>
    <cellStyle name="Normal 2 4 4 7" xfId="13078"/>
    <cellStyle name="Normal 2 4 4 8" xfId="13079"/>
    <cellStyle name="Normal 2 4 4 9" xfId="13080"/>
    <cellStyle name="Normal 2 4 5" xfId="13081"/>
    <cellStyle name="Normal 2 4 5 10" xfId="13082"/>
    <cellStyle name="Normal 2 4 5 11" xfId="13083"/>
    <cellStyle name="Normal 2 4 5 12" xfId="13084"/>
    <cellStyle name="Normal 2 4 5 13" xfId="13085"/>
    <cellStyle name="Normal 2 4 5 14" xfId="13086"/>
    <cellStyle name="Normal 2 4 5 15" xfId="13087"/>
    <cellStyle name="Normal 2 4 5 16" xfId="13088"/>
    <cellStyle name="Normal 2 4 5 2" xfId="13089"/>
    <cellStyle name="Normal 2 4 5 3" xfId="13090"/>
    <cellStyle name="Normal 2 4 5 4" xfId="13091"/>
    <cellStyle name="Normal 2 4 5 5" xfId="13092"/>
    <cellStyle name="Normal 2 4 5 6" xfId="13093"/>
    <cellStyle name="Normal 2 4 5 7" xfId="13094"/>
    <cellStyle name="Normal 2 4 5 8" xfId="13095"/>
    <cellStyle name="Normal 2 4 5 9" xfId="13096"/>
    <cellStyle name="Normal 2 4 6" xfId="13097"/>
    <cellStyle name="Normal 2 4 6 2" xfId="13098"/>
    <cellStyle name="Normal 2 4 7" xfId="13099"/>
    <cellStyle name="Normal 2 4 7 2" xfId="13100"/>
    <cellStyle name="Normal 2 4 8" xfId="13101"/>
    <cellStyle name="Normal 2 4 8 2" xfId="13102"/>
    <cellStyle name="Normal 2 4 9" xfId="13103"/>
    <cellStyle name="Normal 2 4 9 2" xfId="13104"/>
    <cellStyle name="Normal 2 40" xfId="13105"/>
    <cellStyle name="Normal 2 41" xfId="13106"/>
    <cellStyle name="Normal 2 42" xfId="13107"/>
    <cellStyle name="Normal 2 43" xfId="13108"/>
    <cellStyle name="Normal 2 44" xfId="13109"/>
    <cellStyle name="Normal 2 45" xfId="13110"/>
    <cellStyle name="Normal 2 45 10" xfId="13111"/>
    <cellStyle name="Normal 2 45 11" xfId="13112"/>
    <cellStyle name="Normal 2 45 12" xfId="13113"/>
    <cellStyle name="Normal 2 45 13" xfId="13114"/>
    <cellStyle name="Normal 2 45 14" xfId="13115"/>
    <cellStyle name="Normal 2 45 15" xfId="13116"/>
    <cellStyle name="Normal 2 45 16" xfId="13117"/>
    <cellStyle name="Normal 2 45 2" xfId="13118"/>
    <cellStyle name="Normal 2 45 3" xfId="13119"/>
    <cellStyle name="Normal 2 45 4" xfId="13120"/>
    <cellStyle name="Normal 2 45 5" xfId="13121"/>
    <cellStyle name="Normal 2 45 6" xfId="13122"/>
    <cellStyle name="Normal 2 45 7" xfId="13123"/>
    <cellStyle name="Normal 2 45 8" xfId="13124"/>
    <cellStyle name="Normal 2 45 9" xfId="13125"/>
    <cellStyle name="Normal 2 46" xfId="13126"/>
    <cellStyle name="Normal 2 46 10" xfId="13127"/>
    <cellStyle name="Normal 2 46 11" xfId="13128"/>
    <cellStyle name="Normal 2 46 12" xfId="13129"/>
    <cellStyle name="Normal 2 46 13" xfId="13130"/>
    <cellStyle name="Normal 2 46 14" xfId="13131"/>
    <cellStyle name="Normal 2 46 15" xfId="13132"/>
    <cellStyle name="Normal 2 46 16" xfId="13133"/>
    <cellStyle name="Normal 2 46 2" xfId="13134"/>
    <cellStyle name="Normal 2 46 2 10" xfId="13135"/>
    <cellStyle name="Normal 2 46 2 10 2" xfId="31314"/>
    <cellStyle name="Normal 2 46 2 11" xfId="13136"/>
    <cellStyle name="Normal 2 46 2 11 2" xfId="31315"/>
    <cellStyle name="Normal 2 46 2 12" xfId="31313"/>
    <cellStyle name="Normal 2 46 2 2" xfId="13137"/>
    <cellStyle name="Normal 2 46 2 2 2" xfId="13138"/>
    <cellStyle name="Normal 2 46 2 2 2 2" xfId="31317"/>
    <cellStyle name="Normal 2 46 2 2 3" xfId="13139"/>
    <cellStyle name="Normal 2 46 2 2 3 2" xfId="31318"/>
    <cellStyle name="Normal 2 46 2 2 4" xfId="13140"/>
    <cellStyle name="Normal 2 46 2 2 4 2" xfId="31319"/>
    <cellStyle name="Normal 2 46 2 2 5" xfId="13141"/>
    <cellStyle name="Normal 2 46 2 2 5 2" xfId="31320"/>
    <cellStyle name="Normal 2 46 2 2 6" xfId="31316"/>
    <cellStyle name="Normal 2 46 2 3" xfId="13142"/>
    <cellStyle name="Normal 2 46 2 3 2" xfId="13143"/>
    <cellStyle name="Normal 2 46 2 3 2 2" xfId="31322"/>
    <cellStyle name="Normal 2 46 2 3 3" xfId="13144"/>
    <cellStyle name="Normal 2 46 2 3 3 2" xfId="31323"/>
    <cellStyle name="Normal 2 46 2 3 4" xfId="13145"/>
    <cellStyle name="Normal 2 46 2 3 4 2" xfId="31324"/>
    <cellStyle name="Normal 2 46 2 3 5" xfId="13146"/>
    <cellStyle name="Normal 2 46 2 3 5 2" xfId="31325"/>
    <cellStyle name="Normal 2 46 2 3 6" xfId="31321"/>
    <cellStyle name="Normal 2 46 2 4" xfId="13147"/>
    <cellStyle name="Normal 2 46 2 4 2" xfId="13148"/>
    <cellStyle name="Normal 2 46 2 4 2 2" xfId="31327"/>
    <cellStyle name="Normal 2 46 2 4 3" xfId="13149"/>
    <cellStyle name="Normal 2 46 2 4 3 2" xfId="31328"/>
    <cellStyle name="Normal 2 46 2 4 4" xfId="13150"/>
    <cellStyle name="Normal 2 46 2 4 4 2" xfId="31329"/>
    <cellStyle name="Normal 2 46 2 4 5" xfId="13151"/>
    <cellStyle name="Normal 2 46 2 4 5 2" xfId="31330"/>
    <cellStyle name="Normal 2 46 2 4 6" xfId="31326"/>
    <cellStyle name="Normal 2 46 2 5" xfId="13152"/>
    <cellStyle name="Normal 2 46 2 5 2" xfId="13153"/>
    <cellStyle name="Normal 2 46 2 5 2 2" xfId="31332"/>
    <cellStyle name="Normal 2 46 2 5 3" xfId="13154"/>
    <cellStyle name="Normal 2 46 2 5 3 2" xfId="31333"/>
    <cellStyle name="Normal 2 46 2 5 4" xfId="13155"/>
    <cellStyle name="Normal 2 46 2 5 4 2" xfId="31334"/>
    <cellStyle name="Normal 2 46 2 5 5" xfId="13156"/>
    <cellStyle name="Normal 2 46 2 5 5 2" xfId="31335"/>
    <cellStyle name="Normal 2 46 2 5 6" xfId="31331"/>
    <cellStyle name="Normal 2 46 2 6" xfId="13157"/>
    <cellStyle name="Normal 2 46 2 6 2" xfId="13158"/>
    <cellStyle name="Normal 2 46 2 6 2 2" xfId="31337"/>
    <cellStyle name="Normal 2 46 2 6 3" xfId="13159"/>
    <cellStyle name="Normal 2 46 2 6 3 2" xfId="31338"/>
    <cellStyle name="Normal 2 46 2 6 4" xfId="13160"/>
    <cellStyle name="Normal 2 46 2 6 4 2" xfId="31339"/>
    <cellStyle name="Normal 2 46 2 6 5" xfId="13161"/>
    <cellStyle name="Normal 2 46 2 6 5 2" xfId="31340"/>
    <cellStyle name="Normal 2 46 2 6 6" xfId="31336"/>
    <cellStyle name="Normal 2 46 2 7" xfId="13162"/>
    <cellStyle name="Normal 2 46 2 7 2" xfId="13163"/>
    <cellStyle name="Normal 2 46 2 7 2 2" xfId="31342"/>
    <cellStyle name="Normal 2 46 2 7 3" xfId="13164"/>
    <cellStyle name="Normal 2 46 2 7 3 2" xfId="31343"/>
    <cellStyle name="Normal 2 46 2 7 4" xfId="13165"/>
    <cellStyle name="Normal 2 46 2 7 4 2" xfId="31344"/>
    <cellStyle name="Normal 2 46 2 7 5" xfId="13166"/>
    <cellStyle name="Normal 2 46 2 7 5 2" xfId="31345"/>
    <cellStyle name="Normal 2 46 2 7 6" xfId="31341"/>
    <cellStyle name="Normal 2 46 2 8" xfId="13167"/>
    <cellStyle name="Normal 2 46 2 8 2" xfId="31346"/>
    <cellStyle name="Normal 2 46 2 9" xfId="13168"/>
    <cellStyle name="Normal 2 46 2 9 2" xfId="31347"/>
    <cellStyle name="Normal 2 46 3" xfId="13169"/>
    <cellStyle name="Normal 2 46 4" xfId="13170"/>
    <cellStyle name="Normal 2 46 5" xfId="13171"/>
    <cellStyle name="Normal 2 46 6" xfId="13172"/>
    <cellStyle name="Normal 2 46 7" xfId="13173"/>
    <cellStyle name="Normal 2 46 8" xfId="13174"/>
    <cellStyle name="Normal 2 46 9" xfId="13175"/>
    <cellStyle name="Normal 2 47" xfId="13176"/>
    <cellStyle name="Normal 2 47 10" xfId="13177"/>
    <cellStyle name="Normal 2 47 11" xfId="13178"/>
    <cellStyle name="Normal 2 47 12" xfId="13179"/>
    <cellStyle name="Normal 2 47 13" xfId="13180"/>
    <cellStyle name="Normal 2 47 14" xfId="13181"/>
    <cellStyle name="Normal 2 47 15" xfId="13182"/>
    <cellStyle name="Normal 2 47 16" xfId="13183"/>
    <cellStyle name="Normal 2 47 2" xfId="13184"/>
    <cellStyle name="Normal 2 47 2 10" xfId="13185"/>
    <cellStyle name="Normal 2 47 2 10 2" xfId="31349"/>
    <cellStyle name="Normal 2 47 2 11" xfId="13186"/>
    <cellStyle name="Normal 2 47 2 11 2" xfId="31350"/>
    <cellStyle name="Normal 2 47 2 12" xfId="31348"/>
    <cellStyle name="Normal 2 47 2 2" xfId="13187"/>
    <cellStyle name="Normal 2 47 2 2 2" xfId="13188"/>
    <cellStyle name="Normal 2 47 2 2 2 2" xfId="31352"/>
    <cellStyle name="Normal 2 47 2 2 3" xfId="13189"/>
    <cellStyle name="Normal 2 47 2 2 3 2" xfId="31353"/>
    <cellStyle name="Normal 2 47 2 2 4" xfId="13190"/>
    <cellStyle name="Normal 2 47 2 2 4 2" xfId="31354"/>
    <cellStyle name="Normal 2 47 2 2 5" xfId="13191"/>
    <cellStyle name="Normal 2 47 2 2 5 2" xfId="31355"/>
    <cellStyle name="Normal 2 47 2 2 6" xfId="31351"/>
    <cellStyle name="Normal 2 47 2 3" xfId="13192"/>
    <cellStyle name="Normal 2 47 2 3 2" xfId="13193"/>
    <cellStyle name="Normal 2 47 2 3 2 2" xfId="31357"/>
    <cellStyle name="Normal 2 47 2 3 3" xfId="13194"/>
    <cellStyle name="Normal 2 47 2 3 3 2" xfId="31358"/>
    <cellStyle name="Normal 2 47 2 3 4" xfId="13195"/>
    <cellStyle name="Normal 2 47 2 3 4 2" xfId="31359"/>
    <cellStyle name="Normal 2 47 2 3 5" xfId="13196"/>
    <cellStyle name="Normal 2 47 2 3 5 2" xfId="31360"/>
    <cellStyle name="Normal 2 47 2 3 6" xfId="31356"/>
    <cellStyle name="Normal 2 47 2 4" xfId="13197"/>
    <cellStyle name="Normal 2 47 2 4 2" xfId="13198"/>
    <cellStyle name="Normal 2 47 2 4 2 2" xfId="31362"/>
    <cellStyle name="Normal 2 47 2 4 3" xfId="13199"/>
    <cellStyle name="Normal 2 47 2 4 3 2" xfId="31363"/>
    <cellStyle name="Normal 2 47 2 4 4" xfId="13200"/>
    <cellStyle name="Normal 2 47 2 4 4 2" xfId="31364"/>
    <cellStyle name="Normal 2 47 2 4 5" xfId="13201"/>
    <cellStyle name="Normal 2 47 2 4 5 2" xfId="31365"/>
    <cellStyle name="Normal 2 47 2 4 6" xfId="31361"/>
    <cellStyle name="Normal 2 47 2 5" xfId="13202"/>
    <cellStyle name="Normal 2 47 2 5 2" xfId="13203"/>
    <cellStyle name="Normal 2 47 2 5 2 2" xfId="31367"/>
    <cellStyle name="Normal 2 47 2 5 3" xfId="13204"/>
    <cellStyle name="Normal 2 47 2 5 3 2" xfId="31368"/>
    <cellStyle name="Normal 2 47 2 5 4" xfId="13205"/>
    <cellStyle name="Normal 2 47 2 5 4 2" xfId="31369"/>
    <cellStyle name="Normal 2 47 2 5 5" xfId="13206"/>
    <cellStyle name="Normal 2 47 2 5 5 2" xfId="31370"/>
    <cellStyle name="Normal 2 47 2 5 6" xfId="31366"/>
    <cellStyle name="Normal 2 47 2 6" xfId="13207"/>
    <cellStyle name="Normal 2 47 2 6 2" xfId="13208"/>
    <cellStyle name="Normal 2 47 2 6 2 2" xfId="31372"/>
    <cellStyle name="Normal 2 47 2 6 3" xfId="13209"/>
    <cellStyle name="Normal 2 47 2 6 3 2" xfId="31373"/>
    <cellStyle name="Normal 2 47 2 6 4" xfId="13210"/>
    <cellStyle name="Normal 2 47 2 6 4 2" xfId="31374"/>
    <cellStyle name="Normal 2 47 2 6 5" xfId="13211"/>
    <cellStyle name="Normal 2 47 2 6 5 2" xfId="31375"/>
    <cellStyle name="Normal 2 47 2 6 6" xfId="31371"/>
    <cellStyle name="Normal 2 47 2 7" xfId="13212"/>
    <cellStyle name="Normal 2 47 2 7 2" xfId="13213"/>
    <cellStyle name="Normal 2 47 2 7 2 2" xfId="31377"/>
    <cellStyle name="Normal 2 47 2 7 3" xfId="13214"/>
    <cellStyle name="Normal 2 47 2 7 3 2" xfId="31378"/>
    <cellStyle name="Normal 2 47 2 7 4" xfId="13215"/>
    <cellStyle name="Normal 2 47 2 7 4 2" xfId="31379"/>
    <cellStyle name="Normal 2 47 2 7 5" xfId="13216"/>
    <cellStyle name="Normal 2 47 2 7 5 2" xfId="31380"/>
    <cellStyle name="Normal 2 47 2 7 6" xfId="31376"/>
    <cellStyle name="Normal 2 47 2 8" xfId="13217"/>
    <cellStyle name="Normal 2 47 2 8 2" xfId="31381"/>
    <cellStyle name="Normal 2 47 2 9" xfId="13218"/>
    <cellStyle name="Normal 2 47 2 9 2" xfId="31382"/>
    <cellStyle name="Normal 2 47 3" xfId="13219"/>
    <cellStyle name="Normal 2 47 4" xfId="13220"/>
    <cellStyle name="Normal 2 47 5" xfId="13221"/>
    <cellStyle name="Normal 2 47 6" xfId="13222"/>
    <cellStyle name="Normal 2 47 7" xfId="13223"/>
    <cellStyle name="Normal 2 47 8" xfId="13224"/>
    <cellStyle name="Normal 2 47 9" xfId="13225"/>
    <cellStyle name="Normal 2 48" xfId="13226"/>
    <cellStyle name="Normal 2 48 10" xfId="13227"/>
    <cellStyle name="Normal 2 48 11" xfId="13228"/>
    <cellStyle name="Normal 2 48 12" xfId="13229"/>
    <cellStyle name="Normal 2 48 13" xfId="13230"/>
    <cellStyle name="Normal 2 48 14" xfId="13231"/>
    <cellStyle name="Normal 2 48 15" xfId="13232"/>
    <cellStyle name="Normal 2 48 16" xfId="13233"/>
    <cellStyle name="Normal 2 48 2" xfId="13234"/>
    <cellStyle name="Normal 2 48 2 10" xfId="13235"/>
    <cellStyle name="Normal 2 48 2 10 2" xfId="31384"/>
    <cellStyle name="Normal 2 48 2 11" xfId="13236"/>
    <cellStyle name="Normal 2 48 2 11 2" xfId="31385"/>
    <cellStyle name="Normal 2 48 2 12" xfId="31383"/>
    <cellStyle name="Normal 2 48 2 2" xfId="13237"/>
    <cellStyle name="Normal 2 48 2 2 2" xfId="13238"/>
    <cellStyle name="Normal 2 48 2 2 2 2" xfId="31387"/>
    <cellStyle name="Normal 2 48 2 2 3" xfId="13239"/>
    <cellStyle name="Normal 2 48 2 2 3 2" xfId="31388"/>
    <cellStyle name="Normal 2 48 2 2 4" xfId="13240"/>
    <cellStyle name="Normal 2 48 2 2 4 2" xfId="31389"/>
    <cellStyle name="Normal 2 48 2 2 5" xfId="13241"/>
    <cellStyle name="Normal 2 48 2 2 5 2" xfId="31390"/>
    <cellStyle name="Normal 2 48 2 2 6" xfId="31386"/>
    <cellStyle name="Normal 2 48 2 3" xfId="13242"/>
    <cellStyle name="Normal 2 48 2 3 2" xfId="13243"/>
    <cellStyle name="Normal 2 48 2 3 2 2" xfId="31392"/>
    <cellStyle name="Normal 2 48 2 3 3" xfId="13244"/>
    <cellStyle name="Normal 2 48 2 3 3 2" xfId="31393"/>
    <cellStyle name="Normal 2 48 2 3 4" xfId="13245"/>
    <cellStyle name="Normal 2 48 2 3 4 2" xfId="31394"/>
    <cellStyle name="Normal 2 48 2 3 5" xfId="13246"/>
    <cellStyle name="Normal 2 48 2 3 5 2" xfId="31395"/>
    <cellStyle name="Normal 2 48 2 3 6" xfId="31391"/>
    <cellStyle name="Normal 2 48 2 4" xfId="13247"/>
    <cellStyle name="Normal 2 48 2 4 2" xfId="13248"/>
    <cellStyle name="Normal 2 48 2 4 2 2" xfId="31397"/>
    <cellStyle name="Normal 2 48 2 4 3" xfId="13249"/>
    <cellStyle name="Normal 2 48 2 4 3 2" xfId="31398"/>
    <cellStyle name="Normal 2 48 2 4 4" xfId="13250"/>
    <cellStyle name="Normal 2 48 2 4 4 2" xfId="31399"/>
    <cellStyle name="Normal 2 48 2 4 5" xfId="13251"/>
    <cellStyle name="Normal 2 48 2 4 5 2" xfId="31400"/>
    <cellStyle name="Normal 2 48 2 4 6" xfId="31396"/>
    <cellStyle name="Normal 2 48 2 5" xfId="13252"/>
    <cellStyle name="Normal 2 48 2 5 2" xfId="13253"/>
    <cellStyle name="Normal 2 48 2 5 2 2" xfId="31402"/>
    <cellStyle name="Normal 2 48 2 5 3" xfId="13254"/>
    <cellStyle name="Normal 2 48 2 5 3 2" xfId="31403"/>
    <cellStyle name="Normal 2 48 2 5 4" xfId="13255"/>
    <cellStyle name="Normal 2 48 2 5 4 2" xfId="31404"/>
    <cellStyle name="Normal 2 48 2 5 5" xfId="13256"/>
    <cellStyle name="Normal 2 48 2 5 5 2" xfId="31405"/>
    <cellStyle name="Normal 2 48 2 5 6" xfId="31401"/>
    <cellStyle name="Normal 2 48 2 6" xfId="13257"/>
    <cellStyle name="Normal 2 48 2 6 2" xfId="13258"/>
    <cellStyle name="Normal 2 48 2 6 2 2" xfId="31407"/>
    <cellStyle name="Normal 2 48 2 6 3" xfId="13259"/>
    <cellStyle name="Normal 2 48 2 6 3 2" xfId="31408"/>
    <cellStyle name="Normal 2 48 2 6 4" xfId="13260"/>
    <cellStyle name="Normal 2 48 2 6 4 2" xfId="31409"/>
    <cellStyle name="Normal 2 48 2 6 5" xfId="13261"/>
    <cellStyle name="Normal 2 48 2 6 5 2" xfId="31410"/>
    <cellStyle name="Normal 2 48 2 6 6" xfId="31406"/>
    <cellStyle name="Normal 2 48 2 7" xfId="13262"/>
    <cellStyle name="Normal 2 48 2 7 2" xfId="13263"/>
    <cellStyle name="Normal 2 48 2 7 2 2" xfId="31412"/>
    <cellStyle name="Normal 2 48 2 7 3" xfId="13264"/>
    <cellStyle name="Normal 2 48 2 7 3 2" xfId="31413"/>
    <cellStyle name="Normal 2 48 2 7 4" xfId="13265"/>
    <cellStyle name="Normal 2 48 2 7 4 2" xfId="31414"/>
    <cellStyle name="Normal 2 48 2 7 5" xfId="13266"/>
    <cellStyle name="Normal 2 48 2 7 5 2" xfId="31415"/>
    <cellStyle name="Normal 2 48 2 7 6" xfId="31411"/>
    <cellStyle name="Normal 2 48 2 8" xfId="13267"/>
    <cellStyle name="Normal 2 48 2 8 2" xfId="31416"/>
    <cellStyle name="Normal 2 48 2 9" xfId="13268"/>
    <cellStyle name="Normal 2 48 2 9 2" xfId="31417"/>
    <cellStyle name="Normal 2 48 3" xfId="13269"/>
    <cellStyle name="Normal 2 48 4" xfId="13270"/>
    <cellStyle name="Normal 2 48 5" xfId="13271"/>
    <cellStyle name="Normal 2 48 6" xfId="13272"/>
    <cellStyle name="Normal 2 48 7" xfId="13273"/>
    <cellStyle name="Normal 2 48 8" xfId="13274"/>
    <cellStyle name="Normal 2 48 9" xfId="13275"/>
    <cellStyle name="Normal 2 49" xfId="13276"/>
    <cellStyle name="Normal 2 49 10" xfId="13277"/>
    <cellStyle name="Normal 2 49 11" xfId="13278"/>
    <cellStyle name="Normal 2 49 12" xfId="13279"/>
    <cellStyle name="Normal 2 49 13" xfId="13280"/>
    <cellStyle name="Normal 2 49 14" xfId="13281"/>
    <cellStyle name="Normal 2 49 15" xfId="13282"/>
    <cellStyle name="Normal 2 49 16" xfId="13283"/>
    <cellStyle name="Normal 2 49 2" xfId="13284"/>
    <cellStyle name="Normal 2 49 2 10" xfId="13285"/>
    <cellStyle name="Normal 2 49 2 10 2" xfId="31419"/>
    <cellStyle name="Normal 2 49 2 11" xfId="13286"/>
    <cellStyle name="Normal 2 49 2 11 2" xfId="31420"/>
    <cellStyle name="Normal 2 49 2 12" xfId="31418"/>
    <cellStyle name="Normal 2 49 2 2" xfId="13287"/>
    <cellStyle name="Normal 2 49 2 2 2" xfId="13288"/>
    <cellStyle name="Normal 2 49 2 2 2 2" xfId="31422"/>
    <cellStyle name="Normal 2 49 2 2 3" xfId="13289"/>
    <cellStyle name="Normal 2 49 2 2 3 2" xfId="31423"/>
    <cellStyle name="Normal 2 49 2 2 4" xfId="13290"/>
    <cellStyle name="Normal 2 49 2 2 4 2" xfId="31424"/>
    <cellStyle name="Normal 2 49 2 2 5" xfId="13291"/>
    <cellStyle name="Normal 2 49 2 2 5 2" xfId="31425"/>
    <cellStyle name="Normal 2 49 2 2 6" xfId="31421"/>
    <cellStyle name="Normal 2 49 2 3" xfId="13292"/>
    <cellStyle name="Normal 2 49 2 3 2" xfId="13293"/>
    <cellStyle name="Normal 2 49 2 3 2 2" xfId="31427"/>
    <cellStyle name="Normal 2 49 2 3 3" xfId="13294"/>
    <cellStyle name="Normal 2 49 2 3 3 2" xfId="31428"/>
    <cellStyle name="Normal 2 49 2 3 4" xfId="13295"/>
    <cellStyle name="Normal 2 49 2 3 4 2" xfId="31429"/>
    <cellStyle name="Normal 2 49 2 3 5" xfId="13296"/>
    <cellStyle name="Normal 2 49 2 3 5 2" xfId="31430"/>
    <cellStyle name="Normal 2 49 2 3 6" xfId="31426"/>
    <cellStyle name="Normal 2 49 2 4" xfId="13297"/>
    <cellStyle name="Normal 2 49 2 4 2" xfId="13298"/>
    <cellStyle name="Normal 2 49 2 4 2 2" xfId="31432"/>
    <cellStyle name="Normal 2 49 2 4 3" xfId="13299"/>
    <cellStyle name="Normal 2 49 2 4 3 2" xfId="31433"/>
    <cellStyle name="Normal 2 49 2 4 4" xfId="13300"/>
    <cellStyle name="Normal 2 49 2 4 4 2" xfId="31434"/>
    <cellStyle name="Normal 2 49 2 4 5" xfId="13301"/>
    <cellStyle name="Normal 2 49 2 4 5 2" xfId="31435"/>
    <cellStyle name="Normal 2 49 2 4 6" xfId="31431"/>
    <cellStyle name="Normal 2 49 2 5" xfId="13302"/>
    <cellStyle name="Normal 2 49 2 5 2" xfId="13303"/>
    <cellStyle name="Normal 2 49 2 5 2 2" xfId="31437"/>
    <cellStyle name="Normal 2 49 2 5 3" xfId="13304"/>
    <cellStyle name="Normal 2 49 2 5 3 2" xfId="31438"/>
    <cellStyle name="Normal 2 49 2 5 4" xfId="13305"/>
    <cellStyle name="Normal 2 49 2 5 4 2" xfId="31439"/>
    <cellStyle name="Normal 2 49 2 5 5" xfId="13306"/>
    <cellStyle name="Normal 2 49 2 5 5 2" xfId="31440"/>
    <cellStyle name="Normal 2 49 2 5 6" xfId="31436"/>
    <cellStyle name="Normal 2 49 2 6" xfId="13307"/>
    <cellStyle name="Normal 2 49 2 6 2" xfId="13308"/>
    <cellStyle name="Normal 2 49 2 6 2 2" xfId="31442"/>
    <cellStyle name="Normal 2 49 2 6 3" xfId="13309"/>
    <cellStyle name="Normal 2 49 2 6 3 2" xfId="31443"/>
    <cellStyle name="Normal 2 49 2 6 4" xfId="13310"/>
    <cellStyle name="Normal 2 49 2 6 4 2" xfId="31444"/>
    <cellStyle name="Normal 2 49 2 6 5" xfId="13311"/>
    <cellStyle name="Normal 2 49 2 6 5 2" xfId="31445"/>
    <cellStyle name="Normal 2 49 2 6 6" xfId="31441"/>
    <cellStyle name="Normal 2 49 2 7" xfId="13312"/>
    <cellStyle name="Normal 2 49 2 7 2" xfId="13313"/>
    <cellStyle name="Normal 2 49 2 7 2 2" xfId="31447"/>
    <cellStyle name="Normal 2 49 2 7 3" xfId="13314"/>
    <cellStyle name="Normal 2 49 2 7 3 2" xfId="31448"/>
    <cellStyle name="Normal 2 49 2 7 4" xfId="13315"/>
    <cellStyle name="Normal 2 49 2 7 4 2" xfId="31449"/>
    <cellStyle name="Normal 2 49 2 7 5" xfId="13316"/>
    <cellStyle name="Normal 2 49 2 7 5 2" xfId="31450"/>
    <cellStyle name="Normal 2 49 2 7 6" xfId="31446"/>
    <cellStyle name="Normal 2 49 2 8" xfId="13317"/>
    <cellStyle name="Normal 2 49 2 8 2" xfId="31451"/>
    <cellStyle name="Normal 2 49 2 9" xfId="13318"/>
    <cellStyle name="Normal 2 49 2 9 2" xfId="31452"/>
    <cellStyle name="Normal 2 49 3" xfId="13319"/>
    <cellStyle name="Normal 2 49 4" xfId="13320"/>
    <cellStyle name="Normal 2 49 5" xfId="13321"/>
    <cellStyle name="Normal 2 49 6" xfId="13322"/>
    <cellStyle name="Normal 2 49 7" xfId="13323"/>
    <cellStyle name="Normal 2 49 8" xfId="13324"/>
    <cellStyle name="Normal 2 49 9" xfId="13325"/>
    <cellStyle name="Normal 2 5" xfId="13326"/>
    <cellStyle name="Normal 2 5 10" xfId="13327"/>
    <cellStyle name="Normal 2 5 11" xfId="13328"/>
    <cellStyle name="Normal 2 5 12" xfId="13329"/>
    <cellStyle name="Normal 2 5 13" xfId="13330"/>
    <cellStyle name="Normal 2 5 14" xfId="13331"/>
    <cellStyle name="Normal 2 5 15" xfId="13332"/>
    <cellStyle name="Normal 2 5 16" xfId="13333"/>
    <cellStyle name="Normal 2 5 17" xfId="13334"/>
    <cellStyle name="Normal 2 5 18" xfId="13335"/>
    <cellStyle name="Normal 2 5 19" xfId="13336"/>
    <cellStyle name="Normal 2 5 2" xfId="13337"/>
    <cellStyle name="Normal 2 5 2 10" xfId="13338"/>
    <cellStyle name="Normal 2 5 2 11" xfId="40643"/>
    <cellStyle name="Normal 2 5 2 2" xfId="13339"/>
    <cellStyle name="Normal 2 5 2 2 2" xfId="13340"/>
    <cellStyle name="Normal 2 5 2 2 3" xfId="13341"/>
    <cellStyle name="Normal 2 5 2 2 4" xfId="13342"/>
    <cellStyle name="Normal 2 5 2 2 5" xfId="13343"/>
    <cellStyle name="Normal 2 5 2 2 6" xfId="13344"/>
    <cellStyle name="Normal 2 5 2 2 7" xfId="13345"/>
    <cellStyle name="Normal 2 5 2 3" xfId="13346"/>
    <cellStyle name="Normal 2 5 2 4" xfId="13347"/>
    <cellStyle name="Normal 2 5 2 5" xfId="13348"/>
    <cellStyle name="Normal 2 5 2 6" xfId="13349"/>
    <cellStyle name="Normal 2 5 2 7" xfId="13350"/>
    <cellStyle name="Normal 2 5 2 8" xfId="13351"/>
    <cellStyle name="Normal 2 5 2 9" xfId="13352"/>
    <cellStyle name="Normal 2 5 20" xfId="13353"/>
    <cellStyle name="Normal 2 5 21" xfId="13354"/>
    <cellStyle name="Normal 2 5 22" xfId="13355"/>
    <cellStyle name="Normal 2 5 23" xfId="13356"/>
    <cellStyle name="Normal 2 5 24" xfId="13357"/>
    <cellStyle name="Normal 2 5 25" xfId="13358"/>
    <cellStyle name="Normal 2 5 26" xfId="13359"/>
    <cellStyle name="Normal 2 5 27" xfId="13360"/>
    <cellStyle name="Normal 2 5 28" xfId="13361"/>
    <cellStyle name="Normal 2 5 29" xfId="13362"/>
    <cellStyle name="Normal 2 5 3" xfId="13363"/>
    <cellStyle name="Normal 2 5 3 2" xfId="13364"/>
    <cellStyle name="Normal 2 5 3 3" xfId="13365"/>
    <cellStyle name="Normal 2 5 3 4" xfId="13366"/>
    <cellStyle name="Normal 2 5 3 5" xfId="13367"/>
    <cellStyle name="Normal 2 5 3 6" xfId="40644"/>
    <cellStyle name="Normal 2 5 30" xfId="13368"/>
    <cellStyle name="Normal 2 5 31" xfId="13369"/>
    <cellStyle name="Normal 2 5 4" xfId="13370"/>
    <cellStyle name="Normal 2 5 4 2" xfId="40645"/>
    <cellStyle name="Normal 2 5 5" xfId="13371"/>
    <cellStyle name="Normal 2 5 6" xfId="13372"/>
    <cellStyle name="Normal 2 5 7" xfId="13373"/>
    <cellStyle name="Normal 2 5 8" xfId="13374"/>
    <cellStyle name="Normal 2 5 9" xfId="13375"/>
    <cellStyle name="Normal 2 50" xfId="13376"/>
    <cellStyle name="Normal 2 51" xfId="13377"/>
    <cellStyle name="Normal 2 52" xfId="13378"/>
    <cellStyle name="Normal 2 53" xfId="13379"/>
    <cellStyle name="Normal 2 54" xfId="13380"/>
    <cellStyle name="Normal 2 55" xfId="13381"/>
    <cellStyle name="Normal 2 56" xfId="13382"/>
    <cellStyle name="Normal 2 57" xfId="13383"/>
    <cellStyle name="Normal 2 58" xfId="13384"/>
    <cellStyle name="Normal 2 59" xfId="13385"/>
    <cellStyle name="Normal 2 6" xfId="13386"/>
    <cellStyle name="Normal 2 6 10" xfId="13387"/>
    <cellStyle name="Normal 2 6 11" xfId="13388"/>
    <cellStyle name="Normal 2 6 12" xfId="13389"/>
    <cellStyle name="Normal 2 6 13" xfId="13390"/>
    <cellStyle name="Normal 2 6 14" xfId="13391"/>
    <cellStyle name="Normal 2 6 15" xfId="13392"/>
    <cellStyle name="Normal 2 6 16" xfId="13393"/>
    <cellStyle name="Normal 2 6 17" xfId="13394"/>
    <cellStyle name="Normal 2 6 18" xfId="13395"/>
    <cellStyle name="Normal 2 6 19" xfId="13396"/>
    <cellStyle name="Normal 2 6 2" xfId="13397"/>
    <cellStyle name="Normal 2 6 2 10" xfId="13398"/>
    <cellStyle name="Normal 2 6 2 11" xfId="40646"/>
    <cellStyle name="Normal 2 6 2 2" xfId="13399"/>
    <cellStyle name="Normal 2 6 2 2 2" xfId="13400"/>
    <cellStyle name="Normal 2 6 2 2 3" xfId="13401"/>
    <cellStyle name="Normal 2 6 2 2 4" xfId="13402"/>
    <cellStyle name="Normal 2 6 2 2 5" xfId="13403"/>
    <cellStyle name="Normal 2 6 2 2 6" xfId="13404"/>
    <cellStyle name="Normal 2 6 2 2 7" xfId="13405"/>
    <cellStyle name="Normal 2 6 2 3" xfId="13406"/>
    <cellStyle name="Normal 2 6 2 4" xfId="13407"/>
    <cellStyle name="Normal 2 6 2 5" xfId="13408"/>
    <cellStyle name="Normal 2 6 2 6" xfId="13409"/>
    <cellStyle name="Normal 2 6 2 7" xfId="13410"/>
    <cellStyle name="Normal 2 6 2 8" xfId="13411"/>
    <cellStyle name="Normal 2 6 2 9" xfId="13412"/>
    <cellStyle name="Normal 2 6 20" xfId="13413"/>
    <cellStyle name="Normal 2 6 21" xfId="13414"/>
    <cellStyle name="Normal 2 6 22" xfId="13415"/>
    <cellStyle name="Normal 2 6 23" xfId="13416"/>
    <cellStyle name="Normal 2 6 24" xfId="13417"/>
    <cellStyle name="Normal 2 6 25" xfId="13418"/>
    <cellStyle name="Normal 2 6 26" xfId="13419"/>
    <cellStyle name="Normal 2 6 27" xfId="13420"/>
    <cellStyle name="Normal 2 6 28" xfId="13421"/>
    <cellStyle name="Normal 2 6 29" xfId="13422"/>
    <cellStyle name="Normal 2 6 3" xfId="13423"/>
    <cellStyle name="Normal 2 6 3 2" xfId="13424"/>
    <cellStyle name="Normal 2 6 3 3" xfId="13425"/>
    <cellStyle name="Normal 2 6 3 4" xfId="13426"/>
    <cellStyle name="Normal 2 6 3 5" xfId="13427"/>
    <cellStyle name="Normal 2 6 3 6" xfId="40647"/>
    <cellStyle name="Normal 2 6 30" xfId="13428"/>
    <cellStyle name="Normal 2 6 31" xfId="13429"/>
    <cellStyle name="Normal 2 6 4" xfId="13430"/>
    <cellStyle name="Normal 2 6 4 2" xfId="40648"/>
    <cellStyle name="Normal 2 6 5" xfId="13431"/>
    <cellStyle name="Normal 2 6 6" xfId="13432"/>
    <cellStyle name="Normal 2 6 7" xfId="13433"/>
    <cellStyle name="Normal 2 6 8" xfId="13434"/>
    <cellStyle name="Normal 2 6 9" xfId="13435"/>
    <cellStyle name="Normal 2 60" xfId="13436"/>
    <cellStyle name="Normal 2 61" xfId="13437"/>
    <cellStyle name="Normal 2 62" xfId="13438"/>
    <cellStyle name="Normal 2 63" xfId="13439"/>
    <cellStyle name="Normal 2 64" xfId="13440"/>
    <cellStyle name="Normal 2 65" xfId="13441"/>
    <cellStyle name="Normal 2 66" xfId="13442"/>
    <cellStyle name="Normal 2 67" xfId="13443"/>
    <cellStyle name="Normal 2 68" xfId="13444"/>
    <cellStyle name="Normal 2 69" xfId="13445"/>
    <cellStyle name="Normal 2 7" xfId="13446"/>
    <cellStyle name="Normal 2 7 10" xfId="13447"/>
    <cellStyle name="Normal 2 7 11" xfId="13448"/>
    <cellStyle name="Normal 2 7 12" xfId="13449"/>
    <cellStyle name="Normal 2 7 13" xfId="13450"/>
    <cellStyle name="Normal 2 7 14" xfId="13451"/>
    <cellStyle name="Normal 2 7 15" xfId="13452"/>
    <cellStyle name="Normal 2 7 16" xfId="13453"/>
    <cellStyle name="Normal 2 7 17" xfId="13454"/>
    <cellStyle name="Normal 2 7 18" xfId="13455"/>
    <cellStyle name="Normal 2 7 19" xfId="13456"/>
    <cellStyle name="Normal 2 7 2" xfId="13457"/>
    <cellStyle name="Normal 2 7 2 10" xfId="13458"/>
    <cellStyle name="Normal 2 7 2 11" xfId="40649"/>
    <cellStyle name="Normal 2 7 2 2" xfId="13459"/>
    <cellStyle name="Normal 2 7 2 2 2" xfId="13460"/>
    <cellStyle name="Normal 2 7 2 2 3" xfId="13461"/>
    <cellStyle name="Normal 2 7 2 2 4" xfId="13462"/>
    <cellStyle name="Normal 2 7 2 2 5" xfId="13463"/>
    <cellStyle name="Normal 2 7 2 2 6" xfId="13464"/>
    <cellStyle name="Normal 2 7 2 2 7" xfId="13465"/>
    <cellStyle name="Normal 2 7 2 3" xfId="13466"/>
    <cellStyle name="Normal 2 7 2 4" xfId="13467"/>
    <cellStyle name="Normal 2 7 2 5" xfId="13468"/>
    <cellStyle name="Normal 2 7 2 6" xfId="13469"/>
    <cellStyle name="Normal 2 7 2 7" xfId="13470"/>
    <cellStyle name="Normal 2 7 2 8" xfId="13471"/>
    <cellStyle name="Normal 2 7 2 9" xfId="13472"/>
    <cellStyle name="Normal 2 7 20" xfId="13473"/>
    <cellStyle name="Normal 2 7 21" xfId="13474"/>
    <cellStyle name="Normal 2 7 22" xfId="13475"/>
    <cellStyle name="Normal 2 7 23" xfId="13476"/>
    <cellStyle name="Normal 2 7 24" xfId="13477"/>
    <cellStyle name="Normal 2 7 25" xfId="13478"/>
    <cellStyle name="Normal 2 7 26" xfId="13479"/>
    <cellStyle name="Normal 2 7 27" xfId="13480"/>
    <cellStyle name="Normal 2 7 28" xfId="13481"/>
    <cellStyle name="Normal 2 7 29" xfId="13482"/>
    <cellStyle name="Normal 2 7 3" xfId="13483"/>
    <cellStyle name="Normal 2 7 3 2" xfId="13484"/>
    <cellStyle name="Normal 2 7 3 3" xfId="13485"/>
    <cellStyle name="Normal 2 7 3 4" xfId="13486"/>
    <cellStyle name="Normal 2 7 3 5" xfId="13487"/>
    <cellStyle name="Normal 2 7 3 6" xfId="40650"/>
    <cellStyle name="Normal 2 7 30" xfId="13488"/>
    <cellStyle name="Normal 2 7 31" xfId="13489"/>
    <cellStyle name="Normal 2 7 4" xfId="13490"/>
    <cellStyle name="Normal 2 7 4 2" xfId="40651"/>
    <cellStyle name="Normal 2 7 5" xfId="13491"/>
    <cellStyle name="Normal 2 7 6" xfId="13492"/>
    <cellStyle name="Normal 2 7 7" xfId="13493"/>
    <cellStyle name="Normal 2 7 8" xfId="13494"/>
    <cellStyle name="Normal 2 7 9" xfId="13495"/>
    <cellStyle name="Normal 2 70" xfId="13496"/>
    <cellStyle name="Normal 2 71" xfId="13497"/>
    <cellStyle name="Normal 2 72" xfId="13498"/>
    <cellStyle name="Normal 2 73" xfId="13499"/>
    <cellStyle name="Normal 2 74" xfId="13500"/>
    <cellStyle name="Normal 2 75" xfId="13501"/>
    <cellStyle name="Normal 2 76" xfId="13502"/>
    <cellStyle name="Normal 2 77" xfId="13503"/>
    <cellStyle name="Normal 2 78" xfId="13504"/>
    <cellStyle name="Normal 2 79" xfId="13505"/>
    <cellStyle name="Normal 2 8" xfId="13506"/>
    <cellStyle name="Normal 2 8 10" xfId="13507"/>
    <cellStyle name="Normal 2 8 11" xfId="13508"/>
    <cellStyle name="Normal 2 8 12" xfId="13509"/>
    <cellStyle name="Normal 2 8 13" xfId="40652"/>
    <cellStyle name="Normal 2 8 2" xfId="13510"/>
    <cellStyle name="Normal 2 8 2 2" xfId="13511"/>
    <cellStyle name="Normal 2 8 2 2 2" xfId="40653"/>
    <cellStyle name="Normal 2 8 2 3" xfId="13512"/>
    <cellStyle name="Normal 2 8 2 4" xfId="13513"/>
    <cellStyle name="Normal 2 8 2 5" xfId="13514"/>
    <cellStyle name="Normal 2 8 2 6" xfId="13515"/>
    <cellStyle name="Normal 2 8 2 7" xfId="13516"/>
    <cellStyle name="Normal 2 8 3" xfId="13517"/>
    <cellStyle name="Normal 2 8 3 2" xfId="40654"/>
    <cellStyle name="Normal 2 8 4" xfId="13518"/>
    <cellStyle name="Normal 2 8 4 2" xfId="40655"/>
    <cellStyle name="Normal 2 8 5" xfId="13519"/>
    <cellStyle name="Normal 2 8 5 2" xfId="41017"/>
    <cellStyle name="Normal 2 8 6" xfId="13520"/>
    <cellStyle name="Normal 2 8 6 2" xfId="41016"/>
    <cellStyle name="Normal 2 8 7" xfId="13521"/>
    <cellStyle name="Normal 2 8 8" xfId="13522"/>
    <cellStyle name="Normal 2 8 9" xfId="13523"/>
    <cellStyle name="Normal 2 80" xfId="13524"/>
    <cellStyle name="Normal 2 81" xfId="13525"/>
    <cellStyle name="Normal 2 82" xfId="13526"/>
    <cellStyle name="Normal 2 83" xfId="13527"/>
    <cellStyle name="Normal 2 84" xfId="13528"/>
    <cellStyle name="Normal 2 85" xfId="13529"/>
    <cellStyle name="Normal 2 86" xfId="13530"/>
    <cellStyle name="Normal 2 87" xfId="13531"/>
    <cellStyle name="Normal 2 88" xfId="13532"/>
    <cellStyle name="Normal 2 89" xfId="13533"/>
    <cellStyle name="Normal 2 9" xfId="13534"/>
    <cellStyle name="Normal 2 9 10" xfId="13535"/>
    <cellStyle name="Normal 2 9 11" xfId="13536"/>
    <cellStyle name="Normal 2 9 12" xfId="13537"/>
    <cellStyle name="Normal 2 9 13" xfId="40656"/>
    <cellStyle name="Normal 2 9 2" xfId="13538"/>
    <cellStyle name="Normal 2 9 2 2" xfId="13539"/>
    <cellStyle name="Normal 2 9 2 2 2" xfId="40657"/>
    <cellStyle name="Normal 2 9 2 3" xfId="13540"/>
    <cellStyle name="Normal 2 9 2 4" xfId="13541"/>
    <cellStyle name="Normal 2 9 2 5" xfId="13542"/>
    <cellStyle name="Normal 2 9 2 6" xfId="13543"/>
    <cellStyle name="Normal 2 9 2 7" xfId="13544"/>
    <cellStyle name="Normal 2 9 3" xfId="13545"/>
    <cellStyle name="Normal 2 9 3 2" xfId="40658"/>
    <cellStyle name="Normal 2 9 4" xfId="13546"/>
    <cellStyle name="Normal 2 9 4 2" xfId="40659"/>
    <cellStyle name="Normal 2 9 5" xfId="13547"/>
    <cellStyle name="Normal 2 9 6" xfId="13548"/>
    <cellStyle name="Normal 2 9 7" xfId="13549"/>
    <cellStyle name="Normal 2 9 8" xfId="13550"/>
    <cellStyle name="Normal 2 9 9" xfId="13551"/>
    <cellStyle name="Normal 2 90" xfId="13552"/>
    <cellStyle name="Normal 2 91" xfId="13553"/>
    <cellStyle name="Normal 2 92" xfId="13554"/>
    <cellStyle name="Normal 2 93" xfId="13555"/>
    <cellStyle name="Normal 2 94" xfId="13556"/>
    <cellStyle name="Normal 2 95" xfId="13557"/>
    <cellStyle name="Normal 2 96" xfId="13558"/>
    <cellStyle name="Normal 2 97" xfId="13559"/>
    <cellStyle name="Normal 2 98" xfId="13560"/>
    <cellStyle name="Normal 2 99" xfId="13561"/>
    <cellStyle name="Normal 20" xfId="13562"/>
    <cellStyle name="Normal 20 2" xfId="13563"/>
    <cellStyle name="Normal 20 3" xfId="13564"/>
    <cellStyle name="Normal 21" xfId="13565"/>
    <cellStyle name="Normal 21 2" xfId="13566"/>
    <cellStyle name="Normal 21 3" xfId="13567"/>
    <cellStyle name="Normal 22" xfId="13568"/>
    <cellStyle name="Normal 22 2" xfId="13569"/>
    <cellStyle name="Normal 22 3" xfId="13570"/>
    <cellStyle name="Normal 23" xfId="13571"/>
    <cellStyle name="Normal 23 2" xfId="13572"/>
    <cellStyle name="Normal 24" xfId="13573"/>
    <cellStyle name="Normal 24 2" xfId="13574"/>
    <cellStyle name="Normal 25" xfId="13575"/>
    <cellStyle name="Normal 25 2" xfId="13576"/>
    <cellStyle name="Normal 26" xfId="13577"/>
    <cellStyle name="Normal 26 2" xfId="13578"/>
    <cellStyle name="Normal 26 3" xfId="13579"/>
    <cellStyle name="Normal 27" xfId="13580"/>
    <cellStyle name="Normal 27 2" xfId="13581"/>
    <cellStyle name="Normal 28" xfId="13582"/>
    <cellStyle name="Normal 28 2" xfId="13583"/>
    <cellStyle name="Normal 29" xfId="13584"/>
    <cellStyle name="Normal 29 10" xfId="13585"/>
    <cellStyle name="Normal 29 11" xfId="13586"/>
    <cellStyle name="Normal 29 12" xfId="13587"/>
    <cellStyle name="Normal 29 13" xfId="13588"/>
    <cellStyle name="Normal 29 14" xfId="13589"/>
    <cellStyle name="Normal 29 15" xfId="13590"/>
    <cellStyle name="Normal 29 16" xfId="13591"/>
    <cellStyle name="Normal 29 17" xfId="13592"/>
    <cellStyle name="Normal 29 2" xfId="13593"/>
    <cellStyle name="Normal 29 3" xfId="13594"/>
    <cellStyle name="Normal 29 4" xfId="13595"/>
    <cellStyle name="Normal 29 5" xfId="13596"/>
    <cellStyle name="Normal 29 6" xfId="13597"/>
    <cellStyle name="Normal 29 7" xfId="13598"/>
    <cellStyle name="Normal 29 8" xfId="13599"/>
    <cellStyle name="Normal 29 9" xfId="13600"/>
    <cellStyle name="Normal 3" xfId="13601"/>
    <cellStyle name="Normal 3 10" xfId="13602"/>
    <cellStyle name="Normal 3 10 10" xfId="13603"/>
    <cellStyle name="Normal 3 10 11" xfId="13604"/>
    <cellStyle name="Normal 3 10 12" xfId="13605"/>
    <cellStyle name="Normal 3 10 13" xfId="13606"/>
    <cellStyle name="Normal 3 10 14" xfId="13607"/>
    <cellStyle name="Normal 3 10 15" xfId="13608"/>
    <cellStyle name="Normal 3 10 16" xfId="13609"/>
    <cellStyle name="Normal 3 10 17" xfId="13610"/>
    <cellStyle name="Normal 3 10 18" xfId="13611"/>
    <cellStyle name="Normal 3 10 19" xfId="13612"/>
    <cellStyle name="Normal 3 10 2" xfId="13613"/>
    <cellStyle name="Normal 3 10 2 10" xfId="13614"/>
    <cellStyle name="Normal 3 10 2 11" xfId="13615"/>
    <cellStyle name="Normal 3 10 2 12" xfId="13616"/>
    <cellStyle name="Normal 3 10 2 13" xfId="13617"/>
    <cellStyle name="Normal 3 10 2 14" xfId="13618"/>
    <cellStyle name="Normal 3 10 2 15" xfId="13619"/>
    <cellStyle name="Normal 3 10 2 16" xfId="13620"/>
    <cellStyle name="Normal 3 10 2 17" xfId="40660"/>
    <cellStyle name="Normal 3 10 2 2" xfId="13621"/>
    <cellStyle name="Normal 3 10 2 3" xfId="13622"/>
    <cellStyle name="Normal 3 10 2 4" xfId="13623"/>
    <cellStyle name="Normal 3 10 2 5" xfId="13624"/>
    <cellStyle name="Normal 3 10 2 6" xfId="13625"/>
    <cellStyle name="Normal 3 10 2 7" xfId="13626"/>
    <cellStyle name="Normal 3 10 2 8" xfId="13627"/>
    <cellStyle name="Normal 3 10 2 9" xfId="13628"/>
    <cellStyle name="Normal 3 10 20" xfId="13629"/>
    <cellStyle name="Normal 3 10 3" xfId="13630"/>
    <cellStyle name="Normal 3 10 3 2" xfId="13631"/>
    <cellStyle name="Normal 3 10 3 3" xfId="40661"/>
    <cellStyle name="Normal 3 10 4" xfId="13632"/>
    <cellStyle name="Normal 3 10 4 2" xfId="13633"/>
    <cellStyle name="Normal 3 10 4 3" xfId="40662"/>
    <cellStyle name="Normal 3 10 5" xfId="13634"/>
    <cellStyle name="Normal 3 10 5 2" xfId="13635"/>
    <cellStyle name="Normal 3 10 6" xfId="13636"/>
    <cellStyle name="Normal 3 10 6 2" xfId="13637"/>
    <cellStyle name="Normal 3 10 7" xfId="13638"/>
    <cellStyle name="Normal 3 10 8" xfId="13639"/>
    <cellStyle name="Normal 3 10 9" xfId="13640"/>
    <cellStyle name="Normal 3 11" xfId="13641"/>
    <cellStyle name="Normal 3 11 10" xfId="13642"/>
    <cellStyle name="Normal 3 11 11" xfId="13643"/>
    <cellStyle name="Normal 3 11 12" xfId="13644"/>
    <cellStyle name="Normal 3 11 13" xfId="13645"/>
    <cellStyle name="Normal 3 11 14" xfId="13646"/>
    <cellStyle name="Normal 3 11 15" xfId="13647"/>
    <cellStyle name="Normal 3 11 16" xfId="13648"/>
    <cellStyle name="Normal 3 11 17" xfId="13649"/>
    <cellStyle name="Normal 3 11 18" xfId="13650"/>
    <cellStyle name="Normal 3 11 19" xfId="13651"/>
    <cellStyle name="Normal 3 11 2" xfId="13652"/>
    <cellStyle name="Normal 3 11 2 10" xfId="13653"/>
    <cellStyle name="Normal 3 11 2 11" xfId="13654"/>
    <cellStyle name="Normal 3 11 2 12" xfId="13655"/>
    <cellStyle name="Normal 3 11 2 13" xfId="13656"/>
    <cellStyle name="Normal 3 11 2 14" xfId="13657"/>
    <cellStyle name="Normal 3 11 2 15" xfId="13658"/>
    <cellStyle name="Normal 3 11 2 16" xfId="13659"/>
    <cellStyle name="Normal 3 11 2 17" xfId="40663"/>
    <cellStyle name="Normal 3 11 2 2" xfId="13660"/>
    <cellStyle name="Normal 3 11 2 3" xfId="13661"/>
    <cellStyle name="Normal 3 11 2 4" xfId="13662"/>
    <cellStyle name="Normal 3 11 2 5" xfId="13663"/>
    <cellStyle name="Normal 3 11 2 6" xfId="13664"/>
    <cellStyle name="Normal 3 11 2 7" xfId="13665"/>
    <cellStyle name="Normal 3 11 2 8" xfId="13666"/>
    <cellStyle name="Normal 3 11 2 9" xfId="13667"/>
    <cellStyle name="Normal 3 11 20" xfId="13668"/>
    <cellStyle name="Normal 3 11 3" xfId="13669"/>
    <cellStyle name="Normal 3 11 3 2" xfId="13670"/>
    <cellStyle name="Normal 3 11 3 3" xfId="40664"/>
    <cellStyle name="Normal 3 11 4" xfId="13671"/>
    <cellStyle name="Normal 3 11 4 2" xfId="13672"/>
    <cellStyle name="Normal 3 11 4 3" xfId="40665"/>
    <cellStyle name="Normal 3 11 5" xfId="13673"/>
    <cellStyle name="Normal 3 11 5 2" xfId="13674"/>
    <cellStyle name="Normal 3 11 6" xfId="13675"/>
    <cellStyle name="Normal 3 11 6 2" xfId="13676"/>
    <cellStyle name="Normal 3 11 7" xfId="13677"/>
    <cellStyle name="Normal 3 11 8" xfId="13678"/>
    <cellStyle name="Normal 3 11 9" xfId="13679"/>
    <cellStyle name="Normal 3 12" xfId="13680"/>
    <cellStyle name="Normal 3 12 2" xfId="13681"/>
    <cellStyle name="Normal 3 12 3" xfId="13682"/>
    <cellStyle name="Normal 3 12 4" xfId="13683"/>
    <cellStyle name="Normal 3 12 5" xfId="13684"/>
    <cellStyle name="Normal 3 13" xfId="13685"/>
    <cellStyle name="Normal 3 13 2" xfId="13686"/>
    <cellStyle name="Normal 3 13 3" xfId="13687"/>
    <cellStyle name="Normal 3 13 4" xfId="13688"/>
    <cellStyle name="Normal 3 13 5" xfId="13689"/>
    <cellStyle name="Normal 3 14" xfId="13690"/>
    <cellStyle name="Normal 3 14 2" xfId="13691"/>
    <cellStyle name="Normal 3 14 2 10" xfId="13692"/>
    <cellStyle name="Normal 3 14 2 11" xfId="13693"/>
    <cellStyle name="Normal 3 14 2 12" xfId="13694"/>
    <cellStyle name="Normal 3 14 2 13" xfId="13695"/>
    <cellStyle name="Normal 3 14 2 14" xfId="13696"/>
    <cellStyle name="Normal 3 14 2 15" xfId="13697"/>
    <cellStyle name="Normal 3 14 2 2" xfId="13698"/>
    <cellStyle name="Normal 3 14 2 3" xfId="13699"/>
    <cellStyle name="Normal 3 14 2 4" xfId="13700"/>
    <cellStyle name="Normal 3 14 2 5" xfId="13701"/>
    <cellStyle name="Normal 3 14 2 6" xfId="13702"/>
    <cellStyle name="Normal 3 14 2 7" xfId="13703"/>
    <cellStyle name="Normal 3 14 2 8" xfId="13704"/>
    <cellStyle name="Normal 3 14 2 9" xfId="13705"/>
    <cellStyle name="Normal 3 14 3" xfId="13706"/>
    <cellStyle name="Normal 3 14 3 10" xfId="13707"/>
    <cellStyle name="Normal 3 14 3 11" xfId="13708"/>
    <cellStyle name="Normal 3 14 3 12" xfId="13709"/>
    <cellStyle name="Normal 3 14 3 13" xfId="13710"/>
    <cellStyle name="Normal 3 14 3 14" xfId="13711"/>
    <cellStyle name="Normal 3 14 3 15" xfId="13712"/>
    <cellStyle name="Normal 3 14 3 2" xfId="13713"/>
    <cellStyle name="Normal 3 14 3 3" xfId="13714"/>
    <cellStyle name="Normal 3 14 3 4" xfId="13715"/>
    <cellStyle name="Normal 3 14 3 5" xfId="13716"/>
    <cellStyle name="Normal 3 14 3 6" xfId="13717"/>
    <cellStyle name="Normal 3 14 3 7" xfId="13718"/>
    <cellStyle name="Normal 3 14 3 8" xfId="13719"/>
    <cellStyle name="Normal 3 14 3 9" xfId="13720"/>
    <cellStyle name="Normal 3 14 4" xfId="13721"/>
    <cellStyle name="Normal 3 14 4 10" xfId="13722"/>
    <cellStyle name="Normal 3 14 4 11" xfId="13723"/>
    <cellStyle name="Normal 3 14 4 12" xfId="13724"/>
    <cellStyle name="Normal 3 14 4 13" xfId="13725"/>
    <cellStyle name="Normal 3 14 4 14" xfId="13726"/>
    <cellStyle name="Normal 3 14 4 15" xfId="13727"/>
    <cellStyle name="Normal 3 14 4 2" xfId="13728"/>
    <cellStyle name="Normal 3 14 4 3" xfId="13729"/>
    <cellStyle name="Normal 3 14 4 4" xfId="13730"/>
    <cellStyle name="Normal 3 14 4 5" xfId="13731"/>
    <cellStyle name="Normal 3 14 4 6" xfId="13732"/>
    <cellStyle name="Normal 3 14 4 7" xfId="13733"/>
    <cellStyle name="Normal 3 14 4 8" xfId="13734"/>
    <cellStyle name="Normal 3 14 4 9" xfId="13735"/>
    <cellStyle name="Normal 3 14 5" xfId="13736"/>
    <cellStyle name="Normal 3 14 5 10" xfId="13737"/>
    <cellStyle name="Normal 3 14 5 11" xfId="13738"/>
    <cellStyle name="Normal 3 14 5 12" xfId="13739"/>
    <cellStyle name="Normal 3 14 5 13" xfId="13740"/>
    <cellStyle name="Normal 3 14 5 14" xfId="13741"/>
    <cellStyle name="Normal 3 14 5 15" xfId="13742"/>
    <cellStyle name="Normal 3 14 5 2" xfId="13743"/>
    <cellStyle name="Normal 3 14 5 3" xfId="13744"/>
    <cellStyle name="Normal 3 14 5 4" xfId="13745"/>
    <cellStyle name="Normal 3 14 5 5" xfId="13746"/>
    <cellStyle name="Normal 3 14 5 6" xfId="13747"/>
    <cellStyle name="Normal 3 14 5 7" xfId="13748"/>
    <cellStyle name="Normal 3 14 5 8" xfId="13749"/>
    <cellStyle name="Normal 3 14 5 9" xfId="13750"/>
    <cellStyle name="Normal 3 15" xfId="13751"/>
    <cellStyle name="Normal 3 15 2" xfId="13752"/>
    <cellStyle name="Normal 3 15 2 10" xfId="13753"/>
    <cellStyle name="Normal 3 15 2 11" xfId="13754"/>
    <cellStyle name="Normal 3 15 2 12" xfId="13755"/>
    <cellStyle name="Normal 3 15 2 13" xfId="13756"/>
    <cellStyle name="Normal 3 15 2 14" xfId="13757"/>
    <cellStyle name="Normal 3 15 2 15" xfId="13758"/>
    <cellStyle name="Normal 3 15 2 2" xfId="13759"/>
    <cellStyle name="Normal 3 15 2 3" xfId="13760"/>
    <cellStyle name="Normal 3 15 2 4" xfId="13761"/>
    <cellStyle name="Normal 3 15 2 5" xfId="13762"/>
    <cellStyle name="Normal 3 15 2 6" xfId="13763"/>
    <cellStyle name="Normal 3 15 2 7" xfId="13764"/>
    <cellStyle name="Normal 3 15 2 8" xfId="13765"/>
    <cellStyle name="Normal 3 15 2 9" xfId="13766"/>
    <cellStyle name="Normal 3 15 3" xfId="13767"/>
    <cellStyle name="Normal 3 15 3 10" xfId="13768"/>
    <cellStyle name="Normal 3 15 3 11" xfId="13769"/>
    <cellStyle name="Normal 3 15 3 12" xfId="13770"/>
    <cellStyle name="Normal 3 15 3 13" xfId="13771"/>
    <cellStyle name="Normal 3 15 3 14" xfId="13772"/>
    <cellStyle name="Normal 3 15 3 15" xfId="13773"/>
    <cellStyle name="Normal 3 15 3 2" xfId="13774"/>
    <cellStyle name="Normal 3 15 3 3" xfId="13775"/>
    <cellStyle name="Normal 3 15 3 4" xfId="13776"/>
    <cellStyle name="Normal 3 15 3 5" xfId="13777"/>
    <cellStyle name="Normal 3 15 3 6" xfId="13778"/>
    <cellStyle name="Normal 3 15 3 7" xfId="13779"/>
    <cellStyle name="Normal 3 15 3 8" xfId="13780"/>
    <cellStyle name="Normal 3 15 3 9" xfId="13781"/>
    <cellStyle name="Normal 3 15 4" xfId="13782"/>
    <cellStyle name="Normal 3 15 4 10" xfId="13783"/>
    <cellStyle name="Normal 3 15 4 11" xfId="13784"/>
    <cellStyle name="Normal 3 15 4 12" xfId="13785"/>
    <cellStyle name="Normal 3 15 4 13" xfId="13786"/>
    <cellStyle name="Normal 3 15 4 14" xfId="13787"/>
    <cellStyle name="Normal 3 15 4 15" xfId="13788"/>
    <cellStyle name="Normal 3 15 4 2" xfId="13789"/>
    <cellStyle name="Normal 3 15 4 3" xfId="13790"/>
    <cellStyle name="Normal 3 15 4 4" xfId="13791"/>
    <cellStyle name="Normal 3 15 4 5" xfId="13792"/>
    <cellStyle name="Normal 3 15 4 6" xfId="13793"/>
    <cellStyle name="Normal 3 15 4 7" xfId="13794"/>
    <cellStyle name="Normal 3 15 4 8" xfId="13795"/>
    <cellStyle name="Normal 3 15 4 9" xfId="13796"/>
    <cellStyle name="Normal 3 15 5" xfId="13797"/>
    <cellStyle name="Normal 3 15 5 10" xfId="13798"/>
    <cellStyle name="Normal 3 15 5 11" xfId="13799"/>
    <cellStyle name="Normal 3 15 5 12" xfId="13800"/>
    <cellStyle name="Normal 3 15 5 13" xfId="13801"/>
    <cellStyle name="Normal 3 15 5 14" xfId="13802"/>
    <cellStyle name="Normal 3 15 5 15" xfId="13803"/>
    <cellStyle name="Normal 3 15 5 2" xfId="13804"/>
    <cellStyle name="Normal 3 15 5 3" xfId="13805"/>
    <cellStyle name="Normal 3 15 5 4" xfId="13806"/>
    <cellStyle name="Normal 3 15 5 5" xfId="13807"/>
    <cellStyle name="Normal 3 15 5 6" xfId="13808"/>
    <cellStyle name="Normal 3 15 5 7" xfId="13809"/>
    <cellStyle name="Normal 3 15 5 8" xfId="13810"/>
    <cellStyle name="Normal 3 15 5 9" xfId="13811"/>
    <cellStyle name="Normal 3 16" xfId="13812"/>
    <cellStyle name="Normal 3 16 2" xfId="13813"/>
    <cellStyle name="Normal 3 16 2 10" xfId="13814"/>
    <cellStyle name="Normal 3 16 2 11" xfId="13815"/>
    <cellStyle name="Normal 3 16 2 12" xfId="13816"/>
    <cellStyle name="Normal 3 16 2 13" xfId="13817"/>
    <cellStyle name="Normal 3 16 2 14" xfId="13818"/>
    <cellStyle name="Normal 3 16 2 15" xfId="13819"/>
    <cellStyle name="Normal 3 16 2 2" xfId="13820"/>
    <cellStyle name="Normal 3 16 2 3" xfId="13821"/>
    <cellStyle name="Normal 3 16 2 4" xfId="13822"/>
    <cellStyle name="Normal 3 16 2 5" xfId="13823"/>
    <cellStyle name="Normal 3 16 2 6" xfId="13824"/>
    <cellStyle name="Normal 3 16 2 7" xfId="13825"/>
    <cellStyle name="Normal 3 16 2 8" xfId="13826"/>
    <cellStyle name="Normal 3 16 2 9" xfId="13827"/>
    <cellStyle name="Normal 3 16 3" xfId="13828"/>
    <cellStyle name="Normal 3 16 3 10" xfId="13829"/>
    <cellStyle name="Normal 3 16 3 11" xfId="13830"/>
    <cellStyle name="Normal 3 16 3 12" xfId="13831"/>
    <cellStyle name="Normal 3 16 3 13" xfId="13832"/>
    <cellStyle name="Normal 3 16 3 14" xfId="13833"/>
    <cellStyle name="Normal 3 16 3 15" xfId="13834"/>
    <cellStyle name="Normal 3 16 3 2" xfId="13835"/>
    <cellStyle name="Normal 3 16 3 3" xfId="13836"/>
    <cellStyle name="Normal 3 16 3 4" xfId="13837"/>
    <cellStyle name="Normal 3 16 3 5" xfId="13838"/>
    <cellStyle name="Normal 3 16 3 6" xfId="13839"/>
    <cellStyle name="Normal 3 16 3 7" xfId="13840"/>
    <cellStyle name="Normal 3 16 3 8" xfId="13841"/>
    <cellStyle name="Normal 3 16 3 9" xfId="13842"/>
    <cellStyle name="Normal 3 16 4" xfId="13843"/>
    <cellStyle name="Normal 3 16 4 10" xfId="13844"/>
    <cellStyle name="Normal 3 16 4 11" xfId="13845"/>
    <cellStyle name="Normal 3 16 4 12" xfId="13846"/>
    <cellStyle name="Normal 3 16 4 13" xfId="13847"/>
    <cellStyle name="Normal 3 16 4 14" xfId="13848"/>
    <cellStyle name="Normal 3 16 4 15" xfId="13849"/>
    <cellStyle name="Normal 3 16 4 2" xfId="13850"/>
    <cellStyle name="Normal 3 16 4 3" xfId="13851"/>
    <cellStyle name="Normal 3 16 4 4" xfId="13852"/>
    <cellStyle name="Normal 3 16 4 5" xfId="13853"/>
    <cellStyle name="Normal 3 16 4 6" xfId="13854"/>
    <cellStyle name="Normal 3 16 4 7" xfId="13855"/>
    <cellStyle name="Normal 3 16 4 8" xfId="13856"/>
    <cellStyle name="Normal 3 16 4 9" xfId="13857"/>
    <cellStyle name="Normal 3 16 5" xfId="13858"/>
    <cellStyle name="Normal 3 16 5 10" xfId="13859"/>
    <cellStyle name="Normal 3 16 5 11" xfId="13860"/>
    <cellStyle name="Normal 3 16 5 12" xfId="13861"/>
    <cellStyle name="Normal 3 16 5 13" xfId="13862"/>
    <cellStyle name="Normal 3 16 5 14" xfId="13863"/>
    <cellStyle name="Normal 3 16 5 15" xfId="13864"/>
    <cellStyle name="Normal 3 16 5 2" xfId="13865"/>
    <cellStyle name="Normal 3 16 5 3" xfId="13866"/>
    <cellStyle name="Normal 3 16 5 4" xfId="13867"/>
    <cellStyle name="Normal 3 16 5 5" xfId="13868"/>
    <cellStyle name="Normal 3 16 5 6" xfId="13869"/>
    <cellStyle name="Normal 3 16 5 7" xfId="13870"/>
    <cellStyle name="Normal 3 16 5 8" xfId="13871"/>
    <cellStyle name="Normal 3 16 5 9" xfId="13872"/>
    <cellStyle name="Normal 3 17" xfId="13873"/>
    <cellStyle name="Normal 3 17 2" xfId="13874"/>
    <cellStyle name="Normal 3 17 2 10" xfId="13875"/>
    <cellStyle name="Normal 3 17 2 11" xfId="13876"/>
    <cellStyle name="Normal 3 17 2 12" xfId="13877"/>
    <cellStyle name="Normal 3 17 2 13" xfId="13878"/>
    <cellStyle name="Normal 3 17 2 14" xfId="13879"/>
    <cellStyle name="Normal 3 17 2 15" xfId="13880"/>
    <cellStyle name="Normal 3 17 2 2" xfId="13881"/>
    <cellStyle name="Normal 3 17 2 3" xfId="13882"/>
    <cellStyle name="Normal 3 17 2 4" xfId="13883"/>
    <cellStyle name="Normal 3 17 2 5" xfId="13884"/>
    <cellStyle name="Normal 3 17 2 6" xfId="13885"/>
    <cellStyle name="Normal 3 17 2 7" xfId="13886"/>
    <cellStyle name="Normal 3 17 2 8" xfId="13887"/>
    <cellStyle name="Normal 3 17 2 9" xfId="13888"/>
    <cellStyle name="Normal 3 17 3" xfId="13889"/>
    <cellStyle name="Normal 3 17 3 10" xfId="13890"/>
    <cellStyle name="Normal 3 17 3 11" xfId="13891"/>
    <cellStyle name="Normal 3 17 3 12" xfId="13892"/>
    <cellStyle name="Normal 3 17 3 13" xfId="13893"/>
    <cellStyle name="Normal 3 17 3 14" xfId="13894"/>
    <cellStyle name="Normal 3 17 3 15" xfId="13895"/>
    <cellStyle name="Normal 3 17 3 2" xfId="13896"/>
    <cellStyle name="Normal 3 17 3 3" xfId="13897"/>
    <cellStyle name="Normal 3 17 3 4" xfId="13898"/>
    <cellStyle name="Normal 3 17 3 5" xfId="13899"/>
    <cellStyle name="Normal 3 17 3 6" xfId="13900"/>
    <cellStyle name="Normal 3 17 3 7" xfId="13901"/>
    <cellStyle name="Normal 3 17 3 8" xfId="13902"/>
    <cellStyle name="Normal 3 17 3 9" xfId="13903"/>
    <cellStyle name="Normal 3 17 4" xfId="13904"/>
    <cellStyle name="Normal 3 17 4 10" xfId="13905"/>
    <cellStyle name="Normal 3 17 4 11" xfId="13906"/>
    <cellStyle name="Normal 3 17 4 12" xfId="13907"/>
    <cellStyle name="Normal 3 17 4 13" xfId="13908"/>
    <cellStyle name="Normal 3 17 4 14" xfId="13909"/>
    <cellStyle name="Normal 3 17 4 15" xfId="13910"/>
    <cellStyle name="Normal 3 17 4 2" xfId="13911"/>
    <cellStyle name="Normal 3 17 4 3" xfId="13912"/>
    <cellStyle name="Normal 3 17 4 4" xfId="13913"/>
    <cellStyle name="Normal 3 17 4 5" xfId="13914"/>
    <cellStyle name="Normal 3 17 4 6" xfId="13915"/>
    <cellStyle name="Normal 3 17 4 7" xfId="13916"/>
    <cellStyle name="Normal 3 17 4 8" xfId="13917"/>
    <cellStyle name="Normal 3 17 4 9" xfId="13918"/>
    <cellStyle name="Normal 3 17 5" xfId="13919"/>
    <cellStyle name="Normal 3 17 5 10" xfId="13920"/>
    <cellStyle name="Normal 3 17 5 11" xfId="13921"/>
    <cellStyle name="Normal 3 17 5 12" xfId="13922"/>
    <cellStyle name="Normal 3 17 5 13" xfId="13923"/>
    <cellStyle name="Normal 3 17 5 14" xfId="13924"/>
    <cellStyle name="Normal 3 17 5 15" xfId="13925"/>
    <cellStyle name="Normal 3 17 5 2" xfId="13926"/>
    <cellStyle name="Normal 3 17 5 3" xfId="13927"/>
    <cellStyle name="Normal 3 17 5 4" xfId="13928"/>
    <cellStyle name="Normal 3 17 5 5" xfId="13929"/>
    <cellStyle name="Normal 3 17 5 6" xfId="13930"/>
    <cellStyle name="Normal 3 17 5 7" xfId="13931"/>
    <cellStyle name="Normal 3 17 5 8" xfId="13932"/>
    <cellStyle name="Normal 3 17 5 9" xfId="13933"/>
    <cellStyle name="Normal 3 18" xfId="13934"/>
    <cellStyle name="Normal 3 18 2" xfId="13935"/>
    <cellStyle name="Normal 3 18 2 10" xfId="13936"/>
    <cellStyle name="Normal 3 18 2 11" xfId="13937"/>
    <cellStyle name="Normal 3 18 2 12" xfId="13938"/>
    <cellStyle name="Normal 3 18 2 13" xfId="13939"/>
    <cellStyle name="Normal 3 18 2 14" xfId="13940"/>
    <cellStyle name="Normal 3 18 2 15" xfId="13941"/>
    <cellStyle name="Normal 3 18 2 2" xfId="13942"/>
    <cellStyle name="Normal 3 18 2 3" xfId="13943"/>
    <cellStyle name="Normal 3 18 2 4" xfId="13944"/>
    <cellStyle name="Normal 3 18 2 5" xfId="13945"/>
    <cellStyle name="Normal 3 18 2 6" xfId="13946"/>
    <cellStyle name="Normal 3 18 2 7" xfId="13947"/>
    <cellStyle name="Normal 3 18 2 8" xfId="13948"/>
    <cellStyle name="Normal 3 18 2 9" xfId="13949"/>
    <cellStyle name="Normal 3 18 3" xfId="13950"/>
    <cellStyle name="Normal 3 18 3 10" xfId="13951"/>
    <cellStyle name="Normal 3 18 3 11" xfId="13952"/>
    <cellStyle name="Normal 3 18 3 12" xfId="13953"/>
    <cellStyle name="Normal 3 18 3 13" xfId="13954"/>
    <cellStyle name="Normal 3 18 3 14" xfId="13955"/>
    <cellStyle name="Normal 3 18 3 15" xfId="13956"/>
    <cellStyle name="Normal 3 18 3 2" xfId="13957"/>
    <cellStyle name="Normal 3 18 3 3" xfId="13958"/>
    <cellStyle name="Normal 3 18 3 4" xfId="13959"/>
    <cellStyle name="Normal 3 18 3 5" xfId="13960"/>
    <cellStyle name="Normal 3 18 3 6" xfId="13961"/>
    <cellStyle name="Normal 3 18 3 7" xfId="13962"/>
    <cellStyle name="Normal 3 18 3 8" xfId="13963"/>
    <cellStyle name="Normal 3 18 3 9" xfId="13964"/>
    <cellStyle name="Normal 3 18 4" xfId="13965"/>
    <cellStyle name="Normal 3 18 4 10" xfId="13966"/>
    <cellStyle name="Normal 3 18 4 11" xfId="13967"/>
    <cellStyle name="Normal 3 18 4 12" xfId="13968"/>
    <cellStyle name="Normal 3 18 4 13" xfId="13969"/>
    <cellStyle name="Normal 3 18 4 14" xfId="13970"/>
    <cellStyle name="Normal 3 18 4 15" xfId="13971"/>
    <cellStyle name="Normal 3 18 4 2" xfId="13972"/>
    <cellStyle name="Normal 3 18 4 3" xfId="13973"/>
    <cellStyle name="Normal 3 18 4 4" xfId="13974"/>
    <cellStyle name="Normal 3 18 4 5" xfId="13975"/>
    <cellStyle name="Normal 3 18 4 6" xfId="13976"/>
    <cellStyle name="Normal 3 18 4 7" xfId="13977"/>
    <cellStyle name="Normal 3 18 4 8" xfId="13978"/>
    <cellStyle name="Normal 3 18 4 9" xfId="13979"/>
    <cellStyle name="Normal 3 18 5" xfId="13980"/>
    <cellStyle name="Normal 3 18 5 10" xfId="13981"/>
    <cellStyle name="Normal 3 18 5 11" xfId="13982"/>
    <cellStyle name="Normal 3 18 5 12" xfId="13983"/>
    <cellStyle name="Normal 3 18 5 13" xfId="13984"/>
    <cellStyle name="Normal 3 18 5 14" xfId="13985"/>
    <cellStyle name="Normal 3 18 5 15" xfId="13986"/>
    <cellStyle name="Normal 3 18 5 2" xfId="13987"/>
    <cellStyle name="Normal 3 18 5 3" xfId="13988"/>
    <cellStyle name="Normal 3 18 5 4" xfId="13989"/>
    <cellStyle name="Normal 3 18 5 5" xfId="13990"/>
    <cellStyle name="Normal 3 18 5 6" xfId="13991"/>
    <cellStyle name="Normal 3 18 5 7" xfId="13992"/>
    <cellStyle name="Normal 3 18 5 8" xfId="13993"/>
    <cellStyle name="Normal 3 18 5 9" xfId="13994"/>
    <cellStyle name="Normal 3 19" xfId="13995"/>
    <cellStyle name="Normal 3 19 10" xfId="40666"/>
    <cellStyle name="Normal 3 19 11" xfId="31453"/>
    <cellStyle name="Normal 3 19 2" xfId="13996"/>
    <cellStyle name="Normal 3 19 2 10" xfId="13997"/>
    <cellStyle name="Normal 3 19 2 11" xfId="13998"/>
    <cellStyle name="Normal 3 19 2 12" xfId="13999"/>
    <cellStyle name="Normal 3 19 2 13" xfId="14000"/>
    <cellStyle name="Normal 3 19 2 14" xfId="14001"/>
    <cellStyle name="Normal 3 19 2 15" xfId="14002"/>
    <cellStyle name="Normal 3 19 2 2" xfId="14003"/>
    <cellStyle name="Normal 3 19 2 3" xfId="14004"/>
    <cellStyle name="Normal 3 19 2 4" xfId="14005"/>
    <cellStyle name="Normal 3 19 2 5" xfId="14006"/>
    <cellStyle name="Normal 3 19 2 6" xfId="14007"/>
    <cellStyle name="Normal 3 19 2 7" xfId="14008"/>
    <cellStyle name="Normal 3 19 2 8" xfId="14009"/>
    <cellStyle name="Normal 3 19 2 9" xfId="14010"/>
    <cellStyle name="Normal 3 19 3" xfId="14011"/>
    <cellStyle name="Normal 3 19 3 10" xfId="14012"/>
    <cellStyle name="Normal 3 19 3 11" xfId="14013"/>
    <cellStyle name="Normal 3 19 3 12" xfId="14014"/>
    <cellStyle name="Normal 3 19 3 13" xfId="14015"/>
    <cellStyle name="Normal 3 19 3 14" xfId="14016"/>
    <cellStyle name="Normal 3 19 3 15" xfId="14017"/>
    <cellStyle name="Normal 3 19 3 2" xfId="14018"/>
    <cellStyle name="Normal 3 19 3 3" xfId="14019"/>
    <cellStyle name="Normal 3 19 3 4" xfId="14020"/>
    <cellStyle name="Normal 3 19 3 5" xfId="14021"/>
    <cellStyle name="Normal 3 19 3 6" xfId="14022"/>
    <cellStyle name="Normal 3 19 3 7" xfId="14023"/>
    <cellStyle name="Normal 3 19 3 8" xfId="14024"/>
    <cellStyle name="Normal 3 19 3 9" xfId="14025"/>
    <cellStyle name="Normal 3 19 4" xfId="14026"/>
    <cellStyle name="Normal 3 19 4 10" xfId="14027"/>
    <cellStyle name="Normal 3 19 4 11" xfId="14028"/>
    <cellStyle name="Normal 3 19 4 12" xfId="14029"/>
    <cellStyle name="Normal 3 19 4 13" xfId="14030"/>
    <cellStyle name="Normal 3 19 4 14" xfId="14031"/>
    <cellStyle name="Normal 3 19 4 15" xfId="14032"/>
    <cellStyle name="Normal 3 19 4 2" xfId="14033"/>
    <cellStyle name="Normal 3 19 4 3" xfId="14034"/>
    <cellStyle name="Normal 3 19 4 4" xfId="14035"/>
    <cellStyle name="Normal 3 19 4 5" xfId="14036"/>
    <cellStyle name="Normal 3 19 4 6" xfId="14037"/>
    <cellStyle name="Normal 3 19 4 7" xfId="14038"/>
    <cellStyle name="Normal 3 19 4 8" xfId="14039"/>
    <cellStyle name="Normal 3 19 4 9" xfId="14040"/>
    <cellStyle name="Normal 3 19 5" xfId="14041"/>
    <cellStyle name="Normal 3 19 5 10" xfId="14042"/>
    <cellStyle name="Normal 3 19 5 11" xfId="14043"/>
    <cellStyle name="Normal 3 19 5 12" xfId="14044"/>
    <cellStyle name="Normal 3 19 5 13" xfId="14045"/>
    <cellStyle name="Normal 3 19 5 14" xfId="14046"/>
    <cellStyle name="Normal 3 19 5 15" xfId="14047"/>
    <cellStyle name="Normal 3 19 5 2" xfId="14048"/>
    <cellStyle name="Normal 3 19 5 3" xfId="14049"/>
    <cellStyle name="Normal 3 19 5 4" xfId="14050"/>
    <cellStyle name="Normal 3 19 5 5" xfId="14051"/>
    <cellStyle name="Normal 3 19 5 6" xfId="14052"/>
    <cellStyle name="Normal 3 19 5 7" xfId="14053"/>
    <cellStyle name="Normal 3 19 5 8" xfId="14054"/>
    <cellStyle name="Normal 3 19 5 9" xfId="14055"/>
    <cellStyle name="Normal 3 19 6" xfId="14056"/>
    <cellStyle name="Normal 3 19 6 2" xfId="31454"/>
    <cellStyle name="Normal 3 19 7" xfId="14057"/>
    <cellStyle name="Normal 3 19 7 2" xfId="31455"/>
    <cellStyle name="Normal 3 19 8" xfId="14058"/>
    <cellStyle name="Normal 3 19 8 2" xfId="31456"/>
    <cellStyle name="Normal 3 19 9" xfId="14059"/>
    <cellStyle name="Normal 3 19 9 2" xfId="31457"/>
    <cellStyle name="Normal 3 2" xfId="14060"/>
    <cellStyle name="Normal 3 2 10" xfId="14061"/>
    <cellStyle name="Normal 3 2 11" xfId="14062"/>
    <cellStyle name="Normal 3 2 12" xfId="14063"/>
    <cellStyle name="Normal 3 2 13" xfId="14064"/>
    <cellStyle name="Normal 3 2 14" xfId="14065"/>
    <cellStyle name="Normal 3 2 15" xfId="14066"/>
    <cellStyle name="Normal 3 2 16" xfId="14067"/>
    <cellStyle name="Normal 3 2 17" xfId="14068"/>
    <cellStyle name="Normal 3 2 18" xfId="14069"/>
    <cellStyle name="Normal 3 2 2" xfId="14070"/>
    <cellStyle name="Normal 3 2 2 10" xfId="14071"/>
    <cellStyle name="Normal 3 2 2 2" xfId="14072"/>
    <cellStyle name="Normal 3 2 2 2 2" xfId="14073"/>
    <cellStyle name="Normal 3 2 2 2 3" xfId="14074"/>
    <cellStyle name="Normal 3 2 2 2 4" xfId="14075"/>
    <cellStyle name="Normal 3 2 2 2 5" xfId="14076"/>
    <cellStyle name="Normal 3 2 2 2 6" xfId="14077"/>
    <cellStyle name="Normal 3 2 2 2 7" xfId="14078"/>
    <cellStyle name="Normal 3 2 2 3" xfId="14079"/>
    <cellStyle name="Normal 3 2 2 4" xfId="14080"/>
    <cellStyle name="Normal 3 2 2 5" xfId="14081"/>
    <cellStyle name="Normal 3 2 2 6" xfId="14082"/>
    <cellStyle name="Normal 3 2 2 7" xfId="14083"/>
    <cellStyle name="Normal 3 2 2 8" xfId="14084"/>
    <cellStyle name="Normal 3 2 2 9" xfId="14085"/>
    <cellStyle name="Normal 3 2 3" xfId="14086"/>
    <cellStyle name="Normal 3 2 3 2" xfId="14087"/>
    <cellStyle name="Normal 3 2 3 2 2" xfId="14088"/>
    <cellStyle name="Normal 3 2 3 3" xfId="14089"/>
    <cellStyle name="Normal 3 2 3 3 2" xfId="14090"/>
    <cellStyle name="Normal 3 2 3 4" xfId="14091"/>
    <cellStyle name="Normal 3 2 3 4 2" xfId="14092"/>
    <cellStyle name="Normal 3 2 3 5" xfId="14093"/>
    <cellStyle name="Normal 3 2 3 5 2" xfId="14094"/>
    <cellStyle name="Normal 3 2 4" xfId="14095"/>
    <cellStyle name="Normal 3 2 4 10" xfId="14096"/>
    <cellStyle name="Normal 3 2 4 11" xfId="14097"/>
    <cellStyle name="Normal 3 2 4 12" xfId="14098"/>
    <cellStyle name="Normal 3 2 4 13" xfId="14099"/>
    <cellStyle name="Normal 3 2 4 14" xfId="14100"/>
    <cellStyle name="Normal 3 2 4 15" xfId="14101"/>
    <cellStyle name="Normal 3 2 4 16" xfId="14102"/>
    <cellStyle name="Normal 3 2 4 17" xfId="14103"/>
    <cellStyle name="Normal 3 2 4 18" xfId="14104"/>
    <cellStyle name="Normal 3 2 4 19" xfId="14105"/>
    <cellStyle name="Normal 3 2 4 2" xfId="14106"/>
    <cellStyle name="Normal 3 2 4 2 10" xfId="14107"/>
    <cellStyle name="Normal 3 2 4 2 11" xfId="14108"/>
    <cellStyle name="Normal 3 2 4 2 12" xfId="14109"/>
    <cellStyle name="Normal 3 2 4 2 13" xfId="14110"/>
    <cellStyle name="Normal 3 2 4 2 14" xfId="14111"/>
    <cellStyle name="Normal 3 2 4 2 15" xfId="14112"/>
    <cellStyle name="Normal 3 2 4 2 16" xfId="14113"/>
    <cellStyle name="Normal 3 2 4 2 2" xfId="14114"/>
    <cellStyle name="Normal 3 2 4 2 3" xfId="14115"/>
    <cellStyle name="Normal 3 2 4 2 4" xfId="14116"/>
    <cellStyle name="Normal 3 2 4 2 5" xfId="14117"/>
    <cellStyle name="Normal 3 2 4 2 6" xfId="14118"/>
    <cellStyle name="Normal 3 2 4 2 7" xfId="14119"/>
    <cellStyle name="Normal 3 2 4 2 8" xfId="14120"/>
    <cellStyle name="Normal 3 2 4 2 9" xfId="14121"/>
    <cellStyle name="Normal 3 2 4 3" xfId="14122"/>
    <cellStyle name="Normal 3 2 4 3 2" xfId="14123"/>
    <cellStyle name="Normal 3 2 4 4" xfId="14124"/>
    <cellStyle name="Normal 3 2 4 4 2" xfId="14125"/>
    <cellStyle name="Normal 3 2 4 5" xfId="14126"/>
    <cellStyle name="Normal 3 2 4 5 2" xfId="14127"/>
    <cellStyle name="Normal 3 2 4 6" xfId="14128"/>
    <cellStyle name="Normal 3 2 4 6 2" xfId="14129"/>
    <cellStyle name="Normal 3 2 4 7" xfId="14130"/>
    <cellStyle name="Normal 3 2 4 8" xfId="14131"/>
    <cellStyle name="Normal 3 2 4 9" xfId="14132"/>
    <cellStyle name="Normal 3 2 5" xfId="14133"/>
    <cellStyle name="Normal 3 2 5 10" xfId="14134"/>
    <cellStyle name="Normal 3 2 5 11" xfId="14135"/>
    <cellStyle name="Normal 3 2 5 12" xfId="14136"/>
    <cellStyle name="Normal 3 2 5 13" xfId="14137"/>
    <cellStyle name="Normal 3 2 5 14" xfId="14138"/>
    <cellStyle name="Normal 3 2 5 15" xfId="14139"/>
    <cellStyle name="Normal 3 2 5 16" xfId="14140"/>
    <cellStyle name="Normal 3 2 5 2" xfId="14141"/>
    <cellStyle name="Normal 3 2 5 3" xfId="14142"/>
    <cellStyle name="Normal 3 2 5 4" xfId="14143"/>
    <cellStyle name="Normal 3 2 5 5" xfId="14144"/>
    <cellStyle name="Normal 3 2 5 6" xfId="14145"/>
    <cellStyle name="Normal 3 2 5 7" xfId="14146"/>
    <cellStyle name="Normal 3 2 5 8" xfId="14147"/>
    <cellStyle name="Normal 3 2 5 9" xfId="14148"/>
    <cellStyle name="Normal 3 2 6" xfId="14149"/>
    <cellStyle name="Normal 3 2 6 2" xfId="14150"/>
    <cellStyle name="Normal 3 2 7" xfId="14151"/>
    <cellStyle name="Normal 3 2 7 2" xfId="14152"/>
    <cellStyle name="Normal 3 2 8" xfId="14153"/>
    <cellStyle name="Normal 3 2 8 2" xfId="14154"/>
    <cellStyle name="Normal 3 2 9" xfId="14155"/>
    <cellStyle name="Normal 3 2 9 2" xfId="14156"/>
    <cellStyle name="Normal 3 20" xfId="14157"/>
    <cellStyle name="Normal 3 20 2" xfId="14158"/>
    <cellStyle name="Normal 3 20 3" xfId="14159"/>
    <cellStyle name="Normal 3 20 3 2" xfId="31459"/>
    <cellStyle name="Normal 3 20 4" xfId="14160"/>
    <cellStyle name="Normal 3 20 4 2" xfId="31460"/>
    <cellStyle name="Normal 3 20 5" xfId="14161"/>
    <cellStyle name="Normal 3 20 5 2" xfId="31461"/>
    <cellStyle name="Normal 3 20 6" xfId="14162"/>
    <cellStyle name="Normal 3 20 6 2" xfId="31462"/>
    <cellStyle name="Normal 3 20 7" xfId="40667"/>
    <cellStyle name="Normal 3 20 8" xfId="31458"/>
    <cellStyle name="Normal 3 21" xfId="14163"/>
    <cellStyle name="Normal 3 21 2" xfId="40668"/>
    <cellStyle name="Normal 3 22" xfId="14164"/>
    <cellStyle name="Normal 3 22 2" xfId="40669"/>
    <cellStyle name="Normal 3 23" xfId="14165"/>
    <cellStyle name="Normal 3 24" xfId="14166"/>
    <cellStyle name="Normal 3 25" xfId="14167"/>
    <cellStyle name="Normal 3 26" xfId="14168"/>
    <cellStyle name="Normal 3 27" xfId="14169"/>
    <cellStyle name="Normal 3 28" xfId="14170"/>
    <cellStyle name="Normal 3 29" xfId="14171"/>
    <cellStyle name="Normal 3 3" xfId="14172"/>
    <cellStyle name="Normal 3 3 10" xfId="14173"/>
    <cellStyle name="Normal 3 3 10 10" xfId="14174"/>
    <cellStyle name="Normal 3 3 10 11" xfId="14175"/>
    <cellStyle name="Normal 3 3 10 12" xfId="14176"/>
    <cellStyle name="Normal 3 3 10 13" xfId="14177"/>
    <cellStyle name="Normal 3 3 10 14" xfId="14178"/>
    <cellStyle name="Normal 3 3 10 15" xfId="14179"/>
    <cellStyle name="Normal 3 3 10 2" xfId="14180"/>
    <cellStyle name="Normal 3 3 10 3" xfId="14181"/>
    <cellStyle name="Normal 3 3 10 4" xfId="14182"/>
    <cellStyle name="Normal 3 3 10 5" xfId="14183"/>
    <cellStyle name="Normal 3 3 10 6" xfId="14184"/>
    <cellStyle name="Normal 3 3 10 7" xfId="14185"/>
    <cellStyle name="Normal 3 3 10 8" xfId="14186"/>
    <cellStyle name="Normal 3 3 10 9" xfId="14187"/>
    <cellStyle name="Normal 3 3 11" xfId="14188"/>
    <cellStyle name="Normal 3 3 11 10" xfId="14189"/>
    <cellStyle name="Normal 3 3 11 11" xfId="14190"/>
    <cellStyle name="Normal 3 3 11 12" xfId="14191"/>
    <cellStyle name="Normal 3 3 11 13" xfId="14192"/>
    <cellStyle name="Normal 3 3 11 14" xfId="14193"/>
    <cellStyle name="Normal 3 3 11 15" xfId="14194"/>
    <cellStyle name="Normal 3 3 11 2" xfId="14195"/>
    <cellStyle name="Normal 3 3 11 3" xfId="14196"/>
    <cellStyle name="Normal 3 3 11 4" xfId="14197"/>
    <cellStyle name="Normal 3 3 11 5" xfId="14198"/>
    <cellStyle name="Normal 3 3 11 6" xfId="14199"/>
    <cellStyle name="Normal 3 3 11 7" xfId="14200"/>
    <cellStyle name="Normal 3 3 11 8" xfId="14201"/>
    <cellStyle name="Normal 3 3 11 9" xfId="14202"/>
    <cellStyle name="Normal 3 3 12" xfId="14203"/>
    <cellStyle name="Normal 3 3 13" xfId="14204"/>
    <cellStyle name="Normal 3 3 14" xfId="14205"/>
    <cellStyle name="Normal 3 3 15" xfId="14206"/>
    <cellStyle name="Normal 3 3 16" xfId="14207"/>
    <cellStyle name="Normal 3 3 17" xfId="14208"/>
    <cellStyle name="Normal 3 3 2" xfId="14209"/>
    <cellStyle name="Normal 3 3 2 10" xfId="14210"/>
    <cellStyle name="Normal 3 3 2 11" xfId="14211"/>
    <cellStyle name="Normal 3 3 2 12" xfId="14212"/>
    <cellStyle name="Normal 3 3 2 13" xfId="14213"/>
    <cellStyle name="Normal 3 3 2 14" xfId="14214"/>
    <cellStyle name="Normal 3 3 2 15" xfId="14215"/>
    <cellStyle name="Normal 3 3 2 16" xfId="14216"/>
    <cellStyle name="Normal 3 3 2 17" xfId="14217"/>
    <cellStyle name="Normal 3 3 2 18" xfId="14218"/>
    <cellStyle name="Normal 3 3 2 19" xfId="14219"/>
    <cellStyle name="Normal 3 3 2 2" xfId="14220"/>
    <cellStyle name="Normal 3 3 2 2 10" xfId="14221"/>
    <cellStyle name="Normal 3 3 2 2 11" xfId="14222"/>
    <cellStyle name="Normal 3 3 2 2 12" xfId="14223"/>
    <cellStyle name="Normal 3 3 2 2 13" xfId="14224"/>
    <cellStyle name="Normal 3 3 2 2 14" xfId="14225"/>
    <cellStyle name="Normal 3 3 2 2 15" xfId="14226"/>
    <cellStyle name="Normal 3 3 2 2 16" xfId="14227"/>
    <cellStyle name="Normal 3 3 2 2 17" xfId="14228"/>
    <cellStyle name="Normal 3 3 2 2 18" xfId="14229"/>
    <cellStyle name="Normal 3 3 2 2 19" xfId="14230"/>
    <cellStyle name="Normal 3 3 2 2 2" xfId="14231"/>
    <cellStyle name="Normal 3 3 2 2 2 2" xfId="14232"/>
    <cellStyle name="Normal 3 3 2 2 2 3" xfId="14233"/>
    <cellStyle name="Normal 3 3 2 2 2 4" xfId="14234"/>
    <cellStyle name="Normal 3 3 2 2 2 5" xfId="14235"/>
    <cellStyle name="Normal 3 3 2 2 2 6" xfId="14236"/>
    <cellStyle name="Normal 3 3 2 2 2 7" xfId="14237"/>
    <cellStyle name="Normal 3 3 2 2 20" xfId="14238"/>
    <cellStyle name="Normal 3 3 2 2 21" xfId="14239"/>
    <cellStyle name="Normal 3 3 2 2 3" xfId="14240"/>
    <cellStyle name="Normal 3 3 2 2 4" xfId="14241"/>
    <cellStyle name="Normal 3 3 2 2 5" xfId="14242"/>
    <cellStyle name="Normal 3 3 2 2 6" xfId="14243"/>
    <cellStyle name="Normal 3 3 2 2 7" xfId="14244"/>
    <cellStyle name="Normal 3 3 2 2 8" xfId="14245"/>
    <cellStyle name="Normal 3 3 2 2 9" xfId="14246"/>
    <cellStyle name="Normal 3 3 2 20" xfId="14247"/>
    <cellStyle name="Normal 3 3 2 21" xfId="14248"/>
    <cellStyle name="Normal 3 3 2 22" xfId="14249"/>
    <cellStyle name="Normal 3 3 2 23" xfId="14250"/>
    <cellStyle name="Normal 3 3 2 24" xfId="14251"/>
    <cellStyle name="Normal 3 3 2 25" xfId="40670"/>
    <cellStyle name="Normal 3 3 2 3" xfId="14252"/>
    <cellStyle name="Normal 3 3 2 3 2" xfId="14253"/>
    <cellStyle name="Normal 3 3 2 4" xfId="14254"/>
    <cellStyle name="Normal 3 3 2 4 2" xfId="14255"/>
    <cellStyle name="Normal 3 3 2 5" xfId="14256"/>
    <cellStyle name="Normal 3 3 2 5 2" xfId="14257"/>
    <cellStyle name="Normal 3 3 2 6" xfId="14258"/>
    <cellStyle name="Normal 3 3 2 6 2" xfId="14259"/>
    <cellStyle name="Normal 3 3 2 7" xfId="14260"/>
    <cellStyle name="Normal 3 3 2 8" xfId="14261"/>
    <cellStyle name="Normal 3 3 2 9" xfId="14262"/>
    <cellStyle name="Normal 3 3 3" xfId="14263"/>
    <cellStyle name="Normal 3 3 3 10" xfId="14264"/>
    <cellStyle name="Normal 3 3 3 11" xfId="14265"/>
    <cellStyle name="Normal 3 3 3 12" xfId="14266"/>
    <cellStyle name="Normal 3 3 3 13" xfId="14267"/>
    <cellStyle name="Normal 3 3 3 14" xfId="14268"/>
    <cellStyle name="Normal 3 3 3 15" xfId="14269"/>
    <cellStyle name="Normal 3 3 3 16" xfId="14270"/>
    <cellStyle name="Normal 3 3 3 17" xfId="14271"/>
    <cellStyle name="Normal 3 3 3 18" xfId="14272"/>
    <cellStyle name="Normal 3 3 3 19" xfId="14273"/>
    <cellStyle name="Normal 3 3 3 2" xfId="14274"/>
    <cellStyle name="Normal 3 3 3 2 2" xfId="14275"/>
    <cellStyle name="Normal 3 3 3 20" xfId="40671"/>
    <cellStyle name="Normal 3 3 3 3" xfId="14276"/>
    <cellStyle name="Normal 3 3 3 3 2" xfId="14277"/>
    <cellStyle name="Normal 3 3 3 4" xfId="14278"/>
    <cellStyle name="Normal 3 3 3 4 2" xfId="14279"/>
    <cellStyle name="Normal 3 3 3 5" xfId="14280"/>
    <cellStyle name="Normal 3 3 3 5 2" xfId="14281"/>
    <cellStyle name="Normal 3 3 3 6" xfId="14282"/>
    <cellStyle name="Normal 3 3 3 6 2" xfId="14283"/>
    <cellStyle name="Normal 3 3 3 7" xfId="14284"/>
    <cellStyle name="Normal 3 3 3 8" xfId="14285"/>
    <cellStyle name="Normal 3 3 3 9" xfId="14286"/>
    <cellStyle name="Normal 3 3 4" xfId="14287"/>
    <cellStyle name="Normal 3 3 4 10" xfId="14288"/>
    <cellStyle name="Normal 3 3 4 11" xfId="14289"/>
    <cellStyle name="Normal 3 3 4 12" xfId="14290"/>
    <cellStyle name="Normal 3 3 4 13" xfId="14291"/>
    <cellStyle name="Normal 3 3 4 14" xfId="14292"/>
    <cellStyle name="Normal 3 3 4 15" xfId="14293"/>
    <cellStyle name="Normal 3 3 4 16" xfId="14294"/>
    <cellStyle name="Normal 3 3 4 17" xfId="40672"/>
    <cellStyle name="Normal 3 3 4 2" xfId="14295"/>
    <cellStyle name="Normal 3 3 4 3" xfId="14296"/>
    <cellStyle name="Normal 3 3 4 4" xfId="14297"/>
    <cellStyle name="Normal 3 3 4 5" xfId="14298"/>
    <cellStyle name="Normal 3 3 4 6" xfId="14299"/>
    <cellStyle name="Normal 3 3 4 7" xfId="14300"/>
    <cellStyle name="Normal 3 3 4 8" xfId="14301"/>
    <cellStyle name="Normal 3 3 4 9" xfId="14302"/>
    <cellStyle name="Normal 3 3 5" xfId="14303"/>
    <cellStyle name="Normal 3 3 5 10" xfId="14304"/>
    <cellStyle name="Normal 3 3 5 11" xfId="14305"/>
    <cellStyle name="Normal 3 3 5 12" xfId="14306"/>
    <cellStyle name="Normal 3 3 5 13" xfId="14307"/>
    <cellStyle name="Normal 3 3 5 14" xfId="14308"/>
    <cellStyle name="Normal 3 3 5 15" xfId="14309"/>
    <cellStyle name="Normal 3 3 5 16" xfId="14310"/>
    <cellStyle name="Normal 3 3 5 2" xfId="14311"/>
    <cellStyle name="Normal 3 3 5 3" xfId="14312"/>
    <cellStyle name="Normal 3 3 5 4" xfId="14313"/>
    <cellStyle name="Normal 3 3 5 5" xfId="14314"/>
    <cellStyle name="Normal 3 3 5 6" xfId="14315"/>
    <cellStyle name="Normal 3 3 5 7" xfId="14316"/>
    <cellStyle name="Normal 3 3 5 8" xfId="14317"/>
    <cellStyle name="Normal 3 3 5 9" xfId="14318"/>
    <cellStyle name="Normal 3 3 6" xfId="14319"/>
    <cellStyle name="Normal 3 3 6 2" xfId="14320"/>
    <cellStyle name="Normal 3 3 7" xfId="14321"/>
    <cellStyle name="Normal 3 3 7 2" xfId="14322"/>
    <cellStyle name="Normal 3 3 8" xfId="14323"/>
    <cellStyle name="Normal 3 3 8 2" xfId="14324"/>
    <cellStyle name="Normal 3 3 9" xfId="14325"/>
    <cellStyle name="Normal 3 3 9 10" xfId="14326"/>
    <cellStyle name="Normal 3 3 9 11" xfId="14327"/>
    <cellStyle name="Normal 3 3 9 12" xfId="14328"/>
    <cellStyle name="Normal 3 3 9 13" xfId="14329"/>
    <cellStyle name="Normal 3 3 9 14" xfId="14330"/>
    <cellStyle name="Normal 3 3 9 15" xfId="14331"/>
    <cellStyle name="Normal 3 3 9 2" xfId="14332"/>
    <cellStyle name="Normal 3 3 9 3" xfId="14333"/>
    <cellStyle name="Normal 3 3 9 4" xfId="14334"/>
    <cellStyle name="Normal 3 3 9 5" xfId="14335"/>
    <cellStyle name="Normal 3 3 9 6" xfId="14336"/>
    <cellStyle name="Normal 3 3 9 7" xfId="14337"/>
    <cellStyle name="Normal 3 3 9 8" xfId="14338"/>
    <cellStyle name="Normal 3 3 9 9" xfId="14339"/>
    <cellStyle name="Normal 3 30" xfId="14340"/>
    <cellStyle name="Normal 3 31" xfId="14341"/>
    <cellStyle name="Normal 3 32" xfId="14342"/>
    <cellStyle name="Normal 3 33" xfId="14343"/>
    <cellStyle name="Normal 3 34" xfId="14344"/>
    <cellStyle name="Normal 3 35" xfId="14345"/>
    <cellStyle name="Normal 3 36" xfId="14346"/>
    <cellStyle name="Normal 3 37" xfId="14347"/>
    <cellStyle name="Normal 3 38" xfId="14348"/>
    <cellStyle name="Normal 3 39" xfId="14349"/>
    <cellStyle name="Normal 3 4" xfId="14350"/>
    <cellStyle name="Normal 3 4 10" xfId="14351"/>
    <cellStyle name="Normal 3 4 11" xfId="14352"/>
    <cellStyle name="Normal 3 4 2" xfId="14353"/>
    <cellStyle name="Normal 3 4 2 10" xfId="14354"/>
    <cellStyle name="Normal 3 4 2 11" xfId="14355"/>
    <cellStyle name="Normal 3 4 2 12" xfId="14356"/>
    <cellStyle name="Normal 3 4 2 13" xfId="14357"/>
    <cellStyle name="Normal 3 4 2 14" xfId="14358"/>
    <cellStyle name="Normal 3 4 2 15" xfId="14359"/>
    <cellStyle name="Normal 3 4 2 16" xfId="14360"/>
    <cellStyle name="Normal 3 4 2 17" xfId="14361"/>
    <cellStyle name="Normal 3 4 2 18" xfId="14362"/>
    <cellStyle name="Normal 3 4 2 19" xfId="14363"/>
    <cellStyle name="Normal 3 4 2 2" xfId="14364"/>
    <cellStyle name="Normal 3 4 2 2 2" xfId="14365"/>
    <cellStyle name="Normal 3 4 2 2 3" xfId="14366"/>
    <cellStyle name="Normal 3 4 2 2 4" xfId="14367"/>
    <cellStyle name="Normal 3 4 2 2 5" xfId="14368"/>
    <cellStyle name="Normal 3 4 2 2 6" xfId="14369"/>
    <cellStyle name="Normal 3 4 2 2 7" xfId="14370"/>
    <cellStyle name="Normal 3 4 2 20" xfId="14371"/>
    <cellStyle name="Normal 3 4 2 21" xfId="14372"/>
    <cellStyle name="Normal 3 4 2 22" xfId="40673"/>
    <cellStyle name="Normal 3 4 2 3" xfId="14373"/>
    <cellStyle name="Normal 3 4 2 4" xfId="14374"/>
    <cellStyle name="Normal 3 4 2 5" xfId="14375"/>
    <cellStyle name="Normal 3 4 2 6" xfId="14376"/>
    <cellStyle name="Normal 3 4 2 7" xfId="14377"/>
    <cellStyle name="Normal 3 4 2 8" xfId="14378"/>
    <cellStyle name="Normal 3 4 2 9" xfId="14379"/>
    <cellStyle name="Normal 3 4 3" xfId="14380"/>
    <cellStyle name="Normal 3 4 3 10" xfId="14381"/>
    <cellStyle name="Normal 3 4 3 11" xfId="14382"/>
    <cellStyle name="Normal 3 4 3 12" xfId="14383"/>
    <cellStyle name="Normal 3 4 3 13" xfId="14384"/>
    <cellStyle name="Normal 3 4 3 14" xfId="14385"/>
    <cellStyle name="Normal 3 4 3 15" xfId="14386"/>
    <cellStyle name="Normal 3 4 3 16" xfId="14387"/>
    <cellStyle name="Normal 3 4 3 17" xfId="40674"/>
    <cellStyle name="Normal 3 4 3 2" xfId="14388"/>
    <cellStyle name="Normal 3 4 3 3" xfId="14389"/>
    <cellStyle name="Normal 3 4 3 4" xfId="14390"/>
    <cellStyle name="Normal 3 4 3 5" xfId="14391"/>
    <cellStyle name="Normal 3 4 3 6" xfId="14392"/>
    <cellStyle name="Normal 3 4 3 7" xfId="14393"/>
    <cellStyle name="Normal 3 4 3 8" xfId="14394"/>
    <cellStyle name="Normal 3 4 3 9" xfId="14395"/>
    <cellStyle name="Normal 3 4 4" xfId="14396"/>
    <cellStyle name="Normal 3 4 4 2" xfId="40675"/>
    <cellStyle name="Normal 3 4 5" xfId="14397"/>
    <cellStyle name="Normal 3 4 6" xfId="14398"/>
    <cellStyle name="Normal 3 4 7" xfId="14399"/>
    <cellStyle name="Normal 3 4 8" xfId="14400"/>
    <cellStyle name="Normal 3 4 9" xfId="14401"/>
    <cellStyle name="Normal 3 40" xfId="14402"/>
    <cellStyle name="Normal 3 41" xfId="14403"/>
    <cellStyle name="Normal 3 42" xfId="14404"/>
    <cellStyle name="Normal 3 43" xfId="14405"/>
    <cellStyle name="Normal 3 44" xfId="14406"/>
    <cellStyle name="Normal 3 45" xfId="14407"/>
    <cellStyle name="Normal 3 46" xfId="14408"/>
    <cellStyle name="Normal 3 47" xfId="14409"/>
    <cellStyle name="Normal 3 48" xfId="14410"/>
    <cellStyle name="Normal 3 49" xfId="14411"/>
    <cellStyle name="Normal 3 5" xfId="14412"/>
    <cellStyle name="Normal 3 5 10" xfId="14413"/>
    <cellStyle name="Normal 3 5 11" xfId="14414"/>
    <cellStyle name="Normal 3 5 2" xfId="14415"/>
    <cellStyle name="Normal 3 5 2 10" xfId="14416"/>
    <cellStyle name="Normal 3 5 2 11" xfId="14417"/>
    <cellStyle name="Normal 3 5 2 12" xfId="14418"/>
    <cellStyle name="Normal 3 5 2 13" xfId="14419"/>
    <cellStyle name="Normal 3 5 2 14" xfId="14420"/>
    <cellStyle name="Normal 3 5 2 15" xfId="14421"/>
    <cellStyle name="Normal 3 5 2 16" xfId="14422"/>
    <cellStyle name="Normal 3 5 2 17" xfId="14423"/>
    <cellStyle name="Normal 3 5 2 18" xfId="14424"/>
    <cellStyle name="Normal 3 5 2 19" xfId="14425"/>
    <cellStyle name="Normal 3 5 2 2" xfId="14426"/>
    <cellStyle name="Normal 3 5 2 2 2" xfId="14427"/>
    <cellStyle name="Normal 3 5 2 2 3" xfId="14428"/>
    <cellStyle name="Normal 3 5 2 2 4" xfId="14429"/>
    <cellStyle name="Normal 3 5 2 2 5" xfId="14430"/>
    <cellStyle name="Normal 3 5 2 2 6" xfId="14431"/>
    <cellStyle name="Normal 3 5 2 2 7" xfId="14432"/>
    <cellStyle name="Normal 3 5 2 20" xfId="14433"/>
    <cellStyle name="Normal 3 5 2 21" xfId="14434"/>
    <cellStyle name="Normal 3 5 2 22" xfId="40676"/>
    <cellStyle name="Normal 3 5 2 3" xfId="14435"/>
    <cellStyle name="Normal 3 5 2 4" xfId="14436"/>
    <cellStyle name="Normal 3 5 2 5" xfId="14437"/>
    <cellStyle name="Normal 3 5 2 6" xfId="14438"/>
    <cellStyle name="Normal 3 5 2 7" xfId="14439"/>
    <cellStyle name="Normal 3 5 2 8" xfId="14440"/>
    <cellStyle name="Normal 3 5 2 9" xfId="14441"/>
    <cellStyle name="Normal 3 5 3" xfId="14442"/>
    <cellStyle name="Normal 3 5 3 10" xfId="14443"/>
    <cellStyle name="Normal 3 5 3 11" xfId="14444"/>
    <cellStyle name="Normal 3 5 3 12" xfId="14445"/>
    <cellStyle name="Normal 3 5 3 13" xfId="14446"/>
    <cellStyle name="Normal 3 5 3 14" xfId="14447"/>
    <cellStyle name="Normal 3 5 3 15" xfId="14448"/>
    <cellStyle name="Normal 3 5 3 16" xfId="14449"/>
    <cellStyle name="Normal 3 5 3 17" xfId="40677"/>
    <cellStyle name="Normal 3 5 3 2" xfId="14450"/>
    <cellStyle name="Normal 3 5 3 3" xfId="14451"/>
    <cellStyle name="Normal 3 5 3 4" xfId="14452"/>
    <cellStyle name="Normal 3 5 3 5" xfId="14453"/>
    <cellStyle name="Normal 3 5 3 6" xfId="14454"/>
    <cellStyle name="Normal 3 5 3 7" xfId="14455"/>
    <cellStyle name="Normal 3 5 3 8" xfId="14456"/>
    <cellStyle name="Normal 3 5 3 9" xfId="14457"/>
    <cellStyle name="Normal 3 5 4" xfId="14458"/>
    <cellStyle name="Normal 3 5 4 2" xfId="40678"/>
    <cellStyle name="Normal 3 5 5" xfId="14459"/>
    <cellStyle name="Normal 3 5 6" xfId="14460"/>
    <cellStyle name="Normal 3 5 7" xfId="14461"/>
    <cellStyle name="Normal 3 5 8" xfId="14462"/>
    <cellStyle name="Normal 3 5 9" xfId="14463"/>
    <cellStyle name="Normal 3 50" xfId="14464"/>
    <cellStyle name="Normal 3 51" xfId="14465"/>
    <cellStyle name="Normal 3 52" xfId="14466"/>
    <cellStyle name="Normal 3 53" xfId="14467"/>
    <cellStyle name="Normal 3 54" xfId="14468"/>
    <cellStyle name="Normal 3 55" xfId="14469"/>
    <cellStyle name="Normal 3 56" xfId="14470"/>
    <cellStyle name="Normal 3 57" xfId="14471"/>
    <cellStyle name="Normal 3 58" xfId="14472"/>
    <cellStyle name="Normal 3 6" xfId="14473"/>
    <cellStyle name="Normal 3 6 10" xfId="14474"/>
    <cellStyle name="Normal 3 6 11" xfId="14475"/>
    <cellStyle name="Normal 3 6 2" xfId="14476"/>
    <cellStyle name="Normal 3 6 2 10" xfId="14477"/>
    <cellStyle name="Normal 3 6 2 11" xfId="14478"/>
    <cellStyle name="Normal 3 6 2 12" xfId="14479"/>
    <cellStyle name="Normal 3 6 2 13" xfId="14480"/>
    <cellStyle name="Normal 3 6 2 14" xfId="14481"/>
    <cellStyle name="Normal 3 6 2 15" xfId="14482"/>
    <cellStyle name="Normal 3 6 2 16" xfId="14483"/>
    <cellStyle name="Normal 3 6 2 17" xfId="14484"/>
    <cellStyle name="Normal 3 6 2 18" xfId="14485"/>
    <cellStyle name="Normal 3 6 2 19" xfId="14486"/>
    <cellStyle name="Normal 3 6 2 2" xfId="14487"/>
    <cellStyle name="Normal 3 6 2 2 2" xfId="14488"/>
    <cellStyle name="Normal 3 6 2 2 3" xfId="14489"/>
    <cellStyle name="Normal 3 6 2 2 4" xfId="14490"/>
    <cellStyle name="Normal 3 6 2 2 5" xfId="14491"/>
    <cellStyle name="Normal 3 6 2 2 6" xfId="14492"/>
    <cellStyle name="Normal 3 6 2 2 7" xfId="14493"/>
    <cellStyle name="Normal 3 6 2 20" xfId="14494"/>
    <cellStyle name="Normal 3 6 2 21" xfId="14495"/>
    <cellStyle name="Normal 3 6 2 22" xfId="40679"/>
    <cellStyle name="Normal 3 6 2 3" xfId="14496"/>
    <cellStyle name="Normal 3 6 2 4" xfId="14497"/>
    <cellStyle name="Normal 3 6 2 5" xfId="14498"/>
    <cellStyle name="Normal 3 6 2 6" xfId="14499"/>
    <cellStyle name="Normal 3 6 2 7" xfId="14500"/>
    <cellStyle name="Normal 3 6 2 8" xfId="14501"/>
    <cellStyle name="Normal 3 6 2 9" xfId="14502"/>
    <cellStyle name="Normal 3 6 3" xfId="14503"/>
    <cellStyle name="Normal 3 6 3 10" xfId="14504"/>
    <cellStyle name="Normal 3 6 3 11" xfId="14505"/>
    <cellStyle name="Normal 3 6 3 12" xfId="14506"/>
    <cellStyle name="Normal 3 6 3 13" xfId="14507"/>
    <cellStyle name="Normal 3 6 3 14" xfId="14508"/>
    <cellStyle name="Normal 3 6 3 15" xfId="14509"/>
    <cellStyle name="Normal 3 6 3 16" xfId="14510"/>
    <cellStyle name="Normal 3 6 3 17" xfId="40680"/>
    <cellStyle name="Normal 3 6 3 2" xfId="14511"/>
    <cellStyle name="Normal 3 6 3 3" xfId="14512"/>
    <cellStyle name="Normal 3 6 3 4" xfId="14513"/>
    <cellStyle name="Normal 3 6 3 5" xfId="14514"/>
    <cellStyle name="Normal 3 6 3 6" xfId="14515"/>
    <cellStyle name="Normal 3 6 3 7" xfId="14516"/>
    <cellStyle name="Normal 3 6 3 8" xfId="14517"/>
    <cellStyle name="Normal 3 6 3 9" xfId="14518"/>
    <cellStyle name="Normal 3 6 4" xfId="14519"/>
    <cellStyle name="Normal 3 6 4 2" xfId="40681"/>
    <cellStyle name="Normal 3 6 5" xfId="14520"/>
    <cellStyle name="Normal 3 6 6" xfId="14521"/>
    <cellStyle name="Normal 3 6 7" xfId="14522"/>
    <cellStyle name="Normal 3 6 8" xfId="14523"/>
    <cellStyle name="Normal 3 6 9" xfId="14524"/>
    <cellStyle name="Normal 3 7" xfId="14525"/>
    <cellStyle name="Normal 3 7 10" xfId="14526"/>
    <cellStyle name="Normal 3 7 11" xfId="14527"/>
    <cellStyle name="Normal 3 7 2" xfId="14528"/>
    <cellStyle name="Normal 3 7 2 10" xfId="14529"/>
    <cellStyle name="Normal 3 7 2 11" xfId="14530"/>
    <cellStyle name="Normal 3 7 2 12" xfId="14531"/>
    <cellStyle name="Normal 3 7 2 13" xfId="14532"/>
    <cellStyle name="Normal 3 7 2 14" xfId="14533"/>
    <cellStyle name="Normal 3 7 2 15" xfId="14534"/>
    <cellStyle name="Normal 3 7 2 16" xfId="14535"/>
    <cellStyle name="Normal 3 7 2 17" xfId="14536"/>
    <cellStyle name="Normal 3 7 2 18" xfId="14537"/>
    <cellStyle name="Normal 3 7 2 19" xfId="14538"/>
    <cellStyle name="Normal 3 7 2 2" xfId="14539"/>
    <cellStyle name="Normal 3 7 2 2 2" xfId="14540"/>
    <cellStyle name="Normal 3 7 2 2 3" xfId="14541"/>
    <cellStyle name="Normal 3 7 2 2 4" xfId="14542"/>
    <cellStyle name="Normal 3 7 2 2 5" xfId="14543"/>
    <cellStyle name="Normal 3 7 2 2 6" xfId="14544"/>
    <cellStyle name="Normal 3 7 2 2 7" xfId="14545"/>
    <cellStyle name="Normal 3 7 2 20" xfId="14546"/>
    <cellStyle name="Normal 3 7 2 21" xfId="14547"/>
    <cellStyle name="Normal 3 7 2 22" xfId="40682"/>
    <cellStyle name="Normal 3 7 2 3" xfId="14548"/>
    <cellStyle name="Normal 3 7 2 4" xfId="14549"/>
    <cellStyle name="Normal 3 7 2 5" xfId="14550"/>
    <cellStyle name="Normal 3 7 2 6" xfId="14551"/>
    <cellStyle name="Normal 3 7 2 7" xfId="14552"/>
    <cellStyle name="Normal 3 7 2 8" xfId="14553"/>
    <cellStyle name="Normal 3 7 2 9" xfId="14554"/>
    <cellStyle name="Normal 3 7 3" xfId="14555"/>
    <cellStyle name="Normal 3 7 3 10" xfId="14556"/>
    <cellStyle name="Normal 3 7 3 11" xfId="14557"/>
    <cellStyle name="Normal 3 7 3 12" xfId="14558"/>
    <cellStyle name="Normal 3 7 3 13" xfId="14559"/>
    <cellStyle name="Normal 3 7 3 14" xfId="14560"/>
    <cellStyle name="Normal 3 7 3 15" xfId="14561"/>
    <cellStyle name="Normal 3 7 3 16" xfId="14562"/>
    <cellStyle name="Normal 3 7 3 17" xfId="40683"/>
    <cellStyle name="Normal 3 7 3 2" xfId="14563"/>
    <cellStyle name="Normal 3 7 3 3" xfId="14564"/>
    <cellStyle name="Normal 3 7 3 4" xfId="14565"/>
    <cellStyle name="Normal 3 7 3 5" xfId="14566"/>
    <cellStyle name="Normal 3 7 3 6" xfId="14567"/>
    <cellStyle name="Normal 3 7 3 7" xfId="14568"/>
    <cellStyle name="Normal 3 7 3 8" xfId="14569"/>
    <cellStyle name="Normal 3 7 3 9" xfId="14570"/>
    <cellStyle name="Normal 3 7 4" xfId="14571"/>
    <cellStyle name="Normal 3 7 4 2" xfId="40684"/>
    <cellStyle name="Normal 3 7 5" xfId="14572"/>
    <cellStyle name="Normal 3 7 6" xfId="14573"/>
    <cellStyle name="Normal 3 7 7" xfId="14574"/>
    <cellStyle name="Normal 3 7 8" xfId="14575"/>
    <cellStyle name="Normal 3 7 9" xfId="14576"/>
    <cellStyle name="Normal 3 8" xfId="14577"/>
    <cellStyle name="Normal 3 8 10" xfId="14578"/>
    <cellStyle name="Normal 3 8 10 2" xfId="14579"/>
    <cellStyle name="Normal 3 8 10 2 2" xfId="14580"/>
    <cellStyle name="Normal 3 8 10 2 2 2" xfId="31465"/>
    <cellStyle name="Normal 3 8 10 2 3" xfId="14581"/>
    <cellStyle name="Normal 3 8 10 2 3 2" xfId="31466"/>
    <cellStyle name="Normal 3 8 10 2 4" xfId="14582"/>
    <cellStyle name="Normal 3 8 10 2 4 2" xfId="31467"/>
    <cellStyle name="Normal 3 8 10 2 5" xfId="14583"/>
    <cellStyle name="Normal 3 8 10 2 5 2" xfId="31468"/>
    <cellStyle name="Normal 3 8 10 2 6" xfId="31464"/>
    <cellStyle name="Normal 3 8 10 3" xfId="14584"/>
    <cellStyle name="Normal 3 8 10 3 2" xfId="31469"/>
    <cellStyle name="Normal 3 8 10 4" xfId="14585"/>
    <cellStyle name="Normal 3 8 10 4 2" xfId="31470"/>
    <cellStyle name="Normal 3 8 10 5" xfId="14586"/>
    <cellStyle name="Normal 3 8 10 5 2" xfId="31471"/>
    <cellStyle name="Normal 3 8 10 6" xfId="14587"/>
    <cellStyle name="Normal 3 8 10 6 2" xfId="31472"/>
    <cellStyle name="Normal 3 8 10 7" xfId="31463"/>
    <cellStyle name="Normal 3 8 11" xfId="14588"/>
    <cellStyle name="Normal 3 8 11 2" xfId="14589"/>
    <cellStyle name="Normal 3 8 11 2 2" xfId="31474"/>
    <cellStyle name="Normal 3 8 11 3" xfId="14590"/>
    <cellStyle name="Normal 3 8 11 3 2" xfId="31475"/>
    <cellStyle name="Normal 3 8 11 4" xfId="14591"/>
    <cellStyle name="Normal 3 8 11 4 2" xfId="31476"/>
    <cellStyle name="Normal 3 8 11 5" xfId="14592"/>
    <cellStyle name="Normal 3 8 11 5 2" xfId="31477"/>
    <cellStyle name="Normal 3 8 11 6" xfId="31473"/>
    <cellStyle name="Normal 3 8 12" xfId="14593"/>
    <cellStyle name="Normal 3 8 12 2" xfId="14594"/>
    <cellStyle name="Normal 3 8 12 2 2" xfId="31479"/>
    <cellStyle name="Normal 3 8 12 3" xfId="14595"/>
    <cellStyle name="Normal 3 8 12 3 2" xfId="31480"/>
    <cellStyle name="Normal 3 8 12 4" xfId="14596"/>
    <cellStyle name="Normal 3 8 12 4 2" xfId="31481"/>
    <cellStyle name="Normal 3 8 12 5" xfId="14597"/>
    <cellStyle name="Normal 3 8 12 5 2" xfId="31482"/>
    <cellStyle name="Normal 3 8 12 6" xfId="31478"/>
    <cellStyle name="Normal 3 8 13" xfId="14598"/>
    <cellStyle name="Normal 3 8 13 2" xfId="14599"/>
    <cellStyle name="Normal 3 8 13 2 2" xfId="31484"/>
    <cellStyle name="Normal 3 8 13 3" xfId="14600"/>
    <cellStyle name="Normal 3 8 13 3 2" xfId="31485"/>
    <cellStyle name="Normal 3 8 13 4" xfId="14601"/>
    <cellStyle name="Normal 3 8 13 4 2" xfId="31486"/>
    <cellStyle name="Normal 3 8 13 5" xfId="14602"/>
    <cellStyle name="Normal 3 8 13 5 2" xfId="31487"/>
    <cellStyle name="Normal 3 8 13 6" xfId="31483"/>
    <cellStyle name="Normal 3 8 14" xfId="14603"/>
    <cellStyle name="Normal 3 8 14 2" xfId="14604"/>
    <cellStyle name="Normal 3 8 14 2 2" xfId="31489"/>
    <cellStyle name="Normal 3 8 14 3" xfId="14605"/>
    <cellStyle name="Normal 3 8 14 3 2" xfId="31490"/>
    <cellStyle name="Normal 3 8 14 4" xfId="14606"/>
    <cellStyle name="Normal 3 8 14 4 2" xfId="31491"/>
    <cellStyle name="Normal 3 8 14 5" xfId="14607"/>
    <cellStyle name="Normal 3 8 14 5 2" xfId="31492"/>
    <cellStyle name="Normal 3 8 14 6" xfId="31488"/>
    <cellStyle name="Normal 3 8 15" xfId="14608"/>
    <cellStyle name="Normal 3 8 15 2" xfId="14609"/>
    <cellStyle name="Normal 3 8 15 2 2" xfId="31494"/>
    <cellStyle name="Normal 3 8 15 3" xfId="14610"/>
    <cellStyle name="Normal 3 8 15 3 2" xfId="31495"/>
    <cellStyle name="Normal 3 8 15 4" xfId="14611"/>
    <cellStyle name="Normal 3 8 15 4 2" xfId="31496"/>
    <cellStyle name="Normal 3 8 15 5" xfId="14612"/>
    <cellStyle name="Normal 3 8 15 5 2" xfId="31497"/>
    <cellStyle name="Normal 3 8 15 6" xfId="31493"/>
    <cellStyle name="Normal 3 8 16" xfId="14613"/>
    <cellStyle name="Normal 3 8 16 2" xfId="14614"/>
    <cellStyle name="Normal 3 8 16 2 2" xfId="31499"/>
    <cellStyle name="Normal 3 8 16 3" xfId="14615"/>
    <cellStyle name="Normal 3 8 16 3 2" xfId="31500"/>
    <cellStyle name="Normal 3 8 16 4" xfId="14616"/>
    <cellStyle name="Normal 3 8 16 4 2" xfId="31501"/>
    <cellStyle name="Normal 3 8 16 5" xfId="14617"/>
    <cellStyle name="Normal 3 8 16 5 2" xfId="31502"/>
    <cellStyle name="Normal 3 8 16 6" xfId="31498"/>
    <cellStyle name="Normal 3 8 17" xfId="14618"/>
    <cellStyle name="Normal 3 8 17 2" xfId="14619"/>
    <cellStyle name="Normal 3 8 17 2 2" xfId="31504"/>
    <cellStyle name="Normal 3 8 17 3" xfId="14620"/>
    <cellStyle name="Normal 3 8 17 3 2" xfId="31505"/>
    <cellStyle name="Normal 3 8 17 4" xfId="14621"/>
    <cellStyle name="Normal 3 8 17 4 2" xfId="31506"/>
    <cellStyle name="Normal 3 8 17 5" xfId="14622"/>
    <cellStyle name="Normal 3 8 17 5 2" xfId="31507"/>
    <cellStyle name="Normal 3 8 17 6" xfId="31503"/>
    <cellStyle name="Normal 3 8 18" xfId="14623"/>
    <cellStyle name="Normal 3 8 18 2" xfId="14624"/>
    <cellStyle name="Normal 3 8 18 2 2" xfId="31509"/>
    <cellStyle name="Normal 3 8 18 3" xfId="14625"/>
    <cellStyle name="Normal 3 8 18 3 2" xfId="31510"/>
    <cellStyle name="Normal 3 8 18 4" xfId="14626"/>
    <cellStyle name="Normal 3 8 18 4 2" xfId="31511"/>
    <cellStyle name="Normal 3 8 18 5" xfId="14627"/>
    <cellStyle name="Normal 3 8 18 5 2" xfId="31512"/>
    <cellStyle name="Normal 3 8 18 6" xfId="31508"/>
    <cellStyle name="Normal 3 8 19" xfId="14628"/>
    <cellStyle name="Normal 3 8 19 2" xfId="14629"/>
    <cellStyle name="Normal 3 8 19 2 2" xfId="31514"/>
    <cellStyle name="Normal 3 8 19 3" xfId="14630"/>
    <cellStyle name="Normal 3 8 19 3 2" xfId="31515"/>
    <cellStyle name="Normal 3 8 19 4" xfId="14631"/>
    <cellStyle name="Normal 3 8 19 4 2" xfId="31516"/>
    <cellStyle name="Normal 3 8 19 5" xfId="14632"/>
    <cellStyle name="Normal 3 8 19 5 2" xfId="31517"/>
    <cellStyle name="Normal 3 8 19 6" xfId="31513"/>
    <cellStyle name="Normal 3 8 2" xfId="14633"/>
    <cellStyle name="Normal 3 8 2 10" xfId="14634"/>
    <cellStyle name="Normal 3 8 2 11" xfId="14635"/>
    <cellStyle name="Normal 3 8 2 12" xfId="14636"/>
    <cellStyle name="Normal 3 8 2 13" xfId="14637"/>
    <cellStyle name="Normal 3 8 2 14" xfId="14638"/>
    <cellStyle name="Normal 3 8 2 15" xfId="14639"/>
    <cellStyle name="Normal 3 8 2 16" xfId="14640"/>
    <cellStyle name="Normal 3 8 2 17" xfId="14641"/>
    <cellStyle name="Normal 3 8 2 18" xfId="14642"/>
    <cellStyle name="Normal 3 8 2 19" xfId="14643"/>
    <cellStyle name="Normal 3 8 2 2" xfId="14644"/>
    <cellStyle name="Normal 3 8 2 2 2" xfId="14645"/>
    <cellStyle name="Normal 3 8 2 2 3" xfId="14646"/>
    <cellStyle name="Normal 3 8 2 2 4" xfId="14647"/>
    <cellStyle name="Normal 3 8 2 2 5" xfId="14648"/>
    <cellStyle name="Normal 3 8 2 2 6" xfId="14649"/>
    <cellStyle name="Normal 3 8 2 2 7" xfId="14650"/>
    <cellStyle name="Normal 3 8 2 20" xfId="14651"/>
    <cellStyle name="Normal 3 8 2 21" xfId="14652"/>
    <cellStyle name="Normal 3 8 2 22" xfId="40685"/>
    <cellStyle name="Normal 3 8 2 23" xfId="31518"/>
    <cellStyle name="Normal 3 8 2 3" xfId="14653"/>
    <cellStyle name="Normal 3 8 2 4" xfId="14654"/>
    <cellStyle name="Normal 3 8 2 5" xfId="14655"/>
    <cellStyle name="Normal 3 8 2 6" xfId="14656"/>
    <cellStyle name="Normal 3 8 2 7" xfId="14657"/>
    <cellStyle name="Normal 3 8 2 8" xfId="14658"/>
    <cellStyle name="Normal 3 8 2 9" xfId="14659"/>
    <cellStyle name="Normal 3 8 20" xfId="14660"/>
    <cellStyle name="Normal 3 8 20 2" xfId="14661"/>
    <cellStyle name="Normal 3 8 20 2 2" xfId="31520"/>
    <cellStyle name="Normal 3 8 20 3" xfId="14662"/>
    <cellStyle name="Normal 3 8 20 3 2" xfId="31521"/>
    <cellStyle name="Normal 3 8 20 4" xfId="14663"/>
    <cellStyle name="Normal 3 8 20 4 2" xfId="31522"/>
    <cellStyle name="Normal 3 8 20 5" xfId="14664"/>
    <cellStyle name="Normal 3 8 20 5 2" xfId="31523"/>
    <cellStyle name="Normal 3 8 20 6" xfId="31519"/>
    <cellStyle name="Normal 3 8 21" xfId="14665"/>
    <cellStyle name="Normal 3 8 21 2" xfId="14666"/>
    <cellStyle name="Normal 3 8 21 2 2" xfId="31525"/>
    <cellStyle name="Normal 3 8 21 3" xfId="14667"/>
    <cellStyle name="Normal 3 8 21 3 2" xfId="31526"/>
    <cellStyle name="Normal 3 8 21 4" xfId="14668"/>
    <cellStyle name="Normal 3 8 21 4 2" xfId="31527"/>
    <cellStyle name="Normal 3 8 21 5" xfId="14669"/>
    <cellStyle name="Normal 3 8 21 5 2" xfId="31528"/>
    <cellStyle name="Normal 3 8 21 6" xfId="31524"/>
    <cellStyle name="Normal 3 8 22" xfId="14670"/>
    <cellStyle name="Normal 3 8 22 2" xfId="31529"/>
    <cellStyle name="Normal 3 8 23" xfId="14671"/>
    <cellStyle name="Normal 3 8 23 2" xfId="31530"/>
    <cellStyle name="Normal 3 8 24" xfId="14672"/>
    <cellStyle name="Normal 3 8 24 2" xfId="31531"/>
    <cellStyle name="Normal 3 8 25" xfId="14673"/>
    <cellStyle name="Normal 3 8 25 2" xfId="31532"/>
    <cellStyle name="Normal 3 8 26" xfId="14674"/>
    <cellStyle name="Normal 3 8 26 2" xfId="31533"/>
    <cellStyle name="Normal 3 8 3" xfId="14675"/>
    <cellStyle name="Normal 3 8 3 10" xfId="14676"/>
    <cellStyle name="Normal 3 8 3 11" xfId="14677"/>
    <cellStyle name="Normal 3 8 3 12" xfId="14678"/>
    <cellStyle name="Normal 3 8 3 13" xfId="14679"/>
    <cellStyle name="Normal 3 8 3 14" xfId="14680"/>
    <cellStyle name="Normal 3 8 3 15" xfId="14681"/>
    <cellStyle name="Normal 3 8 3 16" xfId="14682"/>
    <cellStyle name="Normal 3 8 3 17" xfId="40686"/>
    <cellStyle name="Normal 3 8 3 2" xfId="14683"/>
    <cellStyle name="Normal 3 8 3 3" xfId="14684"/>
    <cellStyle name="Normal 3 8 3 4" xfId="14685"/>
    <cellStyle name="Normal 3 8 3 5" xfId="14686"/>
    <cellStyle name="Normal 3 8 3 6" xfId="14687"/>
    <cellStyle name="Normal 3 8 3 7" xfId="14688"/>
    <cellStyle name="Normal 3 8 3 8" xfId="14689"/>
    <cellStyle name="Normal 3 8 3 9" xfId="14690"/>
    <cellStyle name="Normal 3 8 4" xfId="14691"/>
    <cellStyle name="Normal 3 8 4 10" xfId="14692"/>
    <cellStyle name="Normal 3 8 4 10 2" xfId="14693"/>
    <cellStyle name="Normal 3 8 4 10 2 2" xfId="31535"/>
    <cellStyle name="Normal 3 8 4 10 3" xfId="14694"/>
    <cellStyle name="Normal 3 8 4 10 3 2" xfId="31536"/>
    <cellStyle name="Normal 3 8 4 10 4" xfId="14695"/>
    <cellStyle name="Normal 3 8 4 10 4 2" xfId="31537"/>
    <cellStyle name="Normal 3 8 4 10 5" xfId="14696"/>
    <cellStyle name="Normal 3 8 4 10 5 2" xfId="31538"/>
    <cellStyle name="Normal 3 8 4 10 6" xfId="31534"/>
    <cellStyle name="Normal 3 8 4 11" xfId="14697"/>
    <cellStyle name="Normal 3 8 4 11 2" xfId="14698"/>
    <cellStyle name="Normal 3 8 4 11 2 2" xfId="31540"/>
    <cellStyle name="Normal 3 8 4 11 3" xfId="14699"/>
    <cellStyle name="Normal 3 8 4 11 3 2" xfId="31541"/>
    <cellStyle name="Normal 3 8 4 11 4" xfId="14700"/>
    <cellStyle name="Normal 3 8 4 11 4 2" xfId="31542"/>
    <cellStyle name="Normal 3 8 4 11 5" xfId="14701"/>
    <cellStyle name="Normal 3 8 4 11 5 2" xfId="31543"/>
    <cellStyle name="Normal 3 8 4 11 6" xfId="31539"/>
    <cellStyle name="Normal 3 8 4 12" xfId="14702"/>
    <cellStyle name="Normal 3 8 4 12 2" xfId="14703"/>
    <cellStyle name="Normal 3 8 4 12 2 2" xfId="31545"/>
    <cellStyle name="Normal 3 8 4 12 3" xfId="14704"/>
    <cellStyle name="Normal 3 8 4 12 3 2" xfId="31546"/>
    <cellStyle name="Normal 3 8 4 12 4" xfId="14705"/>
    <cellStyle name="Normal 3 8 4 12 4 2" xfId="31547"/>
    <cellStyle name="Normal 3 8 4 12 5" xfId="14706"/>
    <cellStyle name="Normal 3 8 4 12 5 2" xfId="31548"/>
    <cellStyle name="Normal 3 8 4 12 6" xfId="31544"/>
    <cellStyle name="Normal 3 8 4 13" xfId="14707"/>
    <cellStyle name="Normal 3 8 4 13 2" xfId="14708"/>
    <cellStyle name="Normal 3 8 4 13 2 2" xfId="31550"/>
    <cellStyle name="Normal 3 8 4 13 3" xfId="14709"/>
    <cellStyle name="Normal 3 8 4 13 3 2" xfId="31551"/>
    <cellStyle name="Normal 3 8 4 13 4" xfId="14710"/>
    <cellStyle name="Normal 3 8 4 13 4 2" xfId="31552"/>
    <cellStyle name="Normal 3 8 4 13 5" xfId="14711"/>
    <cellStyle name="Normal 3 8 4 13 5 2" xfId="31553"/>
    <cellStyle name="Normal 3 8 4 13 6" xfId="31549"/>
    <cellStyle name="Normal 3 8 4 14" xfId="14712"/>
    <cellStyle name="Normal 3 8 4 14 2" xfId="14713"/>
    <cellStyle name="Normal 3 8 4 14 2 2" xfId="31555"/>
    <cellStyle name="Normal 3 8 4 14 3" xfId="14714"/>
    <cellStyle name="Normal 3 8 4 14 3 2" xfId="31556"/>
    <cellStyle name="Normal 3 8 4 14 4" xfId="14715"/>
    <cellStyle name="Normal 3 8 4 14 4 2" xfId="31557"/>
    <cellStyle name="Normal 3 8 4 14 5" xfId="14716"/>
    <cellStyle name="Normal 3 8 4 14 5 2" xfId="31558"/>
    <cellStyle name="Normal 3 8 4 14 6" xfId="31554"/>
    <cellStyle name="Normal 3 8 4 15" xfId="14717"/>
    <cellStyle name="Normal 3 8 4 15 2" xfId="14718"/>
    <cellStyle name="Normal 3 8 4 15 2 2" xfId="31560"/>
    <cellStyle name="Normal 3 8 4 15 3" xfId="14719"/>
    <cellStyle name="Normal 3 8 4 15 3 2" xfId="31561"/>
    <cellStyle name="Normal 3 8 4 15 4" xfId="14720"/>
    <cellStyle name="Normal 3 8 4 15 4 2" xfId="31562"/>
    <cellStyle name="Normal 3 8 4 15 5" xfId="14721"/>
    <cellStyle name="Normal 3 8 4 15 5 2" xfId="31563"/>
    <cellStyle name="Normal 3 8 4 15 6" xfId="31559"/>
    <cellStyle name="Normal 3 8 4 16" xfId="14722"/>
    <cellStyle name="Normal 3 8 4 16 2" xfId="14723"/>
    <cellStyle name="Normal 3 8 4 16 2 2" xfId="31565"/>
    <cellStyle name="Normal 3 8 4 16 3" xfId="14724"/>
    <cellStyle name="Normal 3 8 4 16 3 2" xfId="31566"/>
    <cellStyle name="Normal 3 8 4 16 4" xfId="14725"/>
    <cellStyle name="Normal 3 8 4 16 4 2" xfId="31567"/>
    <cellStyle name="Normal 3 8 4 16 5" xfId="14726"/>
    <cellStyle name="Normal 3 8 4 16 5 2" xfId="31568"/>
    <cellStyle name="Normal 3 8 4 16 6" xfId="31564"/>
    <cellStyle name="Normal 3 8 4 17" xfId="40687"/>
    <cellStyle name="Normal 3 8 4 2" xfId="14727"/>
    <cellStyle name="Normal 3 8 4 3" xfId="14728"/>
    <cellStyle name="Normal 3 8 4 3 2" xfId="14729"/>
    <cellStyle name="Normal 3 8 4 3 2 2" xfId="31570"/>
    <cellStyle name="Normal 3 8 4 3 3" xfId="14730"/>
    <cellStyle name="Normal 3 8 4 3 3 2" xfId="31571"/>
    <cellStyle name="Normal 3 8 4 3 4" xfId="14731"/>
    <cellStyle name="Normal 3 8 4 3 4 2" xfId="31572"/>
    <cellStyle name="Normal 3 8 4 3 5" xfId="14732"/>
    <cellStyle name="Normal 3 8 4 3 5 2" xfId="31573"/>
    <cellStyle name="Normal 3 8 4 3 6" xfId="31569"/>
    <cellStyle name="Normal 3 8 4 4" xfId="14733"/>
    <cellStyle name="Normal 3 8 4 4 2" xfId="14734"/>
    <cellStyle name="Normal 3 8 4 4 2 2" xfId="31575"/>
    <cellStyle name="Normal 3 8 4 4 3" xfId="14735"/>
    <cellStyle name="Normal 3 8 4 4 3 2" xfId="31576"/>
    <cellStyle name="Normal 3 8 4 4 4" xfId="14736"/>
    <cellStyle name="Normal 3 8 4 4 4 2" xfId="31577"/>
    <cellStyle name="Normal 3 8 4 4 5" xfId="14737"/>
    <cellStyle name="Normal 3 8 4 4 5 2" xfId="31578"/>
    <cellStyle name="Normal 3 8 4 4 6" xfId="31574"/>
    <cellStyle name="Normal 3 8 4 5" xfId="14738"/>
    <cellStyle name="Normal 3 8 4 5 2" xfId="14739"/>
    <cellStyle name="Normal 3 8 4 5 2 2" xfId="31580"/>
    <cellStyle name="Normal 3 8 4 5 3" xfId="14740"/>
    <cellStyle name="Normal 3 8 4 5 3 2" xfId="31581"/>
    <cellStyle name="Normal 3 8 4 5 4" xfId="14741"/>
    <cellStyle name="Normal 3 8 4 5 4 2" xfId="31582"/>
    <cellStyle name="Normal 3 8 4 5 5" xfId="14742"/>
    <cellStyle name="Normal 3 8 4 5 5 2" xfId="31583"/>
    <cellStyle name="Normal 3 8 4 5 6" xfId="31579"/>
    <cellStyle name="Normal 3 8 4 6" xfId="14743"/>
    <cellStyle name="Normal 3 8 4 6 2" xfId="14744"/>
    <cellStyle name="Normal 3 8 4 6 2 2" xfId="31585"/>
    <cellStyle name="Normal 3 8 4 6 3" xfId="14745"/>
    <cellStyle name="Normal 3 8 4 6 3 2" xfId="31586"/>
    <cellStyle name="Normal 3 8 4 6 4" xfId="14746"/>
    <cellStyle name="Normal 3 8 4 6 4 2" xfId="31587"/>
    <cellStyle name="Normal 3 8 4 6 5" xfId="14747"/>
    <cellStyle name="Normal 3 8 4 6 5 2" xfId="31588"/>
    <cellStyle name="Normal 3 8 4 6 6" xfId="31584"/>
    <cellStyle name="Normal 3 8 4 7" xfId="14748"/>
    <cellStyle name="Normal 3 8 4 7 2" xfId="14749"/>
    <cellStyle name="Normal 3 8 4 7 2 2" xfId="31590"/>
    <cellStyle name="Normal 3 8 4 7 3" xfId="14750"/>
    <cellStyle name="Normal 3 8 4 7 3 2" xfId="31591"/>
    <cellStyle name="Normal 3 8 4 7 4" xfId="14751"/>
    <cellStyle name="Normal 3 8 4 7 4 2" xfId="31592"/>
    <cellStyle name="Normal 3 8 4 7 5" xfId="14752"/>
    <cellStyle name="Normal 3 8 4 7 5 2" xfId="31593"/>
    <cellStyle name="Normal 3 8 4 7 6" xfId="31589"/>
    <cellStyle name="Normal 3 8 4 8" xfId="14753"/>
    <cellStyle name="Normal 3 8 4 8 2" xfId="14754"/>
    <cellStyle name="Normal 3 8 4 8 2 2" xfId="31595"/>
    <cellStyle name="Normal 3 8 4 8 3" xfId="14755"/>
    <cellStyle name="Normal 3 8 4 8 3 2" xfId="31596"/>
    <cellStyle name="Normal 3 8 4 8 4" xfId="14756"/>
    <cellStyle name="Normal 3 8 4 8 4 2" xfId="31597"/>
    <cellStyle name="Normal 3 8 4 8 5" xfId="14757"/>
    <cellStyle name="Normal 3 8 4 8 5 2" xfId="31598"/>
    <cellStyle name="Normal 3 8 4 8 6" xfId="31594"/>
    <cellStyle name="Normal 3 8 4 9" xfId="14758"/>
    <cellStyle name="Normal 3 8 4 9 2" xfId="14759"/>
    <cellStyle name="Normal 3 8 4 9 2 2" xfId="31600"/>
    <cellStyle name="Normal 3 8 4 9 3" xfId="14760"/>
    <cellStyle name="Normal 3 8 4 9 3 2" xfId="31601"/>
    <cellStyle name="Normal 3 8 4 9 4" xfId="14761"/>
    <cellStyle name="Normal 3 8 4 9 4 2" xfId="31602"/>
    <cellStyle name="Normal 3 8 4 9 5" xfId="14762"/>
    <cellStyle name="Normal 3 8 4 9 5 2" xfId="31603"/>
    <cellStyle name="Normal 3 8 4 9 6" xfId="31599"/>
    <cellStyle name="Normal 3 8 5" xfId="14763"/>
    <cellStyle name="Normal 3 8 5 2" xfId="14764"/>
    <cellStyle name="Normal 3 8 6" xfId="14765"/>
    <cellStyle name="Normal 3 8 6 2" xfId="14766"/>
    <cellStyle name="Normal 3 8 7" xfId="14767"/>
    <cellStyle name="Normal 3 8 7 2" xfId="14768"/>
    <cellStyle name="Normal 3 8 8" xfId="14769"/>
    <cellStyle name="Normal 3 8 8 2" xfId="14770"/>
    <cellStyle name="Normal 3 8 8 2 2" xfId="14771"/>
    <cellStyle name="Normal 3 8 8 2 2 2" xfId="31606"/>
    <cellStyle name="Normal 3 8 8 2 3" xfId="14772"/>
    <cellStyle name="Normal 3 8 8 2 3 2" xfId="31607"/>
    <cellStyle name="Normal 3 8 8 2 4" xfId="14773"/>
    <cellStyle name="Normal 3 8 8 2 4 2" xfId="31608"/>
    <cellStyle name="Normal 3 8 8 2 5" xfId="14774"/>
    <cellStyle name="Normal 3 8 8 2 5 2" xfId="31609"/>
    <cellStyle name="Normal 3 8 8 2 6" xfId="31605"/>
    <cellStyle name="Normal 3 8 8 3" xfId="14775"/>
    <cellStyle name="Normal 3 8 8 3 2" xfId="31610"/>
    <cellStyle name="Normal 3 8 8 4" xfId="14776"/>
    <cellStyle name="Normal 3 8 8 4 2" xfId="31611"/>
    <cellStyle name="Normal 3 8 8 5" xfId="14777"/>
    <cellStyle name="Normal 3 8 8 5 2" xfId="31612"/>
    <cellStyle name="Normal 3 8 8 6" xfId="14778"/>
    <cellStyle name="Normal 3 8 8 6 2" xfId="31613"/>
    <cellStyle name="Normal 3 8 8 7" xfId="31604"/>
    <cellStyle name="Normal 3 8 9" xfId="14779"/>
    <cellStyle name="Normal 3 8 9 2" xfId="14780"/>
    <cellStyle name="Normal 3 8 9 2 2" xfId="14781"/>
    <cellStyle name="Normal 3 8 9 2 2 2" xfId="31616"/>
    <cellStyle name="Normal 3 8 9 2 3" xfId="14782"/>
    <cellStyle name="Normal 3 8 9 2 3 2" xfId="31617"/>
    <cellStyle name="Normal 3 8 9 2 4" xfId="14783"/>
    <cellStyle name="Normal 3 8 9 2 4 2" xfId="31618"/>
    <cellStyle name="Normal 3 8 9 2 5" xfId="14784"/>
    <cellStyle name="Normal 3 8 9 2 5 2" xfId="31619"/>
    <cellStyle name="Normal 3 8 9 2 6" xfId="31615"/>
    <cellStyle name="Normal 3 8 9 3" xfId="14785"/>
    <cellStyle name="Normal 3 8 9 3 2" xfId="31620"/>
    <cellStyle name="Normal 3 8 9 4" xfId="14786"/>
    <cellStyle name="Normal 3 8 9 4 2" xfId="31621"/>
    <cellStyle name="Normal 3 8 9 5" xfId="14787"/>
    <cellStyle name="Normal 3 8 9 5 2" xfId="31622"/>
    <cellStyle name="Normal 3 8 9 6" xfId="14788"/>
    <cellStyle name="Normal 3 8 9 6 2" xfId="31623"/>
    <cellStyle name="Normal 3 8 9 7" xfId="31614"/>
    <cellStyle name="Normal 3 9" xfId="14789"/>
    <cellStyle name="Normal 3 9 10" xfId="14790"/>
    <cellStyle name="Normal 3 9 10 2" xfId="14791"/>
    <cellStyle name="Normal 3 9 10 2 2" xfId="14792"/>
    <cellStyle name="Normal 3 9 10 2 2 2" xfId="31626"/>
    <cellStyle name="Normal 3 9 10 2 3" xfId="14793"/>
    <cellStyle name="Normal 3 9 10 2 3 2" xfId="31627"/>
    <cellStyle name="Normal 3 9 10 2 4" xfId="14794"/>
    <cellStyle name="Normal 3 9 10 2 4 2" xfId="31628"/>
    <cellStyle name="Normal 3 9 10 2 5" xfId="14795"/>
    <cellStyle name="Normal 3 9 10 2 5 2" xfId="31629"/>
    <cellStyle name="Normal 3 9 10 2 6" xfId="31625"/>
    <cellStyle name="Normal 3 9 10 3" xfId="14796"/>
    <cellStyle name="Normal 3 9 10 3 2" xfId="31630"/>
    <cellStyle name="Normal 3 9 10 4" xfId="14797"/>
    <cellStyle name="Normal 3 9 10 4 2" xfId="31631"/>
    <cellStyle name="Normal 3 9 10 5" xfId="14798"/>
    <cellStyle name="Normal 3 9 10 5 2" xfId="31632"/>
    <cellStyle name="Normal 3 9 10 6" xfId="14799"/>
    <cellStyle name="Normal 3 9 10 6 2" xfId="31633"/>
    <cellStyle name="Normal 3 9 10 7" xfId="31624"/>
    <cellStyle name="Normal 3 9 11" xfId="14800"/>
    <cellStyle name="Normal 3 9 11 2" xfId="14801"/>
    <cellStyle name="Normal 3 9 11 2 2" xfId="31635"/>
    <cellStyle name="Normal 3 9 11 3" xfId="14802"/>
    <cellStyle name="Normal 3 9 11 3 2" xfId="31636"/>
    <cellStyle name="Normal 3 9 11 4" xfId="14803"/>
    <cellStyle name="Normal 3 9 11 4 2" xfId="31637"/>
    <cellStyle name="Normal 3 9 11 5" xfId="14804"/>
    <cellStyle name="Normal 3 9 11 5 2" xfId="31638"/>
    <cellStyle name="Normal 3 9 11 6" xfId="31634"/>
    <cellStyle name="Normal 3 9 12" xfId="14805"/>
    <cellStyle name="Normal 3 9 12 2" xfId="14806"/>
    <cellStyle name="Normal 3 9 12 2 2" xfId="31640"/>
    <cellStyle name="Normal 3 9 12 3" xfId="14807"/>
    <cellStyle name="Normal 3 9 12 3 2" xfId="31641"/>
    <cellStyle name="Normal 3 9 12 4" xfId="14808"/>
    <cellStyle name="Normal 3 9 12 4 2" xfId="31642"/>
    <cellStyle name="Normal 3 9 12 5" xfId="14809"/>
    <cellStyle name="Normal 3 9 12 5 2" xfId="31643"/>
    <cellStyle name="Normal 3 9 12 6" xfId="31639"/>
    <cellStyle name="Normal 3 9 13" xfId="14810"/>
    <cellStyle name="Normal 3 9 13 2" xfId="14811"/>
    <cellStyle name="Normal 3 9 13 2 2" xfId="31645"/>
    <cellStyle name="Normal 3 9 13 3" xfId="14812"/>
    <cellStyle name="Normal 3 9 13 3 2" xfId="31646"/>
    <cellStyle name="Normal 3 9 13 4" xfId="14813"/>
    <cellStyle name="Normal 3 9 13 4 2" xfId="31647"/>
    <cellStyle name="Normal 3 9 13 5" xfId="14814"/>
    <cellStyle name="Normal 3 9 13 5 2" xfId="31648"/>
    <cellStyle name="Normal 3 9 13 6" xfId="31644"/>
    <cellStyle name="Normal 3 9 14" xfId="14815"/>
    <cellStyle name="Normal 3 9 14 2" xfId="14816"/>
    <cellStyle name="Normal 3 9 14 2 2" xfId="31650"/>
    <cellStyle name="Normal 3 9 14 3" xfId="14817"/>
    <cellStyle name="Normal 3 9 14 3 2" xfId="31651"/>
    <cellStyle name="Normal 3 9 14 4" xfId="14818"/>
    <cellStyle name="Normal 3 9 14 4 2" xfId="31652"/>
    <cellStyle name="Normal 3 9 14 5" xfId="14819"/>
    <cellStyle name="Normal 3 9 14 5 2" xfId="31653"/>
    <cellStyle name="Normal 3 9 14 6" xfId="31649"/>
    <cellStyle name="Normal 3 9 15" xfId="14820"/>
    <cellStyle name="Normal 3 9 15 2" xfId="14821"/>
    <cellStyle name="Normal 3 9 15 2 2" xfId="31655"/>
    <cellStyle name="Normal 3 9 15 3" xfId="14822"/>
    <cellStyle name="Normal 3 9 15 3 2" xfId="31656"/>
    <cellStyle name="Normal 3 9 15 4" xfId="14823"/>
    <cellStyle name="Normal 3 9 15 4 2" xfId="31657"/>
    <cellStyle name="Normal 3 9 15 5" xfId="14824"/>
    <cellStyle name="Normal 3 9 15 5 2" xfId="31658"/>
    <cellStyle name="Normal 3 9 15 6" xfId="31654"/>
    <cellStyle name="Normal 3 9 16" xfId="14825"/>
    <cellStyle name="Normal 3 9 16 2" xfId="14826"/>
    <cellStyle name="Normal 3 9 16 2 2" xfId="31660"/>
    <cellStyle name="Normal 3 9 16 3" xfId="14827"/>
    <cellStyle name="Normal 3 9 16 3 2" xfId="31661"/>
    <cellStyle name="Normal 3 9 16 4" xfId="14828"/>
    <cellStyle name="Normal 3 9 16 4 2" xfId="31662"/>
    <cellStyle name="Normal 3 9 16 5" xfId="14829"/>
    <cellStyle name="Normal 3 9 16 5 2" xfId="31663"/>
    <cellStyle name="Normal 3 9 16 6" xfId="31659"/>
    <cellStyle name="Normal 3 9 17" xfId="14830"/>
    <cellStyle name="Normal 3 9 17 2" xfId="14831"/>
    <cellStyle name="Normal 3 9 17 2 2" xfId="31665"/>
    <cellStyle name="Normal 3 9 17 3" xfId="14832"/>
    <cellStyle name="Normal 3 9 17 3 2" xfId="31666"/>
    <cellStyle name="Normal 3 9 17 4" xfId="14833"/>
    <cellStyle name="Normal 3 9 17 4 2" xfId="31667"/>
    <cellStyle name="Normal 3 9 17 5" xfId="14834"/>
    <cellStyle name="Normal 3 9 17 5 2" xfId="31668"/>
    <cellStyle name="Normal 3 9 17 6" xfId="31664"/>
    <cellStyle name="Normal 3 9 18" xfId="14835"/>
    <cellStyle name="Normal 3 9 18 2" xfId="14836"/>
    <cellStyle name="Normal 3 9 18 2 2" xfId="31670"/>
    <cellStyle name="Normal 3 9 18 3" xfId="14837"/>
    <cellStyle name="Normal 3 9 18 3 2" xfId="31671"/>
    <cellStyle name="Normal 3 9 18 4" xfId="14838"/>
    <cellStyle name="Normal 3 9 18 4 2" xfId="31672"/>
    <cellStyle name="Normal 3 9 18 5" xfId="14839"/>
    <cellStyle name="Normal 3 9 18 5 2" xfId="31673"/>
    <cellStyle name="Normal 3 9 18 6" xfId="31669"/>
    <cellStyle name="Normal 3 9 19" xfId="14840"/>
    <cellStyle name="Normal 3 9 19 2" xfId="14841"/>
    <cellStyle name="Normal 3 9 19 2 2" xfId="31675"/>
    <cellStyle name="Normal 3 9 19 3" xfId="14842"/>
    <cellStyle name="Normal 3 9 19 3 2" xfId="31676"/>
    <cellStyle name="Normal 3 9 19 4" xfId="14843"/>
    <cellStyle name="Normal 3 9 19 4 2" xfId="31677"/>
    <cellStyle name="Normal 3 9 19 5" xfId="14844"/>
    <cellStyle name="Normal 3 9 19 5 2" xfId="31678"/>
    <cellStyle name="Normal 3 9 19 6" xfId="31674"/>
    <cellStyle name="Normal 3 9 2" xfId="14845"/>
    <cellStyle name="Normal 3 9 2 10" xfId="14846"/>
    <cellStyle name="Normal 3 9 2 11" xfId="14847"/>
    <cellStyle name="Normal 3 9 2 12" xfId="14848"/>
    <cellStyle name="Normal 3 9 2 13" xfId="14849"/>
    <cellStyle name="Normal 3 9 2 14" xfId="14850"/>
    <cellStyle name="Normal 3 9 2 15" xfId="14851"/>
    <cellStyle name="Normal 3 9 2 16" xfId="14852"/>
    <cellStyle name="Normal 3 9 2 17" xfId="14853"/>
    <cellStyle name="Normal 3 9 2 18" xfId="14854"/>
    <cellStyle name="Normal 3 9 2 19" xfId="14855"/>
    <cellStyle name="Normal 3 9 2 2" xfId="14856"/>
    <cellStyle name="Normal 3 9 2 2 2" xfId="14857"/>
    <cellStyle name="Normal 3 9 2 2 3" xfId="14858"/>
    <cellStyle name="Normal 3 9 2 2 4" xfId="14859"/>
    <cellStyle name="Normal 3 9 2 2 5" xfId="14860"/>
    <cellStyle name="Normal 3 9 2 2 6" xfId="14861"/>
    <cellStyle name="Normal 3 9 2 2 7" xfId="14862"/>
    <cellStyle name="Normal 3 9 2 20" xfId="14863"/>
    <cellStyle name="Normal 3 9 2 21" xfId="14864"/>
    <cellStyle name="Normal 3 9 2 22" xfId="40688"/>
    <cellStyle name="Normal 3 9 2 23" xfId="31679"/>
    <cellStyle name="Normal 3 9 2 3" xfId="14865"/>
    <cellStyle name="Normal 3 9 2 4" xfId="14866"/>
    <cellStyle name="Normal 3 9 2 5" xfId="14867"/>
    <cellStyle name="Normal 3 9 2 6" xfId="14868"/>
    <cellStyle name="Normal 3 9 2 7" xfId="14869"/>
    <cellStyle name="Normal 3 9 2 8" xfId="14870"/>
    <cellStyle name="Normal 3 9 2 9" xfId="14871"/>
    <cellStyle name="Normal 3 9 20" xfId="14872"/>
    <cellStyle name="Normal 3 9 20 2" xfId="14873"/>
    <cellStyle name="Normal 3 9 20 2 2" xfId="31681"/>
    <cellStyle name="Normal 3 9 20 3" xfId="14874"/>
    <cellStyle name="Normal 3 9 20 3 2" xfId="31682"/>
    <cellStyle name="Normal 3 9 20 4" xfId="14875"/>
    <cellStyle name="Normal 3 9 20 4 2" xfId="31683"/>
    <cellStyle name="Normal 3 9 20 5" xfId="14876"/>
    <cellStyle name="Normal 3 9 20 5 2" xfId="31684"/>
    <cellStyle name="Normal 3 9 20 6" xfId="31680"/>
    <cellStyle name="Normal 3 9 21" xfId="14877"/>
    <cellStyle name="Normal 3 9 21 2" xfId="14878"/>
    <cellStyle name="Normal 3 9 21 2 2" xfId="31686"/>
    <cellStyle name="Normal 3 9 21 3" xfId="14879"/>
    <cellStyle name="Normal 3 9 21 3 2" xfId="31687"/>
    <cellStyle name="Normal 3 9 21 4" xfId="14880"/>
    <cellStyle name="Normal 3 9 21 4 2" xfId="31688"/>
    <cellStyle name="Normal 3 9 21 5" xfId="14881"/>
    <cellStyle name="Normal 3 9 21 5 2" xfId="31689"/>
    <cellStyle name="Normal 3 9 21 6" xfId="31685"/>
    <cellStyle name="Normal 3 9 22" xfId="14882"/>
    <cellStyle name="Normal 3 9 22 2" xfId="31690"/>
    <cellStyle name="Normal 3 9 23" xfId="14883"/>
    <cellStyle name="Normal 3 9 23 2" xfId="31691"/>
    <cellStyle name="Normal 3 9 24" xfId="14884"/>
    <cellStyle name="Normal 3 9 24 2" xfId="31692"/>
    <cellStyle name="Normal 3 9 25" xfId="14885"/>
    <cellStyle name="Normal 3 9 25 2" xfId="31693"/>
    <cellStyle name="Normal 3 9 26" xfId="14886"/>
    <cellStyle name="Normal 3 9 26 2" xfId="31694"/>
    <cellStyle name="Normal 3 9 3" xfId="14887"/>
    <cellStyle name="Normal 3 9 3 10" xfId="14888"/>
    <cellStyle name="Normal 3 9 3 11" xfId="14889"/>
    <cellStyle name="Normal 3 9 3 12" xfId="14890"/>
    <cellStyle name="Normal 3 9 3 13" xfId="14891"/>
    <cellStyle name="Normal 3 9 3 14" xfId="14892"/>
    <cellStyle name="Normal 3 9 3 15" xfId="14893"/>
    <cellStyle name="Normal 3 9 3 16" xfId="14894"/>
    <cellStyle name="Normal 3 9 3 17" xfId="40689"/>
    <cellStyle name="Normal 3 9 3 2" xfId="14895"/>
    <cellStyle name="Normal 3 9 3 3" xfId="14896"/>
    <cellStyle name="Normal 3 9 3 4" xfId="14897"/>
    <cellStyle name="Normal 3 9 3 5" xfId="14898"/>
    <cellStyle name="Normal 3 9 3 6" xfId="14899"/>
    <cellStyle name="Normal 3 9 3 7" xfId="14900"/>
    <cellStyle name="Normal 3 9 3 8" xfId="14901"/>
    <cellStyle name="Normal 3 9 3 9" xfId="14902"/>
    <cellStyle name="Normal 3 9 4" xfId="14903"/>
    <cellStyle name="Normal 3 9 4 10" xfId="14904"/>
    <cellStyle name="Normal 3 9 4 10 2" xfId="14905"/>
    <cellStyle name="Normal 3 9 4 10 2 2" xfId="31696"/>
    <cellStyle name="Normal 3 9 4 10 3" xfId="14906"/>
    <cellStyle name="Normal 3 9 4 10 3 2" xfId="31697"/>
    <cellStyle name="Normal 3 9 4 10 4" xfId="14907"/>
    <cellStyle name="Normal 3 9 4 10 4 2" xfId="31698"/>
    <cellStyle name="Normal 3 9 4 10 5" xfId="14908"/>
    <cellStyle name="Normal 3 9 4 10 5 2" xfId="31699"/>
    <cellStyle name="Normal 3 9 4 10 6" xfId="31695"/>
    <cellStyle name="Normal 3 9 4 11" xfId="14909"/>
    <cellStyle name="Normal 3 9 4 11 2" xfId="14910"/>
    <cellStyle name="Normal 3 9 4 11 2 2" xfId="31701"/>
    <cellStyle name="Normal 3 9 4 11 3" xfId="14911"/>
    <cellStyle name="Normal 3 9 4 11 3 2" xfId="31702"/>
    <cellStyle name="Normal 3 9 4 11 4" xfId="14912"/>
    <cellStyle name="Normal 3 9 4 11 4 2" xfId="31703"/>
    <cellStyle name="Normal 3 9 4 11 5" xfId="14913"/>
    <cellStyle name="Normal 3 9 4 11 5 2" xfId="31704"/>
    <cellStyle name="Normal 3 9 4 11 6" xfId="31700"/>
    <cellStyle name="Normal 3 9 4 12" xfId="14914"/>
    <cellStyle name="Normal 3 9 4 12 2" xfId="14915"/>
    <cellStyle name="Normal 3 9 4 12 2 2" xfId="31706"/>
    <cellStyle name="Normal 3 9 4 12 3" xfId="14916"/>
    <cellStyle name="Normal 3 9 4 12 3 2" xfId="31707"/>
    <cellStyle name="Normal 3 9 4 12 4" xfId="14917"/>
    <cellStyle name="Normal 3 9 4 12 4 2" xfId="31708"/>
    <cellStyle name="Normal 3 9 4 12 5" xfId="14918"/>
    <cellStyle name="Normal 3 9 4 12 5 2" xfId="31709"/>
    <cellStyle name="Normal 3 9 4 12 6" xfId="31705"/>
    <cellStyle name="Normal 3 9 4 13" xfId="14919"/>
    <cellStyle name="Normal 3 9 4 13 2" xfId="14920"/>
    <cellStyle name="Normal 3 9 4 13 2 2" xfId="31711"/>
    <cellStyle name="Normal 3 9 4 13 3" xfId="14921"/>
    <cellStyle name="Normal 3 9 4 13 3 2" xfId="31712"/>
    <cellStyle name="Normal 3 9 4 13 4" xfId="14922"/>
    <cellStyle name="Normal 3 9 4 13 4 2" xfId="31713"/>
    <cellStyle name="Normal 3 9 4 13 5" xfId="14923"/>
    <cellStyle name="Normal 3 9 4 13 5 2" xfId="31714"/>
    <cellStyle name="Normal 3 9 4 13 6" xfId="31710"/>
    <cellStyle name="Normal 3 9 4 14" xfId="14924"/>
    <cellStyle name="Normal 3 9 4 14 2" xfId="14925"/>
    <cellStyle name="Normal 3 9 4 14 2 2" xfId="31716"/>
    <cellStyle name="Normal 3 9 4 14 3" xfId="14926"/>
    <cellStyle name="Normal 3 9 4 14 3 2" xfId="31717"/>
    <cellStyle name="Normal 3 9 4 14 4" xfId="14927"/>
    <cellStyle name="Normal 3 9 4 14 4 2" xfId="31718"/>
    <cellStyle name="Normal 3 9 4 14 5" xfId="14928"/>
    <cellStyle name="Normal 3 9 4 14 5 2" xfId="31719"/>
    <cellStyle name="Normal 3 9 4 14 6" xfId="31715"/>
    <cellStyle name="Normal 3 9 4 15" xfId="14929"/>
    <cellStyle name="Normal 3 9 4 15 2" xfId="14930"/>
    <cellStyle name="Normal 3 9 4 15 2 2" xfId="31721"/>
    <cellStyle name="Normal 3 9 4 15 3" xfId="14931"/>
    <cellStyle name="Normal 3 9 4 15 3 2" xfId="31722"/>
    <cellStyle name="Normal 3 9 4 15 4" xfId="14932"/>
    <cellStyle name="Normal 3 9 4 15 4 2" xfId="31723"/>
    <cellStyle name="Normal 3 9 4 15 5" xfId="14933"/>
    <cellStyle name="Normal 3 9 4 15 5 2" xfId="31724"/>
    <cellStyle name="Normal 3 9 4 15 6" xfId="31720"/>
    <cellStyle name="Normal 3 9 4 16" xfId="14934"/>
    <cellStyle name="Normal 3 9 4 16 2" xfId="14935"/>
    <cellStyle name="Normal 3 9 4 16 2 2" xfId="31726"/>
    <cellStyle name="Normal 3 9 4 16 3" xfId="14936"/>
    <cellStyle name="Normal 3 9 4 16 3 2" xfId="31727"/>
    <cellStyle name="Normal 3 9 4 16 4" xfId="14937"/>
    <cellStyle name="Normal 3 9 4 16 4 2" xfId="31728"/>
    <cellStyle name="Normal 3 9 4 16 5" xfId="14938"/>
    <cellStyle name="Normal 3 9 4 16 5 2" xfId="31729"/>
    <cellStyle name="Normal 3 9 4 16 6" xfId="31725"/>
    <cellStyle name="Normal 3 9 4 17" xfId="40690"/>
    <cellStyle name="Normal 3 9 4 2" xfId="14939"/>
    <cellStyle name="Normal 3 9 4 3" xfId="14940"/>
    <cellStyle name="Normal 3 9 4 3 2" xfId="14941"/>
    <cellStyle name="Normal 3 9 4 3 2 2" xfId="31731"/>
    <cellStyle name="Normal 3 9 4 3 3" xfId="14942"/>
    <cellStyle name="Normal 3 9 4 3 3 2" xfId="31732"/>
    <cellStyle name="Normal 3 9 4 3 4" xfId="14943"/>
    <cellStyle name="Normal 3 9 4 3 4 2" xfId="31733"/>
    <cellStyle name="Normal 3 9 4 3 5" xfId="14944"/>
    <cellStyle name="Normal 3 9 4 3 5 2" xfId="31734"/>
    <cellStyle name="Normal 3 9 4 3 6" xfId="31730"/>
    <cellStyle name="Normal 3 9 4 4" xfId="14945"/>
    <cellStyle name="Normal 3 9 4 4 2" xfId="14946"/>
    <cellStyle name="Normal 3 9 4 4 2 2" xfId="31736"/>
    <cellStyle name="Normal 3 9 4 4 3" xfId="14947"/>
    <cellStyle name="Normal 3 9 4 4 3 2" xfId="31737"/>
    <cellStyle name="Normal 3 9 4 4 4" xfId="14948"/>
    <cellStyle name="Normal 3 9 4 4 4 2" xfId="31738"/>
    <cellStyle name="Normal 3 9 4 4 5" xfId="14949"/>
    <cellStyle name="Normal 3 9 4 4 5 2" xfId="31739"/>
    <cellStyle name="Normal 3 9 4 4 6" xfId="31735"/>
    <cellStyle name="Normal 3 9 4 5" xfId="14950"/>
    <cellStyle name="Normal 3 9 4 5 2" xfId="14951"/>
    <cellStyle name="Normal 3 9 4 5 2 2" xfId="31741"/>
    <cellStyle name="Normal 3 9 4 5 3" xfId="14952"/>
    <cellStyle name="Normal 3 9 4 5 3 2" xfId="31742"/>
    <cellStyle name="Normal 3 9 4 5 4" xfId="14953"/>
    <cellStyle name="Normal 3 9 4 5 4 2" xfId="31743"/>
    <cellStyle name="Normal 3 9 4 5 5" xfId="14954"/>
    <cellStyle name="Normal 3 9 4 5 5 2" xfId="31744"/>
    <cellStyle name="Normal 3 9 4 5 6" xfId="31740"/>
    <cellStyle name="Normal 3 9 4 6" xfId="14955"/>
    <cellStyle name="Normal 3 9 4 6 2" xfId="14956"/>
    <cellStyle name="Normal 3 9 4 6 2 2" xfId="31746"/>
    <cellStyle name="Normal 3 9 4 6 3" xfId="14957"/>
    <cellStyle name="Normal 3 9 4 6 3 2" xfId="31747"/>
    <cellStyle name="Normal 3 9 4 6 4" xfId="14958"/>
    <cellStyle name="Normal 3 9 4 6 4 2" xfId="31748"/>
    <cellStyle name="Normal 3 9 4 6 5" xfId="14959"/>
    <cellStyle name="Normal 3 9 4 6 5 2" xfId="31749"/>
    <cellStyle name="Normal 3 9 4 6 6" xfId="31745"/>
    <cellStyle name="Normal 3 9 4 7" xfId="14960"/>
    <cellStyle name="Normal 3 9 4 7 2" xfId="14961"/>
    <cellStyle name="Normal 3 9 4 7 2 2" xfId="31751"/>
    <cellStyle name="Normal 3 9 4 7 3" xfId="14962"/>
    <cellStyle name="Normal 3 9 4 7 3 2" xfId="31752"/>
    <cellStyle name="Normal 3 9 4 7 4" xfId="14963"/>
    <cellStyle name="Normal 3 9 4 7 4 2" xfId="31753"/>
    <cellStyle name="Normal 3 9 4 7 5" xfId="14964"/>
    <cellStyle name="Normal 3 9 4 7 5 2" xfId="31754"/>
    <cellStyle name="Normal 3 9 4 7 6" xfId="31750"/>
    <cellStyle name="Normal 3 9 4 8" xfId="14965"/>
    <cellStyle name="Normal 3 9 4 8 2" xfId="14966"/>
    <cellStyle name="Normal 3 9 4 8 2 2" xfId="31756"/>
    <cellStyle name="Normal 3 9 4 8 3" xfId="14967"/>
    <cellStyle name="Normal 3 9 4 8 3 2" xfId="31757"/>
    <cellStyle name="Normal 3 9 4 8 4" xfId="14968"/>
    <cellStyle name="Normal 3 9 4 8 4 2" xfId="31758"/>
    <cellStyle name="Normal 3 9 4 8 5" xfId="14969"/>
    <cellStyle name="Normal 3 9 4 8 5 2" xfId="31759"/>
    <cellStyle name="Normal 3 9 4 8 6" xfId="31755"/>
    <cellStyle name="Normal 3 9 4 9" xfId="14970"/>
    <cellStyle name="Normal 3 9 4 9 2" xfId="14971"/>
    <cellStyle name="Normal 3 9 4 9 2 2" xfId="31761"/>
    <cellStyle name="Normal 3 9 4 9 3" xfId="14972"/>
    <cellStyle name="Normal 3 9 4 9 3 2" xfId="31762"/>
    <cellStyle name="Normal 3 9 4 9 4" xfId="14973"/>
    <cellStyle name="Normal 3 9 4 9 4 2" xfId="31763"/>
    <cellStyle name="Normal 3 9 4 9 5" xfId="14974"/>
    <cellStyle name="Normal 3 9 4 9 5 2" xfId="31764"/>
    <cellStyle name="Normal 3 9 4 9 6" xfId="31760"/>
    <cellStyle name="Normal 3 9 5" xfId="14975"/>
    <cellStyle name="Normal 3 9 5 2" xfId="14976"/>
    <cellStyle name="Normal 3 9 6" xfId="14977"/>
    <cellStyle name="Normal 3 9 6 2" xfId="14978"/>
    <cellStyle name="Normal 3 9 7" xfId="14979"/>
    <cellStyle name="Normal 3 9 7 2" xfId="14980"/>
    <cellStyle name="Normal 3 9 8" xfId="14981"/>
    <cellStyle name="Normal 3 9 8 2" xfId="14982"/>
    <cellStyle name="Normal 3 9 8 2 2" xfId="14983"/>
    <cellStyle name="Normal 3 9 8 2 2 2" xfId="31767"/>
    <cellStyle name="Normal 3 9 8 2 3" xfId="14984"/>
    <cellStyle name="Normal 3 9 8 2 3 2" xfId="31768"/>
    <cellStyle name="Normal 3 9 8 2 4" xfId="14985"/>
    <cellStyle name="Normal 3 9 8 2 4 2" xfId="31769"/>
    <cellStyle name="Normal 3 9 8 2 5" xfId="14986"/>
    <cellStyle name="Normal 3 9 8 2 5 2" xfId="31770"/>
    <cellStyle name="Normal 3 9 8 2 6" xfId="31766"/>
    <cellStyle name="Normal 3 9 8 3" xfId="14987"/>
    <cellStyle name="Normal 3 9 8 3 2" xfId="31771"/>
    <cellStyle name="Normal 3 9 8 4" xfId="14988"/>
    <cellStyle name="Normal 3 9 8 4 2" xfId="31772"/>
    <cellStyle name="Normal 3 9 8 5" xfId="14989"/>
    <cellStyle name="Normal 3 9 8 5 2" xfId="31773"/>
    <cellStyle name="Normal 3 9 8 6" xfId="14990"/>
    <cellStyle name="Normal 3 9 8 6 2" xfId="31774"/>
    <cellStyle name="Normal 3 9 8 7" xfId="31765"/>
    <cellStyle name="Normal 3 9 9" xfId="14991"/>
    <cellStyle name="Normal 3 9 9 2" xfId="14992"/>
    <cellStyle name="Normal 3 9 9 2 2" xfId="14993"/>
    <cellStyle name="Normal 3 9 9 2 2 2" xfId="31777"/>
    <cellStyle name="Normal 3 9 9 2 3" xfId="14994"/>
    <cellStyle name="Normal 3 9 9 2 3 2" xfId="31778"/>
    <cellStyle name="Normal 3 9 9 2 4" xfId="14995"/>
    <cellStyle name="Normal 3 9 9 2 4 2" xfId="31779"/>
    <cellStyle name="Normal 3 9 9 2 5" xfId="14996"/>
    <cellStyle name="Normal 3 9 9 2 5 2" xfId="31780"/>
    <cellStyle name="Normal 3 9 9 2 6" xfId="31776"/>
    <cellStyle name="Normal 3 9 9 3" xfId="14997"/>
    <cellStyle name="Normal 3 9 9 3 2" xfId="31781"/>
    <cellStyle name="Normal 3 9 9 4" xfId="14998"/>
    <cellStyle name="Normal 3 9 9 4 2" xfId="31782"/>
    <cellStyle name="Normal 3 9 9 5" xfId="14999"/>
    <cellStyle name="Normal 3 9 9 5 2" xfId="31783"/>
    <cellStyle name="Normal 3 9 9 6" xfId="15000"/>
    <cellStyle name="Normal 3 9 9 6 2" xfId="31784"/>
    <cellStyle name="Normal 3 9 9 7" xfId="31775"/>
    <cellStyle name="Normal 30" xfId="15001"/>
    <cellStyle name="Normal 31" xfId="15002"/>
    <cellStyle name="Normal 32" xfId="15003"/>
    <cellStyle name="Normal 33" xfId="15004"/>
    <cellStyle name="Normal 34" xfId="15005"/>
    <cellStyle name="Normal 34 2" xfId="31785"/>
    <cellStyle name="Normal 35" xfId="15006"/>
    <cellStyle name="Normal 35 2" xfId="31786"/>
    <cellStyle name="Normal 36" xfId="29073"/>
    <cellStyle name="Normal 36 2" xfId="41063"/>
    <cellStyle name="Normal 37" xfId="41055"/>
    <cellStyle name="Normal 38" xfId="16"/>
    <cellStyle name="Normal 38 2" xfId="29359"/>
    <cellStyle name="Normal 39" xfId="41056"/>
    <cellStyle name="Normal 39 2" xfId="41067"/>
    <cellStyle name="Normal 39 4" xfId="41068"/>
    <cellStyle name="Normal 4" xfId="15007"/>
    <cellStyle name="Normal 4 10" xfId="15008"/>
    <cellStyle name="Normal 4 10 2" xfId="15009"/>
    <cellStyle name="Normal 4 10 2 2" xfId="15010"/>
    <cellStyle name="Normal 4 10 2 3" xfId="15011"/>
    <cellStyle name="Normal 4 10 2 4" xfId="15012"/>
    <cellStyle name="Normal 4 10 2 5" xfId="15013"/>
    <cellStyle name="Normal 4 10 2 6" xfId="15014"/>
    <cellStyle name="Normal 4 10 2 7" xfId="15015"/>
    <cellStyle name="Normal 4 10 3" xfId="15016"/>
    <cellStyle name="Normal 4 10 4" xfId="15017"/>
    <cellStyle name="Normal 4 10 5" xfId="15018"/>
    <cellStyle name="Normal 4 10 6" xfId="15019"/>
    <cellStyle name="Normal 4 10 7" xfId="15020"/>
    <cellStyle name="Normal 4 10 8" xfId="15021"/>
    <cellStyle name="Normal 4 10 9" xfId="40692"/>
    <cellStyle name="Normal 4 11" xfId="15022"/>
    <cellStyle name="Normal 4 11 10" xfId="15023"/>
    <cellStyle name="Normal 4 11 10 2" xfId="15024"/>
    <cellStyle name="Normal 4 11 10 2 2" xfId="31788"/>
    <cellStyle name="Normal 4 11 10 3" xfId="15025"/>
    <cellStyle name="Normal 4 11 10 3 2" xfId="31789"/>
    <cellStyle name="Normal 4 11 10 4" xfId="15026"/>
    <cellStyle name="Normal 4 11 10 4 2" xfId="31790"/>
    <cellStyle name="Normal 4 11 10 5" xfId="15027"/>
    <cellStyle name="Normal 4 11 10 5 2" xfId="31791"/>
    <cellStyle name="Normal 4 11 10 6" xfId="31787"/>
    <cellStyle name="Normal 4 11 11" xfId="15028"/>
    <cellStyle name="Normal 4 11 11 2" xfId="15029"/>
    <cellStyle name="Normal 4 11 11 2 2" xfId="31793"/>
    <cellStyle name="Normal 4 11 11 3" xfId="15030"/>
    <cellStyle name="Normal 4 11 11 3 2" xfId="31794"/>
    <cellStyle name="Normal 4 11 11 4" xfId="15031"/>
    <cellStyle name="Normal 4 11 11 4 2" xfId="31795"/>
    <cellStyle name="Normal 4 11 11 5" xfId="15032"/>
    <cellStyle name="Normal 4 11 11 5 2" xfId="31796"/>
    <cellStyle name="Normal 4 11 11 6" xfId="31792"/>
    <cellStyle name="Normal 4 11 12" xfId="15033"/>
    <cellStyle name="Normal 4 11 12 2" xfId="15034"/>
    <cellStyle name="Normal 4 11 12 2 2" xfId="31798"/>
    <cellStyle name="Normal 4 11 12 3" xfId="15035"/>
    <cellStyle name="Normal 4 11 12 3 2" xfId="31799"/>
    <cellStyle name="Normal 4 11 12 4" xfId="15036"/>
    <cellStyle name="Normal 4 11 12 4 2" xfId="31800"/>
    <cellStyle name="Normal 4 11 12 5" xfId="15037"/>
    <cellStyle name="Normal 4 11 12 5 2" xfId="31801"/>
    <cellStyle name="Normal 4 11 12 6" xfId="31797"/>
    <cellStyle name="Normal 4 11 13" xfId="15038"/>
    <cellStyle name="Normal 4 11 13 2" xfId="15039"/>
    <cellStyle name="Normal 4 11 13 2 2" xfId="31803"/>
    <cellStyle name="Normal 4 11 13 3" xfId="15040"/>
    <cellStyle name="Normal 4 11 13 3 2" xfId="31804"/>
    <cellStyle name="Normal 4 11 13 4" xfId="15041"/>
    <cellStyle name="Normal 4 11 13 4 2" xfId="31805"/>
    <cellStyle name="Normal 4 11 13 5" xfId="15042"/>
    <cellStyle name="Normal 4 11 13 5 2" xfId="31806"/>
    <cellStyle name="Normal 4 11 13 6" xfId="31802"/>
    <cellStyle name="Normal 4 11 14" xfId="15043"/>
    <cellStyle name="Normal 4 11 14 2" xfId="15044"/>
    <cellStyle name="Normal 4 11 14 2 2" xfId="31808"/>
    <cellStyle name="Normal 4 11 14 3" xfId="15045"/>
    <cellStyle name="Normal 4 11 14 3 2" xfId="31809"/>
    <cellStyle name="Normal 4 11 14 4" xfId="15046"/>
    <cellStyle name="Normal 4 11 14 4 2" xfId="31810"/>
    <cellStyle name="Normal 4 11 14 5" xfId="15047"/>
    <cellStyle name="Normal 4 11 14 5 2" xfId="31811"/>
    <cellStyle name="Normal 4 11 14 6" xfId="31807"/>
    <cellStyle name="Normal 4 11 15" xfId="15048"/>
    <cellStyle name="Normal 4 11 15 2" xfId="15049"/>
    <cellStyle name="Normal 4 11 15 2 2" xfId="31813"/>
    <cellStyle name="Normal 4 11 15 3" xfId="15050"/>
    <cellStyle name="Normal 4 11 15 3 2" xfId="31814"/>
    <cellStyle name="Normal 4 11 15 4" xfId="15051"/>
    <cellStyle name="Normal 4 11 15 4 2" xfId="31815"/>
    <cellStyle name="Normal 4 11 15 5" xfId="15052"/>
    <cellStyle name="Normal 4 11 15 5 2" xfId="31816"/>
    <cellStyle name="Normal 4 11 15 6" xfId="31812"/>
    <cellStyle name="Normal 4 11 16" xfId="15053"/>
    <cellStyle name="Normal 4 11 16 2" xfId="15054"/>
    <cellStyle name="Normal 4 11 16 2 2" xfId="31818"/>
    <cellStyle name="Normal 4 11 16 3" xfId="15055"/>
    <cellStyle name="Normal 4 11 16 3 2" xfId="31819"/>
    <cellStyle name="Normal 4 11 16 4" xfId="15056"/>
    <cellStyle name="Normal 4 11 16 4 2" xfId="31820"/>
    <cellStyle name="Normal 4 11 16 5" xfId="15057"/>
    <cellStyle name="Normal 4 11 16 5 2" xfId="31821"/>
    <cellStyle name="Normal 4 11 16 6" xfId="31817"/>
    <cellStyle name="Normal 4 11 17" xfId="15058"/>
    <cellStyle name="Normal 4 11 17 2" xfId="15059"/>
    <cellStyle name="Normal 4 11 17 2 2" xfId="31823"/>
    <cellStyle name="Normal 4 11 17 3" xfId="15060"/>
    <cellStyle name="Normal 4 11 17 3 2" xfId="31824"/>
    <cellStyle name="Normal 4 11 17 4" xfId="15061"/>
    <cellStyle name="Normal 4 11 17 4 2" xfId="31825"/>
    <cellStyle name="Normal 4 11 17 5" xfId="15062"/>
    <cellStyle name="Normal 4 11 17 5 2" xfId="31826"/>
    <cellStyle name="Normal 4 11 17 6" xfId="31822"/>
    <cellStyle name="Normal 4 11 18" xfId="15063"/>
    <cellStyle name="Normal 4 11 18 2" xfId="15064"/>
    <cellStyle name="Normal 4 11 18 2 2" xfId="31828"/>
    <cellStyle name="Normal 4 11 18 3" xfId="15065"/>
    <cellStyle name="Normal 4 11 18 3 2" xfId="31829"/>
    <cellStyle name="Normal 4 11 18 4" xfId="15066"/>
    <cellStyle name="Normal 4 11 18 4 2" xfId="31830"/>
    <cellStyle name="Normal 4 11 18 5" xfId="15067"/>
    <cellStyle name="Normal 4 11 18 5 2" xfId="31831"/>
    <cellStyle name="Normal 4 11 18 6" xfId="31827"/>
    <cellStyle name="Normal 4 11 19" xfId="15068"/>
    <cellStyle name="Normal 4 11 19 2" xfId="31832"/>
    <cellStyle name="Normal 4 11 2" xfId="15069"/>
    <cellStyle name="Normal 4 11 2 2" xfId="15070"/>
    <cellStyle name="Normal 4 11 2 3" xfId="15071"/>
    <cellStyle name="Normal 4 11 2 4" xfId="15072"/>
    <cellStyle name="Normal 4 11 2 5" xfId="15073"/>
    <cellStyle name="Normal 4 11 2 6" xfId="15074"/>
    <cellStyle name="Normal 4 11 2 7" xfId="15075"/>
    <cellStyle name="Normal 4 11 2 8" xfId="31833"/>
    <cellStyle name="Normal 4 11 20" xfId="15076"/>
    <cellStyle name="Normal 4 11 20 2" xfId="31834"/>
    <cellStyle name="Normal 4 11 21" xfId="15077"/>
    <cellStyle name="Normal 4 11 21 2" xfId="31835"/>
    <cellStyle name="Normal 4 11 22" xfId="15078"/>
    <cellStyle name="Normal 4 11 22 2" xfId="31836"/>
    <cellStyle name="Normal 4 11 23" xfId="15079"/>
    <cellStyle name="Normal 4 11 23 2" xfId="31837"/>
    <cellStyle name="Normal 4 11 24" xfId="40693"/>
    <cellStyle name="Normal 4 11 3" xfId="15080"/>
    <cellStyle name="Normal 4 11 4" xfId="15081"/>
    <cellStyle name="Normal 4 11 4 10" xfId="15082"/>
    <cellStyle name="Normal 4 11 4 10 2" xfId="31839"/>
    <cellStyle name="Normal 4 11 4 11" xfId="15083"/>
    <cellStyle name="Normal 4 11 4 11 2" xfId="31840"/>
    <cellStyle name="Normal 4 11 4 12" xfId="31838"/>
    <cellStyle name="Normal 4 11 4 2" xfId="15084"/>
    <cellStyle name="Normal 4 11 4 2 2" xfId="15085"/>
    <cellStyle name="Normal 4 11 4 2 2 2" xfId="31842"/>
    <cellStyle name="Normal 4 11 4 2 3" xfId="15086"/>
    <cellStyle name="Normal 4 11 4 2 3 2" xfId="31843"/>
    <cellStyle name="Normal 4 11 4 2 4" xfId="15087"/>
    <cellStyle name="Normal 4 11 4 2 4 2" xfId="31844"/>
    <cellStyle name="Normal 4 11 4 2 5" xfId="15088"/>
    <cellStyle name="Normal 4 11 4 2 5 2" xfId="31845"/>
    <cellStyle name="Normal 4 11 4 2 6" xfId="31841"/>
    <cellStyle name="Normal 4 11 4 3" xfId="15089"/>
    <cellStyle name="Normal 4 11 4 3 2" xfId="15090"/>
    <cellStyle name="Normal 4 11 4 3 2 2" xfId="31847"/>
    <cellStyle name="Normal 4 11 4 3 3" xfId="15091"/>
    <cellStyle name="Normal 4 11 4 3 3 2" xfId="31848"/>
    <cellStyle name="Normal 4 11 4 3 4" xfId="15092"/>
    <cellStyle name="Normal 4 11 4 3 4 2" xfId="31849"/>
    <cellStyle name="Normal 4 11 4 3 5" xfId="15093"/>
    <cellStyle name="Normal 4 11 4 3 5 2" xfId="31850"/>
    <cellStyle name="Normal 4 11 4 3 6" xfId="31846"/>
    <cellStyle name="Normal 4 11 4 4" xfId="15094"/>
    <cellStyle name="Normal 4 11 4 4 2" xfId="15095"/>
    <cellStyle name="Normal 4 11 4 4 2 2" xfId="31852"/>
    <cellStyle name="Normal 4 11 4 4 3" xfId="15096"/>
    <cellStyle name="Normal 4 11 4 4 3 2" xfId="31853"/>
    <cellStyle name="Normal 4 11 4 4 4" xfId="15097"/>
    <cellStyle name="Normal 4 11 4 4 4 2" xfId="31854"/>
    <cellStyle name="Normal 4 11 4 4 5" xfId="15098"/>
    <cellStyle name="Normal 4 11 4 4 5 2" xfId="31855"/>
    <cellStyle name="Normal 4 11 4 4 6" xfId="31851"/>
    <cellStyle name="Normal 4 11 4 5" xfId="15099"/>
    <cellStyle name="Normal 4 11 4 5 2" xfId="15100"/>
    <cellStyle name="Normal 4 11 4 5 2 2" xfId="31857"/>
    <cellStyle name="Normal 4 11 4 5 3" xfId="15101"/>
    <cellStyle name="Normal 4 11 4 5 3 2" xfId="31858"/>
    <cellStyle name="Normal 4 11 4 5 4" xfId="15102"/>
    <cellStyle name="Normal 4 11 4 5 4 2" xfId="31859"/>
    <cellStyle name="Normal 4 11 4 5 5" xfId="15103"/>
    <cellStyle name="Normal 4 11 4 5 5 2" xfId="31860"/>
    <cellStyle name="Normal 4 11 4 5 6" xfId="31856"/>
    <cellStyle name="Normal 4 11 4 6" xfId="15104"/>
    <cellStyle name="Normal 4 11 4 6 2" xfId="15105"/>
    <cellStyle name="Normal 4 11 4 6 2 2" xfId="31862"/>
    <cellStyle name="Normal 4 11 4 6 3" xfId="15106"/>
    <cellStyle name="Normal 4 11 4 6 3 2" xfId="31863"/>
    <cellStyle name="Normal 4 11 4 6 4" xfId="15107"/>
    <cellStyle name="Normal 4 11 4 6 4 2" xfId="31864"/>
    <cellStyle name="Normal 4 11 4 6 5" xfId="15108"/>
    <cellStyle name="Normal 4 11 4 6 5 2" xfId="31865"/>
    <cellStyle name="Normal 4 11 4 6 6" xfId="31861"/>
    <cellStyle name="Normal 4 11 4 7" xfId="15109"/>
    <cellStyle name="Normal 4 11 4 7 2" xfId="15110"/>
    <cellStyle name="Normal 4 11 4 7 2 2" xfId="31867"/>
    <cellStyle name="Normal 4 11 4 7 3" xfId="15111"/>
    <cellStyle name="Normal 4 11 4 7 3 2" xfId="31868"/>
    <cellStyle name="Normal 4 11 4 7 4" xfId="15112"/>
    <cellStyle name="Normal 4 11 4 7 4 2" xfId="31869"/>
    <cellStyle name="Normal 4 11 4 7 5" xfId="15113"/>
    <cellStyle name="Normal 4 11 4 7 5 2" xfId="31870"/>
    <cellStyle name="Normal 4 11 4 7 6" xfId="31866"/>
    <cellStyle name="Normal 4 11 4 8" xfId="15114"/>
    <cellStyle name="Normal 4 11 4 8 2" xfId="31871"/>
    <cellStyle name="Normal 4 11 4 9" xfId="15115"/>
    <cellStyle name="Normal 4 11 4 9 2" xfId="31872"/>
    <cellStyle name="Normal 4 11 5" xfId="15116"/>
    <cellStyle name="Normal 4 11 5 2" xfId="15117"/>
    <cellStyle name="Normal 4 11 5 2 2" xfId="15118"/>
    <cellStyle name="Normal 4 11 5 2 2 2" xfId="31875"/>
    <cellStyle name="Normal 4 11 5 2 3" xfId="15119"/>
    <cellStyle name="Normal 4 11 5 2 3 2" xfId="31876"/>
    <cellStyle name="Normal 4 11 5 2 4" xfId="15120"/>
    <cellStyle name="Normal 4 11 5 2 4 2" xfId="31877"/>
    <cellStyle name="Normal 4 11 5 2 5" xfId="15121"/>
    <cellStyle name="Normal 4 11 5 2 5 2" xfId="31878"/>
    <cellStyle name="Normal 4 11 5 2 6" xfId="31874"/>
    <cellStyle name="Normal 4 11 5 3" xfId="15122"/>
    <cellStyle name="Normal 4 11 5 3 2" xfId="31879"/>
    <cellStyle name="Normal 4 11 5 4" xfId="15123"/>
    <cellStyle name="Normal 4 11 5 4 2" xfId="31880"/>
    <cellStyle name="Normal 4 11 5 5" xfId="15124"/>
    <cellStyle name="Normal 4 11 5 5 2" xfId="31881"/>
    <cellStyle name="Normal 4 11 5 6" xfId="15125"/>
    <cellStyle name="Normal 4 11 5 6 2" xfId="31882"/>
    <cellStyle name="Normal 4 11 5 7" xfId="31873"/>
    <cellStyle name="Normal 4 11 6" xfId="15126"/>
    <cellStyle name="Normal 4 11 6 2" xfId="15127"/>
    <cellStyle name="Normal 4 11 6 2 2" xfId="15128"/>
    <cellStyle name="Normal 4 11 6 2 2 2" xfId="31885"/>
    <cellStyle name="Normal 4 11 6 2 3" xfId="15129"/>
    <cellStyle name="Normal 4 11 6 2 3 2" xfId="31886"/>
    <cellStyle name="Normal 4 11 6 2 4" xfId="15130"/>
    <cellStyle name="Normal 4 11 6 2 4 2" xfId="31887"/>
    <cellStyle name="Normal 4 11 6 2 5" xfId="15131"/>
    <cellStyle name="Normal 4 11 6 2 5 2" xfId="31888"/>
    <cellStyle name="Normal 4 11 6 2 6" xfId="31884"/>
    <cellStyle name="Normal 4 11 6 3" xfId="15132"/>
    <cellStyle name="Normal 4 11 6 3 2" xfId="31889"/>
    <cellStyle name="Normal 4 11 6 4" xfId="15133"/>
    <cellStyle name="Normal 4 11 6 4 2" xfId="31890"/>
    <cellStyle name="Normal 4 11 6 5" xfId="15134"/>
    <cellStyle name="Normal 4 11 6 5 2" xfId="31891"/>
    <cellStyle name="Normal 4 11 6 6" xfId="15135"/>
    <cellStyle name="Normal 4 11 6 6 2" xfId="31892"/>
    <cellStyle name="Normal 4 11 6 7" xfId="31883"/>
    <cellStyle name="Normal 4 11 7" xfId="15136"/>
    <cellStyle name="Normal 4 11 7 2" xfId="15137"/>
    <cellStyle name="Normal 4 11 7 2 2" xfId="31894"/>
    <cellStyle name="Normal 4 11 7 3" xfId="15138"/>
    <cellStyle name="Normal 4 11 7 3 2" xfId="31895"/>
    <cellStyle name="Normal 4 11 7 4" xfId="15139"/>
    <cellStyle name="Normal 4 11 7 4 2" xfId="31896"/>
    <cellStyle name="Normal 4 11 7 5" xfId="15140"/>
    <cellStyle name="Normal 4 11 7 5 2" xfId="31897"/>
    <cellStyle name="Normal 4 11 7 6" xfId="31893"/>
    <cellStyle name="Normal 4 11 8" xfId="15141"/>
    <cellStyle name="Normal 4 11 8 2" xfId="15142"/>
    <cellStyle name="Normal 4 11 8 2 2" xfId="31899"/>
    <cellStyle name="Normal 4 11 8 3" xfId="15143"/>
    <cellStyle name="Normal 4 11 8 3 2" xfId="31900"/>
    <cellStyle name="Normal 4 11 8 4" xfId="15144"/>
    <cellStyle name="Normal 4 11 8 4 2" xfId="31901"/>
    <cellStyle name="Normal 4 11 8 5" xfId="15145"/>
    <cellStyle name="Normal 4 11 8 5 2" xfId="31902"/>
    <cellStyle name="Normal 4 11 8 6" xfId="31898"/>
    <cellStyle name="Normal 4 11 9" xfId="15146"/>
    <cellStyle name="Normal 4 11 9 2" xfId="15147"/>
    <cellStyle name="Normal 4 11 9 2 2" xfId="31904"/>
    <cellStyle name="Normal 4 11 9 3" xfId="15148"/>
    <cellStyle name="Normal 4 11 9 3 2" xfId="31905"/>
    <cellStyle name="Normal 4 11 9 4" xfId="15149"/>
    <cellStyle name="Normal 4 11 9 4 2" xfId="31906"/>
    <cellStyle name="Normal 4 11 9 5" xfId="15150"/>
    <cellStyle name="Normal 4 11 9 5 2" xfId="31907"/>
    <cellStyle name="Normal 4 11 9 6" xfId="31903"/>
    <cellStyle name="Normal 4 12" xfId="15151"/>
    <cellStyle name="Normal 4 12 10" xfId="15152"/>
    <cellStyle name="Normal 4 12 11" xfId="15153"/>
    <cellStyle name="Normal 4 12 12" xfId="15154"/>
    <cellStyle name="Normal 4 12 13" xfId="15155"/>
    <cellStyle name="Normal 4 12 14" xfId="15156"/>
    <cellStyle name="Normal 4 12 15" xfId="15157"/>
    <cellStyle name="Normal 4 12 16" xfId="15158"/>
    <cellStyle name="Normal 4 12 17" xfId="40694"/>
    <cellStyle name="Normal 4 12 2" xfId="15159"/>
    <cellStyle name="Normal 4 12 2 10" xfId="15160"/>
    <cellStyle name="Normal 4 12 2 10 2" xfId="15161"/>
    <cellStyle name="Normal 4 12 2 10 2 2" xfId="31910"/>
    <cellStyle name="Normal 4 12 2 10 3" xfId="15162"/>
    <cellStyle name="Normal 4 12 2 10 3 2" xfId="31911"/>
    <cellStyle name="Normal 4 12 2 10 4" xfId="15163"/>
    <cellStyle name="Normal 4 12 2 10 4 2" xfId="31912"/>
    <cellStyle name="Normal 4 12 2 10 5" xfId="15164"/>
    <cellStyle name="Normal 4 12 2 10 5 2" xfId="31913"/>
    <cellStyle name="Normal 4 12 2 10 6" xfId="31909"/>
    <cellStyle name="Normal 4 12 2 11" xfId="15165"/>
    <cellStyle name="Normal 4 12 2 11 2" xfId="15166"/>
    <cellStyle name="Normal 4 12 2 11 2 2" xfId="31915"/>
    <cellStyle name="Normal 4 12 2 11 3" xfId="15167"/>
    <cellStyle name="Normal 4 12 2 11 3 2" xfId="31916"/>
    <cellStyle name="Normal 4 12 2 11 4" xfId="15168"/>
    <cellStyle name="Normal 4 12 2 11 4 2" xfId="31917"/>
    <cellStyle name="Normal 4 12 2 11 5" xfId="15169"/>
    <cellStyle name="Normal 4 12 2 11 5 2" xfId="31918"/>
    <cellStyle name="Normal 4 12 2 11 6" xfId="31914"/>
    <cellStyle name="Normal 4 12 2 12" xfId="15170"/>
    <cellStyle name="Normal 4 12 2 12 2" xfId="15171"/>
    <cellStyle name="Normal 4 12 2 12 2 2" xfId="31920"/>
    <cellStyle name="Normal 4 12 2 12 3" xfId="15172"/>
    <cellStyle name="Normal 4 12 2 12 3 2" xfId="31921"/>
    <cellStyle name="Normal 4 12 2 12 4" xfId="15173"/>
    <cellStyle name="Normal 4 12 2 12 4 2" xfId="31922"/>
    <cellStyle name="Normal 4 12 2 12 5" xfId="15174"/>
    <cellStyle name="Normal 4 12 2 12 5 2" xfId="31923"/>
    <cellStyle name="Normal 4 12 2 12 6" xfId="31919"/>
    <cellStyle name="Normal 4 12 2 13" xfId="15175"/>
    <cellStyle name="Normal 4 12 2 13 2" xfId="15176"/>
    <cellStyle name="Normal 4 12 2 13 2 2" xfId="31925"/>
    <cellStyle name="Normal 4 12 2 13 3" xfId="15177"/>
    <cellStyle name="Normal 4 12 2 13 3 2" xfId="31926"/>
    <cellStyle name="Normal 4 12 2 13 4" xfId="15178"/>
    <cellStyle name="Normal 4 12 2 13 4 2" xfId="31927"/>
    <cellStyle name="Normal 4 12 2 13 5" xfId="15179"/>
    <cellStyle name="Normal 4 12 2 13 5 2" xfId="31928"/>
    <cellStyle name="Normal 4 12 2 13 6" xfId="31924"/>
    <cellStyle name="Normal 4 12 2 14" xfId="15180"/>
    <cellStyle name="Normal 4 12 2 14 2" xfId="15181"/>
    <cellStyle name="Normal 4 12 2 14 2 2" xfId="31930"/>
    <cellStyle name="Normal 4 12 2 14 3" xfId="15182"/>
    <cellStyle name="Normal 4 12 2 14 3 2" xfId="31931"/>
    <cellStyle name="Normal 4 12 2 14 4" xfId="15183"/>
    <cellStyle name="Normal 4 12 2 14 4 2" xfId="31932"/>
    <cellStyle name="Normal 4 12 2 14 5" xfId="15184"/>
    <cellStyle name="Normal 4 12 2 14 5 2" xfId="31933"/>
    <cellStyle name="Normal 4 12 2 14 6" xfId="31929"/>
    <cellStyle name="Normal 4 12 2 15" xfId="15185"/>
    <cellStyle name="Normal 4 12 2 15 2" xfId="15186"/>
    <cellStyle name="Normal 4 12 2 15 2 2" xfId="31935"/>
    <cellStyle name="Normal 4 12 2 15 3" xfId="15187"/>
    <cellStyle name="Normal 4 12 2 15 3 2" xfId="31936"/>
    <cellStyle name="Normal 4 12 2 15 4" xfId="15188"/>
    <cellStyle name="Normal 4 12 2 15 4 2" xfId="31937"/>
    <cellStyle name="Normal 4 12 2 15 5" xfId="15189"/>
    <cellStyle name="Normal 4 12 2 15 5 2" xfId="31938"/>
    <cellStyle name="Normal 4 12 2 15 6" xfId="31934"/>
    <cellStyle name="Normal 4 12 2 16" xfId="15190"/>
    <cellStyle name="Normal 4 12 2 16 2" xfId="15191"/>
    <cellStyle name="Normal 4 12 2 16 2 2" xfId="31940"/>
    <cellStyle name="Normal 4 12 2 16 3" xfId="15192"/>
    <cellStyle name="Normal 4 12 2 16 3 2" xfId="31941"/>
    <cellStyle name="Normal 4 12 2 16 4" xfId="15193"/>
    <cellStyle name="Normal 4 12 2 16 4 2" xfId="31942"/>
    <cellStyle name="Normal 4 12 2 16 5" xfId="15194"/>
    <cellStyle name="Normal 4 12 2 16 5 2" xfId="31943"/>
    <cellStyle name="Normal 4 12 2 16 6" xfId="31939"/>
    <cellStyle name="Normal 4 12 2 17" xfId="15195"/>
    <cellStyle name="Normal 4 12 2 17 2" xfId="31944"/>
    <cellStyle name="Normal 4 12 2 18" xfId="15196"/>
    <cellStyle name="Normal 4 12 2 18 2" xfId="31945"/>
    <cellStyle name="Normal 4 12 2 19" xfId="15197"/>
    <cellStyle name="Normal 4 12 2 19 2" xfId="31946"/>
    <cellStyle name="Normal 4 12 2 2" xfId="15198"/>
    <cellStyle name="Normal 4 12 2 20" xfId="15199"/>
    <cellStyle name="Normal 4 12 2 20 2" xfId="31947"/>
    <cellStyle name="Normal 4 12 2 21" xfId="31908"/>
    <cellStyle name="Normal 4 12 2 3" xfId="15200"/>
    <cellStyle name="Normal 4 12 2 3 2" xfId="15201"/>
    <cellStyle name="Normal 4 12 2 3 2 2" xfId="31949"/>
    <cellStyle name="Normal 4 12 2 3 3" xfId="15202"/>
    <cellStyle name="Normal 4 12 2 3 3 2" xfId="31950"/>
    <cellStyle name="Normal 4 12 2 3 4" xfId="15203"/>
    <cellStyle name="Normal 4 12 2 3 4 2" xfId="31951"/>
    <cellStyle name="Normal 4 12 2 3 5" xfId="15204"/>
    <cellStyle name="Normal 4 12 2 3 5 2" xfId="31952"/>
    <cellStyle name="Normal 4 12 2 3 6" xfId="31948"/>
    <cellStyle name="Normal 4 12 2 4" xfId="15205"/>
    <cellStyle name="Normal 4 12 2 4 2" xfId="15206"/>
    <cellStyle name="Normal 4 12 2 4 2 2" xfId="31954"/>
    <cellStyle name="Normal 4 12 2 4 3" xfId="15207"/>
    <cellStyle name="Normal 4 12 2 4 3 2" xfId="31955"/>
    <cellStyle name="Normal 4 12 2 4 4" xfId="15208"/>
    <cellStyle name="Normal 4 12 2 4 4 2" xfId="31956"/>
    <cellStyle name="Normal 4 12 2 4 5" xfId="15209"/>
    <cellStyle name="Normal 4 12 2 4 5 2" xfId="31957"/>
    <cellStyle name="Normal 4 12 2 4 6" xfId="31953"/>
    <cellStyle name="Normal 4 12 2 5" xfId="15210"/>
    <cellStyle name="Normal 4 12 2 5 2" xfId="15211"/>
    <cellStyle name="Normal 4 12 2 5 2 2" xfId="31959"/>
    <cellStyle name="Normal 4 12 2 5 3" xfId="15212"/>
    <cellStyle name="Normal 4 12 2 5 3 2" xfId="31960"/>
    <cellStyle name="Normal 4 12 2 5 4" xfId="15213"/>
    <cellStyle name="Normal 4 12 2 5 4 2" xfId="31961"/>
    <cellStyle name="Normal 4 12 2 5 5" xfId="15214"/>
    <cellStyle name="Normal 4 12 2 5 5 2" xfId="31962"/>
    <cellStyle name="Normal 4 12 2 5 6" xfId="31958"/>
    <cellStyle name="Normal 4 12 2 6" xfId="15215"/>
    <cellStyle name="Normal 4 12 2 6 2" xfId="15216"/>
    <cellStyle name="Normal 4 12 2 6 2 2" xfId="31964"/>
    <cellStyle name="Normal 4 12 2 6 3" xfId="15217"/>
    <cellStyle name="Normal 4 12 2 6 3 2" xfId="31965"/>
    <cellStyle name="Normal 4 12 2 6 4" xfId="15218"/>
    <cellStyle name="Normal 4 12 2 6 4 2" xfId="31966"/>
    <cellStyle name="Normal 4 12 2 6 5" xfId="15219"/>
    <cellStyle name="Normal 4 12 2 6 5 2" xfId="31967"/>
    <cellStyle name="Normal 4 12 2 6 6" xfId="31963"/>
    <cellStyle name="Normal 4 12 2 7" xfId="15220"/>
    <cellStyle name="Normal 4 12 2 7 2" xfId="15221"/>
    <cellStyle name="Normal 4 12 2 7 2 2" xfId="31969"/>
    <cellStyle name="Normal 4 12 2 7 3" xfId="15222"/>
    <cellStyle name="Normal 4 12 2 7 3 2" xfId="31970"/>
    <cellStyle name="Normal 4 12 2 7 4" xfId="15223"/>
    <cellStyle name="Normal 4 12 2 7 4 2" xfId="31971"/>
    <cellStyle name="Normal 4 12 2 7 5" xfId="15224"/>
    <cellStyle name="Normal 4 12 2 7 5 2" xfId="31972"/>
    <cellStyle name="Normal 4 12 2 7 6" xfId="31968"/>
    <cellStyle name="Normal 4 12 2 8" xfId="15225"/>
    <cellStyle name="Normal 4 12 2 8 2" xfId="15226"/>
    <cellStyle name="Normal 4 12 2 8 2 2" xfId="31974"/>
    <cellStyle name="Normal 4 12 2 8 3" xfId="15227"/>
    <cellStyle name="Normal 4 12 2 8 3 2" xfId="31975"/>
    <cellStyle name="Normal 4 12 2 8 4" xfId="15228"/>
    <cellStyle name="Normal 4 12 2 8 4 2" xfId="31976"/>
    <cellStyle name="Normal 4 12 2 8 5" xfId="15229"/>
    <cellStyle name="Normal 4 12 2 8 5 2" xfId="31977"/>
    <cellStyle name="Normal 4 12 2 8 6" xfId="31973"/>
    <cellStyle name="Normal 4 12 2 9" xfId="15230"/>
    <cellStyle name="Normal 4 12 2 9 2" xfId="15231"/>
    <cellStyle name="Normal 4 12 2 9 2 2" xfId="31979"/>
    <cellStyle name="Normal 4 12 2 9 3" xfId="15232"/>
    <cellStyle name="Normal 4 12 2 9 3 2" xfId="31980"/>
    <cellStyle name="Normal 4 12 2 9 4" xfId="15233"/>
    <cellStyle name="Normal 4 12 2 9 4 2" xfId="31981"/>
    <cellStyle name="Normal 4 12 2 9 5" xfId="15234"/>
    <cellStyle name="Normal 4 12 2 9 5 2" xfId="31982"/>
    <cellStyle name="Normal 4 12 2 9 6" xfId="31978"/>
    <cellStyle name="Normal 4 12 3" xfId="15235"/>
    <cellStyle name="Normal 4 12 4" xfId="15236"/>
    <cellStyle name="Normal 4 12 5" xfId="15237"/>
    <cellStyle name="Normal 4 12 6" xfId="15238"/>
    <cellStyle name="Normal 4 12 7" xfId="15239"/>
    <cellStyle name="Normal 4 12 8" xfId="15240"/>
    <cellStyle name="Normal 4 12 9" xfId="15241"/>
    <cellStyle name="Normal 4 13" xfId="15242"/>
    <cellStyle name="Normal 4 13 10" xfId="15243"/>
    <cellStyle name="Normal 4 13 11" xfId="15244"/>
    <cellStyle name="Normal 4 13 12" xfId="15245"/>
    <cellStyle name="Normal 4 13 13" xfId="15246"/>
    <cellStyle name="Normal 4 13 14" xfId="15247"/>
    <cellStyle name="Normal 4 13 15" xfId="15248"/>
    <cellStyle name="Normal 4 13 16" xfId="15249"/>
    <cellStyle name="Normal 4 13 17" xfId="15250"/>
    <cellStyle name="Normal 4 13 18" xfId="40695"/>
    <cellStyle name="Normal 4 13 19" xfId="41071"/>
    <cellStyle name="Normal 4 13 2" xfId="15251"/>
    <cellStyle name="Normal 4 13 2 2" xfId="15252"/>
    <cellStyle name="Normal 4 13 3" xfId="15253"/>
    <cellStyle name="Normal 4 13 4" xfId="15254"/>
    <cellStyle name="Normal 4 13 5" xfId="15255"/>
    <cellStyle name="Normal 4 13 6" xfId="15256"/>
    <cellStyle name="Normal 4 13 7" xfId="15257"/>
    <cellStyle name="Normal 4 13 8" xfId="15258"/>
    <cellStyle name="Normal 4 13 9" xfId="15259"/>
    <cellStyle name="Normal 4 14" xfId="15260"/>
    <cellStyle name="Normal 4 14 2" xfId="40696"/>
    <cellStyle name="Normal 4 15" xfId="15261"/>
    <cellStyle name="Normal 4 15 2" xfId="40697"/>
    <cellStyle name="Normal 4 16" xfId="15262"/>
    <cellStyle name="Normal 4 16 2" xfId="40698"/>
    <cellStyle name="Normal 4 17" xfId="15263"/>
    <cellStyle name="Normal 4 17 2" xfId="40699"/>
    <cellStyle name="Normal 4 18" xfId="15264"/>
    <cellStyle name="Normal 4 18 2" xfId="40700"/>
    <cellStyle name="Normal 4 19" xfId="15265"/>
    <cellStyle name="Normal 4 19 10" xfId="15266"/>
    <cellStyle name="Normal 4 19 10 2" xfId="15267"/>
    <cellStyle name="Normal 4 19 10 2 2" xfId="31985"/>
    <cellStyle name="Normal 4 19 10 3" xfId="15268"/>
    <cellStyle name="Normal 4 19 10 3 2" xfId="31986"/>
    <cellStyle name="Normal 4 19 10 4" xfId="15269"/>
    <cellStyle name="Normal 4 19 10 4 2" xfId="31987"/>
    <cellStyle name="Normal 4 19 10 5" xfId="15270"/>
    <cellStyle name="Normal 4 19 10 5 2" xfId="31988"/>
    <cellStyle name="Normal 4 19 10 6" xfId="31984"/>
    <cellStyle name="Normal 4 19 11" xfId="15271"/>
    <cellStyle name="Normal 4 19 11 2" xfId="15272"/>
    <cellStyle name="Normal 4 19 11 2 2" xfId="31990"/>
    <cellStyle name="Normal 4 19 11 3" xfId="15273"/>
    <cellStyle name="Normal 4 19 11 3 2" xfId="31991"/>
    <cellStyle name="Normal 4 19 11 4" xfId="15274"/>
    <cellStyle name="Normal 4 19 11 4 2" xfId="31992"/>
    <cellStyle name="Normal 4 19 11 5" xfId="15275"/>
    <cellStyle name="Normal 4 19 11 5 2" xfId="31993"/>
    <cellStyle name="Normal 4 19 11 6" xfId="31989"/>
    <cellStyle name="Normal 4 19 12" xfId="15276"/>
    <cellStyle name="Normal 4 19 12 2" xfId="15277"/>
    <cellStyle name="Normal 4 19 12 2 2" xfId="31995"/>
    <cellStyle name="Normal 4 19 12 3" xfId="15278"/>
    <cellStyle name="Normal 4 19 12 3 2" xfId="31996"/>
    <cellStyle name="Normal 4 19 12 4" xfId="15279"/>
    <cellStyle name="Normal 4 19 12 4 2" xfId="31997"/>
    <cellStyle name="Normal 4 19 12 5" xfId="15280"/>
    <cellStyle name="Normal 4 19 12 5 2" xfId="31998"/>
    <cellStyle name="Normal 4 19 12 6" xfId="31994"/>
    <cellStyle name="Normal 4 19 13" xfId="15281"/>
    <cellStyle name="Normal 4 19 13 2" xfId="15282"/>
    <cellStyle name="Normal 4 19 13 2 2" xfId="32000"/>
    <cellStyle name="Normal 4 19 13 3" xfId="15283"/>
    <cellStyle name="Normal 4 19 13 3 2" xfId="32001"/>
    <cellStyle name="Normal 4 19 13 4" xfId="15284"/>
    <cellStyle name="Normal 4 19 13 4 2" xfId="32002"/>
    <cellStyle name="Normal 4 19 13 5" xfId="15285"/>
    <cellStyle name="Normal 4 19 13 5 2" xfId="32003"/>
    <cellStyle name="Normal 4 19 13 6" xfId="31999"/>
    <cellStyle name="Normal 4 19 14" xfId="15286"/>
    <cellStyle name="Normal 4 19 14 2" xfId="15287"/>
    <cellStyle name="Normal 4 19 14 2 2" xfId="32005"/>
    <cellStyle name="Normal 4 19 14 3" xfId="15288"/>
    <cellStyle name="Normal 4 19 14 3 2" xfId="32006"/>
    <cellStyle name="Normal 4 19 14 4" xfId="15289"/>
    <cellStyle name="Normal 4 19 14 4 2" xfId="32007"/>
    <cellStyle name="Normal 4 19 14 5" xfId="15290"/>
    <cellStyle name="Normal 4 19 14 5 2" xfId="32008"/>
    <cellStyle name="Normal 4 19 14 6" xfId="32004"/>
    <cellStyle name="Normal 4 19 15" xfId="15291"/>
    <cellStyle name="Normal 4 19 15 2" xfId="15292"/>
    <cellStyle name="Normal 4 19 15 2 2" xfId="32010"/>
    <cellStyle name="Normal 4 19 15 3" xfId="15293"/>
    <cellStyle name="Normal 4 19 15 3 2" xfId="32011"/>
    <cellStyle name="Normal 4 19 15 4" xfId="15294"/>
    <cellStyle name="Normal 4 19 15 4 2" xfId="32012"/>
    <cellStyle name="Normal 4 19 15 5" xfId="15295"/>
    <cellStyle name="Normal 4 19 15 5 2" xfId="32013"/>
    <cellStyle name="Normal 4 19 15 6" xfId="32009"/>
    <cellStyle name="Normal 4 19 16" xfId="15296"/>
    <cellStyle name="Normal 4 19 16 2" xfId="32014"/>
    <cellStyle name="Normal 4 19 17" xfId="15297"/>
    <cellStyle name="Normal 4 19 17 2" xfId="32015"/>
    <cellStyle name="Normal 4 19 18" xfId="15298"/>
    <cellStyle name="Normal 4 19 18 2" xfId="32016"/>
    <cellStyle name="Normal 4 19 19" xfId="15299"/>
    <cellStyle name="Normal 4 19 19 2" xfId="32017"/>
    <cellStyle name="Normal 4 19 2" xfId="15300"/>
    <cellStyle name="Normal 4 19 2 2" xfId="15301"/>
    <cellStyle name="Normal 4 19 2 2 2" xfId="15302"/>
    <cellStyle name="Normal 4 19 2 2 2 2" xfId="32020"/>
    <cellStyle name="Normal 4 19 2 2 3" xfId="15303"/>
    <cellStyle name="Normal 4 19 2 2 3 2" xfId="32021"/>
    <cellStyle name="Normal 4 19 2 2 4" xfId="15304"/>
    <cellStyle name="Normal 4 19 2 2 4 2" xfId="32022"/>
    <cellStyle name="Normal 4 19 2 2 5" xfId="15305"/>
    <cellStyle name="Normal 4 19 2 2 5 2" xfId="32023"/>
    <cellStyle name="Normal 4 19 2 2 6" xfId="32019"/>
    <cellStyle name="Normal 4 19 2 3" xfId="15306"/>
    <cellStyle name="Normal 4 19 2 3 2" xfId="32024"/>
    <cellStyle name="Normal 4 19 2 4" xfId="15307"/>
    <cellStyle name="Normal 4 19 2 4 2" xfId="32025"/>
    <cellStyle name="Normal 4 19 2 5" xfId="15308"/>
    <cellStyle name="Normal 4 19 2 5 2" xfId="32026"/>
    <cellStyle name="Normal 4 19 2 6" xfId="15309"/>
    <cellStyle name="Normal 4 19 2 6 2" xfId="32027"/>
    <cellStyle name="Normal 4 19 2 7" xfId="32018"/>
    <cellStyle name="Normal 4 19 20" xfId="40701"/>
    <cellStyle name="Normal 4 19 21" xfId="31983"/>
    <cellStyle name="Normal 4 19 3" xfId="15310"/>
    <cellStyle name="Normal 4 19 3 2" xfId="15311"/>
    <cellStyle name="Normal 4 19 3 2 2" xfId="15312"/>
    <cellStyle name="Normal 4 19 3 2 2 2" xfId="32030"/>
    <cellStyle name="Normal 4 19 3 2 3" xfId="15313"/>
    <cellStyle name="Normal 4 19 3 2 3 2" xfId="32031"/>
    <cellStyle name="Normal 4 19 3 2 4" xfId="15314"/>
    <cellStyle name="Normal 4 19 3 2 4 2" xfId="32032"/>
    <cellStyle name="Normal 4 19 3 2 5" xfId="15315"/>
    <cellStyle name="Normal 4 19 3 2 5 2" xfId="32033"/>
    <cellStyle name="Normal 4 19 3 2 6" xfId="32029"/>
    <cellStyle name="Normal 4 19 3 3" xfId="15316"/>
    <cellStyle name="Normal 4 19 3 3 2" xfId="32034"/>
    <cellStyle name="Normal 4 19 3 4" xfId="15317"/>
    <cellStyle name="Normal 4 19 3 4 2" xfId="32035"/>
    <cellStyle name="Normal 4 19 3 5" xfId="15318"/>
    <cellStyle name="Normal 4 19 3 5 2" xfId="32036"/>
    <cellStyle name="Normal 4 19 3 6" xfId="15319"/>
    <cellStyle name="Normal 4 19 3 6 2" xfId="32037"/>
    <cellStyle name="Normal 4 19 3 7" xfId="32028"/>
    <cellStyle name="Normal 4 19 4" xfId="15320"/>
    <cellStyle name="Normal 4 19 4 2" xfId="15321"/>
    <cellStyle name="Normal 4 19 4 2 2" xfId="15322"/>
    <cellStyle name="Normal 4 19 4 2 2 2" xfId="32040"/>
    <cellStyle name="Normal 4 19 4 2 3" xfId="15323"/>
    <cellStyle name="Normal 4 19 4 2 3 2" xfId="32041"/>
    <cellStyle name="Normal 4 19 4 2 4" xfId="15324"/>
    <cellStyle name="Normal 4 19 4 2 4 2" xfId="32042"/>
    <cellStyle name="Normal 4 19 4 2 5" xfId="15325"/>
    <cellStyle name="Normal 4 19 4 2 5 2" xfId="32043"/>
    <cellStyle name="Normal 4 19 4 2 6" xfId="32039"/>
    <cellStyle name="Normal 4 19 4 3" xfId="15326"/>
    <cellStyle name="Normal 4 19 4 3 2" xfId="32044"/>
    <cellStyle name="Normal 4 19 4 4" xfId="15327"/>
    <cellStyle name="Normal 4 19 4 4 2" xfId="32045"/>
    <cellStyle name="Normal 4 19 4 5" xfId="15328"/>
    <cellStyle name="Normal 4 19 4 5 2" xfId="32046"/>
    <cellStyle name="Normal 4 19 4 6" xfId="15329"/>
    <cellStyle name="Normal 4 19 4 6 2" xfId="32047"/>
    <cellStyle name="Normal 4 19 4 7" xfId="32038"/>
    <cellStyle name="Normal 4 19 5" xfId="15330"/>
    <cellStyle name="Normal 4 19 5 2" xfId="15331"/>
    <cellStyle name="Normal 4 19 5 2 2" xfId="32049"/>
    <cellStyle name="Normal 4 19 5 3" xfId="15332"/>
    <cellStyle name="Normal 4 19 5 3 2" xfId="32050"/>
    <cellStyle name="Normal 4 19 5 4" xfId="15333"/>
    <cellStyle name="Normal 4 19 5 4 2" xfId="32051"/>
    <cellStyle name="Normal 4 19 5 5" xfId="15334"/>
    <cellStyle name="Normal 4 19 5 5 2" xfId="32052"/>
    <cellStyle name="Normal 4 19 5 6" xfId="32048"/>
    <cellStyle name="Normal 4 19 6" xfId="15335"/>
    <cellStyle name="Normal 4 19 6 2" xfId="15336"/>
    <cellStyle name="Normal 4 19 6 2 2" xfId="32054"/>
    <cellStyle name="Normal 4 19 6 3" xfId="15337"/>
    <cellStyle name="Normal 4 19 6 3 2" xfId="32055"/>
    <cellStyle name="Normal 4 19 6 4" xfId="15338"/>
    <cellStyle name="Normal 4 19 6 4 2" xfId="32056"/>
    <cellStyle name="Normal 4 19 6 5" xfId="15339"/>
    <cellStyle name="Normal 4 19 6 5 2" xfId="32057"/>
    <cellStyle name="Normal 4 19 6 6" xfId="32053"/>
    <cellStyle name="Normal 4 19 7" xfId="15340"/>
    <cellStyle name="Normal 4 19 7 2" xfId="15341"/>
    <cellStyle name="Normal 4 19 7 2 2" xfId="32059"/>
    <cellStyle name="Normal 4 19 7 3" xfId="15342"/>
    <cellStyle name="Normal 4 19 7 3 2" xfId="32060"/>
    <cellStyle name="Normal 4 19 7 4" xfId="15343"/>
    <cellStyle name="Normal 4 19 7 4 2" xfId="32061"/>
    <cellStyle name="Normal 4 19 7 5" xfId="15344"/>
    <cellStyle name="Normal 4 19 7 5 2" xfId="32062"/>
    <cellStyle name="Normal 4 19 7 6" xfId="32058"/>
    <cellStyle name="Normal 4 19 8" xfId="15345"/>
    <cellStyle name="Normal 4 19 8 2" xfId="15346"/>
    <cellStyle name="Normal 4 19 8 2 2" xfId="32064"/>
    <cellStyle name="Normal 4 19 8 3" xfId="15347"/>
    <cellStyle name="Normal 4 19 8 3 2" xfId="32065"/>
    <cellStyle name="Normal 4 19 8 4" xfId="15348"/>
    <cellStyle name="Normal 4 19 8 4 2" xfId="32066"/>
    <cellStyle name="Normal 4 19 8 5" xfId="15349"/>
    <cellStyle name="Normal 4 19 8 5 2" xfId="32067"/>
    <cellStyle name="Normal 4 19 8 6" xfId="32063"/>
    <cellStyle name="Normal 4 19 9" xfId="15350"/>
    <cellStyle name="Normal 4 19 9 2" xfId="15351"/>
    <cellStyle name="Normal 4 19 9 2 2" xfId="32069"/>
    <cellStyle name="Normal 4 19 9 3" xfId="15352"/>
    <cellStyle name="Normal 4 19 9 3 2" xfId="32070"/>
    <cellStyle name="Normal 4 19 9 4" xfId="15353"/>
    <cellStyle name="Normal 4 19 9 4 2" xfId="32071"/>
    <cellStyle name="Normal 4 19 9 5" xfId="15354"/>
    <cellStyle name="Normal 4 19 9 5 2" xfId="32072"/>
    <cellStyle name="Normal 4 19 9 6" xfId="32068"/>
    <cellStyle name="Normal 4 2" xfId="15355"/>
    <cellStyle name="Normal 4 2 10" xfId="15356"/>
    <cellStyle name="Normal 4 2 11" xfId="15357"/>
    <cellStyle name="Normal 4 2 12" xfId="40691"/>
    <cellStyle name="Normal 4 2 2" xfId="15358"/>
    <cellStyle name="Normal 4 2 2 2" xfId="15359"/>
    <cellStyle name="Normal 4 2 2 2 2" xfId="40702"/>
    <cellStyle name="Normal 4 2 2 3" xfId="15360"/>
    <cellStyle name="Normal 4 2 2 3 2" xfId="41037"/>
    <cellStyle name="Normal 4 2 2 4" xfId="15361"/>
    <cellStyle name="Normal 4 2 2 5" xfId="15362"/>
    <cellStyle name="Normal 4 2 2 6" xfId="15363"/>
    <cellStyle name="Normal 4 2 2 7" xfId="15364"/>
    <cellStyle name="Normal 4 2 3" xfId="15365"/>
    <cellStyle name="Normal 4 2 3 2" xfId="41036"/>
    <cellStyle name="Normal 4 2 4" xfId="15366"/>
    <cellStyle name="Normal 4 2 5" xfId="15367"/>
    <cellStyle name="Normal 4 2 6" xfId="15368"/>
    <cellStyle name="Normal 4 2 7" xfId="15369"/>
    <cellStyle name="Normal 4 2 8" xfId="15370"/>
    <cellStyle name="Normal 4 2 9" xfId="15371"/>
    <cellStyle name="Normal 4 20" xfId="15372"/>
    <cellStyle name="Normal 4 20 10" xfId="15373"/>
    <cellStyle name="Normal 4 20 10 2" xfId="15374"/>
    <cellStyle name="Normal 4 20 10 2 2" xfId="32075"/>
    <cellStyle name="Normal 4 20 10 3" xfId="15375"/>
    <cellStyle name="Normal 4 20 10 3 2" xfId="32076"/>
    <cellStyle name="Normal 4 20 10 4" xfId="15376"/>
    <cellStyle name="Normal 4 20 10 4 2" xfId="32077"/>
    <cellStyle name="Normal 4 20 10 5" xfId="15377"/>
    <cellStyle name="Normal 4 20 10 5 2" xfId="32078"/>
    <cellStyle name="Normal 4 20 10 6" xfId="32074"/>
    <cellStyle name="Normal 4 20 11" xfId="15378"/>
    <cellStyle name="Normal 4 20 11 2" xfId="15379"/>
    <cellStyle name="Normal 4 20 11 2 2" xfId="32080"/>
    <cellStyle name="Normal 4 20 11 3" xfId="15380"/>
    <cellStyle name="Normal 4 20 11 3 2" xfId="32081"/>
    <cellStyle name="Normal 4 20 11 4" xfId="15381"/>
    <cellStyle name="Normal 4 20 11 4 2" xfId="32082"/>
    <cellStyle name="Normal 4 20 11 5" xfId="15382"/>
    <cellStyle name="Normal 4 20 11 5 2" xfId="32083"/>
    <cellStyle name="Normal 4 20 11 6" xfId="32079"/>
    <cellStyle name="Normal 4 20 12" xfId="15383"/>
    <cellStyle name="Normal 4 20 12 2" xfId="15384"/>
    <cellStyle name="Normal 4 20 12 2 2" xfId="32085"/>
    <cellStyle name="Normal 4 20 12 3" xfId="15385"/>
    <cellStyle name="Normal 4 20 12 3 2" xfId="32086"/>
    <cellStyle name="Normal 4 20 12 4" xfId="15386"/>
    <cellStyle name="Normal 4 20 12 4 2" xfId="32087"/>
    <cellStyle name="Normal 4 20 12 5" xfId="15387"/>
    <cellStyle name="Normal 4 20 12 5 2" xfId="32088"/>
    <cellStyle name="Normal 4 20 12 6" xfId="32084"/>
    <cellStyle name="Normal 4 20 13" xfId="15388"/>
    <cellStyle name="Normal 4 20 13 2" xfId="15389"/>
    <cellStyle name="Normal 4 20 13 2 2" xfId="32090"/>
    <cellStyle name="Normal 4 20 13 3" xfId="15390"/>
    <cellStyle name="Normal 4 20 13 3 2" xfId="32091"/>
    <cellStyle name="Normal 4 20 13 4" xfId="15391"/>
    <cellStyle name="Normal 4 20 13 4 2" xfId="32092"/>
    <cellStyle name="Normal 4 20 13 5" xfId="15392"/>
    <cellStyle name="Normal 4 20 13 5 2" xfId="32093"/>
    <cellStyle name="Normal 4 20 13 6" xfId="32089"/>
    <cellStyle name="Normal 4 20 14" xfId="15393"/>
    <cellStyle name="Normal 4 20 14 2" xfId="15394"/>
    <cellStyle name="Normal 4 20 14 2 2" xfId="32095"/>
    <cellStyle name="Normal 4 20 14 3" xfId="15395"/>
    <cellStyle name="Normal 4 20 14 3 2" xfId="32096"/>
    <cellStyle name="Normal 4 20 14 4" xfId="15396"/>
    <cellStyle name="Normal 4 20 14 4 2" xfId="32097"/>
    <cellStyle name="Normal 4 20 14 5" xfId="15397"/>
    <cellStyle name="Normal 4 20 14 5 2" xfId="32098"/>
    <cellStyle name="Normal 4 20 14 6" xfId="32094"/>
    <cellStyle name="Normal 4 20 15" xfId="15398"/>
    <cellStyle name="Normal 4 20 15 2" xfId="15399"/>
    <cellStyle name="Normal 4 20 15 2 2" xfId="32100"/>
    <cellStyle name="Normal 4 20 15 3" xfId="15400"/>
    <cellStyle name="Normal 4 20 15 3 2" xfId="32101"/>
    <cellStyle name="Normal 4 20 15 4" xfId="15401"/>
    <cellStyle name="Normal 4 20 15 4 2" xfId="32102"/>
    <cellStyle name="Normal 4 20 15 5" xfId="15402"/>
    <cellStyle name="Normal 4 20 15 5 2" xfId="32103"/>
    <cellStyle name="Normal 4 20 15 6" xfId="32099"/>
    <cellStyle name="Normal 4 20 16" xfId="15403"/>
    <cellStyle name="Normal 4 20 16 2" xfId="32104"/>
    <cellStyle name="Normal 4 20 17" xfId="15404"/>
    <cellStyle name="Normal 4 20 17 2" xfId="32105"/>
    <cellStyle name="Normal 4 20 18" xfId="15405"/>
    <cellStyle name="Normal 4 20 18 2" xfId="32106"/>
    <cellStyle name="Normal 4 20 19" xfId="15406"/>
    <cellStyle name="Normal 4 20 19 2" xfId="32107"/>
    <cellStyle name="Normal 4 20 2" xfId="15407"/>
    <cellStyle name="Normal 4 20 2 2" xfId="15408"/>
    <cellStyle name="Normal 4 20 2 2 2" xfId="15409"/>
    <cellStyle name="Normal 4 20 2 2 2 2" xfId="32110"/>
    <cellStyle name="Normal 4 20 2 2 3" xfId="15410"/>
    <cellStyle name="Normal 4 20 2 2 3 2" xfId="32111"/>
    <cellStyle name="Normal 4 20 2 2 4" xfId="15411"/>
    <cellStyle name="Normal 4 20 2 2 4 2" xfId="32112"/>
    <cellStyle name="Normal 4 20 2 2 5" xfId="15412"/>
    <cellStyle name="Normal 4 20 2 2 5 2" xfId="32113"/>
    <cellStyle name="Normal 4 20 2 2 6" xfId="32109"/>
    <cellStyle name="Normal 4 20 2 3" xfId="15413"/>
    <cellStyle name="Normal 4 20 2 3 2" xfId="32114"/>
    <cellStyle name="Normal 4 20 2 4" xfId="15414"/>
    <cellStyle name="Normal 4 20 2 4 2" xfId="32115"/>
    <cellStyle name="Normal 4 20 2 5" xfId="15415"/>
    <cellStyle name="Normal 4 20 2 5 2" xfId="32116"/>
    <cellStyle name="Normal 4 20 2 6" xfId="15416"/>
    <cellStyle name="Normal 4 20 2 6 2" xfId="32117"/>
    <cellStyle name="Normal 4 20 2 7" xfId="32108"/>
    <cellStyle name="Normal 4 20 20" xfId="40703"/>
    <cellStyle name="Normal 4 20 21" xfId="32073"/>
    <cellStyle name="Normal 4 20 3" xfId="15417"/>
    <cellStyle name="Normal 4 20 3 2" xfId="15418"/>
    <cellStyle name="Normal 4 20 3 2 2" xfId="15419"/>
    <cellStyle name="Normal 4 20 3 2 2 2" xfId="32120"/>
    <cellStyle name="Normal 4 20 3 2 3" xfId="15420"/>
    <cellStyle name="Normal 4 20 3 2 3 2" xfId="32121"/>
    <cellStyle name="Normal 4 20 3 2 4" xfId="15421"/>
    <cellStyle name="Normal 4 20 3 2 4 2" xfId="32122"/>
    <cellStyle name="Normal 4 20 3 2 5" xfId="15422"/>
    <cellStyle name="Normal 4 20 3 2 5 2" xfId="32123"/>
    <cellStyle name="Normal 4 20 3 2 6" xfId="32119"/>
    <cellStyle name="Normal 4 20 3 3" xfId="15423"/>
    <cellStyle name="Normal 4 20 3 3 2" xfId="32124"/>
    <cellStyle name="Normal 4 20 3 4" xfId="15424"/>
    <cellStyle name="Normal 4 20 3 4 2" xfId="32125"/>
    <cellStyle name="Normal 4 20 3 5" xfId="15425"/>
    <cellStyle name="Normal 4 20 3 5 2" xfId="32126"/>
    <cellStyle name="Normal 4 20 3 6" xfId="15426"/>
    <cellStyle name="Normal 4 20 3 6 2" xfId="32127"/>
    <cellStyle name="Normal 4 20 3 7" xfId="32118"/>
    <cellStyle name="Normal 4 20 4" xfId="15427"/>
    <cellStyle name="Normal 4 20 4 2" xfId="15428"/>
    <cellStyle name="Normal 4 20 4 2 2" xfId="15429"/>
    <cellStyle name="Normal 4 20 4 2 2 2" xfId="32130"/>
    <cellStyle name="Normal 4 20 4 2 3" xfId="15430"/>
    <cellStyle name="Normal 4 20 4 2 3 2" xfId="32131"/>
    <cellStyle name="Normal 4 20 4 2 4" xfId="15431"/>
    <cellStyle name="Normal 4 20 4 2 4 2" xfId="32132"/>
    <cellStyle name="Normal 4 20 4 2 5" xfId="15432"/>
    <cellStyle name="Normal 4 20 4 2 5 2" xfId="32133"/>
    <cellStyle name="Normal 4 20 4 2 6" xfId="32129"/>
    <cellStyle name="Normal 4 20 4 3" xfId="15433"/>
    <cellStyle name="Normal 4 20 4 3 2" xfId="32134"/>
    <cellStyle name="Normal 4 20 4 4" xfId="15434"/>
    <cellStyle name="Normal 4 20 4 4 2" xfId="32135"/>
    <cellStyle name="Normal 4 20 4 5" xfId="15435"/>
    <cellStyle name="Normal 4 20 4 5 2" xfId="32136"/>
    <cellStyle name="Normal 4 20 4 6" xfId="15436"/>
    <cellStyle name="Normal 4 20 4 6 2" xfId="32137"/>
    <cellStyle name="Normal 4 20 4 7" xfId="32128"/>
    <cellStyle name="Normal 4 20 5" xfId="15437"/>
    <cellStyle name="Normal 4 20 5 2" xfId="15438"/>
    <cellStyle name="Normal 4 20 5 2 2" xfId="32139"/>
    <cellStyle name="Normal 4 20 5 3" xfId="15439"/>
    <cellStyle name="Normal 4 20 5 3 2" xfId="32140"/>
    <cellStyle name="Normal 4 20 5 4" xfId="15440"/>
    <cellStyle name="Normal 4 20 5 4 2" xfId="32141"/>
    <cellStyle name="Normal 4 20 5 5" xfId="15441"/>
    <cellStyle name="Normal 4 20 5 5 2" xfId="32142"/>
    <cellStyle name="Normal 4 20 5 6" xfId="32138"/>
    <cellStyle name="Normal 4 20 6" xfId="15442"/>
    <cellStyle name="Normal 4 20 6 2" xfId="15443"/>
    <cellStyle name="Normal 4 20 6 2 2" xfId="32144"/>
    <cellStyle name="Normal 4 20 6 3" xfId="15444"/>
    <cellStyle name="Normal 4 20 6 3 2" xfId="32145"/>
    <cellStyle name="Normal 4 20 6 4" xfId="15445"/>
    <cellStyle name="Normal 4 20 6 4 2" xfId="32146"/>
    <cellStyle name="Normal 4 20 6 5" xfId="15446"/>
    <cellStyle name="Normal 4 20 6 5 2" xfId="32147"/>
    <cellStyle name="Normal 4 20 6 6" xfId="32143"/>
    <cellStyle name="Normal 4 20 7" xfId="15447"/>
    <cellStyle name="Normal 4 20 7 2" xfId="15448"/>
    <cellStyle name="Normal 4 20 7 2 2" xfId="32149"/>
    <cellStyle name="Normal 4 20 7 3" xfId="15449"/>
    <cellStyle name="Normal 4 20 7 3 2" xfId="32150"/>
    <cellStyle name="Normal 4 20 7 4" xfId="15450"/>
    <cellStyle name="Normal 4 20 7 4 2" xfId="32151"/>
    <cellStyle name="Normal 4 20 7 5" xfId="15451"/>
    <cellStyle name="Normal 4 20 7 5 2" xfId="32152"/>
    <cellStyle name="Normal 4 20 7 6" xfId="32148"/>
    <cellStyle name="Normal 4 20 8" xfId="15452"/>
    <cellStyle name="Normal 4 20 8 2" xfId="15453"/>
    <cellStyle name="Normal 4 20 8 2 2" xfId="32154"/>
    <cellStyle name="Normal 4 20 8 3" xfId="15454"/>
    <cellStyle name="Normal 4 20 8 3 2" xfId="32155"/>
    <cellStyle name="Normal 4 20 8 4" xfId="15455"/>
    <cellStyle name="Normal 4 20 8 4 2" xfId="32156"/>
    <cellStyle name="Normal 4 20 8 5" xfId="15456"/>
    <cellStyle name="Normal 4 20 8 5 2" xfId="32157"/>
    <cellStyle name="Normal 4 20 8 6" xfId="32153"/>
    <cellStyle name="Normal 4 20 9" xfId="15457"/>
    <cellStyle name="Normal 4 20 9 2" xfId="15458"/>
    <cellStyle name="Normal 4 20 9 2 2" xfId="32159"/>
    <cellStyle name="Normal 4 20 9 3" xfId="15459"/>
    <cellStyle name="Normal 4 20 9 3 2" xfId="32160"/>
    <cellStyle name="Normal 4 20 9 4" xfId="15460"/>
    <cellStyle name="Normal 4 20 9 4 2" xfId="32161"/>
    <cellStyle name="Normal 4 20 9 5" xfId="15461"/>
    <cellStyle name="Normal 4 20 9 5 2" xfId="32162"/>
    <cellStyle name="Normal 4 20 9 6" xfId="32158"/>
    <cellStyle name="Normal 4 21" xfId="15462"/>
    <cellStyle name="Normal 4 21 10" xfId="15463"/>
    <cellStyle name="Normal 4 21 10 2" xfId="15464"/>
    <cellStyle name="Normal 4 21 10 2 2" xfId="32165"/>
    <cellStyle name="Normal 4 21 10 3" xfId="15465"/>
    <cellStyle name="Normal 4 21 10 3 2" xfId="32166"/>
    <cellStyle name="Normal 4 21 10 4" xfId="15466"/>
    <cellStyle name="Normal 4 21 10 4 2" xfId="32167"/>
    <cellStyle name="Normal 4 21 10 5" xfId="15467"/>
    <cellStyle name="Normal 4 21 10 5 2" xfId="32168"/>
    <cellStyle name="Normal 4 21 10 6" xfId="32164"/>
    <cellStyle name="Normal 4 21 11" xfId="15468"/>
    <cellStyle name="Normal 4 21 11 2" xfId="15469"/>
    <cellStyle name="Normal 4 21 11 2 2" xfId="32170"/>
    <cellStyle name="Normal 4 21 11 3" xfId="15470"/>
    <cellStyle name="Normal 4 21 11 3 2" xfId="32171"/>
    <cellStyle name="Normal 4 21 11 4" xfId="15471"/>
    <cellStyle name="Normal 4 21 11 4 2" xfId="32172"/>
    <cellStyle name="Normal 4 21 11 5" xfId="15472"/>
    <cellStyle name="Normal 4 21 11 5 2" xfId="32173"/>
    <cellStyle name="Normal 4 21 11 6" xfId="32169"/>
    <cellStyle name="Normal 4 21 12" xfId="15473"/>
    <cellStyle name="Normal 4 21 12 2" xfId="15474"/>
    <cellStyle name="Normal 4 21 12 2 2" xfId="32175"/>
    <cellStyle name="Normal 4 21 12 3" xfId="15475"/>
    <cellStyle name="Normal 4 21 12 3 2" xfId="32176"/>
    <cellStyle name="Normal 4 21 12 4" xfId="15476"/>
    <cellStyle name="Normal 4 21 12 4 2" xfId="32177"/>
    <cellStyle name="Normal 4 21 12 5" xfId="15477"/>
    <cellStyle name="Normal 4 21 12 5 2" xfId="32178"/>
    <cellStyle name="Normal 4 21 12 6" xfId="32174"/>
    <cellStyle name="Normal 4 21 13" xfId="15478"/>
    <cellStyle name="Normal 4 21 13 2" xfId="15479"/>
    <cellStyle name="Normal 4 21 13 2 2" xfId="32180"/>
    <cellStyle name="Normal 4 21 13 3" xfId="15480"/>
    <cellStyle name="Normal 4 21 13 3 2" xfId="32181"/>
    <cellStyle name="Normal 4 21 13 4" xfId="15481"/>
    <cellStyle name="Normal 4 21 13 4 2" xfId="32182"/>
    <cellStyle name="Normal 4 21 13 5" xfId="15482"/>
    <cellStyle name="Normal 4 21 13 5 2" xfId="32183"/>
    <cellStyle name="Normal 4 21 13 6" xfId="32179"/>
    <cellStyle name="Normal 4 21 14" xfId="15483"/>
    <cellStyle name="Normal 4 21 14 2" xfId="15484"/>
    <cellStyle name="Normal 4 21 14 2 2" xfId="32185"/>
    <cellStyle name="Normal 4 21 14 3" xfId="15485"/>
    <cellStyle name="Normal 4 21 14 3 2" xfId="32186"/>
    <cellStyle name="Normal 4 21 14 4" xfId="15486"/>
    <cellStyle name="Normal 4 21 14 4 2" xfId="32187"/>
    <cellStyle name="Normal 4 21 14 5" xfId="15487"/>
    <cellStyle name="Normal 4 21 14 5 2" xfId="32188"/>
    <cellStyle name="Normal 4 21 14 6" xfId="32184"/>
    <cellStyle name="Normal 4 21 15" xfId="15488"/>
    <cellStyle name="Normal 4 21 15 2" xfId="15489"/>
    <cellStyle name="Normal 4 21 15 2 2" xfId="32190"/>
    <cellStyle name="Normal 4 21 15 3" xfId="15490"/>
    <cellStyle name="Normal 4 21 15 3 2" xfId="32191"/>
    <cellStyle name="Normal 4 21 15 4" xfId="15491"/>
    <cellStyle name="Normal 4 21 15 4 2" xfId="32192"/>
    <cellStyle name="Normal 4 21 15 5" xfId="15492"/>
    <cellStyle name="Normal 4 21 15 5 2" xfId="32193"/>
    <cellStyle name="Normal 4 21 15 6" xfId="32189"/>
    <cellStyle name="Normal 4 21 16" xfId="15493"/>
    <cellStyle name="Normal 4 21 16 2" xfId="32194"/>
    <cellStyle name="Normal 4 21 17" xfId="15494"/>
    <cellStyle name="Normal 4 21 17 2" xfId="32195"/>
    <cellStyle name="Normal 4 21 18" xfId="15495"/>
    <cellStyle name="Normal 4 21 18 2" xfId="32196"/>
    <cellStyle name="Normal 4 21 19" xfId="15496"/>
    <cellStyle name="Normal 4 21 19 2" xfId="32197"/>
    <cellStyle name="Normal 4 21 2" xfId="15497"/>
    <cellStyle name="Normal 4 21 2 2" xfId="15498"/>
    <cellStyle name="Normal 4 21 2 2 2" xfId="15499"/>
    <cellStyle name="Normal 4 21 2 2 2 2" xfId="32200"/>
    <cellStyle name="Normal 4 21 2 2 3" xfId="15500"/>
    <cellStyle name="Normal 4 21 2 2 3 2" xfId="32201"/>
    <cellStyle name="Normal 4 21 2 2 4" xfId="15501"/>
    <cellStyle name="Normal 4 21 2 2 4 2" xfId="32202"/>
    <cellStyle name="Normal 4 21 2 2 5" xfId="15502"/>
    <cellStyle name="Normal 4 21 2 2 5 2" xfId="32203"/>
    <cellStyle name="Normal 4 21 2 2 6" xfId="32199"/>
    <cellStyle name="Normal 4 21 2 3" xfId="15503"/>
    <cellStyle name="Normal 4 21 2 3 2" xfId="32204"/>
    <cellStyle name="Normal 4 21 2 4" xfId="15504"/>
    <cellStyle name="Normal 4 21 2 4 2" xfId="32205"/>
    <cellStyle name="Normal 4 21 2 5" xfId="15505"/>
    <cellStyle name="Normal 4 21 2 5 2" xfId="32206"/>
    <cellStyle name="Normal 4 21 2 6" xfId="15506"/>
    <cellStyle name="Normal 4 21 2 6 2" xfId="32207"/>
    <cellStyle name="Normal 4 21 2 7" xfId="32198"/>
    <cellStyle name="Normal 4 21 20" xfId="41035"/>
    <cellStyle name="Normal 4 21 21" xfId="32163"/>
    <cellStyle name="Normal 4 21 3" xfId="15507"/>
    <cellStyle name="Normal 4 21 3 2" xfId="15508"/>
    <cellStyle name="Normal 4 21 3 2 2" xfId="15509"/>
    <cellStyle name="Normal 4 21 3 2 2 2" xfId="32210"/>
    <cellStyle name="Normal 4 21 3 2 3" xfId="15510"/>
    <cellStyle name="Normal 4 21 3 2 3 2" xfId="32211"/>
    <cellStyle name="Normal 4 21 3 2 4" xfId="15511"/>
    <cellStyle name="Normal 4 21 3 2 4 2" xfId="32212"/>
    <cellStyle name="Normal 4 21 3 2 5" xfId="15512"/>
    <cellStyle name="Normal 4 21 3 2 5 2" xfId="32213"/>
    <cellStyle name="Normal 4 21 3 2 6" xfId="32209"/>
    <cellStyle name="Normal 4 21 3 3" xfId="15513"/>
    <cellStyle name="Normal 4 21 3 3 2" xfId="32214"/>
    <cellStyle name="Normal 4 21 3 4" xfId="15514"/>
    <cellStyle name="Normal 4 21 3 4 2" xfId="32215"/>
    <cellStyle name="Normal 4 21 3 5" xfId="15515"/>
    <cellStyle name="Normal 4 21 3 5 2" xfId="32216"/>
    <cellStyle name="Normal 4 21 3 6" xfId="15516"/>
    <cellStyle name="Normal 4 21 3 6 2" xfId="32217"/>
    <cellStyle name="Normal 4 21 3 7" xfId="32208"/>
    <cellStyle name="Normal 4 21 4" xfId="15517"/>
    <cellStyle name="Normal 4 21 4 2" xfId="15518"/>
    <cellStyle name="Normal 4 21 4 2 2" xfId="15519"/>
    <cellStyle name="Normal 4 21 4 2 2 2" xfId="32220"/>
    <cellStyle name="Normal 4 21 4 2 3" xfId="15520"/>
    <cellStyle name="Normal 4 21 4 2 3 2" xfId="32221"/>
    <cellStyle name="Normal 4 21 4 2 4" xfId="15521"/>
    <cellStyle name="Normal 4 21 4 2 4 2" xfId="32222"/>
    <cellStyle name="Normal 4 21 4 2 5" xfId="15522"/>
    <cellStyle name="Normal 4 21 4 2 5 2" xfId="32223"/>
    <cellStyle name="Normal 4 21 4 2 6" xfId="32219"/>
    <cellStyle name="Normal 4 21 4 3" xfId="15523"/>
    <cellStyle name="Normal 4 21 4 3 2" xfId="32224"/>
    <cellStyle name="Normal 4 21 4 4" xfId="15524"/>
    <cellStyle name="Normal 4 21 4 4 2" xfId="32225"/>
    <cellStyle name="Normal 4 21 4 5" xfId="15525"/>
    <cellStyle name="Normal 4 21 4 5 2" xfId="32226"/>
    <cellStyle name="Normal 4 21 4 6" xfId="15526"/>
    <cellStyle name="Normal 4 21 4 6 2" xfId="32227"/>
    <cellStyle name="Normal 4 21 4 7" xfId="32218"/>
    <cellStyle name="Normal 4 21 5" xfId="15527"/>
    <cellStyle name="Normal 4 21 5 2" xfId="15528"/>
    <cellStyle name="Normal 4 21 5 2 2" xfId="32229"/>
    <cellStyle name="Normal 4 21 5 3" xfId="15529"/>
    <cellStyle name="Normal 4 21 5 3 2" xfId="32230"/>
    <cellStyle name="Normal 4 21 5 4" xfId="15530"/>
    <cellStyle name="Normal 4 21 5 4 2" xfId="32231"/>
    <cellStyle name="Normal 4 21 5 5" xfId="15531"/>
    <cellStyle name="Normal 4 21 5 5 2" xfId="32232"/>
    <cellStyle name="Normal 4 21 5 6" xfId="32228"/>
    <cellStyle name="Normal 4 21 6" xfId="15532"/>
    <cellStyle name="Normal 4 21 6 2" xfId="15533"/>
    <cellStyle name="Normal 4 21 6 2 2" xfId="32234"/>
    <cellStyle name="Normal 4 21 6 3" xfId="15534"/>
    <cellStyle name="Normal 4 21 6 3 2" xfId="32235"/>
    <cellStyle name="Normal 4 21 6 4" xfId="15535"/>
    <cellStyle name="Normal 4 21 6 4 2" xfId="32236"/>
    <cellStyle name="Normal 4 21 6 5" xfId="15536"/>
    <cellStyle name="Normal 4 21 6 5 2" xfId="32237"/>
    <cellStyle name="Normal 4 21 6 6" xfId="32233"/>
    <cellStyle name="Normal 4 21 7" xfId="15537"/>
    <cellStyle name="Normal 4 21 7 2" xfId="15538"/>
    <cellStyle name="Normal 4 21 7 2 2" xfId="32239"/>
    <cellStyle name="Normal 4 21 7 3" xfId="15539"/>
    <cellStyle name="Normal 4 21 7 3 2" xfId="32240"/>
    <cellStyle name="Normal 4 21 7 4" xfId="15540"/>
    <cellStyle name="Normal 4 21 7 4 2" xfId="32241"/>
    <cellStyle name="Normal 4 21 7 5" xfId="15541"/>
    <cellStyle name="Normal 4 21 7 5 2" xfId="32242"/>
    <cellStyle name="Normal 4 21 7 6" xfId="32238"/>
    <cellStyle name="Normal 4 21 8" xfId="15542"/>
    <cellStyle name="Normal 4 21 8 2" xfId="15543"/>
    <cellStyle name="Normal 4 21 8 2 2" xfId="32244"/>
    <cellStyle name="Normal 4 21 8 3" xfId="15544"/>
    <cellStyle name="Normal 4 21 8 3 2" xfId="32245"/>
    <cellStyle name="Normal 4 21 8 4" xfId="15545"/>
    <cellStyle name="Normal 4 21 8 4 2" xfId="32246"/>
    <cellStyle name="Normal 4 21 8 5" xfId="15546"/>
    <cellStyle name="Normal 4 21 8 5 2" xfId="32247"/>
    <cellStyle name="Normal 4 21 8 6" xfId="32243"/>
    <cellStyle name="Normal 4 21 9" xfId="15547"/>
    <cellStyle name="Normal 4 21 9 2" xfId="15548"/>
    <cellStyle name="Normal 4 21 9 2 2" xfId="32249"/>
    <cellStyle name="Normal 4 21 9 3" xfId="15549"/>
    <cellStyle name="Normal 4 21 9 3 2" xfId="32250"/>
    <cellStyle name="Normal 4 21 9 4" xfId="15550"/>
    <cellStyle name="Normal 4 21 9 4 2" xfId="32251"/>
    <cellStyle name="Normal 4 21 9 5" xfId="15551"/>
    <cellStyle name="Normal 4 21 9 5 2" xfId="32252"/>
    <cellStyle name="Normal 4 21 9 6" xfId="32248"/>
    <cellStyle name="Normal 4 22" xfId="15552"/>
    <cellStyle name="Normal 4 22 10" xfId="15553"/>
    <cellStyle name="Normal 4 22 10 2" xfId="15554"/>
    <cellStyle name="Normal 4 22 10 2 2" xfId="32255"/>
    <cellStyle name="Normal 4 22 10 3" xfId="15555"/>
    <cellStyle name="Normal 4 22 10 3 2" xfId="32256"/>
    <cellStyle name="Normal 4 22 10 4" xfId="15556"/>
    <cellStyle name="Normal 4 22 10 4 2" xfId="32257"/>
    <cellStyle name="Normal 4 22 10 5" xfId="15557"/>
    <cellStyle name="Normal 4 22 10 5 2" xfId="32258"/>
    <cellStyle name="Normal 4 22 10 6" xfId="32254"/>
    <cellStyle name="Normal 4 22 11" xfId="15558"/>
    <cellStyle name="Normal 4 22 11 2" xfId="15559"/>
    <cellStyle name="Normal 4 22 11 2 2" xfId="32260"/>
    <cellStyle name="Normal 4 22 11 3" xfId="15560"/>
    <cellStyle name="Normal 4 22 11 3 2" xfId="32261"/>
    <cellStyle name="Normal 4 22 11 4" xfId="15561"/>
    <cellStyle name="Normal 4 22 11 4 2" xfId="32262"/>
    <cellStyle name="Normal 4 22 11 5" xfId="15562"/>
    <cellStyle name="Normal 4 22 11 5 2" xfId="32263"/>
    <cellStyle name="Normal 4 22 11 6" xfId="32259"/>
    <cellStyle name="Normal 4 22 12" xfId="15563"/>
    <cellStyle name="Normal 4 22 12 2" xfId="15564"/>
    <cellStyle name="Normal 4 22 12 2 2" xfId="32265"/>
    <cellStyle name="Normal 4 22 12 3" xfId="15565"/>
    <cellStyle name="Normal 4 22 12 3 2" xfId="32266"/>
    <cellStyle name="Normal 4 22 12 4" xfId="15566"/>
    <cellStyle name="Normal 4 22 12 4 2" xfId="32267"/>
    <cellStyle name="Normal 4 22 12 5" xfId="15567"/>
    <cellStyle name="Normal 4 22 12 5 2" xfId="32268"/>
    <cellStyle name="Normal 4 22 12 6" xfId="32264"/>
    <cellStyle name="Normal 4 22 13" xfId="15568"/>
    <cellStyle name="Normal 4 22 13 2" xfId="15569"/>
    <cellStyle name="Normal 4 22 13 2 2" xfId="32270"/>
    <cellStyle name="Normal 4 22 13 3" xfId="15570"/>
    <cellStyle name="Normal 4 22 13 3 2" xfId="32271"/>
    <cellStyle name="Normal 4 22 13 4" xfId="15571"/>
    <cellStyle name="Normal 4 22 13 4 2" xfId="32272"/>
    <cellStyle name="Normal 4 22 13 5" xfId="15572"/>
    <cellStyle name="Normal 4 22 13 5 2" xfId="32273"/>
    <cellStyle name="Normal 4 22 13 6" xfId="32269"/>
    <cellStyle name="Normal 4 22 14" xfId="15573"/>
    <cellStyle name="Normal 4 22 14 2" xfId="15574"/>
    <cellStyle name="Normal 4 22 14 2 2" xfId="32275"/>
    <cellStyle name="Normal 4 22 14 3" xfId="15575"/>
    <cellStyle name="Normal 4 22 14 3 2" xfId="32276"/>
    <cellStyle name="Normal 4 22 14 4" xfId="15576"/>
    <cellStyle name="Normal 4 22 14 4 2" xfId="32277"/>
    <cellStyle name="Normal 4 22 14 5" xfId="15577"/>
    <cellStyle name="Normal 4 22 14 5 2" xfId="32278"/>
    <cellStyle name="Normal 4 22 14 6" xfId="32274"/>
    <cellStyle name="Normal 4 22 15" xfId="15578"/>
    <cellStyle name="Normal 4 22 15 2" xfId="15579"/>
    <cellStyle name="Normal 4 22 15 2 2" xfId="32280"/>
    <cellStyle name="Normal 4 22 15 3" xfId="15580"/>
    <cellStyle name="Normal 4 22 15 3 2" xfId="32281"/>
    <cellStyle name="Normal 4 22 15 4" xfId="15581"/>
    <cellStyle name="Normal 4 22 15 4 2" xfId="32282"/>
    <cellStyle name="Normal 4 22 15 5" xfId="15582"/>
    <cellStyle name="Normal 4 22 15 5 2" xfId="32283"/>
    <cellStyle name="Normal 4 22 15 6" xfId="32279"/>
    <cellStyle name="Normal 4 22 16" xfId="15583"/>
    <cellStyle name="Normal 4 22 16 2" xfId="32284"/>
    <cellStyle name="Normal 4 22 17" xfId="15584"/>
    <cellStyle name="Normal 4 22 17 2" xfId="32285"/>
    <cellStyle name="Normal 4 22 18" xfId="15585"/>
    <cellStyle name="Normal 4 22 18 2" xfId="32286"/>
    <cellStyle name="Normal 4 22 19" xfId="15586"/>
    <cellStyle name="Normal 4 22 19 2" xfId="32287"/>
    <cellStyle name="Normal 4 22 2" xfId="15587"/>
    <cellStyle name="Normal 4 22 2 2" xfId="15588"/>
    <cellStyle name="Normal 4 22 2 2 2" xfId="15589"/>
    <cellStyle name="Normal 4 22 2 2 2 2" xfId="32290"/>
    <cellStyle name="Normal 4 22 2 2 3" xfId="15590"/>
    <cellStyle name="Normal 4 22 2 2 3 2" xfId="32291"/>
    <cellStyle name="Normal 4 22 2 2 4" xfId="15591"/>
    <cellStyle name="Normal 4 22 2 2 4 2" xfId="32292"/>
    <cellStyle name="Normal 4 22 2 2 5" xfId="15592"/>
    <cellStyle name="Normal 4 22 2 2 5 2" xfId="32293"/>
    <cellStyle name="Normal 4 22 2 2 6" xfId="32289"/>
    <cellStyle name="Normal 4 22 2 3" xfId="15593"/>
    <cellStyle name="Normal 4 22 2 3 2" xfId="32294"/>
    <cellStyle name="Normal 4 22 2 4" xfId="15594"/>
    <cellStyle name="Normal 4 22 2 4 2" xfId="32295"/>
    <cellStyle name="Normal 4 22 2 5" xfId="15595"/>
    <cellStyle name="Normal 4 22 2 5 2" xfId="32296"/>
    <cellStyle name="Normal 4 22 2 6" xfId="15596"/>
    <cellStyle name="Normal 4 22 2 6 2" xfId="32297"/>
    <cellStyle name="Normal 4 22 2 7" xfId="32288"/>
    <cellStyle name="Normal 4 22 20" xfId="32253"/>
    <cellStyle name="Normal 4 22 3" xfId="15597"/>
    <cellStyle name="Normal 4 22 3 2" xfId="15598"/>
    <cellStyle name="Normal 4 22 3 2 2" xfId="15599"/>
    <cellStyle name="Normal 4 22 3 2 2 2" xfId="32300"/>
    <cellStyle name="Normal 4 22 3 2 3" xfId="15600"/>
    <cellStyle name="Normal 4 22 3 2 3 2" xfId="32301"/>
    <cellStyle name="Normal 4 22 3 2 4" xfId="15601"/>
    <cellStyle name="Normal 4 22 3 2 4 2" xfId="32302"/>
    <cellStyle name="Normal 4 22 3 2 5" xfId="15602"/>
    <cellStyle name="Normal 4 22 3 2 5 2" xfId="32303"/>
    <cellStyle name="Normal 4 22 3 2 6" xfId="32299"/>
    <cellStyle name="Normal 4 22 3 3" xfId="15603"/>
    <cellStyle name="Normal 4 22 3 3 2" xfId="32304"/>
    <cellStyle name="Normal 4 22 3 4" xfId="15604"/>
    <cellStyle name="Normal 4 22 3 4 2" xfId="32305"/>
    <cellStyle name="Normal 4 22 3 5" xfId="15605"/>
    <cellStyle name="Normal 4 22 3 5 2" xfId="32306"/>
    <cellStyle name="Normal 4 22 3 6" xfId="15606"/>
    <cellStyle name="Normal 4 22 3 6 2" xfId="32307"/>
    <cellStyle name="Normal 4 22 3 7" xfId="32298"/>
    <cellStyle name="Normal 4 22 4" xfId="15607"/>
    <cellStyle name="Normal 4 22 4 2" xfId="15608"/>
    <cellStyle name="Normal 4 22 4 2 2" xfId="15609"/>
    <cellStyle name="Normal 4 22 4 2 2 2" xfId="32310"/>
    <cellStyle name="Normal 4 22 4 2 3" xfId="15610"/>
    <cellStyle name="Normal 4 22 4 2 3 2" xfId="32311"/>
    <cellStyle name="Normal 4 22 4 2 4" xfId="15611"/>
    <cellStyle name="Normal 4 22 4 2 4 2" xfId="32312"/>
    <cellStyle name="Normal 4 22 4 2 5" xfId="15612"/>
    <cellStyle name="Normal 4 22 4 2 5 2" xfId="32313"/>
    <cellStyle name="Normal 4 22 4 2 6" xfId="32309"/>
    <cellStyle name="Normal 4 22 4 3" xfId="15613"/>
    <cellStyle name="Normal 4 22 4 3 2" xfId="32314"/>
    <cellStyle name="Normal 4 22 4 4" xfId="15614"/>
    <cellStyle name="Normal 4 22 4 4 2" xfId="32315"/>
    <cellStyle name="Normal 4 22 4 5" xfId="15615"/>
    <cellStyle name="Normal 4 22 4 5 2" xfId="32316"/>
    <cellStyle name="Normal 4 22 4 6" xfId="15616"/>
    <cellStyle name="Normal 4 22 4 6 2" xfId="32317"/>
    <cellStyle name="Normal 4 22 4 7" xfId="32308"/>
    <cellStyle name="Normal 4 22 5" xfId="15617"/>
    <cellStyle name="Normal 4 22 5 2" xfId="15618"/>
    <cellStyle name="Normal 4 22 5 2 2" xfId="32319"/>
    <cellStyle name="Normal 4 22 5 3" xfId="15619"/>
    <cellStyle name="Normal 4 22 5 3 2" xfId="32320"/>
    <cellStyle name="Normal 4 22 5 4" xfId="15620"/>
    <cellStyle name="Normal 4 22 5 4 2" xfId="32321"/>
    <cellStyle name="Normal 4 22 5 5" xfId="15621"/>
    <cellStyle name="Normal 4 22 5 5 2" xfId="32322"/>
    <cellStyle name="Normal 4 22 5 6" xfId="32318"/>
    <cellStyle name="Normal 4 22 6" xfId="15622"/>
    <cellStyle name="Normal 4 22 6 2" xfId="15623"/>
    <cellStyle name="Normal 4 22 6 2 2" xfId="32324"/>
    <cellStyle name="Normal 4 22 6 3" xfId="15624"/>
    <cellStyle name="Normal 4 22 6 3 2" xfId="32325"/>
    <cellStyle name="Normal 4 22 6 4" xfId="15625"/>
    <cellStyle name="Normal 4 22 6 4 2" xfId="32326"/>
    <cellStyle name="Normal 4 22 6 5" xfId="15626"/>
    <cellStyle name="Normal 4 22 6 5 2" xfId="32327"/>
    <cellStyle name="Normal 4 22 6 6" xfId="32323"/>
    <cellStyle name="Normal 4 22 7" xfId="15627"/>
    <cellStyle name="Normal 4 22 7 2" xfId="15628"/>
    <cellStyle name="Normal 4 22 7 2 2" xfId="32329"/>
    <cellStyle name="Normal 4 22 7 3" xfId="15629"/>
    <cellStyle name="Normal 4 22 7 3 2" xfId="32330"/>
    <cellStyle name="Normal 4 22 7 4" xfId="15630"/>
    <cellStyle name="Normal 4 22 7 4 2" xfId="32331"/>
    <cellStyle name="Normal 4 22 7 5" xfId="15631"/>
    <cellStyle name="Normal 4 22 7 5 2" xfId="32332"/>
    <cellStyle name="Normal 4 22 7 6" xfId="32328"/>
    <cellStyle name="Normal 4 22 8" xfId="15632"/>
    <cellStyle name="Normal 4 22 8 2" xfId="15633"/>
    <cellStyle name="Normal 4 22 8 2 2" xfId="32334"/>
    <cellStyle name="Normal 4 22 8 3" xfId="15634"/>
    <cellStyle name="Normal 4 22 8 3 2" xfId="32335"/>
    <cellStyle name="Normal 4 22 8 4" xfId="15635"/>
    <cellStyle name="Normal 4 22 8 4 2" xfId="32336"/>
    <cellStyle name="Normal 4 22 8 5" xfId="15636"/>
    <cellStyle name="Normal 4 22 8 5 2" xfId="32337"/>
    <cellStyle name="Normal 4 22 8 6" xfId="32333"/>
    <cellStyle name="Normal 4 22 9" xfId="15637"/>
    <cellStyle name="Normal 4 22 9 2" xfId="15638"/>
    <cellStyle name="Normal 4 22 9 2 2" xfId="32339"/>
    <cellStyle name="Normal 4 22 9 3" xfId="15639"/>
    <cellStyle name="Normal 4 22 9 3 2" xfId="32340"/>
    <cellStyle name="Normal 4 22 9 4" xfId="15640"/>
    <cellStyle name="Normal 4 22 9 4 2" xfId="32341"/>
    <cellStyle name="Normal 4 22 9 5" xfId="15641"/>
    <cellStyle name="Normal 4 22 9 5 2" xfId="32342"/>
    <cellStyle name="Normal 4 22 9 6" xfId="32338"/>
    <cellStyle name="Normal 4 23" xfId="15642"/>
    <cellStyle name="Normal 4 23 2" xfId="15643"/>
    <cellStyle name="Normal 4 23 3" xfId="15644"/>
    <cellStyle name="Normal 4 23 3 2" xfId="32344"/>
    <cellStyle name="Normal 4 23 4" xfId="15645"/>
    <cellStyle name="Normal 4 23 4 2" xfId="32345"/>
    <cellStyle name="Normal 4 23 5" xfId="15646"/>
    <cellStyle name="Normal 4 23 5 2" xfId="32346"/>
    <cellStyle name="Normal 4 23 6" xfId="15647"/>
    <cellStyle name="Normal 4 23 6 2" xfId="32347"/>
    <cellStyle name="Normal 4 23 7" xfId="32343"/>
    <cellStyle name="Normal 4 24" xfId="15648"/>
    <cellStyle name="Normal 4 25" xfId="15649"/>
    <cellStyle name="Normal 4 26" xfId="15650"/>
    <cellStyle name="Normal 4 27" xfId="15651"/>
    <cellStyle name="Normal 4 28" xfId="15652"/>
    <cellStyle name="Normal 4 29" xfId="15653"/>
    <cellStyle name="Normal 4 3" xfId="15654"/>
    <cellStyle name="Normal 4 3 10" xfId="15655"/>
    <cellStyle name="Normal 4 3 11" xfId="15656"/>
    <cellStyle name="Normal 4 3 2" xfId="15657"/>
    <cellStyle name="Normal 4 3 2 2" xfId="15658"/>
    <cellStyle name="Normal 4 3 2 3" xfId="15659"/>
    <cellStyle name="Normal 4 3 2 4" xfId="15660"/>
    <cellStyle name="Normal 4 3 2 5" xfId="15661"/>
    <cellStyle name="Normal 4 3 2 6" xfId="15662"/>
    <cellStyle name="Normal 4 3 2 7" xfId="15663"/>
    <cellStyle name="Normal 4 3 2 8" xfId="40704"/>
    <cellStyle name="Normal 4 3 3" xfId="15664"/>
    <cellStyle name="Normal 4 3 3 2" xfId="41018"/>
    <cellStyle name="Normal 4 3 4" xfId="15665"/>
    <cellStyle name="Normal 4 3 4 2" xfId="41015"/>
    <cellStyle name="Normal 4 3 5" xfId="15666"/>
    <cellStyle name="Normal 4 3 6" xfId="15667"/>
    <cellStyle name="Normal 4 3 7" xfId="15668"/>
    <cellStyle name="Normal 4 3 8" xfId="15669"/>
    <cellStyle name="Normal 4 3 9" xfId="15670"/>
    <cellStyle name="Normal 4 30" xfId="15671"/>
    <cellStyle name="Normal 4 31" xfId="15672"/>
    <cellStyle name="Normal 4 32" xfId="15673"/>
    <cellStyle name="Normal 4 33" xfId="15674"/>
    <cellStyle name="Normal 4 34" xfId="15675"/>
    <cellStyle name="Normal 4 35" xfId="15676"/>
    <cellStyle name="Normal 4 36" xfId="15677"/>
    <cellStyle name="Normal 4 37" xfId="15678"/>
    <cellStyle name="Normal 4 38" xfId="15679"/>
    <cellStyle name="Normal 4 39" xfId="15680"/>
    <cellStyle name="Normal 4 39 2" xfId="32348"/>
    <cellStyle name="Normal 4 4" xfId="15681"/>
    <cellStyle name="Normal 4 4 10" xfId="15682"/>
    <cellStyle name="Normal 4 4 10 2" xfId="15683"/>
    <cellStyle name="Normal 4 4 10 3" xfId="15684"/>
    <cellStyle name="Normal 4 4 10 3 2" xfId="32350"/>
    <cellStyle name="Normal 4 4 10 4" xfId="15685"/>
    <cellStyle name="Normal 4 4 10 4 2" xfId="32351"/>
    <cellStyle name="Normal 4 4 10 5" xfId="15686"/>
    <cellStyle name="Normal 4 4 10 5 2" xfId="32352"/>
    <cellStyle name="Normal 4 4 10 6" xfId="15687"/>
    <cellStyle name="Normal 4 4 10 6 2" xfId="32353"/>
    <cellStyle name="Normal 4 4 10 7" xfId="32349"/>
    <cellStyle name="Normal 4 4 11" xfId="15688"/>
    <cellStyle name="Normal 4 4 11 2" xfId="15689"/>
    <cellStyle name="Normal 4 4 11 2 2" xfId="32355"/>
    <cellStyle name="Normal 4 4 11 3" xfId="15690"/>
    <cellStyle name="Normal 4 4 11 3 2" xfId="32356"/>
    <cellStyle name="Normal 4 4 11 4" xfId="15691"/>
    <cellStyle name="Normal 4 4 11 4 2" xfId="32357"/>
    <cellStyle name="Normal 4 4 11 5" xfId="15692"/>
    <cellStyle name="Normal 4 4 11 5 2" xfId="32358"/>
    <cellStyle name="Normal 4 4 11 6" xfId="32354"/>
    <cellStyle name="Normal 4 4 12" xfId="15693"/>
    <cellStyle name="Normal 4 4 12 2" xfId="15694"/>
    <cellStyle name="Normal 4 4 12 2 2" xfId="32360"/>
    <cellStyle name="Normal 4 4 12 3" xfId="15695"/>
    <cellStyle name="Normal 4 4 12 3 2" xfId="32361"/>
    <cellStyle name="Normal 4 4 12 4" xfId="15696"/>
    <cellStyle name="Normal 4 4 12 4 2" xfId="32362"/>
    <cellStyle name="Normal 4 4 12 5" xfId="15697"/>
    <cellStyle name="Normal 4 4 12 5 2" xfId="32363"/>
    <cellStyle name="Normal 4 4 12 6" xfId="32359"/>
    <cellStyle name="Normal 4 4 13" xfId="15698"/>
    <cellStyle name="Normal 4 4 13 2" xfId="15699"/>
    <cellStyle name="Normal 4 4 13 2 2" xfId="32365"/>
    <cellStyle name="Normal 4 4 13 3" xfId="15700"/>
    <cellStyle name="Normal 4 4 13 3 2" xfId="32366"/>
    <cellStyle name="Normal 4 4 13 4" xfId="15701"/>
    <cellStyle name="Normal 4 4 13 4 2" xfId="32367"/>
    <cellStyle name="Normal 4 4 13 5" xfId="15702"/>
    <cellStyle name="Normal 4 4 13 5 2" xfId="32368"/>
    <cellStyle name="Normal 4 4 13 6" xfId="32364"/>
    <cellStyle name="Normal 4 4 14" xfId="15703"/>
    <cellStyle name="Normal 4 4 14 2" xfId="15704"/>
    <cellStyle name="Normal 4 4 14 2 2" xfId="32370"/>
    <cellStyle name="Normal 4 4 14 3" xfId="15705"/>
    <cellStyle name="Normal 4 4 14 3 2" xfId="32371"/>
    <cellStyle name="Normal 4 4 14 4" xfId="15706"/>
    <cellStyle name="Normal 4 4 14 4 2" xfId="32372"/>
    <cellStyle name="Normal 4 4 14 5" xfId="15707"/>
    <cellStyle name="Normal 4 4 14 5 2" xfId="32373"/>
    <cellStyle name="Normal 4 4 14 6" xfId="32369"/>
    <cellStyle name="Normal 4 4 15" xfId="15708"/>
    <cellStyle name="Normal 4 4 15 2" xfId="15709"/>
    <cellStyle name="Normal 4 4 15 2 2" xfId="32375"/>
    <cellStyle name="Normal 4 4 15 3" xfId="15710"/>
    <cellStyle name="Normal 4 4 15 3 2" xfId="32376"/>
    <cellStyle name="Normal 4 4 15 4" xfId="15711"/>
    <cellStyle name="Normal 4 4 15 4 2" xfId="32377"/>
    <cellStyle name="Normal 4 4 15 5" xfId="15712"/>
    <cellStyle name="Normal 4 4 15 5 2" xfId="32378"/>
    <cellStyle name="Normal 4 4 15 6" xfId="32374"/>
    <cellStyle name="Normal 4 4 16" xfId="15713"/>
    <cellStyle name="Normal 4 4 16 2" xfId="15714"/>
    <cellStyle name="Normal 4 4 16 2 2" xfId="32380"/>
    <cellStyle name="Normal 4 4 16 3" xfId="15715"/>
    <cellStyle name="Normal 4 4 16 3 2" xfId="32381"/>
    <cellStyle name="Normal 4 4 16 4" xfId="15716"/>
    <cellStyle name="Normal 4 4 16 4 2" xfId="32382"/>
    <cellStyle name="Normal 4 4 16 5" xfId="15717"/>
    <cellStyle name="Normal 4 4 16 5 2" xfId="32383"/>
    <cellStyle name="Normal 4 4 16 6" xfId="32379"/>
    <cellStyle name="Normal 4 4 17" xfId="15718"/>
    <cellStyle name="Normal 4 4 17 2" xfId="15719"/>
    <cellStyle name="Normal 4 4 17 2 2" xfId="32385"/>
    <cellStyle name="Normal 4 4 17 3" xfId="15720"/>
    <cellStyle name="Normal 4 4 17 3 2" xfId="32386"/>
    <cellStyle name="Normal 4 4 17 4" xfId="15721"/>
    <cellStyle name="Normal 4 4 17 4 2" xfId="32387"/>
    <cellStyle name="Normal 4 4 17 5" xfId="15722"/>
    <cellStyle name="Normal 4 4 17 5 2" xfId="32388"/>
    <cellStyle name="Normal 4 4 17 6" xfId="32384"/>
    <cellStyle name="Normal 4 4 18" xfId="15723"/>
    <cellStyle name="Normal 4 4 18 2" xfId="15724"/>
    <cellStyle name="Normal 4 4 18 2 2" xfId="32390"/>
    <cellStyle name="Normal 4 4 18 3" xfId="15725"/>
    <cellStyle name="Normal 4 4 18 3 2" xfId="32391"/>
    <cellStyle name="Normal 4 4 18 4" xfId="15726"/>
    <cellStyle name="Normal 4 4 18 4 2" xfId="32392"/>
    <cellStyle name="Normal 4 4 18 5" xfId="15727"/>
    <cellStyle name="Normal 4 4 18 5 2" xfId="32393"/>
    <cellStyle name="Normal 4 4 18 6" xfId="32389"/>
    <cellStyle name="Normal 4 4 19" xfId="15728"/>
    <cellStyle name="Normal 4 4 19 2" xfId="15729"/>
    <cellStyle name="Normal 4 4 19 2 2" xfId="32395"/>
    <cellStyle name="Normal 4 4 19 3" xfId="15730"/>
    <cellStyle name="Normal 4 4 19 3 2" xfId="32396"/>
    <cellStyle name="Normal 4 4 19 4" xfId="15731"/>
    <cellStyle name="Normal 4 4 19 4 2" xfId="32397"/>
    <cellStyle name="Normal 4 4 19 5" xfId="15732"/>
    <cellStyle name="Normal 4 4 19 5 2" xfId="32398"/>
    <cellStyle name="Normal 4 4 19 6" xfId="32394"/>
    <cellStyle name="Normal 4 4 2" xfId="15733"/>
    <cellStyle name="Normal 4 4 2 10" xfId="15734"/>
    <cellStyle name="Normal 4 4 2 10 2" xfId="15735"/>
    <cellStyle name="Normal 4 4 2 10 2 2" xfId="32401"/>
    <cellStyle name="Normal 4 4 2 10 3" xfId="15736"/>
    <cellStyle name="Normal 4 4 2 10 3 2" xfId="32402"/>
    <cellStyle name="Normal 4 4 2 10 4" xfId="15737"/>
    <cellStyle name="Normal 4 4 2 10 4 2" xfId="32403"/>
    <cellStyle name="Normal 4 4 2 10 5" xfId="15738"/>
    <cellStyle name="Normal 4 4 2 10 5 2" xfId="32404"/>
    <cellStyle name="Normal 4 4 2 10 6" xfId="32400"/>
    <cellStyle name="Normal 4 4 2 11" xfId="15739"/>
    <cellStyle name="Normal 4 4 2 11 2" xfId="15740"/>
    <cellStyle name="Normal 4 4 2 11 2 2" xfId="32406"/>
    <cellStyle name="Normal 4 4 2 11 3" xfId="15741"/>
    <cellStyle name="Normal 4 4 2 11 3 2" xfId="32407"/>
    <cellStyle name="Normal 4 4 2 11 4" xfId="15742"/>
    <cellStyle name="Normal 4 4 2 11 4 2" xfId="32408"/>
    <cellStyle name="Normal 4 4 2 11 5" xfId="15743"/>
    <cellStyle name="Normal 4 4 2 11 5 2" xfId="32409"/>
    <cellStyle name="Normal 4 4 2 11 6" xfId="32405"/>
    <cellStyle name="Normal 4 4 2 12" xfId="15744"/>
    <cellStyle name="Normal 4 4 2 12 2" xfId="15745"/>
    <cellStyle name="Normal 4 4 2 12 2 2" xfId="32411"/>
    <cellStyle name="Normal 4 4 2 12 3" xfId="15746"/>
    <cellStyle name="Normal 4 4 2 12 3 2" xfId="32412"/>
    <cellStyle name="Normal 4 4 2 12 4" xfId="15747"/>
    <cellStyle name="Normal 4 4 2 12 4 2" xfId="32413"/>
    <cellStyle name="Normal 4 4 2 12 5" xfId="15748"/>
    <cellStyle name="Normal 4 4 2 12 5 2" xfId="32414"/>
    <cellStyle name="Normal 4 4 2 12 6" xfId="32410"/>
    <cellStyle name="Normal 4 4 2 13" xfId="15749"/>
    <cellStyle name="Normal 4 4 2 13 2" xfId="15750"/>
    <cellStyle name="Normal 4 4 2 13 2 2" xfId="32416"/>
    <cellStyle name="Normal 4 4 2 13 3" xfId="15751"/>
    <cellStyle name="Normal 4 4 2 13 3 2" xfId="32417"/>
    <cellStyle name="Normal 4 4 2 13 4" xfId="15752"/>
    <cellStyle name="Normal 4 4 2 13 4 2" xfId="32418"/>
    <cellStyle name="Normal 4 4 2 13 5" xfId="15753"/>
    <cellStyle name="Normal 4 4 2 13 5 2" xfId="32419"/>
    <cellStyle name="Normal 4 4 2 13 6" xfId="32415"/>
    <cellStyle name="Normal 4 4 2 14" xfId="15754"/>
    <cellStyle name="Normal 4 4 2 14 2" xfId="15755"/>
    <cellStyle name="Normal 4 4 2 14 2 2" xfId="32421"/>
    <cellStyle name="Normal 4 4 2 14 3" xfId="15756"/>
    <cellStyle name="Normal 4 4 2 14 3 2" xfId="32422"/>
    <cellStyle name="Normal 4 4 2 14 4" xfId="15757"/>
    <cellStyle name="Normal 4 4 2 14 4 2" xfId="32423"/>
    <cellStyle name="Normal 4 4 2 14 5" xfId="15758"/>
    <cellStyle name="Normal 4 4 2 14 5 2" xfId="32424"/>
    <cellStyle name="Normal 4 4 2 14 6" xfId="32420"/>
    <cellStyle name="Normal 4 4 2 15" xfId="15759"/>
    <cellStyle name="Normal 4 4 2 15 2" xfId="15760"/>
    <cellStyle name="Normal 4 4 2 15 2 2" xfId="32426"/>
    <cellStyle name="Normal 4 4 2 15 3" xfId="15761"/>
    <cellStyle name="Normal 4 4 2 15 3 2" xfId="32427"/>
    <cellStyle name="Normal 4 4 2 15 4" xfId="15762"/>
    <cellStyle name="Normal 4 4 2 15 4 2" xfId="32428"/>
    <cellStyle name="Normal 4 4 2 15 5" xfId="15763"/>
    <cellStyle name="Normal 4 4 2 15 5 2" xfId="32429"/>
    <cellStyle name="Normal 4 4 2 15 6" xfId="32425"/>
    <cellStyle name="Normal 4 4 2 16" xfId="15764"/>
    <cellStyle name="Normal 4 4 2 16 2" xfId="15765"/>
    <cellStyle name="Normal 4 4 2 16 2 2" xfId="32431"/>
    <cellStyle name="Normal 4 4 2 16 3" xfId="15766"/>
    <cellStyle name="Normal 4 4 2 16 3 2" xfId="32432"/>
    <cellStyle name="Normal 4 4 2 16 4" xfId="15767"/>
    <cellStyle name="Normal 4 4 2 16 4 2" xfId="32433"/>
    <cellStyle name="Normal 4 4 2 16 5" xfId="15768"/>
    <cellStyle name="Normal 4 4 2 16 5 2" xfId="32434"/>
    <cellStyle name="Normal 4 4 2 16 6" xfId="32430"/>
    <cellStyle name="Normal 4 4 2 17" xfId="15769"/>
    <cellStyle name="Normal 4 4 2 17 2" xfId="15770"/>
    <cellStyle name="Normal 4 4 2 17 2 2" xfId="32436"/>
    <cellStyle name="Normal 4 4 2 17 3" xfId="15771"/>
    <cellStyle name="Normal 4 4 2 17 3 2" xfId="32437"/>
    <cellStyle name="Normal 4 4 2 17 4" xfId="15772"/>
    <cellStyle name="Normal 4 4 2 17 4 2" xfId="32438"/>
    <cellStyle name="Normal 4 4 2 17 5" xfId="15773"/>
    <cellStyle name="Normal 4 4 2 17 5 2" xfId="32439"/>
    <cellStyle name="Normal 4 4 2 17 6" xfId="32435"/>
    <cellStyle name="Normal 4 4 2 18" xfId="15774"/>
    <cellStyle name="Normal 4 4 2 18 2" xfId="15775"/>
    <cellStyle name="Normal 4 4 2 18 2 2" xfId="32441"/>
    <cellStyle name="Normal 4 4 2 18 3" xfId="15776"/>
    <cellStyle name="Normal 4 4 2 18 3 2" xfId="32442"/>
    <cellStyle name="Normal 4 4 2 18 4" xfId="15777"/>
    <cellStyle name="Normal 4 4 2 18 4 2" xfId="32443"/>
    <cellStyle name="Normal 4 4 2 18 5" xfId="15778"/>
    <cellStyle name="Normal 4 4 2 18 5 2" xfId="32444"/>
    <cellStyle name="Normal 4 4 2 18 6" xfId="32440"/>
    <cellStyle name="Normal 4 4 2 19" xfId="15779"/>
    <cellStyle name="Normal 4 4 2 19 2" xfId="15780"/>
    <cellStyle name="Normal 4 4 2 19 2 2" xfId="32446"/>
    <cellStyle name="Normal 4 4 2 19 3" xfId="15781"/>
    <cellStyle name="Normal 4 4 2 19 3 2" xfId="32447"/>
    <cellStyle name="Normal 4 4 2 19 4" xfId="15782"/>
    <cellStyle name="Normal 4 4 2 19 4 2" xfId="32448"/>
    <cellStyle name="Normal 4 4 2 19 5" xfId="15783"/>
    <cellStyle name="Normal 4 4 2 19 5 2" xfId="32449"/>
    <cellStyle name="Normal 4 4 2 19 6" xfId="32445"/>
    <cellStyle name="Normal 4 4 2 2" xfId="15784"/>
    <cellStyle name="Normal 4 4 2 2 10" xfId="15785"/>
    <cellStyle name="Normal 4 4 2 2 10 2" xfId="15786"/>
    <cellStyle name="Normal 4 4 2 2 10 2 2" xfId="32452"/>
    <cellStyle name="Normal 4 4 2 2 10 3" xfId="15787"/>
    <cellStyle name="Normal 4 4 2 2 10 3 2" xfId="32453"/>
    <cellStyle name="Normal 4 4 2 2 10 4" xfId="15788"/>
    <cellStyle name="Normal 4 4 2 2 10 4 2" xfId="32454"/>
    <cellStyle name="Normal 4 4 2 2 10 5" xfId="15789"/>
    <cellStyle name="Normal 4 4 2 2 10 5 2" xfId="32455"/>
    <cellStyle name="Normal 4 4 2 2 10 6" xfId="32451"/>
    <cellStyle name="Normal 4 4 2 2 11" xfId="15790"/>
    <cellStyle name="Normal 4 4 2 2 11 2" xfId="15791"/>
    <cellStyle name="Normal 4 4 2 2 11 2 2" xfId="32457"/>
    <cellStyle name="Normal 4 4 2 2 11 3" xfId="15792"/>
    <cellStyle name="Normal 4 4 2 2 11 3 2" xfId="32458"/>
    <cellStyle name="Normal 4 4 2 2 11 4" xfId="15793"/>
    <cellStyle name="Normal 4 4 2 2 11 4 2" xfId="32459"/>
    <cellStyle name="Normal 4 4 2 2 11 5" xfId="15794"/>
    <cellStyle name="Normal 4 4 2 2 11 5 2" xfId="32460"/>
    <cellStyle name="Normal 4 4 2 2 11 6" xfId="32456"/>
    <cellStyle name="Normal 4 4 2 2 12" xfId="15795"/>
    <cellStyle name="Normal 4 4 2 2 12 2" xfId="15796"/>
    <cellStyle name="Normal 4 4 2 2 12 2 2" xfId="32462"/>
    <cellStyle name="Normal 4 4 2 2 12 3" xfId="15797"/>
    <cellStyle name="Normal 4 4 2 2 12 3 2" xfId="32463"/>
    <cellStyle name="Normal 4 4 2 2 12 4" xfId="15798"/>
    <cellStyle name="Normal 4 4 2 2 12 4 2" xfId="32464"/>
    <cellStyle name="Normal 4 4 2 2 12 5" xfId="15799"/>
    <cellStyle name="Normal 4 4 2 2 12 5 2" xfId="32465"/>
    <cellStyle name="Normal 4 4 2 2 12 6" xfId="32461"/>
    <cellStyle name="Normal 4 4 2 2 13" xfId="15800"/>
    <cellStyle name="Normal 4 4 2 2 13 2" xfId="15801"/>
    <cellStyle name="Normal 4 4 2 2 13 2 2" xfId="32467"/>
    <cellStyle name="Normal 4 4 2 2 13 3" xfId="15802"/>
    <cellStyle name="Normal 4 4 2 2 13 3 2" xfId="32468"/>
    <cellStyle name="Normal 4 4 2 2 13 4" xfId="15803"/>
    <cellStyle name="Normal 4 4 2 2 13 4 2" xfId="32469"/>
    <cellStyle name="Normal 4 4 2 2 13 5" xfId="15804"/>
    <cellStyle name="Normal 4 4 2 2 13 5 2" xfId="32470"/>
    <cellStyle name="Normal 4 4 2 2 13 6" xfId="32466"/>
    <cellStyle name="Normal 4 4 2 2 14" xfId="15805"/>
    <cellStyle name="Normal 4 4 2 2 14 2" xfId="15806"/>
    <cellStyle name="Normal 4 4 2 2 14 2 2" xfId="32472"/>
    <cellStyle name="Normal 4 4 2 2 14 3" xfId="15807"/>
    <cellStyle name="Normal 4 4 2 2 14 3 2" xfId="32473"/>
    <cellStyle name="Normal 4 4 2 2 14 4" xfId="15808"/>
    <cellStyle name="Normal 4 4 2 2 14 4 2" xfId="32474"/>
    <cellStyle name="Normal 4 4 2 2 14 5" xfId="15809"/>
    <cellStyle name="Normal 4 4 2 2 14 5 2" xfId="32475"/>
    <cellStyle name="Normal 4 4 2 2 14 6" xfId="32471"/>
    <cellStyle name="Normal 4 4 2 2 15" xfId="15810"/>
    <cellStyle name="Normal 4 4 2 2 15 2" xfId="15811"/>
    <cellStyle name="Normal 4 4 2 2 15 2 2" xfId="32477"/>
    <cellStyle name="Normal 4 4 2 2 15 3" xfId="15812"/>
    <cellStyle name="Normal 4 4 2 2 15 3 2" xfId="32478"/>
    <cellStyle name="Normal 4 4 2 2 15 4" xfId="15813"/>
    <cellStyle name="Normal 4 4 2 2 15 4 2" xfId="32479"/>
    <cellStyle name="Normal 4 4 2 2 15 5" xfId="15814"/>
    <cellStyle name="Normal 4 4 2 2 15 5 2" xfId="32480"/>
    <cellStyle name="Normal 4 4 2 2 15 6" xfId="32476"/>
    <cellStyle name="Normal 4 4 2 2 16" xfId="15815"/>
    <cellStyle name="Normal 4 4 2 2 16 2" xfId="15816"/>
    <cellStyle name="Normal 4 4 2 2 16 2 2" xfId="32482"/>
    <cellStyle name="Normal 4 4 2 2 16 3" xfId="15817"/>
    <cellStyle name="Normal 4 4 2 2 16 3 2" xfId="32483"/>
    <cellStyle name="Normal 4 4 2 2 16 4" xfId="15818"/>
    <cellStyle name="Normal 4 4 2 2 16 4 2" xfId="32484"/>
    <cellStyle name="Normal 4 4 2 2 16 5" xfId="15819"/>
    <cellStyle name="Normal 4 4 2 2 16 5 2" xfId="32485"/>
    <cellStyle name="Normal 4 4 2 2 16 6" xfId="32481"/>
    <cellStyle name="Normal 4 4 2 2 17" xfId="15820"/>
    <cellStyle name="Normal 4 4 2 2 17 2" xfId="32486"/>
    <cellStyle name="Normal 4 4 2 2 18" xfId="15821"/>
    <cellStyle name="Normal 4 4 2 2 18 2" xfId="32487"/>
    <cellStyle name="Normal 4 4 2 2 19" xfId="15822"/>
    <cellStyle name="Normal 4 4 2 2 19 2" xfId="32488"/>
    <cellStyle name="Normal 4 4 2 2 2" xfId="15823"/>
    <cellStyle name="Normal 4 4 2 2 2 10" xfId="15824"/>
    <cellStyle name="Normal 4 4 2 2 2 10 2" xfId="32490"/>
    <cellStyle name="Normal 4 4 2 2 2 11" xfId="15825"/>
    <cellStyle name="Normal 4 4 2 2 2 11 2" xfId="32491"/>
    <cellStyle name="Normal 4 4 2 2 2 12" xfId="32489"/>
    <cellStyle name="Normal 4 4 2 2 2 2" xfId="15826"/>
    <cellStyle name="Normal 4 4 2 2 2 2 2" xfId="15827"/>
    <cellStyle name="Normal 4 4 2 2 2 2 2 2" xfId="32493"/>
    <cellStyle name="Normal 4 4 2 2 2 2 3" xfId="15828"/>
    <cellStyle name="Normal 4 4 2 2 2 2 3 2" xfId="32494"/>
    <cellStyle name="Normal 4 4 2 2 2 2 4" xfId="15829"/>
    <cellStyle name="Normal 4 4 2 2 2 2 4 2" xfId="32495"/>
    <cellStyle name="Normal 4 4 2 2 2 2 5" xfId="15830"/>
    <cellStyle name="Normal 4 4 2 2 2 2 5 2" xfId="32496"/>
    <cellStyle name="Normal 4 4 2 2 2 2 6" xfId="32492"/>
    <cellStyle name="Normal 4 4 2 2 2 3" xfId="15831"/>
    <cellStyle name="Normal 4 4 2 2 2 3 2" xfId="15832"/>
    <cellStyle name="Normal 4 4 2 2 2 3 2 2" xfId="32498"/>
    <cellStyle name="Normal 4 4 2 2 2 3 3" xfId="15833"/>
    <cellStyle name="Normal 4 4 2 2 2 3 3 2" xfId="32499"/>
    <cellStyle name="Normal 4 4 2 2 2 3 4" xfId="15834"/>
    <cellStyle name="Normal 4 4 2 2 2 3 4 2" xfId="32500"/>
    <cellStyle name="Normal 4 4 2 2 2 3 5" xfId="15835"/>
    <cellStyle name="Normal 4 4 2 2 2 3 5 2" xfId="32501"/>
    <cellStyle name="Normal 4 4 2 2 2 3 6" xfId="32497"/>
    <cellStyle name="Normal 4 4 2 2 2 4" xfId="15836"/>
    <cellStyle name="Normal 4 4 2 2 2 4 2" xfId="15837"/>
    <cellStyle name="Normal 4 4 2 2 2 4 2 2" xfId="32503"/>
    <cellStyle name="Normal 4 4 2 2 2 4 3" xfId="15838"/>
    <cellStyle name="Normal 4 4 2 2 2 4 3 2" xfId="32504"/>
    <cellStyle name="Normal 4 4 2 2 2 4 4" xfId="15839"/>
    <cellStyle name="Normal 4 4 2 2 2 4 4 2" xfId="32505"/>
    <cellStyle name="Normal 4 4 2 2 2 4 5" xfId="15840"/>
    <cellStyle name="Normal 4 4 2 2 2 4 5 2" xfId="32506"/>
    <cellStyle name="Normal 4 4 2 2 2 4 6" xfId="32502"/>
    <cellStyle name="Normal 4 4 2 2 2 5" xfId="15841"/>
    <cellStyle name="Normal 4 4 2 2 2 5 2" xfId="15842"/>
    <cellStyle name="Normal 4 4 2 2 2 5 2 2" xfId="32508"/>
    <cellStyle name="Normal 4 4 2 2 2 5 3" xfId="15843"/>
    <cellStyle name="Normal 4 4 2 2 2 5 3 2" xfId="32509"/>
    <cellStyle name="Normal 4 4 2 2 2 5 4" xfId="15844"/>
    <cellStyle name="Normal 4 4 2 2 2 5 4 2" xfId="32510"/>
    <cellStyle name="Normal 4 4 2 2 2 5 5" xfId="15845"/>
    <cellStyle name="Normal 4 4 2 2 2 5 5 2" xfId="32511"/>
    <cellStyle name="Normal 4 4 2 2 2 5 6" xfId="32507"/>
    <cellStyle name="Normal 4 4 2 2 2 6" xfId="15846"/>
    <cellStyle name="Normal 4 4 2 2 2 6 2" xfId="15847"/>
    <cellStyle name="Normal 4 4 2 2 2 6 2 2" xfId="32513"/>
    <cellStyle name="Normal 4 4 2 2 2 6 3" xfId="15848"/>
    <cellStyle name="Normal 4 4 2 2 2 6 3 2" xfId="32514"/>
    <cellStyle name="Normal 4 4 2 2 2 6 4" xfId="15849"/>
    <cellStyle name="Normal 4 4 2 2 2 6 4 2" xfId="32515"/>
    <cellStyle name="Normal 4 4 2 2 2 6 5" xfId="15850"/>
    <cellStyle name="Normal 4 4 2 2 2 6 5 2" xfId="32516"/>
    <cellStyle name="Normal 4 4 2 2 2 6 6" xfId="32512"/>
    <cellStyle name="Normal 4 4 2 2 2 7" xfId="15851"/>
    <cellStyle name="Normal 4 4 2 2 2 7 2" xfId="15852"/>
    <cellStyle name="Normal 4 4 2 2 2 7 2 2" xfId="32518"/>
    <cellStyle name="Normal 4 4 2 2 2 7 3" xfId="15853"/>
    <cellStyle name="Normal 4 4 2 2 2 7 3 2" xfId="32519"/>
    <cellStyle name="Normal 4 4 2 2 2 7 4" xfId="15854"/>
    <cellStyle name="Normal 4 4 2 2 2 7 4 2" xfId="32520"/>
    <cellStyle name="Normal 4 4 2 2 2 7 5" xfId="15855"/>
    <cellStyle name="Normal 4 4 2 2 2 7 5 2" xfId="32521"/>
    <cellStyle name="Normal 4 4 2 2 2 7 6" xfId="32517"/>
    <cellStyle name="Normal 4 4 2 2 2 8" xfId="15856"/>
    <cellStyle name="Normal 4 4 2 2 2 8 2" xfId="32522"/>
    <cellStyle name="Normal 4 4 2 2 2 9" xfId="15857"/>
    <cellStyle name="Normal 4 4 2 2 2 9 2" xfId="32523"/>
    <cellStyle name="Normal 4 4 2 2 20" xfId="15858"/>
    <cellStyle name="Normal 4 4 2 2 20 2" xfId="32524"/>
    <cellStyle name="Normal 4 4 2 2 21" xfId="40707"/>
    <cellStyle name="Normal 4 4 2 2 22" xfId="32450"/>
    <cellStyle name="Normal 4 4 2 2 3" xfId="15859"/>
    <cellStyle name="Normal 4 4 2 2 3 2" xfId="15860"/>
    <cellStyle name="Normal 4 4 2 2 3 2 2" xfId="15861"/>
    <cellStyle name="Normal 4 4 2 2 3 2 2 2" xfId="32527"/>
    <cellStyle name="Normal 4 4 2 2 3 2 3" xfId="15862"/>
    <cellStyle name="Normal 4 4 2 2 3 2 3 2" xfId="32528"/>
    <cellStyle name="Normal 4 4 2 2 3 2 4" xfId="15863"/>
    <cellStyle name="Normal 4 4 2 2 3 2 4 2" xfId="32529"/>
    <cellStyle name="Normal 4 4 2 2 3 2 5" xfId="15864"/>
    <cellStyle name="Normal 4 4 2 2 3 2 5 2" xfId="32530"/>
    <cellStyle name="Normal 4 4 2 2 3 2 6" xfId="32526"/>
    <cellStyle name="Normal 4 4 2 2 3 3" xfId="15865"/>
    <cellStyle name="Normal 4 4 2 2 3 3 2" xfId="32531"/>
    <cellStyle name="Normal 4 4 2 2 3 4" xfId="15866"/>
    <cellStyle name="Normal 4 4 2 2 3 4 2" xfId="32532"/>
    <cellStyle name="Normal 4 4 2 2 3 5" xfId="15867"/>
    <cellStyle name="Normal 4 4 2 2 3 5 2" xfId="32533"/>
    <cellStyle name="Normal 4 4 2 2 3 6" xfId="15868"/>
    <cellStyle name="Normal 4 4 2 2 3 6 2" xfId="32534"/>
    <cellStyle name="Normal 4 4 2 2 3 7" xfId="32525"/>
    <cellStyle name="Normal 4 4 2 2 4" xfId="15869"/>
    <cellStyle name="Normal 4 4 2 2 4 2" xfId="15870"/>
    <cellStyle name="Normal 4 4 2 2 4 2 2" xfId="15871"/>
    <cellStyle name="Normal 4 4 2 2 4 2 2 2" xfId="32537"/>
    <cellStyle name="Normal 4 4 2 2 4 2 3" xfId="15872"/>
    <cellStyle name="Normal 4 4 2 2 4 2 3 2" xfId="32538"/>
    <cellStyle name="Normal 4 4 2 2 4 2 4" xfId="15873"/>
    <cellStyle name="Normal 4 4 2 2 4 2 4 2" xfId="32539"/>
    <cellStyle name="Normal 4 4 2 2 4 2 5" xfId="15874"/>
    <cellStyle name="Normal 4 4 2 2 4 2 5 2" xfId="32540"/>
    <cellStyle name="Normal 4 4 2 2 4 2 6" xfId="32536"/>
    <cellStyle name="Normal 4 4 2 2 4 3" xfId="15875"/>
    <cellStyle name="Normal 4 4 2 2 4 3 2" xfId="32541"/>
    <cellStyle name="Normal 4 4 2 2 4 4" xfId="15876"/>
    <cellStyle name="Normal 4 4 2 2 4 4 2" xfId="32542"/>
    <cellStyle name="Normal 4 4 2 2 4 5" xfId="15877"/>
    <cellStyle name="Normal 4 4 2 2 4 5 2" xfId="32543"/>
    <cellStyle name="Normal 4 4 2 2 4 6" xfId="15878"/>
    <cellStyle name="Normal 4 4 2 2 4 6 2" xfId="32544"/>
    <cellStyle name="Normal 4 4 2 2 4 7" xfId="32535"/>
    <cellStyle name="Normal 4 4 2 2 5" xfId="15879"/>
    <cellStyle name="Normal 4 4 2 2 5 2" xfId="15880"/>
    <cellStyle name="Normal 4 4 2 2 5 2 2" xfId="32546"/>
    <cellStyle name="Normal 4 4 2 2 5 3" xfId="15881"/>
    <cellStyle name="Normal 4 4 2 2 5 3 2" xfId="32547"/>
    <cellStyle name="Normal 4 4 2 2 5 4" xfId="15882"/>
    <cellStyle name="Normal 4 4 2 2 5 4 2" xfId="32548"/>
    <cellStyle name="Normal 4 4 2 2 5 5" xfId="15883"/>
    <cellStyle name="Normal 4 4 2 2 5 5 2" xfId="32549"/>
    <cellStyle name="Normal 4 4 2 2 5 6" xfId="32545"/>
    <cellStyle name="Normal 4 4 2 2 6" xfId="15884"/>
    <cellStyle name="Normal 4 4 2 2 6 2" xfId="15885"/>
    <cellStyle name="Normal 4 4 2 2 6 2 2" xfId="32551"/>
    <cellStyle name="Normal 4 4 2 2 6 3" xfId="15886"/>
    <cellStyle name="Normal 4 4 2 2 6 3 2" xfId="32552"/>
    <cellStyle name="Normal 4 4 2 2 6 4" xfId="15887"/>
    <cellStyle name="Normal 4 4 2 2 6 4 2" xfId="32553"/>
    <cellStyle name="Normal 4 4 2 2 6 5" xfId="15888"/>
    <cellStyle name="Normal 4 4 2 2 6 5 2" xfId="32554"/>
    <cellStyle name="Normal 4 4 2 2 6 6" xfId="32550"/>
    <cellStyle name="Normal 4 4 2 2 7" xfId="15889"/>
    <cellStyle name="Normal 4 4 2 2 7 2" xfId="15890"/>
    <cellStyle name="Normal 4 4 2 2 7 2 2" xfId="32556"/>
    <cellStyle name="Normal 4 4 2 2 7 3" xfId="15891"/>
    <cellStyle name="Normal 4 4 2 2 7 3 2" xfId="32557"/>
    <cellStyle name="Normal 4 4 2 2 7 4" xfId="15892"/>
    <cellStyle name="Normal 4 4 2 2 7 4 2" xfId="32558"/>
    <cellStyle name="Normal 4 4 2 2 7 5" xfId="15893"/>
    <cellStyle name="Normal 4 4 2 2 7 5 2" xfId="32559"/>
    <cellStyle name="Normal 4 4 2 2 7 6" xfId="32555"/>
    <cellStyle name="Normal 4 4 2 2 8" xfId="15894"/>
    <cellStyle name="Normal 4 4 2 2 8 2" xfId="15895"/>
    <cellStyle name="Normal 4 4 2 2 8 2 2" xfId="32561"/>
    <cellStyle name="Normal 4 4 2 2 8 3" xfId="15896"/>
    <cellStyle name="Normal 4 4 2 2 8 3 2" xfId="32562"/>
    <cellStyle name="Normal 4 4 2 2 8 4" xfId="15897"/>
    <cellStyle name="Normal 4 4 2 2 8 4 2" xfId="32563"/>
    <cellStyle name="Normal 4 4 2 2 8 5" xfId="15898"/>
    <cellStyle name="Normal 4 4 2 2 8 5 2" xfId="32564"/>
    <cellStyle name="Normal 4 4 2 2 8 6" xfId="32560"/>
    <cellStyle name="Normal 4 4 2 2 9" xfId="15899"/>
    <cellStyle name="Normal 4 4 2 2 9 2" xfId="15900"/>
    <cellStyle name="Normal 4 4 2 2 9 2 2" xfId="32566"/>
    <cellStyle name="Normal 4 4 2 2 9 3" xfId="15901"/>
    <cellStyle name="Normal 4 4 2 2 9 3 2" xfId="32567"/>
    <cellStyle name="Normal 4 4 2 2 9 4" xfId="15902"/>
    <cellStyle name="Normal 4 4 2 2 9 4 2" xfId="32568"/>
    <cellStyle name="Normal 4 4 2 2 9 5" xfId="15903"/>
    <cellStyle name="Normal 4 4 2 2 9 5 2" xfId="32569"/>
    <cellStyle name="Normal 4 4 2 2 9 6" xfId="32565"/>
    <cellStyle name="Normal 4 4 2 20" xfId="15904"/>
    <cellStyle name="Normal 4 4 2 20 2" xfId="32570"/>
    <cellStyle name="Normal 4 4 2 21" xfId="15905"/>
    <cellStyle name="Normal 4 4 2 21 2" xfId="32571"/>
    <cellStyle name="Normal 4 4 2 22" xfId="15906"/>
    <cellStyle name="Normal 4 4 2 22 2" xfId="32572"/>
    <cellStyle name="Normal 4 4 2 23" xfId="15907"/>
    <cellStyle name="Normal 4 4 2 23 2" xfId="32573"/>
    <cellStyle name="Normal 4 4 2 24" xfId="40706"/>
    <cellStyle name="Normal 4 4 2 25" xfId="32399"/>
    <cellStyle name="Normal 4 4 2 3" xfId="15908"/>
    <cellStyle name="Normal 4 4 2 3 10" xfId="15909"/>
    <cellStyle name="Normal 4 4 2 3 10 2" xfId="15910"/>
    <cellStyle name="Normal 4 4 2 3 10 2 2" xfId="32576"/>
    <cellStyle name="Normal 4 4 2 3 10 3" xfId="15911"/>
    <cellStyle name="Normal 4 4 2 3 10 3 2" xfId="32577"/>
    <cellStyle name="Normal 4 4 2 3 10 4" xfId="15912"/>
    <cellStyle name="Normal 4 4 2 3 10 4 2" xfId="32578"/>
    <cellStyle name="Normal 4 4 2 3 10 5" xfId="15913"/>
    <cellStyle name="Normal 4 4 2 3 10 5 2" xfId="32579"/>
    <cellStyle name="Normal 4 4 2 3 10 6" xfId="32575"/>
    <cellStyle name="Normal 4 4 2 3 11" xfId="15914"/>
    <cellStyle name="Normal 4 4 2 3 11 2" xfId="15915"/>
    <cellStyle name="Normal 4 4 2 3 11 2 2" xfId="32581"/>
    <cellStyle name="Normal 4 4 2 3 11 3" xfId="15916"/>
    <cellStyle name="Normal 4 4 2 3 11 3 2" xfId="32582"/>
    <cellStyle name="Normal 4 4 2 3 11 4" xfId="15917"/>
    <cellStyle name="Normal 4 4 2 3 11 4 2" xfId="32583"/>
    <cellStyle name="Normal 4 4 2 3 11 5" xfId="15918"/>
    <cellStyle name="Normal 4 4 2 3 11 5 2" xfId="32584"/>
    <cellStyle name="Normal 4 4 2 3 11 6" xfId="32580"/>
    <cellStyle name="Normal 4 4 2 3 12" xfId="15919"/>
    <cellStyle name="Normal 4 4 2 3 12 2" xfId="15920"/>
    <cellStyle name="Normal 4 4 2 3 12 2 2" xfId="32586"/>
    <cellStyle name="Normal 4 4 2 3 12 3" xfId="15921"/>
    <cellStyle name="Normal 4 4 2 3 12 3 2" xfId="32587"/>
    <cellStyle name="Normal 4 4 2 3 12 4" xfId="15922"/>
    <cellStyle name="Normal 4 4 2 3 12 4 2" xfId="32588"/>
    <cellStyle name="Normal 4 4 2 3 12 5" xfId="15923"/>
    <cellStyle name="Normal 4 4 2 3 12 5 2" xfId="32589"/>
    <cellStyle name="Normal 4 4 2 3 12 6" xfId="32585"/>
    <cellStyle name="Normal 4 4 2 3 13" xfId="15924"/>
    <cellStyle name="Normal 4 4 2 3 13 2" xfId="15925"/>
    <cellStyle name="Normal 4 4 2 3 13 2 2" xfId="32591"/>
    <cellStyle name="Normal 4 4 2 3 13 3" xfId="15926"/>
    <cellStyle name="Normal 4 4 2 3 13 3 2" xfId="32592"/>
    <cellStyle name="Normal 4 4 2 3 13 4" xfId="15927"/>
    <cellStyle name="Normal 4 4 2 3 13 4 2" xfId="32593"/>
    <cellStyle name="Normal 4 4 2 3 13 5" xfId="15928"/>
    <cellStyle name="Normal 4 4 2 3 13 5 2" xfId="32594"/>
    <cellStyle name="Normal 4 4 2 3 13 6" xfId="32590"/>
    <cellStyle name="Normal 4 4 2 3 14" xfId="15929"/>
    <cellStyle name="Normal 4 4 2 3 14 2" xfId="15930"/>
    <cellStyle name="Normal 4 4 2 3 14 2 2" xfId="32596"/>
    <cellStyle name="Normal 4 4 2 3 14 3" xfId="15931"/>
    <cellStyle name="Normal 4 4 2 3 14 3 2" xfId="32597"/>
    <cellStyle name="Normal 4 4 2 3 14 4" xfId="15932"/>
    <cellStyle name="Normal 4 4 2 3 14 4 2" xfId="32598"/>
    <cellStyle name="Normal 4 4 2 3 14 5" xfId="15933"/>
    <cellStyle name="Normal 4 4 2 3 14 5 2" xfId="32599"/>
    <cellStyle name="Normal 4 4 2 3 14 6" xfId="32595"/>
    <cellStyle name="Normal 4 4 2 3 15" xfId="15934"/>
    <cellStyle name="Normal 4 4 2 3 15 2" xfId="15935"/>
    <cellStyle name="Normal 4 4 2 3 15 2 2" xfId="32601"/>
    <cellStyle name="Normal 4 4 2 3 15 3" xfId="15936"/>
    <cellStyle name="Normal 4 4 2 3 15 3 2" xfId="32602"/>
    <cellStyle name="Normal 4 4 2 3 15 4" xfId="15937"/>
    <cellStyle name="Normal 4 4 2 3 15 4 2" xfId="32603"/>
    <cellStyle name="Normal 4 4 2 3 15 5" xfId="15938"/>
    <cellStyle name="Normal 4 4 2 3 15 5 2" xfId="32604"/>
    <cellStyle name="Normal 4 4 2 3 15 6" xfId="32600"/>
    <cellStyle name="Normal 4 4 2 3 16" xfId="15939"/>
    <cellStyle name="Normal 4 4 2 3 16 2" xfId="15940"/>
    <cellStyle name="Normal 4 4 2 3 16 2 2" xfId="32606"/>
    <cellStyle name="Normal 4 4 2 3 16 3" xfId="15941"/>
    <cellStyle name="Normal 4 4 2 3 16 3 2" xfId="32607"/>
    <cellStyle name="Normal 4 4 2 3 16 4" xfId="15942"/>
    <cellStyle name="Normal 4 4 2 3 16 4 2" xfId="32608"/>
    <cellStyle name="Normal 4 4 2 3 16 5" xfId="15943"/>
    <cellStyle name="Normal 4 4 2 3 16 5 2" xfId="32609"/>
    <cellStyle name="Normal 4 4 2 3 16 6" xfId="32605"/>
    <cellStyle name="Normal 4 4 2 3 17" xfId="15944"/>
    <cellStyle name="Normal 4 4 2 3 17 2" xfId="32610"/>
    <cellStyle name="Normal 4 4 2 3 18" xfId="15945"/>
    <cellStyle name="Normal 4 4 2 3 18 2" xfId="32611"/>
    <cellStyle name="Normal 4 4 2 3 19" xfId="15946"/>
    <cellStyle name="Normal 4 4 2 3 19 2" xfId="32612"/>
    <cellStyle name="Normal 4 4 2 3 2" xfId="15947"/>
    <cellStyle name="Normal 4 4 2 3 2 10" xfId="15948"/>
    <cellStyle name="Normal 4 4 2 3 2 10 2" xfId="32614"/>
    <cellStyle name="Normal 4 4 2 3 2 11" xfId="15949"/>
    <cellStyle name="Normal 4 4 2 3 2 11 2" xfId="32615"/>
    <cellStyle name="Normal 4 4 2 3 2 12" xfId="32613"/>
    <cellStyle name="Normal 4 4 2 3 2 2" xfId="15950"/>
    <cellStyle name="Normal 4 4 2 3 2 2 2" xfId="15951"/>
    <cellStyle name="Normal 4 4 2 3 2 2 2 2" xfId="32617"/>
    <cellStyle name="Normal 4 4 2 3 2 2 3" xfId="15952"/>
    <cellStyle name="Normal 4 4 2 3 2 2 3 2" xfId="32618"/>
    <cellStyle name="Normal 4 4 2 3 2 2 4" xfId="15953"/>
    <cellStyle name="Normal 4 4 2 3 2 2 4 2" xfId="32619"/>
    <cellStyle name="Normal 4 4 2 3 2 2 5" xfId="15954"/>
    <cellStyle name="Normal 4 4 2 3 2 2 5 2" xfId="32620"/>
    <cellStyle name="Normal 4 4 2 3 2 2 6" xfId="32616"/>
    <cellStyle name="Normal 4 4 2 3 2 3" xfId="15955"/>
    <cellStyle name="Normal 4 4 2 3 2 3 2" xfId="15956"/>
    <cellStyle name="Normal 4 4 2 3 2 3 2 2" xfId="32622"/>
    <cellStyle name="Normal 4 4 2 3 2 3 3" xfId="15957"/>
    <cellStyle name="Normal 4 4 2 3 2 3 3 2" xfId="32623"/>
    <cellStyle name="Normal 4 4 2 3 2 3 4" xfId="15958"/>
    <cellStyle name="Normal 4 4 2 3 2 3 4 2" xfId="32624"/>
    <cellStyle name="Normal 4 4 2 3 2 3 5" xfId="15959"/>
    <cellStyle name="Normal 4 4 2 3 2 3 5 2" xfId="32625"/>
    <cellStyle name="Normal 4 4 2 3 2 3 6" xfId="32621"/>
    <cellStyle name="Normal 4 4 2 3 2 4" xfId="15960"/>
    <cellStyle name="Normal 4 4 2 3 2 4 2" xfId="15961"/>
    <cellStyle name="Normal 4 4 2 3 2 4 2 2" xfId="32627"/>
    <cellStyle name="Normal 4 4 2 3 2 4 3" xfId="15962"/>
    <cellStyle name="Normal 4 4 2 3 2 4 3 2" xfId="32628"/>
    <cellStyle name="Normal 4 4 2 3 2 4 4" xfId="15963"/>
    <cellStyle name="Normal 4 4 2 3 2 4 4 2" xfId="32629"/>
    <cellStyle name="Normal 4 4 2 3 2 4 5" xfId="15964"/>
    <cellStyle name="Normal 4 4 2 3 2 4 5 2" xfId="32630"/>
    <cellStyle name="Normal 4 4 2 3 2 4 6" xfId="32626"/>
    <cellStyle name="Normal 4 4 2 3 2 5" xfId="15965"/>
    <cellStyle name="Normal 4 4 2 3 2 5 2" xfId="15966"/>
    <cellStyle name="Normal 4 4 2 3 2 5 2 2" xfId="32632"/>
    <cellStyle name="Normal 4 4 2 3 2 5 3" xfId="15967"/>
    <cellStyle name="Normal 4 4 2 3 2 5 3 2" xfId="32633"/>
    <cellStyle name="Normal 4 4 2 3 2 5 4" xfId="15968"/>
    <cellStyle name="Normal 4 4 2 3 2 5 4 2" xfId="32634"/>
    <cellStyle name="Normal 4 4 2 3 2 5 5" xfId="15969"/>
    <cellStyle name="Normal 4 4 2 3 2 5 5 2" xfId="32635"/>
    <cellStyle name="Normal 4 4 2 3 2 5 6" xfId="32631"/>
    <cellStyle name="Normal 4 4 2 3 2 6" xfId="15970"/>
    <cellStyle name="Normal 4 4 2 3 2 6 2" xfId="15971"/>
    <cellStyle name="Normal 4 4 2 3 2 6 2 2" xfId="32637"/>
    <cellStyle name="Normal 4 4 2 3 2 6 3" xfId="15972"/>
    <cellStyle name="Normal 4 4 2 3 2 6 3 2" xfId="32638"/>
    <cellStyle name="Normal 4 4 2 3 2 6 4" xfId="15973"/>
    <cellStyle name="Normal 4 4 2 3 2 6 4 2" xfId="32639"/>
    <cellStyle name="Normal 4 4 2 3 2 6 5" xfId="15974"/>
    <cellStyle name="Normal 4 4 2 3 2 6 5 2" xfId="32640"/>
    <cellStyle name="Normal 4 4 2 3 2 6 6" xfId="32636"/>
    <cellStyle name="Normal 4 4 2 3 2 7" xfId="15975"/>
    <cellStyle name="Normal 4 4 2 3 2 7 2" xfId="15976"/>
    <cellStyle name="Normal 4 4 2 3 2 7 2 2" xfId="32642"/>
    <cellStyle name="Normal 4 4 2 3 2 7 3" xfId="15977"/>
    <cellStyle name="Normal 4 4 2 3 2 7 3 2" xfId="32643"/>
    <cellStyle name="Normal 4 4 2 3 2 7 4" xfId="15978"/>
    <cellStyle name="Normal 4 4 2 3 2 7 4 2" xfId="32644"/>
    <cellStyle name="Normal 4 4 2 3 2 7 5" xfId="15979"/>
    <cellStyle name="Normal 4 4 2 3 2 7 5 2" xfId="32645"/>
    <cellStyle name="Normal 4 4 2 3 2 7 6" xfId="32641"/>
    <cellStyle name="Normal 4 4 2 3 2 8" xfId="15980"/>
    <cellStyle name="Normal 4 4 2 3 2 8 2" xfId="32646"/>
    <cellStyle name="Normal 4 4 2 3 2 9" xfId="15981"/>
    <cellStyle name="Normal 4 4 2 3 2 9 2" xfId="32647"/>
    <cellStyle name="Normal 4 4 2 3 20" xfId="15982"/>
    <cellStyle name="Normal 4 4 2 3 20 2" xfId="32648"/>
    <cellStyle name="Normal 4 4 2 3 21" xfId="32574"/>
    <cellStyle name="Normal 4 4 2 3 3" xfId="15983"/>
    <cellStyle name="Normal 4 4 2 3 3 2" xfId="15984"/>
    <cellStyle name="Normal 4 4 2 3 3 2 2" xfId="15985"/>
    <cellStyle name="Normal 4 4 2 3 3 2 2 2" xfId="32651"/>
    <cellStyle name="Normal 4 4 2 3 3 2 3" xfId="15986"/>
    <cellStyle name="Normal 4 4 2 3 3 2 3 2" xfId="32652"/>
    <cellStyle name="Normal 4 4 2 3 3 2 4" xfId="15987"/>
    <cellStyle name="Normal 4 4 2 3 3 2 4 2" xfId="32653"/>
    <cellStyle name="Normal 4 4 2 3 3 2 5" xfId="15988"/>
    <cellStyle name="Normal 4 4 2 3 3 2 5 2" xfId="32654"/>
    <cellStyle name="Normal 4 4 2 3 3 2 6" xfId="32650"/>
    <cellStyle name="Normal 4 4 2 3 3 3" xfId="15989"/>
    <cellStyle name="Normal 4 4 2 3 3 3 2" xfId="32655"/>
    <cellStyle name="Normal 4 4 2 3 3 4" xfId="15990"/>
    <cellStyle name="Normal 4 4 2 3 3 4 2" xfId="32656"/>
    <cellStyle name="Normal 4 4 2 3 3 5" xfId="15991"/>
    <cellStyle name="Normal 4 4 2 3 3 5 2" xfId="32657"/>
    <cellStyle name="Normal 4 4 2 3 3 6" xfId="15992"/>
    <cellStyle name="Normal 4 4 2 3 3 6 2" xfId="32658"/>
    <cellStyle name="Normal 4 4 2 3 3 7" xfId="32649"/>
    <cellStyle name="Normal 4 4 2 3 4" xfId="15993"/>
    <cellStyle name="Normal 4 4 2 3 4 2" xfId="15994"/>
    <cellStyle name="Normal 4 4 2 3 4 2 2" xfId="15995"/>
    <cellStyle name="Normal 4 4 2 3 4 2 2 2" xfId="32661"/>
    <cellStyle name="Normal 4 4 2 3 4 2 3" xfId="15996"/>
    <cellStyle name="Normal 4 4 2 3 4 2 3 2" xfId="32662"/>
    <cellStyle name="Normal 4 4 2 3 4 2 4" xfId="15997"/>
    <cellStyle name="Normal 4 4 2 3 4 2 4 2" xfId="32663"/>
    <cellStyle name="Normal 4 4 2 3 4 2 5" xfId="15998"/>
    <cellStyle name="Normal 4 4 2 3 4 2 5 2" xfId="32664"/>
    <cellStyle name="Normal 4 4 2 3 4 2 6" xfId="32660"/>
    <cellStyle name="Normal 4 4 2 3 4 3" xfId="15999"/>
    <cellStyle name="Normal 4 4 2 3 4 3 2" xfId="32665"/>
    <cellStyle name="Normal 4 4 2 3 4 4" xfId="16000"/>
    <cellStyle name="Normal 4 4 2 3 4 4 2" xfId="32666"/>
    <cellStyle name="Normal 4 4 2 3 4 5" xfId="16001"/>
    <cellStyle name="Normal 4 4 2 3 4 5 2" xfId="32667"/>
    <cellStyle name="Normal 4 4 2 3 4 6" xfId="16002"/>
    <cellStyle name="Normal 4 4 2 3 4 6 2" xfId="32668"/>
    <cellStyle name="Normal 4 4 2 3 4 7" xfId="32659"/>
    <cellStyle name="Normal 4 4 2 3 5" xfId="16003"/>
    <cellStyle name="Normal 4 4 2 3 5 2" xfId="16004"/>
    <cellStyle name="Normal 4 4 2 3 5 2 2" xfId="32670"/>
    <cellStyle name="Normal 4 4 2 3 5 3" xfId="16005"/>
    <cellStyle name="Normal 4 4 2 3 5 3 2" xfId="32671"/>
    <cellStyle name="Normal 4 4 2 3 5 4" xfId="16006"/>
    <cellStyle name="Normal 4 4 2 3 5 4 2" xfId="32672"/>
    <cellStyle name="Normal 4 4 2 3 5 5" xfId="16007"/>
    <cellStyle name="Normal 4 4 2 3 5 5 2" xfId="32673"/>
    <cellStyle name="Normal 4 4 2 3 5 6" xfId="32669"/>
    <cellStyle name="Normal 4 4 2 3 6" xfId="16008"/>
    <cellStyle name="Normal 4 4 2 3 6 2" xfId="16009"/>
    <cellStyle name="Normal 4 4 2 3 6 2 2" xfId="32675"/>
    <cellStyle name="Normal 4 4 2 3 6 3" xfId="16010"/>
    <cellStyle name="Normal 4 4 2 3 6 3 2" xfId="32676"/>
    <cellStyle name="Normal 4 4 2 3 6 4" xfId="16011"/>
    <cellStyle name="Normal 4 4 2 3 6 4 2" xfId="32677"/>
    <cellStyle name="Normal 4 4 2 3 6 5" xfId="16012"/>
    <cellStyle name="Normal 4 4 2 3 6 5 2" xfId="32678"/>
    <cellStyle name="Normal 4 4 2 3 6 6" xfId="32674"/>
    <cellStyle name="Normal 4 4 2 3 7" xfId="16013"/>
    <cellStyle name="Normal 4 4 2 3 7 2" xfId="16014"/>
    <cellStyle name="Normal 4 4 2 3 7 2 2" xfId="32680"/>
    <cellStyle name="Normal 4 4 2 3 7 3" xfId="16015"/>
    <cellStyle name="Normal 4 4 2 3 7 3 2" xfId="32681"/>
    <cellStyle name="Normal 4 4 2 3 7 4" xfId="16016"/>
    <cellStyle name="Normal 4 4 2 3 7 4 2" xfId="32682"/>
    <cellStyle name="Normal 4 4 2 3 7 5" xfId="16017"/>
    <cellStyle name="Normal 4 4 2 3 7 5 2" xfId="32683"/>
    <cellStyle name="Normal 4 4 2 3 7 6" xfId="32679"/>
    <cellStyle name="Normal 4 4 2 3 8" xfId="16018"/>
    <cellStyle name="Normal 4 4 2 3 8 2" xfId="16019"/>
    <cellStyle name="Normal 4 4 2 3 8 2 2" xfId="32685"/>
    <cellStyle name="Normal 4 4 2 3 8 3" xfId="16020"/>
    <cellStyle name="Normal 4 4 2 3 8 3 2" xfId="32686"/>
    <cellStyle name="Normal 4 4 2 3 8 4" xfId="16021"/>
    <cellStyle name="Normal 4 4 2 3 8 4 2" xfId="32687"/>
    <cellStyle name="Normal 4 4 2 3 8 5" xfId="16022"/>
    <cellStyle name="Normal 4 4 2 3 8 5 2" xfId="32688"/>
    <cellStyle name="Normal 4 4 2 3 8 6" xfId="32684"/>
    <cellStyle name="Normal 4 4 2 3 9" xfId="16023"/>
    <cellStyle name="Normal 4 4 2 3 9 2" xfId="16024"/>
    <cellStyle name="Normal 4 4 2 3 9 2 2" xfId="32690"/>
    <cellStyle name="Normal 4 4 2 3 9 3" xfId="16025"/>
    <cellStyle name="Normal 4 4 2 3 9 3 2" xfId="32691"/>
    <cellStyle name="Normal 4 4 2 3 9 4" xfId="16026"/>
    <cellStyle name="Normal 4 4 2 3 9 4 2" xfId="32692"/>
    <cellStyle name="Normal 4 4 2 3 9 5" xfId="16027"/>
    <cellStyle name="Normal 4 4 2 3 9 5 2" xfId="32693"/>
    <cellStyle name="Normal 4 4 2 3 9 6" xfId="32689"/>
    <cellStyle name="Normal 4 4 2 4" xfId="16028"/>
    <cellStyle name="Normal 4 4 2 4 10" xfId="16029"/>
    <cellStyle name="Normal 4 4 2 4 10 2" xfId="16030"/>
    <cellStyle name="Normal 4 4 2 4 10 2 2" xfId="32696"/>
    <cellStyle name="Normal 4 4 2 4 10 3" xfId="16031"/>
    <cellStyle name="Normal 4 4 2 4 10 3 2" xfId="32697"/>
    <cellStyle name="Normal 4 4 2 4 10 4" xfId="16032"/>
    <cellStyle name="Normal 4 4 2 4 10 4 2" xfId="32698"/>
    <cellStyle name="Normal 4 4 2 4 10 5" xfId="16033"/>
    <cellStyle name="Normal 4 4 2 4 10 5 2" xfId="32699"/>
    <cellStyle name="Normal 4 4 2 4 10 6" xfId="32695"/>
    <cellStyle name="Normal 4 4 2 4 11" xfId="16034"/>
    <cellStyle name="Normal 4 4 2 4 11 2" xfId="16035"/>
    <cellStyle name="Normal 4 4 2 4 11 2 2" xfId="32701"/>
    <cellStyle name="Normal 4 4 2 4 11 3" xfId="16036"/>
    <cellStyle name="Normal 4 4 2 4 11 3 2" xfId="32702"/>
    <cellStyle name="Normal 4 4 2 4 11 4" xfId="16037"/>
    <cellStyle name="Normal 4 4 2 4 11 4 2" xfId="32703"/>
    <cellStyle name="Normal 4 4 2 4 11 5" xfId="16038"/>
    <cellStyle name="Normal 4 4 2 4 11 5 2" xfId="32704"/>
    <cellStyle name="Normal 4 4 2 4 11 6" xfId="32700"/>
    <cellStyle name="Normal 4 4 2 4 12" xfId="16039"/>
    <cellStyle name="Normal 4 4 2 4 12 2" xfId="16040"/>
    <cellStyle name="Normal 4 4 2 4 12 2 2" xfId="32706"/>
    <cellStyle name="Normal 4 4 2 4 12 3" xfId="16041"/>
    <cellStyle name="Normal 4 4 2 4 12 3 2" xfId="32707"/>
    <cellStyle name="Normal 4 4 2 4 12 4" xfId="16042"/>
    <cellStyle name="Normal 4 4 2 4 12 4 2" xfId="32708"/>
    <cellStyle name="Normal 4 4 2 4 12 5" xfId="16043"/>
    <cellStyle name="Normal 4 4 2 4 12 5 2" xfId="32709"/>
    <cellStyle name="Normal 4 4 2 4 12 6" xfId="32705"/>
    <cellStyle name="Normal 4 4 2 4 13" xfId="16044"/>
    <cellStyle name="Normal 4 4 2 4 13 2" xfId="16045"/>
    <cellStyle name="Normal 4 4 2 4 13 2 2" xfId="32711"/>
    <cellStyle name="Normal 4 4 2 4 13 3" xfId="16046"/>
    <cellStyle name="Normal 4 4 2 4 13 3 2" xfId="32712"/>
    <cellStyle name="Normal 4 4 2 4 13 4" xfId="16047"/>
    <cellStyle name="Normal 4 4 2 4 13 4 2" xfId="32713"/>
    <cellStyle name="Normal 4 4 2 4 13 5" xfId="16048"/>
    <cellStyle name="Normal 4 4 2 4 13 5 2" xfId="32714"/>
    <cellStyle name="Normal 4 4 2 4 13 6" xfId="32710"/>
    <cellStyle name="Normal 4 4 2 4 14" xfId="16049"/>
    <cellStyle name="Normal 4 4 2 4 14 2" xfId="16050"/>
    <cellStyle name="Normal 4 4 2 4 14 2 2" xfId="32716"/>
    <cellStyle name="Normal 4 4 2 4 14 3" xfId="16051"/>
    <cellStyle name="Normal 4 4 2 4 14 3 2" xfId="32717"/>
    <cellStyle name="Normal 4 4 2 4 14 4" xfId="16052"/>
    <cellStyle name="Normal 4 4 2 4 14 4 2" xfId="32718"/>
    <cellStyle name="Normal 4 4 2 4 14 5" xfId="16053"/>
    <cellStyle name="Normal 4 4 2 4 14 5 2" xfId="32719"/>
    <cellStyle name="Normal 4 4 2 4 14 6" xfId="32715"/>
    <cellStyle name="Normal 4 4 2 4 15" xfId="16054"/>
    <cellStyle name="Normal 4 4 2 4 15 2" xfId="16055"/>
    <cellStyle name="Normal 4 4 2 4 15 2 2" xfId="32721"/>
    <cellStyle name="Normal 4 4 2 4 15 3" xfId="16056"/>
    <cellStyle name="Normal 4 4 2 4 15 3 2" xfId="32722"/>
    <cellStyle name="Normal 4 4 2 4 15 4" xfId="16057"/>
    <cellStyle name="Normal 4 4 2 4 15 4 2" xfId="32723"/>
    <cellStyle name="Normal 4 4 2 4 15 5" xfId="16058"/>
    <cellStyle name="Normal 4 4 2 4 15 5 2" xfId="32724"/>
    <cellStyle name="Normal 4 4 2 4 15 6" xfId="32720"/>
    <cellStyle name="Normal 4 4 2 4 16" xfId="16059"/>
    <cellStyle name="Normal 4 4 2 4 16 2" xfId="16060"/>
    <cellStyle name="Normal 4 4 2 4 16 2 2" xfId="32726"/>
    <cellStyle name="Normal 4 4 2 4 16 3" xfId="16061"/>
    <cellStyle name="Normal 4 4 2 4 16 3 2" xfId="32727"/>
    <cellStyle name="Normal 4 4 2 4 16 4" xfId="16062"/>
    <cellStyle name="Normal 4 4 2 4 16 4 2" xfId="32728"/>
    <cellStyle name="Normal 4 4 2 4 16 5" xfId="16063"/>
    <cellStyle name="Normal 4 4 2 4 16 5 2" xfId="32729"/>
    <cellStyle name="Normal 4 4 2 4 16 6" xfId="32725"/>
    <cellStyle name="Normal 4 4 2 4 17" xfId="16064"/>
    <cellStyle name="Normal 4 4 2 4 17 2" xfId="32730"/>
    <cellStyle name="Normal 4 4 2 4 18" xfId="16065"/>
    <cellStyle name="Normal 4 4 2 4 18 2" xfId="32731"/>
    <cellStyle name="Normal 4 4 2 4 19" xfId="16066"/>
    <cellStyle name="Normal 4 4 2 4 19 2" xfId="32732"/>
    <cellStyle name="Normal 4 4 2 4 2" xfId="16067"/>
    <cellStyle name="Normal 4 4 2 4 2 10" xfId="16068"/>
    <cellStyle name="Normal 4 4 2 4 2 10 2" xfId="32734"/>
    <cellStyle name="Normal 4 4 2 4 2 11" xfId="16069"/>
    <cellStyle name="Normal 4 4 2 4 2 11 2" xfId="32735"/>
    <cellStyle name="Normal 4 4 2 4 2 12" xfId="32733"/>
    <cellStyle name="Normal 4 4 2 4 2 2" xfId="16070"/>
    <cellStyle name="Normal 4 4 2 4 2 2 2" xfId="16071"/>
    <cellStyle name="Normal 4 4 2 4 2 2 2 2" xfId="32737"/>
    <cellStyle name="Normal 4 4 2 4 2 2 3" xfId="16072"/>
    <cellStyle name="Normal 4 4 2 4 2 2 3 2" xfId="32738"/>
    <cellStyle name="Normal 4 4 2 4 2 2 4" xfId="16073"/>
    <cellStyle name="Normal 4 4 2 4 2 2 4 2" xfId="32739"/>
    <cellStyle name="Normal 4 4 2 4 2 2 5" xfId="16074"/>
    <cellStyle name="Normal 4 4 2 4 2 2 5 2" xfId="32740"/>
    <cellStyle name="Normal 4 4 2 4 2 2 6" xfId="32736"/>
    <cellStyle name="Normal 4 4 2 4 2 3" xfId="16075"/>
    <cellStyle name="Normal 4 4 2 4 2 3 2" xfId="16076"/>
    <cellStyle name="Normal 4 4 2 4 2 3 2 2" xfId="32742"/>
    <cellStyle name="Normal 4 4 2 4 2 3 3" xfId="16077"/>
    <cellStyle name="Normal 4 4 2 4 2 3 3 2" xfId="32743"/>
    <cellStyle name="Normal 4 4 2 4 2 3 4" xfId="16078"/>
    <cellStyle name="Normal 4 4 2 4 2 3 4 2" xfId="32744"/>
    <cellStyle name="Normal 4 4 2 4 2 3 5" xfId="16079"/>
    <cellStyle name="Normal 4 4 2 4 2 3 5 2" xfId="32745"/>
    <cellStyle name="Normal 4 4 2 4 2 3 6" xfId="32741"/>
    <cellStyle name="Normal 4 4 2 4 2 4" xfId="16080"/>
    <cellStyle name="Normal 4 4 2 4 2 4 2" xfId="16081"/>
    <cellStyle name="Normal 4 4 2 4 2 4 2 2" xfId="32747"/>
    <cellStyle name="Normal 4 4 2 4 2 4 3" xfId="16082"/>
    <cellStyle name="Normal 4 4 2 4 2 4 3 2" xfId="32748"/>
    <cellStyle name="Normal 4 4 2 4 2 4 4" xfId="16083"/>
    <cellStyle name="Normal 4 4 2 4 2 4 4 2" xfId="32749"/>
    <cellStyle name="Normal 4 4 2 4 2 4 5" xfId="16084"/>
    <cellStyle name="Normal 4 4 2 4 2 4 5 2" xfId="32750"/>
    <cellStyle name="Normal 4 4 2 4 2 4 6" xfId="32746"/>
    <cellStyle name="Normal 4 4 2 4 2 5" xfId="16085"/>
    <cellStyle name="Normal 4 4 2 4 2 5 2" xfId="16086"/>
    <cellStyle name="Normal 4 4 2 4 2 5 2 2" xfId="32752"/>
    <cellStyle name="Normal 4 4 2 4 2 5 3" xfId="16087"/>
    <cellStyle name="Normal 4 4 2 4 2 5 3 2" xfId="32753"/>
    <cellStyle name="Normal 4 4 2 4 2 5 4" xfId="16088"/>
    <cellStyle name="Normal 4 4 2 4 2 5 4 2" xfId="32754"/>
    <cellStyle name="Normal 4 4 2 4 2 5 5" xfId="16089"/>
    <cellStyle name="Normal 4 4 2 4 2 5 5 2" xfId="32755"/>
    <cellStyle name="Normal 4 4 2 4 2 5 6" xfId="32751"/>
    <cellStyle name="Normal 4 4 2 4 2 6" xfId="16090"/>
    <cellStyle name="Normal 4 4 2 4 2 6 2" xfId="16091"/>
    <cellStyle name="Normal 4 4 2 4 2 6 2 2" xfId="32757"/>
    <cellStyle name="Normal 4 4 2 4 2 6 3" xfId="16092"/>
    <cellStyle name="Normal 4 4 2 4 2 6 3 2" xfId="32758"/>
    <cellStyle name="Normal 4 4 2 4 2 6 4" xfId="16093"/>
    <cellStyle name="Normal 4 4 2 4 2 6 4 2" xfId="32759"/>
    <cellStyle name="Normal 4 4 2 4 2 6 5" xfId="16094"/>
    <cellStyle name="Normal 4 4 2 4 2 6 5 2" xfId="32760"/>
    <cellStyle name="Normal 4 4 2 4 2 6 6" xfId="32756"/>
    <cellStyle name="Normal 4 4 2 4 2 7" xfId="16095"/>
    <cellStyle name="Normal 4 4 2 4 2 7 2" xfId="16096"/>
    <cellStyle name="Normal 4 4 2 4 2 7 2 2" xfId="32762"/>
    <cellStyle name="Normal 4 4 2 4 2 7 3" xfId="16097"/>
    <cellStyle name="Normal 4 4 2 4 2 7 3 2" xfId="32763"/>
    <cellStyle name="Normal 4 4 2 4 2 7 4" xfId="16098"/>
    <cellStyle name="Normal 4 4 2 4 2 7 4 2" xfId="32764"/>
    <cellStyle name="Normal 4 4 2 4 2 7 5" xfId="16099"/>
    <cellStyle name="Normal 4 4 2 4 2 7 5 2" xfId="32765"/>
    <cellStyle name="Normal 4 4 2 4 2 7 6" xfId="32761"/>
    <cellStyle name="Normal 4 4 2 4 2 8" xfId="16100"/>
    <cellStyle name="Normal 4 4 2 4 2 8 2" xfId="32766"/>
    <cellStyle name="Normal 4 4 2 4 2 9" xfId="16101"/>
    <cellStyle name="Normal 4 4 2 4 2 9 2" xfId="32767"/>
    <cellStyle name="Normal 4 4 2 4 20" xfId="16102"/>
    <cellStyle name="Normal 4 4 2 4 20 2" xfId="32768"/>
    <cellStyle name="Normal 4 4 2 4 21" xfId="32694"/>
    <cellStyle name="Normal 4 4 2 4 3" xfId="16103"/>
    <cellStyle name="Normal 4 4 2 4 3 2" xfId="16104"/>
    <cellStyle name="Normal 4 4 2 4 3 2 2" xfId="16105"/>
    <cellStyle name="Normal 4 4 2 4 3 2 2 2" xfId="32771"/>
    <cellStyle name="Normal 4 4 2 4 3 2 3" xfId="16106"/>
    <cellStyle name="Normal 4 4 2 4 3 2 3 2" xfId="32772"/>
    <cellStyle name="Normal 4 4 2 4 3 2 4" xfId="16107"/>
    <cellStyle name="Normal 4 4 2 4 3 2 4 2" xfId="32773"/>
    <cellStyle name="Normal 4 4 2 4 3 2 5" xfId="16108"/>
    <cellStyle name="Normal 4 4 2 4 3 2 5 2" xfId="32774"/>
    <cellStyle name="Normal 4 4 2 4 3 2 6" xfId="32770"/>
    <cellStyle name="Normal 4 4 2 4 3 3" xfId="16109"/>
    <cellStyle name="Normal 4 4 2 4 3 3 2" xfId="32775"/>
    <cellStyle name="Normal 4 4 2 4 3 4" xfId="16110"/>
    <cellStyle name="Normal 4 4 2 4 3 4 2" xfId="32776"/>
    <cellStyle name="Normal 4 4 2 4 3 5" xfId="16111"/>
    <cellStyle name="Normal 4 4 2 4 3 5 2" xfId="32777"/>
    <cellStyle name="Normal 4 4 2 4 3 6" xfId="16112"/>
    <cellStyle name="Normal 4 4 2 4 3 6 2" xfId="32778"/>
    <cellStyle name="Normal 4 4 2 4 3 7" xfId="32769"/>
    <cellStyle name="Normal 4 4 2 4 4" xfId="16113"/>
    <cellStyle name="Normal 4 4 2 4 4 2" xfId="16114"/>
    <cellStyle name="Normal 4 4 2 4 4 2 2" xfId="16115"/>
    <cellStyle name="Normal 4 4 2 4 4 2 2 2" xfId="32781"/>
    <cellStyle name="Normal 4 4 2 4 4 2 3" xfId="16116"/>
    <cellStyle name="Normal 4 4 2 4 4 2 3 2" xfId="32782"/>
    <cellStyle name="Normal 4 4 2 4 4 2 4" xfId="16117"/>
    <cellStyle name="Normal 4 4 2 4 4 2 4 2" xfId="32783"/>
    <cellStyle name="Normal 4 4 2 4 4 2 5" xfId="16118"/>
    <cellStyle name="Normal 4 4 2 4 4 2 5 2" xfId="32784"/>
    <cellStyle name="Normal 4 4 2 4 4 2 6" xfId="32780"/>
    <cellStyle name="Normal 4 4 2 4 4 3" xfId="16119"/>
    <cellStyle name="Normal 4 4 2 4 4 3 2" xfId="32785"/>
    <cellStyle name="Normal 4 4 2 4 4 4" xfId="16120"/>
    <cellStyle name="Normal 4 4 2 4 4 4 2" xfId="32786"/>
    <cellStyle name="Normal 4 4 2 4 4 5" xfId="16121"/>
    <cellStyle name="Normal 4 4 2 4 4 5 2" xfId="32787"/>
    <cellStyle name="Normal 4 4 2 4 4 6" xfId="16122"/>
    <cellStyle name="Normal 4 4 2 4 4 6 2" xfId="32788"/>
    <cellStyle name="Normal 4 4 2 4 4 7" xfId="32779"/>
    <cellStyle name="Normal 4 4 2 4 5" xfId="16123"/>
    <cellStyle name="Normal 4 4 2 4 5 2" xfId="16124"/>
    <cellStyle name="Normal 4 4 2 4 5 2 2" xfId="32790"/>
    <cellStyle name="Normal 4 4 2 4 5 3" xfId="16125"/>
    <cellStyle name="Normal 4 4 2 4 5 3 2" xfId="32791"/>
    <cellStyle name="Normal 4 4 2 4 5 4" xfId="16126"/>
    <cellStyle name="Normal 4 4 2 4 5 4 2" xfId="32792"/>
    <cellStyle name="Normal 4 4 2 4 5 5" xfId="16127"/>
    <cellStyle name="Normal 4 4 2 4 5 5 2" xfId="32793"/>
    <cellStyle name="Normal 4 4 2 4 5 6" xfId="32789"/>
    <cellStyle name="Normal 4 4 2 4 6" xfId="16128"/>
    <cellStyle name="Normal 4 4 2 4 6 2" xfId="16129"/>
    <cellStyle name="Normal 4 4 2 4 6 2 2" xfId="32795"/>
    <cellStyle name="Normal 4 4 2 4 6 3" xfId="16130"/>
    <cellStyle name="Normal 4 4 2 4 6 3 2" xfId="32796"/>
    <cellStyle name="Normal 4 4 2 4 6 4" xfId="16131"/>
    <cellStyle name="Normal 4 4 2 4 6 4 2" xfId="32797"/>
    <cellStyle name="Normal 4 4 2 4 6 5" xfId="16132"/>
    <cellStyle name="Normal 4 4 2 4 6 5 2" xfId="32798"/>
    <cellStyle name="Normal 4 4 2 4 6 6" xfId="32794"/>
    <cellStyle name="Normal 4 4 2 4 7" xfId="16133"/>
    <cellStyle name="Normal 4 4 2 4 7 2" xfId="16134"/>
    <cellStyle name="Normal 4 4 2 4 7 2 2" xfId="32800"/>
    <cellStyle name="Normal 4 4 2 4 7 3" xfId="16135"/>
    <cellStyle name="Normal 4 4 2 4 7 3 2" xfId="32801"/>
    <cellStyle name="Normal 4 4 2 4 7 4" xfId="16136"/>
    <cellStyle name="Normal 4 4 2 4 7 4 2" xfId="32802"/>
    <cellStyle name="Normal 4 4 2 4 7 5" xfId="16137"/>
    <cellStyle name="Normal 4 4 2 4 7 5 2" xfId="32803"/>
    <cellStyle name="Normal 4 4 2 4 7 6" xfId="32799"/>
    <cellStyle name="Normal 4 4 2 4 8" xfId="16138"/>
    <cellStyle name="Normal 4 4 2 4 8 2" xfId="16139"/>
    <cellStyle name="Normal 4 4 2 4 8 2 2" xfId="32805"/>
    <cellStyle name="Normal 4 4 2 4 8 3" xfId="16140"/>
    <cellStyle name="Normal 4 4 2 4 8 3 2" xfId="32806"/>
    <cellStyle name="Normal 4 4 2 4 8 4" xfId="16141"/>
    <cellStyle name="Normal 4 4 2 4 8 4 2" xfId="32807"/>
    <cellStyle name="Normal 4 4 2 4 8 5" xfId="16142"/>
    <cellStyle name="Normal 4 4 2 4 8 5 2" xfId="32808"/>
    <cellStyle name="Normal 4 4 2 4 8 6" xfId="32804"/>
    <cellStyle name="Normal 4 4 2 4 9" xfId="16143"/>
    <cellStyle name="Normal 4 4 2 4 9 2" xfId="16144"/>
    <cellStyle name="Normal 4 4 2 4 9 2 2" xfId="32810"/>
    <cellStyle name="Normal 4 4 2 4 9 3" xfId="16145"/>
    <cellStyle name="Normal 4 4 2 4 9 3 2" xfId="32811"/>
    <cellStyle name="Normal 4 4 2 4 9 4" xfId="16146"/>
    <cellStyle name="Normal 4 4 2 4 9 4 2" xfId="32812"/>
    <cellStyle name="Normal 4 4 2 4 9 5" xfId="16147"/>
    <cellStyle name="Normal 4 4 2 4 9 5 2" xfId="32813"/>
    <cellStyle name="Normal 4 4 2 4 9 6" xfId="32809"/>
    <cellStyle name="Normal 4 4 2 5" xfId="16148"/>
    <cellStyle name="Normal 4 4 2 5 10" xfId="16149"/>
    <cellStyle name="Normal 4 4 2 5 10 2" xfId="32815"/>
    <cellStyle name="Normal 4 4 2 5 11" xfId="16150"/>
    <cellStyle name="Normal 4 4 2 5 11 2" xfId="32816"/>
    <cellStyle name="Normal 4 4 2 5 12" xfId="32814"/>
    <cellStyle name="Normal 4 4 2 5 2" xfId="16151"/>
    <cellStyle name="Normal 4 4 2 5 2 2" xfId="16152"/>
    <cellStyle name="Normal 4 4 2 5 2 2 2" xfId="32818"/>
    <cellStyle name="Normal 4 4 2 5 2 3" xfId="16153"/>
    <cellStyle name="Normal 4 4 2 5 2 3 2" xfId="32819"/>
    <cellStyle name="Normal 4 4 2 5 2 4" xfId="16154"/>
    <cellStyle name="Normal 4 4 2 5 2 4 2" xfId="32820"/>
    <cellStyle name="Normal 4 4 2 5 2 5" xfId="16155"/>
    <cellStyle name="Normal 4 4 2 5 2 5 2" xfId="32821"/>
    <cellStyle name="Normal 4 4 2 5 2 6" xfId="32817"/>
    <cellStyle name="Normal 4 4 2 5 3" xfId="16156"/>
    <cellStyle name="Normal 4 4 2 5 3 2" xfId="16157"/>
    <cellStyle name="Normal 4 4 2 5 3 2 2" xfId="32823"/>
    <cellStyle name="Normal 4 4 2 5 3 3" xfId="16158"/>
    <cellStyle name="Normal 4 4 2 5 3 3 2" xfId="32824"/>
    <cellStyle name="Normal 4 4 2 5 3 4" xfId="16159"/>
    <cellStyle name="Normal 4 4 2 5 3 4 2" xfId="32825"/>
    <cellStyle name="Normal 4 4 2 5 3 5" xfId="16160"/>
    <cellStyle name="Normal 4 4 2 5 3 5 2" xfId="32826"/>
    <cellStyle name="Normal 4 4 2 5 3 6" xfId="32822"/>
    <cellStyle name="Normal 4 4 2 5 4" xfId="16161"/>
    <cellStyle name="Normal 4 4 2 5 4 2" xfId="16162"/>
    <cellStyle name="Normal 4 4 2 5 4 2 2" xfId="32828"/>
    <cellStyle name="Normal 4 4 2 5 4 3" xfId="16163"/>
    <cellStyle name="Normal 4 4 2 5 4 3 2" xfId="32829"/>
    <cellStyle name="Normal 4 4 2 5 4 4" xfId="16164"/>
    <cellStyle name="Normal 4 4 2 5 4 4 2" xfId="32830"/>
    <cellStyle name="Normal 4 4 2 5 4 5" xfId="16165"/>
    <cellStyle name="Normal 4 4 2 5 4 5 2" xfId="32831"/>
    <cellStyle name="Normal 4 4 2 5 4 6" xfId="32827"/>
    <cellStyle name="Normal 4 4 2 5 5" xfId="16166"/>
    <cellStyle name="Normal 4 4 2 5 5 2" xfId="16167"/>
    <cellStyle name="Normal 4 4 2 5 5 2 2" xfId="32833"/>
    <cellStyle name="Normal 4 4 2 5 5 3" xfId="16168"/>
    <cellStyle name="Normal 4 4 2 5 5 3 2" xfId="32834"/>
    <cellStyle name="Normal 4 4 2 5 5 4" xfId="16169"/>
    <cellStyle name="Normal 4 4 2 5 5 4 2" xfId="32835"/>
    <cellStyle name="Normal 4 4 2 5 5 5" xfId="16170"/>
    <cellStyle name="Normal 4 4 2 5 5 5 2" xfId="32836"/>
    <cellStyle name="Normal 4 4 2 5 5 6" xfId="32832"/>
    <cellStyle name="Normal 4 4 2 5 6" xfId="16171"/>
    <cellStyle name="Normal 4 4 2 5 6 2" xfId="16172"/>
    <cellStyle name="Normal 4 4 2 5 6 2 2" xfId="32838"/>
    <cellStyle name="Normal 4 4 2 5 6 3" xfId="16173"/>
    <cellStyle name="Normal 4 4 2 5 6 3 2" xfId="32839"/>
    <cellStyle name="Normal 4 4 2 5 6 4" xfId="16174"/>
    <cellStyle name="Normal 4 4 2 5 6 4 2" xfId="32840"/>
    <cellStyle name="Normal 4 4 2 5 6 5" xfId="16175"/>
    <cellStyle name="Normal 4 4 2 5 6 5 2" xfId="32841"/>
    <cellStyle name="Normal 4 4 2 5 6 6" xfId="32837"/>
    <cellStyle name="Normal 4 4 2 5 7" xfId="16176"/>
    <cellStyle name="Normal 4 4 2 5 7 2" xfId="16177"/>
    <cellStyle name="Normal 4 4 2 5 7 2 2" xfId="32843"/>
    <cellStyle name="Normal 4 4 2 5 7 3" xfId="16178"/>
    <cellStyle name="Normal 4 4 2 5 7 3 2" xfId="32844"/>
    <cellStyle name="Normal 4 4 2 5 7 4" xfId="16179"/>
    <cellStyle name="Normal 4 4 2 5 7 4 2" xfId="32845"/>
    <cellStyle name="Normal 4 4 2 5 7 5" xfId="16180"/>
    <cellStyle name="Normal 4 4 2 5 7 5 2" xfId="32846"/>
    <cellStyle name="Normal 4 4 2 5 7 6" xfId="32842"/>
    <cellStyle name="Normal 4 4 2 5 8" xfId="16181"/>
    <cellStyle name="Normal 4 4 2 5 8 2" xfId="32847"/>
    <cellStyle name="Normal 4 4 2 5 9" xfId="16182"/>
    <cellStyle name="Normal 4 4 2 5 9 2" xfId="32848"/>
    <cellStyle name="Normal 4 4 2 6" xfId="16183"/>
    <cellStyle name="Normal 4 4 2 6 2" xfId="16184"/>
    <cellStyle name="Normal 4 4 2 6 2 2" xfId="16185"/>
    <cellStyle name="Normal 4 4 2 6 2 2 2" xfId="32851"/>
    <cellStyle name="Normal 4 4 2 6 2 3" xfId="16186"/>
    <cellStyle name="Normal 4 4 2 6 2 3 2" xfId="32852"/>
    <cellStyle name="Normal 4 4 2 6 2 4" xfId="16187"/>
    <cellStyle name="Normal 4 4 2 6 2 4 2" xfId="32853"/>
    <cellStyle name="Normal 4 4 2 6 2 5" xfId="16188"/>
    <cellStyle name="Normal 4 4 2 6 2 5 2" xfId="32854"/>
    <cellStyle name="Normal 4 4 2 6 2 6" xfId="32850"/>
    <cellStyle name="Normal 4 4 2 6 3" xfId="16189"/>
    <cellStyle name="Normal 4 4 2 6 3 2" xfId="32855"/>
    <cellStyle name="Normal 4 4 2 6 4" xfId="16190"/>
    <cellStyle name="Normal 4 4 2 6 4 2" xfId="32856"/>
    <cellStyle name="Normal 4 4 2 6 5" xfId="16191"/>
    <cellStyle name="Normal 4 4 2 6 5 2" xfId="32857"/>
    <cellStyle name="Normal 4 4 2 6 6" xfId="16192"/>
    <cellStyle name="Normal 4 4 2 6 6 2" xfId="32858"/>
    <cellStyle name="Normal 4 4 2 6 7" xfId="32849"/>
    <cellStyle name="Normal 4 4 2 7" xfId="16193"/>
    <cellStyle name="Normal 4 4 2 7 2" xfId="16194"/>
    <cellStyle name="Normal 4 4 2 7 2 2" xfId="16195"/>
    <cellStyle name="Normal 4 4 2 7 2 2 2" xfId="32861"/>
    <cellStyle name="Normal 4 4 2 7 2 3" xfId="16196"/>
    <cellStyle name="Normal 4 4 2 7 2 3 2" xfId="32862"/>
    <cellStyle name="Normal 4 4 2 7 2 4" xfId="16197"/>
    <cellStyle name="Normal 4 4 2 7 2 4 2" xfId="32863"/>
    <cellStyle name="Normal 4 4 2 7 2 5" xfId="16198"/>
    <cellStyle name="Normal 4 4 2 7 2 5 2" xfId="32864"/>
    <cellStyle name="Normal 4 4 2 7 2 6" xfId="32860"/>
    <cellStyle name="Normal 4 4 2 7 3" xfId="16199"/>
    <cellStyle name="Normal 4 4 2 7 3 2" xfId="32865"/>
    <cellStyle name="Normal 4 4 2 7 4" xfId="16200"/>
    <cellStyle name="Normal 4 4 2 7 4 2" xfId="32866"/>
    <cellStyle name="Normal 4 4 2 7 5" xfId="16201"/>
    <cellStyle name="Normal 4 4 2 7 5 2" xfId="32867"/>
    <cellStyle name="Normal 4 4 2 7 6" xfId="16202"/>
    <cellStyle name="Normal 4 4 2 7 6 2" xfId="32868"/>
    <cellStyle name="Normal 4 4 2 7 7" xfId="32859"/>
    <cellStyle name="Normal 4 4 2 8" xfId="16203"/>
    <cellStyle name="Normal 4 4 2 8 2" xfId="16204"/>
    <cellStyle name="Normal 4 4 2 8 2 2" xfId="32870"/>
    <cellStyle name="Normal 4 4 2 8 3" xfId="16205"/>
    <cellStyle name="Normal 4 4 2 8 3 2" xfId="32871"/>
    <cellStyle name="Normal 4 4 2 8 4" xfId="16206"/>
    <cellStyle name="Normal 4 4 2 8 4 2" xfId="32872"/>
    <cellStyle name="Normal 4 4 2 8 5" xfId="16207"/>
    <cellStyle name="Normal 4 4 2 8 5 2" xfId="32873"/>
    <cellStyle name="Normal 4 4 2 8 6" xfId="32869"/>
    <cellStyle name="Normal 4 4 2 9" xfId="16208"/>
    <cellStyle name="Normal 4 4 2 9 2" xfId="16209"/>
    <cellStyle name="Normal 4 4 2 9 2 2" xfId="32875"/>
    <cellStyle name="Normal 4 4 2 9 3" xfId="16210"/>
    <cellStyle name="Normal 4 4 2 9 3 2" xfId="32876"/>
    <cellStyle name="Normal 4 4 2 9 4" xfId="16211"/>
    <cellStyle name="Normal 4 4 2 9 4 2" xfId="32877"/>
    <cellStyle name="Normal 4 4 2 9 5" xfId="16212"/>
    <cellStyle name="Normal 4 4 2 9 5 2" xfId="32878"/>
    <cellStyle name="Normal 4 4 2 9 6" xfId="32874"/>
    <cellStyle name="Normal 4 4 20" xfId="16213"/>
    <cellStyle name="Normal 4 4 20 2" xfId="16214"/>
    <cellStyle name="Normal 4 4 20 2 2" xfId="32880"/>
    <cellStyle name="Normal 4 4 20 3" xfId="16215"/>
    <cellStyle name="Normal 4 4 20 3 2" xfId="32881"/>
    <cellStyle name="Normal 4 4 20 4" xfId="16216"/>
    <cellStyle name="Normal 4 4 20 4 2" xfId="32882"/>
    <cellStyle name="Normal 4 4 20 5" xfId="16217"/>
    <cellStyle name="Normal 4 4 20 5 2" xfId="32883"/>
    <cellStyle name="Normal 4 4 20 6" xfId="32879"/>
    <cellStyle name="Normal 4 4 21" xfId="16218"/>
    <cellStyle name="Normal 4 4 21 2" xfId="16219"/>
    <cellStyle name="Normal 4 4 21 2 2" xfId="32885"/>
    <cellStyle name="Normal 4 4 21 3" xfId="16220"/>
    <cellStyle name="Normal 4 4 21 3 2" xfId="32886"/>
    <cellStyle name="Normal 4 4 21 4" xfId="16221"/>
    <cellStyle name="Normal 4 4 21 4 2" xfId="32887"/>
    <cellStyle name="Normal 4 4 21 5" xfId="16222"/>
    <cellStyle name="Normal 4 4 21 5 2" xfId="32888"/>
    <cellStyle name="Normal 4 4 21 6" xfId="32884"/>
    <cellStyle name="Normal 4 4 22" xfId="16223"/>
    <cellStyle name="Normal 4 4 22 2" xfId="16224"/>
    <cellStyle name="Normal 4 4 22 2 2" xfId="32890"/>
    <cellStyle name="Normal 4 4 22 3" xfId="16225"/>
    <cellStyle name="Normal 4 4 22 3 2" xfId="32891"/>
    <cellStyle name="Normal 4 4 22 4" xfId="16226"/>
    <cellStyle name="Normal 4 4 22 4 2" xfId="32892"/>
    <cellStyle name="Normal 4 4 22 5" xfId="16227"/>
    <cellStyle name="Normal 4 4 22 5 2" xfId="32893"/>
    <cellStyle name="Normal 4 4 22 6" xfId="32889"/>
    <cellStyle name="Normal 4 4 23" xfId="16228"/>
    <cellStyle name="Normal 4 4 23 2" xfId="16229"/>
    <cellStyle name="Normal 4 4 23 2 2" xfId="32895"/>
    <cellStyle name="Normal 4 4 23 3" xfId="16230"/>
    <cellStyle name="Normal 4 4 23 3 2" xfId="32896"/>
    <cellStyle name="Normal 4 4 23 4" xfId="16231"/>
    <cellStyle name="Normal 4 4 23 4 2" xfId="32897"/>
    <cellStyle name="Normal 4 4 23 5" xfId="16232"/>
    <cellStyle name="Normal 4 4 23 5 2" xfId="32898"/>
    <cellStyle name="Normal 4 4 23 6" xfId="32894"/>
    <cellStyle name="Normal 4 4 24" xfId="16233"/>
    <cellStyle name="Normal 4 4 24 2" xfId="16234"/>
    <cellStyle name="Normal 4 4 24 2 2" xfId="32900"/>
    <cellStyle name="Normal 4 4 24 3" xfId="16235"/>
    <cellStyle name="Normal 4 4 24 3 2" xfId="32901"/>
    <cellStyle name="Normal 4 4 24 4" xfId="16236"/>
    <cellStyle name="Normal 4 4 24 4 2" xfId="32902"/>
    <cellStyle name="Normal 4 4 24 5" xfId="16237"/>
    <cellStyle name="Normal 4 4 24 5 2" xfId="32903"/>
    <cellStyle name="Normal 4 4 24 6" xfId="32899"/>
    <cellStyle name="Normal 4 4 25" xfId="16238"/>
    <cellStyle name="Normal 4 4 25 2" xfId="32904"/>
    <cellStyle name="Normal 4 4 26" xfId="16239"/>
    <cellStyle name="Normal 4 4 26 2" xfId="32905"/>
    <cellStyle name="Normal 4 4 27" xfId="16240"/>
    <cellStyle name="Normal 4 4 27 2" xfId="32906"/>
    <cellStyle name="Normal 4 4 28" xfId="16241"/>
    <cellStyle name="Normal 4 4 28 2" xfId="32907"/>
    <cellStyle name="Normal 4 4 29" xfId="16242"/>
    <cellStyle name="Normal 4 4 29 2" xfId="32908"/>
    <cellStyle name="Normal 4 4 3" xfId="16243"/>
    <cellStyle name="Normal 4 4 3 10" xfId="16244"/>
    <cellStyle name="Normal 4 4 3 10 2" xfId="16245"/>
    <cellStyle name="Normal 4 4 3 10 2 2" xfId="32911"/>
    <cellStyle name="Normal 4 4 3 10 3" xfId="16246"/>
    <cellStyle name="Normal 4 4 3 10 3 2" xfId="32912"/>
    <cellStyle name="Normal 4 4 3 10 4" xfId="16247"/>
    <cellStyle name="Normal 4 4 3 10 4 2" xfId="32913"/>
    <cellStyle name="Normal 4 4 3 10 5" xfId="16248"/>
    <cellStyle name="Normal 4 4 3 10 5 2" xfId="32914"/>
    <cellStyle name="Normal 4 4 3 10 6" xfId="32910"/>
    <cellStyle name="Normal 4 4 3 11" xfId="16249"/>
    <cellStyle name="Normal 4 4 3 11 2" xfId="16250"/>
    <cellStyle name="Normal 4 4 3 11 2 2" xfId="32916"/>
    <cellStyle name="Normal 4 4 3 11 3" xfId="16251"/>
    <cellStyle name="Normal 4 4 3 11 3 2" xfId="32917"/>
    <cellStyle name="Normal 4 4 3 11 4" xfId="16252"/>
    <cellStyle name="Normal 4 4 3 11 4 2" xfId="32918"/>
    <cellStyle name="Normal 4 4 3 11 5" xfId="16253"/>
    <cellStyle name="Normal 4 4 3 11 5 2" xfId="32919"/>
    <cellStyle name="Normal 4 4 3 11 6" xfId="32915"/>
    <cellStyle name="Normal 4 4 3 12" xfId="16254"/>
    <cellStyle name="Normal 4 4 3 12 2" xfId="16255"/>
    <cellStyle name="Normal 4 4 3 12 2 2" xfId="32921"/>
    <cellStyle name="Normal 4 4 3 12 3" xfId="16256"/>
    <cellStyle name="Normal 4 4 3 12 3 2" xfId="32922"/>
    <cellStyle name="Normal 4 4 3 12 4" xfId="16257"/>
    <cellStyle name="Normal 4 4 3 12 4 2" xfId="32923"/>
    <cellStyle name="Normal 4 4 3 12 5" xfId="16258"/>
    <cellStyle name="Normal 4 4 3 12 5 2" xfId="32924"/>
    <cellStyle name="Normal 4 4 3 12 6" xfId="32920"/>
    <cellStyle name="Normal 4 4 3 13" xfId="16259"/>
    <cellStyle name="Normal 4 4 3 13 2" xfId="16260"/>
    <cellStyle name="Normal 4 4 3 13 2 2" xfId="32926"/>
    <cellStyle name="Normal 4 4 3 13 3" xfId="16261"/>
    <cellStyle name="Normal 4 4 3 13 3 2" xfId="32927"/>
    <cellStyle name="Normal 4 4 3 13 4" xfId="16262"/>
    <cellStyle name="Normal 4 4 3 13 4 2" xfId="32928"/>
    <cellStyle name="Normal 4 4 3 13 5" xfId="16263"/>
    <cellStyle name="Normal 4 4 3 13 5 2" xfId="32929"/>
    <cellStyle name="Normal 4 4 3 13 6" xfId="32925"/>
    <cellStyle name="Normal 4 4 3 14" xfId="16264"/>
    <cellStyle name="Normal 4 4 3 14 2" xfId="16265"/>
    <cellStyle name="Normal 4 4 3 14 2 2" xfId="32931"/>
    <cellStyle name="Normal 4 4 3 14 3" xfId="16266"/>
    <cellStyle name="Normal 4 4 3 14 3 2" xfId="32932"/>
    <cellStyle name="Normal 4 4 3 14 4" xfId="16267"/>
    <cellStyle name="Normal 4 4 3 14 4 2" xfId="32933"/>
    <cellStyle name="Normal 4 4 3 14 5" xfId="16268"/>
    <cellStyle name="Normal 4 4 3 14 5 2" xfId="32934"/>
    <cellStyle name="Normal 4 4 3 14 6" xfId="32930"/>
    <cellStyle name="Normal 4 4 3 15" xfId="16269"/>
    <cellStyle name="Normal 4 4 3 15 2" xfId="16270"/>
    <cellStyle name="Normal 4 4 3 15 2 2" xfId="32936"/>
    <cellStyle name="Normal 4 4 3 15 3" xfId="16271"/>
    <cellStyle name="Normal 4 4 3 15 3 2" xfId="32937"/>
    <cellStyle name="Normal 4 4 3 15 4" xfId="16272"/>
    <cellStyle name="Normal 4 4 3 15 4 2" xfId="32938"/>
    <cellStyle name="Normal 4 4 3 15 5" xfId="16273"/>
    <cellStyle name="Normal 4 4 3 15 5 2" xfId="32939"/>
    <cellStyle name="Normal 4 4 3 15 6" xfId="32935"/>
    <cellStyle name="Normal 4 4 3 16" xfId="16274"/>
    <cellStyle name="Normal 4 4 3 16 2" xfId="16275"/>
    <cellStyle name="Normal 4 4 3 16 2 2" xfId="32941"/>
    <cellStyle name="Normal 4 4 3 16 3" xfId="16276"/>
    <cellStyle name="Normal 4 4 3 16 3 2" xfId="32942"/>
    <cellStyle name="Normal 4 4 3 16 4" xfId="16277"/>
    <cellStyle name="Normal 4 4 3 16 4 2" xfId="32943"/>
    <cellStyle name="Normal 4 4 3 16 5" xfId="16278"/>
    <cellStyle name="Normal 4 4 3 16 5 2" xfId="32944"/>
    <cellStyle name="Normal 4 4 3 16 6" xfId="32940"/>
    <cellStyle name="Normal 4 4 3 17" xfId="16279"/>
    <cellStyle name="Normal 4 4 3 17 2" xfId="32945"/>
    <cellStyle name="Normal 4 4 3 18" xfId="16280"/>
    <cellStyle name="Normal 4 4 3 18 2" xfId="32946"/>
    <cellStyle name="Normal 4 4 3 19" xfId="16281"/>
    <cellStyle name="Normal 4 4 3 19 2" xfId="32947"/>
    <cellStyle name="Normal 4 4 3 2" xfId="16282"/>
    <cellStyle name="Normal 4 4 3 2 10" xfId="16283"/>
    <cellStyle name="Normal 4 4 3 2 10 2" xfId="32949"/>
    <cellStyle name="Normal 4 4 3 2 11" xfId="16284"/>
    <cellStyle name="Normal 4 4 3 2 11 2" xfId="32950"/>
    <cellStyle name="Normal 4 4 3 2 12" xfId="32948"/>
    <cellStyle name="Normal 4 4 3 2 2" xfId="16285"/>
    <cellStyle name="Normal 4 4 3 2 2 2" xfId="16286"/>
    <cellStyle name="Normal 4 4 3 2 2 2 2" xfId="32952"/>
    <cellStyle name="Normal 4 4 3 2 2 3" xfId="16287"/>
    <cellStyle name="Normal 4 4 3 2 2 3 2" xfId="32953"/>
    <cellStyle name="Normal 4 4 3 2 2 4" xfId="16288"/>
    <cellStyle name="Normal 4 4 3 2 2 4 2" xfId="32954"/>
    <cellStyle name="Normal 4 4 3 2 2 5" xfId="16289"/>
    <cellStyle name="Normal 4 4 3 2 2 5 2" xfId="32955"/>
    <cellStyle name="Normal 4 4 3 2 2 6" xfId="32951"/>
    <cellStyle name="Normal 4 4 3 2 3" xfId="16290"/>
    <cellStyle name="Normal 4 4 3 2 3 2" xfId="16291"/>
    <cellStyle name="Normal 4 4 3 2 3 2 2" xfId="32957"/>
    <cellStyle name="Normal 4 4 3 2 3 3" xfId="16292"/>
    <cellStyle name="Normal 4 4 3 2 3 3 2" xfId="32958"/>
    <cellStyle name="Normal 4 4 3 2 3 4" xfId="16293"/>
    <cellStyle name="Normal 4 4 3 2 3 4 2" xfId="32959"/>
    <cellStyle name="Normal 4 4 3 2 3 5" xfId="16294"/>
    <cellStyle name="Normal 4 4 3 2 3 5 2" xfId="32960"/>
    <cellStyle name="Normal 4 4 3 2 3 6" xfId="32956"/>
    <cellStyle name="Normal 4 4 3 2 4" xfId="16295"/>
    <cellStyle name="Normal 4 4 3 2 4 2" xfId="16296"/>
    <cellStyle name="Normal 4 4 3 2 4 2 2" xfId="32962"/>
    <cellStyle name="Normal 4 4 3 2 4 3" xfId="16297"/>
    <cellStyle name="Normal 4 4 3 2 4 3 2" xfId="32963"/>
    <cellStyle name="Normal 4 4 3 2 4 4" xfId="16298"/>
    <cellStyle name="Normal 4 4 3 2 4 4 2" xfId="32964"/>
    <cellStyle name="Normal 4 4 3 2 4 5" xfId="16299"/>
    <cellStyle name="Normal 4 4 3 2 4 5 2" xfId="32965"/>
    <cellStyle name="Normal 4 4 3 2 4 6" xfId="32961"/>
    <cellStyle name="Normal 4 4 3 2 5" xfId="16300"/>
    <cellStyle name="Normal 4 4 3 2 5 2" xfId="16301"/>
    <cellStyle name="Normal 4 4 3 2 5 2 2" xfId="32967"/>
    <cellStyle name="Normal 4 4 3 2 5 3" xfId="16302"/>
    <cellStyle name="Normal 4 4 3 2 5 3 2" xfId="32968"/>
    <cellStyle name="Normal 4 4 3 2 5 4" xfId="16303"/>
    <cellStyle name="Normal 4 4 3 2 5 4 2" xfId="32969"/>
    <cellStyle name="Normal 4 4 3 2 5 5" xfId="16304"/>
    <cellStyle name="Normal 4 4 3 2 5 5 2" xfId="32970"/>
    <cellStyle name="Normal 4 4 3 2 5 6" xfId="32966"/>
    <cellStyle name="Normal 4 4 3 2 6" xfId="16305"/>
    <cellStyle name="Normal 4 4 3 2 6 2" xfId="16306"/>
    <cellStyle name="Normal 4 4 3 2 6 2 2" xfId="32972"/>
    <cellStyle name="Normal 4 4 3 2 6 3" xfId="16307"/>
    <cellStyle name="Normal 4 4 3 2 6 3 2" xfId="32973"/>
    <cellStyle name="Normal 4 4 3 2 6 4" xfId="16308"/>
    <cellStyle name="Normal 4 4 3 2 6 4 2" xfId="32974"/>
    <cellStyle name="Normal 4 4 3 2 6 5" xfId="16309"/>
    <cellStyle name="Normal 4 4 3 2 6 5 2" xfId="32975"/>
    <cellStyle name="Normal 4 4 3 2 6 6" xfId="32971"/>
    <cellStyle name="Normal 4 4 3 2 7" xfId="16310"/>
    <cellStyle name="Normal 4 4 3 2 7 2" xfId="16311"/>
    <cellStyle name="Normal 4 4 3 2 7 2 2" xfId="32977"/>
    <cellStyle name="Normal 4 4 3 2 7 3" xfId="16312"/>
    <cellStyle name="Normal 4 4 3 2 7 3 2" xfId="32978"/>
    <cellStyle name="Normal 4 4 3 2 7 4" xfId="16313"/>
    <cellStyle name="Normal 4 4 3 2 7 4 2" xfId="32979"/>
    <cellStyle name="Normal 4 4 3 2 7 5" xfId="16314"/>
    <cellStyle name="Normal 4 4 3 2 7 5 2" xfId="32980"/>
    <cellStyle name="Normal 4 4 3 2 7 6" xfId="32976"/>
    <cellStyle name="Normal 4 4 3 2 8" xfId="16315"/>
    <cellStyle name="Normal 4 4 3 2 8 2" xfId="32981"/>
    <cellStyle name="Normal 4 4 3 2 9" xfId="16316"/>
    <cellStyle name="Normal 4 4 3 2 9 2" xfId="32982"/>
    <cellStyle name="Normal 4 4 3 20" xfId="16317"/>
    <cellStyle name="Normal 4 4 3 20 2" xfId="32983"/>
    <cellStyle name="Normal 4 4 3 21" xfId="40708"/>
    <cellStyle name="Normal 4 4 3 22" xfId="32909"/>
    <cellStyle name="Normal 4 4 3 3" xfId="16318"/>
    <cellStyle name="Normal 4 4 3 3 2" xfId="16319"/>
    <cellStyle name="Normal 4 4 3 3 2 2" xfId="16320"/>
    <cellStyle name="Normal 4 4 3 3 2 2 2" xfId="32986"/>
    <cellStyle name="Normal 4 4 3 3 2 3" xfId="16321"/>
    <cellStyle name="Normal 4 4 3 3 2 3 2" xfId="32987"/>
    <cellStyle name="Normal 4 4 3 3 2 4" xfId="16322"/>
    <cellStyle name="Normal 4 4 3 3 2 4 2" xfId="32988"/>
    <cellStyle name="Normal 4 4 3 3 2 5" xfId="16323"/>
    <cellStyle name="Normal 4 4 3 3 2 5 2" xfId="32989"/>
    <cellStyle name="Normal 4 4 3 3 2 6" xfId="32985"/>
    <cellStyle name="Normal 4 4 3 3 3" xfId="16324"/>
    <cellStyle name="Normal 4 4 3 3 3 2" xfId="32990"/>
    <cellStyle name="Normal 4 4 3 3 4" xfId="16325"/>
    <cellStyle name="Normal 4 4 3 3 4 2" xfId="32991"/>
    <cellStyle name="Normal 4 4 3 3 5" xfId="16326"/>
    <cellStyle name="Normal 4 4 3 3 5 2" xfId="32992"/>
    <cellStyle name="Normal 4 4 3 3 6" xfId="16327"/>
    <cellStyle name="Normal 4 4 3 3 6 2" xfId="32993"/>
    <cellStyle name="Normal 4 4 3 3 7" xfId="32984"/>
    <cellStyle name="Normal 4 4 3 4" xfId="16328"/>
    <cellStyle name="Normal 4 4 3 4 2" xfId="16329"/>
    <cellStyle name="Normal 4 4 3 4 2 2" xfId="16330"/>
    <cellStyle name="Normal 4 4 3 4 2 2 2" xfId="32996"/>
    <cellStyle name="Normal 4 4 3 4 2 3" xfId="16331"/>
    <cellStyle name="Normal 4 4 3 4 2 3 2" xfId="32997"/>
    <cellStyle name="Normal 4 4 3 4 2 4" xfId="16332"/>
    <cellStyle name="Normal 4 4 3 4 2 4 2" xfId="32998"/>
    <cellStyle name="Normal 4 4 3 4 2 5" xfId="16333"/>
    <cellStyle name="Normal 4 4 3 4 2 5 2" xfId="32999"/>
    <cellStyle name="Normal 4 4 3 4 2 6" xfId="32995"/>
    <cellStyle name="Normal 4 4 3 4 3" xfId="16334"/>
    <cellStyle name="Normal 4 4 3 4 3 2" xfId="33000"/>
    <cellStyle name="Normal 4 4 3 4 4" xfId="16335"/>
    <cellStyle name="Normal 4 4 3 4 4 2" xfId="33001"/>
    <cellStyle name="Normal 4 4 3 4 5" xfId="16336"/>
    <cellStyle name="Normal 4 4 3 4 5 2" xfId="33002"/>
    <cellStyle name="Normal 4 4 3 4 6" xfId="16337"/>
    <cellStyle name="Normal 4 4 3 4 6 2" xfId="33003"/>
    <cellStyle name="Normal 4 4 3 4 7" xfId="32994"/>
    <cellStyle name="Normal 4 4 3 5" xfId="16338"/>
    <cellStyle name="Normal 4 4 3 5 2" xfId="16339"/>
    <cellStyle name="Normal 4 4 3 5 2 2" xfId="33005"/>
    <cellStyle name="Normal 4 4 3 5 3" xfId="16340"/>
    <cellStyle name="Normal 4 4 3 5 3 2" xfId="33006"/>
    <cellStyle name="Normal 4 4 3 5 4" xfId="16341"/>
    <cellStyle name="Normal 4 4 3 5 4 2" xfId="33007"/>
    <cellStyle name="Normal 4 4 3 5 5" xfId="16342"/>
    <cellStyle name="Normal 4 4 3 5 5 2" xfId="33008"/>
    <cellStyle name="Normal 4 4 3 5 6" xfId="33004"/>
    <cellStyle name="Normal 4 4 3 6" xfId="16343"/>
    <cellStyle name="Normal 4 4 3 6 2" xfId="16344"/>
    <cellStyle name="Normal 4 4 3 6 2 2" xfId="33010"/>
    <cellStyle name="Normal 4 4 3 6 3" xfId="16345"/>
    <cellStyle name="Normal 4 4 3 6 3 2" xfId="33011"/>
    <cellStyle name="Normal 4 4 3 6 4" xfId="16346"/>
    <cellStyle name="Normal 4 4 3 6 4 2" xfId="33012"/>
    <cellStyle name="Normal 4 4 3 6 5" xfId="16347"/>
    <cellStyle name="Normal 4 4 3 6 5 2" xfId="33013"/>
    <cellStyle name="Normal 4 4 3 6 6" xfId="33009"/>
    <cellStyle name="Normal 4 4 3 7" xfId="16348"/>
    <cellStyle name="Normal 4 4 3 7 2" xfId="16349"/>
    <cellStyle name="Normal 4 4 3 7 2 2" xfId="33015"/>
    <cellStyle name="Normal 4 4 3 7 3" xfId="16350"/>
    <cellStyle name="Normal 4 4 3 7 3 2" xfId="33016"/>
    <cellStyle name="Normal 4 4 3 7 4" xfId="16351"/>
    <cellStyle name="Normal 4 4 3 7 4 2" xfId="33017"/>
    <cellStyle name="Normal 4 4 3 7 5" xfId="16352"/>
    <cellStyle name="Normal 4 4 3 7 5 2" xfId="33018"/>
    <cellStyle name="Normal 4 4 3 7 6" xfId="33014"/>
    <cellStyle name="Normal 4 4 3 8" xfId="16353"/>
    <cellStyle name="Normal 4 4 3 8 2" xfId="16354"/>
    <cellStyle name="Normal 4 4 3 8 2 2" xfId="33020"/>
    <cellStyle name="Normal 4 4 3 8 3" xfId="16355"/>
    <cellStyle name="Normal 4 4 3 8 3 2" xfId="33021"/>
    <cellStyle name="Normal 4 4 3 8 4" xfId="16356"/>
    <cellStyle name="Normal 4 4 3 8 4 2" xfId="33022"/>
    <cellStyle name="Normal 4 4 3 8 5" xfId="16357"/>
    <cellStyle name="Normal 4 4 3 8 5 2" xfId="33023"/>
    <cellStyle name="Normal 4 4 3 8 6" xfId="33019"/>
    <cellStyle name="Normal 4 4 3 9" xfId="16358"/>
    <cellStyle name="Normal 4 4 3 9 2" xfId="16359"/>
    <cellStyle name="Normal 4 4 3 9 2 2" xfId="33025"/>
    <cellStyle name="Normal 4 4 3 9 3" xfId="16360"/>
    <cellStyle name="Normal 4 4 3 9 3 2" xfId="33026"/>
    <cellStyle name="Normal 4 4 3 9 4" xfId="16361"/>
    <cellStyle name="Normal 4 4 3 9 4 2" xfId="33027"/>
    <cellStyle name="Normal 4 4 3 9 5" xfId="16362"/>
    <cellStyle name="Normal 4 4 3 9 5 2" xfId="33028"/>
    <cellStyle name="Normal 4 4 3 9 6" xfId="33024"/>
    <cellStyle name="Normal 4 4 30" xfId="40705"/>
    <cellStyle name="Normal 4 4 4" xfId="16363"/>
    <cellStyle name="Normal 4 4 4 10" xfId="16364"/>
    <cellStyle name="Normal 4 4 4 10 2" xfId="16365"/>
    <cellStyle name="Normal 4 4 4 10 2 2" xfId="33031"/>
    <cellStyle name="Normal 4 4 4 10 3" xfId="16366"/>
    <cellStyle name="Normal 4 4 4 10 3 2" xfId="33032"/>
    <cellStyle name="Normal 4 4 4 10 4" xfId="16367"/>
    <cellStyle name="Normal 4 4 4 10 4 2" xfId="33033"/>
    <cellStyle name="Normal 4 4 4 10 5" xfId="16368"/>
    <cellStyle name="Normal 4 4 4 10 5 2" xfId="33034"/>
    <cellStyle name="Normal 4 4 4 10 6" xfId="33030"/>
    <cellStyle name="Normal 4 4 4 11" xfId="16369"/>
    <cellStyle name="Normal 4 4 4 11 2" xfId="16370"/>
    <cellStyle name="Normal 4 4 4 11 2 2" xfId="33036"/>
    <cellStyle name="Normal 4 4 4 11 3" xfId="16371"/>
    <cellStyle name="Normal 4 4 4 11 3 2" xfId="33037"/>
    <cellStyle name="Normal 4 4 4 11 4" xfId="16372"/>
    <cellStyle name="Normal 4 4 4 11 4 2" xfId="33038"/>
    <cellStyle name="Normal 4 4 4 11 5" xfId="16373"/>
    <cellStyle name="Normal 4 4 4 11 5 2" xfId="33039"/>
    <cellStyle name="Normal 4 4 4 11 6" xfId="33035"/>
    <cellStyle name="Normal 4 4 4 12" xfId="16374"/>
    <cellStyle name="Normal 4 4 4 12 2" xfId="16375"/>
    <cellStyle name="Normal 4 4 4 12 2 2" xfId="33041"/>
    <cellStyle name="Normal 4 4 4 12 3" xfId="16376"/>
    <cellStyle name="Normal 4 4 4 12 3 2" xfId="33042"/>
    <cellStyle name="Normal 4 4 4 12 4" xfId="16377"/>
    <cellStyle name="Normal 4 4 4 12 4 2" xfId="33043"/>
    <cellStyle name="Normal 4 4 4 12 5" xfId="16378"/>
    <cellStyle name="Normal 4 4 4 12 5 2" xfId="33044"/>
    <cellStyle name="Normal 4 4 4 12 6" xfId="33040"/>
    <cellStyle name="Normal 4 4 4 13" xfId="16379"/>
    <cellStyle name="Normal 4 4 4 13 2" xfId="16380"/>
    <cellStyle name="Normal 4 4 4 13 2 2" xfId="33046"/>
    <cellStyle name="Normal 4 4 4 13 3" xfId="16381"/>
    <cellStyle name="Normal 4 4 4 13 3 2" xfId="33047"/>
    <cellStyle name="Normal 4 4 4 13 4" xfId="16382"/>
    <cellStyle name="Normal 4 4 4 13 4 2" xfId="33048"/>
    <cellStyle name="Normal 4 4 4 13 5" xfId="16383"/>
    <cellStyle name="Normal 4 4 4 13 5 2" xfId="33049"/>
    <cellStyle name="Normal 4 4 4 13 6" xfId="33045"/>
    <cellStyle name="Normal 4 4 4 14" xfId="16384"/>
    <cellStyle name="Normal 4 4 4 14 2" xfId="16385"/>
    <cellStyle name="Normal 4 4 4 14 2 2" xfId="33051"/>
    <cellStyle name="Normal 4 4 4 14 3" xfId="16386"/>
    <cellStyle name="Normal 4 4 4 14 3 2" xfId="33052"/>
    <cellStyle name="Normal 4 4 4 14 4" xfId="16387"/>
    <cellStyle name="Normal 4 4 4 14 4 2" xfId="33053"/>
    <cellStyle name="Normal 4 4 4 14 5" xfId="16388"/>
    <cellStyle name="Normal 4 4 4 14 5 2" xfId="33054"/>
    <cellStyle name="Normal 4 4 4 14 6" xfId="33050"/>
    <cellStyle name="Normal 4 4 4 15" xfId="16389"/>
    <cellStyle name="Normal 4 4 4 15 2" xfId="16390"/>
    <cellStyle name="Normal 4 4 4 15 2 2" xfId="33056"/>
    <cellStyle name="Normal 4 4 4 15 3" xfId="16391"/>
    <cellStyle name="Normal 4 4 4 15 3 2" xfId="33057"/>
    <cellStyle name="Normal 4 4 4 15 4" xfId="16392"/>
    <cellStyle name="Normal 4 4 4 15 4 2" xfId="33058"/>
    <cellStyle name="Normal 4 4 4 15 5" xfId="16393"/>
    <cellStyle name="Normal 4 4 4 15 5 2" xfId="33059"/>
    <cellStyle name="Normal 4 4 4 15 6" xfId="33055"/>
    <cellStyle name="Normal 4 4 4 16" xfId="16394"/>
    <cellStyle name="Normal 4 4 4 16 2" xfId="16395"/>
    <cellStyle name="Normal 4 4 4 16 2 2" xfId="33061"/>
    <cellStyle name="Normal 4 4 4 16 3" xfId="16396"/>
    <cellStyle name="Normal 4 4 4 16 3 2" xfId="33062"/>
    <cellStyle name="Normal 4 4 4 16 4" xfId="16397"/>
    <cellStyle name="Normal 4 4 4 16 4 2" xfId="33063"/>
    <cellStyle name="Normal 4 4 4 16 5" xfId="16398"/>
    <cellStyle name="Normal 4 4 4 16 5 2" xfId="33064"/>
    <cellStyle name="Normal 4 4 4 16 6" xfId="33060"/>
    <cellStyle name="Normal 4 4 4 17" xfId="16399"/>
    <cellStyle name="Normal 4 4 4 17 2" xfId="33065"/>
    <cellStyle name="Normal 4 4 4 18" xfId="16400"/>
    <cellStyle name="Normal 4 4 4 18 2" xfId="33066"/>
    <cellStyle name="Normal 4 4 4 19" xfId="16401"/>
    <cellStyle name="Normal 4 4 4 19 2" xfId="33067"/>
    <cellStyle name="Normal 4 4 4 2" xfId="16402"/>
    <cellStyle name="Normal 4 4 4 2 10" xfId="16403"/>
    <cellStyle name="Normal 4 4 4 2 10 2" xfId="33069"/>
    <cellStyle name="Normal 4 4 4 2 11" xfId="16404"/>
    <cellStyle name="Normal 4 4 4 2 11 2" xfId="33070"/>
    <cellStyle name="Normal 4 4 4 2 12" xfId="33068"/>
    <cellStyle name="Normal 4 4 4 2 2" xfId="16405"/>
    <cellStyle name="Normal 4 4 4 2 2 2" xfId="16406"/>
    <cellStyle name="Normal 4 4 4 2 2 2 2" xfId="33072"/>
    <cellStyle name="Normal 4 4 4 2 2 3" xfId="16407"/>
    <cellStyle name="Normal 4 4 4 2 2 3 2" xfId="33073"/>
    <cellStyle name="Normal 4 4 4 2 2 4" xfId="16408"/>
    <cellStyle name="Normal 4 4 4 2 2 4 2" xfId="33074"/>
    <cellStyle name="Normal 4 4 4 2 2 5" xfId="16409"/>
    <cellStyle name="Normal 4 4 4 2 2 5 2" xfId="33075"/>
    <cellStyle name="Normal 4 4 4 2 2 6" xfId="33071"/>
    <cellStyle name="Normal 4 4 4 2 3" xfId="16410"/>
    <cellStyle name="Normal 4 4 4 2 3 2" xfId="16411"/>
    <cellStyle name="Normal 4 4 4 2 3 2 2" xfId="33077"/>
    <cellStyle name="Normal 4 4 4 2 3 3" xfId="16412"/>
    <cellStyle name="Normal 4 4 4 2 3 3 2" xfId="33078"/>
    <cellStyle name="Normal 4 4 4 2 3 4" xfId="16413"/>
    <cellStyle name="Normal 4 4 4 2 3 4 2" xfId="33079"/>
    <cellStyle name="Normal 4 4 4 2 3 5" xfId="16414"/>
    <cellStyle name="Normal 4 4 4 2 3 5 2" xfId="33080"/>
    <cellStyle name="Normal 4 4 4 2 3 6" xfId="33076"/>
    <cellStyle name="Normal 4 4 4 2 4" xfId="16415"/>
    <cellStyle name="Normal 4 4 4 2 4 2" xfId="16416"/>
    <cellStyle name="Normal 4 4 4 2 4 2 2" xfId="33082"/>
    <cellStyle name="Normal 4 4 4 2 4 3" xfId="16417"/>
    <cellStyle name="Normal 4 4 4 2 4 3 2" xfId="33083"/>
    <cellStyle name="Normal 4 4 4 2 4 4" xfId="16418"/>
    <cellStyle name="Normal 4 4 4 2 4 4 2" xfId="33084"/>
    <cellStyle name="Normal 4 4 4 2 4 5" xfId="16419"/>
    <cellStyle name="Normal 4 4 4 2 4 5 2" xfId="33085"/>
    <cellStyle name="Normal 4 4 4 2 4 6" xfId="33081"/>
    <cellStyle name="Normal 4 4 4 2 5" xfId="16420"/>
    <cellStyle name="Normal 4 4 4 2 5 2" xfId="16421"/>
    <cellStyle name="Normal 4 4 4 2 5 2 2" xfId="33087"/>
    <cellStyle name="Normal 4 4 4 2 5 3" xfId="16422"/>
    <cellStyle name="Normal 4 4 4 2 5 3 2" xfId="33088"/>
    <cellStyle name="Normal 4 4 4 2 5 4" xfId="16423"/>
    <cellStyle name="Normal 4 4 4 2 5 4 2" xfId="33089"/>
    <cellStyle name="Normal 4 4 4 2 5 5" xfId="16424"/>
    <cellStyle name="Normal 4 4 4 2 5 5 2" xfId="33090"/>
    <cellStyle name="Normal 4 4 4 2 5 6" xfId="33086"/>
    <cellStyle name="Normal 4 4 4 2 6" xfId="16425"/>
    <cellStyle name="Normal 4 4 4 2 6 2" xfId="16426"/>
    <cellStyle name="Normal 4 4 4 2 6 2 2" xfId="33092"/>
    <cellStyle name="Normal 4 4 4 2 6 3" xfId="16427"/>
    <cellStyle name="Normal 4 4 4 2 6 3 2" xfId="33093"/>
    <cellStyle name="Normal 4 4 4 2 6 4" xfId="16428"/>
    <cellStyle name="Normal 4 4 4 2 6 4 2" xfId="33094"/>
    <cellStyle name="Normal 4 4 4 2 6 5" xfId="16429"/>
    <cellStyle name="Normal 4 4 4 2 6 5 2" xfId="33095"/>
    <cellStyle name="Normal 4 4 4 2 6 6" xfId="33091"/>
    <cellStyle name="Normal 4 4 4 2 7" xfId="16430"/>
    <cellStyle name="Normal 4 4 4 2 7 2" xfId="16431"/>
    <cellStyle name="Normal 4 4 4 2 7 2 2" xfId="33097"/>
    <cellStyle name="Normal 4 4 4 2 7 3" xfId="16432"/>
    <cellStyle name="Normal 4 4 4 2 7 3 2" xfId="33098"/>
    <cellStyle name="Normal 4 4 4 2 7 4" xfId="16433"/>
    <cellStyle name="Normal 4 4 4 2 7 4 2" xfId="33099"/>
    <cellStyle name="Normal 4 4 4 2 7 5" xfId="16434"/>
    <cellStyle name="Normal 4 4 4 2 7 5 2" xfId="33100"/>
    <cellStyle name="Normal 4 4 4 2 7 6" xfId="33096"/>
    <cellStyle name="Normal 4 4 4 2 8" xfId="16435"/>
    <cellStyle name="Normal 4 4 4 2 8 2" xfId="33101"/>
    <cellStyle name="Normal 4 4 4 2 9" xfId="16436"/>
    <cellStyle name="Normal 4 4 4 2 9 2" xfId="33102"/>
    <cellStyle name="Normal 4 4 4 20" xfId="16437"/>
    <cellStyle name="Normal 4 4 4 20 2" xfId="33103"/>
    <cellStyle name="Normal 4 4 4 21" xfId="40709"/>
    <cellStyle name="Normal 4 4 4 22" xfId="33029"/>
    <cellStyle name="Normal 4 4 4 3" xfId="16438"/>
    <cellStyle name="Normal 4 4 4 3 2" xfId="16439"/>
    <cellStyle name="Normal 4 4 4 3 2 2" xfId="16440"/>
    <cellStyle name="Normal 4 4 4 3 2 2 2" xfId="33106"/>
    <cellStyle name="Normal 4 4 4 3 2 3" xfId="16441"/>
    <cellStyle name="Normal 4 4 4 3 2 3 2" xfId="33107"/>
    <cellStyle name="Normal 4 4 4 3 2 4" xfId="16442"/>
    <cellStyle name="Normal 4 4 4 3 2 4 2" xfId="33108"/>
    <cellStyle name="Normal 4 4 4 3 2 5" xfId="16443"/>
    <cellStyle name="Normal 4 4 4 3 2 5 2" xfId="33109"/>
    <cellStyle name="Normal 4 4 4 3 2 6" xfId="33105"/>
    <cellStyle name="Normal 4 4 4 3 3" xfId="16444"/>
    <cellStyle name="Normal 4 4 4 3 3 2" xfId="33110"/>
    <cellStyle name="Normal 4 4 4 3 4" xfId="16445"/>
    <cellStyle name="Normal 4 4 4 3 4 2" xfId="33111"/>
    <cellStyle name="Normal 4 4 4 3 5" xfId="16446"/>
    <cellStyle name="Normal 4 4 4 3 5 2" xfId="33112"/>
    <cellStyle name="Normal 4 4 4 3 6" xfId="16447"/>
    <cellStyle name="Normal 4 4 4 3 6 2" xfId="33113"/>
    <cellStyle name="Normal 4 4 4 3 7" xfId="33104"/>
    <cellStyle name="Normal 4 4 4 4" xfId="16448"/>
    <cellStyle name="Normal 4 4 4 4 2" xfId="16449"/>
    <cellStyle name="Normal 4 4 4 4 2 2" xfId="16450"/>
    <cellStyle name="Normal 4 4 4 4 2 2 2" xfId="33116"/>
    <cellStyle name="Normal 4 4 4 4 2 3" xfId="16451"/>
    <cellStyle name="Normal 4 4 4 4 2 3 2" xfId="33117"/>
    <cellStyle name="Normal 4 4 4 4 2 4" xfId="16452"/>
    <cellStyle name="Normal 4 4 4 4 2 4 2" xfId="33118"/>
    <cellStyle name="Normal 4 4 4 4 2 5" xfId="16453"/>
    <cellStyle name="Normal 4 4 4 4 2 5 2" xfId="33119"/>
    <cellStyle name="Normal 4 4 4 4 2 6" xfId="33115"/>
    <cellStyle name="Normal 4 4 4 4 3" xfId="16454"/>
    <cellStyle name="Normal 4 4 4 4 3 2" xfId="33120"/>
    <cellStyle name="Normal 4 4 4 4 4" xfId="16455"/>
    <cellStyle name="Normal 4 4 4 4 4 2" xfId="33121"/>
    <cellStyle name="Normal 4 4 4 4 5" xfId="16456"/>
    <cellStyle name="Normal 4 4 4 4 5 2" xfId="33122"/>
    <cellStyle name="Normal 4 4 4 4 6" xfId="16457"/>
    <cellStyle name="Normal 4 4 4 4 6 2" xfId="33123"/>
    <cellStyle name="Normal 4 4 4 4 7" xfId="33114"/>
    <cellStyle name="Normal 4 4 4 5" xfId="16458"/>
    <cellStyle name="Normal 4 4 4 5 2" xfId="16459"/>
    <cellStyle name="Normal 4 4 4 5 2 2" xfId="33125"/>
    <cellStyle name="Normal 4 4 4 5 3" xfId="16460"/>
    <cellStyle name="Normal 4 4 4 5 3 2" xfId="33126"/>
    <cellStyle name="Normal 4 4 4 5 4" xfId="16461"/>
    <cellStyle name="Normal 4 4 4 5 4 2" xfId="33127"/>
    <cellStyle name="Normal 4 4 4 5 5" xfId="16462"/>
    <cellStyle name="Normal 4 4 4 5 5 2" xfId="33128"/>
    <cellStyle name="Normal 4 4 4 5 6" xfId="33124"/>
    <cellStyle name="Normal 4 4 4 6" xfId="16463"/>
    <cellStyle name="Normal 4 4 4 6 2" xfId="16464"/>
    <cellStyle name="Normal 4 4 4 6 2 2" xfId="33130"/>
    <cellStyle name="Normal 4 4 4 6 3" xfId="16465"/>
    <cellStyle name="Normal 4 4 4 6 3 2" xfId="33131"/>
    <cellStyle name="Normal 4 4 4 6 4" xfId="16466"/>
    <cellStyle name="Normal 4 4 4 6 4 2" xfId="33132"/>
    <cellStyle name="Normal 4 4 4 6 5" xfId="16467"/>
    <cellStyle name="Normal 4 4 4 6 5 2" xfId="33133"/>
    <cellStyle name="Normal 4 4 4 6 6" xfId="33129"/>
    <cellStyle name="Normal 4 4 4 7" xfId="16468"/>
    <cellStyle name="Normal 4 4 4 7 2" xfId="16469"/>
    <cellStyle name="Normal 4 4 4 7 2 2" xfId="33135"/>
    <cellStyle name="Normal 4 4 4 7 3" xfId="16470"/>
    <cellStyle name="Normal 4 4 4 7 3 2" xfId="33136"/>
    <cellStyle name="Normal 4 4 4 7 4" xfId="16471"/>
    <cellStyle name="Normal 4 4 4 7 4 2" xfId="33137"/>
    <cellStyle name="Normal 4 4 4 7 5" xfId="16472"/>
    <cellStyle name="Normal 4 4 4 7 5 2" xfId="33138"/>
    <cellStyle name="Normal 4 4 4 7 6" xfId="33134"/>
    <cellStyle name="Normal 4 4 4 8" xfId="16473"/>
    <cellStyle name="Normal 4 4 4 8 2" xfId="16474"/>
    <cellStyle name="Normal 4 4 4 8 2 2" xfId="33140"/>
    <cellStyle name="Normal 4 4 4 8 3" xfId="16475"/>
    <cellStyle name="Normal 4 4 4 8 3 2" xfId="33141"/>
    <cellStyle name="Normal 4 4 4 8 4" xfId="16476"/>
    <cellStyle name="Normal 4 4 4 8 4 2" xfId="33142"/>
    <cellStyle name="Normal 4 4 4 8 5" xfId="16477"/>
    <cellStyle name="Normal 4 4 4 8 5 2" xfId="33143"/>
    <cellStyle name="Normal 4 4 4 8 6" xfId="33139"/>
    <cellStyle name="Normal 4 4 4 9" xfId="16478"/>
    <cellStyle name="Normal 4 4 4 9 2" xfId="16479"/>
    <cellStyle name="Normal 4 4 4 9 2 2" xfId="33145"/>
    <cellStyle name="Normal 4 4 4 9 3" xfId="16480"/>
    <cellStyle name="Normal 4 4 4 9 3 2" xfId="33146"/>
    <cellStyle name="Normal 4 4 4 9 4" xfId="16481"/>
    <cellStyle name="Normal 4 4 4 9 4 2" xfId="33147"/>
    <cellStyle name="Normal 4 4 4 9 5" xfId="16482"/>
    <cellStyle name="Normal 4 4 4 9 5 2" xfId="33148"/>
    <cellStyle name="Normal 4 4 4 9 6" xfId="33144"/>
    <cellStyle name="Normal 4 4 5" xfId="16483"/>
    <cellStyle name="Normal 4 4 5 10" xfId="16484"/>
    <cellStyle name="Normal 4 4 5 10 2" xfId="16485"/>
    <cellStyle name="Normal 4 4 5 10 2 2" xfId="33151"/>
    <cellStyle name="Normal 4 4 5 10 3" xfId="16486"/>
    <cellStyle name="Normal 4 4 5 10 3 2" xfId="33152"/>
    <cellStyle name="Normal 4 4 5 10 4" xfId="16487"/>
    <cellStyle name="Normal 4 4 5 10 4 2" xfId="33153"/>
    <cellStyle name="Normal 4 4 5 10 5" xfId="16488"/>
    <cellStyle name="Normal 4 4 5 10 5 2" xfId="33154"/>
    <cellStyle name="Normal 4 4 5 10 6" xfId="33150"/>
    <cellStyle name="Normal 4 4 5 11" xfId="16489"/>
    <cellStyle name="Normal 4 4 5 11 2" xfId="16490"/>
    <cellStyle name="Normal 4 4 5 11 2 2" xfId="33156"/>
    <cellStyle name="Normal 4 4 5 11 3" xfId="16491"/>
    <cellStyle name="Normal 4 4 5 11 3 2" xfId="33157"/>
    <cellStyle name="Normal 4 4 5 11 4" xfId="16492"/>
    <cellStyle name="Normal 4 4 5 11 4 2" xfId="33158"/>
    <cellStyle name="Normal 4 4 5 11 5" xfId="16493"/>
    <cellStyle name="Normal 4 4 5 11 5 2" xfId="33159"/>
    <cellStyle name="Normal 4 4 5 11 6" xfId="33155"/>
    <cellStyle name="Normal 4 4 5 12" xfId="16494"/>
    <cellStyle name="Normal 4 4 5 12 2" xfId="16495"/>
    <cellStyle name="Normal 4 4 5 12 2 2" xfId="33161"/>
    <cellStyle name="Normal 4 4 5 12 3" xfId="16496"/>
    <cellStyle name="Normal 4 4 5 12 3 2" xfId="33162"/>
    <cellStyle name="Normal 4 4 5 12 4" xfId="16497"/>
    <cellStyle name="Normal 4 4 5 12 4 2" xfId="33163"/>
    <cellStyle name="Normal 4 4 5 12 5" xfId="16498"/>
    <cellStyle name="Normal 4 4 5 12 5 2" xfId="33164"/>
    <cellStyle name="Normal 4 4 5 12 6" xfId="33160"/>
    <cellStyle name="Normal 4 4 5 13" xfId="16499"/>
    <cellStyle name="Normal 4 4 5 13 2" xfId="16500"/>
    <cellStyle name="Normal 4 4 5 13 2 2" xfId="33166"/>
    <cellStyle name="Normal 4 4 5 13 3" xfId="16501"/>
    <cellStyle name="Normal 4 4 5 13 3 2" xfId="33167"/>
    <cellStyle name="Normal 4 4 5 13 4" xfId="16502"/>
    <cellStyle name="Normal 4 4 5 13 4 2" xfId="33168"/>
    <cellStyle name="Normal 4 4 5 13 5" xfId="16503"/>
    <cellStyle name="Normal 4 4 5 13 5 2" xfId="33169"/>
    <cellStyle name="Normal 4 4 5 13 6" xfId="33165"/>
    <cellStyle name="Normal 4 4 5 14" xfId="16504"/>
    <cellStyle name="Normal 4 4 5 14 2" xfId="16505"/>
    <cellStyle name="Normal 4 4 5 14 2 2" xfId="33171"/>
    <cellStyle name="Normal 4 4 5 14 3" xfId="16506"/>
    <cellStyle name="Normal 4 4 5 14 3 2" xfId="33172"/>
    <cellStyle name="Normal 4 4 5 14 4" xfId="16507"/>
    <cellStyle name="Normal 4 4 5 14 4 2" xfId="33173"/>
    <cellStyle name="Normal 4 4 5 14 5" xfId="16508"/>
    <cellStyle name="Normal 4 4 5 14 5 2" xfId="33174"/>
    <cellStyle name="Normal 4 4 5 14 6" xfId="33170"/>
    <cellStyle name="Normal 4 4 5 15" xfId="16509"/>
    <cellStyle name="Normal 4 4 5 15 2" xfId="16510"/>
    <cellStyle name="Normal 4 4 5 15 2 2" xfId="33176"/>
    <cellStyle name="Normal 4 4 5 15 3" xfId="16511"/>
    <cellStyle name="Normal 4 4 5 15 3 2" xfId="33177"/>
    <cellStyle name="Normal 4 4 5 15 4" xfId="16512"/>
    <cellStyle name="Normal 4 4 5 15 4 2" xfId="33178"/>
    <cellStyle name="Normal 4 4 5 15 5" xfId="16513"/>
    <cellStyle name="Normal 4 4 5 15 5 2" xfId="33179"/>
    <cellStyle name="Normal 4 4 5 15 6" xfId="33175"/>
    <cellStyle name="Normal 4 4 5 16" xfId="16514"/>
    <cellStyle name="Normal 4 4 5 16 2" xfId="16515"/>
    <cellStyle name="Normal 4 4 5 16 2 2" xfId="33181"/>
    <cellStyle name="Normal 4 4 5 16 3" xfId="16516"/>
    <cellStyle name="Normal 4 4 5 16 3 2" xfId="33182"/>
    <cellStyle name="Normal 4 4 5 16 4" xfId="16517"/>
    <cellStyle name="Normal 4 4 5 16 4 2" xfId="33183"/>
    <cellStyle name="Normal 4 4 5 16 5" xfId="16518"/>
    <cellStyle name="Normal 4 4 5 16 5 2" xfId="33184"/>
    <cellStyle name="Normal 4 4 5 16 6" xfId="33180"/>
    <cellStyle name="Normal 4 4 5 17" xfId="16519"/>
    <cellStyle name="Normal 4 4 5 17 2" xfId="33185"/>
    <cellStyle name="Normal 4 4 5 18" xfId="16520"/>
    <cellStyle name="Normal 4 4 5 18 2" xfId="33186"/>
    <cellStyle name="Normal 4 4 5 19" xfId="16521"/>
    <cellStyle name="Normal 4 4 5 19 2" xfId="33187"/>
    <cellStyle name="Normal 4 4 5 2" xfId="16522"/>
    <cellStyle name="Normal 4 4 5 2 10" xfId="16523"/>
    <cellStyle name="Normal 4 4 5 2 10 2" xfId="33189"/>
    <cellStyle name="Normal 4 4 5 2 11" xfId="16524"/>
    <cellStyle name="Normal 4 4 5 2 11 2" xfId="33190"/>
    <cellStyle name="Normal 4 4 5 2 12" xfId="33188"/>
    <cellStyle name="Normal 4 4 5 2 2" xfId="16525"/>
    <cellStyle name="Normal 4 4 5 2 2 2" xfId="16526"/>
    <cellStyle name="Normal 4 4 5 2 2 2 2" xfId="33192"/>
    <cellStyle name="Normal 4 4 5 2 2 3" xfId="16527"/>
    <cellStyle name="Normal 4 4 5 2 2 3 2" xfId="33193"/>
    <cellStyle name="Normal 4 4 5 2 2 4" xfId="16528"/>
    <cellStyle name="Normal 4 4 5 2 2 4 2" xfId="33194"/>
    <cellStyle name="Normal 4 4 5 2 2 5" xfId="16529"/>
    <cellStyle name="Normal 4 4 5 2 2 5 2" xfId="33195"/>
    <cellStyle name="Normal 4 4 5 2 2 6" xfId="33191"/>
    <cellStyle name="Normal 4 4 5 2 3" xfId="16530"/>
    <cellStyle name="Normal 4 4 5 2 3 2" xfId="16531"/>
    <cellStyle name="Normal 4 4 5 2 3 2 2" xfId="33197"/>
    <cellStyle name="Normal 4 4 5 2 3 3" xfId="16532"/>
    <cellStyle name="Normal 4 4 5 2 3 3 2" xfId="33198"/>
    <cellStyle name="Normal 4 4 5 2 3 4" xfId="16533"/>
    <cellStyle name="Normal 4 4 5 2 3 4 2" xfId="33199"/>
    <cellStyle name="Normal 4 4 5 2 3 5" xfId="16534"/>
    <cellStyle name="Normal 4 4 5 2 3 5 2" xfId="33200"/>
    <cellStyle name="Normal 4 4 5 2 3 6" xfId="33196"/>
    <cellStyle name="Normal 4 4 5 2 4" xfId="16535"/>
    <cellStyle name="Normal 4 4 5 2 4 2" xfId="16536"/>
    <cellStyle name="Normal 4 4 5 2 4 2 2" xfId="33202"/>
    <cellStyle name="Normal 4 4 5 2 4 3" xfId="16537"/>
    <cellStyle name="Normal 4 4 5 2 4 3 2" xfId="33203"/>
    <cellStyle name="Normal 4 4 5 2 4 4" xfId="16538"/>
    <cellStyle name="Normal 4 4 5 2 4 4 2" xfId="33204"/>
    <cellStyle name="Normal 4 4 5 2 4 5" xfId="16539"/>
    <cellStyle name="Normal 4 4 5 2 4 5 2" xfId="33205"/>
    <cellStyle name="Normal 4 4 5 2 4 6" xfId="33201"/>
    <cellStyle name="Normal 4 4 5 2 5" xfId="16540"/>
    <cellStyle name="Normal 4 4 5 2 5 2" xfId="16541"/>
    <cellStyle name="Normal 4 4 5 2 5 2 2" xfId="33207"/>
    <cellStyle name="Normal 4 4 5 2 5 3" xfId="16542"/>
    <cellStyle name="Normal 4 4 5 2 5 3 2" xfId="33208"/>
    <cellStyle name="Normal 4 4 5 2 5 4" xfId="16543"/>
    <cellStyle name="Normal 4 4 5 2 5 4 2" xfId="33209"/>
    <cellStyle name="Normal 4 4 5 2 5 5" xfId="16544"/>
    <cellStyle name="Normal 4 4 5 2 5 5 2" xfId="33210"/>
    <cellStyle name="Normal 4 4 5 2 5 6" xfId="33206"/>
    <cellStyle name="Normal 4 4 5 2 6" xfId="16545"/>
    <cellStyle name="Normal 4 4 5 2 6 2" xfId="16546"/>
    <cellStyle name="Normal 4 4 5 2 6 2 2" xfId="33212"/>
    <cellStyle name="Normal 4 4 5 2 6 3" xfId="16547"/>
    <cellStyle name="Normal 4 4 5 2 6 3 2" xfId="33213"/>
    <cellStyle name="Normal 4 4 5 2 6 4" xfId="16548"/>
    <cellStyle name="Normal 4 4 5 2 6 4 2" xfId="33214"/>
    <cellStyle name="Normal 4 4 5 2 6 5" xfId="16549"/>
    <cellStyle name="Normal 4 4 5 2 6 5 2" xfId="33215"/>
    <cellStyle name="Normal 4 4 5 2 6 6" xfId="33211"/>
    <cellStyle name="Normal 4 4 5 2 7" xfId="16550"/>
    <cellStyle name="Normal 4 4 5 2 7 2" xfId="16551"/>
    <cellStyle name="Normal 4 4 5 2 7 2 2" xfId="33217"/>
    <cellStyle name="Normal 4 4 5 2 7 3" xfId="16552"/>
    <cellStyle name="Normal 4 4 5 2 7 3 2" xfId="33218"/>
    <cellStyle name="Normal 4 4 5 2 7 4" xfId="16553"/>
    <cellStyle name="Normal 4 4 5 2 7 4 2" xfId="33219"/>
    <cellStyle name="Normal 4 4 5 2 7 5" xfId="16554"/>
    <cellStyle name="Normal 4 4 5 2 7 5 2" xfId="33220"/>
    <cellStyle name="Normal 4 4 5 2 7 6" xfId="33216"/>
    <cellStyle name="Normal 4 4 5 2 8" xfId="16555"/>
    <cellStyle name="Normal 4 4 5 2 8 2" xfId="33221"/>
    <cellStyle name="Normal 4 4 5 2 9" xfId="16556"/>
    <cellStyle name="Normal 4 4 5 2 9 2" xfId="33222"/>
    <cellStyle name="Normal 4 4 5 20" xfId="16557"/>
    <cellStyle name="Normal 4 4 5 20 2" xfId="33223"/>
    <cellStyle name="Normal 4 4 5 21" xfId="33149"/>
    <cellStyle name="Normal 4 4 5 3" xfId="16558"/>
    <cellStyle name="Normal 4 4 5 3 2" xfId="16559"/>
    <cellStyle name="Normal 4 4 5 3 2 2" xfId="16560"/>
    <cellStyle name="Normal 4 4 5 3 2 2 2" xfId="33226"/>
    <cellStyle name="Normal 4 4 5 3 2 3" xfId="16561"/>
    <cellStyle name="Normal 4 4 5 3 2 3 2" xfId="33227"/>
    <cellStyle name="Normal 4 4 5 3 2 4" xfId="16562"/>
    <cellStyle name="Normal 4 4 5 3 2 4 2" xfId="33228"/>
    <cellStyle name="Normal 4 4 5 3 2 5" xfId="16563"/>
    <cellStyle name="Normal 4 4 5 3 2 5 2" xfId="33229"/>
    <cellStyle name="Normal 4 4 5 3 2 6" xfId="33225"/>
    <cellStyle name="Normal 4 4 5 3 3" xfId="16564"/>
    <cellStyle name="Normal 4 4 5 3 3 2" xfId="33230"/>
    <cellStyle name="Normal 4 4 5 3 4" xfId="16565"/>
    <cellStyle name="Normal 4 4 5 3 4 2" xfId="33231"/>
    <cellStyle name="Normal 4 4 5 3 5" xfId="16566"/>
    <cellStyle name="Normal 4 4 5 3 5 2" xfId="33232"/>
    <cellStyle name="Normal 4 4 5 3 6" xfId="16567"/>
    <cellStyle name="Normal 4 4 5 3 6 2" xfId="33233"/>
    <cellStyle name="Normal 4 4 5 3 7" xfId="33224"/>
    <cellStyle name="Normal 4 4 5 4" xfId="16568"/>
    <cellStyle name="Normal 4 4 5 4 2" xfId="16569"/>
    <cellStyle name="Normal 4 4 5 4 2 2" xfId="16570"/>
    <cellStyle name="Normal 4 4 5 4 2 2 2" xfId="33236"/>
    <cellStyle name="Normal 4 4 5 4 2 3" xfId="16571"/>
    <cellStyle name="Normal 4 4 5 4 2 3 2" xfId="33237"/>
    <cellStyle name="Normal 4 4 5 4 2 4" xfId="16572"/>
    <cellStyle name="Normal 4 4 5 4 2 4 2" xfId="33238"/>
    <cellStyle name="Normal 4 4 5 4 2 5" xfId="16573"/>
    <cellStyle name="Normal 4 4 5 4 2 5 2" xfId="33239"/>
    <cellStyle name="Normal 4 4 5 4 2 6" xfId="33235"/>
    <cellStyle name="Normal 4 4 5 4 3" xfId="16574"/>
    <cellStyle name="Normal 4 4 5 4 3 2" xfId="33240"/>
    <cellStyle name="Normal 4 4 5 4 4" xfId="16575"/>
    <cellStyle name="Normal 4 4 5 4 4 2" xfId="33241"/>
    <cellStyle name="Normal 4 4 5 4 5" xfId="16576"/>
    <cellStyle name="Normal 4 4 5 4 5 2" xfId="33242"/>
    <cellStyle name="Normal 4 4 5 4 6" xfId="16577"/>
    <cellStyle name="Normal 4 4 5 4 6 2" xfId="33243"/>
    <cellStyle name="Normal 4 4 5 4 7" xfId="33234"/>
    <cellStyle name="Normal 4 4 5 5" xfId="16578"/>
    <cellStyle name="Normal 4 4 5 5 2" xfId="16579"/>
    <cellStyle name="Normal 4 4 5 5 2 2" xfId="33245"/>
    <cellStyle name="Normal 4 4 5 5 3" xfId="16580"/>
    <cellStyle name="Normal 4 4 5 5 3 2" xfId="33246"/>
    <cellStyle name="Normal 4 4 5 5 4" xfId="16581"/>
    <cellStyle name="Normal 4 4 5 5 4 2" xfId="33247"/>
    <cellStyle name="Normal 4 4 5 5 5" xfId="16582"/>
    <cellStyle name="Normal 4 4 5 5 5 2" xfId="33248"/>
    <cellStyle name="Normal 4 4 5 5 6" xfId="33244"/>
    <cellStyle name="Normal 4 4 5 6" xfId="16583"/>
    <cellStyle name="Normal 4 4 5 6 2" xfId="16584"/>
    <cellStyle name="Normal 4 4 5 6 2 2" xfId="33250"/>
    <cellStyle name="Normal 4 4 5 6 3" xfId="16585"/>
    <cellStyle name="Normal 4 4 5 6 3 2" xfId="33251"/>
    <cellStyle name="Normal 4 4 5 6 4" xfId="16586"/>
    <cellStyle name="Normal 4 4 5 6 4 2" xfId="33252"/>
    <cellStyle name="Normal 4 4 5 6 5" xfId="16587"/>
    <cellStyle name="Normal 4 4 5 6 5 2" xfId="33253"/>
    <cellStyle name="Normal 4 4 5 6 6" xfId="33249"/>
    <cellStyle name="Normal 4 4 5 7" xfId="16588"/>
    <cellStyle name="Normal 4 4 5 7 2" xfId="16589"/>
    <cellStyle name="Normal 4 4 5 7 2 2" xfId="33255"/>
    <cellStyle name="Normal 4 4 5 7 3" xfId="16590"/>
    <cellStyle name="Normal 4 4 5 7 3 2" xfId="33256"/>
    <cellStyle name="Normal 4 4 5 7 4" xfId="16591"/>
    <cellStyle name="Normal 4 4 5 7 4 2" xfId="33257"/>
    <cellStyle name="Normal 4 4 5 7 5" xfId="16592"/>
    <cellStyle name="Normal 4 4 5 7 5 2" xfId="33258"/>
    <cellStyle name="Normal 4 4 5 7 6" xfId="33254"/>
    <cellStyle name="Normal 4 4 5 8" xfId="16593"/>
    <cellStyle name="Normal 4 4 5 8 2" xfId="16594"/>
    <cellStyle name="Normal 4 4 5 8 2 2" xfId="33260"/>
    <cellStyle name="Normal 4 4 5 8 3" xfId="16595"/>
    <cellStyle name="Normal 4 4 5 8 3 2" xfId="33261"/>
    <cellStyle name="Normal 4 4 5 8 4" xfId="16596"/>
    <cellStyle name="Normal 4 4 5 8 4 2" xfId="33262"/>
    <cellStyle name="Normal 4 4 5 8 5" xfId="16597"/>
    <cellStyle name="Normal 4 4 5 8 5 2" xfId="33263"/>
    <cellStyle name="Normal 4 4 5 8 6" xfId="33259"/>
    <cellStyle name="Normal 4 4 5 9" xfId="16598"/>
    <cellStyle name="Normal 4 4 5 9 2" xfId="16599"/>
    <cellStyle name="Normal 4 4 5 9 2 2" xfId="33265"/>
    <cellStyle name="Normal 4 4 5 9 3" xfId="16600"/>
    <cellStyle name="Normal 4 4 5 9 3 2" xfId="33266"/>
    <cellStyle name="Normal 4 4 5 9 4" xfId="16601"/>
    <cellStyle name="Normal 4 4 5 9 4 2" xfId="33267"/>
    <cellStyle name="Normal 4 4 5 9 5" xfId="16602"/>
    <cellStyle name="Normal 4 4 5 9 5 2" xfId="33268"/>
    <cellStyle name="Normal 4 4 5 9 6" xfId="33264"/>
    <cellStyle name="Normal 4 4 6" xfId="16603"/>
    <cellStyle name="Normal 4 4 6 10" xfId="16604"/>
    <cellStyle name="Normal 4 4 6 11" xfId="16605"/>
    <cellStyle name="Normal 4 4 6 12" xfId="16606"/>
    <cellStyle name="Normal 4 4 6 13" xfId="16607"/>
    <cellStyle name="Normal 4 4 6 14" xfId="16608"/>
    <cellStyle name="Normal 4 4 6 15" xfId="16609"/>
    <cellStyle name="Normal 4 4 6 16" xfId="16610"/>
    <cellStyle name="Normal 4 4 6 2" xfId="16611"/>
    <cellStyle name="Normal 4 4 6 3" xfId="16612"/>
    <cellStyle name="Normal 4 4 6 4" xfId="16613"/>
    <cellStyle name="Normal 4 4 6 5" xfId="16614"/>
    <cellStyle name="Normal 4 4 6 6" xfId="16615"/>
    <cellStyle name="Normal 4 4 6 7" xfId="16616"/>
    <cellStyle name="Normal 4 4 6 8" xfId="16617"/>
    <cellStyle name="Normal 4 4 6 9" xfId="16618"/>
    <cellStyle name="Normal 4 4 7" xfId="16619"/>
    <cellStyle name="Normal 4 4 7 10" xfId="16620"/>
    <cellStyle name="Normal 4 4 7 11" xfId="16621"/>
    <cellStyle name="Normal 4 4 7 12" xfId="16622"/>
    <cellStyle name="Normal 4 4 7 13" xfId="16623"/>
    <cellStyle name="Normal 4 4 7 14" xfId="16624"/>
    <cellStyle name="Normal 4 4 7 15" xfId="16625"/>
    <cellStyle name="Normal 4 4 7 16" xfId="16626"/>
    <cellStyle name="Normal 4 4 7 2" xfId="16627"/>
    <cellStyle name="Normal 4 4 7 3" xfId="16628"/>
    <cellStyle name="Normal 4 4 7 4" xfId="16629"/>
    <cellStyle name="Normal 4 4 7 5" xfId="16630"/>
    <cellStyle name="Normal 4 4 7 6" xfId="16631"/>
    <cellStyle name="Normal 4 4 7 7" xfId="16632"/>
    <cellStyle name="Normal 4 4 7 8" xfId="16633"/>
    <cellStyle name="Normal 4 4 7 9" xfId="16634"/>
    <cellStyle name="Normal 4 4 8" xfId="16635"/>
    <cellStyle name="Normal 4 4 8 10" xfId="16636"/>
    <cellStyle name="Normal 4 4 8 10 2" xfId="16637"/>
    <cellStyle name="Normal 4 4 8 10 2 2" xfId="33271"/>
    <cellStyle name="Normal 4 4 8 10 3" xfId="16638"/>
    <cellStyle name="Normal 4 4 8 10 3 2" xfId="33272"/>
    <cellStyle name="Normal 4 4 8 10 4" xfId="16639"/>
    <cellStyle name="Normal 4 4 8 10 4 2" xfId="33273"/>
    <cellStyle name="Normal 4 4 8 10 5" xfId="16640"/>
    <cellStyle name="Normal 4 4 8 10 5 2" xfId="33274"/>
    <cellStyle name="Normal 4 4 8 10 6" xfId="33270"/>
    <cellStyle name="Normal 4 4 8 11" xfId="16641"/>
    <cellStyle name="Normal 4 4 8 11 2" xfId="16642"/>
    <cellStyle name="Normal 4 4 8 11 2 2" xfId="33276"/>
    <cellStyle name="Normal 4 4 8 11 3" xfId="16643"/>
    <cellStyle name="Normal 4 4 8 11 3 2" xfId="33277"/>
    <cellStyle name="Normal 4 4 8 11 4" xfId="16644"/>
    <cellStyle name="Normal 4 4 8 11 4 2" xfId="33278"/>
    <cellStyle name="Normal 4 4 8 11 5" xfId="16645"/>
    <cellStyle name="Normal 4 4 8 11 5 2" xfId="33279"/>
    <cellStyle name="Normal 4 4 8 11 6" xfId="33275"/>
    <cellStyle name="Normal 4 4 8 12" xfId="16646"/>
    <cellStyle name="Normal 4 4 8 12 2" xfId="16647"/>
    <cellStyle name="Normal 4 4 8 12 2 2" xfId="33281"/>
    <cellStyle name="Normal 4 4 8 12 3" xfId="16648"/>
    <cellStyle name="Normal 4 4 8 12 3 2" xfId="33282"/>
    <cellStyle name="Normal 4 4 8 12 4" xfId="16649"/>
    <cellStyle name="Normal 4 4 8 12 4 2" xfId="33283"/>
    <cellStyle name="Normal 4 4 8 12 5" xfId="16650"/>
    <cellStyle name="Normal 4 4 8 12 5 2" xfId="33284"/>
    <cellStyle name="Normal 4 4 8 12 6" xfId="33280"/>
    <cellStyle name="Normal 4 4 8 13" xfId="16651"/>
    <cellStyle name="Normal 4 4 8 13 2" xfId="16652"/>
    <cellStyle name="Normal 4 4 8 13 2 2" xfId="33286"/>
    <cellStyle name="Normal 4 4 8 13 3" xfId="16653"/>
    <cellStyle name="Normal 4 4 8 13 3 2" xfId="33287"/>
    <cellStyle name="Normal 4 4 8 13 4" xfId="16654"/>
    <cellStyle name="Normal 4 4 8 13 4 2" xfId="33288"/>
    <cellStyle name="Normal 4 4 8 13 5" xfId="16655"/>
    <cellStyle name="Normal 4 4 8 13 5 2" xfId="33289"/>
    <cellStyle name="Normal 4 4 8 13 6" xfId="33285"/>
    <cellStyle name="Normal 4 4 8 14" xfId="16656"/>
    <cellStyle name="Normal 4 4 8 14 2" xfId="16657"/>
    <cellStyle name="Normal 4 4 8 14 2 2" xfId="33291"/>
    <cellStyle name="Normal 4 4 8 14 3" xfId="16658"/>
    <cellStyle name="Normal 4 4 8 14 3 2" xfId="33292"/>
    <cellStyle name="Normal 4 4 8 14 4" xfId="16659"/>
    <cellStyle name="Normal 4 4 8 14 4 2" xfId="33293"/>
    <cellStyle name="Normal 4 4 8 14 5" xfId="16660"/>
    <cellStyle name="Normal 4 4 8 14 5 2" xfId="33294"/>
    <cellStyle name="Normal 4 4 8 14 6" xfId="33290"/>
    <cellStyle name="Normal 4 4 8 15" xfId="16661"/>
    <cellStyle name="Normal 4 4 8 15 2" xfId="16662"/>
    <cellStyle name="Normal 4 4 8 15 2 2" xfId="33296"/>
    <cellStyle name="Normal 4 4 8 15 3" xfId="16663"/>
    <cellStyle name="Normal 4 4 8 15 3 2" xfId="33297"/>
    <cellStyle name="Normal 4 4 8 15 4" xfId="16664"/>
    <cellStyle name="Normal 4 4 8 15 4 2" xfId="33298"/>
    <cellStyle name="Normal 4 4 8 15 5" xfId="16665"/>
    <cellStyle name="Normal 4 4 8 15 5 2" xfId="33299"/>
    <cellStyle name="Normal 4 4 8 15 6" xfId="33295"/>
    <cellStyle name="Normal 4 4 8 16" xfId="16666"/>
    <cellStyle name="Normal 4 4 8 16 2" xfId="16667"/>
    <cellStyle name="Normal 4 4 8 16 2 2" xfId="33301"/>
    <cellStyle name="Normal 4 4 8 16 3" xfId="16668"/>
    <cellStyle name="Normal 4 4 8 16 3 2" xfId="33302"/>
    <cellStyle name="Normal 4 4 8 16 4" xfId="16669"/>
    <cellStyle name="Normal 4 4 8 16 4 2" xfId="33303"/>
    <cellStyle name="Normal 4 4 8 16 5" xfId="16670"/>
    <cellStyle name="Normal 4 4 8 16 5 2" xfId="33304"/>
    <cellStyle name="Normal 4 4 8 16 6" xfId="33300"/>
    <cellStyle name="Normal 4 4 8 17" xfId="16671"/>
    <cellStyle name="Normal 4 4 8 17 2" xfId="33305"/>
    <cellStyle name="Normal 4 4 8 18" xfId="16672"/>
    <cellStyle name="Normal 4 4 8 18 2" xfId="33306"/>
    <cellStyle name="Normal 4 4 8 19" xfId="16673"/>
    <cellStyle name="Normal 4 4 8 19 2" xfId="33307"/>
    <cellStyle name="Normal 4 4 8 2" xfId="16674"/>
    <cellStyle name="Normal 4 4 8 20" xfId="16675"/>
    <cellStyle name="Normal 4 4 8 20 2" xfId="33308"/>
    <cellStyle name="Normal 4 4 8 21" xfId="33269"/>
    <cellStyle name="Normal 4 4 8 3" xfId="16676"/>
    <cellStyle name="Normal 4 4 8 3 2" xfId="16677"/>
    <cellStyle name="Normal 4 4 8 3 2 2" xfId="33310"/>
    <cellStyle name="Normal 4 4 8 3 3" xfId="16678"/>
    <cellStyle name="Normal 4 4 8 3 3 2" xfId="33311"/>
    <cellStyle name="Normal 4 4 8 3 4" xfId="16679"/>
    <cellStyle name="Normal 4 4 8 3 4 2" xfId="33312"/>
    <cellStyle name="Normal 4 4 8 3 5" xfId="16680"/>
    <cellStyle name="Normal 4 4 8 3 5 2" xfId="33313"/>
    <cellStyle name="Normal 4 4 8 3 6" xfId="33309"/>
    <cellStyle name="Normal 4 4 8 4" xfId="16681"/>
    <cellStyle name="Normal 4 4 8 4 2" xfId="16682"/>
    <cellStyle name="Normal 4 4 8 4 2 2" xfId="33315"/>
    <cellStyle name="Normal 4 4 8 4 3" xfId="16683"/>
    <cellStyle name="Normal 4 4 8 4 3 2" xfId="33316"/>
    <cellStyle name="Normal 4 4 8 4 4" xfId="16684"/>
    <cellStyle name="Normal 4 4 8 4 4 2" xfId="33317"/>
    <cellStyle name="Normal 4 4 8 4 5" xfId="16685"/>
    <cellStyle name="Normal 4 4 8 4 5 2" xfId="33318"/>
    <cellStyle name="Normal 4 4 8 4 6" xfId="33314"/>
    <cellStyle name="Normal 4 4 8 5" xfId="16686"/>
    <cellStyle name="Normal 4 4 8 5 2" xfId="16687"/>
    <cellStyle name="Normal 4 4 8 5 2 2" xfId="33320"/>
    <cellStyle name="Normal 4 4 8 5 3" xfId="16688"/>
    <cellStyle name="Normal 4 4 8 5 3 2" xfId="33321"/>
    <cellStyle name="Normal 4 4 8 5 4" xfId="16689"/>
    <cellStyle name="Normal 4 4 8 5 4 2" xfId="33322"/>
    <cellStyle name="Normal 4 4 8 5 5" xfId="16690"/>
    <cellStyle name="Normal 4 4 8 5 5 2" xfId="33323"/>
    <cellStyle name="Normal 4 4 8 5 6" xfId="33319"/>
    <cellStyle name="Normal 4 4 8 6" xfId="16691"/>
    <cellStyle name="Normal 4 4 8 6 2" xfId="16692"/>
    <cellStyle name="Normal 4 4 8 6 2 2" xfId="33325"/>
    <cellStyle name="Normal 4 4 8 6 3" xfId="16693"/>
    <cellStyle name="Normal 4 4 8 6 3 2" xfId="33326"/>
    <cellStyle name="Normal 4 4 8 6 4" xfId="16694"/>
    <cellStyle name="Normal 4 4 8 6 4 2" xfId="33327"/>
    <cellStyle name="Normal 4 4 8 6 5" xfId="16695"/>
    <cellStyle name="Normal 4 4 8 6 5 2" xfId="33328"/>
    <cellStyle name="Normal 4 4 8 6 6" xfId="33324"/>
    <cellStyle name="Normal 4 4 8 7" xfId="16696"/>
    <cellStyle name="Normal 4 4 8 7 2" xfId="16697"/>
    <cellStyle name="Normal 4 4 8 7 2 2" xfId="33330"/>
    <cellStyle name="Normal 4 4 8 7 3" xfId="16698"/>
    <cellStyle name="Normal 4 4 8 7 3 2" xfId="33331"/>
    <cellStyle name="Normal 4 4 8 7 4" xfId="16699"/>
    <cellStyle name="Normal 4 4 8 7 4 2" xfId="33332"/>
    <cellStyle name="Normal 4 4 8 7 5" xfId="16700"/>
    <cellStyle name="Normal 4 4 8 7 5 2" xfId="33333"/>
    <cellStyle name="Normal 4 4 8 7 6" xfId="33329"/>
    <cellStyle name="Normal 4 4 8 8" xfId="16701"/>
    <cellStyle name="Normal 4 4 8 8 2" xfId="16702"/>
    <cellStyle name="Normal 4 4 8 8 2 2" xfId="33335"/>
    <cellStyle name="Normal 4 4 8 8 3" xfId="16703"/>
    <cellStyle name="Normal 4 4 8 8 3 2" xfId="33336"/>
    <cellStyle name="Normal 4 4 8 8 4" xfId="16704"/>
    <cellStyle name="Normal 4 4 8 8 4 2" xfId="33337"/>
    <cellStyle name="Normal 4 4 8 8 5" xfId="16705"/>
    <cellStyle name="Normal 4 4 8 8 5 2" xfId="33338"/>
    <cellStyle name="Normal 4 4 8 8 6" xfId="33334"/>
    <cellStyle name="Normal 4 4 8 9" xfId="16706"/>
    <cellStyle name="Normal 4 4 8 9 2" xfId="16707"/>
    <cellStyle name="Normal 4 4 8 9 2 2" xfId="33340"/>
    <cellStyle name="Normal 4 4 8 9 3" xfId="16708"/>
    <cellStyle name="Normal 4 4 8 9 3 2" xfId="33341"/>
    <cellStyle name="Normal 4 4 8 9 4" xfId="16709"/>
    <cellStyle name="Normal 4 4 8 9 4 2" xfId="33342"/>
    <cellStyle name="Normal 4 4 8 9 5" xfId="16710"/>
    <cellStyle name="Normal 4 4 8 9 5 2" xfId="33343"/>
    <cellStyle name="Normal 4 4 8 9 6" xfId="33339"/>
    <cellStyle name="Normal 4 4 9" xfId="16711"/>
    <cellStyle name="Normal 4 4 9 2" xfId="16712"/>
    <cellStyle name="Normal 4 4 9 3" xfId="16713"/>
    <cellStyle name="Normal 4 4 9 3 2" xfId="33345"/>
    <cellStyle name="Normal 4 4 9 4" xfId="16714"/>
    <cellStyle name="Normal 4 4 9 4 2" xfId="33346"/>
    <cellStyle name="Normal 4 4 9 5" xfId="16715"/>
    <cellStyle name="Normal 4 4 9 5 2" xfId="33347"/>
    <cellStyle name="Normal 4 4 9 6" xfId="16716"/>
    <cellStyle name="Normal 4 4 9 6 2" xfId="33348"/>
    <cellStyle name="Normal 4 4 9 7" xfId="33344"/>
    <cellStyle name="Normal 4 40" xfId="16717"/>
    <cellStyle name="Normal 4 40 2" xfId="33349"/>
    <cellStyle name="Normal 4 41" xfId="41065"/>
    <cellStyle name="Normal 4 5" xfId="16718"/>
    <cellStyle name="Normal 4 5 10" xfId="16719"/>
    <cellStyle name="Normal 4 5 10 2" xfId="16720"/>
    <cellStyle name="Normal 4 5 10 2 2" xfId="33351"/>
    <cellStyle name="Normal 4 5 10 3" xfId="16721"/>
    <cellStyle name="Normal 4 5 10 3 2" xfId="33352"/>
    <cellStyle name="Normal 4 5 10 4" xfId="16722"/>
    <cellStyle name="Normal 4 5 10 4 2" xfId="33353"/>
    <cellStyle name="Normal 4 5 10 5" xfId="16723"/>
    <cellStyle name="Normal 4 5 10 5 2" xfId="33354"/>
    <cellStyle name="Normal 4 5 10 6" xfId="33350"/>
    <cellStyle name="Normal 4 5 11" xfId="16724"/>
    <cellStyle name="Normal 4 5 11 2" xfId="16725"/>
    <cellStyle name="Normal 4 5 11 2 2" xfId="33356"/>
    <cellStyle name="Normal 4 5 11 3" xfId="16726"/>
    <cellStyle name="Normal 4 5 11 3 2" xfId="33357"/>
    <cellStyle name="Normal 4 5 11 4" xfId="16727"/>
    <cellStyle name="Normal 4 5 11 4 2" xfId="33358"/>
    <cellStyle name="Normal 4 5 11 5" xfId="16728"/>
    <cellStyle name="Normal 4 5 11 5 2" xfId="33359"/>
    <cellStyle name="Normal 4 5 11 6" xfId="33355"/>
    <cellStyle name="Normal 4 5 12" xfId="16729"/>
    <cellStyle name="Normal 4 5 12 2" xfId="16730"/>
    <cellStyle name="Normal 4 5 12 2 2" xfId="33361"/>
    <cellStyle name="Normal 4 5 12 3" xfId="16731"/>
    <cellStyle name="Normal 4 5 12 3 2" xfId="33362"/>
    <cellStyle name="Normal 4 5 12 4" xfId="16732"/>
    <cellStyle name="Normal 4 5 12 4 2" xfId="33363"/>
    <cellStyle name="Normal 4 5 12 5" xfId="16733"/>
    <cellStyle name="Normal 4 5 12 5 2" xfId="33364"/>
    <cellStyle name="Normal 4 5 12 6" xfId="33360"/>
    <cellStyle name="Normal 4 5 13" xfId="16734"/>
    <cellStyle name="Normal 4 5 13 2" xfId="16735"/>
    <cellStyle name="Normal 4 5 13 2 2" xfId="33366"/>
    <cellStyle name="Normal 4 5 13 3" xfId="16736"/>
    <cellStyle name="Normal 4 5 13 3 2" xfId="33367"/>
    <cellStyle name="Normal 4 5 13 4" xfId="16737"/>
    <cellStyle name="Normal 4 5 13 4 2" xfId="33368"/>
    <cellStyle name="Normal 4 5 13 5" xfId="16738"/>
    <cellStyle name="Normal 4 5 13 5 2" xfId="33369"/>
    <cellStyle name="Normal 4 5 13 6" xfId="33365"/>
    <cellStyle name="Normal 4 5 14" xfId="16739"/>
    <cellStyle name="Normal 4 5 14 2" xfId="16740"/>
    <cellStyle name="Normal 4 5 14 2 2" xfId="33371"/>
    <cellStyle name="Normal 4 5 14 3" xfId="16741"/>
    <cellStyle name="Normal 4 5 14 3 2" xfId="33372"/>
    <cellStyle name="Normal 4 5 14 4" xfId="16742"/>
    <cellStyle name="Normal 4 5 14 4 2" xfId="33373"/>
    <cellStyle name="Normal 4 5 14 5" xfId="16743"/>
    <cellStyle name="Normal 4 5 14 5 2" xfId="33374"/>
    <cellStyle name="Normal 4 5 14 6" xfId="33370"/>
    <cellStyle name="Normal 4 5 15" xfId="16744"/>
    <cellStyle name="Normal 4 5 15 2" xfId="16745"/>
    <cellStyle name="Normal 4 5 15 2 2" xfId="33376"/>
    <cellStyle name="Normal 4 5 15 3" xfId="16746"/>
    <cellStyle name="Normal 4 5 15 3 2" xfId="33377"/>
    <cellStyle name="Normal 4 5 15 4" xfId="16747"/>
    <cellStyle name="Normal 4 5 15 4 2" xfId="33378"/>
    <cellStyle name="Normal 4 5 15 5" xfId="16748"/>
    <cellStyle name="Normal 4 5 15 5 2" xfId="33379"/>
    <cellStyle name="Normal 4 5 15 6" xfId="33375"/>
    <cellStyle name="Normal 4 5 16" xfId="16749"/>
    <cellStyle name="Normal 4 5 16 2" xfId="16750"/>
    <cellStyle name="Normal 4 5 16 2 2" xfId="33381"/>
    <cellStyle name="Normal 4 5 16 3" xfId="16751"/>
    <cellStyle name="Normal 4 5 16 3 2" xfId="33382"/>
    <cellStyle name="Normal 4 5 16 4" xfId="16752"/>
    <cellStyle name="Normal 4 5 16 4 2" xfId="33383"/>
    <cellStyle name="Normal 4 5 16 5" xfId="16753"/>
    <cellStyle name="Normal 4 5 16 5 2" xfId="33384"/>
    <cellStyle name="Normal 4 5 16 6" xfId="33380"/>
    <cellStyle name="Normal 4 5 17" xfId="16754"/>
    <cellStyle name="Normal 4 5 17 2" xfId="16755"/>
    <cellStyle name="Normal 4 5 17 2 2" xfId="33386"/>
    <cellStyle name="Normal 4 5 17 3" xfId="16756"/>
    <cellStyle name="Normal 4 5 17 3 2" xfId="33387"/>
    <cellStyle name="Normal 4 5 17 4" xfId="16757"/>
    <cellStyle name="Normal 4 5 17 4 2" xfId="33388"/>
    <cellStyle name="Normal 4 5 17 5" xfId="16758"/>
    <cellStyle name="Normal 4 5 17 5 2" xfId="33389"/>
    <cellStyle name="Normal 4 5 17 6" xfId="33385"/>
    <cellStyle name="Normal 4 5 18" xfId="16759"/>
    <cellStyle name="Normal 4 5 18 2" xfId="16760"/>
    <cellStyle name="Normal 4 5 18 2 2" xfId="33391"/>
    <cellStyle name="Normal 4 5 18 3" xfId="16761"/>
    <cellStyle name="Normal 4 5 18 3 2" xfId="33392"/>
    <cellStyle name="Normal 4 5 18 4" xfId="16762"/>
    <cellStyle name="Normal 4 5 18 4 2" xfId="33393"/>
    <cellStyle name="Normal 4 5 18 5" xfId="16763"/>
    <cellStyle name="Normal 4 5 18 5 2" xfId="33394"/>
    <cellStyle name="Normal 4 5 18 6" xfId="33390"/>
    <cellStyle name="Normal 4 5 19" xfId="16764"/>
    <cellStyle name="Normal 4 5 19 2" xfId="16765"/>
    <cellStyle name="Normal 4 5 19 2 2" xfId="33396"/>
    <cellStyle name="Normal 4 5 19 3" xfId="16766"/>
    <cellStyle name="Normal 4 5 19 3 2" xfId="33397"/>
    <cellStyle name="Normal 4 5 19 4" xfId="16767"/>
    <cellStyle name="Normal 4 5 19 4 2" xfId="33398"/>
    <cellStyle name="Normal 4 5 19 5" xfId="16768"/>
    <cellStyle name="Normal 4 5 19 5 2" xfId="33399"/>
    <cellStyle name="Normal 4 5 19 6" xfId="33395"/>
    <cellStyle name="Normal 4 5 2" xfId="16769"/>
    <cellStyle name="Normal 4 5 2 10" xfId="16770"/>
    <cellStyle name="Normal 4 5 2 10 2" xfId="16771"/>
    <cellStyle name="Normal 4 5 2 10 2 2" xfId="33402"/>
    <cellStyle name="Normal 4 5 2 10 3" xfId="16772"/>
    <cellStyle name="Normal 4 5 2 10 3 2" xfId="33403"/>
    <cellStyle name="Normal 4 5 2 10 4" xfId="16773"/>
    <cellStyle name="Normal 4 5 2 10 4 2" xfId="33404"/>
    <cellStyle name="Normal 4 5 2 10 5" xfId="16774"/>
    <cellStyle name="Normal 4 5 2 10 5 2" xfId="33405"/>
    <cellStyle name="Normal 4 5 2 10 6" xfId="33401"/>
    <cellStyle name="Normal 4 5 2 11" xfId="16775"/>
    <cellStyle name="Normal 4 5 2 11 2" xfId="16776"/>
    <cellStyle name="Normal 4 5 2 11 2 2" xfId="33407"/>
    <cellStyle name="Normal 4 5 2 11 3" xfId="16777"/>
    <cellStyle name="Normal 4 5 2 11 3 2" xfId="33408"/>
    <cellStyle name="Normal 4 5 2 11 4" xfId="16778"/>
    <cellStyle name="Normal 4 5 2 11 4 2" xfId="33409"/>
    <cellStyle name="Normal 4 5 2 11 5" xfId="16779"/>
    <cellStyle name="Normal 4 5 2 11 5 2" xfId="33410"/>
    <cellStyle name="Normal 4 5 2 11 6" xfId="33406"/>
    <cellStyle name="Normal 4 5 2 12" xfId="16780"/>
    <cellStyle name="Normal 4 5 2 12 2" xfId="16781"/>
    <cellStyle name="Normal 4 5 2 12 2 2" xfId="33412"/>
    <cellStyle name="Normal 4 5 2 12 3" xfId="16782"/>
    <cellStyle name="Normal 4 5 2 12 3 2" xfId="33413"/>
    <cellStyle name="Normal 4 5 2 12 4" xfId="16783"/>
    <cellStyle name="Normal 4 5 2 12 4 2" xfId="33414"/>
    <cellStyle name="Normal 4 5 2 12 5" xfId="16784"/>
    <cellStyle name="Normal 4 5 2 12 5 2" xfId="33415"/>
    <cellStyle name="Normal 4 5 2 12 6" xfId="33411"/>
    <cellStyle name="Normal 4 5 2 13" xfId="16785"/>
    <cellStyle name="Normal 4 5 2 13 2" xfId="16786"/>
    <cellStyle name="Normal 4 5 2 13 2 2" xfId="33417"/>
    <cellStyle name="Normal 4 5 2 13 3" xfId="16787"/>
    <cellStyle name="Normal 4 5 2 13 3 2" xfId="33418"/>
    <cellStyle name="Normal 4 5 2 13 4" xfId="16788"/>
    <cellStyle name="Normal 4 5 2 13 4 2" xfId="33419"/>
    <cellStyle name="Normal 4 5 2 13 5" xfId="16789"/>
    <cellStyle name="Normal 4 5 2 13 5 2" xfId="33420"/>
    <cellStyle name="Normal 4 5 2 13 6" xfId="33416"/>
    <cellStyle name="Normal 4 5 2 14" xfId="16790"/>
    <cellStyle name="Normal 4 5 2 14 2" xfId="16791"/>
    <cellStyle name="Normal 4 5 2 14 2 2" xfId="33422"/>
    <cellStyle name="Normal 4 5 2 14 3" xfId="16792"/>
    <cellStyle name="Normal 4 5 2 14 3 2" xfId="33423"/>
    <cellStyle name="Normal 4 5 2 14 4" xfId="16793"/>
    <cellStyle name="Normal 4 5 2 14 4 2" xfId="33424"/>
    <cellStyle name="Normal 4 5 2 14 5" xfId="16794"/>
    <cellStyle name="Normal 4 5 2 14 5 2" xfId="33425"/>
    <cellStyle name="Normal 4 5 2 14 6" xfId="33421"/>
    <cellStyle name="Normal 4 5 2 15" xfId="16795"/>
    <cellStyle name="Normal 4 5 2 15 2" xfId="16796"/>
    <cellStyle name="Normal 4 5 2 15 2 2" xfId="33427"/>
    <cellStyle name="Normal 4 5 2 15 3" xfId="16797"/>
    <cellStyle name="Normal 4 5 2 15 3 2" xfId="33428"/>
    <cellStyle name="Normal 4 5 2 15 4" xfId="16798"/>
    <cellStyle name="Normal 4 5 2 15 4 2" xfId="33429"/>
    <cellStyle name="Normal 4 5 2 15 5" xfId="16799"/>
    <cellStyle name="Normal 4 5 2 15 5 2" xfId="33430"/>
    <cellStyle name="Normal 4 5 2 15 6" xfId="33426"/>
    <cellStyle name="Normal 4 5 2 16" xfId="16800"/>
    <cellStyle name="Normal 4 5 2 16 2" xfId="16801"/>
    <cellStyle name="Normal 4 5 2 16 2 2" xfId="33432"/>
    <cellStyle name="Normal 4 5 2 16 3" xfId="16802"/>
    <cellStyle name="Normal 4 5 2 16 3 2" xfId="33433"/>
    <cellStyle name="Normal 4 5 2 16 4" xfId="16803"/>
    <cellStyle name="Normal 4 5 2 16 4 2" xfId="33434"/>
    <cellStyle name="Normal 4 5 2 16 5" xfId="16804"/>
    <cellStyle name="Normal 4 5 2 16 5 2" xfId="33435"/>
    <cellStyle name="Normal 4 5 2 16 6" xfId="33431"/>
    <cellStyle name="Normal 4 5 2 17" xfId="16805"/>
    <cellStyle name="Normal 4 5 2 17 2" xfId="33436"/>
    <cellStyle name="Normal 4 5 2 18" xfId="16806"/>
    <cellStyle name="Normal 4 5 2 18 2" xfId="33437"/>
    <cellStyle name="Normal 4 5 2 19" xfId="16807"/>
    <cellStyle name="Normal 4 5 2 19 2" xfId="33438"/>
    <cellStyle name="Normal 4 5 2 2" xfId="16808"/>
    <cellStyle name="Normal 4 5 2 2 10" xfId="16809"/>
    <cellStyle name="Normal 4 5 2 2 10 2" xfId="33440"/>
    <cellStyle name="Normal 4 5 2 2 11" xfId="16810"/>
    <cellStyle name="Normal 4 5 2 2 11 2" xfId="33441"/>
    <cellStyle name="Normal 4 5 2 2 12" xfId="33439"/>
    <cellStyle name="Normal 4 5 2 2 2" xfId="16811"/>
    <cellStyle name="Normal 4 5 2 2 2 2" xfId="16812"/>
    <cellStyle name="Normal 4 5 2 2 2 2 2" xfId="33443"/>
    <cellStyle name="Normal 4 5 2 2 2 3" xfId="16813"/>
    <cellStyle name="Normal 4 5 2 2 2 3 2" xfId="33444"/>
    <cellStyle name="Normal 4 5 2 2 2 4" xfId="16814"/>
    <cellStyle name="Normal 4 5 2 2 2 4 2" xfId="33445"/>
    <cellStyle name="Normal 4 5 2 2 2 5" xfId="16815"/>
    <cellStyle name="Normal 4 5 2 2 2 5 2" xfId="33446"/>
    <cellStyle name="Normal 4 5 2 2 2 6" xfId="33442"/>
    <cellStyle name="Normal 4 5 2 2 3" xfId="16816"/>
    <cellStyle name="Normal 4 5 2 2 3 2" xfId="16817"/>
    <cellStyle name="Normal 4 5 2 2 3 2 2" xfId="33448"/>
    <cellStyle name="Normal 4 5 2 2 3 3" xfId="16818"/>
    <cellStyle name="Normal 4 5 2 2 3 3 2" xfId="33449"/>
    <cellStyle name="Normal 4 5 2 2 3 4" xfId="16819"/>
    <cellStyle name="Normal 4 5 2 2 3 4 2" xfId="33450"/>
    <cellStyle name="Normal 4 5 2 2 3 5" xfId="16820"/>
    <cellStyle name="Normal 4 5 2 2 3 5 2" xfId="33451"/>
    <cellStyle name="Normal 4 5 2 2 3 6" xfId="33447"/>
    <cellStyle name="Normal 4 5 2 2 4" xfId="16821"/>
    <cellStyle name="Normal 4 5 2 2 4 2" xfId="16822"/>
    <cellStyle name="Normal 4 5 2 2 4 2 2" xfId="33453"/>
    <cellStyle name="Normal 4 5 2 2 4 3" xfId="16823"/>
    <cellStyle name="Normal 4 5 2 2 4 3 2" xfId="33454"/>
    <cellStyle name="Normal 4 5 2 2 4 4" xfId="16824"/>
    <cellStyle name="Normal 4 5 2 2 4 4 2" xfId="33455"/>
    <cellStyle name="Normal 4 5 2 2 4 5" xfId="16825"/>
    <cellStyle name="Normal 4 5 2 2 4 5 2" xfId="33456"/>
    <cellStyle name="Normal 4 5 2 2 4 6" xfId="33452"/>
    <cellStyle name="Normal 4 5 2 2 5" xfId="16826"/>
    <cellStyle name="Normal 4 5 2 2 5 2" xfId="16827"/>
    <cellStyle name="Normal 4 5 2 2 5 2 2" xfId="33458"/>
    <cellStyle name="Normal 4 5 2 2 5 3" xfId="16828"/>
    <cellStyle name="Normal 4 5 2 2 5 3 2" xfId="33459"/>
    <cellStyle name="Normal 4 5 2 2 5 4" xfId="16829"/>
    <cellStyle name="Normal 4 5 2 2 5 4 2" xfId="33460"/>
    <cellStyle name="Normal 4 5 2 2 5 5" xfId="16830"/>
    <cellStyle name="Normal 4 5 2 2 5 5 2" xfId="33461"/>
    <cellStyle name="Normal 4 5 2 2 5 6" xfId="33457"/>
    <cellStyle name="Normal 4 5 2 2 6" xfId="16831"/>
    <cellStyle name="Normal 4 5 2 2 6 2" xfId="16832"/>
    <cellStyle name="Normal 4 5 2 2 6 2 2" xfId="33463"/>
    <cellStyle name="Normal 4 5 2 2 6 3" xfId="16833"/>
    <cellStyle name="Normal 4 5 2 2 6 3 2" xfId="33464"/>
    <cellStyle name="Normal 4 5 2 2 6 4" xfId="16834"/>
    <cellStyle name="Normal 4 5 2 2 6 4 2" xfId="33465"/>
    <cellStyle name="Normal 4 5 2 2 6 5" xfId="16835"/>
    <cellStyle name="Normal 4 5 2 2 6 5 2" xfId="33466"/>
    <cellStyle name="Normal 4 5 2 2 6 6" xfId="33462"/>
    <cellStyle name="Normal 4 5 2 2 7" xfId="16836"/>
    <cellStyle name="Normal 4 5 2 2 7 2" xfId="16837"/>
    <cellStyle name="Normal 4 5 2 2 7 2 2" xfId="33468"/>
    <cellStyle name="Normal 4 5 2 2 7 3" xfId="16838"/>
    <cellStyle name="Normal 4 5 2 2 7 3 2" xfId="33469"/>
    <cellStyle name="Normal 4 5 2 2 7 4" xfId="16839"/>
    <cellStyle name="Normal 4 5 2 2 7 4 2" xfId="33470"/>
    <cellStyle name="Normal 4 5 2 2 7 5" xfId="16840"/>
    <cellStyle name="Normal 4 5 2 2 7 5 2" xfId="33471"/>
    <cellStyle name="Normal 4 5 2 2 7 6" xfId="33467"/>
    <cellStyle name="Normal 4 5 2 2 8" xfId="16841"/>
    <cellStyle name="Normal 4 5 2 2 8 2" xfId="33472"/>
    <cellStyle name="Normal 4 5 2 2 9" xfId="16842"/>
    <cellStyle name="Normal 4 5 2 2 9 2" xfId="33473"/>
    <cellStyle name="Normal 4 5 2 20" xfId="16843"/>
    <cellStyle name="Normal 4 5 2 20 2" xfId="33474"/>
    <cellStyle name="Normal 4 5 2 21" xfId="40711"/>
    <cellStyle name="Normal 4 5 2 22" xfId="33400"/>
    <cellStyle name="Normal 4 5 2 3" xfId="16844"/>
    <cellStyle name="Normal 4 5 2 3 2" xfId="16845"/>
    <cellStyle name="Normal 4 5 2 3 2 2" xfId="16846"/>
    <cellStyle name="Normal 4 5 2 3 2 2 2" xfId="33477"/>
    <cellStyle name="Normal 4 5 2 3 2 3" xfId="16847"/>
    <cellStyle name="Normal 4 5 2 3 2 3 2" xfId="33478"/>
    <cellStyle name="Normal 4 5 2 3 2 4" xfId="16848"/>
    <cellStyle name="Normal 4 5 2 3 2 4 2" xfId="33479"/>
    <cellStyle name="Normal 4 5 2 3 2 5" xfId="16849"/>
    <cellStyle name="Normal 4 5 2 3 2 5 2" xfId="33480"/>
    <cellStyle name="Normal 4 5 2 3 2 6" xfId="33476"/>
    <cellStyle name="Normal 4 5 2 3 3" xfId="16850"/>
    <cellStyle name="Normal 4 5 2 3 3 2" xfId="33481"/>
    <cellStyle name="Normal 4 5 2 3 4" xfId="16851"/>
    <cellStyle name="Normal 4 5 2 3 4 2" xfId="33482"/>
    <cellStyle name="Normal 4 5 2 3 5" xfId="16852"/>
    <cellStyle name="Normal 4 5 2 3 5 2" xfId="33483"/>
    <cellStyle name="Normal 4 5 2 3 6" xfId="16853"/>
    <cellStyle name="Normal 4 5 2 3 6 2" xfId="33484"/>
    <cellStyle name="Normal 4 5 2 3 7" xfId="33475"/>
    <cellStyle name="Normal 4 5 2 4" xfId="16854"/>
    <cellStyle name="Normal 4 5 2 4 2" xfId="16855"/>
    <cellStyle name="Normal 4 5 2 4 2 2" xfId="16856"/>
    <cellStyle name="Normal 4 5 2 4 2 2 2" xfId="33487"/>
    <cellStyle name="Normal 4 5 2 4 2 3" xfId="16857"/>
    <cellStyle name="Normal 4 5 2 4 2 3 2" xfId="33488"/>
    <cellStyle name="Normal 4 5 2 4 2 4" xfId="16858"/>
    <cellStyle name="Normal 4 5 2 4 2 4 2" xfId="33489"/>
    <cellStyle name="Normal 4 5 2 4 2 5" xfId="16859"/>
    <cellStyle name="Normal 4 5 2 4 2 5 2" xfId="33490"/>
    <cellStyle name="Normal 4 5 2 4 2 6" xfId="33486"/>
    <cellStyle name="Normal 4 5 2 4 3" xfId="16860"/>
    <cellStyle name="Normal 4 5 2 4 3 2" xfId="33491"/>
    <cellStyle name="Normal 4 5 2 4 4" xfId="16861"/>
    <cellStyle name="Normal 4 5 2 4 4 2" xfId="33492"/>
    <cellStyle name="Normal 4 5 2 4 5" xfId="16862"/>
    <cellStyle name="Normal 4 5 2 4 5 2" xfId="33493"/>
    <cellStyle name="Normal 4 5 2 4 6" xfId="16863"/>
    <cellStyle name="Normal 4 5 2 4 6 2" xfId="33494"/>
    <cellStyle name="Normal 4 5 2 4 7" xfId="33485"/>
    <cellStyle name="Normal 4 5 2 5" xfId="16864"/>
    <cellStyle name="Normal 4 5 2 5 2" xfId="16865"/>
    <cellStyle name="Normal 4 5 2 5 2 2" xfId="33496"/>
    <cellStyle name="Normal 4 5 2 5 3" xfId="16866"/>
    <cellStyle name="Normal 4 5 2 5 3 2" xfId="33497"/>
    <cellStyle name="Normal 4 5 2 5 4" xfId="16867"/>
    <cellStyle name="Normal 4 5 2 5 4 2" xfId="33498"/>
    <cellStyle name="Normal 4 5 2 5 5" xfId="16868"/>
    <cellStyle name="Normal 4 5 2 5 5 2" xfId="33499"/>
    <cellStyle name="Normal 4 5 2 5 6" xfId="33495"/>
    <cellStyle name="Normal 4 5 2 6" xfId="16869"/>
    <cellStyle name="Normal 4 5 2 6 2" xfId="16870"/>
    <cellStyle name="Normal 4 5 2 6 2 2" xfId="33501"/>
    <cellStyle name="Normal 4 5 2 6 3" xfId="16871"/>
    <cellStyle name="Normal 4 5 2 6 3 2" xfId="33502"/>
    <cellStyle name="Normal 4 5 2 6 4" xfId="16872"/>
    <cellStyle name="Normal 4 5 2 6 4 2" xfId="33503"/>
    <cellStyle name="Normal 4 5 2 6 5" xfId="16873"/>
    <cellStyle name="Normal 4 5 2 6 5 2" xfId="33504"/>
    <cellStyle name="Normal 4 5 2 6 6" xfId="33500"/>
    <cellStyle name="Normal 4 5 2 7" xfId="16874"/>
    <cellStyle name="Normal 4 5 2 7 2" xfId="16875"/>
    <cellStyle name="Normal 4 5 2 7 2 2" xfId="33506"/>
    <cellStyle name="Normal 4 5 2 7 3" xfId="16876"/>
    <cellStyle name="Normal 4 5 2 7 3 2" xfId="33507"/>
    <cellStyle name="Normal 4 5 2 7 4" xfId="16877"/>
    <cellStyle name="Normal 4 5 2 7 4 2" xfId="33508"/>
    <cellStyle name="Normal 4 5 2 7 5" xfId="16878"/>
    <cellStyle name="Normal 4 5 2 7 5 2" xfId="33509"/>
    <cellStyle name="Normal 4 5 2 7 6" xfId="33505"/>
    <cellStyle name="Normal 4 5 2 8" xfId="16879"/>
    <cellStyle name="Normal 4 5 2 8 2" xfId="16880"/>
    <cellStyle name="Normal 4 5 2 8 2 2" xfId="33511"/>
    <cellStyle name="Normal 4 5 2 8 3" xfId="16881"/>
    <cellStyle name="Normal 4 5 2 8 3 2" xfId="33512"/>
    <cellStyle name="Normal 4 5 2 8 4" xfId="16882"/>
    <cellStyle name="Normal 4 5 2 8 4 2" xfId="33513"/>
    <cellStyle name="Normal 4 5 2 8 5" xfId="16883"/>
    <cellStyle name="Normal 4 5 2 8 5 2" xfId="33514"/>
    <cellStyle name="Normal 4 5 2 8 6" xfId="33510"/>
    <cellStyle name="Normal 4 5 2 9" xfId="16884"/>
    <cellStyle name="Normal 4 5 2 9 2" xfId="16885"/>
    <cellStyle name="Normal 4 5 2 9 2 2" xfId="33516"/>
    <cellStyle name="Normal 4 5 2 9 3" xfId="16886"/>
    <cellStyle name="Normal 4 5 2 9 3 2" xfId="33517"/>
    <cellStyle name="Normal 4 5 2 9 4" xfId="16887"/>
    <cellStyle name="Normal 4 5 2 9 4 2" xfId="33518"/>
    <cellStyle name="Normal 4 5 2 9 5" xfId="16888"/>
    <cellStyle name="Normal 4 5 2 9 5 2" xfId="33519"/>
    <cellStyle name="Normal 4 5 2 9 6" xfId="33515"/>
    <cellStyle name="Normal 4 5 20" xfId="16889"/>
    <cellStyle name="Normal 4 5 20 2" xfId="16890"/>
    <cellStyle name="Normal 4 5 20 2 2" xfId="33521"/>
    <cellStyle name="Normal 4 5 20 3" xfId="16891"/>
    <cellStyle name="Normal 4 5 20 3 2" xfId="33522"/>
    <cellStyle name="Normal 4 5 20 4" xfId="16892"/>
    <cellStyle name="Normal 4 5 20 4 2" xfId="33523"/>
    <cellStyle name="Normal 4 5 20 5" xfId="16893"/>
    <cellStyle name="Normal 4 5 20 5 2" xfId="33524"/>
    <cellStyle name="Normal 4 5 20 6" xfId="33520"/>
    <cellStyle name="Normal 4 5 21" xfId="16894"/>
    <cellStyle name="Normal 4 5 21 2" xfId="16895"/>
    <cellStyle name="Normal 4 5 21 2 2" xfId="33526"/>
    <cellStyle name="Normal 4 5 21 3" xfId="16896"/>
    <cellStyle name="Normal 4 5 21 3 2" xfId="33527"/>
    <cellStyle name="Normal 4 5 21 4" xfId="16897"/>
    <cellStyle name="Normal 4 5 21 4 2" xfId="33528"/>
    <cellStyle name="Normal 4 5 21 5" xfId="16898"/>
    <cellStyle name="Normal 4 5 21 5 2" xfId="33529"/>
    <cellStyle name="Normal 4 5 21 6" xfId="33525"/>
    <cellStyle name="Normal 4 5 22" xfId="16899"/>
    <cellStyle name="Normal 4 5 22 2" xfId="16900"/>
    <cellStyle name="Normal 4 5 22 2 2" xfId="33531"/>
    <cellStyle name="Normal 4 5 22 3" xfId="16901"/>
    <cellStyle name="Normal 4 5 22 3 2" xfId="33532"/>
    <cellStyle name="Normal 4 5 22 4" xfId="16902"/>
    <cellStyle name="Normal 4 5 22 4 2" xfId="33533"/>
    <cellStyle name="Normal 4 5 22 5" xfId="16903"/>
    <cellStyle name="Normal 4 5 22 5 2" xfId="33534"/>
    <cellStyle name="Normal 4 5 22 6" xfId="33530"/>
    <cellStyle name="Normal 4 5 23" xfId="16904"/>
    <cellStyle name="Normal 4 5 23 2" xfId="16905"/>
    <cellStyle name="Normal 4 5 23 2 2" xfId="33536"/>
    <cellStyle name="Normal 4 5 23 3" xfId="16906"/>
    <cellStyle name="Normal 4 5 23 3 2" xfId="33537"/>
    <cellStyle name="Normal 4 5 23 4" xfId="16907"/>
    <cellStyle name="Normal 4 5 23 4 2" xfId="33538"/>
    <cellStyle name="Normal 4 5 23 5" xfId="16908"/>
    <cellStyle name="Normal 4 5 23 5 2" xfId="33539"/>
    <cellStyle name="Normal 4 5 23 6" xfId="33535"/>
    <cellStyle name="Normal 4 5 24" xfId="16909"/>
    <cellStyle name="Normal 4 5 24 2" xfId="33540"/>
    <cellStyle name="Normal 4 5 25" xfId="16910"/>
    <cellStyle name="Normal 4 5 25 2" xfId="33541"/>
    <cellStyle name="Normal 4 5 26" xfId="16911"/>
    <cellStyle name="Normal 4 5 26 2" xfId="33542"/>
    <cellStyle name="Normal 4 5 27" xfId="16912"/>
    <cellStyle name="Normal 4 5 27 2" xfId="33543"/>
    <cellStyle name="Normal 4 5 28" xfId="16913"/>
    <cellStyle name="Normal 4 5 28 2" xfId="33544"/>
    <cellStyle name="Normal 4 5 29" xfId="40710"/>
    <cellStyle name="Normal 4 5 3" xfId="16914"/>
    <cellStyle name="Normal 4 5 3 10" xfId="16915"/>
    <cellStyle name="Normal 4 5 3 10 2" xfId="16916"/>
    <cellStyle name="Normal 4 5 3 10 2 2" xfId="33547"/>
    <cellStyle name="Normal 4 5 3 10 3" xfId="16917"/>
    <cellStyle name="Normal 4 5 3 10 3 2" xfId="33548"/>
    <cellStyle name="Normal 4 5 3 10 4" xfId="16918"/>
    <cellStyle name="Normal 4 5 3 10 4 2" xfId="33549"/>
    <cellStyle name="Normal 4 5 3 10 5" xfId="16919"/>
    <cellStyle name="Normal 4 5 3 10 5 2" xfId="33550"/>
    <cellStyle name="Normal 4 5 3 10 6" xfId="33546"/>
    <cellStyle name="Normal 4 5 3 11" xfId="16920"/>
    <cellStyle name="Normal 4 5 3 11 2" xfId="16921"/>
    <cellStyle name="Normal 4 5 3 11 2 2" xfId="33552"/>
    <cellStyle name="Normal 4 5 3 11 3" xfId="16922"/>
    <cellStyle name="Normal 4 5 3 11 3 2" xfId="33553"/>
    <cellStyle name="Normal 4 5 3 11 4" xfId="16923"/>
    <cellStyle name="Normal 4 5 3 11 4 2" xfId="33554"/>
    <cellStyle name="Normal 4 5 3 11 5" xfId="16924"/>
    <cellStyle name="Normal 4 5 3 11 5 2" xfId="33555"/>
    <cellStyle name="Normal 4 5 3 11 6" xfId="33551"/>
    <cellStyle name="Normal 4 5 3 12" xfId="16925"/>
    <cellStyle name="Normal 4 5 3 12 2" xfId="16926"/>
    <cellStyle name="Normal 4 5 3 12 2 2" xfId="33557"/>
    <cellStyle name="Normal 4 5 3 12 3" xfId="16927"/>
    <cellStyle name="Normal 4 5 3 12 3 2" xfId="33558"/>
    <cellStyle name="Normal 4 5 3 12 4" xfId="16928"/>
    <cellStyle name="Normal 4 5 3 12 4 2" xfId="33559"/>
    <cellStyle name="Normal 4 5 3 12 5" xfId="16929"/>
    <cellStyle name="Normal 4 5 3 12 5 2" xfId="33560"/>
    <cellStyle name="Normal 4 5 3 12 6" xfId="33556"/>
    <cellStyle name="Normal 4 5 3 13" xfId="16930"/>
    <cellStyle name="Normal 4 5 3 13 2" xfId="16931"/>
    <cellStyle name="Normal 4 5 3 13 2 2" xfId="33562"/>
    <cellStyle name="Normal 4 5 3 13 3" xfId="16932"/>
    <cellStyle name="Normal 4 5 3 13 3 2" xfId="33563"/>
    <cellStyle name="Normal 4 5 3 13 4" xfId="16933"/>
    <cellStyle name="Normal 4 5 3 13 4 2" xfId="33564"/>
    <cellStyle name="Normal 4 5 3 13 5" xfId="16934"/>
    <cellStyle name="Normal 4 5 3 13 5 2" xfId="33565"/>
    <cellStyle name="Normal 4 5 3 13 6" xfId="33561"/>
    <cellStyle name="Normal 4 5 3 14" xfId="16935"/>
    <cellStyle name="Normal 4 5 3 14 2" xfId="16936"/>
    <cellStyle name="Normal 4 5 3 14 2 2" xfId="33567"/>
    <cellStyle name="Normal 4 5 3 14 3" xfId="16937"/>
    <cellStyle name="Normal 4 5 3 14 3 2" xfId="33568"/>
    <cellStyle name="Normal 4 5 3 14 4" xfId="16938"/>
    <cellStyle name="Normal 4 5 3 14 4 2" xfId="33569"/>
    <cellStyle name="Normal 4 5 3 14 5" xfId="16939"/>
    <cellStyle name="Normal 4 5 3 14 5 2" xfId="33570"/>
    <cellStyle name="Normal 4 5 3 14 6" xfId="33566"/>
    <cellStyle name="Normal 4 5 3 15" xfId="16940"/>
    <cellStyle name="Normal 4 5 3 15 2" xfId="16941"/>
    <cellStyle name="Normal 4 5 3 15 2 2" xfId="33572"/>
    <cellStyle name="Normal 4 5 3 15 3" xfId="16942"/>
    <cellStyle name="Normal 4 5 3 15 3 2" xfId="33573"/>
    <cellStyle name="Normal 4 5 3 15 4" xfId="16943"/>
    <cellStyle name="Normal 4 5 3 15 4 2" xfId="33574"/>
    <cellStyle name="Normal 4 5 3 15 5" xfId="16944"/>
    <cellStyle name="Normal 4 5 3 15 5 2" xfId="33575"/>
    <cellStyle name="Normal 4 5 3 15 6" xfId="33571"/>
    <cellStyle name="Normal 4 5 3 16" xfId="16945"/>
    <cellStyle name="Normal 4 5 3 16 2" xfId="16946"/>
    <cellStyle name="Normal 4 5 3 16 2 2" xfId="33577"/>
    <cellStyle name="Normal 4 5 3 16 3" xfId="16947"/>
    <cellStyle name="Normal 4 5 3 16 3 2" xfId="33578"/>
    <cellStyle name="Normal 4 5 3 16 4" xfId="16948"/>
    <cellStyle name="Normal 4 5 3 16 4 2" xfId="33579"/>
    <cellStyle name="Normal 4 5 3 16 5" xfId="16949"/>
    <cellStyle name="Normal 4 5 3 16 5 2" xfId="33580"/>
    <cellStyle name="Normal 4 5 3 16 6" xfId="33576"/>
    <cellStyle name="Normal 4 5 3 17" xfId="16950"/>
    <cellStyle name="Normal 4 5 3 17 2" xfId="33581"/>
    <cellStyle name="Normal 4 5 3 18" xfId="16951"/>
    <cellStyle name="Normal 4 5 3 18 2" xfId="33582"/>
    <cellStyle name="Normal 4 5 3 19" xfId="16952"/>
    <cellStyle name="Normal 4 5 3 19 2" xfId="33583"/>
    <cellStyle name="Normal 4 5 3 2" xfId="16953"/>
    <cellStyle name="Normal 4 5 3 2 10" xfId="16954"/>
    <cellStyle name="Normal 4 5 3 2 10 2" xfId="33585"/>
    <cellStyle name="Normal 4 5 3 2 11" xfId="16955"/>
    <cellStyle name="Normal 4 5 3 2 11 2" xfId="33586"/>
    <cellStyle name="Normal 4 5 3 2 12" xfId="33584"/>
    <cellStyle name="Normal 4 5 3 2 2" xfId="16956"/>
    <cellStyle name="Normal 4 5 3 2 2 2" xfId="16957"/>
    <cellStyle name="Normal 4 5 3 2 2 2 2" xfId="33588"/>
    <cellStyle name="Normal 4 5 3 2 2 3" xfId="16958"/>
    <cellStyle name="Normal 4 5 3 2 2 3 2" xfId="33589"/>
    <cellStyle name="Normal 4 5 3 2 2 4" xfId="16959"/>
    <cellStyle name="Normal 4 5 3 2 2 4 2" xfId="33590"/>
    <cellStyle name="Normal 4 5 3 2 2 5" xfId="16960"/>
    <cellStyle name="Normal 4 5 3 2 2 5 2" xfId="33591"/>
    <cellStyle name="Normal 4 5 3 2 2 6" xfId="33587"/>
    <cellStyle name="Normal 4 5 3 2 3" xfId="16961"/>
    <cellStyle name="Normal 4 5 3 2 3 2" xfId="16962"/>
    <cellStyle name="Normal 4 5 3 2 3 2 2" xfId="33593"/>
    <cellStyle name="Normal 4 5 3 2 3 3" xfId="16963"/>
    <cellStyle name="Normal 4 5 3 2 3 3 2" xfId="33594"/>
    <cellStyle name="Normal 4 5 3 2 3 4" xfId="16964"/>
    <cellStyle name="Normal 4 5 3 2 3 4 2" xfId="33595"/>
    <cellStyle name="Normal 4 5 3 2 3 5" xfId="16965"/>
    <cellStyle name="Normal 4 5 3 2 3 5 2" xfId="33596"/>
    <cellStyle name="Normal 4 5 3 2 3 6" xfId="33592"/>
    <cellStyle name="Normal 4 5 3 2 4" xfId="16966"/>
    <cellStyle name="Normal 4 5 3 2 4 2" xfId="16967"/>
    <cellStyle name="Normal 4 5 3 2 4 2 2" xfId="33598"/>
    <cellStyle name="Normal 4 5 3 2 4 3" xfId="16968"/>
    <cellStyle name="Normal 4 5 3 2 4 3 2" xfId="33599"/>
    <cellStyle name="Normal 4 5 3 2 4 4" xfId="16969"/>
    <cellStyle name="Normal 4 5 3 2 4 4 2" xfId="33600"/>
    <cellStyle name="Normal 4 5 3 2 4 5" xfId="16970"/>
    <cellStyle name="Normal 4 5 3 2 4 5 2" xfId="33601"/>
    <cellStyle name="Normal 4 5 3 2 4 6" xfId="33597"/>
    <cellStyle name="Normal 4 5 3 2 5" xfId="16971"/>
    <cellStyle name="Normal 4 5 3 2 5 2" xfId="16972"/>
    <cellStyle name="Normal 4 5 3 2 5 2 2" xfId="33603"/>
    <cellStyle name="Normal 4 5 3 2 5 3" xfId="16973"/>
    <cellStyle name="Normal 4 5 3 2 5 3 2" xfId="33604"/>
    <cellStyle name="Normal 4 5 3 2 5 4" xfId="16974"/>
    <cellStyle name="Normal 4 5 3 2 5 4 2" xfId="33605"/>
    <cellStyle name="Normal 4 5 3 2 5 5" xfId="16975"/>
    <cellStyle name="Normal 4 5 3 2 5 5 2" xfId="33606"/>
    <cellStyle name="Normal 4 5 3 2 5 6" xfId="33602"/>
    <cellStyle name="Normal 4 5 3 2 6" xfId="16976"/>
    <cellStyle name="Normal 4 5 3 2 6 2" xfId="16977"/>
    <cellStyle name="Normal 4 5 3 2 6 2 2" xfId="33608"/>
    <cellStyle name="Normal 4 5 3 2 6 3" xfId="16978"/>
    <cellStyle name="Normal 4 5 3 2 6 3 2" xfId="33609"/>
    <cellStyle name="Normal 4 5 3 2 6 4" xfId="16979"/>
    <cellStyle name="Normal 4 5 3 2 6 4 2" xfId="33610"/>
    <cellStyle name="Normal 4 5 3 2 6 5" xfId="16980"/>
    <cellStyle name="Normal 4 5 3 2 6 5 2" xfId="33611"/>
    <cellStyle name="Normal 4 5 3 2 6 6" xfId="33607"/>
    <cellStyle name="Normal 4 5 3 2 7" xfId="16981"/>
    <cellStyle name="Normal 4 5 3 2 7 2" xfId="16982"/>
    <cellStyle name="Normal 4 5 3 2 7 2 2" xfId="33613"/>
    <cellStyle name="Normal 4 5 3 2 7 3" xfId="16983"/>
    <cellStyle name="Normal 4 5 3 2 7 3 2" xfId="33614"/>
    <cellStyle name="Normal 4 5 3 2 7 4" xfId="16984"/>
    <cellStyle name="Normal 4 5 3 2 7 4 2" xfId="33615"/>
    <cellStyle name="Normal 4 5 3 2 7 5" xfId="16985"/>
    <cellStyle name="Normal 4 5 3 2 7 5 2" xfId="33616"/>
    <cellStyle name="Normal 4 5 3 2 7 6" xfId="33612"/>
    <cellStyle name="Normal 4 5 3 2 8" xfId="16986"/>
    <cellStyle name="Normal 4 5 3 2 8 2" xfId="33617"/>
    <cellStyle name="Normal 4 5 3 2 9" xfId="16987"/>
    <cellStyle name="Normal 4 5 3 2 9 2" xfId="33618"/>
    <cellStyle name="Normal 4 5 3 20" xfId="16988"/>
    <cellStyle name="Normal 4 5 3 20 2" xfId="33619"/>
    <cellStyle name="Normal 4 5 3 21" xfId="40712"/>
    <cellStyle name="Normal 4 5 3 22" xfId="33545"/>
    <cellStyle name="Normal 4 5 3 3" xfId="16989"/>
    <cellStyle name="Normal 4 5 3 3 2" xfId="16990"/>
    <cellStyle name="Normal 4 5 3 3 2 2" xfId="16991"/>
    <cellStyle name="Normal 4 5 3 3 2 2 2" xfId="33622"/>
    <cellStyle name="Normal 4 5 3 3 2 3" xfId="16992"/>
    <cellStyle name="Normal 4 5 3 3 2 3 2" xfId="33623"/>
    <cellStyle name="Normal 4 5 3 3 2 4" xfId="16993"/>
    <cellStyle name="Normal 4 5 3 3 2 4 2" xfId="33624"/>
    <cellStyle name="Normal 4 5 3 3 2 5" xfId="16994"/>
    <cellStyle name="Normal 4 5 3 3 2 5 2" xfId="33625"/>
    <cellStyle name="Normal 4 5 3 3 2 6" xfId="33621"/>
    <cellStyle name="Normal 4 5 3 3 3" xfId="16995"/>
    <cellStyle name="Normal 4 5 3 3 3 2" xfId="33626"/>
    <cellStyle name="Normal 4 5 3 3 4" xfId="16996"/>
    <cellStyle name="Normal 4 5 3 3 4 2" xfId="33627"/>
    <cellStyle name="Normal 4 5 3 3 5" xfId="16997"/>
    <cellStyle name="Normal 4 5 3 3 5 2" xfId="33628"/>
    <cellStyle name="Normal 4 5 3 3 6" xfId="16998"/>
    <cellStyle name="Normal 4 5 3 3 6 2" xfId="33629"/>
    <cellStyle name="Normal 4 5 3 3 7" xfId="33620"/>
    <cellStyle name="Normal 4 5 3 4" xfId="16999"/>
    <cellStyle name="Normal 4 5 3 4 2" xfId="17000"/>
    <cellStyle name="Normal 4 5 3 4 2 2" xfId="17001"/>
    <cellStyle name="Normal 4 5 3 4 2 2 2" xfId="33632"/>
    <cellStyle name="Normal 4 5 3 4 2 3" xfId="17002"/>
    <cellStyle name="Normal 4 5 3 4 2 3 2" xfId="33633"/>
    <cellStyle name="Normal 4 5 3 4 2 4" xfId="17003"/>
    <cellStyle name="Normal 4 5 3 4 2 4 2" xfId="33634"/>
    <cellStyle name="Normal 4 5 3 4 2 5" xfId="17004"/>
    <cellStyle name="Normal 4 5 3 4 2 5 2" xfId="33635"/>
    <cellStyle name="Normal 4 5 3 4 2 6" xfId="33631"/>
    <cellStyle name="Normal 4 5 3 4 3" xfId="17005"/>
    <cellStyle name="Normal 4 5 3 4 3 2" xfId="33636"/>
    <cellStyle name="Normal 4 5 3 4 4" xfId="17006"/>
    <cellStyle name="Normal 4 5 3 4 4 2" xfId="33637"/>
    <cellStyle name="Normal 4 5 3 4 5" xfId="17007"/>
    <cellStyle name="Normal 4 5 3 4 5 2" xfId="33638"/>
    <cellStyle name="Normal 4 5 3 4 6" xfId="17008"/>
    <cellStyle name="Normal 4 5 3 4 6 2" xfId="33639"/>
    <cellStyle name="Normal 4 5 3 4 7" xfId="33630"/>
    <cellStyle name="Normal 4 5 3 5" xfId="17009"/>
    <cellStyle name="Normal 4 5 3 5 2" xfId="17010"/>
    <cellStyle name="Normal 4 5 3 5 2 2" xfId="33641"/>
    <cellStyle name="Normal 4 5 3 5 3" xfId="17011"/>
    <cellStyle name="Normal 4 5 3 5 3 2" xfId="33642"/>
    <cellStyle name="Normal 4 5 3 5 4" xfId="17012"/>
    <cellStyle name="Normal 4 5 3 5 4 2" xfId="33643"/>
    <cellStyle name="Normal 4 5 3 5 5" xfId="17013"/>
    <cellStyle name="Normal 4 5 3 5 5 2" xfId="33644"/>
    <cellStyle name="Normal 4 5 3 5 6" xfId="33640"/>
    <cellStyle name="Normal 4 5 3 6" xfId="17014"/>
    <cellStyle name="Normal 4 5 3 6 2" xfId="17015"/>
    <cellStyle name="Normal 4 5 3 6 2 2" xfId="33646"/>
    <cellStyle name="Normal 4 5 3 6 3" xfId="17016"/>
    <cellStyle name="Normal 4 5 3 6 3 2" xfId="33647"/>
    <cellStyle name="Normal 4 5 3 6 4" xfId="17017"/>
    <cellStyle name="Normal 4 5 3 6 4 2" xfId="33648"/>
    <cellStyle name="Normal 4 5 3 6 5" xfId="17018"/>
    <cellStyle name="Normal 4 5 3 6 5 2" xfId="33649"/>
    <cellStyle name="Normal 4 5 3 6 6" xfId="33645"/>
    <cellStyle name="Normal 4 5 3 7" xfId="17019"/>
    <cellStyle name="Normal 4 5 3 7 2" xfId="17020"/>
    <cellStyle name="Normal 4 5 3 7 2 2" xfId="33651"/>
    <cellStyle name="Normal 4 5 3 7 3" xfId="17021"/>
    <cellStyle name="Normal 4 5 3 7 3 2" xfId="33652"/>
    <cellStyle name="Normal 4 5 3 7 4" xfId="17022"/>
    <cellStyle name="Normal 4 5 3 7 4 2" xfId="33653"/>
    <cellStyle name="Normal 4 5 3 7 5" xfId="17023"/>
    <cellStyle name="Normal 4 5 3 7 5 2" xfId="33654"/>
    <cellStyle name="Normal 4 5 3 7 6" xfId="33650"/>
    <cellStyle name="Normal 4 5 3 8" xfId="17024"/>
    <cellStyle name="Normal 4 5 3 8 2" xfId="17025"/>
    <cellStyle name="Normal 4 5 3 8 2 2" xfId="33656"/>
    <cellStyle name="Normal 4 5 3 8 3" xfId="17026"/>
    <cellStyle name="Normal 4 5 3 8 3 2" xfId="33657"/>
    <cellStyle name="Normal 4 5 3 8 4" xfId="17027"/>
    <cellStyle name="Normal 4 5 3 8 4 2" xfId="33658"/>
    <cellStyle name="Normal 4 5 3 8 5" xfId="17028"/>
    <cellStyle name="Normal 4 5 3 8 5 2" xfId="33659"/>
    <cellStyle name="Normal 4 5 3 8 6" xfId="33655"/>
    <cellStyle name="Normal 4 5 3 9" xfId="17029"/>
    <cellStyle name="Normal 4 5 3 9 2" xfId="17030"/>
    <cellStyle name="Normal 4 5 3 9 2 2" xfId="33661"/>
    <cellStyle name="Normal 4 5 3 9 3" xfId="17031"/>
    <cellStyle name="Normal 4 5 3 9 3 2" xfId="33662"/>
    <cellStyle name="Normal 4 5 3 9 4" xfId="17032"/>
    <cellStyle name="Normal 4 5 3 9 4 2" xfId="33663"/>
    <cellStyle name="Normal 4 5 3 9 5" xfId="17033"/>
    <cellStyle name="Normal 4 5 3 9 5 2" xfId="33664"/>
    <cellStyle name="Normal 4 5 3 9 6" xfId="33660"/>
    <cellStyle name="Normal 4 5 4" xfId="17034"/>
    <cellStyle name="Normal 4 5 4 10" xfId="17035"/>
    <cellStyle name="Normal 4 5 4 10 2" xfId="17036"/>
    <cellStyle name="Normal 4 5 4 10 2 2" xfId="33667"/>
    <cellStyle name="Normal 4 5 4 10 3" xfId="17037"/>
    <cellStyle name="Normal 4 5 4 10 3 2" xfId="33668"/>
    <cellStyle name="Normal 4 5 4 10 4" xfId="17038"/>
    <cellStyle name="Normal 4 5 4 10 4 2" xfId="33669"/>
    <cellStyle name="Normal 4 5 4 10 5" xfId="17039"/>
    <cellStyle name="Normal 4 5 4 10 5 2" xfId="33670"/>
    <cellStyle name="Normal 4 5 4 10 6" xfId="33666"/>
    <cellStyle name="Normal 4 5 4 11" xfId="17040"/>
    <cellStyle name="Normal 4 5 4 11 2" xfId="17041"/>
    <cellStyle name="Normal 4 5 4 11 2 2" xfId="33672"/>
    <cellStyle name="Normal 4 5 4 11 3" xfId="17042"/>
    <cellStyle name="Normal 4 5 4 11 3 2" xfId="33673"/>
    <cellStyle name="Normal 4 5 4 11 4" xfId="17043"/>
    <cellStyle name="Normal 4 5 4 11 4 2" xfId="33674"/>
    <cellStyle name="Normal 4 5 4 11 5" xfId="17044"/>
    <cellStyle name="Normal 4 5 4 11 5 2" xfId="33675"/>
    <cellStyle name="Normal 4 5 4 11 6" xfId="33671"/>
    <cellStyle name="Normal 4 5 4 12" xfId="17045"/>
    <cellStyle name="Normal 4 5 4 12 2" xfId="17046"/>
    <cellStyle name="Normal 4 5 4 12 2 2" xfId="33677"/>
    <cellStyle name="Normal 4 5 4 12 3" xfId="17047"/>
    <cellStyle name="Normal 4 5 4 12 3 2" xfId="33678"/>
    <cellStyle name="Normal 4 5 4 12 4" xfId="17048"/>
    <cellStyle name="Normal 4 5 4 12 4 2" xfId="33679"/>
    <cellStyle name="Normal 4 5 4 12 5" xfId="17049"/>
    <cellStyle name="Normal 4 5 4 12 5 2" xfId="33680"/>
    <cellStyle name="Normal 4 5 4 12 6" xfId="33676"/>
    <cellStyle name="Normal 4 5 4 13" xfId="17050"/>
    <cellStyle name="Normal 4 5 4 13 2" xfId="17051"/>
    <cellStyle name="Normal 4 5 4 13 2 2" xfId="33682"/>
    <cellStyle name="Normal 4 5 4 13 3" xfId="17052"/>
    <cellStyle name="Normal 4 5 4 13 3 2" xfId="33683"/>
    <cellStyle name="Normal 4 5 4 13 4" xfId="17053"/>
    <cellStyle name="Normal 4 5 4 13 4 2" xfId="33684"/>
    <cellStyle name="Normal 4 5 4 13 5" xfId="17054"/>
    <cellStyle name="Normal 4 5 4 13 5 2" xfId="33685"/>
    <cellStyle name="Normal 4 5 4 13 6" xfId="33681"/>
    <cellStyle name="Normal 4 5 4 14" xfId="17055"/>
    <cellStyle name="Normal 4 5 4 14 2" xfId="17056"/>
    <cellStyle name="Normal 4 5 4 14 2 2" xfId="33687"/>
    <cellStyle name="Normal 4 5 4 14 3" xfId="17057"/>
    <cellStyle name="Normal 4 5 4 14 3 2" xfId="33688"/>
    <cellStyle name="Normal 4 5 4 14 4" xfId="17058"/>
    <cellStyle name="Normal 4 5 4 14 4 2" xfId="33689"/>
    <cellStyle name="Normal 4 5 4 14 5" xfId="17059"/>
    <cellStyle name="Normal 4 5 4 14 5 2" xfId="33690"/>
    <cellStyle name="Normal 4 5 4 14 6" xfId="33686"/>
    <cellStyle name="Normal 4 5 4 15" xfId="17060"/>
    <cellStyle name="Normal 4 5 4 15 2" xfId="17061"/>
    <cellStyle name="Normal 4 5 4 15 2 2" xfId="33692"/>
    <cellStyle name="Normal 4 5 4 15 3" xfId="17062"/>
    <cellStyle name="Normal 4 5 4 15 3 2" xfId="33693"/>
    <cellStyle name="Normal 4 5 4 15 4" xfId="17063"/>
    <cellStyle name="Normal 4 5 4 15 4 2" xfId="33694"/>
    <cellStyle name="Normal 4 5 4 15 5" xfId="17064"/>
    <cellStyle name="Normal 4 5 4 15 5 2" xfId="33695"/>
    <cellStyle name="Normal 4 5 4 15 6" xfId="33691"/>
    <cellStyle name="Normal 4 5 4 16" xfId="17065"/>
    <cellStyle name="Normal 4 5 4 16 2" xfId="17066"/>
    <cellStyle name="Normal 4 5 4 16 2 2" xfId="33697"/>
    <cellStyle name="Normal 4 5 4 16 3" xfId="17067"/>
    <cellStyle name="Normal 4 5 4 16 3 2" xfId="33698"/>
    <cellStyle name="Normal 4 5 4 16 4" xfId="17068"/>
    <cellStyle name="Normal 4 5 4 16 4 2" xfId="33699"/>
    <cellStyle name="Normal 4 5 4 16 5" xfId="17069"/>
    <cellStyle name="Normal 4 5 4 16 5 2" xfId="33700"/>
    <cellStyle name="Normal 4 5 4 16 6" xfId="33696"/>
    <cellStyle name="Normal 4 5 4 17" xfId="17070"/>
    <cellStyle name="Normal 4 5 4 17 2" xfId="33701"/>
    <cellStyle name="Normal 4 5 4 18" xfId="17071"/>
    <cellStyle name="Normal 4 5 4 18 2" xfId="33702"/>
    <cellStyle name="Normal 4 5 4 19" xfId="17072"/>
    <cellStyle name="Normal 4 5 4 19 2" xfId="33703"/>
    <cellStyle name="Normal 4 5 4 2" xfId="17073"/>
    <cellStyle name="Normal 4 5 4 2 10" xfId="17074"/>
    <cellStyle name="Normal 4 5 4 2 10 2" xfId="33705"/>
    <cellStyle name="Normal 4 5 4 2 11" xfId="17075"/>
    <cellStyle name="Normal 4 5 4 2 11 2" xfId="33706"/>
    <cellStyle name="Normal 4 5 4 2 12" xfId="33704"/>
    <cellStyle name="Normal 4 5 4 2 2" xfId="17076"/>
    <cellStyle name="Normal 4 5 4 2 2 2" xfId="17077"/>
    <cellStyle name="Normal 4 5 4 2 2 2 2" xfId="33708"/>
    <cellStyle name="Normal 4 5 4 2 2 3" xfId="17078"/>
    <cellStyle name="Normal 4 5 4 2 2 3 2" xfId="33709"/>
    <cellStyle name="Normal 4 5 4 2 2 4" xfId="17079"/>
    <cellStyle name="Normal 4 5 4 2 2 4 2" xfId="33710"/>
    <cellStyle name="Normal 4 5 4 2 2 5" xfId="17080"/>
    <cellStyle name="Normal 4 5 4 2 2 5 2" xfId="33711"/>
    <cellStyle name="Normal 4 5 4 2 2 6" xfId="33707"/>
    <cellStyle name="Normal 4 5 4 2 3" xfId="17081"/>
    <cellStyle name="Normal 4 5 4 2 3 2" xfId="17082"/>
    <cellStyle name="Normal 4 5 4 2 3 2 2" xfId="33713"/>
    <cellStyle name="Normal 4 5 4 2 3 3" xfId="17083"/>
    <cellStyle name="Normal 4 5 4 2 3 3 2" xfId="33714"/>
    <cellStyle name="Normal 4 5 4 2 3 4" xfId="17084"/>
    <cellStyle name="Normal 4 5 4 2 3 4 2" xfId="33715"/>
    <cellStyle name="Normal 4 5 4 2 3 5" xfId="17085"/>
    <cellStyle name="Normal 4 5 4 2 3 5 2" xfId="33716"/>
    <cellStyle name="Normal 4 5 4 2 3 6" xfId="33712"/>
    <cellStyle name="Normal 4 5 4 2 4" xfId="17086"/>
    <cellStyle name="Normal 4 5 4 2 4 2" xfId="17087"/>
    <cellStyle name="Normal 4 5 4 2 4 2 2" xfId="33718"/>
    <cellStyle name="Normal 4 5 4 2 4 3" xfId="17088"/>
    <cellStyle name="Normal 4 5 4 2 4 3 2" xfId="33719"/>
    <cellStyle name="Normal 4 5 4 2 4 4" xfId="17089"/>
    <cellStyle name="Normal 4 5 4 2 4 4 2" xfId="33720"/>
    <cellStyle name="Normal 4 5 4 2 4 5" xfId="17090"/>
    <cellStyle name="Normal 4 5 4 2 4 5 2" xfId="33721"/>
    <cellStyle name="Normal 4 5 4 2 4 6" xfId="33717"/>
    <cellStyle name="Normal 4 5 4 2 5" xfId="17091"/>
    <cellStyle name="Normal 4 5 4 2 5 2" xfId="17092"/>
    <cellStyle name="Normal 4 5 4 2 5 2 2" xfId="33723"/>
    <cellStyle name="Normal 4 5 4 2 5 3" xfId="17093"/>
    <cellStyle name="Normal 4 5 4 2 5 3 2" xfId="33724"/>
    <cellStyle name="Normal 4 5 4 2 5 4" xfId="17094"/>
    <cellStyle name="Normal 4 5 4 2 5 4 2" xfId="33725"/>
    <cellStyle name="Normal 4 5 4 2 5 5" xfId="17095"/>
    <cellStyle name="Normal 4 5 4 2 5 5 2" xfId="33726"/>
    <cellStyle name="Normal 4 5 4 2 5 6" xfId="33722"/>
    <cellStyle name="Normal 4 5 4 2 6" xfId="17096"/>
    <cellStyle name="Normal 4 5 4 2 6 2" xfId="17097"/>
    <cellStyle name="Normal 4 5 4 2 6 2 2" xfId="33728"/>
    <cellStyle name="Normal 4 5 4 2 6 3" xfId="17098"/>
    <cellStyle name="Normal 4 5 4 2 6 3 2" xfId="33729"/>
    <cellStyle name="Normal 4 5 4 2 6 4" xfId="17099"/>
    <cellStyle name="Normal 4 5 4 2 6 4 2" xfId="33730"/>
    <cellStyle name="Normal 4 5 4 2 6 5" xfId="17100"/>
    <cellStyle name="Normal 4 5 4 2 6 5 2" xfId="33731"/>
    <cellStyle name="Normal 4 5 4 2 6 6" xfId="33727"/>
    <cellStyle name="Normal 4 5 4 2 7" xfId="17101"/>
    <cellStyle name="Normal 4 5 4 2 7 2" xfId="17102"/>
    <cellStyle name="Normal 4 5 4 2 7 2 2" xfId="33733"/>
    <cellStyle name="Normal 4 5 4 2 7 3" xfId="17103"/>
    <cellStyle name="Normal 4 5 4 2 7 3 2" xfId="33734"/>
    <cellStyle name="Normal 4 5 4 2 7 4" xfId="17104"/>
    <cellStyle name="Normal 4 5 4 2 7 4 2" xfId="33735"/>
    <cellStyle name="Normal 4 5 4 2 7 5" xfId="17105"/>
    <cellStyle name="Normal 4 5 4 2 7 5 2" xfId="33736"/>
    <cellStyle name="Normal 4 5 4 2 7 6" xfId="33732"/>
    <cellStyle name="Normal 4 5 4 2 8" xfId="17106"/>
    <cellStyle name="Normal 4 5 4 2 8 2" xfId="33737"/>
    <cellStyle name="Normal 4 5 4 2 9" xfId="17107"/>
    <cellStyle name="Normal 4 5 4 2 9 2" xfId="33738"/>
    <cellStyle name="Normal 4 5 4 20" xfId="17108"/>
    <cellStyle name="Normal 4 5 4 20 2" xfId="33739"/>
    <cellStyle name="Normal 4 5 4 21" xfId="40713"/>
    <cellStyle name="Normal 4 5 4 22" xfId="33665"/>
    <cellStyle name="Normal 4 5 4 3" xfId="17109"/>
    <cellStyle name="Normal 4 5 4 3 2" xfId="17110"/>
    <cellStyle name="Normal 4 5 4 3 2 2" xfId="17111"/>
    <cellStyle name="Normal 4 5 4 3 2 2 2" xfId="33742"/>
    <cellStyle name="Normal 4 5 4 3 2 3" xfId="17112"/>
    <cellStyle name="Normal 4 5 4 3 2 3 2" xfId="33743"/>
    <cellStyle name="Normal 4 5 4 3 2 4" xfId="17113"/>
    <cellStyle name="Normal 4 5 4 3 2 4 2" xfId="33744"/>
    <cellStyle name="Normal 4 5 4 3 2 5" xfId="17114"/>
    <cellStyle name="Normal 4 5 4 3 2 5 2" xfId="33745"/>
    <cellStyle name="Normal 4 5 4 3 2 6" xfId="33741"/>
    <cellStyle name="Normal 4 5 4 3 3" xfId="17115"/>
    <cellStyle name="Normal 4 5 4 3 3 2" xfId="33746"/>
    <cellStyle name="Normal 4 5 4 3 4" xfId="17116"/>
    <cellStyle name="Normal 4 5 4 3 4 2" xfId="33747"/>
    <cellStyle name="Normal 4 5 4 3 5" xfId="17117"/>
    <cellStyle name="Normal 4 5 4 3 5 2" xfId="33748"/>
    <cellStyle name="Normal 4 5 4 3 6" xfId="17118"/>
    <cellStyle name="Normal 4 5 4 3 6 2" xfId="33749"/>
    <cellStyle name="Normal 4 5 4 3 7" xfId="33740"/>
    <cellStyle name="Normal 4 5 4 4" xfId="17119"/>
    <cellStyle name="Normal 4 5 4 4 2" xfId="17120"/>
    <cellStyle name="Normal 4 5 4 4 2 2" xfId="17121"/>
    <cellStyle name="Normal 4 5 4 4 2 2 2" xfId="33752"/>
    <cellStyle name="Normal 4 5 4 4 2 3" xfId="17122"/>
    <cellStyle name="Normal 4 5 4 4 2 3 2" xfId="33753"/>
    <cellStyle name="Normal 4 5 4 4 2 4" xfId="17123"/>
    <cellStyle name="Normal 4 5 4 4 2 4 2" xfId="33754"/>
    <cellStyle name="Normal 4 5 4 4 2 5" xfId="17124"/>
    <cellStyle name="Normal 4 5 4 4 2 5 2" xfId="33755"/>
    <cellStyle name="Normal 4 5 4 4 2 6" xfId="33751"/>
    <cellStyle name="Normal 4 5 4 4 3" xfId="17125"/>
    <cellStyle name="Normal 4 5 4 4 3 2" xfId="33756"/>
    <cellStyle name="Normal 4 5 4 4 4" xfId="17126"/>
    <cellStyle name="Normal 4 5 4 4 4 2" xfId="33757"/>
    <cellStyle name="Normal 4 5 4 4 5" xfId="17127"/>
    <cellStyle name="Normal 4 5 4 4 5 2" xfId="33758"/>
    <cellStyle name="Normal 4 5 4 4 6" xfId="17128"/>
    <cellStyle name="Normal 4 5 4 4 6 2" xfId="33759"/>
    <cellStyle name="Normal 4 5 4 4 7" xfId="33750"/>
    <cellStyle name="Normal 4 5 4 5" xfId="17129"/>
    <cellStyle name="Normal 4 5 4 5 2" xfId="17130"/>
    <cellStyle name="Normal 4 5 4 5 2 2" xfId="33761"/>
    <cellStyle name="Normal 4 5 4 5 3" xfId="17131"/>
    <cellStyle name="Normal 4 5 4 5 3 2" xfId="33762"/>
    <cellStyle name="Normal 4 5 4 5 4" xfId="17132"/>
    <cellStyle name="Normal 4 5 4 5 4 2" xfId="33763"/>
    <cellStyle name="Normal 4 5 4 5 5" xfId="17133"/>
    <cellStyle name="Normal 4 5 4 5 5 2" xfId="33764"/>
    <cellStyle name="Normal 4 5 4 5 6" xfId="33760"/>
    <cellStyle name="Normal 4 5 4 6" xfId="17134"/>
    <cellStyle name="Normal 4 5 4 6 2" xfId="17135"/>
    <cellStyle name="Normal 4 5 4 6 2 2" xfId="33766"/>
    <cellStyle name="Normal 4 5 4 6 3" xfId="17136"/>
    <cellStyle name="Normal 4 5 4 6 3 2" xfId="33767"/>
    <cellStyle name="Normal 4 5 4 6 4" xfId="17137"/>
    <cellStyle name="Normal 4 5 4 6 4 2" xfId="33768"/>
    <cellStyle name="Normal 4 5 4 6 5" xfId="17138"/>
    <cellStyle name="Normal 4 5 4 6 5 2" xfId="33769"/>
    <cellStyle name="Normal 4 5 4 6 6" xfId="33765"/>
    <cellStyle name="Normal 4 5 4 7" xfId="17139"/>
    <cellStyle name="Normal 4 5 4 7 2" xfId="17140"/>
    <cellStyle name="Normal 4 5 4 7 2 2" xfId="33771"/>
    <cellStyle name="Normal 4 5 4 7 3" xfId="17141"/>
    <cellStyle name="Normal 4 5 4 7 3 2" xfId="33772"/>
    <cellStyle name="Normal 4 5 4 7 4" xfId="17142"/>
    <cellStyle name="Normal 4 5 4 7 4 2" xfId="33773"/>
    <cellStyle name="Normal 4 5 4 7 5" xfId="17143"/>
    <cellStyle name="Normal 4 5 4 7 5 2" xfId="33774"/>
    <cellStyle name="Normal 4 5 4 7 6" xfId="33770"/>
    <cellStyle name="Normal 4 5 4 8" xfId="17144"/>
    <cellStyle name="Normal 4 5 4 8 2" xfId="17145"/>
    <cellStyle name="Normal 4 5 4 8 2 2" xfId="33776"/>
    <cellStyle name="Normal 4 5 4 8 3" xfId="17146"/>
    <cellStyle name="Normal 4 5 4 8 3 2" xfId="33777"/>
    <cellStyle name="Normal 4 5 4 8 4" xfId="17147"/>
    <cellStyle name="Normal 4 5 4 8 4 2" xfId="33778"/>
    <cellStyle name="Normal 4 5 4 8 5" xfId="17148"/>
    <cellStyle name="Normal 4 5 4 8 5 2" xfId="33779"/>
    <cellStyle name="Normal 4 5 4 8 6" xfId="33775"/>
    <cellStyle name="Normal 4 5 4 9" xfId="17149"/>
    <cellStyle name="Normal 4 5 4 9 2" xfId="17150"/>
    <cellStyle name="Normal 4 5 4 9 2 2" xfId="33781"/>
    <cellStyle name="Normal 4 5 4 9 3" xfId="17151"/>
    <cellStyle name="Normal 4 5 4 9 3 2" xfId="33782"/>
    <cellStyle name="Normal 4 5 4 9 4" xfId="17152"/>
    <cellStyle name="Normal 4 5 4 9 4 2" xfId="33783"/>
    <cellStyle name="Normal 4 5 4 9 5" xfId="17153"/>
    <cellStyle name="Normal 4 5 4 9 5 2" xfId="33784"/>
    <cellStyle name="Normal 4 5 4 9 6" xfId="33780"/>
    <cellStyle name="Normal 4 5 5" xfId="17154"/>
    <cellStyle name="Normal 4 5 5 10" xfId="17155"/>
    <cellStyle name="Normal 4 5 5 11" xfId="17156"/>
    <cellStyle name="Normal 4 5 5 12" xfId="17157"/>
    <cellStyle name="Normal 4 5 5 13" xfId="17158"/>
    <cellStyle name="Normal 4 5 5 14" xfId="17159"/>
    <cellStyle name="Normal 4 5 5 15" xfId="17160"/>
    <cellStyle name="Normal 4 5 5 16" xfId="17161"/>
    <cellStyle name="Normal 4 5 5 2" xfId="17162"/>
    <cellStyle name="Normal 4 5 5 3" xfId="17163"/>
    <cellStyle name="Normal 4 5 5 4" xfId="17164"/>
    <cellStyle name="Normal 4 5 5 5" xfId="17165"/>
    <cellStyle name="Normal 4 5 5 6" xfId="17166"/>
    <cellStyle name="Normal 4 5 5 7" xfId="17167"/>
    <cellStyle name="Normal 4 5 5 8" xfId="17168"/>
    <cellStyle name="Normal 4 5 5 9" xfId="17169"/>
    <cellStyle name="Normal 4 5 6" xfId="17170"/>
    <cellStyle name="Normal 4 5 6 10" xfId="17171"/>
    <cellStyle name="Normal 4 5 6 11" xfId="17172"/>
    <cellStyle name="Normal 4 5 6 12" xfId="17173"/>
    <cellStyle name="Normal 4 5 6 13" xfId="17174"/>
    <cellStyle name="Normal 4 5 6 14" xfId="17175"/>
    <cellStyle name="Normal 4 5 6 15" xfId="17176"/>
    <cellStyle name="Normal 4 5 6 16" xfId="17177"/>
    <cellStyle name="Normal 4 5 6 2" xfId="17178"/>
    <cellStyle name="Normal 4 5 6 3" xfId="17179"/>
    <cellStyle name="Normal 4 5 6 4" xfId="17180"/>
    <cellStyle name="Normal 4 5 6 5" xfId="17181"/>
    <cellStyle name="Normal 4 5 6 6" xfId="17182"/>
    <cellStyle name="Normal 4 5 6 7" xfId="17183"/>
    <cellStyle name="Normal 4 5 6 8" xfId="17184"/>
    <cellStyle name="Normal 4 5 6 9" xfId="17185"/>
    <cellStyle name="Normal 4 5 7" xfId="17186"/>
    <cellStyle name="Normal 4 5 7 10" xfId="17187"/>
    <cellStyle name="Normal 4 5 7 10 2" xfId="17188"/>
    <cellStyle name="Normal 4 5 7 10 2 2" xfId="33787"/>
    <cellStyle name="Normal 4 5 7 10 3" xfId="17189"/>
    <cellStyle name="Normal 4 5 7 10 3 2" xfId="33788"/>
    <cellStyle name="Normal 4 5 7 10 4" xfId="17190"/>
    <cellStyle name="Normal 4 5 7 10 4 2" xfId="33789"/>
    <cellStyle name="Normal 4 5 7 10 5" xfId="17191"/>
    <cellStyle name="Normal 4 5 7 10 5 2" xfId="33790"/>
    <cellStyle name="Normal 4 5 7 10 6" xfId="33786"/>
    <cellStyle name="Normal 4 5 7 11" xfId="17192"/>
    <cellStyle name="Normal 4 5 7 11 2" xfId="17193"/>
    <cellStyle name="Normal 4 5 7 11 2 2" xfId="33792"/>
    <cellStyle name="Normal 4 5 7 11 3" xfId="17194"/>
    <cellStyle name="Normal 4 5 7 11 3 2" xfId="33793"/>
    <cellStyle name="Normal 4 5 7 11 4" xfId="17195"/>
    <cellStyle name="Normal 4 5 7 11 4 2" xfId="33794"/>
    <cellStyle name="Normal 4 5 7 11 5" xfId="17196"/>
    <cellStyle name="Normal 4 5 7 11 5 2" xfId="33795"/>
    <cellStyle name="Normal 4 5 7 11 6" xfId="33791"/>
    <cellStyle name="Normal 4 5 7 12" xfId="17197"/>
    <cellStyle name="Normal 4 5 7 12 2" xfId="17198"/>
    <cellStyle name="Normal 4 5 7 12 2 2" xfId="33797"/>
    <cellStyle name="Normal 4 5 7 12 3" xfId="17199"/>
    <cellStyle name="Normal 4 5 7 12 3 2" xfId="33798"/>
    <cellStyle name="Normal 4 5 7 12 4" xfId="17200"/>
    <cellStyle name="Normal 4 5 7 12 4 2" xfId="33799"/>
    <cellStyle name="Normal 4 5 7 12 5" xfId="17201"/>
    <cellStyle name="Normal 4 5 7 12 5 2" xfId="33800"/>
    <cellStyle name="Normal 4 5 7 12 6" xfId="33796"/>
    <cellStyle name="Normal 4 5 7 13" xfId="17202"/>
    <cellStyle name="Normal 4 5 7 13 2" xfId="17203"/>
    <cellStyle name="Normal 4 5 7 13 2 2" xfId="33802"/>
    <cellStyle name="Normal 4 5 7 13 3" xfId="17204"/>
    <cellStyle name="Normal 4 5 7 13 3 2" xfId="33803"/>
    <cellStyle name="Normal 4 5 7 13 4" xfId="17205"/>
    <cellStyle name="Normal 4 5 7 13 4 2" xfId="33804"/>
    <cellStyle name="Normal 4 5 7 13 5" xfId="17206"/>
    <cellStyle name="Normal 4 5 7 13 5 2" xfId="33805"/>
    <cellStyle name="Normal 4 5 7 13 6" xfId="33801"/>
    <cellStyle name="Normal 4 5 7 14" xfId="17207"/>
    <cellStyle name="Normal 4 5 7 14 2" xfId="17208"/>
    <cellStyle name="Normal 4 5 7 14 2 2" xfId="33807"/>
    <cellStyle name="Normal 4 5 7 14 3" xfId="17209"/>
    <cellStyle name="Normal 4 5 7 14 3 2" xfId="33808"/>
    <cellStyle name="Normal 4 5 7 14 4" xfId="17210"/>
    <cellStyle name="Normal 4 5 7 14 4 2" xfId="33809"/>
    <cellStyle name="Normal 4 5 7 14 5" xfId="17211"/>
    <cellStyle name="Normal 4 5 7 14 5 2" xfId="33810"/>
    <cellStyle name="Normal 4 5 7 14 6" xfId="33806"/>
    <cellStyle name="Normal 4 5 7 15" xfId="17212"/>
    <cellStyle name="Normal 4 5 7 15 2" xfId="17213"/>
    <cellStyle name="Normal 4 5 7 15 2 2" xfId="33812"/>
    <cellStyle name="Normal 4 5 7 15 3" xfId="17214"/>
    <cellStyle name="Normal 4 5 7 15 3 2" xfId="33813"/>
    <cellStyle name="Normal 4 5 7 15 4" xfId="17215"/>
    <cellStyle name="Normal 4 5 7 15 4 2" xfId="33814"/>
    <cellStyle name="Normal 4 5 7 15 5" xfId="17216"/>
    <cellStyle name="Normal 4 5 7 15 5 2" xfId="33815"/>
    <cellStyle name="Normal 4 5 7 15 6" xfId="33811"/>
    <cellStyle name="Normal 4 5 7 16" xfId="17217"/>
    <cellStyle name="Normal 4 5 7 16 2" xfId="17218"/>
    <cellStyle name="Normal 4 5 7 16 2 2" xfId="33817"/>
    <cellStyle name="Normal 4 5 7 16 3" xfId="17219"/>
    <cellStyle name="Normal 4 5 7 16 3 2" xfId="33818"/>
    <cellStyle name="Normal 4 5 7 16 4" xfId="17220"/>
    <cellStyle name="Normal 4 5 7 16 4 2" xfId="33819"/>
    <cellStyle name="Normal 4 5 7 16 5" xfId="17221"/>
    <cellStyle name="Normal 4 5 7 16 5 2" xfId="33820"/>
    <cellStyle name="Normal 4 5 7 16 6" xfId="33816"/>
    <cellStyle name="Normal 4 5 7 17" xfId="17222"/>
    <cellStyle name="Normal 4 5 7 17 2" xfId="33821"/>
    <cellStyle name="Normal 4 5 7 18" xfId="17223"/>
    <cellStyle name="Normal 4 5 7 18 2" xfId="33822"/>
    <cellStyle name="Normal 4 5 7 19" xfId="17224"/>
    <cellStyle name="Normal 4 5 7 19 2" xfId="33823"/>
    <cellStyle name="Normal 4 5 7 2" xfId="17225"/>
    <cellStyle name="Normal 4 5 7 20" xfId="17226"/>
    <cellStyle name="Normal 4 5 7 20 2" xfId="33824"/>
    <cellStyle name="Normal 4 5 7 21" xfId="33785"/>
    <cellStyle name="Normal 4 5 7 3" xfId="17227"/>
    <cellStyle name="Normal 4 5 7 3 2" xfId="17228"/>
    <cellStyle name="Normal 4 5 7 3 2 2" xfId="33826"/>
    <cellStyle name="Normal 4 5 7 3 3" xfId="17229"/>
    <cellStyle name="Normal 4 5 7 3 3 2" xfId="33827"/>
    <cellStyle name="Normal 4 5 7 3 4" xfId="17230"/>
    <cellStyle name="Normal 4 5 7 3 4 2" xfId="33828"/>
    <cellStyle name="Normal 4 5 7 3 5" xfId="17231"/>
    <cellStyle name="Normal 4 5 7 3 5 2" xfId="33829"/>
    <cellStyle name="Normal 4 5 7 3 6" xfId="33825"/>
    <cellStyle name="Normal 4 5 7 4" xfId="17232"/>
    <cellStyle name="Normal 4 5 7 4 2" xfId="17233"/>
    <cellStyle name="Normal 4 5 7 4 2 2" xfId="33831"/>
    <cellStyle name="Normal 4 5 7 4 3" xfId="17234"/>
    <cellStyle name="Normal 4 5 7 4 3 2" xfId="33832"/>
    <cellStyle name="Normal 4 5 7 4 4" xfId="17235"/>
    <cellStyle name="Normal 4 5 7 4 4 2" xfId="33833"/>
    <cellStyle name="Normal 4 5 7 4 5" xfId="17236"/>
    <cellStyle name="Normal 4 5 7 4 5 2" xfId="33834"/>
    <cellStyle name="Normal 4 5 7 4 6" xfId="33830"/>
    <cellStyle name="Normal 4 5 7 5" xfId="17237"/>
    <cellStyle name="Normal 4 5 7 5 2" xfId="17238"/>
    <cellStyle name="Normal 4 5 7 5 2 2" xfId="33836"/>
    <cellStyle name="Normal 4 5 7 5 3" xfId="17239"/>
    <cellStyle name="Normal 4 5 7 5 3 2" xfId="33837"/>
    <cellStyle name="Normal 4 5 7 5 4" xfId="17240"/>
    <cellStyle name="Normal 4 5 7 5 4 2" xfId="33838"/>
    <cellStyle name="Normal 4 5 7 5 5" xfId="17241"/>
    <cellStyle name="Normal 4 5 7 5 5 2" xfId="33839"/>
    <cellStyle name="Normal 4 5 7 5 6" xfId="33835"/>
    <cellStyle name="Normal 4 5 7 6" xfId="17242"/>
    <cellStyle name="Normal 4 5 7 6 2" xfId="17243"/>
    <cellStyle name="Normal 4 5 7 6 2 2" xfId="33841"/>
    <cellStyle name="Normal 4 5 7 6 3" xfId="17244"/>
    <cellStyle name="Normal 4 5 7 6 3 2" xfId="33842"/>
    <cellStyle name="Normal 4 5 7 6 4" xfId="17245"/>
    <cellStyle name="Normal 4 5 7 6 4 2" xfId="33843"/>
    <cellStyle name="Normal 4 5 7 6 5" xfId="17246"/>
    <cellStyle name="Normal 4 5 7 6 5 2" xfId="33844"/>
    <cellStyle name="Normal 4 5 7 6 6" xfId="33840"/>
    <cellStyle name="Normal 4 5 7 7" xfId="17247"/>
    <cellStyle name="Normal 4 5 7 7 2" xfId="17248"/>
    <cellStyle name="Normal 4 5 7 7 2 2" xfId="33846"/>
    <cellStyle name="Normal 4 5 7 7 3" xfId="17249"/>
    <cellStyle name="Normal 4 5 7 7 3 2" xfId="33847"/>
    <cellStyle name="Normal 4 5 7 7 4" xfId="17250"/>
    <cellStyle name="Normal 4 5 7 7 4 2" xfId="33848"/>
    <cellStyle name="Normal 4 5 7 7 5" xfId="17251"/>
    <cellStyle name="Normal 4 5 7 7 5 2" xfId="33849"/>
    <cellStyle name="Normal 4 5 7 7 6" xfId="33845"/>
    <cellStyle name="Normal 4 5 7 8" xfId="17252"/>
    <cellStyle name="Normal 4 5 7 8 2" xfId="17253"/>
    <cellStyle name="Normal 4 5 7 8 2 2" xfId="33851"/>
    <cellStyle name="Normal 4 5 7 8 3" xfId="17254"/>
    <cellStyle name="Normal 4 5 7 8 3 2" xfId="33852"/>
    <cellStyle name="Normal 4 5 7 8 4" xfId="17255"/>
    <cellStyle name="Normal 4 5 7 8 4 2" xfId="33853"/>
    <cellStyle name="Normal 4 5 7 8 5" xfId="17256"/>
    <cellStyle name="Normal 4 5 7 8 5 2" xfId="33854"/>
    <cellStyle name="Normal 4 5 7 8 6" xfId="33850"/>
    <cellStyle name="Normal 4 5 7 9" xfId="17257"/>
    <cellStyle name="Normal 4 5 7 9 2" xfId="17258"/>
    <cellStyle name="Normal 4 5 7 9 2 2" xfId="33856"/>
    <cellStyle name="Normal 4 5 7 9 3" xfId="17259"/>
    <cellStyle name="Normal 4 5 7 9 3 2" xfId="33857"/>
    <cellStyle name="Normal 4 5 7 9 4" xfId="17260"/>
    <cellStyle name="Normal 4 5 7 9 4 2" xfId="33858"/>
    <cellStyle name="Normal 4 5 7 9 5" xfId="17261"/>
    <cellStyle name="Normal 4 5 7 9 5 2" xfId="33859"/>
    <cellStyle name="Normal 4 5 7 9 6" xfId="33855"/>
    <cellStyle name="Normal 4 5 8" xfId="17262"/>
    <cellStyle name="Normal 4 5 8 2" xfId="17263"/>
    <cellStyle name="Normal 4 5 8 3" xfId="17264"/>
    <cellStyle name="Normal 4 5 8 3 2" xfId="33861"/>
    <cellStyle name="Normal 4 5 8 4" xfId="17265"/>
    <cellStyle name="Normal 4 5 8 4 2" xfId="33862"/>
    <cellStyle name="Normal 4 5 8 5" xfId="17266"/>
    <cellStyle name="Normal 4 5 8 5 2" xfId="33863"/>
    <cellStyle name="Normal 4 5 8 6" xfId="17267"/>
    <cellStyle name="Normal 4 5 8 6 2" xfId="33864"/>
    <cellStyle name="Normal 4 5 8 7" xfId="33860"/>
    <cellStyle name="Normal 4 5 9" xfId="17268"/>
    <cellStyle name="Normal 4 5 9 2" xfId="17269"/>
    <cellStyle name="Normal 4 5 9 3" xfId="17270"/>
    <cellStyle name="Normal 4 5 9 3 2" xfId="33866"/>
    <cellStyle name="Normal 4 5 9 4" xfId="17271"/>
    <cellStyle name="Normal 4 5 9 4 2" xfId="33867"/>
    <cellStyle name="Normal 4 5 9 5" xfId="17272"/>
    <cellStyle name="Normal 4 5 9 5 2" xfId="33868"/>
    <cellStyle name="Normal 4 5 9 6" xfId="17273"/>
    <cellStyle name="Normal 4 5 9 6 2" xfId="33869"/>
    <cellStyle name="Normal 4 5 9 7" xfId="33865"/>
    <cellStyle name="Normal 4 6" xfId="17274"/>
    <cellStyle name="Normal 4 6 10" xfId="17275"/>
    <cellStyle name="Normal 4 6 10 2" xfId="17276"/>
    <cellStyle name="Normal 4 6 10 2 2" xfId="33871"/>
    <cellStyle name="Normal 4 6 10 3" xfId="17277"/>
    <cellStyle name="Normal 4 6 10 3 2" xfId="33872"/>
    <cellStyle name="Normal 4 6 10 4" xfId="17278"/>
    <cellStyle name="Normal 4 6 10 4 2" xfId="33873"/>
    <cellStyle name="Normal 4 6 10 5" xfId="17279"/>
    <cellStyle name="Normal 4 6 10 5 2" xfId="33874"/>
    <cellStyle name="Normal 4 6 10 6" xfId="33870"/>
    <cellStyle name="Normal 4 6 11" xfId="17280"/>
    <cellStyle name="Normal 4 6 11 2" xfId="17281"/>
    <cellStyle name="Normal 4 6 11 2 2" xfId="33876"/>
    <cellStyle name="Normal 4 6 11 3" xfId="17282"/>
    <cellStyle name="Normal 4 6 11 3 2" xfId="33877"/>
    <cellStyle name="Normal 4 6 11 4" xfId="17283"/>
    <cellStyle name="Normal 4 6 11 4 2" xfId="33878"/>
    <cellStyle name="Normal 4 6 11 5" xfId="17284"/>
    <cellStyle name="Normal 4 6 11 5 2" xfId="33879"/>
    <cellStyle name="Normal 4 6 11 6" xfId="33875"/>
    <cellStyle name="Normal 4 6 12" xfId="17285"/>
    <cellStyle name="Normal 4 6 12 2" xfId="17286"/>
    <cellStyle name="Normal 4 6 12 2 2" xfId="33881"/>
    <cellStyle name="Normal 4 6 12 3" xfId="17287"/>
    <cellStyle name="Normal 4 6 12 3 2" xfId="33882"/>
    <cellStyle name="Normal 4 6 12 4" xfId="17288"/>
    <cellStyle name="Normal 4 6 12 4 2" xfId="33883"/>
    <cellStyle name="Normal 4 6 12 5" xfId="17289"/>
    <cellStyle name="Normal 4 6 12 5 2" xfId="33884"/>
    <cellStyle name="Normal 4 6 12 6" xfId="33880"/>
    <cellStyle name="Normal 4 6 13" xfId="17290"/>
    <cellStyle name="Normal 4 6 13 2" xfId="17291"/>
    <cellStyle name="Normal 4 6 13 2 2" xfId="33886"/>
    <cellStyle name="Normal 4 6 13 3" xfId="17292"/>
    <cellStyle name="Normal 4 6 13 3 2" xfId="33887"/>
    <cellStyle name="Normal 4 6 13 4" xfId="17293"/>
    <cellStyle name="Normal 4 6 13 4 2" xfId="33888"/>
    <cellStyle name="Normal 4 6 13 5" xfId="17294"/>
    <cellStyle name="Normal 4 6 13 5 2" xfId="33889"/>
    <cellStyle name="Normal 4 6 13 6" xfId="33885"/>
    <cellStyle name="Normal 4 6 14" xfId="17295"/>
    <cellStyle name="Normal 4 6 14 2" xfId="17296"/>
    <cellStyle name="Normal 4 6 14 2 2" xfId="33891"/>
    <cellStyle name="Normal 4 6 14 3" xfId="17297"/>
    <cellStyle name="Normal 4 6 14 3 2" xfId="33892"/>
    <cellStyle name="Normal 4 6 14 4" xfId="17298"/>
    <cellStyle name="Normal 4 6 14 4 2" xfId="33893"/>
    <cellStyle name="Normal 4 6 14 5" xfId="17299"/>
    <cellStyle name="Normal 4 6 14 5 2" xfId="33894"/>
    <cellStyle name="Normal 4 6 14 6" xfId="33890"/>
    <cellStyle name="Normal 4 6 15" xfId="17300"/>
    <cellStyle name="Normal 4 6 15 2" xfId="17301"/>
    <cellStyle name="Normal 4 6 15 2 2" xfId="33896"/>
    <cellStyle name="Normal 4 6 15 3" xfId="17302"/>
    <cellStyle name="Normal 4 6 15 3 2" xfId="33897"/>
    <cellStyle name="Normal 4 6 15 4" xfId="17303"/>
    <cellStyle name="Normal 4 6 15 4 2" xfId="33898"/>
    <cellStyle name="Normal 4 6 15 5" xfId="17304"/>
    <cellStyle name="Normal 4 6 15 5 2" xfId="33899"/>
    <cellStyle name="Normal 4 6 15 6" xfId="33895"/>
    <cellStyle name="Normal 4 6 16" xfId="17305"/>
    <cellStyle name="Normal 4 6 16 2" xfId="17306"/>
    <cellStyle name="Normal 4 6 16 2 2" xfId="33901"/>
    <cellStyle name="Normal 4 6 16 3" xfId="17307"/>
    <cellStyle name="Normal 4 6 16 3 2" xfId="33902"/>
    <cellStyle name="Normal 4 6 16 4" xfId="17308"/>
    <cellStyle name="Normal 4 6 16 4 2" xfId="33903"/>
    <cellStyle name="Normal 4 6 16 5" xfId="17309"/>
    <cellStyle name="Normal 4 6 16 5 2" xfId="33904"/>
    <cellStyle name="Normal 4 6 16 6" xfId="33900"/>
    <cellStyle name="Normal 4 6 17" xfId="17310"/>
    <cellStyle name="Normal 4 6 17 2" xfId="17311"/>
    <cellStyle name="Normal 4 6 17 2 2" xfId="33906"/>
    <cellStyle name="Normal 4 6 17 3" xfId="17312"/>
    <cellStyle name="Normal 4 6 17 3 2" xfId="33907"/>
    <cellStyle name="Normal 4 6 17 4" xfId="17313"/>
    <cellStyle name="Normal 4 6 17 4 2" xfId="33908"/>
    <cellStyle name="Normal 4 6 17 5" xfId="17314"/>
    <cellStyle name="Normal 4 6 17 5 2" xfId="33909"/>
    <cellStyle name="Normal 4 6 17 6" xfId="33905"/>
    <cellStyle name="Normal 4 6 18" xfId="17315"/>
    <cellStyle name="Normal 4 6 18 2" xfId="17316"/>
    <cellStyle name="Normal 4 6 18 2 2" xfId="33911"/>
    <cellStyle name="Normal 4 6 18 3" xfId="17317"/>
    <cellStyle name="Normal 4 6 18 3 2" xfId="33912"/>
    <cellStyle name="Normal 4 6 18 4" xfId="17318"/>
    <cellStyle name="Normal 4 6 18 4 2" xfId="33913"/>
    <cellStyle name="Normal 4 6 18 5" xfId="17319"/>
    <cellStyle name="Normal 4 6 18 5 2" xfId="33914"/>
    <cellStyle name="Normal 4 6 18 6" xfId="33910"/>
    <cellStyle name="Normal 4 6 19" xfId="17320"/>
    <cellStyle name="Normal 4 6 19 2" xfId="17321"/>
    <cellStyle name="Normal 4 6 19 2 2" xfId="33916"/>
    <cellStyle name="Normal 4 6 19 3" xfId="17322"/>
    <cellStyle name="Normal 4 6 19 3 2" xfId="33917"/>
    <cellStyle name="Normal 4 6 19 4" xfId="17323"/>
    <cellStyle name="Normal 4 6 19 4 2" xfId="33918"/>
    <cellStyle name="Normal 4 6 19 5" xfId="17324"/>
    <cellStyle name="Normal 4 6 19 5 2" xfId="33919"/>
    <cellStyle name="Normal 4 6 19 6" xfId="33915"/>
    <cellStyle name="Normal 4 6 2" xfId="17325"/>
    <cellStyle name="Normal 4 6 2 10" xfId="17326"/>
    <cellStyle name="Normal 4 6 2 11" xfId="17327"/>
    <cellStyle name="Normal 4 6 2 12" xfId="17328"/>
    <cellStyle name="Normal 4 6 2 13" xfId="17329"/>
    <cellStyle name="Normal 4 6 2 14" xfId="17330"/>
    <cellStyle name="Normal 4 6 2 15" xfId="17331"/>
    <cellStyle name="Normal 4 6 2 16" xfId="17332"/>
    <cellStyle name="Normal 4 6 2 17" xfId="17333"/>
    <cellStyle name="Normal 4 6 2 18" xfId="17334"/>
    <cellStyle name="Normal 4 6 2 19" xfId="17335"/>
    <cellStyle name="Normal 4 6 2 2" xfId="17336"/>
    <cellStyle name="Normal 4 6 2 2 2" xfId="17337"/>
    <cellStyle name="Normal 4 6 2 2 3" xfId="17338"/>
    <cellStyle name="Normal 4 6 2 2 4" xfId="17339"/>
    <cellStyle name="Normal 4 6 2 2 5" xfId="17340"/>
    <cellStyle name="Normal 4 6 2 2 6" xfId="17341"/>
    <cellStyle name="Normal 4 6 2 2 7" xfId="17342"/>
    <cellStyle name="Normal 4 6 2 20" xfId="17343"/>
    <cellStyle name="Normal 4 6 2 21" xfId="17344"/>
    <cellStyle name="Normal 4 6 2 22" xfId="33920"/>
    <cellStyle name="Normal 4 6 2 3" xfId="17345"/>
    <cellStyle name="Normal 4 6 2 4" xfId="17346"/>
    <cellStyle name="Normal 4 6 2 5" xfId="17347"/>
    <cellStyle name="Normal 4 6 2 6" xfId="17348"/>
    <cellStyle name="Normal 4 6 2 7" xfId="17349"/>
    <cellStyle name="Normal 4 6 2 8" xfId="17350"/>
    <cellStyle name="Normal 4 6 2 9" xfId="17351"/>
    <cellStyle name="Normal 4 6 20" xfId="17352"/>
    <cellStyle name="Normal 4 6 20 2" xfId="17353"/>
    <cellStyle name="Normal 4 6 20 2 2" xfId="33922"/>
    <cellStyle name="Normal 4 6 20 3" xfId="17354"/>
    <cellStyle name="Normal 4 6 20 3 2" xfId="33923"/>
    <cellStyle name="Normal 4 6 20 4" xfId="17355"/>
    <cellStyle name="Normal 4 6 20 4 2" xfId="33924"/>
    <cellStyle name="Normal 4 6 20 5" xfId="17356"/>
    <cellStyle name="Normal 4 6 20 5 2" xfId="33925"/>
    <cellStyle name="Normal 4 6 20 6" xfId="33921"/>
    <cellStyle name="Normal 4 6 21" xfId="17357"/>
    <cellStyle name="Normal 4 6 21 2" xfId="33926"/>
    <cellStyle name="Normal 4 6 22" xfId="17358"/>
    <cellStyle name="Normal 4 6 22 2" xfId="33927"/>
    <cellStyle name="Normal 4 6 23" xfId="17359"/>
    <cellStyle name="Normal 4 6 23 2" xfId="33928"/>
    <cellStyle name="Normal 4 6 24" xfId="17360"/>
    <cellStyle name="Normal 4 6 24 2" xfId="33929"/>
    <cellStyle name="Normal 4 6 25" xfId="17361"/>
    <cellStyle name="Normal 4 6 25 2" xfId="33930"/>
    <cellStyle name="Normal 4 6 26" xfId="40714"/>
    <cellStyle name="Normal 4 6 3" xfId="17362"/>
    <cellStyle name="Normal 4 6 3 10" xfId="17363"/>
    <cellStyle name="Normal 4 6 3 11" xfId="17364"/>
    <cellStyle name="Normal 4 6 3 12" xfId="17365"/>
    <cellStyle name="Normal 4 6 3 13" xfId="17366"/>
    <cellStyle name="Normal 4 6 3 14" xfId="17367"/>
    <cellStyle name="Normal 4 6 3 15" xfId="17368"/>
    <cellStyle name="Normal 4 6 3 16" xfId="17369"/>
    <cellStyle name="Normal 4 6 3 2" xfId="17370"/>
    <cellStyle name="Normal 4 6 3 3" xfId="17371"/>
    <cellStyle name="Normal 4 6 3 4" xfId="17372"/>
    <cellStyle name="Normal 4 6 3 5" xfId="17373"/>
    <cellStyle name="Normal 4 6 3 6" xfId="17374"/>
    <cellStyle name="Normal 4 6 3 7" xfId="17375"/>
    <cellStyle name="Normal 4 6 3 8" xfId="17376"/>
    <cellStyle name="Normal 4 6 3 9" xfId="17377"/>
    <cellStyle name="Normal 4 6 4" xfId="17378"/>
    <cellStyle name="Normal 4 6 4 10" xfId="17379"/>
    <cellStyle name="Normal 4 6 4 10 2" xfId="17380"/>
    <cellStyle name="Normal 4 6 4 10 2 2" xfId="33933"/>
    <cellStyle name="Normal 4 6 4 10 3" xfId="17381"/>
    <cellStyle name="Normal 4 6 4 10 3 2" xfId="33934"/>
    <cellStyle name="Normal 4 6 4 10 4" xfId="17382"/>
    <cellStyle name="Normal 4 6 4 10 4 2" xfId="33935"/>
    <cellStyle name="Normal 4 6 4 10 5" xfId="17383"/>
    <cellStyle name="Normal 4 6 4 10 5 2" xfId="33936"/>
    <cellStyle name="Normal 4 6 4 10 6" xfId="33932"/>
    <cellStyle name="Normal 4 6 4 11" xfId="17384"/>
    <cellStyle name="Normal 4 6 4 11 2" xfId="17385"/>
    <cellStyle name="Normal 4 6 4 11 2 2" xfId="33938"/>
    <cellStyle name="Normal 4 6 4 11 3" xfId="17386"/>
    <cellStyle name="Normal 4 6 4 11 3 2" xfId="33939"/>
    <cellStyle name="Normal 4 6 4 11 4" xfId="17387"/>
    <cellStyle name="Normal 4 6 4 11 4 2" xfId="33940"/>
    <cellStyle name="Normal 4 6 4 11 5" xfId="17388"/>
    <cellStyle name="Normal 4 6 4 11 5 2" xfId="33941"/>
    <cellStyle name="Normal 4 6 4 11 6" xfId="33937"/>
    <cellStyle name="Normal 4 6 4 12" xfId="17389"/>
    <cellStyle name="Normal 4 6 4 12 2" xfId="17390"/>
    <cellStyle name="Normal 4 6 4 12 2 2" xfId="33943"/>
    <cellStyle name="Normal 4 6 4 12 3" xfId="17391"/>
    <cellStyle name="Normal 4 6 4 12 3 2" xfId="33944"/>
    <cellStyle name="Normal 4 6 4 12 4" xfId="17392"/>
    <cellStyle name="Normal 4 6 4 12 4 2" xfId="33945"/>
    <cellStyle name="Normal 4 6 4 12 5" xfId="17393"/>
    <cellStyle name="Normal 4 6 4 12 5 2" xfId="33946"/>
    <cellStyle name="Normal 4 6 4 12 6" xfId="33942"/>
    <cellStyle name="Normal 4 6 4 13" xfId="17394"/>
    <cellStyle name="Normal 4 6 4 13 2" xfId="17395"/>
    <cellStyle name="Normal 4 6 4 13 2 2" xfId="33948"/>
    <cellStyle name="Normal 4 6 4 13 3" xfId="17396"/>
    <cellStyle name="Normal 4 6 4 13 3 2" xfId="33949"/>
    <cellStyle name="Normal 4 6 4 13 4" xfId="17397"/>
    <cellStyle name="Normal 4 6 4 13 4 2" xfId="33950"/>
    <cellStyle name="Normal 4 6 4 13 5" xfId="17398"/>
    <cellStyle name="Normal 4 6 4 13 5 2" xfId="33951"/>
    <cellStyle name="Normal 4 6 4 13 6" xfId="33947"/>
    <cellStyle name="Normal 4 6 4 14" xfId="17399"/>
    <cellStyle name="Normal 4 6 4 14 2" xfId="17400"/>
    <cellStyle name="Normal 4 6 4 14 2 2" xfId="33953"/>
    <cellStyle name="Normal 4 6 4 14 3" xfId="17401"/>
    <cellStyle name="Normal 4 6 4 14 3 2" xfId="33954"/>
    <cellStyle name="Normal 4 6 4 14 4" xfId="17402"/>
    <cellStyle name="Normal 4 6 4 14 4 2" xfId="33955"/>
    <cellStyle name="Normal 4 6 4 14 5" xfId="17403"/>
    <cellStyle name="Normal 4 6 4 14 5 2" xfId="33956"/>
    <cellStyle name="Normal 4 6 4 14 6" xfId="33952"/>
    <cellStyle name="Normal 4 6 4 15" xfId="17404"/>
    <cellStyle name="Normal 4 6 4 15 2" xfId="17405"/>
    <cellStyle name="Normal 4 6 4 15 2 2" xfId="33958"/>
    <cellStyle name="Normal 4 6 4 15 3" xfId="17406"/>
    <cellStyle name="Normal 4 6 4 15 3 2" xfId="33959"/>
    <cellStyle name="Normal 4 6 4 15 4" xfId="17407"/>
    <cellStyle name="Normal 4 6 4 15 4 2" xfId="33960"/>
    <cellStyle name="Normal 4 6 4 15 5" xfId="17408"/>
    <cellStyle name="Normal 4 6 4 15 5 2" xfId="33961"/>
    <cellStyle name="Normal 4 6 4 15 6" xfId="33957"/>
    <cellStyle name="Normal 4 6 4 16" xfId="17409"/>
    <cellStyle name="Normal 4 6 4 16 2" xfId="17410"/>
    <cellStyle name="Normal 4 6 4 16 2 2" xfId="33963"/>
    <cellStyle name="Normal 4 6 4 16 3" xfId="17411"/>
    <cellStyle name="Normal 4 6 4 16 3 2" xfId="33964"/>
    <cellStyle name="Normal 4 6 4 16 4" xfId="17412"/>
    <cellStyle name="Normal 4 6 4 16 4 2" xfId="33965"/>
    <cellStyle name="Normal 4 6 4 16 5" xfId="17413"/>
    <cellStyle name="Normal 4 6 4 16 5 2" xfId="33966"/>
    <cellStyle name="Normal 4 6 4 16 6" xfId="33962"/>
    <cellStyle name="Normal 4 6 4 17" xfId="17414"/>
    <cellStyle name="Normal 4 6 4 17 2" xfId="33967"/>
    <cellStyle name="Normal 4 6 4 18" xfId="17415"/>
    <cellStyle name="Normal 4 6 4 18 2" xfId="33968"/>
    <cellStyle name="Normal 4 6 4 19" xfId="17416"/>
    <cellStyle name="Normal 4 6 4 19 2" xfId="33969"/>
    <cellStyle name="Normal 4 6 4 2" xfId="17417"/>
    <cellStyle name="Normal 4 6 4 20" xfId="17418"/>
    <cellStyle name="Normal 4 6 4 20 2" xfId="33970"/>
    <cellStyle name="Normal 4 6 4 21" xfId="33931"/>
    <cellStyle name="Normal 4 6 4 3" xfId="17419"/>
    <cellStyle name="Normal 4 6 4 3 2" xfId="17420"/>
    <cellStyle name="Normal 4 6 4 3 2 2" xfId="33972"/>
    <cellStyle name="Normal 4 6 4 3 3" xfId="17421"/>
    <cellStyle name="Normal 4 6 4 3 3 2" xfId="33973"/>
    <cellStyle name="Normal 4 6 4 3 4" xfId="17422"/>
    <cellStyle name="Normal 4 6 4 3 4 2" xfId="33974"/>
    <cellStyle name="Normal 4 6 4 3 5" xfId="17423"/>
    <cellStyle name="Normal 4 6 4 3 5 2" xfId="33975"/>
    <cellStyle name="Normal 4 6 4 3 6" xfId="33971"/>
    <cellStyle name="Normal 4 6 4 4" xfId="17424"/>
    <cellStyle name="Normal 4 6 4 4 2" xfId="17425"/>
    <cellStyle name="Normal 4 6 4 4 2 2" xfId="33977"/>
    <cellStyle name="Normal 4 6 4 4 3" xfId="17426"/>
    <cellStyle name="Normal 4 6 4 4 3 2" xfId="33978"/>
    <cellStyle name="Normal 4 6 4 4 4" xfId="17427"/>
    <cellStyle name="Normal 4 6 4 4 4 2" xfId="33979"/>
    <cellStyle name="Normal 4 6 4 4 5" xfId="17428"/>
    <cellStyle name="Normal 4 6 4 4 5 2" xfId="33980"/>
    <cellStyle name="Normal 4 6 4 4 6" xfId="33976"/>
    <cellStyle name="Normal 4 6 4 5" xfId="17429"/>
    <cellStyle name="Normal 4 6 4 5 2" xfId="17430"/>
    <cellStyle name="Normal 4 6 4 5 2 2" xfId="33982"/>
    <cellStyle name="Normal 4 6 4 5 3" xfId="17431"/>
    <cellStyle name="Normal 4 6 4 5 3 2" xfId="33983"/>
    <cellStyle name="Normal 4 6 4 5 4" xfId="17432"/>
    <cellStyle name="Normal 4 6 4 5 4 2" xfId="33984"/>
    <cellStyle name="Normal 4 6 4 5 5" xfId="17433"/>
    <cellStyle name="Normal 4 6 4 5 5 2" xfId="33985"/>
    <cellStyle name="Normal 4 6 4 5 6" xfId="33981"/>
    <cellStyle name="Normal 4 6 4 6" xfId="17434"/>
    <cellStyle name="Normal 4 6 4 6 2" xfId="17435"/>
    <cellStyle name="Normal 4 6 4 6 2 2" xfId="33987"/>
    <cellStyle name="Normal 4 6 4 6 3" xfId="17436"/>
    <cellStyle name="Normal 4 6 4 6 3 2" xfId="33988"/>
    <cellStyle name="Normal 4 6 4 6 4" xfId="17437"/>
    <cellStyle name="Normal 4 6 4 6 4 2" xfId="33989"/>
    <cellStyle name="Normal 4 6 4 6 5" xfId="17438"/>
    <cellStyle name="Normal 4 6 4 6 5 2" xfId="33990"/>
    <cellStyle name="Normal 4 6 4 6 6" xfId="33986"/>
    <cellStyle name="Normal 4 6 4 7" xfId="17439"/>
    <cellStyle name="Normal 4 6 4 7 2" xfId="17440"/>
    <cellStyle name="Normal 4 6 4 7 2 2" xfId="33992"/>
    <cellStyle name="Normal 4 6 4 7 3" xfId="17441"/>
    <cellStyle name="Normal 4 6 4 7 3 2" xfId="33993"/>
    <cellStyle name="Normal 4 6 4 7 4" xfId="17442"/>
    <cellStyle name="Normal 4 6 4 7 4 2" xfId="33994"/>
    <cellStyle name="Normal 4 6 4 7 5" xfId="17443"/>
    <cellStyle name="Normal 4 6 4 7 5 2" xfId="33995"/>
    <cellStyle name="Normal 4 6 4 7 6" xfId="33991"/>
    <cellStyle name="Normal 4 6 4 8" xfId="17444"/>
    <cellStyle name="Normal 4 6 4 8 2" xfId="17445"/>
    <cellStyle name="Normal 4 6 4 8 2 2" xfId="33997"/>
    <cellStyle name="Normal 4 6 4 8 3" xfId="17446"/>
    <cellStyle name="Normal 4 6 4 8 3 2" xfId="33998"/>
    <cellStyle name="Normal 4 6 4 8 4" xfId="17447"/>
    <cellStyle name="Normal 4 6 4 8 4 2" xfId="33999"/>
    <cellStyle name="Normal 4 6 4 8 5" xfId="17448"/>
    <cellStyle name="Normal 4 6 4 8 5 2" xfId="34000"/>
    <cellStyle name="Normal 4 6 4 8 6" xfId="33996"/>
    <cellStyle name="Normal 4 6 4 9" xfId="17449"/>
    <cellStyle name="Normal 4 6 4 9 2" xfId="17450"/>
    <cellStyle name="Normal 4 6 4 9 2 2" xfId="34002"/>
    <cellStyle name="Normal 4 6 4 9 3" xfId="17451"/>
    <cellStyle name="Normal 4 6 4 9 3 2" xfId="34003"/>
    <cellStyle name="Normal 4 6 4 9 4" xfId="17452"/>
    <cellStyle name="Normal 4 6 4 9 4 2" xfId="34004"/>
    <cellStyle name="Normal 4 6 4 9 5" xfId="17453"/>
    <cellStyle name="Normal 4 6 4 9 5 2" xfId="34005"/>
    <cellStyle name="Normal 4 6 4 9 6" xfId="34001"/>
    <cellStyle name="Normal 4 6 5" xfId="17454"/>
    <cellStyle name="Normal 4 6 5 2" xfId="17455"/>
    <cellStyle name="Normal 4 6 5 3" xfId="17456"/>
    <cellStyle name="Normal 4 6 5 3 2" xfId="34007"/>
    <cellStyle name="Normal 4 6 5 4" xfId="17457"/>
    <cellStyle name="Normal 4 6 5 4 2" xfId="34008"/>
    <cellStyle name="Normal 4 6 5 5" xfId="17458"/>
    <cellStyle name="Normal 4 6 5 5 2" xfId="34009"/>
    <cellStyle name="Normal 4 6 5 6" xfId="17459"/>
    <cellStyle name="Normal 4 6 5 6 2" xfId="34010"/>
    <cellStyle name="Normal 4 6 5 7" xfId="34006"/>
    <cellStyle name="Normal 4 6 6" xfId="17460"/>
    <cellStyle name="Normal 4 6 6 2" xfId="17461"/>
    <cellStyle name="Normal 4 6 6 3" xfId="17462"/>
    <cellStyle name="Normal 4 6 6 3 2" xfId="34012"/>
    <cellStyle name="Normal 4 6 6 4" xfId="17463"/>
    <cellStyle name="Normal 4 6 6 4 2" xfId="34013"/>
    <cellStyle name="Normal 4 6 6 5" xfId="17464"/>
    <cellStyle name="Normal 4 6 6 5 2" xfId="34014"/>
    <cellStyle name="Normal 4 6 6 6" xfId="17465"/>
    <cellStyle name="Normal 4 6 6 6 2" xfId="34015"/>
    <cellStyle name="Normal 4 6 6 7" xfId="34011"/>
    <cellStyle name="Normal 4 6 7" xfId="17466"/>
    <cellStyle name="Normal 4 6 7 2" xfId="17467"/>
    <cellStyle name="Normal 4 6 7 2 2" xfId="34017"/>
    <cellStyle name="Normal 4 6 7 3" xfId="17468"/>
    <cellStyle name="Normal 4 6 7 3 2" xfId="34018"/>
    <cellStyle name="Normal 4 6 7 4" xfId="17469"/>
    <cellStyle name="Normal 4 6 7 4 2" xfId="34019"/>
    <cellStyle name="Normal 4 6 7 5" xfId="17470"/>
    <cellStyle name="Normal 4 6 7 5 2" xfId="34020"/>
    <cellStyle name="Normal 4 6 7 6" xfId="34016"/>
    <cellStyle name="Normal 4 6 8" xfId="17471"/>
    <cellStyle name="Normal 4 6 8 2" xfId="17472"/>
    <cellStyle name="Normal 4 6 8 2 2" xfId="34022"/>
    <cellStyle name="Normal 4 6 8 3" xfId="17473"/>
    <cellStyle name="Normal 4 6 8 3 2" xfId="34023"/>
    <cellStyle name="Normal 4 6 8 4" xfId="17474"/>
    <cellStyle name="Normal 4 6 8 4 2" xfId="34024"/>
    <cellStyle name="Normal 4 6 8 5" xfId="17475"/>
    <cellStyle name="Normal 4 6 8 5 2" xfId="34025"/>
    <cellStyle name="Normal 4 6 8 6" xfId="34021"/>
    <cellStyle name="Normal 4 6 9" xfId="17476"/>
    <cellStyle name="Normal 4 6 9 2" xfId="17477"/>
    <cellStyle name="Normal 4 6 9 2 2" xfId="34027"/>
    <cellStyle name="Normal 4 6 9 3" xfId="17478"/>
    <cellStyle name="Normal 4 6 9 3 2" xfId="34028"/>
    <cellStyle name="Normal 4 6 9 4" xfId="17479"/>
    <cellStyle name="Normal 4 6 9 4 2" xfId="34029"/>
    <cellStyle name="Normal 4 6 9 5" xfId="17480"/>
    <cellStyle name="Normal 4 6 9 5 2" xfId="34030"/>
    <cellStyle name="Normal 4 6 9 6" xfId="34026"/>
    <cellStyle name="Normal 4 7" xfId="17481"/>
    <cellStyle name="Normal 4 7 10" xfId="17482"/>
    <cellStyle name="Normal 4 7 10 2" xfId="17483"/>
    <cellStyle name="Normal 4 7 10 2 2" xfId="34032"/>
    <cellStyle name="Normal 4 7 10 3" xfId="17484"/>
    <cellStyle name="Normal 4 7 10 3 2" xfId="34033"/>
    <cellStyle name="Normal 4 7 10 4" xfId="17485"/>
    <cellStyle name="Normal 4 7 10 4 2" xfId="34034"/>
    <cellStyle name="Normal 4 7 10 5" xfId="17486"/>
    <cellStyle name="Normal 4 7 10 5 2" xfId="34035"/>
    <cellStyle name="Normal 4 7 10 6" xfId="34031"/>
    <cellStyle name="Normal 4 7 11" xfId="17487"/>
    <cellStyle name="Normal 4 7 11 2" xfId="17488"/>
    <cellStyle name="Normal 4 7 11 2 2" xfId="34037"/>
    <cellStyle name="Normal 4 7 11 3" xfId="17489"/>
    <cellStyle name="Normal 4 7 11 3 2" xfId="34038"/>
    <cellStyle name="Normal 4 7 11 4" xfId="17490"/>
    <cellStyle name="Normal 4 7 11 4 2" xfId="34039"/>
    <cellStyle name="Normal 4 7 11 5" xfId="17491"/>
    <cellStyle name="Normal 4 7 11 5 2" xfId="34040"/>
    <cellStyle name="Normal 4 7 11 6" xfId="34036"/>
    <cellStyle name="Normal 4 7 12" xfId="17492"/>
    <cellStyle name="Normal 4 7 12 2" xfId="17493"/>
    <cellStyle name="Normal 4 7 12 2 2" xfId="34042"/>
    <cellStyle name="Normal 4 7 12 3" xfId="17494"/>
    <cellStyle name="Normal 4 7 12 3 2" xfId="34043"/>
    <cellStyle name="Normal 4 7 12 4" xfId="17495"/>
    <cellStyle name="Normal 4 7 12 4 2" xfId="34044"/>
    <cellStyle name="Normal 4 7 12 5" xfId="17496"/>
    <cellStyle name="Normal 4 7 12 5 2" xfId="34045"/>
    <cellStyle name="Normal 4 7 12 6" xfId="34041"/>
    <cellStyle name="Normal 4 7 13" xfId="17497"/>
    <cellStyle name="Normal 4 7 13 2" xfId="17498"/>
    <cellStyle name="Normal 4 7 13 2 2" xfId="34047"/>
    <cellStyle name="Normal 4 7 13 3" xfId="17499"/>
    <cellStyle name="Normal 4 7 13 3 2" xfId="34048"/>
    <cellStyle name="Normal 4 7 13 4" xfId="17500"/>
    <cellStyle name="Normal 4 7 13 4 2" xfId="34049"/>
    <cellStyle name="Normal 4 7 13 5" xfId="17501"/>
    <cellStyle name="Normal 4 7 13 5 2" xfId="34050"/>
    <cellStyle name="Normal 4 7 13 6" xfId="34046"/>
    <cellStyle name="Normal 4 7 14" xfId="17502"/>
    <cellStyle name="Normal 4 7 14 2" xfId="17503"/>
    <cellStyle name="Normal 4 7 14 2 2" xfId="34052"/>
    <cellStyle name="Normal 4 7 14 3" xfId="17504"/>
    <cellStyle name="Normal 4 7 14 3 2" xfId="34053"/>
    <cellStyle name="Normal 4 7 14 4" xfId="17505"/>
    <cellStyle name="Normal 4 7 14 4 2" xfId="34054"/>
    <cellStyle name="Normal 4 7 14 5" xfId="17506"/>
    <cellStyle name="Normal 4 7 14 5 2" xfId="34055"/>
    <cellStyle name="Normal 4 7 14 6" xfId="34051"/>
    <cellStyle name="Normal 4 7 15" xfId="17507"/>
    <cellStyle name="Normal 4 7 15 2" xfId="17508"/>
    <cellStyle name="Normal 4 7 15 2 2" xfId="34057"/>
    <cellStyle name="Normal 4 7 15 3" xfId="17509"/>
    <cellStyle name="Normal 4 7 15 3 2" xfId="34058"/>
    <cellStyle name="Normal 4 7 15 4" xfId="17510"/>
    <cellStyle name="Normal 4 7 15 4 2" xfId="34059"/>
    <cellStyle name="Normal 4 7 15 5" xfId="17511"/>
    <cellStyle name="Normal 4 7 15 5 2" xfId="34060"/>
    <cellStyle name="Normal 4 7 15 6" xfId="34056"/>
    <cellStyle name="Normal 4 7 16" xfId="17512"/>
    <cellStyle name="Normal 4 7 16 2" xfId="17513"/>
    <cellStyle name="Normal 4 7 16 2 2" xfId="34062"/>
    <cellStyle name="Normal 4 7 16 3" xfId="17514"/>
    <cellStyle name="Normal 4 7 16 3 2" xfId="34063"/>
    <cellStyle name="Normal 4 7 16 4" xfId="17515"/>
    <cellStyle name="Normal 4 7 16 4 2" xfId="34064"/>
    <cellStyle name="Normal 4 7 16 5" xfId="17516"/>
    <cellStyle name="Normal 4 7 16 5 2" xfId="34065"/>
    <cellStyle name="Normal 4 7 16 6" xfId="34061"/>
    <cellStyle name="Normal 4 7 17" xfId="17517"/>
    <cellStyle name="Normal 4 7 17 2" xfId="17518"/>
    <cellStyle name="Normal 4 7 17 2 2" xfId="34067"/>
    <cellStyle name="Normal 4 7 17 3" xfId="17519"/>
    <cellStyle name="Normal 4 7 17 3 2" xfId="34068"/>
    <cellStyle name="Normal 4 7 17 4" xfId="17520"/>
    <cellStyle name="Normal 4 7 17 4 2" xfId="34069"/>
    <cellStyle name="Normal 4 7 17 5" xfId="17521"/>
    <cellStyle name="Normal 4 7 17 5 2" xfId="34070"/>
    <cellStyle name="Normal 4 7 17 6" xfId="34066"/>
    <cellStyle name="Normal 4 7 18" xfId="17522"/>
    <cellStyle name="Normal 4 7 18 2" xfId="17523"/>
    <cellStyle name="Normal 4 7 18 2 2" xfId="34072"/>
    <cellStyle name="Normal 4 7 18 3" xfId="17524"/>
    <cellStyle name="Normal 4 7 18 3 2" xfId="34073"/>
    <cellStyle name="Normal 4 7 18 4" xfId="17525"/>
    <cellStyle name="Normal 4 7 18 4 2" xfId="34074"/>
    <cellStyle name="Normal 4 7 18 5" xfId="17526"/>
    <cellStyle name="Normal 4 7 18 5 2" xfId="34075"/>
    <cellStyle name="Normal 4 7 18 6" xfId="34071"/>
    <cellStyle name="Normal 4 7 19" xfId="17527"/>
    <cellStyle name="Normal 4 7 19 2" xfId="17528"/>
    <cellStyle name="Normal 4 7 19 2 2" xfId="34077"/>
    <cellStyle name="Normal 4 7 19 3" xfId="17529"/>
    <cellStyle name="Normal 4 7 19 3 2" xfId="34078"/>
    <cellStyle name="Normal 4 7 19 4" xfId="17530"/>
    <cellStyle name="Normal 4 7 19 4 2" xfId="34079"/>
    <cellStyle name="Normal 4 7 19 5" xfId="17531"/>
    <cellStyle name="Normal 4 7 19 5 2" xfId="34080"/>
    <cellStyle name="Normal 4 7 19 6" xfId="34076"/>
    <cellStyle name="Normal 4 7 2" xfId="17532"/>
    <cellStyle name="Normal 4 7 2 10" xfId="17533"/>
    <cellStyle name="Normal 4 7 2 11" xfId="17534"/>
    <cellStyle name="Normal 4 7 2 12" xfId="17535"/>
    <cellStyle name="Normal 4 7 2 13" xfId="17536"/>
    <cellStyle name="Normal 4 7 2 14" xfId="17537"/>
    <cellStyle name="Normal 4 7 2 15" xfId="17538"/>
    <cellStyle name="Normal 4 7 2 16" xfId="17539"/>
    <cellStyle name="Normal 4 7 2 17" xfId="17540"/>
    <cellStyle name="Normal 4 7 2 18" xfId="17541"/>
    <cellStyle name="Normal 4 7 2 19" xfId="17542"/>
    <cellStyle name="Normal 4 7 2 2" xfId="17543"/>
    <cellStyle name="Normal 4 7 2 2 2" xfId="17544"/>
    <cellStyle name="Normal 4 7 2 2 3" xfId="17545"/>
    <cellStyle name="Normal 4 7 2 2 4" xfId="17546"/>
    <cellStyle name="Normal 4 7 2 2 5" xfId="17547"/>
    <cellStyle name="Normal 4 7 2 2 6" xfId="17548"/>
    <cellStyle name="Normal 4 7 2 2 7" xfId="17549"/>
    <cellStyle name="Normal 4 7 2 20" xfId="17550"/>
    <cellStyle name="Normal 4 7 2 21" xfId="17551"/>
    <cellStyle name="Normal 4 7 2 22" xfId="34081"/>
    <cellStyle name="Normal 4 7 2 3" xfId="17552"/>
    <cellStyle name="Normal 4 7 2 4" xfId="17553"/>
    <cellStyle name="Normal 4 7 2 5" xfId="17554"/>
    <cellStyle name="Normal 4 7 2 6" xfId="17555"/>
    <cellStyle name="Normal 4 7 2 7" xfId="17556"/>
    <cellStyle name="Normal 4 7 2 8" xfId="17557"/>
    <cellStyle name="Normal 4 7 2 9" xfId="17558"/>
    <cellStyle name="Normal 4 7 20" xfId="17559"/>
    <cellStyle name="Normal 4 7 20 2" xfId="17560"/>
    <cellStyle name="Normal 4 7 20 2 2" xfId="34083"/>
    <cellStyle name="Normal 4 7 20 3" xfId="17561"/>
    <cellStyle name="Normal 4 7 20 3 2" xfId="34084"/>
    <cellStyle name="Normal 4 7 20 4" xfId="17562"/>
    <cellStyle name="Normal 4 7 20 4 2" xfId="34085"/>
    <cellStyle name="Normal 4 7 20 5" xfId="17563"/>
    <cellStyle name="Normal 4 7 20 5 2" xfId="34086"/>
    <cellStyle name="Normal 4 7 20 6" xfId="34082"/>
    <cellStyle name="Normal 4 7 21" xfId="17564"/>
    <cellStyle name="Normal 4 7 21 2" xfId="34087"/>
    <cellStyle name="Normal 4 7 22" xfId="17565"/>
    <cellStyle name="Normal 4 7 22 2" xfId="34088"/>
    <cellStyle name="Normal 4 7 23" xfId="17566"/>
    <cellStyle name="Normal 4 7 23 2" xfId="34089"/>
    <cellStyle name="Normal 4 7 24" xfId="17567"/>
    <cellStyle name="Normal 4 7 24 2" xfId="34090"/>
    <cellStyle name="Normal 4 7 25" xfId="17568"/>
    <cellStyle name="Normal 4 7 25 2" xfId="34091"/>
    <cellStyle name="Normal 4 7 26" xfId="40715"/>
    <cellStyle name="Normal 4 7 3" xfId="17569"/>
    <cellStyle name="Normal 4 7 3 10" xfId="17570"/>
    <cellStyle name="Normal 4 7 3 11" xfId="17571"/>
    <cellStyle name="Normal 4 7 3 12" xfId="17572"/>
    <cellStyle name="Normal 4 7 3 13" xfId="17573"/>
    <cellStyle name="Normal 4 7 3 14" xfId="17574"/>
    <cellStyle name="Normal 4 7 3 15" xfId="17575"/>
    <cellStyle name="Normal 4 7 3 16" xfId="17576"/>
    <cellStyle name="Normal 4 7 3 2" xfId="17577"/>
    <cellStyle name="Normal 4 7 3 3" xfId="17578"/>
    <cellStyle name="Normal 4 7 3 4" xfId="17579"/>
    <cellStyle name="Normal 4 7 3 5" xfId="17580"/>
    <cellStyle name="Normal 4 7 3 6" xfId="17581"/>
    <cellStyle name="Normal 4 7 3 7" xfId="17582"/>
    <cellStyle name="Normal 4 7 3 8" xfId="17583"/>
    <cellStyle name="Normal 4 7 3 9" xfId="17584"/>
    <cellStyle name="Normal 4 7 4" xfId="17585"/>
    <cellStyle name="Normal 4 7 4 10" xfId="17586"/>
    <cellStyle name="Normal 4 7 4 10 2" xfId="17587"/>
    <cellStyle name="Normal 4 7 4 10 2 2" xfId="34094"/>
    <cellStyle name="Normal 4 7 4 10 3" xfId="17588"/>
    <cellStyle name="Normal 4 7 4 10 3 2" xfId="34095"/>
    <cellStyle name="Normal 4 7 4 10 4" xfId="17589"/>
    <cellStyle name="Normal 4 7 4 10 4 2" xfId="34096"/>
    <cellStyle name="Normal 4 7 4 10 5" xfId="17590"/>
    <cellStyle name="Normal 4 7 4 10 5 2" xfId="34097"/>
    <cellStyle name="Normal 4 7 4 10 6" xfId="34093"/>
    <cellStyle name="Normal 4 7 4 11" xfId="17591"/>
    <cellStyle name="Normal 4 7 4 11 2" xfId="17592"/>
    <cellStyle name="Normal 4 7 4 11 2 2" xfId="34099"/>
    <cellStyle name="Normal 4 7 4 11 3" xfId="17593"/>
    <cellStyle name="Normal 4 7 4 11 3 2" xfId="34100"/>
    <cellStyle name="Normal 4 7 4 11 4" xfId="17594"/>
    <cellStyle name="Normal 4 7 4 11 4 2" xfId="34101"/>
    <cellStyle name="Normal 4 7 4 11 5" xfId="17595"/>
    <cellStyle name="Normal 4 7 4 11 5 2" xfId="34102"/>
    <cellStyle name="Normal 4 7 4 11 6" xfId="34098"/>
    <cellStyle name="Normal 4 7 4 12" xfId="17596"/>
    <cellStyle name="Normal 4 7 4 12 2" xfId="17597"/>
    <cellStyle name="Normal 4 7 4 12 2 2" xfId="34104"/>
    <cellStyle name="Normal 4 7 4 12 3" xfId="17598"/>
    <cellStyle name="Normal 4 7 4 12 3 2" xfId="34105"/>
    <cellStyle name="Normal 4 7 4 12 4" xfId="17599"/>
    <cellStyle name="Normal 4 7 4 12 4 2" xfId="34106"/>
    <cellStyle name="Normal 4 7 4 12 5" xfId="17600"/>
    <cellStyle name="Normal 4 7 4 12 5 2" xfId="34107"/>
    <cellStyle name="Normal 4 7 4 12 6" xfId="34103"/>
    <cellStyle name="Normal 4 7 4 13" xfId="17601"/>
    <cellStyle name="Normal 4 7 4 13 2" xfId="17602"/>
    <cellStyle name="Normal 4 7 4 13 2 2" xfId="34109"/>
    <cellStyle name="Normal 4 7 4 13 3" xfId="17603"/>
    <cellStyle name="Normal 4 7 4 13 3 2" xfId="34110"/>
    <cellStyle name="Normal 4 7 4 13 4" xfId="17604"/>
    <cellStyle name="Normal 4 7 4 13 4 2" xfId="34111"/>
    <cellStyle name="Normal 4 7 4 13 5" xfId="17605"/>
    <cellStyle name="Normal 4 7 4 13 5 2" xfId="34112"/>
    <cellStyle name="Normal 4 7 4 13 6" xfId="34108"/>
    <cellStyle name="Normal 4 7 4 14" xfId="17606"/>
    <cellStyle name="Normal 4 7 4 14 2" xfId="17607"/>
    <cellStyle name="Normal 4 7 4 14 2 2" xfId="34114"/>
    <cellStyle name="Normal 4 7 4 14 3" xfId="17608"/>
    <cellStyle name="Normal 4 7 4 14 3 2" xfId="34115"/>
    <cellStyle name="Normal 4 7 4 14 4" xfId="17609"/>
    <cellStyle name="Normal 4 7 4 14 4 2" xfId="34116"/>
    <cellStyle name="Normal 4 7 4 14 5" xfId="17610"/>
    <cellStyle name="Normal 4 7 4 14 5 2" xfId="34117"/>
    <cellStyle name="Normal 4 7 4 14 6" xfId="34113"/>
    <cellStyle name="Normal 4 7 4 15" xfId="17611"/>
    <cellStyle name="Normal 4 7 4 15 2" xfId="17612"/>
    <cellStyle name="Normal 4 7 4 15 2 2" xfId="34119"/>
    <cellStyle name="Normal 4 7 4 15 3" xfId="17613"/>
    <cellStyle name="Normal 4 7 4 15 3 2" xfId="34120"/>
    <cellStyle name="Normal 4 7 4 15 4" xfId="17614"/>
    <cellStyle name="Normal 4 7 4 15 4 2" xfId="34121"/>
    <cellStyle name="Normal 4 7 4 15 5" xfId="17615"/>
    <cellStyle name="Normal 4 7 4 15 5 2" xfId="34122"/>
    <cellStyle name="Normal 4 7 4 15 6" xfId="34118"/>
    <cellStyle name="Normal 4 7 4 16" xfId="17616"/>
    <cellStyle name="Normal 4 7 4 16 2" xfId="17617"/>
    <cellStyle name="Normal 4 7 4 16 2 2" xfId="34124"/>
    <cellStyle name="Normal 4 7 4 16 3" xfId="17618"/>
    <cellStyle name="Normal 4 7 4 16 3 2" xfId="34125"/>
    <cellStyle name="Normal 4 7 4 16 4" xfId="17619"/>
    <cellStyle name="Normal 4 7 4 16 4 2" xfId="34126"/>
    <cellStyle name="Normal 4 7 4 16 5" xfId="17620"/>
    <cellStyle name="Normal 4 7 4 16 5 2" xfId="34127"/>
    <cellStyle name="Normal 4 7 4 16 6" xfId="34123"/>
    <cellStyle name="Normal 4 7 4 17" xfId="17621"/>
    <cellStyle name="Normal 4 7 4 17 2" xfId="34128"/>
    <cellStyle name="Normal 4 7 4 18" xfId="17622"/>
    <cellStyle name="Normal 4 7 4 18 2" xfId="34129"/>
    <cellStyle name="Normal 4 7 4 19" xfId="17623"/>
    <cellStyle name="Normal 4 7 4 19 2" xfId="34130"/>
    <cellStyle name="Normal 4 7 4 2" xfId="17624"/>
    <cellStyle name="Normal 4 7 4 20" xfId="17625"/>
    <cellStyle name="Normal 4 7 4 20 2" xfId="34131"/>
    <cellStyle name="Normal 4 7 4 21" xfId="34092"/>
    <cellStyle name="Normal 4 7 4 3" xfId="17626"/>
    <cellStyle name="Normal 4 7 4 3 2" xfId="17627"/>
    <cellStyle name="Normal 4 7 4 3 2 2" xfId="34133"/>
    <cellStyle name="Normal 4 7 4 3 3" xfId="17628"/>
    <cellStyle name="Normal 4 7 4 3 3 2" xfId="34134"/>
    <cellStyle name="Normal 4 7 4 3 4" xfId="17629"/>
    <cellStyle name="Normal 4 7 4 3 4 2" xfId="34135"/>
    <cellStyle name="Normal 4 7 4 3 5" xfId="17630"/>
    <cellStyle name="Normal 4 7 4 3 5 2" xfId="34136"/>
    <cellStyle name="Normal 4 7 4 3 6" xfId="34132"/>
    <cellStyle name="Normal 4 7 4 4" xfId="17631"/>
    <cellStyle name="Normal 4 7 4 4 2" xfId="17632"/>
    <cellStyle name="Normal 4 7 4 4 2 2" xfId="34138"/>
    <cellStyle name="Normal 4 7 4 4 3" xfId="17633"/>
    <cellStyle name="Normal 4 7 4 4 3 2" xfId="34139"/>
    <cellStyle name="Normal 4 7 4 4 4" xfId="17634"/>
    <cellStyle name="Normal 4 7 4 4 4 2" xfId="34140"/>
    <cellStyle name="Normal 4 7 4 4 5" xfId="17635"/>
    <cellStyle name="Normal 4 7 4 4 5 2" xfId="34141"/>
    <cellStyle name="Normal 4 7 4 4 6" xfId="34137"/>
    <cellStyle name="Normal 4 7 4 5" xfId="17636"/>
    <cellStyle name="Normal 4 7 4 5 2" xfId="17637"/>
    <cellStyle name="Normal 4 7 4 5 2 2" xfId="34143"/>
    <cellStyle name="Normal 4 7 4 5 3" xfId="17638"/>
    <cellStyle name="Normal 4 7 4 5 3 2" xfId="34144"/>
    <cellStyle name="Normal 4 7 4 5 4" xfId="17639"/>
    <cellStyle name="Normal 4 7 4 5 4 2" xfId="34145"/>
    <cellStyle name="Normal 4 7 4 5 5" xfId="17640"/>
    <cellStyle name="Normal 4 7 4 5 5 2" xfId="34146"/>
    <cellStyle name="Normal 4 7 4 5 6" xfId="34142"/>
    <cellStyle name="Normal 4 7 4 6" xfId="17641"/>
    <cellStyle name="Normal 4 7 4 6 2" xfId="17642"/>
    <cellStyle name="Normal 4 7 4 6 2 2" xfId="34148"/>
    <cellStyle name="Normal 4 7 4 6 3" xfId="17643"/>
    <cellStyle name="Normal 4 7 4 6 3 2" xfId="34149"/>
    <cellStyle name="Normal 4 7 4 6 4" xfId="17644"/>
    <cellStyle name="Normal 4 7 4 6 4 2" xfId="34150"/>
    <cellStyle name="Normal 4 7 4 6 5" xfId="17645"/>
    <cellStyle name="Normal 4 7 4 6 5 2" xfId="34151"/>
    <cellStyle name="Normal 4 7 4 6 6" xfId="34147"/>
    <cellStyle name="Normal 4 7 4 7" xfId="17646"/>
    <cellStyle name="Normal 4 7 4 7 2" xfId="17647"/>
    <cellStyle name="Normal 4 7 4 7 2 2" xfId="34153"/>
    <cellStyle name="Normal 4 7 4 7 3" xfId="17648"/>
    <cellStyle name="Normal 4 7 4 7 3 2" xfId="34154"/>
    <cellStyle name="Normal 4 7 4 7 4" xfId="17649"/>
    <cellStyle name="Normal 4 7 4 7 4 2" xfId="34155"/>
    <cellStyle name="Normal 4 7 4 7 5" xfId="17650"/>
    <cellStyle name="Normal 4 7 4 7 5 2" xfId="34156"/>
    <cellStyle name="Normal 4 7 4 7 6" xfId="34152"/>
    <cellStyle name="Normal 4 7 4 8" xfId="17651"/>
    <cellStyle name="Normal 4 7 4 8 2" xfId="17652"/>
    <cellStyle name="Normal 4 7 4 8 2 2" xfId="34158"/>
    <cellStyle name="Normal 4 7 4 8 3" xfId="17653"/>
    <cellStyle name="Normal 4 7 4 8 3 2" xfId="34159"/>
    <cellStyle name="Normal 4 7 4 8 4" xfId="17654"/>
    <cellStyle name="Normal 4 7 4 8 4 2" xfId="34160"/>
    <cellStyle name="Normal 4 7 4 8 5" xfId="17655"/>
    <cellStyle name="Normal 4 7 4 8 5 2" xfId="34161"/>
    <cellStyle name="Normal 4 7 4 8 6" xfId="34157"/>
    <cellStyle name="Normal 4 7 4 9" xfId="17656"/>
    <cellStyle name="Normal 4 7 4 9 2" xfId="17657"/>
    <cellStyle name="Normal 4 7 4 9 2 2" xfId="34163"/>
    <cellStyle name="Normal 4 7 4 9 3" xfId="17658"/>
    <cellStyle name="Normal 4 7 4 9 3 2" xfId="34164"/>
    <cellStyle name="Normal 4 7 4 9 4" xfId="17659"/>
    <cellStyle name="Normal 4 7 4 9 4 2" xfId="34165"/>
    <cellStyle name="Normal 4 7 4 9 5" xfId="17660"/>
    <cellStyle name="Normal 4 7 4 9 5 2" xfId="34166"/>
    <cellStyle name="Normal 4 7 4 9 6" xfId="34162"/>
    <cellStyle name="Normal 4 7 5" xfId="17661"/>
    <cellStyle name="Normal 4 7 5 2" xfId="17662"/>
    <cellStyle name="Normal 4 7 5 3" xfId="17663"/>
    <cellStyle name="Normal 4 7 5 3 2" xfId="34168"/>
    <cellStyle name="Normal 4 7 5 4" xfId="17664"/>
    <cellStyle name="Normal 4 7 5 4 2" xfId="34169"/>
    <cellStyle name="Normal 4 7 5 5" xfId="17665"/>
    <cellStyle name="Normal 4 7 5 5 2" xfId="34170"/>
    <cellStyle name="Normal 4 7 5 6" xfId="17666"/>
    <cellStyle name="Normal 4 7 5 6 2" xfId="34171"/>
    <cellStyle name="Normal 4 7 5 7" xfId="34167"/>
    <cellStyle name="Normal 4 7 6" xfId="17667"/>
    <cellStyle name="Normal 4 7 6 2" xfId="17668"/>
    <cellStyle name="Normal 4 7 6 3" xfId="17669"/>
    <cellStyle name="Normal 4 7 6 3 2" xfId="34173"/>
    <cellStyle name="Normal 4 7 6 4" xfId="17670"/>
    <cellStyle name="Normal 4 7 6 4 2" xfId="34174"/>
    <cellStyle name="Normal 4 7 6 5" xfId="17671"/>
    <cellStyle name="Normal 4 7 6 5 2" xfId="34175"/>
    <cellStyle name="Normal 4 7 6 6" xfId="17672"/>
    <cellStyle name="Normal 4 7 6 6 2" xfId="34176"/>
    <cellStyle name="Normal 4 7 6 7" xfId="34172"/>
    <cellStyle name="Normal 4 7 7" xfId="17673"/>
    <cellStyle name="Normal 4 7 7 2" xfId="17674"/>
    <cellStyle name="Normal 4 7 7 2 2" xfId="34178"/>
    <cellStyle name="Normal 4 7 7 3" xfId="17675"/>
    <cellStyle name="Normal 4 7 7 3 2" xfId="34179"/>
    <cellStyle name="Normal 4 7 7 4" xfId="17676"/>
    <cellStyle name="Normal 4 7 7 4 2" xfId="34180"/>
    <cellStyle name="Normal 4 7 7 5" xfId="17677"/>
    <cellStyle name="Normal 4 7 7 5 2" xfId="34181"/>
    <cellStyle name="Normal 4 7 7 6" xfId="34177"/>
    <cellStyle name="Normal 4 7 8" xfId="17678"/>
    <cellStyle name="Normal 4 7 8 2" xfId="17679"/>
    <cellStyle name="Normal 4 7 8 2 2" xfId="34183"/>
    <cellStyle name="Normal 4 7 8 3" xfId="17680"/>
    <cellStyle name="Normal 4 7 8 3 2" xfId="34184"/>
    <cellStyle name="Normal 4 7 8 4" xfId="17681"/>
    <cellStyle name="Normal 4 7 8 4 2" xfId="34185"/>
    <cellStyle name="Normal 4 7 8 5" xfId="17682"/>
    <cellStyle name="Normal 4 7 8 5 2" xfId="34186"/>
    <cellStyle name="Normal 4 7 8 6" xfId="34182"/>
    <cellStyle name="Normal 4 7 9" xfId="17683"/>
    <cellStyle name="Normal 4 7 9 2" xfId="17684"/>
    <cellStyle name="Normal 4 7 9 2 2" xfId="34188"/>
    <cellStyle name="Normal 4 7 9 3" xfId="17685"/>
    <cellStyle name="Normal 4 7 9 3 2" xfId="34189"/>
    <cellStyle name="Normal 4 7 9 4" xfId="17686"/>
    <cellStyle name="Normal 4 7 9 4 2" xfId="34190"/>
    <cellStyle name="Normal 4 7 9 5" xfId="17687"/>
    <cellStyle name="Normal 4 7 9 5 2" xfId="34191"/>
    <cellStyle name="Normal 4 7 9 6" xfId="34187"/>
    <cellStyle name="Normal 4 8" xfId="17688"/>
    <cellStyle name="Normal 4 8 10" xfId="17689"/>
    <cellStyle name="Normal 4 8 10 2" xfId="17690"/>
    <cellStyle name="Normal 4 8 10 2 2" xfId="34193"/>
    <cellStyle name="Normal 4 8 10 3" xfId="17691"/>
    <cellStyle name="Normal 4 8 10 3 2" xfId="34194"/>
    <cellStyle name="Normal 4 8 10 4" xfId="17692"/>
    <cellStyle name="Normal 4 8 10 4 2" xfId="34195"/>
    <cellStyle name="Normal 4 8 10 5" xfId="17693"/>
    <cellStyle name="Normal 4 8 10 5 2" xfId="34196"/>
    <cellStyle name="Normal 4 8 10 6" xfId="34192"/>
    <cellStyle name="Normal 4 8 11" xfId="17694"/>
    <cellStyle name="Normal 4 8 11 2" xfId="17695"/>
    <cellStyle name="Normal 4 8 11 2 2" xfId="34198"/>
    <cellStyle name="Normal 4 8 11 3" xfId="17696"/>
    <cellStyle name="Normal 4 8 11 3 2" xfId="34199"/>
    <cellStyle name="Normal 4 8 11 4" xfId="17697"/>
    <cellStyle name="Normal 4 8 11 4 2" xfId="34200"/>
    <cellStyle name="Normal 4 8 11 5" xfId="17698"/>
    <cellStyle name="Normal 4 8 11 5 2" xfId="34201"/>
    <cellStyle name="Normal 4 8 11 6" xfId="34197"/>
    <cellStyle name="Normal 4 8 12" xfId="17699"/>
    <cellStyle name="Normal 4 8 12 2" xfId="17700"/>
    <cellStyle name="Normal 4 8 12 2 2" xfId="34203"/>
    <cellStyle name="Normal 4 8 12 3" xfId="17701"/>
    <cellStyle name="Normal 4 8 12 3 2" xfId="34204"/>
    <cellStyle name="Normal 4 8 12 4" xfId="17702"/>
    <cellStyle name="Normal 4 8 12 4 2" xfId="34205"/>
    <cellStyle name="Normal 4 8 12 5" xfId="17703"/>
    <cellStyle name="Normal 4 8 12 5 2" xfId="34206"/>
    <cellStyle name="Normal 4 8 12 6" xfId="34202"/>
    <cellStyle name="Normal 4 8 13" xfId="17704"/>
    <cellStyle name="Normal 4 8 13 2" xfId="17705"/>
    <cellStyle name="Normal 4 8 13 2 2" xfId="34208"/>
    <cellStyle name="Normal 4 8 13 3" xfId="17706"/>
    <cellStyle name="Normal 4 8 13 3 2" xfId="34209"/>
    <cellStyle name="Normal 4 8 13 4" xfId="17707"/>
    <cellStyle name="Normal 4 8 13 4 2" xfId="34210"/>
    <cellStyle name="Normal 4 8 13 5" xfId="17708"/>
    <cellStyle name="Normal 4 8 13 5 2" xfId="34211"/>
    <cellStyle name="Normal 4 8 13 6" xfId="34207"/>
    <cellStyle name="Normal 4 8 14" xfId="17709"/>
    <cellStyle name="Normal 4 8 14 2" xfId="17710"/>
    <cellStyle name="Normal 4 8 14 2 2" xfId="34213"/>
    <cellStyle name="Normal 4 8 14 3" xfId="17711"/>
    <cellStyle name="Normal 4 8 14 3 2" xfId="34214"/>
    <cellStyle name="Normal 4 8 14 4" xfId="17712"/>
    <cellStyle name="Normal 4 8 14 4 2" xfId="34215"/>
    <cellStyle name="Normal 4 8 14 5" xfId="17713"/>
    <cellStyle name="Normal 4 8 14 5 2" xfId="34216"/>
    <cellStyle name="Normal 4 8 14 6" xfId="34212"/>
    <cellStyle name="Normal 4 8 15" xfId="17714"/>
    <cellStyle name="Normal 4 8 15 2" xfId="17715"/>
    <cellStyle name="Normal 4 8 15 2 2" xfId="34218"/>
    <cellStyle name="Normal 4 8 15 3" xfId="17716"/>
    <cellStyle name="Normal 4 8 15 3 2" xfId="34219"/>
    <cellStyle name="Normal 4 8 15 4" xfId="17717"/>
    <cellStyle name="Normal 4 8 15 4 2" xfId="34220"/>
    <cellStyle name="Normal 4 8 15 5" xfId="17718"/>
    <cellStyle name="Normal 4 8 15 5 2" xfId="34221"/>
    <cellStyle name="Normal 4 8 15 6" xfId="34217"/>
    <cellStyle name="Normal 4 8 16" xfId="17719"/>
    <cellStyle name="Normal 4 8 16 2" xfId="17720"/>
    <cellStyle name="Normal 4 8 16 2 2" xfId="34223"/>
    <cellStyle name="Normal 4 8 16 3" xfId="17721"/>
    <cellStyle name="Normal 4 8 16 3 2" xfId="34224"/>
    <cellStyle name="Normal 4 8 16 4" xfId="17722"/>
    <cellStyle name="Normal 4 8 16 4 2" xfId="34225"/>
    <cellStyle name="Normal 4 8 16 5" xfId="17723"/>
    <cellStyle name="Normal 4 8 16 5 2" xfId="34226"/>
    <cellStyle name="Normal 4 8 16 6" xfId="34222"/>
    <cellStyle name="Normal 4 8 17" xfId="17724"/>
    <cellStyle name="Normal 4 8 17 2" xfId="17725"/>
    <cellStyle name="Normal 4 8 17 2 2" xfId="34228"/>
    <cellStyle name="Normal 4 8 17 3" xfId="17726"/>
    <cellStyle name="Normal 4 8 17 3 2" xfId="34229"/>
    <cellStyle name="Normal 4 8 17 4" xfId="17727"/>
    <cellStyle name="Normal 4 8 17 4 2" xfId="34230"/>
    <cellStyle name="Normal 4 8 17 5" xfId="17728"/>
    <cellStyle name="Normal 4 8 17 5 2" xfId="34231"/>
    <cellStyle name="Normal 4 8 17 6" xfId="34227"/>
    <cellStyle name="Normal 4 8 18" xfId="17729"/>
    <cellStyle name="Normal 4 8 18 2" xfId="17730"/>
    <cellStyle name="Normal 4 8 18 2 2" xfId="34233"/>
    <cellStyle name="Normal 4 8 18 3" xfId="17731"/>
    <cellStyle name="Normal 4 8 18 3 2" xfId="34234"/>
    <cellStyle name="Normal 4 8 18 4" xfId="17732"/>
    <cellStyle name="Normal 4 8 18 4 2" xfId="34235"/>
    <cellStyle name="Normal 4 8 18 5" xfId="17733"/>
    <cellStyle name="Normal 4 8 18 5 2" xfId="34236"/>
    <cellStyle name="Normal 4 8 18 6" xfId="34232"/>
    <cellStyle name="Normal 4 8 19" xfId="17734"/>
    <cellStyle name="Normal 4 8 19 2" xfId="17735"/>
    <cellStyle name="Normal 4 8 19 2 2" xfId="34238"/>
    <cellStyle name="Normal 4 8 19 3" xfId="17736"/>
    <cellStyle name="Normal 4 8 19 3 2" xfId="34239"/>
    <cellStyle name="Normal 4 8 19 4" xfId="17737"/>
    <cellStyle name="Normal 4 8 19 4 2" xfId="34240"/>
    <cellStyle name="Normal 4 8 19 5" xfId="17738"/>
    <cellStyle name="Normal 4 8 19 5 2" xfId="34241"/>
    <cellStyle name="Normal 4 8 19 6" xfId="34237"/>
    <cellStyle name="Normal 4 8 2" xfId="17739"/>
    <cellStyle name="Normal 4 8 2 10" xfId="17740"/>
    <cellStyle name="Normal 4 8 2 11" xfId="17741"/>
    <cellStyle name="Normal 4 8 2 12" xfId="17742"/>
    <cellStyle name="Normal 4 8 2 13" xfId="17743"/>
    <cellStyle name="Normal 4 8 2 14" xfId="17744"/>
    <cellStyle name="Normal 4 8 2 15" xfId="17745"/>
    <cellStyle name="Normal 4 8 2 16" xfId="17746"/>
    <cellStyle name="Normal 4 8 2 17" xfId="17747"/>
    <cellStyle name="Normal 4 8 2 18" xfId="17748"/>
    <cellStyle name="Normal 4 8 2 19" xfId="17749"/>
    <cellStyle name="Normal 4 8 2 2" xfId="17750"/>
    <cellStyle name="Normal 4 8 2 2 2" xfId="17751"/>
    <cellStyle name="Normal 4 8 2 2 3" xfId="17752"/>
    <cellStyle name="Normal 4 8 2 2 4" xfId="17753"/>
    <cellStyle name="Normal 4 8 2 2 5" xfId="17754"/>
    <cellStyle name="Normal 4 8 2 2 6" xfId="17755"/>
    <cellStyle name="Normal 4 8 2 2 7" xfId="17756"/>
    <cellStyle name="Normal 4 8 2 20" xfId="17757"/>
    <cellStyle name="Normal 4 8 2 21" xfId="17758"/>
    <cellStyle name="Normal 4 8 2 22" xfId="34242"/>
    <cellStyle name="Normal 4 8 2 3" xfId="17759"/>
    <cellStyle name="Normal 4 8 2 4" xfId="17760"/>
    <cellStyle name="Normal 4 8 2 5" xfId="17761"/>
    <cellStyle name="Normal 4 8 2 6" xfId="17762"/>
    <cellStyle name="Normal 4 8 2 7" xfId="17763"/>
    <cellStyle name="Normal 4 8 2 8" xfId="17764"/>
    <cellStyle name="Normal 4 8 2 9" xfId="17765"/>
    <cellStyle name="Normal 4 8 20" xfId="17766"/>
    <cellStyle name="Normal 4 8 20 2" xfId="17767"/>
    <cellStyle name="Normal 4 8 20 2 2" xfId="34244"/>
    <cellStyle name="Normal 4 8 20 3" xfId="17768"/>
    <cellStyle name="Normal 4 8 20 3 2" xfId="34245"/>
    <cellStyle name="Normal 4 8 20 4" xfId="17769"/>
    <cellStyle name="Normal 4 8 20 4 2" xfId="34246"/>
    <cellStyle name="Normal 4 8 20 5" xfId="17770"/>
    <cellStyle name="Normal 4 8 20 5 2" xfId="34247"/>
    <cellStyle name="Normal 4 8 20 6" xfId="34243"/>
    <cellStyle name="Normal 4 8 21" xfId="17771"/>
    <cellStyle name="Normal 4 8 21 2" xfId="34248"/>
    <cellStyle name="Normal 4 8 22" xfId="17772"/>
    <cellStyle name="Normal 4 8 22 2" xfId="34249"/>
    <cellStyle name="Normal 4 8 23" xfId="17773"/>
    <cellStyle name="Normal 4 8 23 2" xfId="34250"/>
    <cellStyle name="Normal 4 8 24" xfId="17774"/>
    <cellStyle name="Normal 4 8 24 2" xfId="34251"/>
    <cellStyle name="Normal 4 8 25" xfId="17775"/>
    <cellStyle name="Normal 4 8 25 2" xfId="34252"/>
    <cellStyle name="Normal 4 8 26" xfId="40716"/>
    <cellStyle name="Normal 4 8 3" xfId="17776"/>
    <cellStyle name="Normal 4 8 3 10" xfId="17777"/>
    <cellStyle name="Normal 4 8 3 11" xfId="17778"/>
    <cellStyle name="Normal 4 8 3 12" xfId="17779"/>
    <cellStyle name="Normal 4 8 3 13" xfId="17780"/>
    <cellStyle name="Normal 4 8 3 14" xfId="17781"/>
    <cellStyle name="Normal 4 8 3 15" xfId="17782"/>
    <cellStyle name="Normal 4 8 3 16" xfId="17783"/>
    <cellStyle name="Normal 4 8 3 2" xfId="17784"/>
    <cellStyle name="Normal 4 8 3 3" xfId="17785"/>
    <cellStyle name="Normal 4 8 3 4" xfId="17786"/>
    <cellStyle name="Normal 4 8 3 5" xfId="17787"/>
    <cellStyle name="Normal 4 8 3 6" xfId="17788"/>
    <cellStyle name="Normal 4 8 3 7" xfId="17789"/>
    <cellStyle name="Normal 4 8 3 8" xfId="17790"/>
    <cellStyle name="Normal 4 8 3 9" xfId="17791"/>
    <cellStyle name="Normal 4 8 4" xfId="17792"/>
    <cellStyle name="Normal 4 8 4 10" xfId="17793"/>
    <cellStyle name="Normal 4 8 4 10 2" xfId="17794"/>
    <cellStyle name="Normal 4 8 4 10 2 2" xfId="34255"/>
    <cellStyle name="Normal 4 8 4 10 3" xfId="17795"/>
    <cellStyle name="Normal 4 8 4 10 3 2" xfId="34256"/>
    <cellStyle name="Normal 4 8 4 10 4" xfId="17796"/>
    <cellStyle name="Normal 4 8 4 10 4 2" xfId="34257"/>
    <cellStyle name="Normal 4 8 4 10 5" xfId="17797"/>
    <cellStyle name="Normal 4 8 4 10 5 2" xfId="34258"/>
    <cellStyle name="Normal 4 8 4 10 6" xfId="34254"/>
    <cellStyle name="Normal 4 8 4 11" xfId="17798"/>
    <cellStyle name="Normal 4 8 4 11 2" xfId="17799"/>
    <cellStyle name="Normal 4 8 4 11 2 2" xfId="34260"/>
    <cellStyle name="Normal 4 8 4 11 3" xfId="17800"/>
    <cellStyle name="Normal 4 8 4 11 3 2" xfId="34261"/>
    <cellStyle name="Normal 4 8 4 11 4" xfId="17801"/>
    <cellStyle name="Normal 4 8 4 11 4 2" xfId="34262"/>
    <cellStyle name="Normal 4 8 4 11 5" xfId="17802"/>
    <cellStyle name="Normal 4 8 4 11 5 2" xfId="34263"/>
    <cellStyle name="Normal 4 8 4 11 6" xfId="34259"/>
    <cellStyle name="Normal 4 8 4 12" xfId="17803"/>
    <cellStyle name="Normal 4 8 4 12 2" xfId="17804"/>
    <cellStyle name="Normal 4 8 4 12 2 2" xfId="34265"/>
    <cellStyle name="Normal 4 8 4 12 3" xfId="17805"/>
    <cellStyle name="Normal 4 8 4 12 3 2" xfId="34266"/>
    <cellStyle name="Normal 4 8 4 12 4" xfId="17806"/>
    <cellStyle name="Normal 4 8 4 12 4 2" xfId="34267"/>
    <cellStyle name="Normal 4 8 4 12 5" xfId="17807"/>
    <cellStyle name="Normal 4 8 4 12 5 2" xfId="34268"/>
    <cellStyle name="Normal 4 8 4 12 6" xfId="34264"/>
    <cellStyle name="Normal 4 8 4 13" xfId="17808"/>
    <cellStyle name="Normal 4 8 4 13 2" xfId="17809"/>
    <cellStyle name="Normal 4 8 4 13 2 2" xfId="34270"/>
    <cellStyle name="Normal 4 8 4 13 3" xfId="17810"/>
    <cellStyle name="Normal 4 8 4 13 3 2" xfId="34271"/>
    <cellStyle name="Normal 4 8 4 13 4" xfId="17811"/>
    <cellStyle name="Normal 4 8 4 13 4 2" xfId="34272"/>
    <cellStyle name="Normal 4 8 4 13 5" xfId="17812"/>
    <cellStyle name="Normal 4 8 4 13 5 2" xfId="34273"/>
    <cellStyle name="Normal 4 8 4 13 6" xfId="34269"/>
    <cellStyle name="Normal 4 8 4 14" xfId="17813"/>
    <cellStyle name="Normal 4 8 4 14 2" xfId="17814"/>
    <cellStyle name="Normal 4 8 4 14 2 2" xfId="34275"/>
    <cellStyle name="Normal 4 8 4 14 3" xfId="17815"/>
    <cellStyle name="Normal 4 8 4 14 3 2" xfId="34276"/>
    <cellStyle name="Normal 4 8 4 14 4" xfId="17816"/>
    <cellStyle name="Normal 4 8 4 14 4 2" xfId="34277"/>
    <cellStyle name="Normal 4 8 4 14 5" xfId="17817"/>
    <cellStyle name="Normal 4 8 4 14 5 2" xfId="34278"/>
    <cellStyle name="Normal 4 8 4 14 6" xfId="34274"/>
    <cellStyle name="Normal 4 8 4 15" xfId="17818"/>
    <cellStyle name="Normal 4 8 4 15 2" xfId="17819"/>
    <cellStyle name="Normal 4 8 4 15 2 2" xfId="34280"/>
    <cellStyle name="Normal 4 8 4 15 3" xfId="17820"/>
    <cellStyle name="Normal 4 8 4 15 3 2" xfId="34281"/>
    <cellStyle name="Normal 4 8 4 15 4" xfId="17821"/>
    <cellStyle name="Normal 4 8 4 15 4 2" xfId="34282"/>
    <cellStyle name="Normal 4 8 4 15 5" xfId="17822"/>
    <cellStyle name="Normal 4 8 4 15 5 2" xfId="34283"/>
    <cellStyle name="Normal 4 8 4 15 6" xfId="34279"/>
    <cellStyle name="Normal 4 8 4 16" xfId="17823"/>
    <cellStyle name="Normal 4 8 4 16 2" xfId="17824"/>
    <cellStyle name="Normal 4 8 4 16 2 2" xfId="34285"/>
    <cellStyle name="Normal 4 8 4 16 3" xfId="17825"/>
    <cellStyle name="Normal 4 8 4 16 3 2" xfId="34286"/>
    <cellStyle name="Normal 4 8 4 16 4" xfId="17826"/>
    <cellStyle name="Normal 4 8 4 16 4 2" xfId="34287"/>
    <cellStyle name="Normal 4 8 4 16 5" xfId="17827"/>
    <cellStyle name="Normal 4 8 4 16 5 2" xfId="34288"/>
    <cellStyle name="Normal 4 8 4 16 6" xfId="34284"/>
    <cellStyle name="Normal 4 8 4 17" xfId="17828"/>
    <cellStyle name="Normal 4 8 4 17 2" xfId="34289"/>
    <cellStyle name="Normal 4 8 4 18" xfId="17829"/>
    <cellStyle name="Normal 4 8 4 18 2" xfId="34290"/>
    <cellStyle name="Normal 4 8 4 19" xfId="17830"/>
    <cellStyle name="Normal 4 8 4 19 2" xfId="34291"/>
    <cellStyle name="Normal 4 8 4 2" xfId="17831"/>
    <cellStyle name="Normal 4 8 4 20" xfId="17832"/>
    <cellStyle name="Normal 4 8 4 20 2" xfId="34292"/>
    <cellStyle name="Normal 4 8 4 21" xfId="34253"/>
    <cellStyle name="Normal 4 8 4 3" xfId="17833"/>
    <cellStyle name="Normal 4 8 4 3 2" xfId="17834"/>
    <cellStyle name="Normal 4 8 4 3 2 2" xfId="34294"/>
    <cellStyle name="Normal 4 8 4 3 3" xfId="17835"/>
    <cellStyle name="Normal 4 8 4 3 3 2" xfId="34295"/>
    <cellStyle name="Normal 4 8 4 3 4" xfId="17836"/>
    <cellStyle name="Normal 4 8 4 3 4 2" xfId="34296"/>
    <cellStyle name="Normal 4 8 4 3 5" xfId="17837"/>
    <cellStyle name="Normal 4 8 4 3 5 2" xfId="34297"/>
    <cellStyle name="Normal 4 8 4 3 6" xfId="34293"/>
    <cellStyle name="Normal 4 8 4 4" xfId="17838"/>
    <cellStyle name="Normal 4 8 4 4 2" xfId="17839"/>
    <cellStyle name="Normal 4 8 4 4 2 2" xfId="34299"/>
    <cellStyle name="Normal 4 8 4 4 3" xfId="17840"/>
    <cellStyle name="Normal 4 8 4 4 3 2" xfId="34300"/>
    <cellStyle name="Normal 4 8 4 4 4" xfId="17841"/>
    <cellStyle name="Normal 4 8 4 4 4 2" xfId="34301"/>
    <cellStyle name="Normal 4 8 4 4 5" xfId="17842"/>
    <cellStyle name="Normal 4 8 4 4 5 2" xfId="34302"/>
    <cellStyle name="Normal 4 8 4 4 6" xfId="34298"/>
    <cellStyle name="Normal 4 8 4 5" xfId="17843"/>
    <cellStyle name="Normal 4 8 4 5 2" xfId="17844"/>
    <cellStyle name="Normal 4 8 4 5 2 2" xfId="34304"/>
    <cellStyle name="Normal 4 8 4 5 3" xfId="17845"/>
    <cellStyle name="Normal 4 8 4 5 3 2" xfId="34305"/>
    <cellStyle name="Normal 4 8 4 5 4" xfId="17846"/>
    <cellStyle name="Normal 4 8 4 5 4 2" xfId="34306"/>
    <cellStyle name="Normal 4 8 4 5 5" xfId="17847"/>
    <cellStyle name="Normal 4 8 4 5 5 2" xfId="34307"/>
    <cellStyle name="Normal 4 8 4 5 6" xfId="34303"/>
    <cellStyle name="Normal 4 8 4 6" xfId="17848"/>
    <cellStyle name="Normal 4 8 4 6 2" xfId="17849"/>
    <cellStyle name="Normal 4 8 4 6 2 2" xfId="34309"/>
    <cellStyle name="Normal 4 8 4 6 3" xfId="17850"/>
    <cellStyle name="Normal 4 8 4 6 3 2" xfId="34310"/>
    <cellStyle name="Normal 4 8 4 6 4" xfId="17851"/>
    <cellStyle name="Normal 4 8 4 6 4 2" xfId="34311"/>
    <cellStyle name="Normal 4 8 4 6 5" xfId="17852"/>
    <cellStyle name="Normal 4 8 4 6 5 2" xfId="34312"/>
    <cellStyle name="Normal 4 8 4 6 6" xfId="34308"/>
    <cellStyle name="Normal 4 8 4 7" xfId="17853"/>
    <cellStyle name="Normal 4 8 4 7 2" xfId="17854"/>
    <cellStyle name="Normal 4 8 4 7 2 2" xfId="34314"/>
    <cellStyle name="Normal 4 8 4 7 3" xfId="17855"/>
    <cellStyle name="Normal 4 8 4 7 3 2" xfId="34315"/>
    <cellStyle name="Normal 4 8 4 7 4" xfId="17856"/>
    <cellStyle name="Normal 4 8 4 7 4 2" xfId="34316"/>
    <cellStyle name="Normal 4 8 4 7 5" xfId="17857"/>
    <cellStyle name="Normal 4 8 4 7 5 2" xfId="34317"/>
    <cellStyle name="Normal 4 8 4 7 6" xfId="34313"/>
    <cellStyle name="Normal 4 8 4 8" xfId="17858"/>
    <cellStyle name="Normal 4 8 4 8 2" xfId="17859"/>
    <cellStyle name="Normal 4 8 4 8 2 2" xfId="34319"/>
    <cellStyle name="Normal 4 8 4 8 3" xfId="17860"/>
    <cellStyle name="Normal 4 8 4 8 3 2" xfId="34320"/>
    <cellStyle name="Normal 4 8 4 8 4" xfId="17861"/>
    <cellStyle name="Normal 4 8 4 8 4 2" xfId="34321"/>
    <cellStyle name="Normal 4 8 4 8 5" xfId="17862"/>
    <cellStyle name="Normal 4 8 4 8 5 2" xfId="34322"/>
    <cellStyle name="Normal 4 8 4 8 6" xfId="34318"/>
    <cellStyle name="Normal 4 8 4 9" xfId="17863"/>
    <cellStyle name="Normal 4 8 4 9 2" xfId="17864"/>
    <cellStyle name="Normal 4 8 4 9 2 2" xfId="34324"/>
    <cellStyle name="Normal 4 8 4 9 3" xfId="17865"/>
    <cellStyle name="Normal 4 8 4 9 3 2" xfId="34325"/>
    <cellStyle name="Normal 4 8 4 9 4" xfId="17866"/>
    <cellStyle name="Normal 4 8 4 9 4 2" xfId="34326"/>
    <cellStyle name="Normal 4 8 4 9 5" xfId="17867"/>
    <cellStyle name="Normal 4 8 4 9 5 2" xfId="34327"/>
    <cellStyle name="Normal 4 8 4 9 6" xfId="34323"/>
    <cellStyle name="Normal 4 8 5" xfId="17868"/>
    <cellStyle name="Normal 4 8 5 2" xfId="17869"/>
    <cellStyle name="Normal 4 8 5 3" xfId="17870"/>
    <cellStyle name="Normal 4 8 5 3 2" xfId="34329"/>
    <cellStyle name="Normal 4 8 5 4" xfId="17871"/>
    <cellStyle name="Normal 4 8 5 4 2" xfId="34330"/>
    <cellStyle name="Normal 4 8 5 5" xfId="17872"/>
    <cellStyle name="Normal 4 8 5 5 2" xfId="34331"/>
    <cellStyle name="Normal 4 8 5 6" xfId="17873"/>
    <cellStyle name="Normal 4 8 5 6 2" xfId="34332"/>
    <cellStyle name="Normal 4 8 5 7" xfId="34328"/>
    <cellStyle name="Normal 4 8 6" xfId="17874"/>
    <cellStyle name="Normal 4 8 6 2" xfId="17875"/>
    <cellStyle name="Normal 4 8 6 3" xfId="17876"/>
    <cellStyle name="Normal 4 8 6 3 2" xfId="34334"/>
    <cellStyle name="Normal 4 8 6 4" xfId="17877"/>
    <cellStyle name="Normal 4 8 6 4 2" xfId="34335"/>
    <cellStyle name="Normal 4 8 6 5" xfId="17878"/>
    <cellStyle name="Normal 4 8 6 5 2" xfId="34336"/>
    <cellStyle name="Normal 4 8 6 6" xfId="17879"/>
    <cellStyle name="Normal 4 8 6 6 2" xfId="34337"/>
    <cellStyle name="Normal 4 8 6 7" xfId="34333"/>
    <cellStyle name="Normal 4 8 7" xfId="17880"/>
    <cellStyle name="Normal 4 8 7 2" xfId="17881"/>
    <cellStyle name="Normal 4 8 7 2 2" xfId="34339"/>
    <cellStyle name="Normal 4 8 7 3" xfId="17882"/>
    <cellStyle name="Normal 4 8 7 3 2" xfId="34340"/>
    <cellStyle name="Normal 4 8 7 4" xfId="17883"/>
    <cellStyle name="Normal 4 8 7 4 2" xfId="34341"/>
    <cellStyle name="Normal 4 8 7 5" xfId="17884"/>
    <cellStyle name="Normal 4 8 7 5 2" xfId="34342"/>
    <cellStyle name="Normal 4 8 7 6" xfId="34338"/>
    <cellStyle name="Normal 4 8 8" xfId="17885"/>
    <cellStyle name="Normal 4 8 8 2" xfId="17886"/>
    <cellStyle name="Normal 4 8 8 2 2" xfId="34344"/>
    <cellStyle name="Normal 4 8 8 3" xfId="17887"/>
    <cellStyle name="Normal 4 8 8 3 2" xfId="34345"/>
    <cellStyle name="Normal 4 8 8 4" xfId="17888"/>
    <cellStyle name="Normal 4 8 8 4 2" xfId="34346"/>
    <cellStyle name="Normal 4 8 8 5" xfId="17889"/>
    <cellStyle name="Normal 4 8 8 5 2" xfId="34347"/>
    <cellStyle name="Normal 4 8 8 6" xfId="34343"/>
    <cellStyle name="Normal 4 8 9" xfId="17890"/>
    <cellStyle name="Normal 4 8 9 2" xfId="17891"/>
    <cellStyle name="Normal 4 8 9 2 2" xfId="34349"/>
    <cellStyle name="Normal 4 8 9 3" xfId="17892"/>
    <cellStyle name="Normal 4 8 9 3 2" xfId="34350"/>
    <cellStyle name="Normal 4 8 9 4" xfId="17893"/>
    <cellStyle name="Normal 4 8 9 4 2" xfId="34351"/>
    <cellStyle name="Normal 4 8 9 5" xfId="17894"/>
    <cellStyle name="Normal 4 8 9 5 2" xfId="34352"/>
    <cellStyle name="Normal 4 8 9 6" xfId="34348"/>
    <cellStyle name="Normal 4 9" xfId="17895"/>
    <cellStyle name="Normal 4 9 2" xfId="17896"/>
    <cellStyle name="Normal 4 9 2 2" xfId="17897"/>
    <cellStyle name="Normal 4 9 2 3" xfId="17898"/>
    <cellStyle name="Normal 4 9 2 4" xfId="17899"/>
    <cellStyle name="Normal 4 9 2 5" xfId="17900"/>
    <cellStyle name="Normal 4 9 2 6" xfId="17901"/>
    <cellStyle name="Normal 4 9 2 7" xfId="17902"/>
    <cellStyle name="Normal 4 9 3" xfId="17903"/>
    <cellStyle name="Normal 4 9 4" xfId="17904"/>
    <cellStyle name="Normal 4 9 5" xfId="17905"/>
    <cellStyle name="Normal 4 9 6" xfId="17906"/>
    <cellStyle name="Normal 4 9 7" xfId="17907"/>
    <cellStyle name="Normal 4 9 8" xfId="17908"/>
    <cellStyle name="Normal 4 9 9" xfId="40717"/>
    <cellStyle name="Normal 40" xfId="41058"/>
    <cellStyle name="Normal 41" xfId="41060"/>
    <cellStyle name="Normal 42" xfId="41072"/>
    <cellStyle name="Normal 42 2" xfId="41075"/>
    <cellStyle name="Normal 46" xfId="41066"/>
    <cellStyle name="Normal 5" xfId="17909"/>
    <cellStyle name="Normal 5 10" xfId="17910"/>
    <cellStyle name="Normal 5 10 2" xfId="40719"/>
    <cellStyle name="Normal 5 11" xfId="17911"/>
    <cellStyle name="Normal 5 11 2" xfId="40720"/>
    <cellStyle name="Normal 5 12" xfId="17912"/>
    <cellStyle name="Normal 5 12 2" xfId="40721"/>
    <cellStyle name="Normal 5 13" xfId="17913"/>
    <cellStyle name="Normal 5 13 2" xfId="40722"/>
    <cellStyle name="Normal 5 14" xfId="17914"/>
    <cellStyle name="Normal 5 14 2" xfId="40723"/>
    <cellStyle name="Normal 5 15" xfId="17915"/>
    <cellStyle name="Normal 5 15 2" xfId="40724"/>
    <cellStyle name="Normal 5 16" xfId="17916"/>
    <cellStyle name="Normal 5 16 2" xfId="40725"/>
    <cellStyle name="Normal 5 17" xfId="17917"/>
    <cellStyle name="Normal 5 17 2" xfId="40726"/>
    <cellStyle name="Normal 5 18" xfId="17918"/>
    <cellStyle name="Normal 5 18 2" xfId="40727"/>
    <cellStyle name="Normal 5 19" xfId="17919"/>
    <cellStyle name="Normal 5 19 10" xfId="17920"/>
    <cellStyle name="Normal 5 19 10 2" xfId="17921"/>
    <cellStyle name="Normal 5 19 10 2 2" xfId="34354"/>
    <cellStyle name="Normal 5 19 10 3" xfId="17922"/>
    <cellStyle name="Normal 5 19 10 3 2" xfId="34355"/>
    <cellStyle name="Normal 5 19 10 4" xfId="17923"/>
    <cellStyle name="Normal 5 19 10 4 2" xfId="34356"/>
    <cellStyle name="Normal 5 19 10 5" xfId="17924"/>
    <cellStyle name="Normal 5 19 10 5 2" xfId="34357"/>
    <cellStyle name="Normal 5 19 10 6" xfId="34353"/>
    <cellStyle name="Normal 5 19 11" xfId="17925"/>
    <cellStyle name="Normal 5 19 11 2" xfId="17926"/>
    <cellStyle name="Normal 5 19 11 2 2" xfId="34359"/>
    <cellStyle name="Normal 5 19 11 3" xfId="17927"/>
    <cellStyle name="Normal 5 19 11 3 2" xfId="34360"/>
    <cellStyle name="Normal 5 19 11 4" xfId="17928"/>
    <cellStyle name="Normal 5 19 11 4 2" xfId="34361"/>
    <cellStyle name="Normal 5 19 11 5" xfId="17929"/>
    <cellStyle name="Normal 5 19 11 5 2" xfId="34362"/>
    <cellStyle name="Normal 5 19 11 6" xfId="34358"/>
    <cellStyle name="Normal 5 19 12" xfId="17930"/>
    <cellStyle name="Normal 5 19 12 2" xfId="17931"/>
    <cellStyle name="Normal 5 19 12 2 2" xfId="34364"/>
    <cellStyle name="Normal 5 19 12 3" xfId="17932"/>
    <cellStyle name="Normal 5 19 12 3 2" xfId="34365"/>
    <cellStyle name="Normal 5 19 12 4" xfId="17933"/>
    <cellStyle name="Normal 5 19 12 4 2" xfId="34366"/>
    <cellStyle name="Normal 5 19 12 5" xfId="17934"/>
    <cellStyle name="Normal 5 19 12 5 2" xfId="34367"/>
    <cellStyle name="Normal 5 19 12 6" xfId="34363"/>
    <cellStyle name="Normal 5 19 13" xfId="17935"/>
    <cellStyle name="Normal 5 19 13 2" xfId="17936"/>
    <cellStyle name="Normal 5 19 13 2 2" xfId="34369"/>
    <cellStyle name="Normal 5 19 13 3" xfId="17937"/>
    <cellStyle name="Normal 5 19 13 3 2" xfId="34370"/>
    <cellStyle name="Normal 5 19 13 4" xfId="17938"/>
    <cellStyle name="Normal 5 19 13 4 2" xfId="34371"/>
    <cellStyle name="Normal 5 19 13 5" xfId="17939"/>
    <cellStyle name="Normal 5 19 13 5 2" xfId="34372"/>
    <cellStyle name="Normal 5 19 13 6" xfId="34368"/>
    <cellStyle name="Normal 5 19 14" xfId="17940"/>
    <cellStyle name="Normal 5 19 14 2" xfId="17941"/>
    <cellStyle name="Normal 5 19 14 2 2" xfId="34374"/>
    <cellStyle name="Normal 5 19 14 3" xfId="17942"/>
    <cellStyle name="Normal 5 19 14 3 2" xfId="34375"/>
    <cellStyle name="Normal 5 19 14 4" xfId="17943"/>
    <cellStyle name="Normal 5 19 14 4 2" xfId="34376"/>
    <cellStyle name="Normal 5 19 14 5" xfId="17944"/>
    <cellStyle name="Normal 5 19 14 5 2" xfId="34377"/>
    <cellStyle name="Normal 5 19 14 6" xfId="34373"/>
    <cellStyle name="Normal 5 19 15" xfId="17945"/>
    <cellStyle name="Normal 5 19 15 2" xfId="17946"/>
    <cellStyle name="Normal 5 19 15 2 2" xfId="34379"/>
    <cellStyle name="Normal 5 19 15 3" xfId="17947"/>
    <cellStyle name="Normal 5 19 15 3 2" xfId="34380"/>
    <cellStyle name="Normal 5 19 15 4" xfId="17948"/>
    <cellStyle name="Normal 5 19 15 4 2" xfId="34381"/>
    <cellStyle name="Normal 5 19 15 5" xfId="17949"/>
    <cellStyle name="Normal 5 19 15 5 2" xfId="34382"/>
    <cellStyle name="Normal 5 19 15 6" xfId="34378"/>
    <cellStyle name="Normal 5 19 16" xfId="17950"/>
    <cellStyle name="Normal 5 19 16 2" xfId="17951"/>
    <cellStyle name="Normal 5 19 16 2 2" xfId="34384"/>
    <cellStyle name="Normal 5 19 16 3" xfId="17952"/>
    <cellStyle name="Normal 5 19 16 3 2" xfId="34385"/>
    <cellStyle name="Normal 5 19 16 4" xfId="17953"/>
    <cellStyle name="Normal 5 19 16 4 2" xfId="34386"/>
    <cellStyle name="Normal 5 19 16 5" xfId="17954"/>
    <cellStyle name="Normal 5 19 16 5 2" xfId="34387"/>
    <cellStyle name="Normal 5 19 16 6" xfId="34383"/>
    <cellStyle name="Normal 5 19 17" xfId="17955"/>
    <cellStyle name="Normal 5 19 17 2" xfId="34388"/>
    <cellStyle name="Normal 5 19 18" xfId="17956"/>
    <cellStyle name="Normal 5 19 18 2" xfId="34389"/>
    <cellStyle name="Normal 5 19 19" xfId="17957"/>
    <cellStyle name="Normal 5 19 19 2" xfId="34390"/>
    <cellStyle name="Normal 5 19 2" xfId="17958"/>
    <cellStyle name="Normal 5 19 2 2" xfId="17959"/>
    <cellStyle name="Normal 5 19 2 3" xfId="17960"/>
    <cellStyle name="Normal 5 19 2 3 2" xfId="34392"/>
    <cellStyle name="Normal 5 19 2 4" xfId="17961"/>
    <cellStyle name="Normal 5 19 2 4 2" xfId="34393"/>
    <cellStyle name="Normal 5 19 2 5" xfId="17962"/>
    <cellStyle name="Normal 5 19 2 5 2" xfId="34394"/>
    <cellStyle name="Normal 5 19 2 6" xfId="17963"/>
    <cellStyle name="Normal 5 19 2 6 2" xfId="34395"/>
    <cellStyle name="Normal 5 19 2 7" xfId="34391"/>
    <cellStyle name="Normal 5 19 20" xfId="17964"/>
    <cellStyle name="Normal 5 19 20 2" xfId="34396"/>
    <cellStyle name="Normal 5 19 21" xfId="17965"/>
    <cellStyle name="Normal 5 19 21 2" xfId="34397"/>
    <cellStyle name="Normal 5 19 3" xfId="17966"/>
    <cellStyle name="Normal 5 19 3 2" xfId="17967"/>
    <cellStyle name="Normal 5 19 3 2 2" xfId="17968"/>
    <cellStyle name="Normal 5 19 3 2 2 2" xfId="34400"/>
    <cellStyle name="Normal 5 19 3 2 3" xfId="17969"/>
    <cellStyle name="Normal 5 19 3 2 3 2" xfId="34401"/>
    <cellStyle name="Normal 5 19 3 2 4" xfId="17970"/>
    <cellStyle name="Normal 5 19 3 2 4 2" xfId="34402"/>
    <cellStyle name="Normal 5 19 3 2 5" xfId="17971"/>
    <cellStyle name="Normal 5 19 3 2 5 2" xfId="34403"/>
    <cellStyle name="Normal 5 19 3 2 6" xfId="34399"/>
    <cellStyle name="Normal 5 19 3 3" xfId="17972"/>
    <cellStyle name="Normal 5 19 3 3 2" xfId="34404"/>
    <cellStyle name="Normal 5 19 3 4" xfId="17973"/>
    <cellStyle name="Normal 5 19 3 4 2" xfId="34405"/>
    <cellStyle name="Normal 5 19 3 5" xfId="17974"/>
    <cellStyle name="Normal 5 19 3 5 2" xfId="34406"/>
    <cellStyle name="Normal 5 19 3 6" xfId="17975"/>
    <cellStyle name="Normal 5 19 3 6 2" xfId="34407"/>
    <cellStyle name="Normal 5 19 3 7" xfId="34398"/>
    <cellStyle name="Normal 5 19 4" xfId="17976"/>
    <cellStyle name="Normal 5 19 4 2" xfId="17977"/>
    <cellStyle name="Normal 5 19 4 2 2" xfId="17978"/>
    <cellStyle name="Normal 5 19 4 2 2 2" xfId="34410"/>
    <cellStyle name="Normal 5 19 4 2 3" xfId="17979"/>
    <cellStyle name="Normal 5 19 4 2 3 2" xfId="34411"/>
    <cellStyle name="Normal 5 19 4 2 4" xfId="17980"/>
    <cellStyle name="Normal 5 19 4 2 4 2" xfId="34412"/>
    <cellStyle name="Normal 5 19 4 2 5" xfId="17981"/>
    <cellStyle name="Normal 5 19 4 2 5 2" xfId="34413"/>
    <cellStyle name="Normal 5 19 4 2 6" xfId="34409"/>
    <cellStyle name="Normal 5 19 4 3" xfId="17982"/>
    <cellStyle name="Normal 5 19 4 3 2" xfId="34414"/>
    <cellStyle name="Normal 5 19 4 4" xfId="17983"/>
    <cellStyle name="Normal 5 19 4 4 2" xfId="34415"/>
    <cellStyle name="Normal 5 19 4 5" xfId="17984"/>
    <cellStyle name="Normal 5 19 4 5 2" xfId="34416"/>
    <cellStyle name="Normal 5 19 4 6" xfId="17985"/>
    <cellStyle name="Normal 5 19 4 6 2" xfId="34417"/>
    <cellStyle name="Normal 5 19 4 7" xfId="34408"/>
    <cellStyle name="Normal 5 19 5" xfId="17986"/>
    <cellStyle name="Normal 5 19 5 2" xfId="17987"/>
    <cellStyle name="Normal 5 19 5 2 2" xfId="17988"/>
    <cellStyle name="Normal 5 19 5 2 2 2" xfId="34419"/>
    <cellStyle name="Normal 5 19 5 2 3" xfId="17989"/>
    <cellStyle name="Normal 5 19 5 2 3 2" xfId="34420"/>
    <cellStyle name="Normal 5 19 5 2 4" xfId="17990"/>
    <cellStyle name="Normal 5 19 5 2 4 2" xfId="34421"/>
    <cellStyle name="Normal 5 19 5 2 5" xfId="17991"/>
    <cellStyle name="Normal 5 19 5 2 5 2" xfId="34422"/>
    <cellStyle name="Normal 5 19 5 2 6" xfId="34418"/>
    <cellStyle name="Normal 5 19 6" xfId="17992"/>
    <cellStyle name="Normal 5 19 6 2" xfId="17993"/>
    <cellStyle name="Normal 5 19 6 2 2" xfId="34424"/>
    <cellStyle name="Normal 5 19 6 3" xfId="17994"/>
    <cellStyle name="Normal 5 19 6 3 2" xfId="34425"/>
    <cellStyle name="Normal 5 19 6 4" xfId="17995"/>
    <cellStyle name="Normal 5 19 6 4 2" xfId="34426"/>
    <cellStyle name="Normal 5 19 6 5" xfId="17996"/>
    <cellStyle name="Normal 5 19 6 5 2" xfId="34427"/>
    <cellStyle name="Normal 5 19 6 6" xfId="34423"/>
    <cellStyle name="Normal 5 19 7" xfId="17997"/>
    <cellStyle name="Normal 5 19 7 2" xfId="17998"/>
    <cellStyle name="Normal 5 19 7 2 2" xfId="34429"/>
    <cellStyle name="Normal 5 19 7 3" xfId="17999"/>
    <cellStyle name="Normal 5 19 7 3 2" xfId="34430"/>
    <cellStyle name="Normal 5 19 7 4" xfId="18000"/>
    <cellStyle name="Normal 5 19 7 4 2" xfId="34431"/>
    <cellStyle name="Normal 5 19 7 5" xfId="18001"/>
    <cellStyle name="Normal 5 19 7 5 2" xfId="34432"/>
    <cellStyle name="Normal 5 19 7 6" xfId="34428"/>
    <cellStyle name="Normal 5 19 8" xfId="18002"/>
    <cellStyle name="Normal 5 19 8 2" xfId="18003"/>
    <cellStyle name="Normal 5 19 8 2 2" xfId="34434"/>
    <cellStyle name="Normal 5 19 8 3" xfId="18004"/>
    <cellStyle name="Normal 5 19 8 3 2" xfId="34435"/>
    <cellStyle name="Normal 5 19 8 4" xfId="18005"/>
    <cellStyle name="Normal 5 19 8 4 2" xfId="34436"/>
    <cellStyle name="Normal 5 19 8 5" xfId="18006"/>
    <cellStyle name="Normal 5 19 8 5 2" xfId="34437"/>
    <cellStyle name="Normal 5 19 8 6" xfId="34433"/>
    <cellStyle name="Normal 5 19 9" xfId="18007"/>
    <cellStyle name="Normal 5 19 9 2" xfId="18008"/>
    <cellStyle name="Normal 5 19 9 2 2" xfId="34439"/>
    <cellStyle name="Normal 5 19 9 3" xfId="18009"/>
    <cellStyle name="Normal 5 19 9 3 2" xfId="34440"/>
    <cellStyle name="Normal 5 19 9 4" xfId="18010"/>
    <cellStyle name="Normal 5 19 9 4 2" xfId="34441"/>
    <cellStyle name="Normal 5 19 9 5" xfId="18011"/>
    <cellStyle name="Normal 5 19 9 5 2" xfId="34442"/>
    <cellStyle name="Normal 5 19 9 6" xfId="34438"/>
    <cellStyle name="Normal 5 2" xfId="18012"/>
    <cellStyle name="Normal 5 2 10" xfId="18013"/>
    <cellStyle name="Normal 5 2 10 2" xfId="18014"/>
    <cellStyle name="Normal 5 2 10 3" xfId="18015"/>
    <cellStyle name="Normal 5 2 10 3 2" xfId="34444"/>
    <cellStyle name="Normal 5 2 10 4" xfId="18016"/>
    <cellStyle name="Normal 5 2 10 4 2" xfId="34445"/>
    <cellStyle name="Normal 5 2 10 5" xfId="18017"/>
    <cellStyle name="Normal 5 2 10 5 2" xfId="34446"/>
    <cellStyle name="Normal 5 2 10 6" xfId="18018"/>
    <cellStyle name="Normal 5 2 10 6 2" xfId="34447"/>
    <cellStyle name="Normal 5 2 10 7" xfId="34443"/>
    <cellStyle name="Normal 5 2 11" xfId="18019"/>
    <cellStyle name="Normal 5 2 11 2" xfId="18020"/>
    <cellStyle name="Normal 5 2 11 2 2" xfId="34449"/>
    <cellStyle name="Normal 5 2 11 3" xfId="18021"/>
    <cellStyle name="Normal 5 2 11 3 2" xfId="34450"/>
    <cellStyle name="Normal 5 2 11 4" xfId="18022"/>
    <cellStyle name="Normal 5 2 11 4 2" xfId="34451"/>
    <cellStyle name="Normal 5 2 11 5" xfId="18023"/>
    <cellStyle name="Normal 5 2 11 5 2" xfId="34452"/>
    <cellStyle name="Normal 5 2 11 6" xfId="34448"/>
    <cellStyle name="Normal 5 2 12" xfId="18024"/>
    <cellStyle name="Normal 5 2 12 2" xfId="18025"/>
    <cellStyle name="Normal 5 2 12 2 2" xfId="34454"/>
    <cellStyle name="Normal 5 2 12 3" xfId="18026"/>
    <cellStyle name="Normal 5 2 12 3 2" xfId="34455"/>
    <cellStyle name="Normal 5 2 12 4" xfId="18027"/>
    <cellStyle name="Normal 5 2 12 4 2" xfId="34456"/>
    <cellStyle name="Normal 5 2 12 5" xfId="18028"/>
    <cellStyle name="Normal 5 2 12 5 2" xfId="34457"/>
    <cellStyle name="Normal 5 2 12 6" xfId="34453"/>
    <cellStyle name="Normal 5 2 13" xfId="18029"/>
    <cellStyle name="Normal 5 2 13 2" xfId="18030"/>
    <cellStyle name="Normal 5 2 13 2 2" xfId="34459"/>
    <cellStyle name="Normal 5 2 13 3" xfId="18031"/>
    <cellStyle name="Normal 5 2 13 3 2" xfId="34460"/>
    <cellStyle name="Normal 5 2 13 4" xfId="18032"/>
    <cellStyle name="Normal 5 2 13 4 2" xfId="34461"/>
    <cellStyle name="Normal 5 2 13 5" xfId="18033"/>
    <cellStyle name="Normal 5 2 13 5 2" xfId="34462"/>
    <cellStyle name="Normal 5 2 13 6" xfId="34458"/>
    <cellStyle name="Normal 5 2 14" xfId="18034"/>
    <cellStyle name="Normal 5 2 14 2" xfId="18035"/>
    <cellStyle name="Normal 5 2 14 2 2" xfId="34464"/>
    <cellStyle name="Normal 5 2 14 3" xfId="18036"/>
    <cellStyle name="Normal 5 2 14 3 2" xfId="34465"/>
    <cellStyle name="Normal 5 2 14 4" xfId="18037"/>
    <cellStyle name="Normal 5 2 14 4 2" xfId="34466"/>
    <cellStyle name="Normal 5 2 14 5" xfId="18038"/>
    <cellStyle name="Normal 5 2 14 5 2" xfId="34467"/>
    <cellStyle name="Normal 5 2 14 6" xfId="34463"/>
    <cellStyle name="Normal 5 2 15" xfId="18039"/>
    <cellStyle name="Normal 5 2 15 2" xfId="18040"/>
    <cellStyle name="Normal 5 2 15 2 2" xfId="34469"/>
    <cellStyle name="Normal 5 2 15 3" xfId="18041"/>
    <cellStyle name="Normal 5 2 15 3 2" xfId="34470"/>
    <cellStyle name="Normal 5 2 15 4" xfId="18042"/>
    <cellStyle name="Normal 5 2 15 4 2" xfId="34471"/>
    <cellStyle name="Normal 5 2 15 5" xfId="18043"/>
    <cellStyle name="Normal 5 2 15 5 2" xfId="34472"/>
    <cellStyle name="Normal 5 2 15 6" xfId="34468"/>
    <cellStyle name="Normal 5 2 16" xfId="18044"/>
    <cellStyle name="Normal 5 2 16 2" xfId="18045"/>
    <cellStyle name="Normal 5 2 16 2 2" xfId="34474"/>
    <cellStyle name="Normal 5 2 16 3" xfId="18046"/>
    <cellStyle name="Normal 5 2 16 3 2" xfId="34475"/>
    <cellStyle name="Normal 5 2 16 4" xfId="18047"/>
    <cellStyle name="Normal 5 2 16 4 2" xfId="34476"/>
    <cellStyle name="Normal 5 2 16 5" xfId="18048"/>
    <cellStyle name="Normal 5 2 16 5 2" xfId="34477"/>
    <cellStyle name="Normal 5 2 16 6" xfId="34473"/>
    <cellStyle name="Normal 5 2 17" xfId="18049"/>
    <cellStyle name="Normal 5 2 17 2" xfId="18050"/>
    <cellStyle name="Normal 5 2 17 2 2" xfId="34479"/>
    <cellStyle name="Normal 5 2 17 3" xfId="18051"/>
    <cellStyle name="Normal 5 2 17 3 2" xfId="34480"/>
    <cellStyle name="Normal 5 2 17 4" xfId="18052"/>
    <cellStyle name="Normal 5 2 17 4 2" xfId="34481"/>
    <cellStyle name="Normal 5 2 17 5" xfId="18053"/>
    <cellStyle name="Normal 5 2 17 5 2" xfId="34482"/>
    <cellStyle name="Normal 5 2 17 6" xfId="34478"/>
    <cellStyle name="Normal 5 2 18" xfId="18054"/>
    <cellStyle name="Normal 5 2 18 2" xfId="18055"/>
    <cellStyle name="Normal 5 2 18 2 2" xfId="34484"/>
    <cellStyle name="Normal 5 2 18 3" xfId="18056"/>
    <cellStyle name="Normal 5 2 18 3 2" xfId="34485"/>
    <cellStyle name="Normal 5 2 18 4" xfId="18057"/>
    <cellStyle name="Normal 5 2 18 4 2" xfId="34486"/>
    <cellStyle name="Normal 5 2 18 5" xfId="18058"/>
    <cellStyle name="Normal 5 2 18 5 2" xfId="34487"/>
    <cellStyle name="Normal 5 2 18 6" xfId="34483"/>
    <cellStyle name="Normal 5 2 19" xfId="18059"/>
    <cellStyle name="Normal 5 2 19 2" xfId="18060"/>
    <cellStyle name="Normal 5 2 19 2 2" xfId="34489"/>
    <cellStyle name="Normal 5 2 19 3" xfId="18061"/>
    <cellStyle name="Normal 5 2 19 3 2" xfId="34490"/>
    <cellStyle name="Normal 5 2 19 4" xfId="18062"/>
    <cellStyle name="Normal 5 2 19 4 2" xfId="34491"/>
    <cellStyle name="Normal 5 2 19 5" xfId="18063"/>
    <cellStyle name="Normal 5 2 19 5 2" xfId="34492"/>
    <cellStyle name="Normal 5 2 19 6" xfId="34488"/>
    <cellStyle name="Normal 5 2 2" xfId="18064"/>
    <cellStyle name="Normal 5 2 2 10" xfId="18065"/>
    <cellStyle name="Normal 5 2 2 10 2" xfId="18066"/>
    <cellStyle name="Normal 5 2 2 10 2 2" xfId="34495"/>
    <cellStyle name="Normal 5 2 2 10 3" xfId="18067"/>
    <cellStyle name="Normal 5 2 2 10 3 2" xfId="34496"/>
    <cellStyle name="Normal 5 2 2 10 4" xfId="18068"/>
    <cellStyle name="Normal 5 2 2 10 4 2" xfId="34497"/>
    <cellStyle name="Normal 5 2 2 10 5" xfId="18069"/>
    <cellStyle name="Normal 5 2 2 10 5 2" xfId="34498"/>
    <cellStyle name="Normal 5 2 2 10 6" xfId="34494"/>
    <cellStyle name="Normal 5 2 2 11" xfId="18070"/>
    <cellStyle name="Normal 5 2 2 11 2" xfId="18071"/>
    <cellStyle name="Normal 5 2 2 11 2 2" xfId="34500"/>
    <cellStyle name="Normal 5 2 2 11 3" xfId="18072"/>
    <cellStyle name="Normal 5 2 2 11 3 2" xfId="34501"/>
    <cellStyle name="Normal 5 2 2 11 4" xfId="18073"/>
    <cellStyle name="Normal 5 2 2 11 4 2" xfId="34502"/>
    <cellStyle name="Normal 5 2 2 11 5" xfId="18074"/>
    <cellStyle name="Normal 5 2 2 11 5 2" xfId="34503"/>
    <cellStyle name="Normal 5 2 2 11 6" xfId="34499"/>
    <cellStyle name="Normal 5 2 2 12" xfId="18075"/>
    <cellStyle name="Normal 5 2 2 12 2" xfId="18076"/>
    <cellStyle name="Normal 5 2 2 12 2 2" xfId="34505"/>
    <cellStyle name="Normal 5 2 2 12 3" xfId="18077"/>
    <cellStyle name="Normal 5 2 2 12 3 2" xfId="34506"/>
    <cellStyle name="Normal 5 2 2 12 4" xfId="18078"/>
    <cellStyle name="Normal 5 2 2 12 4 2" xfId="34507"/>
    <cellStyle name="Normal 5 2 2 12 5" xfId="18079"/>
    <cellStyle name="Normal 5 2 2 12 5 2" xfId="34508"/>
    <cellStyle name="Normal 5 2 2 12 6" xfId="34504"/>
    <cellStyle name="Normal 5 2 2 13" xfId="18080"/>
    <cellStyle name="Normal 5 2 2 13 2" xfId="18081"/>
    <cellStyle name="Normal 5 2 2 13 2 2" xfId="34510"/>
    <cellStyle name="Normal 5 2 2 13 3" xfId="18082"/>
    <cellStyle name="Normal 5 2 2 13 3 2" xfId="34511"/>
    <cellStyle name="Normal 5 2 2 13 4" xfId="18083"/>
    <cellStyle name="Normal 5 2 2 13 4 2" xfId="34512"/>
    <cellStyle name="Normal 5 2 2 13 5" xfId="18084"/>
    <cellStyle name="Normal 5 2 2 13 5 2" xfId="34513"/>
    <cellStyle name="Normal 5 2 2 13 6" xfId="34509"/>
    <cellStyle name="Normal 5 2 2 14" xfId="18085"/>
    <cellStyle name="Normal 5 2 2 14 2" xfId="18086"/>
    <cellStyle name="Normal 5 2 2 14 2 2" xfId="34515"/>
    <cellStyle name="Normal 5 2 2 14 3" xfId="18087"/>
    <cellStyle name="Normal 5 2 2 14 3 2" xfId="34516"/>
    <cellStyle name="Normal 5 2 2 14 4" xfId="18088"/>
    <cellStyle name="Normal 5 2 2 14 4 2" xfId="34517"/>
    <cellStyle name="Normal 5 2 2 14 5" xfId="18089"/>
    <cellStyle name="Normal 5 2 2 14 5 2" xfId="34518"/>
    <cellStyle name="Normal 5 2 2 14 6" xfId="34514"/>
    <cellStyle name="Normal 5 2 2 15" xfId="18090"/>
    <cellStyle name="Normal 5 2 2 15 2" xfId="18091"/>
    <cellStyle name="Normal 5 2 2 15 2 2" xfId="34520"/>
    <cellStyle name="Normal 5 2 2 15 3" xfId="18092"/>
    <cellStyle name="Normal 5 2 2 15 3 2" xfId="34521"/>
    <cellStyle name="Normal 5 2 2 15 4" xfId="18093"/>
    <cellStyle name="Normal 5 2 2 15 4 2" xfId="34522"/>
    <cellStyle name="Normal 5 2 2 15 5" xfId="18094"/>
    <cellStyle name="Normal 5 2 2 15 5 2" xfId="34523"/>
    <cellStyle name="Normal 5 2 2 15 6" xfId="34519"/>
    <cellStyle name="Normal 5 2 2 16" xfId="18095"/>
    <cellStyle name="Normal 5 2 2 16 2" xfId="18096"/>
    <cellStyle name="Normal 5 2 2 16 2 2" xfId="34525"/>
    <cellStyle name="Normal 5 2 2 16 3" xfId="18097"/>
    <cellStyle name="Normal 5 2 2 16 3 2" xfId="34526"/>
    <cellStyle name="Normal 5 2 2 16 4" xfId="18098"/>
    <cellStyle name="Normal 5 2 2 16 4 2" xfId="34527"/>
    <cellStyle name="Normal 5 2 2 16 5" xfId="18099"/>
    <cellStyle name="Normal 5 2 2 16 5 2" xfId="34528"/>
    <cellStyle name="Normal 5 2 2 16 6" xfId="34524"/>
    <cellStyle name="Normal 5 2 2 17" xfId="18100"/>
    <cellStyle name="Normal 5 2 2 17 2" xfId="18101"/>
    <cellStyle name="Normal 5 2 2 17 2 2" xfId="34530"/>
    <cellStyle name="Normal 5 2 2 17 3" xfId="18102"/>
    <cellStyle name="Normal 5 2 2 17 3 2" xfId="34531"/>
    <cellStyle name="Normal 5 2 2 17 4" xfId="18103"/>
    <cellStyle name="Normal 5 2 2 17 4 2" xfId="34532"/>
    <cellStyle name="Normal 5 2 2 17 5" xfId="18104"/>
    <cellStyle name="Normal 5 2 2 17 5 2" xfId="34533"/>
    <cellStyle name="Normal 5 2 2 17 6" xfId="34529"/>
    <cellStyle name="Normal 5 2 2 18" xfId="18105"/>
    <cellStyle name="Normal 5 2 2 18 2" xfId="18106"/>
    <cellStyle name="Normal 5 2 2 18 2 2" xfId="34535"/>
    <cellStyle name="Normal 5 2 2 18 3" xfId="18107"/>
    <cellStyle name="Normal 5 2 2 18 3 2" xfId="34536"/>
    <cellStyle name="Normal 5 2 2 18 4" xfId="18108"/>
    <cellStyle name="Normal 5 2 2 18 4 2" xfId="34537"/>
    <cellStyle name="Normal 5 2 2 18 5" xfId="18109"/>
    <cellStyle name="Normal 5 2 2 18 5 2" xfId="34538"/>
    <cellStyle name="Normal 5 2 2 18 6" xfId="34534"/>
    <cellStyle name="Normal 5 2 2 19" xfId="18110"/>
    <cellStyle name="Normal 5 2 2 19 2" xfId="18111"/>
    <cellStyle name="Normal 5 2 2 19 2 2" xfId="34540"/>
    <cellStyle name="Normal 5 2 2 19 3" xfId="18112"/>
    <cellStyle name="Normal 5 2 2 19 3 2" xfId="34541"/>
    <cellStyle name="Normal 5 2 2 19 4" xfId="18113"/>
    <cellStyle name="Normal 5 2 2 19 4 2" xfId="34542"/>
    <cellStyle name="Normal 5 2 2 19 5" xfId="18114"/>
    <cellStyle name="Normal 5 2 2 19 5 2" xfId="34543"/>
    <cellStyle name="Normal 5 2 2 19 6" xfId="34539"/>
    <cellStyle name="Normal 5 2 2 2" xfId="18115"/>
    <cellStyle name="Normal 5 2 2 2 10" xfId="18116"/>
    <cellStyle name="Normal 5 2 2 2 10 2" xfId="18117"/>
    <cellStyle name="Normal 5 2 2 2 10 2 2" xfId="34546"/>
    <cellStyle name="Normal 5 2 2 2 10 3" xfId="18118"/>
    <cellStyle name="Normal 5 2 2 2 10 3 2" xfId="34547"/>
    <cellStyle name="Normal 5 2 2 2 10 4" xfId="18119"/>
    <cellStyle name="Normal 5 2 2 2 10 4 2" xfId="34548"/>
    <cellStyle name="Normal 5 2 2 2 10 5" xfId="18120"/>
    <cellStyle name="Normal 5 2 2 2 10 5 2" xfId="34549"/>
    <cellStyle name="Normal 5 2 2 2 10 6" xfId="34545"/>
    <cellStyle name="Normal 5 2 2 2 11" xfId="18121"/>
    <cellStyle name="Normal 5 2 2 2 11 2" xfId="18122"/>
    <cellStyle name="Normal 5 2 2 2 11 2 2" xfId="34551"/>
    <cellStyle name="Normal 5 2 2 2 11 3" xfId="18123"/>
    <cellStyle name="Normal 5 2 2 2 11 3 2" xfId="34552"/>
    <cellStyle name="Normal 5 2 2 2 11 4" xfId="18124"/>
    <cellStyle name="Normal 5 2 2 2 11 4 2" xfId="34553"/>
    <cellStyle name="Normal 5 2 2 2 11 5" xfId="18125"/>
    <cellStyle name="Normal 5 2 2 2 11 5 2" xfId="34554"/>
    <cellStyle name="Normal 5 2 2 2 11 6" xfId="34550"/>
    <cellStyle name="Normal 5 2 2 2 12" xfId="18126"/>
    <cellStyle name="Normal 5 2 2 2 12 2" xfId="18127"/>
    <cellStyle name="Normal 5 2 2 2 12 2 2" xfId="34556"/>
    <cellStyle name="Normal 5 2 2 2 12 3" xfId="18128"/>
    <cellStyle name="Normal 5 2 2 2 12 3 2" xfId="34557"/>
    <cellStyle name="Normal 5 2 2 2 12 4" xfId="18129"/>
    <cellStyle name="Normal 5 2 2 2 12 4 2" xfId="34558"/>
    <cellStyle name="Normal 5 2 2 2 12 5" xfId="18130"/>
    <cellStyle name="Normal 5 2 2 2 12 5 2" xfId="34559"/>
    <cellStyle name="Normal 5 2 2 2 12 6" xfId="34555"/>
    <cellStyle name="Normal 5 2 2 2 13" xfId="18131"/>
    <cellStyle name="Normal 5 2 2 2 13 2" xfId="18132"/>
    <cellStyle name="Normal 5 2 2 2 13 2 2" xfId="34561"/>
    <cellStyle name="Normal 5 2 2 2 13 3" xfId="18133"/>
    <cellStyle name="Normal 5 2 2 2 13 3 2" xfId="34562"/>
    <cellStyle name="Normal 5 2 2 2 13 4" xfId="18134"/>
    <cellStyle name="Normal 5 2 2 2 13 4 2" xfId="34563"/>
    <cellStyle name="Normal 5 2 2 2 13 5" xfId="18135"/>
    <cellStyle name="Normal 5 2 2 2 13 5 2" xfId="34564"/>
    <cellStyle name="Normal 5 2 2 2 13 6" xfId="34560"/>
    <cellStyle name="Normal 5 2 2 2 14" xfId="18136"/>
    <cellStyle name="Normal 5 2 2 2 14 2" xfId="18137"/>
    <cellStyle name="Normal 5 2 2 2 14 2 2" xfId="34566"/>
    <cellStyle name="Normal 5 2 2 2 14 3" xfId="18138"/>
    <cellStyle name="Normal 5 2 2 2 14 3 2" xfId="34567"/>
    <cellStyle name="Normal 5 2 2 2 14 4" xfId="18139"/>
    <cellStyle name="Normal 5 2 2 2 14 4 2" xfId="34568"/>
    <cellStyle name="Normal 5 2 2 2 14 5" xfId="18140"/>
    <cellStyle name="Normal 5 2 2 2 14 5 2" xfId="34569"/>
    <cellStyle name="Normal 5 2 2 2 14 6" xfId="34565"/>
    <cellStyle name="Normal 5 2 2 2 15" xfId="18141"/>
    <cellStyle name="Normal 5 2 2 2 15 2" xfId="18142"/>
    <cellStyle name="Normal 5 2 2 2 15 2 2" xfId="34571"/>
    <cellStyle name="Normal 5 2 2 2 15 3" xfId="18143"/>
    <cellStyle name="Normal 5 2 2 2 15 3 2" xfId="34572"/>
    <cellStyle name="Normal 5 2 2 2 15 4" xfId="18144"/>
    <cellStyle name="Normal 5 2 2 2 15 4 2" xfId="34573"/>
    <cellStyle name="Normal 5 2 2 2 15 5" xfId="18145"/>
    <cellStyle name="Normal 5 2 2 2 15 5 2" xfId="34574"/>
    <cellStyle name="Normal 5 2 2 2 15 6" xfId="34570"/>
    <cellStyle name="Normal 5 2 2 2 16" xfId="18146"/>
    <cellStyle name="Normal 5 2 2 2 16 2" xfId="18147"/>
    <cellStyle name="Normal 5 2 2 2 16 2 2" xfId="34576"/>
    <cellStyle name="Normal 5 2 2 2 16 3" xfId="18148"/>
    <cellStyle name="Normal 5 2 2 2 16 3 2" xfId="34577"/>
    <cellStyle name="Normal 5 2 2 2 16 4" xfId="18149"/>
    <cellStyle name="Normal 5 2 2 2 16 4 2" xfId="34578"/>
    <cellStyle name="Normal 5 2 2 2 16 5" xfId="18150"/>
    <cellStyle name="Normal 5 2 2 2 16 5 2" xfId="34579"/>
    <cellStyle name="Normal 5 2 2 2 16 6" xfId="34575"/>
    <cellStyle name="Normal 5 2 2 2 17" xfId="18151"/>
    <cellStyle name="Normal 5 2 2 2 17 2" xfId="34580"/>
    <cellStyle name="Normal 5 2 2 2 18" xfId="18152"/>
    <cellStyle name="Normal 5 2 2 2 18 2" xfId="34581"/>
    <cellStyle name="Normal 5 2 2 2 19" xfId="18153"/>
    <cellStyle name="Normal 5 2 2 2 19 2" xfId="34582"/>
    <cellStyle name="Normal 5 2 2 2 2" xfId="18154"/>
    <cellStyle name="Normal 5 2 2 2 2 10" xfId="18155"/>
    <cellStyle name="Normal 5 2 2 2 2 10 2" xfId="34584"/>
    <cellStyle name="Normal 5 2 2 2 2 11" xfId="18156"/>
    <cellStyle name="Normal 5 2 2 2 2 11 2" xfId="34585"/>
    <cellStyle name="Normal 5 2 2 2 2 12" xfId="34583"/>
    <cellStyle name="Normal 5 2 2 2 2 2" xfId="18157"/>
    <cellStyle name="Normal 5 2 2 2 2 2 2" xfId="18158"/>
    <cellStyle name="Normal 5 2 2 2 2 2 2 2" xfId="34587"/>
    <cellStyle name="Normal 5 2 2 2 2 2 3" xfId="18159"/>
    <cellStyle name="Normal 5 2 2 2 2 2 3 2" xfId="34588"/>
    <cellStyle name="Normal 5 2 2 2 2 2 4" xfId="18160"/>
    <cellStyle name="Normal 5 2 2 2 2 2 4 2" xfId="34589"/>
    <cellStyle name="Normal 5 2 2 2 2 2 5" xfId="18161"/>
    <cellStyle name="Normal 5 2 2 2 2 2 5 2" xfId="34590"/>
    <cellStyle name="Normal 5 2 2 2 2 2 6" xfId="34586"/>
    <cellStyle name="Normal 5 2 2 2 2 3" xfId="18162"/>
    <cellStyle name="Normal 5 2 2 2 2 3 2" xfId="18163"/>
    <cellStyle name="Normal 5 2 2 2 2 3 2 2" xfId="34592"/>
    <cellStyle name="Normal 5 2 2 2 2 3 3" xfId="18164"/>
    <cellStyle name="Normal 5 2 2 2 2 3 3 2" xfId="34593"/>
    <cellStyle name="Normal 5 2 2 2 2 3 4" xfId="18165"/>
    <cellStyle name="Normal 5 2 2 2 2 3 4 2" xfId="34594"/>
    <cellStyle name="Normal 5 2 2 2 2 3 5" xfId="18166"/>
    <cellStyle name="Normal 5 2 2 2 2 3 5 2" xfId="34595"/>
    <cellStyle name="Normal 5 2 2 2 2 3 6" xfId="34591"/>
    <cellStyle name="Normal 5 2 2 2 2 4" xfId="18167"/>
    <cellStyle name="Normal 5 2 2 2 2 4 2" xfId="18168"/>
    <cellStyle name="Normal 5 2 2 2 2 4 2 2" xfId="34597"/>
    <cellStyle name="Normal 5 2 2 2 2 4 3" xfId="18169"/>
    <cellStyle name="Normal 5 2 2 2 2 4 3 2" xfId="34598"/>
    <cellStyle name="Normal 5 2 2 2 2 4 4" xfId="18170"/>
    <cellStyle name="Normal 5 2 2 2 2 4 4 2" xfId="34599"/>
    <cellStyle name="Normal 5 2 2 2 2 4 5" xfId="18171"/>
    <cellStyle name="Normal 5 2 2 2 2 4 5 2" xfId="34600"/>
    <cellStyle name="Normal 5 2 2 2 2 4 6" xfId="34596"/>
    <cellStyle name="Normal 5 2 2 2 2 5" xfId="18172"/>
    <cellStyle name="Normal 5 2 2 2 2 5 2" xfId="18173"/>
    <cellStyle name="Normal 5 2 2 2 2 5 2 2" xfId="34602"/>
    <cellStyle name="Normal 5 2 2 2 2 5 3" xfId="18174"/>
    <cellStyle name="Normal 5 2 2 2 2 5 3 2" xfId="34603"/>
    <cellStyle name="Normal 5 2 2 2 2 5 4" xfId="18175"/>
    <cellStyle name="Normal 5 2 2 2 2 5 4 2" xfId="34604"/>
    <cellStyle name="Normal 5 2 2 2 2 5 5" xfId="18176"/>
    <cellStyle name="Normal 5 2 2 2 2 5 5 2" xfId="34605"/>
    <cellStyle name="Normal 5 2 2 2 2 5 6" xfId="34601"/>
    <cellStyle name="Normal 5 2 2 2 2 6" xfId="18177"/>
    <cellStyle name="Normal 5 2 2 2 2 6 2" xfId="18178"/>
    <cellStyle name="Normal 5 2 2 2 2 6 2 2" xfId="34607"/>
    <cellStyle name="Normal 5 2 2 2 2 6 3" xfId="18179"/>
    <cellStyle name="Normal 5 2 2 2 2 6 3 2" xfId="34608"/>
    <cellStyle name="Normal 5 2 2 2 2 6 4" xfId="18180"/>
    <cellStyle name="Normal 5 2 2 2 2 6 4 2" xfId="34609"/>
    <cellStyle name="Normal 5 2 2 2 2 6 5" xfId="18181"/>
    <cellStyle name="Normal 5 2 2 2 2 6 5 2" xfId="34610"/>
    <cellStyle name="Normal 5 2 2 2 2 6 6" xfId="34606"/>
    <cellStyle name="Normal 5 2 2 2 2 7" xfId="18182"/>
    <cellStyle name="Normal 5 2 2 2 2 7 2" xfId="18183"/>
    <cellStyle name="Normal 5 2 2 2 2 7 2 2" xfId="34612"/>
    <cellStyle name="Normal 5 2 2 2 2 7 3" xfId="18184"/>
    <cellStyle name="Normal 5 2 2 2 2 7 3 2" xfId="34613"/>
    <cellStyle name="Normal 5 2 2 2 2 7 4" xfId="18185"/>
    <cellStyle name="Normal 5 2 2 2 2 7 4 2" xfId="34614"/>
    <cellStyle name="Normal 5 2 2 2 2 7 5" xfId="18186"/>
    <cellStyle name="Normal 5 2 2 2 2 7 5 2" xfId="34615"/>
    <cellStyle name="Normal 5 2 2 2 2 7 6" xfId="34611"/>
    <cellStyle name="Normal 5 2 2 2 2 8" xfId="18187"/>
    <cellStyle name="Normal 5 2 2 2 2 8 2" xfId="34616"/>
    <cellStyle name="Normal 5 2 2 2 2 9" xfId="18188"/>
    <cellStyle name="Normal 5 2 2 2 2 9 2" xfId="34617"/>
    <cellStyle name="Normal 5 2 2 2 20" xfId="18189"/>
    <cellStyle name="Normal 5 2 2 2 20 2" xfId="34618"/>
    <cellStyle name="Normal 5 2 2 2 21" xfId="34544"/>
    <cellStyle name="Normal 5 2 2 2 3" xfId="18190"/>
    <cellStyle name="Normal 5 2 2 2 3 2" xfId="18191"/>
    <cellStyle name="Normal 5 2 2 2 3 2 2" xfId="18192"/>
    <cellStyle name="Normal 5 2 2 2 3 2 2 2" xfId="34621"/>
    <cellStyle name="Normal 5 2 2 2 3 2 3" xfId="18193"/>
    <cellStyle name="Normal 5 2 2 2 3 2 3 2" xfId="34622"/>
    <cellStyle name="Normal 5 2 2 2 3 2 4" xfId="18194"/>
    <cellStyle name="Normal 5 2 2 2 3 2 4 2" xfId="34623"/>
    <cellStyle name="Normal 5 2 2 2 3 2 5" xfId="18195"/>
    <cellStyle name="Normal 5 2 2 2 3 2 5 2" xfId="34624"/>
    <cellStyle name="Normal 5 2 2 2 3 2 6" xfId="34620"/>
    <cellStyle name="Normal 5 2 2 2 3 3" xfId="18196"/>
    <cellStyle name="Normal 5 2 2 2 3 3 2" xfId="34625"/>
    <cellStyle name="Normal 5 2 2 2 3 4" xfId="18197"/>
    <cellStyle name="Normal 5 2 2 2 3 4 2" xfId="34626"/>
    <cellStyle name="Normal 5 2 2 2 3 5" xfId="18198"/>
    <cellStyle name="Normal 5 2 2 2 3 5 2" xfId="34627"/>
    <cellStyle name="Normal 5 2 2 2 3 6" xfId="18199"/>
    <cellStyle name="Normal 5 2 2 2 3 6 2" xfId="34628"/>
    <cellStyle name="Normal 5 2 2 2 3 7" xfId="34619"/>
    <cellStyle name="Normal 5 2 2 2 4" xfId="18200"/>
    <cellStyle name="Normal 5 2 2 2 4 2" xfId="18201"/>
    <cellStyle name="Normal 5 2 2 2 4 2 2" xfId="18202"/>
    <cellStyle name="Normal 5 2 2 2 4 2 2 2" xfId="34631"/>
    <cellStyle name="Normal 5 2 2 2 4 2 3" xfId="18203"/>
    <cellStyle name="Normal 5 2 2 2 4 2 3 2" xfId="34632"/>
    <cellStyle name="Normal 5 2 2 2 4 2 4" xfId="18204"/>
    <cellStyle name="Normal 5 2 2 2 4 2 4 2" xfId="34633"/>
    <cellStyle name="Normal 5 2 2 2 4 2 5" xfId="18205"/>
    <cellStyle name="Normal 5 2 2 2 4 2 5 2" xfId="34634"/>
    <cellStyle name="Normal 5 2 2 2 4 2 6" xfId="34630"/>
    <cellStyle name="Normal 5 2 2 2 4 3" xfId="18206"/>
    <cellStyle name="Normal 5 2 2 2 4 3 2" xfId="34635"/>
    <cellStyle name="Normal 5 2 2 2 4 4" xfId="18207"/>
    <cellStyle name="Normal 5 2 2 2 4 4 2" xfId="34636"/>
    <cellStyle name="Normal 5 2 2 2 4 5" xfId="18208"/>
    <cellStyle name="Normal 5 2 2 2 4 5 2" xfId="34637"/>
    <cellStyle name="Normal 5 2 2 2 4 6" xfId="18209"/>
    <cellStyle name="Normal 5 2 2 2 4 6 2" xfId="34638"/>
    <cellStyle name="Normal 5 2 2 2 4 7" xfId="34629"/>
    <cellStyle name="Normal 5 2 2 2 5" xfId="18210"/>
    <cellStyle name="Normal 5 2 2 2 5 2" xfId="18211"/>
    <cellStyle name="Normal 5 2 2 2 5 2 2" xfId="34640"/>
    <cellStyle name="Normal 5 2 2 2 5 3" xfId="18212"/>
    <cellStyle name="Normal 5 2 2 2 5 3 2" xfId="34641"/>
    <cellStyle name="Normal 5 2 2 2 5 4" xfId="18213"/>
    <cellStyle name="Normal 5 2 2 2 5 4 2" xfId="34642"/>
    <cellStyle name="Normal 5 2 2 2 5 5" xfId="18214"/>
    <cellStyle name="Normal 5 2 2 2 5 5 2" xfId="34643"/>
    <cellStyle name="Normal 5 2 2 2 5 6" xfId="34639"/>
    <cellStyle name="Normal 5 2 2 2 6" xfId="18215"/>
    <cellStyle name="Normal 5 2 2 2 6 2" xfId="18216"/>
    <cellStyle name="Normal 5 2 2 2 6 2 2" xfId="34645"/>
    <cellStyle name="Normal 5 2 2 2 6 3" xfId="18217"/>
    <cellStyle name="Normal 5 2 2 2 6 3 2" xfId="34646"/>
    <cellStyle name="Normal 5 2 2 2 6 4" xfId="18218"/>
    <cellStyle name="Normal 5 2 2 2 6 4 2" xfId="34647"/>
    <cellStyle name="Normal 5 2 2 2 6 5" xfId="18219"/>
    <cellStyle name="Normal 5 2 2 2 6 5 2" xfId="34648"/>
    <cellStyle name="Normal 5 2 2 2 6 6" xfId="34644"/>
    <cellStyle name="Normal 5 2 2 2 7" xfId="18220"/>
    <cellStyle name="Normal 5 2 2 2 7 2" xfId="18221"/>
    <cellStyle name="Normal 5 2 2 2 7 2 2" xfId="34650"/>
    <cellStyle name="Normal 5 2 2 2 7 3" xfId="18222"/>
    <cellStyle name="Normal 5 2 2 2 7 3 2" xfId="34651"/>
    <cellStyle name="Normal 5 2 2 2 7 4" xfId="18223"/>
    <cellStyle name="Normal 5 2 2 2 7 4 2" xfId="34652"/>
    <cellStyle name="Normal 5 2 2 2 7 5" xfId="18224"/>
    <cellStyle name="Normal 5 2 2 2 7 5 2" xfId="34653"/>
    <cellStyle name="Normal 5 2 2 2 7 6" xfId="34649"/>
    <cellStyle name="Normal 5 2 2 2 8" xfId="18225"/>
    <cellStyle name="Normal 5 2 2 2 8 2" xfId="18226"/>
    <cellStyle name="Normal 5 2 2 2 8 2 2" xfId="34655"/>
    <cellStyle name="Normal 5 2 2 2 8 3" xfId="18227"/>
    <cellStyle name="Normal 5 2 2 2 8 3 2" xfId="34656"/>
    <cellStyle name="Normal 5 2 2 2 8 4" xfId="18228"/>
    <cellStyle name="Normal 5 2 2 2 8 4 2" xfId="34657"/>
    <cellStyle name="Normal 5 2 2 2 8 5" xfId="18229"/>
    <cellStyle name="Normal 5 2 2 2 8 5 2" xfId="34658"/>
    <cellStyle name="Normal 5 2 2 2 8 6" xfId="34654"/>
    <cellStyle name="Normal 5 2 2 2 9" xfId="18230"/>
    <cellStyle name="Normal 5 2 2 2 9 2" xfId="18231"/>
    <cellStyle name="Normal 5 2 2 2 9 2 2" xfId="34660"/>
    <cellStyle name="Normal 5 2 2 2 9 3" xfId="18232"/>
    <cellStyle name="Normal 5 2 2 2 9 3 2" xfId="34661"/>
    <cellStyle name="Normal 5 2 2 2 9 4" xfId="18233"/>
    <cellStyle name="Normal 5 2 2 2 9 4 2" xfId="34662"/>
    <cellStyle name="Normal 5 2 2 2 9 5" xfId="18234"/>
    <cellStyle name="Normal 5 2 2 2 9 5 2" xfId="34663"/>
    <cellStyle name="Normal 5 2 2 2 9 6" xfId="34659"/>
    <cellStyle name="Normal 5 2 2 20" xfId="18235"/>
    <cellStyle name="Normal 5 2 2 20 2" xfId="34664"/>
    <cellStyle name="Normal 5 2 2 21" xfId="18236"/>
    <cellStyle name="Normal 5 2 2 21 2" xfId="34665"/>
    <cellStyle name="Normal 5 2 2 22" xfId="18237"/>
    <cellStyle name="Normal 5 2 2 22 2" xfId="34666"/>
    <cellStyle name="Normal 5 2 2 23" xfId="18238"/>
    <cellStyle name="Normal 5 2 2 23 2" xfId="34667"/>
    <cellStyle name="Normal 5 2 2 24" xfId="40728"/>
    <cellStyle name="Normal 5 2 2 25" xfId="34493"/>
    <cellStyle name="Normal 5 2 2 3" xfId="18239"/>
    <cellStyle name="Normal 5 2 2 3 10" xfId="18240"/>
    <cellStyle name="Normal 5 2 2 3 10 2" xfId="18241"/>
    <cellStyle name="Normal 5 2 2 3 10 2 2" xfId="34670"/>
    <cellStyle name="Normal 5 2 2 3 10 3" xfId="18242"/>
    <cellStyle name="Normal 5 2 2 3 10 3 2" xfId="34671"/>
    <cellStyle name="Normal 5 2 2 3 10 4" xfId="18243"/>
    <cellStyle name="Normal 5 2 2 3 10 4 2" xfId="34672"/>
    <cellStyle name="Normal 5 2 2 3 10 5" xfId="18244"/>
    <cellStyle name="Normal 5 2 2 3 10 5 2" xfId="34673"/>
    <cellStyle name="Normal 5 2 2 3 10 6" xfId="34669"/>
    <cellStyle name="Normal 5 2 2 3 11" xfId="18245"/>
    <cellStyle name="Normal 5 2 2 3 11 2" xfId="18246"/>
    <cellStyle name="Normal 5 2 2 3 11 2 2" xfId="34675"/>
    <cellStyle name="Normal 5 2 2 3 11 3" xfId="18247"/>
    <cellStyle name="Normal 5 2 2 3 11 3 2" xfId="34676"/>
    <cellStyle name="Normal 5 2 2 3 11 4" xfId="18248"/>
    <cellStyle name="Normal 5 2 2 3 11 4 2" xfId="34677"/>
    <cellStyle name="Normal 5 2 2 3 11 5" xfId="18249"/>
    <cellStyle name="Normal 5 2 2 3 11 5 2" xfId="34678"/>
    <cellStyle name="Normal 5 2 2 3 11 6" xfId="34674"/>
    <cellStyle name="Normal 5 2 2 3 12" xfId="18250"/>
    <cellStyle name="Normal 5 2 2 3 12 2" xfId="18251"/>
    <cellStyle name="Normal 5 2 2 3 12 2 2" xfId="34680"/>
    <cellStyle name="Normal 5 2 2 3 12 3" xfId="18252"/>
    <cellStyle name="Normal 5 2 2 3 12 3 2" xfId="34681"/>
    <cellStyle name="Normal 5 2 2 3 12 4" xfId="18253"/>
    <cellStyle name="Normal 5 2 2 3 12 4 2" xfId="34682"/>
    <cellStyle name="Normal 5 2 2 3 12 5" xfId="18254"/>
    <cellStyle name="Normal 5 2 2 3 12 5 2" xfId="34683"/>
    <cellStyle name="Normal 5 2 2 3 12 6" xfId="34679"/>
    <cellStyle name="Normal 5 2 2 3 13" xfId="18255"/>
    <cellStyle name="Normal 5 2 2 3 13 2" xfId="18256"/>
    <cellStyle name="Normal 5 2 2 3 13 2 2" xfId="34685"/>
    <cellStyle name="Normal 5 2 2 3 13 3" xfId="18257"/>
    <cellStyle name="Normal 5 2 2 3 13 3 2" xfId="34686"/>
    <cellStyle name="Normal 5 2 2 3 13 4" xfId="18258"/>
    <cellStyle name="Normal 5 2 2 3 13 4 2" xfId="34687"/>
    <cellStyle name="Normal 5 2 2 3 13 5" xfId="18259"/>
    <cellStyle name="Normal 5 2 2 3 13 5 2" xfId="34688"/>
    <cellStyle name="Normal 5 2 2 3 13 6" xfId="34684"/>
    <cellStyle name="Normal 5 2 2 3 14" xfId="18260"/>
    <cellStyle name="Normal 5 2 2 3 14 2" xfId="18261"/>
    <cellStyle name="Normal 5 2 2 3 14 2 2" xfId="34690"/>
    <cellStyle name="Normal 5 2 2 3 14 3" xfId="18262"/>
    <cellStyle name="Normal 5 2 2 3 14 3 2" xfId="34691"/>
    <cellStyle name="Normal 5 2 2 3 14 4" xfId="18263"/>
    <cellStyle name="Normal 5 2 2 3 14 4 2" xfId="34692"/>
    <cellStyle name="Normal 5 2 2 3 14 5" xfId="18264"/>
    <cellStyle name="Normal 5 2 2 3 14 5 2" xfId="34693"/>
    <cellStyle name="Normal 5 2 2 3 14 6" xfId="34689"/>
    <cellStyle name="Normal 5 2 2 3 15" xfId="18265"/>
    <cellStyle name="Normal 5 2 2 3 15 2" xfId="18266"/>
    <cellStyle name="Normal 5 2 2 3 15 2 2" xfId="34695"/>
    <cellStyle name="Normal 5 2 2 3 15 3" xfId="18267"/>
    <cellStyle name="Normal 5 2 2 3 15 3 2" xfId="34696"/>
    <cellStyle name="Normal 5 2 2 3 15 4" xfId="18268"/>
    <cellStyle name="Normal 5 2 2 3 15 4 2" xfId="34697"/>
    <cellStyle name="Normal 5 2 2 3 15 5" xfId="18269"/>
    <cellStyle name="Normal 5 2 2 3 15 5 2" xfId="34698"/>
    <cellStyle name="Normal 5 2 2 3 15 6" xfId="34694"/>
    <cellStyle name="Normal 5 2 2 3 16" xfId="18270"/>
    <cellStyle name="Normal 5 2 2 3 16 2" xfId="18271"/>
    <cellStyle name="Normal 5 2 2 3 16 2 2" xfId="34700"/>
    <cellStyle name="Normal 5 2 2 3 16 3" xfId="18272"/>
    <cellStyle name="Normal 5 2 2 3 16 3 2" xfId="34701"/>
    <cellStyle name="Normal 5 2 2 3 16 4" xfId="18273"/>
    <cellStyle name="Normal 5 2 2 3 16 4 2" xfId="34702"/>
    <cellStyle name="Normal 5 2 2 3 16 5" xfId="18274"/>
    <cellStyle name="Normal 5 2 2 3 16 5 2" xfId="34703"/>
    <cellStyle name="Normal 5 2 2 3 16 6" xfId="34699"/>
    <cellStyle name="Normal 5 2 2 3 17" xfId="18275"/>
    <cellStyle name="Normal 5 2 2 3 17 2" xfId="34704"/>
    <cellStyle name="Normal 5 2 2 3 18" xfId="18276"/>
    <cellStyle name="Normal 5 2 2 3 18 2" xfId="34705"/>
    <cellStyle name="Normal 5 2 2 3 19" xfId="18277"/>
    <cellStyle name="Normal 5 2 2 3 19 2" xfId="34706"/>
    <cellStyle name="Normal 5 2 2 3 2" xfId="18278"/>
    <cellStyle name="Normal 5 2 2 3 2 10" xfId="18279"/>
    <cellStyle name="Normal 5 2 2 3 2 10 2" xfId="34708"/>
    <cellStyle name="Normal 5 2 2 3 2 11" xfId="18280"/>
    <cellStyle name="Normal 5 2 2 3 2 11 2" xfId="34709"/>
    <cellStyle name="Normal 5 2 2 3 2 12" xfId="34707"/>
    <cellStyle name="Normal 5 2 2 3 2 2" xfId="18281"/>
    <cellStyle name="Normal 5 2 2 3 2 2 2" xfId="18282"/>
    <cellStyle name="Normal 5 2 2 3 2 2 2 2" xfId="34711"/>
    <cellStyle name="Normal 5 2 2 3 2 2 3" xfId="18283"/>
    <cellStyle name="Normal 5 2 2 3 2 2 3 2" xfId="34712"/>
    <cellStyle name="Normal 5 2 2 3 2 2 4" xfId="18284"/>
    <cellStyle name="Normal 5 2 2 3 2 2 4 2" xfId="34713"/>
    <cellStyle name="Normal 5 2 2 3 2 2 5" xfId="18285"/>
    <cellStyle name="Normal 5 2 2 3 2 2 5 2" xfId="34714"/>
    <cellStyle name="Normal 5 2 2 3 2 2 6" xfId="34710"/>
    <cellStyle name="Normal 5 2 2 3 2 3" xfId="18286"/>
    <cellStyle name="Normal 5 2 2 3 2 3 2" xfId="18287"/>
    <cellStyle name="Normal 5 2 2 3 2 3 2 2" xfId="34716"/>
    <cellStyle name="Normal 5 2 2 3 2 3 3" xfId="18288"/>
    <cellStyle name="Normal 5 2 2 3 2 3 3 2" xfId="34717"/>
    <cellStyle name="Normal 5 2 2 3 2 3 4" xfId="18289"/>
    <cellStyle name="Normal 5 2 2 3 2 3 4 2" xfId="34718"/>
    <cellStyle name="Normal 5 2 2 3 2 3 5" xfId="18290"/>
    <cellStyle name="Normal 5 2 2 3 2 3 5 2" xfId="34719"/>
    <cellStyle name="Normal 5 2 2 3 2 3 6" xfId="34715"/>
    <cellStyle name="Normal 5 2 2 3 2 4" xfId="18291"/>
    <cellStyle name="Normal 5 2 2 3 2 4 2" xfId="18292"/>
    <cellStyle name="Normal 5 2 2 3 2 4 2 2" xfId="34721"/>
    <cellStyle name="Normal 5 2 2 3 2 4 3" xfId="18293"/>
    <cellStyle name="Normal 5 2 2 3 2 4 3 2" xfId="34722"/>
    <cellStyle name="Normal 5 2 2 3 2 4 4" xfId="18294"/>
    <cellStyle name="Normal 5 2 2 3 2 4 4 2" xfId="34723"/>
    <cellStyle name="Normal 5 2 2 3 2 4 5" xfId="18295"/>
    <cellStyle name="Normal 5 2 2 3 2 4 5 2" xfId="34724"/>
    <cellStyle name="Normal 5 2 2 3 2 4 6" xfId="34720"/>
    <cellStyle name="Normal 5 2 2 3 2 5" xfId="18296"/>
    <cellStyle name="Normal 5 2 2 3 2 5 2" xfId="18297"/>
    <cellStyle name="Normal 5 2 2 3 2 5 2 2" xfId="34726"/>
    <cellStyle name="Normal 5 2 2 3 2 5 3" xfId="18298"/>
    <cellStyle name="Normal 5 2 2 3 2 5 3 2" xfId="34727"/>
    <cellStyle name="Normal 5 2 2 3 2 5 4" xfId="18299"/>
    <cellStyle name="Normal 5 2 2 3 2 5 4 2" xfId="34728"/>
    <cellStyle name="Normal 5 2 2 3 2 5 5" xfId="18300"/>
    <cellStyle name="Normal 5 2 2 3 2 5 5 2" xfId="34729"/>
    <cellStyle name="Normal 5 2 2 3 2 5 6" xfId="34725"/>
    <cellStyle name="Normal 5 2 2 3 2 6" xfId="18301"/>
    <cellStyle name="Normal 5 2 2 3 2 6 2" xfId="18302"/>
    <cellStyle name="Normal 5 2 2 3 2 6 2 2" xfId="34731"/>
    <cellStyle name="Normal 5 2 2 3 2 6 3" xfId="18303"/>
    <cellStyle name="Normal 5 2 2 3 2 6 3 2" xfId="34732"/>
    <cellStyle name="Normal 5 2 2 3 2 6 4" xfId="18304"/>
    <cellStyle name="Normal 5 2 2 3 2 6 4 2" xfId="34733"/>
    <cellStyle name="Normal 5 2 2 3 2 6 5" xfId="18305"/>
    <cellStyle name="Normal 5 2 2 3 2 6 5 2" xfId="34734"/>
    <cellStyle name="Normal 5 2 2 3 2 6 6" xfId="34730"/>
    <cellStyle name="Normal 5 2 2 3 2 7" xfId="18306"/>
    <cellStyle name="Normal 5 2 2 3 2 7 2" xfId="18307"/>
    <cellStyle name="Normal 5 2 2 3 2 7 2 2" xfId="34736"/>
    <cellStyle name="Normal 5 2 2 3 2 7 3" xfId="18308"/>
    <cellStyle name="Normal 5 2 2 3 2 7 3 2" xfId="34737"/>
    <cellStyle name="Normal 5 2 2 3 2 7 4" xfId="18309"/>
    <cellStyle name="Normal 5 2 2 3 2 7 4 2" xfId="34738"/>
    <cellStyle name="Normal 5 2 2 3 2 7 5" xfId="18310"/>
    <cellStyle name="Normal 5 2 2 3 2 7 5 2" xfId="34739"/>
    <cellStyle name="Normal 5 2 2 3 2 7 6" xfId="34735"/>
    <cellStyle name="Normal 5 2 2 3 2 8" xfId="18311"/>
    <cellStyle name="Normal 5 2 2 3 2 8 2" xfId="34740"/>
    <cellStyle name="Normal 5 2 2 3 2 9" xfId="18312"/>
    <cellStyle name="Normal 5 2 2 3 2 9 2" xfId="34741"/>
    <cellStyle name="Normal 5 2 2 3 20" xfId="18313"/>
    <cellStyle name="Normal 5 2 2 3 20 2" xfId="34742"/>
    <cellStyle name="Normal 5 2 2 3 21" xfId="34668"/>
    <cellStyle name="Normal 5 2 2 3 3" xfId="18314"/>
    <cellStyle name="Normal 5 2 2 3 3 2" xfId="18315"/>
    <cellStyle name="Normal 5 2 2 3 3 2 2" xfId="18316"/>
    <cellStyle name="Normal 5 2 2 3 3 2 2 2" xfId="34745"/>
    <cellStyle name="Normal 5 2 2 3 3 2 3" xfId="18317"/>
    <cellStyle name="Normal 5 2 2 3 3 2 3 2" xfId="34746"/>
    <cellStyle name="Normal 5 2 2 3 3 2 4" xfId="18318"/>
    <cellStyle name="Normal 5 2 2 3 3 2 4 2" xfId="34747"/>
    <cellStyle name="Normal 5 2 2 3 3 2 5" xfId="18319"/>
    <cellStyle name="Normal 5 2 2 3 3 2 5 2" xfId="34748"/>
    <cellStyle name="Normal 5 2 2 3 3 2 6" xfId="34744"/>
    <cellStyle name="Normal 5 2 2 3 3 3" xfId="18320"/>
    <cellStyle name="Normal 5 2 2 3 3 3 2" xfId="34749"/>
    <cellStyle name="Normal 5 2 2 3 3 4" xfId="18321"/>
    <cellStyle name="Normal 5 2 2 3 3 4 2" xfId="34750"/>
    <cellStyle name="Normal 5 2 2 3 3 5" xfId="18322"/>
    <cellStyle name="Normal 5 2 2 3 3 5 2" xfId="34751"/>
    <cellStyle name="Normal 5 2 2 3 3 6" xfId="18323"/>
    <cellStyle name="Normal 5 2 2 3 3 6 2" xfId="34752"/>
    <cellStyle name="Normal 5 2 2 3 3 7" xfId="34743"/>
    <cellStyle name="Normal 5 2 2 3 4" xfId="18324"/>
    <cellStyle name="Normal 5 2 2 3 4 2" xfId="18325"/>
    <cellStyle name="Normal 5 2 2 3 4 2 2" xfId="18326"/>
    <cellStyle name="Normal 5 2 2 3 4 2 2 2" xfId="34755"/>
    <cellStyle name="Normal 5 2 2 3 4 2 3" xfId="18327"/>
    <cellStyle name="Normal 5 2 2 3 4 2 3 2" xfId="34756"/>
    <cellStyle name="Normal 5 2 2 3 4 2 4" xfId="18328"/>
    <cellStyle name="Normal 5 2 2 3 4 2 4 2" xfId="34757"/>
    <cellStyle name="Normal 5 2 2 3 4 2 5" xfId="18329"/>
    <cellStyle name="Normal 5 2 2 3 4 2 5 2" xfId="34758"/>
    <cellStyle name="Normal 5 2 2 3 4 2 6" xfId="34754"/>
    <cellStyle name="Normal 5 2 2 3 4 3" xfId="18330"/>
    <cellStyle name="Normal 5 2 2 3 4 3 2" xfId="34759"/>
    <cellStyle name="Normal 5 2 2 3 4 4" xfId="18331"/>
    <cellStyle name="Normal 5 2 2 3 4 4 2" xfId="34760"/>
    <cellStyle name="Normal 5 2 2 3 4 5" xfId="18332"/>
    <cellStyle name="Normal 5 2 2 3 4 5 2" xfId="34761"/>
    <cellStyle name="Normal 5 2 2 3 4 6" xfId="18333"/>
    <cellStyle name="Normal 5 2 2 3 4 6 2" xfId="34762"/>
    <cellStyle name="Normal 5 2 2 3 4 7" xfId="34753"/>
    <cellStyle name="Normal 5 2 2 3 5" xfId="18334"/>
    <cellStyle name="Normal 5 2 2 3 5 2" xfId="18335"/>
    <cellStyle name="Normal 5 2 2 3 5 2 2" xfId="34764"/>
    <cellStyle name="Normal 5 2 2 3 5 3" xfId="18336"/>
    <cellStyle name="Normal 5 2 2 3 5 3 2" xfId="34765"/>
    <cellStyle name="Normal 5 2 2 3 5 4" xfId="18337"/>
    <cellStyle name="Normal 5 2 2 3 5 4 2" xfId="34766"/>
    <cellStyle name="Normal 5 2 2 3 5 5" xfId="18338"/>
    <cellStyle name="Normal 5 2 2 3 5 5 2" xfId="34767"/>
    <cellStyle name="Normal 5 2 2 3 5 6" xfId="34763"/>
    <cellStyle name="Normal 5 2 2 3 6" xfId="18339"/>
    <cellStyle name="Normal 5 2 2 3 6 2" xfId="18340"/>
    <cellStyle name="Normal 5 2 2 3 6 2 2" xfId="34769"/>
    <cellStyle name="Normal 5 2 2 3 6 3" xfId="18341"/>
    <cellStyle name="Normal 5 2 2 3 6 3 2" xfId="34770"/>
    <cellStyle name="Normal 5 2 2 3 6 4" xfId="18342"/>
    <cellStyle name="Normal 5 2 2 3 6 4 2" xfId="34771"/>
    <cellStyle name="Normal 5 2 2 3 6 5" xfId="18343"/>
    <cellStyle name="Normal 5 2 2 3 6 5 2" xfId="34772"/>
    <cellStyle name="Normal 5 2 2 3 6 6" xfId="34768"/>
    <cellStyle name="Normal 5 2 2 3 7" xfId="18344"/>
    <cellStyle name="Normal 5 2 2 3 7 2" xfId="18345"/>
    <cellStyle name="Normal 5 2 2 3 7 2 2" xfId="34774"/>
    <cellStyle name="Normal 5 2 2 3 7 3" xfId="18346"/>
    <cellStyle name="Normal 5 2 2 3 7 3 2" xfId="34775"/>
    <cellStyle name="Normal 5 2 2 3 7 4" xfId="18347"/>
    <cellStyle name="Normal 5 2 2 3 7 4 2" xfId="34776"/>
    <cellStyle name="Normal 5 2 2 3 7 5" xfId="18348"/>
    <cellStyle name="Normal 5 2 2 3 7 5 2" xfId="34777"/>
    <cellStyle name="Normal 5 2 2 3 7 6" xfId="34773"/>
    <cellStyle name="Normal 5 2 2 3 8" xfId="18349"/>
    <cellStyle name="Normal 5 2 2 3 8 2" xfId="18350"/>
    <cellStyle name="Normal 5 2 2 3 8 2 2" xfId="34779"/>
    <cellStyle name="Normal 5 2 2 3 8 3" xfId="18351"/>
    <cellStyle name="Normal 5 2 2 3 8 3 2" xfId="34780"/>
    <cellStyle name="Normal 5 2 2 3 8 4" xfId="18352"/>
    <cellStyle name="Normal 5 2 2 3 8 4 2" xfId="34781"/>
    <cellStyle name="Normal 5 2 2 3 8 5" xfId="18353"/>
    <cellStyle name="Normal 5 2 2 3 8 5 2" xfId="34782"/>
    <cellStyle name="Normal 5 2 2 3 8 6" xfId="34778"/>
    <cellStyle name="Normal 5 2 2 3 9" xfId="18354"/>
    <cellStyle name="Normal 5 2 2 3 9 2" xfId="18355"/>
    <cellStyle name="Normal 5 2 2 3 9 2 2" xfId="34784"/>
    <cellStyle name="Normal 5 2 2 3 9 3" xfId="18356"/>
    <cellStyle name="Normal 5 2 2 3 9 3 2" xfId="34785"/>
    <cellStyle name="Normal 5 2 2 3 9 4" xfId="18357"/>
    <cellStyle name="Normal 5 2 2 3 9 4 2" xfId="34786"/>
    <cellStyle name="Normal 5 2 2 3 9 5" xfId="18358"/>
    <cellStyle name="Normal 5 2 2 3 9 5 2" xfId="34787"/>
    <cellStyle name="Normal 5 2 2 3 9 6" xfId="34783"/>
    <cellStyle name="Normal 5 2 2 4" xfId="18359"/>
    <cellStyle name="Normal 5 2 2 4 10" xfId="18360"/>
    <cellStyle name="Normal 5 2 2 4 10 2" xfId="18361"/>
    <cellStyle name="Normal 5 2 2 4 10 2 2" xfId="34790"/>
    <cellStyle name="Normal 5 2 2 4 10 3" xfId="18362"/>
    <cellStyle name="Normal 5 2 2 4 10 3 2" xfId="34791"/>
    <cellStyle name="Normal 5 2 2 4 10 4" xfId="18363"/>
    <cellStyle name="Normal 5 2 2 4 10 4 2" xfId="34792"/>
    <cellStyle name="Normal 5 2 2 4 10 5" xfId="18364"/>
    <cellStyle name="Normal 5 2 2 4 10 5 2" xfId="34793"/>
    <cellStyle name="Normal 5 2 2 4 10 6" xfId="34789"/>
    <cellStyle name="Normal 5 2 2 4 11" xfId="18365"/>
    <cellStyle name="Normal 5 2 2 4 11 2" xfId="18366"/>
    <cellStyle name="Normal 5 2 2 4 11 2 2" xfId="34795"/>
    <cellStyle name="Normal 5 2 2 4 11 3" xfId="18367"/>
    <cellStyle name="Normal 5 2 2 4 11 3 2" xfId="34796"/>
    <cellStyle name="Normal 5 2 2 4 11 4" xfId="18368"/>
    <cellStyle name="Normal 5 2 2 4 11 4 2" xfId="34797"/>
    <cellStyle name="Normal 5 2 2 4 11 5" xfId="18369"/>
    <cellStyle name="Normal 5 2 2 4 11 5 2" xfId="34798"/>
    <cellStyle name="Normal 5 2 2 4 11 6" xfId="34794"/>
    <cellStyle name="Normal 5 2 2 4 12" xfId="18370"/>
    <cellStyle name="Normal 5 2 2 4 12 2" xfId="18371"/>
    <cellStyle name="Normal 5 2 2 4 12 2 2" xfId="34800"/>
    <cellStyle name="Normal 5 2 2 4 12 3" xfId="18372"/>
    <cellStyle name="Normal 5 2 2 4 12 3 2" xfId="34801"/>
    <cellStyle name="Normal 5 2 2 4 12 4" xfId="18373"/>
    <cellStyle name="Normal 5 2 2 4 12 4 2" xfId="34802"/>
    <cellStyle name="Normal 5 2 2 4 12 5" xfId="18374"/>
    <cellStyle name="Normal 5 2 2 4 12 5 2" xfId="34803"/>
    <cellStyle name="Normal 5 2 2 4 12 6" xfId="34799"/>
    <cellStyle name="Normal 5 2 2 4 13" xfId="18375"/>
    <cellStyle name="Normal 5 2 2 4 13 2" xfId="18376"/>
    <cellStyle name="Normal 5 2 2 4 13 2 2" xfId="34805"/>
    <cellStyle name="Normal 5 2 2 4 13 3" xfId="18377"/>
    <cellStyle name="Normal 5 2 2 4 13 3 2" xfId="34806"/>
    <cellStyle name="Normal 5 2 2 4 13 4" xfId="18378"/>
    <cellStyle name="Normal 5 2 2 4 13 4 2" xfId="34807"/>
    <cellStyle name="Normal 5 2 2 4 13 5" xfId="18379"/>
    <cellStyle name="Normal 5 2 2 4 13 5 2" xfId="34808"/>
    <cellStyle name="Normal 5 2 2 4 13 6" xfId="34804"/>
    <cellStyle name="Normal 5 2 2 4 14" xfId="18380"/>
    <cellStyle name="Normal 5 2 2 4 14 2" xfId="18381"/>
    <cellStyle name="Normal 5 2 2 4 14 2 2" xfId="34810"/>
    <cellStyle name="Normal 5 2 2 4 14 3" xfId="18382"/>
    <cellStyle name="Normal 5 2 2 4 14 3 2" xfId="34811"/>
    <cellStyle name="Normal 5 2 2 4 14 4" xfId="18383"/>
    <cellStyle name="Normal 5 2 2 4 14 4 2" xfId="34812"/>
    <cellStyle name="Normal 5 2 2 4 14 5" xfId="18384"/>
    <cellStyle name="Normal 5 2 2 4 14 5 2" xfId="34813"/>
    <cellStyle name="Normal 5 2 2 4 14 6" xfId="34809"/>
    <cellStyle name="Normal 5 2 2 4 15" xfId="18385"/>
    <cellStyle name="Normal 5 2 2 4 15 2" xfId="18386"/>
    <cellStyle name="Normal 5 2 2 4 15 2 2" xfId="34815"/>
    <cellStyle name="Normal 5 2 2 4 15 3" xfId="18387"/>
    <cellStyle name="Normal 5 2 2 4 15 3 2" xfId="34816"/>
    <cellStyle name="Normal 5 2 2 4 15 4" xfId="18388"/>
    <cellStyle name="Normal 5 2 2 4 15 4 2" xfId="34817"/>
    <cellStyle name="Normal 5 2 2 4 15 5" xfId="18389"/>
    <cellStyle name="Normal 5 2 2 4 15 5 2" xfId="34818"/>
    <cellStyle name="Normal 5 2 2 4 15 6" xfId="34814"/>
    <cellStyle name="Normal 5 2 2 4 16" xfId="18390"/>
    <cellStyle name="Normal 5 2 2 4 16 2" xfId="18391"/>
    <cellStyle name="Normal 5 2 2 4 16 2 2" xfId="34820"/>
    <cellStyle name="Normal 5 2 2 4 16 3" xfId="18392"/>
    <cellStyle name="Normal 5 2 2 4 16 3 2" xfId="34821"/>
    <cellStyle name="Normal 5 2 2 4 16 4" xfId="18393"/>
    <cellStyle name="Normal 5 2 2 4 16 4 2" xfId="34822"/>
    <cellStyle name="Normal 5 2 2 4 16 5" xfId="18394"/>
    <cellStyle name="Normal 5 2 2 4 16 5 2" xfId="34823"/>
    <cellStyle name="Normal 5 2 2 4 16 6" xfId="34819"/>
    <cellStyle name="Normal 5 2 2 4 17" xfId="18395"/>
    <cellStyle name="Normal 5 2 2 4 17 2" xfId="34824"/>
    <cellStyle name="Normal 5 2 2 4 18" xfId="18396"/>
    <cellStyle name="Normal 5 2 2 4 18 2" xfId="34825"/>
    <cellStyle name="Normal 5 2 2 4 19" xfId="18397"/>
    <cellStyle name="Normal 5 2 2 4 19 2" xfId="34826"/>
    <cellStyle name="Normal 5 2 2 4 2" xfId="18398"/>
    <cellStyle name="Normal 5 2 2 4 2 10" xfId="18399"/>
    <cellStyle name="Normal 5 2 2 4 2 10 2" xfId="34828"/>
    <cellStyle name="Normal 5 2 2 4 2 11" xfId="18400"/>
    <cellStyle name="Normal 5 2 2 4 2 11 2" xfId="34829"/>
    <cellStyle name="Normal 5 2 2 4 2 12" xfId="34827"/>
    <cellStyle name="Normal 5 2 2 4 2 2" xfId="18401"/>
    <cellStyle name="Normal 5 2 2 4 2 2 2" xfId="18402"/>
    <cellStyle name="Normal 5 2 2 4 2 2 2 2" xfId="34831"/>
    <cellStyle name="Normal 5 2 2 4 2 2 3" xfId="18403"/>
    <cellStyle name="Normal 5 2 2 4 2 2 3 2" xfId="34832"/>
    <cellStyle name="Normal 5 2 2 4 2 2 4" xfId="18404"/>
    <cellStyle name="Normal 5 2 2 4 2 2 4 2" xfId="34833"/>
    <cellStyle name="Normal 5 2 2 4 2 2 5" xfId="18405"/>
    <cellStyle name="Normal 5 2 2 4 2 2 5 2" xfId="34834"/>
    <cellStyle name="Normal 5 2 2 4 2 2 6" xfId="34830"/>
    <cellStyle name="Normal 5 2 2 4 2 3" xfId="18406"/>
    <cellStyle name="Normal 5 2 2 4 2 3 2" xfId="18407"/>
    <cellStyle name="Normal 5 2 2 4 2 3 2 2" xfId="34836"/>
    <cellStyle name="Normal 5 2 2 4 2 3 3" xfId="18408"/>
    <cellStyle name="Normal 5 2 2 4 2 3 3 2" xfId="34837"/>
    <cellStyle name="Normal 5 2 2 4 2 3 4" xfId="18409"/>
    <cellStyle name="Normal 5 2 2 4 2 3 4 2" xfId="34838"/>
    <cellStyle name="Normal 5 2 2 4 2 3 5" xfId="18410"/>
    <cellStyle name="Normal 5 2 2 4 2 3 5 2" xfId="34839"/>
    <cellStyle name="Normal 5 2 2 4 2 3 6" xfId="34835"/>
    <cellStyle name="Normal 5 2 2 4 2 4" xfId="18411"/>
    <cellStyle name="Normal 5 2 2 4 2 4 2" xfId="18412"/>
    <cellStyle name="Normal 5 2 2 4 2 4 2 2" xfId="34841"/>
    <cellStyle name="Normal 5 2 2 4 2 4 3" xfId="18413"/>
    <cellStyle name="Normal 5 2 2 4 2 4 3 2" xfId="34842"/>
    <cellStyle name="Normal 5 2 2 4 2 4 4" xfId="18414"/>
    <cellStyle name="Normal 5 2 2 4 2 4 4 2" xfId="34843"/>
    <cellStyle name="Normal 5 2 2 4 2 4 5" xfId="18415"/>
    <cellStyle name="Normal 5 2 2 4 2 4 5 2" xfId="34844"/>
    <cellStyle name="Normal 5 2 2 4 2 4 6" xfId="34840"/>
    <cellStyle name="Normal 5 2 2 4 2 5" xfId="18416"/>
    <cellStyle name="Normal 5 2 2 4 2 5 2" xfId="18417"/>
    <cellStyle name="Normal 5 2 2 4 2 5 2 2" xfId="34846"/>
    <cellStyle name="Normal 5 2 2 4 2 5 3" xfId="18418"/>
    <cellStyle name="Normal 5 2 2 4 2 5 3 2" xfId="34847"/>
    <cellStyle name="Normal 5 2 2 4 2 5 4" xfId="18419"/>
    <cellStyle name="Normal 5 2 2 4 2 5 4 2" xfId="34848"/>
    <cellStyle name="Normal 5 2 2 4 2 5 5" xfId="18420"/>
    <cellStyle name="Normal 5 2 2 4 2 5 5 2" xfId="34849"/>
    <cellStyle name="Normal 5 2 2 4 2 5 6" xfId="34845"/>
    <cellStyle name="Normal 5 2 2 4 2 6" xfId="18421"/>
    <cellStyle name="Normal 5 2 2 4 2 6 2" xfId="18422"/>
    <cellStyle name="Normal 5 2 2 4 2 6 2 2" xfId="34851"/>
    <cellStyle name="Normal 5 2 2 4 2 6 3" xfId="18423"/>
    <cellStyle name="Normal 5 2 2 4 2 6 3 2" xfId="34852"/>
    <cellStyle name="Normal 5 2 2 4 2 6 4" xfId="18424"/>
    <cellStyle name="Normal 5 2 2 4 2 6 4 2" xfId="34853"/>
    <cellStyle name="Normal 5 2 2 4 2 6 5" xfId="18425"/>
    <cellStyle name="Normal 5 2 2 4 2 6 5 2" xfId="34854"/>
    <cellStyle name="Normal 5 2 2 4 2 6 6" xfId="34850"/>
    <cellStyle name="Normal 5 2 2 4 2 7" xfId="18426"/>
    <cellStyle name="Normal 5 2 2 4 2 7 2" xfId="18427"/>
    <cellStyle name="Normal 5 2 2 4 2 7 2 2" xfId="34856"/>
    <cellStyle name="Normal 5 2 2 4 2 7 3" xfId="18428"/>
    <cellStyle name="Normal 5 2 2 4 2 7 3 2" xfId="34857"/>
    <cellStyle name="Normal 5 2 2 4 2 7 4" xfId="18429"/>
    <cellStyle name="Normal 5 2 2 4 2 7 4 2" xfId="34858"/>
    <cellStyle name="Normal 5 2 2 4 2 7 5" xfId="18430"/>
    <cellStyle name="Normal 5 2 2 4 2 7 5 2" xfId="34859"/>
    <cellStyle name="Normal 5 2 2 4 2 7 6" xfId="34855"/>
    <cellStyle name="Normal 5 2 2 4 2 8" xfId="18431"/>
    <cellStyle name="Normal 5 2 2 4 2 8 2" xfId="34860"/>
    <cellStyle name="Normal 5 2 2 4 2 9" xfId="18432"/>
    <cellStyle name="Normal 5 2 2 4 2 9 2" xfId="34861"/>
    <cellStyle name="Normal 5 2 2 4 20" xfId="18433"/>
    <cellStyle name="Normal 5 2 2 4 20 2" xfId="34862"/>
    <cellStyle name="Normal 5 2 2 4 21" xfId="34788"/>
    <cellStyle name="Normal 5 2 2 4 3" xfId="18434"/>
    <cellStyle name="Normal 5 2 2 4 3 2" xfId="18435"/>
    <cellStyle name="Normal 5 2 2 4 3 2 2" xfId="18436"/>
    <cellStyle name="Normal 5 2 2 4 3 2 2 2" xfId="34865"/>
    <cellStyle name="Normal 5 2 2 4 3 2 3" xfId="18437"/>
    <cellStyle name="Normal 5 2 2 4 3 2 3 2" xfId="34866"/>
    <cellStyle name="Normal 5 2 2 4 3 2 4" xfId="18438"/>
    <cellStyle name="Normal 5 2 2 4 3 2 4 2" xfId="34867"/>
    <cellStyle name="Normal 5 2 2 4 3 2 5" xfId="18439"/>
    <cellStyle name="Normal 5 2 2 4 3 2 5 2" xfId="34868"/>
    <cellStyle name="Normal 5 2 2 4 3 2 6" xfId="34864"/>
    <cellStyle name="Normal 5 2 2 4 3 3" xfId="18440"/>
    <cellStyle name="Normal 5 2 2 4 3 3 2" xfId="34869"/>
    <cellStyle name="Normal 5 2 2 4 3 4" xfId="18441"/>
    <cellStyle name="Normal 5 2 2 4 3 4 2" xfId="34870"/>
    <cellStyle name="Normal 5 2 2 4 3 5" xfId="18442"/>
    <cellStyle name="Normal 5 2 2 4 3 5 2" xfId="34871"/>
    <cellStyle name="Normal 5 2 2 4 3 6" xfId="18443"/>
    <cellStyle name="Normal 5 2 2 4 3 6 2" xfId="34872"/>
    <cellStyle name="Normal 5 2 2 4 3 7" xfId="34863"/>
    <cellStyle name="Normal 5 2 2 4 4" xfId="18444"/>
    <cellStyle name="Normal 5 2 2 4 4 2" xfId="18445"/>
    <cellStyle name="Normal 5 2 2 4 4 2 2" xfId="18446"/>
    <cellStyle name="Normal 5 2 2 4 4 2 2 2" xfId="34875"/>
    <cellStyle name="Normal 5 2 2 4 4 2 3" xfId="18447"/>
    <cellStyle name="Normal 5 2 2 4 4 2 3 2" xfId="34876"/>
    <cellStyle name="Normal 5 2 2 4 4 2 4" xfId="18448"/>
    <cellStyle name="Normal 5 2 2 4 4 2 4 2" xfId="34877"/>
    <cellStyle name="Normal 5 2 2 4 4 2 5" xfId="18449"/>
    <cellStyle name="Normal 5 2 2 4 4 2 5 2" xfId="34878"/>
    <cellStyle name="Normal 5 2 2 4 4 2 6" xfId="34874"/>
    <cellStyle name="Normal 5 2 2 4 4 3" xfId="18450"/>
    <cellStyle name="Normal 5 2 2 4 4 3 2" xfId="34879"/>
    <cellStyle name="Normal 5 2 2 4 4 4" xfId="18451"/>
    <cellStyle name="Normal 5 2 2 4 4 4 2" xfId="34880"/>
    <cellStyle name="Normal 5 2 2 4 4 5" xfId="18452"/>
    <cellStyle name="Normal 5 2 2 4 4 5 2" xfId="34881"/>
    <cellStyle name="Normal 5 2 2 4 4 6" xfId="18453"/>
    <cellStyle name="Normal 5 2 2 4 4 6 2" xfId="34882"/>
    <cellStyle name="Normal 5 2 2 4 4 7" xfId="34873"/>
    <cellStyle name="Normal 5 2 2 4 5" xfId="18454"/>
    <cellStyle name="Normal 5 2 2 4 5 2" xfId="18455"/>
    <cellStyle name="Normal 5 2 2 4 5 2 2" xfId="34884"/>
    <cellStyle name="Normal 5 2 2 4 5 3" xfId="18456"/>
    <cellStyle name="Normal 5 2 2 4 5 3 2" xfId="34885"/>
    <cellStyle name="Normal 5 2 2 4 5 4" xfId="18457"/>
    <cellStyle name="Normal 5 2 2 4 5 4 2" xfId="34886"/>
    <cellStyle name="Normal 5 2 2 4 5 5" xfId="18458"/>
    <cellStyle name="Normal 5 2 2 4 5 5 2" xfId="34887"/>
    <cellStyle name="Normal 5 2 2 4 5 6" xfId="34883"/>
    <cellStyle name="Normal 5 2 2 4 6" xfId="18459"/>
    <cellStyle name="Normal 5 2 2 4 6 2" xfId="18460"/>
    <cellStyle name="Normal 5 2 2 4 6 2 2" xfId="34889"/>
    <cellStyle name="Normal 5 2 2 4 6 3" xfId="18461"/>
    <cellStyle name="Normal 5 2 2 4 6 3 2" xfId="34890"/>
    <cellStyle name="Normal 5 2 2 4 6 4" xfId="18462"/>
    <cellStyle name="Normal 5 2 2 4 6 4 2" xfId="34891"/>
    <cellStyle name="Normal 5 2 2 4 6 5" xfId="18463"/>
    <cellStyle name="Normal 5 2 2 4 6 5 2" xfId="34892"/>
    <cellStyle name="Normal 5 2 2 4 6 6" xfId="34888"/>
    <cellStyle name="Normal 5 2 2 4 7" xfId="18464"/>
    <cellStyle name="Normal 5 2 2 4 7 2" xfId="18465"/>
    <cellStyle name="Normal 5 2 2 4 7 2 2" xfId="34894"/>
    <cellStyle name="Normal 5 2 2 4 7 3" xfId="18466"/>
    <cellStyle name="Normal 5 2 2 4 7 3 2" xfId="34895"/>
    <cellStyle name="Normal 5 2 2 4 7 4" xfId="18467"/>
    <cellStyle name="Normal 5 2 2 4 7 4 2" xfId="34896"/>
    <cellStyle name="Normal 5 2 2 4 7 5" xfId="18468"/>
    <cellStyle name="Normal 5 2 2 4 7 5 2" xfId="34897"/>
    <cellStyle name="Normal 5 2 2 4 7 6" xfId="34893"/>
    <cellStyle name="Normal 5 2 2 4 8" xfId="18469"/>
    <cellStyle name="Normal 5 2 2 4 8 2" xfId="18470"/>
    <cellStyle name="Normal 5 2 2 4 8 2 2" xfId="34899"/>
    <cellStyle name="Normal 5 2 2 4 8 3" xfId="18471"/>
    <cellStyle name="Normal 5 2 2 4 8 3 2" xfId="34900"/>
    <cellStyle name="Normal 5 2 2 4 8 4" xfId="18472"/>
    <cellStyle name="Normal 5 2 2 4 8 4 2" xfId="34901"/>
    <cellStyle name="Normal 5 2 2 4 8 5" xfId="18473"/>
    <cellStyle name="Normal 5 2 2 4 8 5 2" xfId="34902"/>
    <cellStyle name="Normal 5 2 2 4 8 6" xfId="34898"/>
    <cellStyle name="Normal 5 2 2 4 9" xfId="18474"/>
    <cellStyle name="Normal 5 2 2 4 9 2" xfId="18475"/>
    <cellStyle name="Normal 5 2 2 4 9 2 2" xfId="34904"/>
    <cellStyle name="Normal 5 2 2 4 9 3" xfId="18476"/>
    <cellStyle name="Normal 5 2 2 4 9 3 2" xfId="34905"/>
    <cellStyle name="Normal 5 2 2 4 9 4" xfId="18477"/>
    <cellStyle name="Normal 5 2 2 4 9 4 2" xfId="34906"/>
    <cellStyle name="Normal 5 2 2 4 9 5" xfId="18478"/>
    <cellStyle name="Normal 5 2 2 4 9 5 2" xfId="34907"/>
    <cellStyle name="Normal 5 2 2 4 9 6" xfId="34903"/>
    <cellStyle name="Normal 5 2 2 5" xfId="18479"/>
    <cellStyle name="Normal 5 2 2 5 10" xfId="18480"/>
    <cellStyle name="Normal 5 2 2 5 10 2" xfId="34909"/>
    <cellStyle name="Normal 5 2 2 5 11" xfId="18481"/>
    <cellStyle name="Normal 5 2 2 5 11 2" xfId="34910"/>
    <cellStyle name="Normal 5 2 2 5 12" xfId="34908"/>
    <cellStyle name="Normal 5 2 2 5 2" xfId="18482"/>
    <cellStyle name="Normal 5 2 2 5 2 2" xfId="18483"/>
    <cellStyle name="Normal 5 2 2 5 2 2 2" xfId="34912"/>
    <cellStyle name="Normal 5 2 2 5 2 3" xfId="18484"/>
    <cellStyle name="Normal 5 2 2 5 2 3 2" xfId="34913"/>
    <cellStyle name="Normal 5 2 2 5 2 4" xfId="18485"/>
    <cellStyle name="Normal 5 2 2 5 2 4 2" xfId="34914"/>
    <cellStyle name="Normal 5 2 2 5 2 5" xfId="18486"/>
    <cellStyle name="Normal 5 2 2 5 2 5 2" xfId="34915"/>
    <cellStyle name="Normal 5 2 2 5 2 6" xfId="34911"/>
    <cellStyle name="Normal 5 2 2 5 3" xfId="18487"/>
    <cellStyle name="Normal 5 2 2 5 3 2" xfId="18488"/>
    <cellStyle name="Normal 5 2 2 5 3 2 2" xfId="34917"/>
    <cellStyle name="Normal 5 2 2 5 3 3" xfId="18489"/>
    <cellStyle name="Normal 5 2 2 5 3 3 2" xfId="34918"/>
    <cellStyle name="Normal 5 2 2 5 3 4" xfId="18490"/>
    <cellStyle name="Normal 5 2 2 5 3 4 2" xfId="34919"/>
    <cellStyle name="Normal 5 2 2 5 3 5" xfId="18491"/>
    <cellStyle name="Normal 5 2 2 5 3 5 2" xfId="34920"/>
    <cellStyle name="Normal 5 2 2 5 3 6" xfId="34916"/>
    <cellStyle name="Normal 5 2 2 5 4" xfId="18492"/>
    <cellStyle name="Normal 5 2 2 5 4 2" xfId="18493"/>
    <cellStyle name="Normal 5 2 2 5 4 2 2" xfId="34922"/>
    <cellStyle name="Normal 5 2 2 5 4 3" xfId="18494"/>
    <cellStyle name="Normal 5 2 2 5 4 3 2" xfId="34923"/>
    <cellStyle name="Normal 5 2 2 5 4 4" xfId="18495"/>
    <cellStyle name="Normal 5 2 2 5 4 4 2" xfId="34924"/>
    <cellStyle name="Normal 5 2 2 5 4 5" xfId="18496"/>
    <cellStyle name="Normal 5 2 2 5 4 5 2" xfId="34925"/>
    <cellStyle name="Normal 5 2 2 5 4 6" xfId="34921"/>
    <cellStyle name="Normal 5 2 2 5 5" xfId="18497"/>
    <cellStyle name="Normal 5 2 2 5 5 2" xfId="18498"/>
    <cellStyle name="Normal 5 2 2 5 5 2 2" xfId="34927"/>
    <cellStyle name="Normal 5 2 2 5 5 3" xfId="18499"/>
    <cellStyle name="Normal 5 2 2 5 5 3 2" xfId="34928"/>
    <cellStyle name="Normal 5 2 2 5 5 4" xfId="18500"/>
    <cellStyle name="Normal 5 2 2 5 5 4 2" xfId="34929"/>
    <cellStyle name="Normal 5 2 2 5 5 5" xfId="18501"/>
    <cellStyle name="Normal 5 2 2 5 5 5 2" xfId="34930"/>
    <cellStyle name="Normal 5 2 2 5 5 6" xfId="34926"/>
    <cellStyle name="Normal 5 2 2 5 6" xfId="18502"/>
    <cellStyle name="Normal 5 2 2 5 6 2" xfId="18503"/>
    <cellStyle name="Normal 5 2 2 5 6 2 2" xfId="34932"/>
    <cellStyle name="Normal 5 2 2 5 6 3" xfId="18504"/>
    <cellStyle name="Normal 5 2 2 5 6 3 2" xfId="34933"/>
    <cellStyle name="Normal 5 2 2 5 6 4" xfId="18505"/>
    <cellStyle name="Normal 5 2 2 5 6 4 2" xfId="34934"/>
    <cellStyle name="Normal 5 2 2 5 6 5" xfId="18506"/>
    <cellStyle name="Normal 5 2 2 5 6 5 2" xfId="34935"/>
    <cellStyle name="Normal 5 2 2 5 6 6" xfId="34931"/>
    <cellStyle name="Normal 5 2 2 5 7" xfId="18507"/>
    <cellStyle name="Normal 5 2 2 5 7 2" xfId="18508"/>
    <cellStyle name="Normal 5 2 2 5 7 2 2" xfId="34937"/>
    <cellStyle name="Normal 5 2 2 5 7 3" xfId="18509"/>
    <cellStyle name="Normal 5 2 2 5 7 3 2" xfId="34938"/>
    <cellStyle name="Normal 5 2 2 5 7 4" xfId="18510"/>
    <cellStyle name="Normal 5 2 2 5 7 4 2" xfId="34939"/>
    <cellStyle name="Normal 5 2 2 5 7 5" xfId="18511"/>
    <cellStyle name="Normal 5 2 2 5 7 5 2" xfId="34940"/>
    <cellStyle name="Normal 5 2 2 5 7 6" xfId="34936"/>
    <cellStyle name="Normal 5 2 2 5 8" xfId="18512"/>
    <cellStyle name="Normal 5 2 2 5 8 2" xfId="34941"/>
    <cellStyle name="Normal 5 2 2 5 9" xfId="18513"/>
    <cellStyle name="Normal 5 2 2 5 9 2" xfId="34942"/>
    <cellStyle name="Normal 5 2 2 6" xfId="18514"/>
    <cellStyle name="Normal 5 2 2 6 2" xfId="18515"/>
    <cellStyle name="Normal 5 2 2 6 2 2" xfId="18516"/>
    <cellStyle name="Normal 5 2 2 6 2 2 2" xfId="34945"/>
    <cellStyle name="Normal 5 2 2 6 2 3" xfId="18517"/>
    <cellStyle name="Normal 5 2 2 6 2 3 2" xfId="34946"/>
    <cellStyle name="Normal 5 2 2 6 2 4" xfId="18518"/>
    <cellStyle name="Normal 5 2 2 6 2 4 2" xfId="34947"/>
    <cellStyle name="Normal 5 2 2 6 2 5" xfId="18519"/>
    <cellStyle name="Normal 5 2 2 6 2 5 2" xfId="34948"/>
    <cellStyle name="Normal 5 2 2 6 2 6" xfId="34944"/>
    <cellStyle name="Normal 5 2 2 6 3" xfId="18520"/>
    <cellStyle name="Normal 5 2 2 6 3 2" xfId="34949"/>
    <cellStyle name="Normal 5 2 2 6 4" xfId="18521"/>
    <cellStyle name="Normal 5 2 2 6 4 2" xfId="34950"/>
    <cellStyle name="Normal 5 2 2 6 5" xfId="18522"/>
    <cellStyle name="Normal 5 2 2 6 5 2" xfId="34951"/>
    <cellStyle name="Normal 5 2 2 6 6" xfId="18523"/>
    <cellStyle name="Normal 5 2 2 6 6 2" xfId="34952"/>
    <cellStyle name="Normal 5 2 2 6 7" xfId="34943"/>
    <cellStyle name="Normal 5 2 2 7" xfId="18524"/>
    <cellStyle name="Normal 5 2 2 7 2" xfId="18525"/>
    <cellStyle name="Normal 5 2 2 7 2 2" xfId="18526"/>
    <cellStyle name="Normal 5 2 2 7 2 2 2" xfId="34955"/>
    <cellStyle name="Normal 5 2 2 7 2 3" xfId="18527"/>
    <cellStyle name="Normal 5 2 2 7 2 3 2" xfId="34956"/>
    <cellStyle name="Normal 5 2 2 7 2 4" xfId="18528"/>
    <cellStyle name="Normal 5 2 2 7 2 4 2" xfId="34957"/>
    <cellStyle name="Normal 5 2 2 7 2 5" xfId="18529"/>
    <cellStyle name="Normal 5 2 2 7 2 5 2" xfId="34958"/>
    <cellStyle name="Normal 5 2 2 7 2 6" xfId="34954"/>
    <cellStyle name="Normal 5 2 2 7 3" xfId="18530"/>
    <cellStyle name="Normal 5 2 2 7 3 2" xfId="34959"/>
    <cellStyle name="Normal 5 2 2 7 4" xfId="18531"/>
    <cellStyle name="Normal 5 2 2 7 4 2" xfId="34960"/>
    <cellStyle name="Normal 5 2 2 7 5" xfId="18532"/>
    <cellStyle name="Normal 5 2 2 7 5 2" xfId="34961"/>
    <cellStyle name="Normal 5 2 2 7 6" xfId="18533"/>
    <cellStyle name="Normal 5 2 2 7 6 2" xfId="34962"/>
    <cellStyle name="Normal 5 2 2 7 7" xfId="34953"/>
    <cellStyle name="Normal 5 2 2 8" xfId="18534"/>
    <cellStyle name="Normal 5 2 2 8 2" xfId="18535"/>
    <cellStyle name="Normal 5 2 2 8 2 2" xfId="34964"/>
    <cellStyle name="Normal 5 2 2 8 3" xfId="18536"/>
    <cellStyle name="Normal 5 2 2 8 3 2" xfId="34965"/>
    <cellStyle name="Normal 5 2 2 8 4" xfId="18537"/>
    <cellStyle name="Normal 5 2 2 8 4 2" xfId="34966"/>
    <cellStyle name="Normal 5 2 2 8 5" xfId="18538"/>
    <cellStyle name="Normal 5 2 2 8 5 2" xfId="34967"/>
    <cellStyle name="Normal 5 2 2 8 6" xfId="34963"/>
    <cellStyle name="Normal 5 2 2 9" xfId="18539"/>
    <cellStyle name="Normal 5 2 2 9 2" xfId="18540"/>
    <cellStyle name="Normal 5 2 2 9 2 2" xfId="34969"/>
    <cellStyle name="Normal 5 2 2 9 3" xfId="18541"/>
    <cellStyle name="Normal 5 2 2 9 3 2" xfId="34970"/>
    <cellStyle name="Normal 5 2 2 9 4" xfId="18542"/>
    <cellStyle name="Normal 5 2 2 9 4 2" xfId="34971"/>
    <cellStyle name="Normal 5 2 2 9 5" xfId="18543"/>
    <cellStyle name="Normal 5 2 2 9 5 2" xfId="34972"/>
    <cellStyle name="Normal 5 2 2 9 6" xfId="34968"/>
    <cellStyle name="Normal 5 2 20" xfId="18544"/>
    <cellStyle name="Normal 5 2 20 2" xfId="18545"/>
    <cellStyle name="Normal 5 2 20 2 2" xfId="34974"/>
    <cellStyle name="Normal 5 2 20 3" xfId="18546"/>
    <cellStyle name="Normal 5 2 20 3 2" xfId="34975"/>
    <cellStyle name="Normal 5 2 20 4" xfId="18547"/>
    <cellStyle name="Normal 5 2 20 4 2" xfId="34976"/>
    <cellStyle name="Normal 5 2 20 5" xfId="18548"/>
    <cellStyle name="Normal 5 2 20 5 2" xfId="34977"/>
    <cellStyle name="Normal 5 2 20 6" xfId="34973"/>
    <cellStyle name="Normal 5 2 21" xfId="18549"/>
    <cellStyle name="Normal 5 2 21 2" xfId="18550"/>
    <cellStyle name="Normal 5 2 21 2 2" xfId="34979"/>
    <cellStyle name="Normal 5 2 21 3" xfId="18551"/>
    <cellStyle name="Normal 5 2 21 3 2" xfId="34980"/>
    <cellStyle name="Normal 5 2 21 4" xfId="18552"/>
    <cellStyle name="Normal 5 2 21 4 2" xfId="34981"/>
    <cellStyle name="Normal 5 2 21 5" xfId="18553"/>
    <cellStyle name="Normal 5 2 21 5 2" xfId="34982"/>
    <cellStyle name="Normal 5 2 21 6" xfId="34978"/>
    <cellStyle name="Normal 5 2 22" xfId="18554"/>
    <cellStyle name="Normal 5 2 22 2" xfId="18555"/>
    <cellStyle name="Normal 5 2 22 2 2" xfId="34984"/>
    <cellStyle name="Normal 5 2 22 3" xfId="18556"/>
    <cellStyle name="Normal 5 2 22 3 2" xfId="34985"/>
    <cellStyle name="Normal 5 2 22 4" xfId="18557"/>
    <cellStyle name="Normal 5 2 22 4 2" xfId="34986"/>
    <cellStyle name="Normal 5 2 22 5" xfId="18558"/>
    <cellStyle name="Normal 5 2 22 5 2" xfId="34987"/>
    <cellStyle name="Normal 5 2 22 6" xfId="34983"/>
    <cellStyle name="Normal 5 2 23" xfId="18559"/>
    <cellStyle name="Normal 5 2 23 2" xfId="18560"/>
    <cellStyle name="Normal 5 2 23 2 2" xfId="34989"/>
    <cellStyle name="Normal 5 2 23 3" xfId="18561"/>
    <cellStyle name="Normal 5 2 23 3 2" xfId="34990"/>
    <cellStyle name="Normal 5 2 23 4" xfId="18562"/>
    <cellStyle name="Normal 5 2 23 4 2" xfId="34991"/>
    <cellStyle name="Normal 5 2 23 5" xfId="18563"/>
    <cellStyle name="Normal 5 2 23 5 2" xfId="34992"/>
    <cellStyle name="Normal 5 2 23 6" xfId="34988"/>
    <cellStyle name="Normal 5 2 24" xfId="18564"/>
    <cellStyle name="Normal 5 2 24 2" xfId="18565"/>
    <cellStyle name="Normal 5 2 24 2 2" xfId="34994"/>
    <cellStyle name="Normal 5 2 24 3" xfId="18566"/>
    <cellStyle name="Normal 5 2 24 3 2" xfId="34995"/>
    <cellStyle name="Normal 5 2 24 4" xfId="18567"/>
    <cellStyle name="Normal 5 2 24 4 2" xfId="34996"/>
    <cellStyle name="Normal 5 2 24 5" xfId="18568"/>
    <cellStyle name="Normal 5 2 24 5 2" xfId="34997"/>
    <cellStyle name="Normal 5 2 24 6" xfId="34993"/>
    <cellStyle name="Normal 5 2 25" xfId="18569"/>
    <cellStyle name="Normal 5 2 25 2" xfId="34998"/>
    <cellStyle name="Normal 5 2 26" xfId="18570"/>
    <cellStyle name="Normal 5 2 26 2" xfId="34999"/>
    <cellStyle name="Normal 5 2 27" xfId="18571"/>
    <cellStyle name="Normal 5 2 27 2" xfId="35000"/>
    <cellStyle name="Normal 5 2 28" xfId="18572"/>
    <cellStyle name="Normal 5 2 28 2" xfId="35001"/>
    <cellStyle name="Normal 5 2 29" xfId="18573"/>
    <cellStyle name="Normal 5 2 29 2" xfId="35002"/>
    <cellStyle name="Normal 5 2 3" xfId="18574"/>
    <cellStyle name="Normal 5 2 3 10" xfId="18575"/>
    <cellStyle name="Normal 5 2 3 10 2" xfId="18576"/>
    <cellStyle name="Normal 5 2 3 10 2 2" xfId="35005"/>
    <cellStyle name="Normal 5 2 3 10 3" xfId="18577"/>
    <cellStyle name="Normal 5 2 3 10 3 2" xfId="35006"/>
    <cellStyle name="Normal 5 2 3 10 4" xfId="18578"/>
    <cellStyle name="Normal 5 2 3 10 4 2" xfId="35007"/>
    <cellStyle name="Normal 5 2 3 10 5" xfId="18579"/>
    <cellStyle name="Normal 5 2 3 10 5 2" xfId="35008"/>
    <cellStyle name="Normal 5 2 3 10 6" xfId="35004"/>
    <cellStyle name="Normal 5 2 3 11" xfId="18580"/>
    <cellStyle name="Normal 5 2 3 11 2" xfId="18581"/>
    <cellStyle name="Normal 5 2 3 11 2 2" xfId="35010"/>
    <cellStyle name="Normal 5 2 3 11 3" xfId="18582"/>
    <cellStyle name="Normal 5 2 3 11 3 2" xfId="35011"/>
    <cellStyle name="Normal 5 2 3 11 4" xfId="18583"/>
    <cellStyle name="Normal 5 2 3 11 4 2" xfId="35012"/>
    <cellStyle name="Normal 5 2 3 11 5" xfId="18584"/>
    <cellStyle name="Normal 5 2 3 11 5 2" xfId="35013"/>
    <cellStyle name="Normal 5 2 3 11 6" xfId="35009"/>
    <cellStyle name="Normal 5 2 3 12" xfId="18585"/>
    <cellStyle name="Normal 5 2 3 12 2" xfId="18586"/>
    <cellStyle name="Normal 5 2 3 12 2 2" xfId="35015"/>
    <cellStyle name="Normal 5 2 3 12 3" xfId="18587"/>
    <cellStyle name="Normal 5 2 3 12 3 2" xfId="35016"/>
    <cellStyle name="Normal 5 2 3 12 4" xfId="18588"/>
    <cellStyle name="Normal 5 2 3 12 4 2" xfId="35017"/>
    <cellStyle name="Normal 5 2 3 12 5" xfId="18589"/>
    <cellStyle name="Normal 5 2 3 12 5 2" xfId="35018"/>
    <cellStyle name="Normal 5 2 3 12 6" xfId="35014"/>
    <cellStyle name="Normal 5 2 3 13" xfId="18590"/>
    <cellStyle name="Normal 5 2 3 13 2" xfId="18591"/>
    <cellStyle name="Normal 5 2 3 13 2 2" xfId="35020"/>
    <cellStyle name="Normal 5 2 3 13 3" xfId="18592"/>
    <cellStyle name="Normal 5 2 3 13 3 2" xfId="35021"/>
    <cellStyle name="Normal 5 2 3 13 4" xfId="18593"/>
    <cellStyle name="Normal 5 2 3 13 4 2" xfId="35022"/>
    <cellStyle name="Normal 5 2 3 13 5" xfId="18594"/>
    <cellStyle name="Normal 5 2 3 13 5 2" xfId="35023"/>
    <cellStyle name="Normal 5 2 3 13 6" xfId="35019"/>
    <cellStyle name="Normal 5 2 3 14" xfId="18595"/>
    <cellStyle name="Normal 5 2 3 14 2" xfId="18596"/>
    <cellStyle name="Normal 5 2 3 14 2 2" xfId="35025"/>
    <cellStyle name="Normal 5 2 3 14 3" xfId="18597"/>
    <cellStyle name="Normal 5 2 3 14 3 2" xfId="35026"/>
    <cellStyle name="Normal 5 2 3 14 4" xfId="18598"/>
    <cellStyle name="Normal 5 2 3 14 4 2" xfId="35027"/>
    <cellStyle name="Normal 5 2 3 14 5" xfId="18599"/>
    <cellStyle name="Normal 5 2 3 14 5 2" xfId="35028"/>
    <cellStyle name="Normal 5 2 3 14 6" xfId="35024"/>
    <cellStyle name="Normal 5 2 3 15" xfId="18600"/>
    <cellStyle name="Normal 5 2 3 15 2" xfId="18601"/>
    <cellStyle name="Normal 5 2 3 15 2 2" xfId="35030"/>
    <cellStyle name="Normal 5 2 3 15 3" xfId="18602"/>
    <cellStyle name="Normal 5 2 3 15 3 2" xfId="35031"/>
    <cellStyle name="Normal 5 2 3 15 4" xfId="18603"/>
    <cellStyle name="Normal 5 2 3 15 4 2" xfId="35032"/>
    <cellStyle name="Normal 5 2 3 15 5" xfId="18604"/>
    <cellStyle name="Normal 5 2 3 15 5 2" xfId="35033"/>
    <cellStyle name="Normal 5 2 3 15 6" xfId="35029"/>
    <cellStyle name="Normal 5 2 3 16" xfId="18605"/>
    <cellStyle name="Normal 5 2 3 16 2" xfId="18606"/>
    <cellStyle name="Normal 5 2 3 16 2 2" xfId="35035"/>
    <cellStyle name="Normal 5 2 3 16 3" xfId="18607"/>
    <cellStyle name="Normal 5 2 3 16 3 2" xfId="35036"/>
    <cellStyle name="Normal 5 2 3 16 4" xfId="18608"/>
    <cellStyle name="Normal 5 2 3 16 4 2" xfId="35037"/>
    <cellStyle name="Normal 5 2 3 16 5" xfId="18609"/>
    <cellStyle name="Normal 5 2 3 16 5 2" xfId="35038"/>
    <cellStyle name="Normal 5 2 3 16 6" xfId="35034"/>
    <cellStyle name="Normal 5 2 3 17" xfId="18610"/>
    <cellStyle name="Normal 5 2 3 17 2" xfId="35039"/>
    <cellStyle name="Normal 5 2 3 18" xfId="18611"/>
    <cellStyle name="Normal 5 2 3 18 2" xfId="35040"/>
    <cellStyle name="Normal 5 2 3 19" xfId="18612"/>
    <cellStyle name="Normal 5 2 3 19 2" xfId="35041"/>
    <cellStyle name="Normal 5 2 3 2" xfId="18613"/>
    <cellStyle name="Normal 5 2 3 2 10" xfId="18614"/>
    <cellStyle name="Normal 5 2 3 2 10 2" xfId="35043"/>
    <cellStyle name="Normal 5 2 3 2 11" xfId="18615"/>
    <cellStyle name="Normal 5 2 3 2 11 2" xfId="35044"/>
    <cellStyle name="Normal 5 2 3 2 12" xfId="35042"/>
    <cellStyle name="Normal 5 2 3 2 2" xfId="18616"/>
    <cellStyle name="Normal 5 2 3 2 2 2" xfId="18617"/>
    <cellStyle name="Normal 5 2 3 2 2 2 2" xfId="35046"/>
    <cellStyle name="Normal 5 2 3 2 2 3" xfId="18618"/>
    <cellStyle name="Normal 5 2 3 2 2 3 2" xfId="35047"/>
    <cellStyle name="Normal 5 2 3 2 2 4" xfId="18619"/>
    <cellStyle name="Normal 5 2 3 2 2 4 2" xfId="35048"/>
    <cellStyle name="Normal 5 2 3 2 2 5" xfId="18620"/>
    <cellStyle name="Normal 5 2 3 2 2 5 2" xfId="35049"/>
    <cellStyle name="Normal 5 2 3 2 2 6" xfId="35045"/>
    <cellStyle name="Normal 5 2 3 2 3" xfId="18621"/>
    <cellStyle name="Normal 5 2 3 2 3 2" xfId="18622"/>
    <cellStyle name="Normal 5 2 3 2 3 2 2" xfId="35051"/>
    <cellStyle name="Normal 5 2 3 2 3 3" xfId="18623"/>
    <cellStyle name="Normal 5 2 3 2 3 3 2" xfId="35052"/>
    <cellStyle name="Normal 5 2 3 2 3 4" xfId="18624"/>
    <cellStyle name="Normal 5 2 3 2 3 4 2" xfId="35053"/>
    <cellStyle name="Normal 5 2 3 2 3 5" xfId="18625"/>
    <cellStyle name="Normal 5 2 3 2 3 5 2" xfId="35054"/>
    <cellStyle name="Normal 5 2 3 2 3 6" xfId="35050"/>
    <cellStyle name="Normal 5 2 3 2 4" xfId="18626"/>
    <cellStyle name="Normal 5 2 3 2 4 2" xfId="18627"/>
    <cellStyle name="Normal 5 2 3 2 4 2 2" xfId="35056"/>
    <cellStyle name="Normal 5 2 3 2 4 3" xfId="18628"/>
    <cellStyle name="Normal 5 2 3 2 4 3 2" xfId="35057"/>
    <cellStyle name="Normal 5 2 3 2 4 4" xfId="18629"/>
    <cellStyle name="Normal 5 2 3 2 4 4 2" xfId="35058"/>
    <cellStyle name="Normal 5 2 3 2 4 5" xfId="18630"/>
    <cellStyle name="Normal 5 2 3 2 4 5 2" xfId="35059"/>
    <cellStyle name="Normal 5 2 3 2 4 6" xfId="35055"/>
    <cellStyle name="Normal 5 2 3 2 5" xfId="18631"/>
    <cellStyle name="Normal 5 2 3 2 5 2" xfId="18632"/>
    <cellStyle name="Normal 5 2 3 2 5 2 2" xfId="35061"/>
    <cellStyle name="Normal 5 2 3 2 5 3" xfId="18633"/>
    <cellStyle name="Normal 5 2 3 2 5 3 2" xfId="35062"/>
    <cellStyle name="Normal 5 2 3 2 5 4" xfId="18634"/>
    <cellStyle name="Normal 5 2 3 2 5 4 2" xfId="35063"/>
    <cellStyle name="Normal 5 2 3 2 5 5" xfId="18635"/>
    <cellStyle name="Normal 5 2 3 2 5 5 2" xfId="35064"/>
    <cellStyle name="Normal 5 2 3 2 5 6" xfId="35060"/>
    <cellStyle name="Normal 5 2 3 2 6" xfId="18636"/>
    <cellStyle name="Normal 5 2 3 2 6 2" xfId="18637"/>
    <cellStyle name="Normal 5 2 3 2 6 2 2" xfId="35066"/>
    <cellStyle name="Normal 5 2 3 2 6 3" xfId="18638"/>
    <cellStyle name="Normal 5 2 3 2 6 3 2" xfId="35067"/>
    <cellStyle name="Normal 5 2 3 2 6 4" xfId="18639"/>
    <cellStyle name="Normal 5 2 3 2 6 4 2" xfId="35068"/>
    <cellStyle name="Normal 5 2 3 2 6 5" xfId="18640"/>
    <cellStyle name="Normal 5 2 3 2 6 5 2" xfId="35069"/>
    <cellStyle name="Normal 5 2 3 2 6 6" xfId="35065"/>
    <cellStyle name="Normal 5 2 3 2 7" xfId="18641"/>
    <cellStyle name="Normal 5 2 3 2 7 2" xfId="18642"/>
    <cellStyle name="Normal 5 2 3 2 7 2 2" xfId="35071"/>
    <cellStyle name="Normal 5 2 3 2 7 3" xfId="18643"/>
    <cellStyle name="Normal 5 2 3 2 7 3 2" xfId="35072"/>
    <cellStyle name="Normal 5 2 3 2 7 4" xfId="18644"/>
    <cellStyle name="Normal 5 2 3 2 7 4 2" xfId="35073"/>
    <cellStyle name="Normal 5 2 3 2 7 5" xfId="18645"/>
    <cellStyle name="Normal 5 2 3 2 7 5 2" xfId="35074"/>
    <cellStyle name="Normal 5 2 3 2 7 6" xfId="35070"/>
    <cellStyle name="Normal 5 2 3 2 8" xfId="18646"/>
    <cellStyle name="Normal 5 2 3 2 8 2" xfId="35075"/>
    <cellStyle name="Normal 5 2 3 2 9" xfId="18647"/>
    <cellStyle name="Normal 5 2 3 2 9 2" xfId="35076"/>
    <cellStyle name="Normal 5 2 3 20" xfId="18648"/>
    <cellStyle name="Normal 5 2 3 20 2" xfId="35077"/>
    <cellStyle name="Normal 5 2 3 21" xfId="40729"/>
    <cellStyle name="Normal 5 2 3 22" xfId="35003"/>
    <cellStyle name="Normal 5 2 3 3" xfId="18649"/>
    <cellStyle name="Normal 5 2 3 3 2" xfId="18650"/>
    <cellStyle name="Normal 5 2 3 3 2 2" xfId="18651"/>
    <cellStyle name="Normal 5 2 3 3 2 2 2" xfId="35080"/>
    <cellStyle name="Normal 5 2 3 3 2 3" xfId="18652"/>
    <cellStyle name="Normal 5 2 3 3 2 3 2" xfId="35081"/>
    <cellStyle name="Normal 5 2 3 3 2 4" xfId="18653"/>
    <cellStyle name="Normal 5 2 3 3 2 4 2" xfId="35082"/>
    <cellStyle name="Normal 5 2 3 3 2 5" xfId="18654"/>
    <cellStyle name="Normal 5 2 3 3 2 5 2" xfId="35083"/>
    <cellStyle name="Normal 5 2 3 3 2 6" xfId="35079"/>
    <cellStyle name="Normal 5 2 3 3 3" xfId="18655"/>
    <cellStyle name="Normal 5 2 3 3 3 2" xfId="35084"/>
    <cellStyle name="Normal 5 2 3 3 4" xfId="18656"/>
    <cellStyle name="Normal 5 2 3 3 4 2" xfId="35085"/>
    <cellStyle name="Normal 5 2 3 3 5" xfId="18657"/>
    <cellStyle name="Normal 5 2 3 3 5 2" xfId="35086"/>
    <cellStyle name="Normal 5 2 3 3 6" xfId="18658"/>
    <cellStyle name="Normal 5 2 3 3 6 2" xfId="35087"/>
    <cellStyle name="Normal 5 2 3 3 7" xfId="35078"/>
    <cellStyle name="Normal 5 2 3 4" xfId="18659"/>
    <cellStyle name="Normal 5 2 3 4 2" xfId="18660"/>
    <cellStyle name="Normal 5 2 3 4 2 2" xfId="18661"/>
    <cellStyle name="Normal 5 2 3 4 2 2 2" xfId="35090"/>
    <cellStyle name="Normal 5 2 3 4 2 3" xfId="18662"/>
    <cellStyle name="Normal 5 2 3 4 2 3 2" xfId="35091"/>
    <cellStyle name="Normal 5 2 3 4 2 4" xfId="18663"/>
    <cellStyle name="Normal 5 2 3 4 2 4 2" xfId="35092"/>
    <cellStyle name="Normal 5 2 3 4 2 5" xfId="18664"/>
    <cellStyle name="Normal 5 2 3 4 2 5 2" xfId="35093"/>
    <cellStyle name="Normal 5 2 3 4 2 6" xfId="35089"/>
    <cellStyle name="Normal 5 2 3 4 3" xfId="18665"/>
    <cellStyle name="Normal 5 2 3 4 3 2" xfId="35094"/>
    <cellStyle name="Normal 5 2 3 4 4" xfId="18666"/>
    <cellStyle name="Normal 5 2 3 4 4 2" xfId="35095"/>
    <cellStyle name="Normal 5 2 3 4 5" xfId="18667"/>
    <cellStyle name="Normal 5 2 3 4 5 2" xfId="35096"/>
    <cellStyle name="Normal 5 2 3 4 6" xfId="18668"/>
    <cellStyle name="Normal 5 2 3 4 6 2" xfId="35097"/>
    <cellStyle name="Normal 5 2 3 4 7" xfId="35088"/>
    <cellStyle name="Normal 5 2 3 5" xfId="18669"/>
    <cellStyle name="Normal 5 2 3 5 2" xfId="18670"/>
    <cellStyle name="Normal 5 2 3 5 2 2" xfId="35099"/>
    <cellStyle name="Normal 5 2 3 5 3" xfId="18671"/>
    <cellStyle name="Normal 5 2 3 5 3 2" xfId="35100"/>
    <cellStyle name="Normal 5 2 3 5 4" xfId="18672"/>
    <cellStyle name="Normal 5 2 3 5 4 2" xfId="35101"/>
    <cellStyle name="Normal 5 2 3 5 5" xfId="18673"/>
    <cellStyle name="Normal 5 2 3 5 5 2" xfId="35102"/>
    <cellStyle name="Normal 5 2 3 5 6" xfId="35098"/>
    <cellStyle name="Normal 5 2 3 6" xfId="18674"/>
    <cellStyle name="Normal 5 2 3 6 2" xfId="18675"/>
    <cellStyle name="Normal 5 2 3 6 2 2" xfId="35104"/>
    <cellStyle name="Normal 5 2 3 6 3" xfId="18676"/>
    <cellStyle name="Normal 5 2 3 6 3 2" xfId="35105"/>
    <cellStyle name="Normal 5 2 3 6 4" xfId="18677"/>
    <cellStyle name="Normal 5 2 3 6 4 2" xfId="35106"/>
    <cellStyle name="Normal 5 2 3 6 5" xfId="18678"/>
    <cellStyle name="Normal 5 2 3 6 5 2" xfId="35107"/>
    <cellStyle name="Normal 5 2 3 6 6" xfId="35103"/>
    <cellStyle name="Normal 5 2 3 7" xfId="18679"/>
    <cellStyle name="Normal 5 2 3 7 2" xfId="18680"/>
    <cellStyle name="Normal 5 2 3 7 2 2" xfId="35109"/>
    <cellStyle name="Normal 5 2 3 7 3" xfId="18681"/>
    <cellStyle name="Normal 5 2 3 7 3 2" xfId="35110"/>
    <cellStyle name="Normal 5 2 3 7 4" xfId="18682"/>
    <cellStyle name="Normal 5 2 3 7 4 2" xfId="35111"/>
    <cellStyle name="Normal 5 2 3 7 5" xfId="18683"/>
    <cellStyle name="Normal 5 2 3 7 5 2" xfId="35112"/>
    <cellStyle name="Normal 5 2 3 7 6" xfId="35108"/>
    <cellStyle name="Normal 5 2 3 8" xfId="18684"/>
    <cellStyle name="Normal 5 2 3 8 2" xfId="18685"/>
    <cellStyle name="Normal 5 2 3 8 2 2" xfId="35114"/>
    <cellStyle name="Normal 5 2 3 8 3" xfId="18686"/>
    <cellStyle name="Normal 5 2 3 8 3 2" xfId="35115"/>
    <cellStyle name="Normal 5 2 3 8 4" xfId="18687"/>
    <cellStyle name="Normal 5 2 3 8 4 2" xfId="35116"/>
    <cellStyle name="Normal 5 2 3 8 5" xfId="18688"/>
    <cellStyle name="Normal 5 2 3 8 5 2" xfId="35117"/>
    <cellStyle name="Normal 5 2 3 8 6" xfId="35113"/>
    <cellStyle name="Normal 5 2 3 9" xfId="18689"/>
    <cellStyle name="Normal 5 2 3 9 2" xfId="18690"/>
    <cellStyle name="Normal 5 2 3 9 2 2" xfId="35119"/>
    <cellStyle name="Normal 5 2 3 9 3" xfId="18691"/>
    <cellStyle name="Normal 5 2 3 9 3 2" xfId="35120"/>
    <cellStyle name="Normal 5 2 3 9 4" xfId="18692"/>
    <cellStyle name="Normal 5 2 3 9 4 2" xfId="35121"/>
    <cellStyle name="Normal 5 2 3 9 5" xfId="18693"/>
    <cellStyle name="Normal 5 2 3 9 5 2" xfId="35122"/>
    <cellStyle name="Normal 5 2 3 9 6" xfId="35118"/>
    <cellStyle name="Normal 5 2 30" xfId="40718"/>
    <cellStyle name="Normal 5 2 4" xfId="18694"/>
    <cellStyle name="Normal 5 2 4 10" xfId="18695"/>
    <cellStyle name="Normal 5 2 4 10 2" xfId="18696"/>
    <cellStyle name="Normal 5 2 4 10 2 2" xfId="35125"/>
    <cellStyle name="Normal 5 2 4 10 3" xfId="18697"/>
    <cellStyle name="Normal 5 2 4 10 3 2" xfId="35126"/>
    <cellStyle name="Normal 5 2 4 10 4" xfId="18698"/>
    <cellStyle name="Normal 5 2 4 10 4 2" xfId="35127"/>
    <cellStyle name="Normal 5 2 4 10 5" xfId="18699"/>
    <cellStyle name="Normal 5 2 4 10 5 2" xfId="35128"/>
    <cellStyle name="Normal 5 2 4 10 6" xfId="35124"/>
    <cellStyle name="Normal 5 2 4 11" xfId="18700"/>
    <cellStyle name="Normal 5 2 4 11 2" xfId="18701"/>
    <cellStyle name="Normal 5 2 4 11 2 2" xfId="35130"/>
    <cellStyle name="Normal 5 2 4 11 3" xfId="18702"/>
    <cellStyle name="Normal 5 2 4 11 3 2" xfId="35131"/>
    <cellStyle name="Normal 5 2 4 11 4" xfId="18703"/>
    <cellStyle name="Normal 5 2 4 11 4 2" xfId="35132"/>
    <cellStyle name="Normal 5 2 4 11 5" xfId="18704"/>
    <cellStyle name="Normal 5 2 4 11 5 2" xfId="35133"/>
    <cellStyle name="Normal 5 2 4 11 6" xfId="35129"/>
    <cellStyle name="Normal 5 2 4 12" xfId="18705"/>
    <cellStyle name="Normal 5 2 4 12 2" xfId="18706"/>
    <cellStyle name="Normal 5 2 4 12 2 2" xfId="35135"/>
    <cellStyle name="Normal 5 2 4 12 3" xfId="18707"/>
    <cellStyle name="Normal 5 2 4 12 3 2" xfId="35136"/>
    <cellStyle name="Normal 5 2 4 12 4" xfId="18708"/>
    <cellStyle name="Normal 5 2 4 12 4 2" xfId="35137"/>
    <cellStyle name="Normal 5 2 4 12 5" xfId="18709"/>
    <cellStyle name="Normal 5 2 4 12 5 2" xfId="35138"/>
    <cellStyle name="Normal 5 2 4 12 6" xfId="35134"/>
    <cellStyle name="Normal 5 2 4 13" xfId="18710"/>
    <cellStyle name="Normal 5 2 4 13 2" xfId="18711"/>
    <cellStyle name="Normal 5 2 4 13 2 2" xfId="35140"/>
    <cellStyle name="Normal 5 2 4 13 3" xfId="18712"/>
    <cellStyle name="Normal 5 2 4 13 3 2" xfId="35141"/>
    <cellStyle name="Normal 5 2 4 13 4" xfId="18713"/>
    <cellStyle name="Normal 5 2 4 13 4 2" xfId="35142"/>
    <cellStyle name="Normal 5 2 4 13 5" xfId="18714"/>
    <cellStyle name="Normal 5 2 4 13 5 2" xfId="35143"/>
    <cellStyle name="Normal 5 2 4 13 6" xfId="35139"/>
    <cellStyle name="Normal 5 2 4 14" xfId="18715"/>
    <cellStyle name="Normal 5 2 4 14 2" xfId="18716"/>
    <cellStyle name="Normal 5 2 4 14 2 2" xfId="35145"/>
    <cellStyle name="Normal 5 2 4 14 3" xfId="18717"/>
    <cellStyle name="Normal 5 2 4 14 3 2" xfId="35146"/>
    <cellStyle name="Normal 5 2 4 14 4" xfId="18718"/>
    <cellStyle name="Normal 5 2 4 14 4 2" xfId="35147"/>
    <cellStyle name="Normal 5 2 4 14 5" xfId="18719"/>
    <cellStyle name="Normal 5 2 4 14 5 2" xfId="35148"/>
    <cellStyle name="Normal 5 2 4 14 6" xfId="35144"/>
    <cellStyle name="Normal 5 2 4 15" xfId="18720"/>
    <cellStyle name="Normal 5 2 4 15 2" xfId="18721"/>
    <cellStyle name="Normal 5 2 4 15 2 2" xfId="35150"/>
    <cellStyle name="Normal 5 2 4 15 3" xfId="18722"/>
    <cellStyle name="Normal 5 2 4 15 3 2" xfId="35151"/>
    <cellStyle name="Normal 5 2 4 15 4" xfId="18723"/>
    <cellStyle name="Normal 5 2 4 15 4 2" xfId="35152"/>
    <cellStyle name="Normal 5 2 4 15 5" xfId="18724"/>
    <cellStyle name="Normal 5 2 4 15 5 2" xfId="35153"/>
    <cellStyle name="Normal 5 2 4 15 6" xfId="35149"/>
    <cellStyle name="Normal 5 2 4 16" xfId="18725"/>
    <cellStyle name="Normal 5 2 4 16 2" xfId="18726"/>
    <cellStyle name="Normal 5 2 4 16 2 2" xfId="35155"/>
    <cellStyle name="Normal 5 2 4 16 3" xfId="18727"/>
    <cellStyle name="Normal 5 2 4 16 3 2" xfId="35156"/>
    <cellStyle name="Normal 5 2 4 16 4" xfId="18728"/>
    <cellStyle name="Normal 5 2 4 16 4 2" xfId="35157"/>
    <cellStyle name="Normal 5 2 4 16 5" xfId="18729"/>
    <cellStyle name="Normal 5 2 4 16 5 2" xfId="35158"/>
    <cellStyle name="Normal 5 2 4 16 6" xfId="35154"/>
    <cellStyle name="Normal 5 2 4 17" xfId="18730"/>
    <cellStyle name="Normal 5 2 4 17 2" xfId="35159"/>
    <cellStyle name="Normal 5 2 4 18" xfId="18731"/>
    <cellStyle name="Normal 5 2 4 18 2" xfId="35160"/>
    <cellStyle name="Normal 5 2 4 19" xfId="18732"/>
    <cellStyle name="Normal 5 2 4 19 2" xfId="35161"/>
    <cellStyle name="Normal 5 2 4 2" xfId="18733"/>
    <cellStyle name="Normal 5 2 4 2 10" xfId="18734"/>
    <cellStyle name="Normal 5 2 4 2 10 2" xfId="35163"/>
    <cellStyle name="Normal 5 2 4 2 11" xfId="18735"/>
    <cellStyle name="Normal 5 2 4 2 11 2" xfId="35164"/>
    <cellStyle name="Normal 5 2 4 2 12" xfId="35162"/>
    <cellStyle name="Normal 5 2 4 2 2" xfId="18736"/>
    <cellStyle name="Normal 5 2 4 2 2 2" xfId="18737"/>
    <cellStyle name="Normal 5 2 4 2 2 2 2" xfId="35166"/>
    <cellStyle name="Normal 5 2 4 2 2 3" xfId="18738"/>
    <cellStyle name="Normal 5 2 4 2 2 3 2" xfId="35167"/>
    <cellStyle name="Normal 5 2 4 2 2 4" xfId="18739"/>
    <cellStyle name="Normal 5 2 4 2 2 4 2" xfId="35168"/>
    <cellStyle name="Normal 5 2 4 2 2 5" xfId="18740"/>
    <cellStyle name="Normal 5 2 4 2 2 5 2" xfId="35169"/>
    <cellStyle name="Normal 5 2 4 2 2 6" xfId="35165"/>
    <cellStyle name="Normal 5 2 4 2 3" xfId="18741"/>
    <cellStyle name="Normal 5 2 4 2 3 2" xfId="18742"/>
    <cellStyle name="Normal 5 2 4 2 3 2 2" xfId="35171"/>
    <cellStyle name="Normal 5 2 4 2 3 3" xfId="18743"/>
    <cellStyle name="Normal 5 2 4 2 3 3 2" xfId="35172"/>
    <cellStyle name="Normal 5 2 4 2 3 4" xfId="18744"/>
    <cellStyle name="Normal 5 2 4 2 3 4 2" xfId="35173"/>
    <cellStyle name="Normal 5 2 4 2 3 5" xfId="18745"/>
    <cellStyle name="Normal 5 2 4 2 3 5 2" xfId="35174"/>
    <cellStyle name="Normal 5 2 4 2 3 6" xfId="35170"/>
    <cellStyle name="Normal 5 2 4 2 4" xfId="18746"/>
    <cellStyle name="Normal 5 2 4 2 4 2" xfId="18747"/>
    <cellStyle name="Normal 5 2 4 2 4 2 2" xfId="35176"/>
    <cellStyle name="Normal 5 2 4 2 4 3" xfId="18748"/>
    <cellStyle name="Normal 5 2 4 2 4 3 2" xfId="35177"/>
    <cellStyle name="Normal 5 2 4 2 4 4" xfId="18749"/>
    <cellStyle name="Normal 5 2 4 2 4 4 2" xfId="35178"/>
    <cellStyle name="Normal 5 2 4 2 4 5" xfId="18750"/>
    <cellStyle name="Normal 5 2 4 2 4 5 2" xfId="35179"/>
    <cellStyle name="Normal 5 2 4 2 4 6" xfId="35175"/>
    <cellStyle name="Normal 5 2 4 2 5" xfId="18751"/>
    <cellStyle name="Normal 5 2 4 2 5 2" xfId="18752"/>
    <cellStyle name="Normal 5 2 4 2 5 2 2" xfId="35181"/>
    <cellStyle name="Normal 5 2 4 2 5 3" xfId="18753"/>
    <cellStyle name="Normal 5 2 4 2 5 3 2" xfId="35182"/>
    <cellStyle name="Normal 5 2 4 2 5 4" xfId="18754"/>
    <cellStyle name="Normal 5 2 4 2 5 4 2" xfId="35183"/>
    <cellStyle name="Normal 5 2 4 2 5 5" xfId="18755"/>
    <cellStyle name="Normal 5 2 4 2 5 5 2" xfId="35184"/>
    <cellStyle name="Normal 5 2 4 2 5 6" xfId="35180"/>
    <cellStyle name="Normal 5 2 4 2 6" xfId="18756"/>
    <cellStyle name="Normal 5 2 4 2 6 2" xfId="18757"/>
    <cellStyle name="Normal 5 2 4 2 6 2 2" xfId="35186"/>
    <cellStyle name="Normal 5 2 4 2 6 3" xfId="18758"/>
    <cellStyle name="Normal 5 2 4 2 6 3 2" xfId="35187"/>
    <cellStyle name="Normal 5 2 4 2 6 4" xfId="18759"/>
    <cellStyle name="Normal 5 2 4 2 6 4 2" xfId="35188"/>
    <cellStyle name="Normal 5 2 4 2 6 5" xfId="18760"/>
    <cellStyle name="Normal 5 2 4 2 6 5 2" xfId="35189"/>
    <cellStyle name="Normal 5 2 4 2 6 6" xfId="35185"/>
    <cellStyle name="Normal 5 2 4 2 7" xfId="18761"/>
    <cellStyle name="Normal 5 2 4 2 7 2" xfId="18762"/>
    <cellStyle name="Normal 5 2 4 2 7 2 2" xfId="35191"/>
    <cellStyle name="Normal 5 2 4 2 7 3" xfId="18763"/>
    <cellStyle name="Normal 5 2 4 2 7 3 2" xfId="35192"/>
    <cellStyle name="Normal 5 2 4 2 7 4" xfId="18764"/>
    <cellStyle name="Normal 5 2 4 2 7 4 2" xfId="35193"/>
    <cellStyle name="Normal 5 2 4 2 7 5" xfId="18765"/>
    <cellStyle name="Normal 5 2 4 2 7 5 2" xfId="35194"/>
    <cellStyle name="Normal 5 2 4 2 7 6" xfId="35190"/>
    <cellStyle name="Normal 5 2 4 2 8" xfId="18766"/>
    <cellStyle name="Normal 5 2 4 2 8 2" xfId="35195"/>
    <cellStyle name="Normal 5 2 4 2 9" xfId="18767"/>
    <cellStyle name="Normal 5 2 4 2 9 2" xfId="35196"/>
    <cellStyle name="Normal 5 2 4 20" xfId="18768"/>
    <cellStyle name="Normal 5 2 4 20 2" xfId="35197"/>
    <cellStyle name="Normal 5 2 4 21" xfId="40730"/>
    <cellStyle name="Normal 5 2 4 22" xfId="35123"/>
    <cellStyle name="Normal 5 2 4 3" xfId="18769"/>
    <cellStyle name="Normal 5 2 4 3 2" xfId="18770"/>
    <cellStyle name="Normal 5 2 4 3 2 2" xfId="18771"/>
    <cellStyle name="Normal 5 2 4 3 2 2 2" xfId="35200"/>
    <cellStyle name="Normal 5 2 4 3 2 3" xfId="18772"/>
    <cellStyle name="Normal 5 2 4 3 2 3 2" xfId="35201"/>
    <cellStyle name="Normal 5 2 4 3 2 4" xfId="18773"/>
    <cellStyle name="Normal 5 2 4 3 2 4 2" xfId="35202"/>
    <cellStyle name="Normal 5 2 4 3 2 5" xfId="18774"/>
    <cellStyle name="Normal 5 2 4 3 2 5 2" xfId="35203"/>
    <cellStyle name="Normal 5 2 4 3 2 6" xfId="35199"/>
    <cellStyle name="Normal 5 2 4 3 3" xfId="18775"/>
    <cellStyle name="Normal 5 2 4 3 3 2" xfId="35204"/>
    <cellStyle name="Normal 5 2 4 3 4" xfId="18776"/>
    <cellStyle name="Normal 5 2 4 3 4 2" xfId="35205"/>
    <cellStyle name="Normal 5 2 4 3 5" xfId="18777"/>
    <cellStyle name="Normal 5 2 4 3 5 2" xfId="35206"/>
    <cellStyle name="Normal 5 2 4 3 6" xfId="18778"/>
    <cellStyle name="Normal 5 2 4 3 6 2" xfId="35207"/>
    <cellStyle name="Normal 5 2 4 3 7" xfId="35198"/>
    <cellStyle name="Normal 5 2 4 4" xfId="18779"/>
    <cellStyle name="Normal 5 2 4 4 2" xfId="18780"/>
    <cellStyle name="Normal 5 2 4 4 2 2" xfId="18781"/>
    <cellStyle name="Normal 5 2 4 4 2 2 2" xfId="35210"/>
    <cellStyle name="Normal 5 2 4 4 2 3" xfId="18782"/>
    <cellStyle name="Normal 5 2 4 4 2 3 2" xfId="35211"/>
    <cellStyle name="Normal 5 2 4 4 2 4" xfId="18783"/>
    <cellStyle name="Normal 5 2 4 4 2 4 2" xfId="35212"/>
    <cellStyle name="Normal 5 2 4 4 2 5" xfId="18784"/>
    <cellStyle name="Normal 5 2 4 4 2 5 2" xfId="35213"/>
    <cellStyle name="Normal 5 2 4 4 2 6" xfId="35209"/>
    <cellStyle name="Normal 5 2 4 4 3" xfId="18785"/>
    <cellStyle name="Normal 5 2 4 4 3 2" xfId="35214"/>
    <cellStyle name="Normal 5 2 4 4 4" xfId="18786"/>
    <cellStyle name="Normal 5 2 4 4 4 2" xfId="35215"/>
    <cellStyle name="Normal 5 2 4 4 5" xfId="18787"/>
    <cellStyle name="Normal 5 2 4 4 5 2" xfId="35216"/>
    <cellStyle name="Normal 5 2 4 4 6" xfId="18788"/>
    <cellStyle name="Normal 5 2 4 4 6 2" xfId="35217"/>
    <cellStyle name="Normal 5 2 4 4 7" xfId="35208"/>
    <cellStyle name="Normal 5 2 4 5" xfId="18789"/>
    <cellStyle name="Normal 5 2 4 5 2" xfId="18790"/>
    <cellStyle name="Normal 5 2 4 5 2 2" xfId="35219"/>
    <cellStyle name="Normal 5 2 4 5 3" xfId="18791"/>
    <cellStyle name="Normal 5 2 4 5 3 2" xfId="35220"/>
    <cellStyle name="Normal 5 2 4 5 4" xfId="18792"/>
    <cellStyle name="Normal 5 2 4 5 4 2" xfId="35221"/>
    <cellStyle name="Normal 5 2 4 5 5" xfId="18793"/>
    <cellStyle name="Normal 5 2 4 5 5 2" xfId="35222"/>
    <cellStyle name="Normal 5 2 4 5 6" xfId="35218"/>
    <cellStyle name="Normal 5 2 4 6" xfId="18794"/>
    <cellStyle name="Normal 5 2 4 6 2" xfId="18795"/>
    <cellStyle name="Normal 5 2 4 6 2 2" xfId="35224"/>
    <cellStyle name="Normal 5 2 4 6 3" xfId="18796"/>
    <cellStyle name="Normal 5 2 4 6 3 2" xfId="35225"/>
    <cellStyle name="Normal 5 2 4 6 4" xfId="18797"/>
    <cellStyle name="Normal 5 2 4 6 4 2" xfId="35226"/>
    <cellStyle name="Normal 5 2 4 6 5" xfId="18798"/>
    <cellStyle name="Normal 5 2 4 6 5 2" xfId="35227"/>
    <cellStyle name="Normal 5 2 4 6 6" xfId="35223"/>
    <cellStyle name="Normal 5 2 4 7" xfId="18799"/>
    <cellStyle name="Normal 5 2 4 7 2" xfId="18800"/>
    <cellStyle name="Normal 5 2 4 7 2 2" xfId="35229"/>
    <cellStyle name="Normal 5 2 4 7 3" xfId="18801"/>
    <cellStyle name="Normal 5 2 4 7 3 2" xfId="35230"/>
    <cellStyle name="Normal 5 2 4 7 4" xfId="18802"/>
    <cellStyle name="Normal 5 2 4 7 4 2" xfId="35231"/>
    <cellStyle name="Normal 5 2 4 7 5" xfId="18803"/>
    <cellStyle name="Normal 5 2 4 7 5 2" xfId="35232"/>
    <cellStyle name="Normal 5 2 4 7 6" xfId="35228"/>
    <cellStyle name="Normal 5 2 4 8" xfId="18804"/>
    <cellStyle name="Normal 5 2 4 8 2" xfId="18805"/>
    <cellStyle name="Normal 5 2 4 8 2 2" xfId="35234"/>
    <cellStyle name="Normal 5 2 4 8 3" xfId="18806"/>
    <cellStyle name="Normal 5 2 4 8 3 2" xfId="35235"/>
    <cellStyle name="Normal 5 2 4 8 4" xfId="18807"/>
    <cellStyle name="Normal 5 2 4 8 4 2" xfId="35236"/>
    <cellStyle name="Normal 5 2 4 8 5" xfId="18808"/>
    <cellStyle name="Normal 5 2 4 8 5 2" xfId="35237"/>
    <cellStyle name="Normal 5 2 4 8 6" xfId="35233"/>
    <cellStyle name="Normal 5 2 4 9" xfId="18809"/>
    <cellStyle name="Normal 5 2 4 9 2" xfId="18810"/>
    <cellStyle name="Normal 5 2 4 9 2 2" xfId="35239"/>
    <cellStyle name="Normal 5 2 4 9 3" xfId="18811"/>
    <cellStyle name="Normal 5 2 4 9 3 2" xfId="35240"/>
    <cellStyle name="Normal 5 2 4 9 4" xfId="18812"/>
    <cellStyle name="Normal 5 2 4 9 4 2" xfId="35241"/>
    <cellStyle name="Normal 5 2 4 9 5" xfId="18813"/>
    <cellStyle name="Normal 5 2 4 9 5 2" xfId="35242"/>
    <cellStyle name="Normal 5 2 4 9 6" xfId="35238"/>
    <cellStyle name="Normal 5 2 5" xfId="18814"/>
    <cellStyle name="Normal 5 2 5 10" xfId="18815"/>
    <cellStyle name="Normal 5 2 5 10 2" xfId="18816"/>
    <cellStyle name="Normal 5 2 5 10 2 2" xfId="35245"/>
    <cellStyle name="Normal 5 2 5 10 3" xfId="18817"/>
    <cellStyle name="Normal 5 2 5 10 3 2" xfId="35246"/>
    <cellStyle name="Normal 5 2 5 10 4" xfId="18818"/>
    <cellStyle name="Normal 5 2 5 10 4 2" xfId="35247"/>
    <cellStyle name="Normal 5 2 5 10 5" xfId="18819"/>
    <cellStyle name="Normal 5 2 5 10 5 2" xfId="35248"/>
    <cellStyle name="Normal 5 2 5 10 6" xfId="35244"/>
    <cellStyle name="Normal 5 2 5 11" xfId="18820"/>
    <cellStyle name="Normal 5 2 5 11 2" xfId="18821"/>
    <cellStyle name="Normal 5 2 5 11 2 2" xfId="35250"/>
    <cellStyle name="Normal 5 2 5 11 3" xfId="18822"/>
    <cellStyle name="Normal 5 2 5 11 3 2" xfId="35251"/>
    <cellStyle name="Normal 5 2 5 11 4" xfId="18823"/>
    <cellStyle name="Normal 5 2 5 11 4 2" xfId="35252"/>
    <cellStyle name="Normal 5 2 5 11 5" xfId="18824"/>
    <cellStyle name="Normal 5 2 5 11 5 2" xfId="35253"/>
    <cellStyle name="Normal 5 2 5 11 6" xfId="35249"/>
    <cellStyle name="Normal 5 2 5 12" xfId="18825"/>
    <cellStyle name="Normal 5 2 5 12 2" xfId="18826"/>
    <cellStyle name="Normal 5 2 5 12 2 2" xfId="35255"/>
    <cellStyle name="Normal 5 2 5 12 3" xfId="18827"/>
    <cellStyle name="Normal 5 2 5 12 3 2" xfId="35256"/>
    <cellStyle name="Normal 5 2 5 12 4" xfId="18828"/>
    <cellStyle name="Normal 5 2 5 12 4 2" xfId="35257"/>
    <cellStyle name="Normal 5 2 5 12 5" xfId="18829"/>
    <cellStyle name="Normal 5 2 5 12 5 2" xfId="35258"/>
    <cellStyle name="Normal 5 2 5 12 6" xfId="35254"/>
    <cellStyle name="Normal 5 2 5 13" xfId="18830"/>
    <cellStyle name="Normal 5 2 5 13 2" xfId="18831"/>
    <cellStyle name="Normal 5 2 5 13 2 2" xfId="35260"/>
    <cellStyle name="Normal 5 2 5 13 3" xfId="18832"/>
    <cellStyle name="Normal 5 2 5 13 3 2" xfId="35261"/>
    <cellStyle name="Normal 5 2 5 13 4" xfId="18833"/>
    <cellStyle name="Normal 5 2 5 13 4 2" xfId="35262"/>
    <cellStyle name="Normal 5 2 5 13 5" xfId="18834"/>
    <cellStyle name="Normal 5 2 5 13 5 2" xfId="35263"/>
    <cellStyle name="Normal 5 2 5 13 6" xfId="35259"/>
    <cellStyle name="Normal 5 2 5 14" xfId="18835"/>
    <cellStyle name="Normal 5 2 5 14 2" xfId="18836"/>
    <cellStyle name="Normal 5 2 5 14 2 2" xfId="35265"/>
    <cellStyle name="Normal 5 2 5 14 3" xfId="18837"/>
    <cellStyle name="Normal 5 2 5 14 3 2" xfId="35266"/>
    <cellStyle name="Normal 5 2 5 14 4" xfId="18838"/>
    <cellStyle name="Normal 5 2 5 14 4 2" xfId="35267"/>
    <cellStyle name="Normal 5 2 5 14 5" xfId="18839"/>
    <cellStyle name="Normal 5 2 5 14 5 2" xfId="35268"/>
    <cellStyle name="Normal 5 2 5 14 6" xfId="35264"/>
    <cellStyle name="Normal 5 2 5 15" xfId="18840"/>
    <cellStyle name="Normal 5 2 5 15 2" xfId="18841"/>
    <cellStyle name="Normal 5 2 5 15 2 2" xfId="35270"/>
    <cellStyle name="Normal 5 2 5 15 3" xfId="18842"/>
    <cellStyle name="Normal 5 2 5 15 3 2" xfId="35271"/>
    <cellStyle name="Normal 5 2 5 15 4" xfId="18843"/>
    <cellStyle name="Normal 5 2 5 15 4 2" xfId="35272"/>
    <cellStyle name="Normal 5 2 5 15 5" xfId="18844"/>
    <cellStyle name="Normal 5 2 5 15 5 2" xfId="35273"/>
    <cellStyle name="Normal 5 2 5 15 6" xfId="35269"/>
    <cellStyle name="Normal 5 2 5 16" xfId="18845"/>
    <cellStyle name="Normal 5 2 5 16 2" xfId="18846"/>
    <cellStyle name="Normal 5 2 5 16 2 2" xfId="35275"/>
    <cellStyle name="Normal 5 2 5 16 3" xfId="18847"/>
    <cellStyle name="Normal 5 2 5 16 3 2" xfId="35276"/>
    <cellStyle name="Normal 5 2 5 16 4" xfId="18848"/>
    <cellStyle name="Normal 5 2 5 16 4 2" xfId="35277"/>
    <cellStyle name="Normal 5 2 5 16 5" xfId="18849"/>
    <cellStyle name="Normal 5 2 5 16 5 2" xfId="35278"/>
    <cellStyle name="Normal 5 2 5 16 6" xfId="35274"/>
    <cellStyle name="Normal 5 2 5 17" xfId="18850"/>
    <cellStyle name="Normal 5 2 5 17 2" xfId="35279"/>
    <cellStyle name="Normal 5 2 5 18" xfId="18851"/>
    <cellStyle name="Normal 5 2 5 18 2" xfId="35280"/>
    <cellStyle name="Normal 5 2 5 19" xfId="18852"/>
    <cellStyle name="Normal 5 2 5 19 2" xfId="35281"/>
    <cellStyle name="Normal 5 2 5 2" xfId="18853"/>
    <cellStyle name="Normal 5 2 5 2 10" xfId="18854"/>
    <cellStyle name="Normal 5 2 5 2 10 2" xfId="35283"/>
    <cellStyle name="Normal 5 2 5 2 11" xfId="18855"/>
    <cellStyle name="Normal 5 2 5 2 11 2" xfId="35284"/>
    <cellStyle name="Normal 5 2 5 2 12" xfId="35282"/>
    <cellStyle name="Normal 5 2 5 2 2" xfId="18856"/>
    <cellStyle name="Normal 5 2 5 2 2 2" xfId="18857"/>
    <cellStyle name="Normal 5 2 5 2 2 2 2" xfId="35286"/>
    <cellStyle name="Normal 5 2 5 2 2 3" xfId="18858"/>
    <cellStyle name="Normal 5 2 5 2 2 3 2" xfId="35287"/>
    <cellStyle name="Normal 5 2 5 2 2 4" xfId="18859"/>
    <cellStyle name="Normal 5 2 5 2 2 4 2" xfId="35288"/>
    <cellStyle name="Normal 5 2 5 2 2 5" xfId="18860"/>
    <cellStyle name="Normal 5 2 5 2 2 5 2" xfId="35289"/>
    <cellStyle name="Normal 5 2 5 2 2 6" xfId="35285"/>
    <cellStyle name="Normal 5 2 5 2 3" xfId="18861"/>
    <cellStyle name="Normal 5 2 5 2 3 2" xfId="18862"/>
    <cellStyle name="Normal 5 2 5 2 3 2 2" xfId="35291"/>
    <cellStyle name="Normal 5 2 5 2 3 3" xfId="18863"/>
    <cellStyle name="Normal 5 2 5 2 3 3 2" xfId="35292"/>
    <cellStyle name="Normal 5 2 5 2 3 4" xfId="18864"/>
    <cellStyle name="Normal 5 2 5 2 3 4 2" xfId="35293"/>
    <cellStyle name="Normal 5 2 5 2 3 5" xfId="18865"/>
    <cellStyle name="Normal 5 2 5 2 3 5 2" xfId="35294"/>
    <cellStyle name="Normal 5 2 5 2 3 6" xfId="35290"/>
    <cellStyle name="Normal 5 2 5 2 4" xfId="18866"/>
    <cellStyle name="Normal 5 2 5 2 4 2" xfId="18867"/>
    <cellStyle name="Normal 5 2 5 2 4 2 2" xfId="35296"/>
    <cellStyle name="Normal 5 2 5 2 4 3" xfId="18868"/>
    <cellStyle name="Normal 5 2 5 2 4 3 2" xfId="35297"/>
    <cellStyle name="Normal 5 2 5 2 4 4" xfId="18869"/>
    <cellStyle name="Normal 5 2 5 2 4 4 2" xfId="35298"/>
    <cellStyle name="Normal 5 2 5 2 4 5" xfId="18870"/>
    <cellStyle name="Normal 5 2 5 2 4 5 2" xfId="35299"/>
    <cellStyle name="Normal 5 2 5 2 4 6" xfId="35295"/>
    <cellStyle name="Normal 5 2 5 2 5" xfId="18871"/>
    <cellStyle name="Normal 5 2 5 2 5 2" xfId="18872"/>
    <cellStyle name="Normal 5 2 5 2 5 2 2" xfId="35301"/>
    <cellStyle name="Normal 5 2 5 2 5 3" xfId="18873"/>
    <cellStyle name="Normal 5 2 5 2 5 3 2" xfId="35302"/>
    <cellStyle name="Normal 5 2 5 2 5 4" xfId="18874"/>
    <cellStyle name="Normal 5 2 5 2 5 4 2" xfId="35303"/>
    <cellStyle name="Normal 5 2 5 2 5 5" xfId="18875"/>
    <cellStyle name="Normal 5 2 5 2 5 5 2" xfId="35304"/>
    <cellStyle name="Normal 5 2 5 2 5 6" xfId="35300"/>
    <cellStyle name="Normal 5 2 5 2 6" xfId="18876"/>
    <cellStyle name="Normal 5 2 5 2 6 2" xfId="18877"/>
    <cellStyle name="Normal 5 2 5 2 6 2 2" xfId="35306"/>
    <cellStyle name="Normal 5 2 5 2 6 3" xfId="18878"/>
    <cellStyle name="Normal 5 2 5 2 6 3 2" xfId="35307"/>
    <cellStyle name="Normal 5 2 5 2 6 4" xfId="18879"/>
    <cellStyle name="Normal 5 2 5 2 6 4 2" xfId="35308"/>
    <cellStyle name="Normal 5 2 5 2 6 5" xfId="18880"/>
    <cellStyle name="Normal 5 2 5 2 6 5 2" xfId="35309"/>
    <cellStyle name="Normal 5 2 5 2 6 6" xfId="35305"/>
    <cellStyle name="Normal 5 2 5 2 7" xfId="18881"/>
    <cellStyle name="Normal 5 2 5 2 7 2" xfId="18882"/>
    <cellStyle name="Normal 5 2 5 2 7 2 2" xfId="35311"/>
    <cellStyle name="Normal 5 2 5 2 7 3" xfId="18883"/>
    <cellStyle name="Normal 5 2 5 2 7 3 2" xfId="35312"/>
    <cellStyle name="Normal 5 2 5 2 7 4" xfId="18884"/>
    <cellStyle name="Normal 5 2 5 2 7 4 2" xfId="35313"/>
    <cellStyle name="Normal 5 2 5 2 7 5" xfId="18885"/>
    <cellStyle name="Normal 5 2 5 2 7 5 2" xfId="35314"/>
    <cellStyle name="Normal 5 2 5 2 7 6" xfId="35310"/>
    <cellStyle name="Normal 5 2 5 2 8" xfId="18886"/>
    <cellStyle name="Normal 5 2 5 2 8 2" xfId="35315"/>
    <cellStyle name="Normal 5 2 5 2 9" xfId="18887"/>
    <cellStyle name="Normal 5 2 5 2 9 2" xfId="35316"/>
    <cellStyle name="Normal 5 2 5 20" xfId="18888"/>
    <cellStyle name="Normal 5 2 5 20 2" xfId="35317"/>
    <cellStyle name="Normal 5 2 5 21" xfId="35243"/>
    <cellStyle name="Normal 5 2 5 3" xfId="18889"/>
    <cellStyle name="Normal 5 2 5 3 2" xfId="18890"/>
    <cellStyle name="Normal 5 2 5 3 2 2" xfId="18891"/>
    <cellStyle name="Normal 5 2 5 3 2 2 2" xfId="35320"/>
    <cellStyle name="Normal 5 2 5 3 2 3" xfId="18892"/>
    <cellStyle name="Normal 5 2 5 3 2 3 2" xfId="35321"/>
    <cellStyle name="Normal 5 2 5 3 2 4" xfId="18893"/>
    <cellStyle name="Normal 5 2 5 3 2 4 2" xfId="35322"/>
    <cellStyle name="Normal 5 2 5 3 2 5" xfId="18894"/>
    <cellStyle name="Normal 5 2 5 3 2 5 2" xfId="35323"/>
    <cellStyle name="Normal 5 2 5 3 2 6" xfId="35319"/>
    <cellStyle name="Normal 5 2 5 3 3" xfId="18895"/>
    <cellStyle name="Normal 5 2 5 3 3 2" xfId="35324"/>
    <cellStyle name="Normal 5 2 5 3 4" xfId="18896"/>
    <cellStyle name="Normal 5 2 5 3 4 2" xfId="35325"/>
    <cellStyle name="Normal 5 2 5 3 5" xfId="18897"/>
    <cellStyle name="Normal 5 2 5 3 5 2" xfId="35326"/>
    <cellStyle name="Normal 5 2 5 3 6" xfId="18898"/>
    <cellStyle name="Normal 5 2 5 3 6 2" xfId="35327"/>
    <cellStyle name="Normal 5 2 5 3 7" xfId="35318"/>
    <cellStyle name="Normal 5 2 5 4" xfId="18899"/>
    <cellStyle name="Normal 5 2 5 4 2" xfId="18900"/>
    <cellStyle name="Normal 5 2 5 4 2 2" xfId="18901"/>
    <cellStyle name="Normal 5 2 5 4 2 2 2" xfId="35330"/>
    <cellStyle name="Normal 5 2 5 4 2 3" xfId="18902"/>
    <cellStyle name="Normal 5 2 5 4 2 3 2" xfId="35331"/>
    <cellStyle name="Normal 5 2 5 4 2 4" xfId="18903"/>
    <cellStyle name="Normal 5 2 5 4 2 4 2" xfId="35332"/>
    <cellStyle name="Normal 5 2 5 4 2 5" xfId="18904"/>
    <cellStyle name="Normal 5 2 5 4 2 5 2" xfId="35333"/>
    <cellStyle name="Normal 5 2 5 4 2 6" xfId="35329"/>
    <cellStyle name="Normal 5 2 5 4 3" xfId="18905"/>
    <cellStyle name="Normal 5 2 5 4 3 2" xfId="35334"/>
    <cellStyle name="Normal 5 2 5 4 4" xfId="18906"/>
    <cellStyle name="Normal 5 2 5 4 4 2" xfId="35335"/>
    <cellStyle name="Normal 5 2 5 4 5" xfId="18907"/>
    <cellStyle name="Normal 5 2 5 4 5 2" xfId="35336"/>
    <cellStyle name="Normal 5 2 5 4 6" xfId="18908"/>
    <cellStyle name="Normal 5 2 5 4 6 2" xfId="35337"/>
    <cellStyle name="Normal 5 2 5 4 7" xfId="35328"/>
    <cellStyle name="Normal 5 2 5 5" xfId="18909"/>
    <cellStyle name="Normal 5 2 5 5 2" xfId="18910"/>
    <cellStyle name="Normal 5 2 5 5 2 2" xfId="35339"/>
    <cellStyle name="Normal 5 2 5 5 3" xfId="18911"/>
    <cellStyle name="Normal 5 2 5 5 3 2" xfId="35340"/>
    <cellStyle name="Normal 5 2 5 5 4" xfId="18912"/>
    <cellStyle name="Normal 5 2 5 5 4 2" xfId="35341"/>
    <cellStyle name="Normal 5 2 5 5 5" xfId="18913"/>
    <cellStyle name="Normal 5 2 5 5 5 2" xfId="35342"/>
    <cellStyle name="Normal 5 2 5 5 6" xfId="35338"/>
    <cellStyle name="Normal 5 2 5 6" xfId="18914"/>
    <cellStyle name="Normal 5 2 5 6 2" xfId="18915"/>
    <cellStyle name="Normal 5 2 5 6 2 2" xfId="35344"/>
    <cellStyle name="Normal 5 2 5 6 3" xfId="18916"/>
    <cellStyle name="Normal 5 2 5 6 3 2" xfId="35345"/>
    <cellStyle name="Normal 5 2 5 6 4" xfId="18917"/>
    <cellStyle name="Normal 5 2 5 6 4 2" xfId="35346"/>
    <cellStyle name="Normal 5 2 5 6 5" xfId="18918"/>
    <cellStyle name="Normal 5 2 5 6 5 2" xfId="35347"/>
    <cellStyle name="Normal 5 2 5 6 6" xfId="35343"/>
    <cellStyle name="Normal 5 2 5 7" xfId="18919"/>
    <cellStyle name="Normal 5 2 5 7 2" xfId="18920"/>
    <cellStyle name="Normal 5 2 5 7 2 2" xfId="35349"/>
    <cellStyle name="Normal 5 2 5 7 3" xfId="18921"/>
    <cellStyle name="Normal 5 2 5 7 3 2" xfId="35350"/>
    <cellStyle name="Normal 5 2 5 7 4" xfId="18922"/>
    <cellStyle name="Normal 5 2 5 7 4 2" xfId="35351"/>
    <cellStyle name="Normal 5 2 5 7 5" xfId="18923"/>
    <cellStyle name="Normal 5 2 5 7 5 2" xfId="35352"/>
    <cellStyle name="Normal 5 2 5 7 6" xfId="35348"/>
    <cellStyle name="Normal 5 2 5 8" xfId="18924"/>
    <cellStyle name="Normal 5 2 5 8 2" xfId="18925"/>
    <cellStyle name="Normal 5 2 5 8 2 2" xfId="35354"/>
    <cellStyle name="Normal 5 2 5 8 3" xfId="18926"/>
    <cellStyle name="Normal 5 2 5 8 3 2" xfId="35355"/>
    <cellStyle name="Normal 5 2 5 8 4" xfId="18927"/>
    <cellStyle name="Normal 5 2 5 8 4 2" xfId="35356"/>
    <cellStyle name="Normal 5 2 5 8 5" xfId="18928"/>
    <cellStyle name="Normal 5 2 5 8 5 2" xfId="35357"/>
    <cellStyle name="Normal 5 2 5 8 6" xfId="35353"/>
    <cellStyle name="Normal 5 2 5 9" xfId="18929"/>
    <cellStyle name="Normal 5 2 5 9 2" xfId="18930"/>
    <cellStyle name="Normal 5 2 5 9 2 2" xfId="35359"/>
    <cellStyle name="Normal 5 2 5 9 3" xfId="18931"/>
    <cellStyle name="Normal 5 2 5 9 3 2" xfId="35360"/>
    <cellStyle name="Normal 5 2 5 9 4" xfId="18932"/>
    <cellStyle name="Normal 5 2 5 9 4 2" xfId="35361"/>
    <cellStyle name="Normal 5 2 5 9 5" xfId="18933"/>
    <cellStyle name="Normal 5 2 5 9 5 2" xfId="35362"/>
    <cellStyle name="Normal 5 2 5 9 6" xfId="35358"/>
    <cellStyle name="Normal 5 2 6" xfId="18934"/>
    <cellStyle name="Normal 5 2 7" xfId="18935"/>
    <cellStyle name="Normal 5 2 8" xfId="18936"/>
    <cellStyle name="Normal 5 2 8 10" xfId="18937"/>
    <cellStyle name="Normal 5 2 8 10 2" xfId="18938"/>
    <cellStyle name="Normal 5 2 8 10 2 2" xfId="35365"/>
    <cellStyle name="Normal 5 2 8 10 3" xfId="18939"/>
    <cellStyle name="Normal 5 2 8 10 3 2" xfId="35366"/>
    <cellStyle name="Normal 5 2 8 10 4" xfId="18940"/>
    <cellStyle name="Normal 5 2 8 10 4 2" xfId="35367"/>
    <cellStyle name="Normal 5 2 8 10 5" xfId="18941"/>
    <cellStyle name="Normal 5 2 8 10 5 2" xfId="35368"/>
    <cellStyle name="Normal 5 2 8 10 6" xfId="35364"/>
    <cellStyle name="Normal 5 2 8 11" xfId="18942"/>
    <cellStyle name="Normal 5 2 8 11 2" xfId="18943"/>
    <cellStyle name="Normal 5 2 8 11 2 2" xfId="35370"/>
    <cellStyle name="Normal 5 2 8 11 3" xfId="18944"/>
    <cellStyle name="Normal 5 2 8 11 3 2" xfId="35371"/>
    <cellStyle name="Normal 5 2 8 11 4" xfId="18945"/>
    <cellStyle name="Normal 5 2 8 11 4 2" xfId="35372"/>
    <cellStyle name="Normal 5 2 8 11 5" xfId="18946"/>
    <cellStyle name="Normal 5 2 8 11 5 2" xfId="35373"/>
    <cellStyle name="Normal 5 2 8 11 6" xfId="35369"/>
    <cellStyle name="Normal 5 2 8 12" xfId="18947"/>
    <cellStyle name="Normal 5 2 8 12 2" xfId="18948"/>
    <cellStyle name="Normal 5 2 8 12 2 2" xfId="35375"/>
    <cellStyle name="Normal 5 2 8 12 3" xfId="18949"/>
    <cellStyle name="Normal 5 2 8 12 3 2" xfId="35376"/>
    <cellStyle name="Normal 5 2 8 12 4" xfId="18950"/>
    <cellStyle name="Normal 5 2 8 12 4 2" xfId="35377"/>
    <cellStyle name="Normal 5 2 8 12 5" xfId="18951"/>
    <cellStyle name="Normal 5 2 8 12 5 2" xfId="35378"/>
    <cellStyle name="Normal 5 2 8 12 6" xfId="35374"/>
    <cellStyle name="Normal 5 2 8 13" xfId="18952"/>
    <cellStyle name="Normal 5 2 8 13 2" xfId="18953"/>
    <cellStyle name="Normal 5 2 8 13 2 2" xfId="35380"/>
    <cellStyle name="Normal 5 2 8 13 3" xfId="18954"/>
    <cellStyle name="Normal 5 2 8 13 3 2" xfId="35381"/>
    <cellStyle name="Normal 5 2 8 13 4" xfId="18955"/>
    <cellStyle name="Normal 5 2 8 13 4 2" xfId="35382"/>
    <cellStyle name="Normal 5 2 8 13 5" xfId="18956"/>
    <cellStyle name="Normal 5 2 8 13 5 2" xfId="35383"/>
    <cellStyle name="Normal 5 2 8 13 6" xfId="35379"/>
    <cellStyle name="Normal 5 2 8 14" xfId="18957"/>
    <cellStyle name="Normal 5 2 8 14 2" xfId="18958"/>
    <cellStyle name="Normal 5 2 8 14 2 2" xfId="35385"/>
    <cellStyle name="Normal 5 2 8 14 3" xfId="18959"/>
    <cellStyle name="Normal 5 2 8 14 3 2" xfId="35386"/>
    <cellStyle name="Normal 5 2 8 14 4" xfId="18960"/>
    <cellStyle name="Normal 5 2 8 14 4 2" xfId="35387"/>
    <cellStyle name="Normal 5 2 8 14 5" xfId="18961"/>
    <cellStyle name="Normal 5 2 8 14 5 2" xfId="35388"/>
    <cellStyle name="Normal 5 2 8 14 6" xfId="35384"/>
    <cellStyle name="Normal 5 2 8 15" xfId="18962"/>
    <cellStyle name="Normal 5 2 8 15 2" xfId="18963"/>
    <cellStyle name="Normal 5 2 8 15 2 2" xfId="35390"/>
    <cellStyle name="Normal 5 2 8 15 3" xfId="18964"/>
    <cellStyle name="Normal 5 2 8 15 3 2" xfId="35391"/>
    <cellStyle name="Normal 5 2 8 15 4" xfId="18965"/>
    <cellStyle name="Normal 5 2 8 15 4 2" xfId="35392"/>
    <cellStyle name="Normal 5 2 8 15 5" xfId="18966"/>
    <cellStyle name="Normal 5 2 8 15 5 2" xfId="35393"/>
    <cellStyle name="Normal 5 2 8 15 6" xfId="35389"/>
    <cellStyle name="Normal 5 2 8 16" xfId="18967"/>
    <cellStyle name="Normal 5 2 8 16 2" xfId="18968"/>
    <cellStyle name="Normal 5 2 8 16 2 2" xfId="35395"/>
    <cellStyle name="Normal 5 2 8 16 3" xfId="18969"/>
    <cellStyle name="Normal 5 2 8 16 3 2" xfId="35396"/>
    <cellStyle name="Normal 5 2 8 16 4" xfId="18970"/>
    <cellStyle name="Normal 5 2 8 16 4 2" xfId="35397"/>
    <cellStyle name="Normal 5 2 8 16 5" xfId="18971"/>
    <cellStyle name="Normal 5 2 8 16 5 2" xfId="35398"/>
    <cellStyle name="Normal 5 2 8 16 6" xfId="35394"/>
    <cellStyle name="Normal 5 2 8 17" xfId="18972"/>
    <cellStyle name="Normal 5 2 8 17 2" xfId="35399"/>
    <cellStyle name="Normal 5 2 8 18" xfId="18973"/>
    <cellStyle name="Normal 5 2 8 18 2" xfId="35400"/>
    <cellStyle name="Normal 5 2 8 19" xfId="18974"/>
    <cellStyle name="Normal 5 2 8 19 2" xfId="35401"/>
    <cellStyle name="Normal 5 2 8 2" xfId="18975"/>
    <cellStyle name="Normal 5 2 8 20" xfId="18976"/>
    <cellStyle name="Normal 5 2 8 20 2" xfId="35402"/>
    <cellStyle name="Normal 5 2 8 21" xfId="35363"/>
    <cellStyle name="Normal 5 2 8 3" xfId="18977"/>
    <cellStyle name="Normal 5 2 8 3 2" xfId="18978"/>
    <cellStyle name="Normal 5 2 8 3 2 2" xfId="35404"/>
    <cellStyle name="Normal 5 2 8 3 3" xfId="18979"/>
    <cellStyle name="Normal 5 2 8 3 3 2" xfId="35405"/>
    <cellStyle name="Normal 5 2 8 3 4" xfId="18980"/>
    <cellStyle name="Normal 5 2 8 3 4 2" xfId="35406"/>
    <cellStyle name="Normal 5 2 8 3 5" xfId="18981"/>
    <cellStyle name="Normal 5 2 8 3 5 2" xfId="35407"/>
    <cellStyle name="Normal 5 2 8 3 6" xfId="35403"/>
    <cellStyle name="Normal 5 2 8 4" xfId="18982"/>
    <cellStyle name="Normal 5 2 8 4 2" xfId="18983"/>
    <cellStyle name="Normal 5 2 8 4 2 2" xfId="35409"/>
    <cellStyle name="Normal 5 2 8 4 3" xfId="18984"/>
    <cellStyle name="Normal 5 2 8 4 3 2" xfId="35410"/>
    <cellStyle name="Normal 5 2 8 4 4" xfId="18985"/>
    <cellStyle name="Normal 5 2 8 4 4 2" xfId="35411"/>
    <cellStyle name="Normal 5 2 8 4 5" xfId="18986"/>
    <cellStyle name="Normal 5 2 8 4 5 2" xfId="35412"/>
    <cellStyle name="Normal 5 2 8 4 6" xfId="35408"/>
    <cellStyle name="Normal 5 2 8 5" xfId="18987"/>
    <cellStyle name="Normal 5 2 8 5 2" xfId="18988"/>
    <cellStyle name="Normal 5 2 8 5 2 2" xfId="35414"/>
    <cellStyle name="Normal 5 2 8 5 3" xfId="18989"/>
    <cellStyle name="Normal 5 2 8 5 3 2" xfId="35415"/>
    <cellStyle name="Normal 5 2 8 5 4" xfId="18990"/>
    <cellStyle name="Normal 5 2 8 5 4 2" xfId="35416"/>
    <cellStyle name="Normal 5 2 8 5 5" xfId="18991"/>
    <cellStyle name="Normal 5 2 8 5 5 2" xfId="35417"/>
    <cellStyle name="Normal 5 2 8 5 6" xfId="35413"/>
    <cellStyle name="Normal 5 2 8 6" xfId="18992"/>
    <cellStyle name="Normal 5 2 8 6 2" xfId="18993"/>
    <cellStyle name="Normal 5 2 8 6 2 2" xfId="35419"/>
    <cellStyle name="Normal 5 2 8 6 3" xfId="18994"/>
    <cellStyle name="Normal 5 2 8 6 3 2" xfId="35420"/>
    <cellStyle name="Normal 5 2 8 6 4" xfId="18995"/>
    <cellStyle name="Normal 5 2 8 6 4 2" xfId="35421"/>
    <cellStyle name="Normal 5 2 8 6 5" xfId="18996"/>
    <cellStyle name="Normal 5 2 8 6 5 2" xfId="35422"/>
    <cellStyle name="Normal 5 2 8 6 6" xfId="35418"/>
    <cellStyle name="Normal 5 2 8 7" xfId="18997"/>
    <cellStyle name="Normal 5 2 8 7 2" xfId="18998"/>
    <cellStyle name="Normal 5 2 8 7 2 2" xfId="35424"/>
    <cellStyle name="Normal 5 2 8 7 3" xfId="18999"/>
    <cellStyle name="Normal 5 2 8 7 3 2" xfId="35425"/>
    <cellStyle name="Normal 5 2 8 7 4" xfId="19000"/>
    <cellStyle name="Normal 5 2 8 7 4 2" xfId="35426"/>
    <cellStyle name="Normal 5 2 8 7 5" xfId="19001"/>
    <cellStyle name="Normal 5 2 8 7 5 2" xfId="35427"/>
    <cellStyle name="Normal 5 2 8 7 6" xfId="35423"/>
    <cellStyle name="Normal 5 2 8 8" xfId="19002"/>
    <cellStyle name="Normal 5 2 8 8 2" xfId="19003"/>
    <cellStyle name="Normal 5 2 8 8 2 2" xfId="35429"/>
    <cellStyle name="Normal 5 2 8 8 3" xfId="19004"/>
    <cellStyle name="Normal 5 2 8 8 3 2" xfId="35430"/>
    <cellStyle name="Normal 5 2 8 8 4" xfId="19005"/>
    <cellStyle name="Normal 5 2 8 8 4 2" xfId="35431"/>
    <cellStyle name="Normal 5 2 8 8 5" xfId="19006"/>
    <cellStyle name="Normal 5 2 8 8 5 2" xfId="35432"/>
    <cellStyle name="Normal 5 2 8 8 6" xfId="35428"/>
    <cellStyle name="Normal 5 2 8 9" xfId="19007"/>
    <cellStyle name="Normal 5 2 8 9 2" xfId="19008"/>
    <cellStyle name="Normal 5 2 8 9 2 2" xfId="35434"/>
    <cellStyle name="Normal 5 2 8 9 3" xfId="19009"/>
    <cellStyle name="Normal 5 2 8 9 3 2" xfId="35435"/>
    <cellStyle name="Normal 5 2 8 9 4" xfId="19010"/>
    <cellStyle name="Normal 5 2 8 9 4 2" xfId="35436"/>
    <cellStyle name="Normal 5 2 8 9 5" xfId="19011"/>
    <cellStyle name="Normal 5 2 8 9 5 2" xfId="35437"/>
    <cellStyle name="Normal 5 2 8 9 6" xfId="35433"/>
    <cellStyle name="Normal 5 2 9" xfId="19012"/>
    <cellStyle name="Normal 5 2 9 2" xfId="19013"/>
    <cellStyle name="Normal 5 2 9 3" xfId="19014"/>
    <cellStyle name="Normal 5 2 9 3 2" xfId="35439"/>
    <cellStyle name="Normal 5 2 9 4" xfId="19015"/>
    <cellStyle name="Normal 5 2 9 4 2" xfId="35440"/>
    <cellStyle name="Normal 5 2 9 5" xfId="19016"/>
    <cellStyle name="Normal 5 2 9 5 2" xfId="35441"/>
    <cellStyle name="Normal 5 2 9 6" xfId="19017"/>
    <cellStyle name="Normal 5 2 9 6 2" xfId="35442"/>
    <cellStyle name="Normal 5 2 9 7" xfId="35438"/>
    <cellStyle name="Normal 5 20" xfId="19018"/>
    <cellStyle name="Normal 5 20 10" xfId="19019"/>
    <cellStyle name="Normal 5 20 10 2" xfId="35443"/>
    <cellStyle name="Normal 5 20 2" xfId="19020"/>
    <cellStyle name="Normal 5 20 2 2" xfId="19021"/>
    <cellStyle name="Normal 5 20 2 2 2" xfId="35445"/>
    <cellStyle name="Normal 5 20 2 3" xfId="19022"/>
    <cellStyle name="Normal 5 20 2 3 2" xfId="35446"/>
    <cellStyle name="Normal 5 20 2 4" xfId="19023"/>
    <cellStyle name="Normal 5 20 2 4 2" xfId="35447"/>
    <cellStyle name="Normal 5 20 2 5" xfId="19024"/>
    <cellStyle name="Normal 5 20 2 5 2" xfId="35448"/>
    <cellStyle name="Normal 5 20 2 6" xfId="35444"/>
    <cellStyle name="Normal 5 20 3" xfId="19025"/>
    <cellStyle name="Normal 5 20 3 2" xfId="19026"/>
    <cellStyle name="Normal 5 20 3 2 2" xfId="35450"/>
    <cellStyle name="Normal 5 20 3 3" xfId="19027"/>
    <cellStyle name="Normal 5 20 3 3 2" xfId="35451"/>
    <cellStyle name="Normal 5 20 3 4" xfId="19028"/>
    <cellStyle name="Normal 5 20 3 4 2" xfId="35452"/>
    <cellStyle name="Normal 5 20 3 5" xfId="19029"/>
    <cellStyle name="Normal 5 20 3 5 2" xfId="35453"/>
    <cellStyle name="Normal 5 20 3 6" xfId="35449"/>
    <cellStyle name="Normal 5 20 4" xfId="19030"/>
    <cellStyle name="Normal 5 20 4 2" xfId="19031"/>
    <cellStyle name="Normal 5 20 4 2 2" xfId="35455"/>
    <cellStyle name="Normal 5 20 4 3" xfId="19032"/>
    <cellStyle name="Normal 5 20 4 3 2" xfId="35456"/>
    <cellStyle name="Normal 5 20 4 4" xfId="19033"/>
    <cellStyle name="Normal 5 20 4 4 2" xfId="35457"/>
    <cellStyle name="Normal 5 20 4 5" xfId="19034"/>
    <cellStyle name="Normal 5 20 4 5 2" xfId="35458"/>
    <cellStyle name="Normal 5 20 4 6" xfId="35454"/>
    <cellStyle name="Normal 5 20 5" xfId="19035"/>
    <cellStyle name="Normal 5 20 5 2" xfId="19036"/>
    <cellStyle name="Normal 5 20 5 2 2" xfId="35460"/>
    <cellStyle name="Normal 5 20 5 3" xfId="19037"/>
    <cellStyle name="Normal 5 20 5 3 2" xfId="35461"/>
    <cellStyle name="Normal 5 20 5 4" xfId="19038"/>
    <cellStyle name="Normal 5 20 5 4 2" xfId="35462"/>
    <cellStyle name="Normal 5 20 5 5" xfId="19039"/>
    <cellStyle name="Normal 5 20 5 5 2" xfId="35463"/>
    <cellStyle name="Normal 5 20 5 6" xfId="35459"/>
    <cellStyle name="Normal 5 20 6" xfId="19040"/>
    <cellStyle name="Normal 5 20 6 2" xfId="35464"/>
    <cellStyle name="Normal 5 20 7" xfId="19041"/>
    <cellStyle name="Normal 5 20 7 2" xfId="35465"/>
    <cellStyle name="Normal 5 20 8" xfId="19042"/>
    <cellStyle name="Normal 5 20 8 2" xfId="35466"/>
    <cellStyle name="Normal 5 20 9" xfId="19043"/>
    <cellStyle name="Normal 5 20 9 2" xfId="35467"/>
    <cellStyle name="Normal 5 21" xfId="19044"/>
    <cellStyle name="Normal 5 21 10" xfId="19045"/>
    <cellStyle name="Normal 5 21 10 2" xfId="35468"/>
    <cellStyle name="Normal 5 21 11" xfId="41019"/>
    <cellStyle name="Normal 5 21 2" xfId="19046"/>
    <cellStyle name="Normal 5 21 2 2" xfId="19047"/>
    <cellStyle name="Normal 5 21 2 2 2" xfId="35470"/>
    <cellStyle name="Normal 5 21 2 3" xfId="19048"/>
    <cellStyle name="Normal 5 21 2 3 2" xfId="35471"/>
    <cellStyle name="Normal 5 21 2 4" xfId="19049"/>
    <cellStyle name="Normal 5 21 2 4 2" xfId="35472"/>
    <cellStyle name="Normal 5 21 2 5" xfId="19050"/>
    <cellStyle name="Normal 5 21 2 5 2" xfId="35473"/>
    <cellStyle name="Normal 5 21 2 6" xfId="35469"/>
    <cellStyle name="Normal 5 21 3" xfId="19051"/>
    <cellStyle name="Normal 5 21 3 2" xfId="19052"/>
    <cellStyle name="Normal 5 21 3 2 2" xfId="35475"/>
    <cellStyle name="Normal 5 21 3 3" xfId="19053"/>
    <cellStyle name="Normal 5 21 3 3 2" xfId="35476"/>
    <cellStyle name="Normal 5 21 3 4" xfId="19054"/>
    <cellStyle name="Normal 5 21 3 4 2" xfId="35477"/>
    <cellStyle name="Normal 5 21 3 5" xfId="19055"/>
    <cellStyle name="Normal 5 21 3 5 2" xfId="35478"/>
    <cellStyle name="Normal 5 21 3 6" xfId="35474"/>
    <cellStyle name="Normal 5 21 4" xfId="19056"/>
    <cellStyle name="Normal 5 21 4 2" xfId="19057"/>
    <cellStyle name="Normal 5 21 4 2 2" xfId="35480"/>
    <cellStyle name="Normal 5 21 4 3" xfId="19058"/>
    <cellStyle name="Normal 5 21 4 3 2" xfId="35481"/>
    <cellStyle name="Normal 5 21 4 4" xfId="19059"/>
    <cellStyle name="Normal 5 21 4 4 2" xfId="35482"/>
    <cellStyle name="Normal 5 21 4 5" xfId="19060"/>
    <cellStyle name="Normal 5 21 4 5 2" xfId="35483"/>
    <cellStyle name="Normal 5 21 4 6" xfId="35479"/>
    <cellStyle name="Normal 5 21 5" xfId="19061"/>
    <cellStyle name="Normal 5 21 5 2" xfId="19062"/>
    <cellStyle name="Normal 5 21 5 2 2" xfId="35485"/>
    <cellStyle name="Normal 5 21 5 3" xfId="19063"/>
    <cellStyle name="Normal 5 21 5 3 2" xfId="35486"/>
    <cellStyle name="Normal 5 21 5 4" xfId="19064"/>
    <cellStyle name="Normal 5 21 5 4 2" xfId="35487"/>
    <cellStyle name="Normal 5 21 5 5" xfId="19065"/>
    <cellStyle name="Normal 5 21 5 5 2" xfId="35488"/>
    <cellStyle name="Normal 5 21 5 6" xfId="35484"/>
    <cellStyle name="Normal 5 21 6" xfId="19066"/>
    <cellStyle name="Normal 5 21 6 2" xfId="35489"/>
    <cellStyle name="Normal 5 21 7" xfId="19067"/>
    <cellStyle name="Normal 5 21 7 2" xfId="35490"/>
    <cellStyle name="Normal 5 21 8" xfId="19068"/>
    <cellStyle name="Normal 5 21 8 2" xfId="35491"/>
    <cellStyle name="Normal 5 21 9" xfId="19069"/>
    <cellStyle name="Normal 5 21 9 2" xfId="35492"/>
    <cellStyle name="Normal 5 22" xfId="19070"/>
    <cellStyle name="Normal 5 22 10" xfId="19071"/>
    <cellStyle name="Normal 5 22 10 2" xfId="35493"/>
    <cellStyle name="Normal 5 22 11" xfId="41014"/>
    <cellStyle name="Normal 5 22 2" xfId="19072"/>
    <cellStyle name="Normal 5 22 2 2" xfId="19073"/>
    <cellStyle name="Normal 5 22 2 2 2" xfId="35495"/>
    <cellStyle name="Normal 5 22 2 3" xfId="19074"/>
    <cellStyle name="Normal 5 22 2 3 2" xfId="35496"/>
    <cellStyle name="Normal 5 22 2 4" xfId="19075"/>
    <cellStyle name="Normal 5 22 2 4 2" xfId="35497"/>
    <cellStyle name="Normal 5 22 2 5" xfId="19076"/>
    <cellStyle name="Normal 5 22 2 5 2" xfId="35498"/>
    <cellStyle name="Normal 5 22 2 6" xfId="35494"/>
    <cellStyle name="Normal 5 22 3" xfId="19077"/>
    <cellStyle name="Normal 5 22 3 2" xfId="19078"/>
    <cellStyle name="Normal 5 22 3 2 2" xfId="35500"/>
    <cellStyle name="Normal 5 22 3 3" xfId="19079"/>
    <cellStyle name="Normal 5 22 3 3 2" xfId="35501"/>
    <cellStyle name="Normal 5 22 3 4" xfId="19080"/>
    <cellStyle name="Normal 5 22 3 4 2" xfId="35502"/>
    <cellStyle name="Normal 5 22 3 5" xfId="19081"/>
    <cellStyle name="Normal 5 22 3 5 2" xfId="35503"/>
    <cellStyle name="Normal 5 22 3 6" xfId="35499"/>
    <cellStyle name="Normal 5 22 4" xfId="19082"/>
    <cellStyle name="Normal 5 22 4 2" xfId="19083"/>
    <cellStyle name="Normal 5 22 4 2 2" xfId="35505"/>
    <cellStyle name="Normal 5 22 4 3" xfId="19084"/>
    <cellStyle name="Normal 5 22 4 3 2" xfId="35506"/>
    <cellStyle name="Normal 5 22 4 4" xfId="19085"/>
    <cellStyle name="Normal 5 22 4 4 2" xfId="35507"/>
    <cellStyle name="Normal 5 22 4 5" xfId="19086"/>
    <cellStyle name="Normal 5 22 4 5 2" xfId="35508"/>
    <cellStyle name="Normal 5 22 4 6" xfId="35504"/>
    <cellStyle name="Normal 5 22 5" xfId="19087"/>
    <cellStyle name="Normal 5 22 5 2" xfId="19088"/>
    <cellStyle name="Normal 5 22 5 2 2" xfId="35510"/>
    <cellStyle name="Normal 5 22 5 3" xfId="19089"/>
    <cellStyle name="Normal 5 22 5 3 2" xfId="35511"/>
    <cellStyle name="Normal 5 22 5 4" xfId="19090"/>
    <cellStyle name="Normal 5 22 5 4 2" xfId="35512"/>
    <cellStyle name="Normal 5 22 5 5" xfId="19091"/>
    <cellStyle name="Normal 5 22 5 5 2" xfId="35513"/>
    <cellStyle name="Normal 5 22 5 6" xfId="35509"/>
    <cellStyle name="Normal 5 22 6" xfId="19092"/>
    <cellStyle name="Normal 5 22 6 2" xfId="35514"/>
    <cellStyle name="Normal 5 22 7" xfId="19093"/>
    <cellStyle name="Normal 5 22 7 2" xfId="35515"/>
    <cellStyle name="Normal 5 22 8" xfId="19094"/>
    <cellStyle name="Normal 5 22 8 2" xfId="35516"/>
    <cellStyle name="Normal 5 22 9" xfId="19095"/>
    <cellStyle name="Normal 5 22 9 2" xfId="35517"/>
    <cellStyle name="Normal 5 23" xfId="19096"/>
    <cellStyle name="Normal 5 23 2" xfId="19097"/>
    <cellStyle name="Normal 5 23 2 2" xfId="19098"/>
    <cellStyle name="Normal 5 23 2 2 2" xfId="35519"/>
    <cellStyle name="Normal 5 23 2 3" xfId="19099"/>
    <cellStyle name="Normal 5 23 2 3 2" xfId="35520"/>
    <cellStyle name="Normal 5 23 2 4" xfId="19100"/>
    <cellStyle name="Normal 5 23 2 4 2" xfId="35521"/>
    <cellStyle name="Normal 5 23 2 5" xfId="19101"/>
    <cellStyle name="Normal 5 23 2 5 2" xfId="35522"/>
    <cellStyle name="Normal 5 23 2 6" xfId="35518"/>
    <cellStyle name="Normal 5 23 3" xfId="19102"/>
    <cellStyle name="Normal 5 23 3 2" xfId="35523"/>
    <cellStyle name="Normal 5 23 4" xfId="19103"/>
    <cellStyle name="Normal 5 23 4 2" xfId="35524"/>
    <cellStyle name="Normal 5 23 5" xfId="19104"/>
    <cellStyle name="Normal 5 23 5 2" xfId="35525"/>
    <cellStyle name="Normal 5 23 6" xfId="19105"/>
    <cellStyle name="Normal 5 23 6 2" xfId="35526"/>
    <cellStyle name="Normal 5 23 7" xfId="19106"/>
    <cellStyle name="Normal 5 23 7 2" xfId="35527"/>
    <cellStyle name="Normal 5 23 8" xfId="41038"/>
    <cellStyle name="Normal 5 24" xfId="19107"/>
    <cellStyle name="Normal 5 24 2" xfId="19108"/>
    <cellStyle name="Normal 5 24 2 2" xfId="19109"/>
    <cellStyle name="Normal 5 24 2 2 2" xfId="35529"/>
    <cellStyle name="Normal 5 24 2 3" xfId="19110"/>
    <cellStyle name="Normal 5 24 2 3 2" xfId="35530"/>
    <cellStyle name="Normal 5 24 2 4" xfId="19111"/>
    <cellStyle name="Normal 5 24 2 4 2" xfId="35531"/>
    <cellStyle name="Normal 5 24 2 5" xfId="19112"/>
    <cellStyle name="Normal 5 24 2 5 2" xfId="35532"/>
    <cellStyle name="Normal 5 24 2 6" xfId="35528"/>
    <cellStyle name="Normal 5 24 3" xfId="19113"/>
    <cellStyle name="Normal 5 24 3 2" xfId="35533"/>
    <cellStyle name="Normal 5 24 4" xfId="19114"/>
    <cellStyle name="Normal 5 24 4 2" xfId="35534"/>
    <cellStyle name="Normal 5 24 5" xfId="19115"/>
    <cellStyle name="Normal 5 24 5 2" xfId="35535"/>
    <cellStyle name="Normal 5 24 6" xfId="19116"/>
    <cellStyle name="Normal 5 24 6 2" xfId="35536"/>
    <cellStyle name="Normal 5 24 7" xfId="19117"/>
    <cellStyle name="Normal 5 24 7 2" xfId="35537"/>
    <cellStyle name="Normal 5 25" xfId="19118"/>
    <cellStyle name="Normal 5 25 2" xfId="19119"/>
    <cellStyle name="Normal 5 25 2 2" xfId="19120"/>
    <cellStyle name="Normal 5 25 2 2 2" xfId="35539"/>
    <cellStyle name="Normal 5 25 2 3" xfId="19121"/>
    <cellStyle name="Normal 5 25 2 3 2" xfId="35540"/>
    <cellStyle name="Normal 5 25 2 4" xfId="19122"/>
    <cellStyle name="Normal 5 25 2 4 2" xfId="35541"/>
    <cellStyle name="Normal 5 25 2 5" xfId="19123"/>
    <cellStyle name="Normal 5 25 2 5 2" xfId="35542"/>
    <cellStyle name="Normal 5 25 2 6" xfId="35538"/>
    <cellStyle name="Normal 5 25 3" xfId="19124"/>
    <cellStyle name="Normal 5 25 3 2" xfId="35543"/>
    <cellStyle name="Normal 5 25 4" xfId="19125"/>
    <cellStyle name="Normal 5 25 4 2" xfId="35544"/>
    <cellStyle name="Normal 5 25 5" xfId="19126"/>
    <cellStyle name="Normal 5 25 5 2" xfId="35545"/>
    <cellStyle name="Normal 5 25 6" xfId="19127"/>
    <cellStyle name="Normal 5 25 6 2" xfId="35546"/>
    <cellStyle name="Normal 5 25 7" xfId="19128"/>
    <cellStyle name="Normal 5 25 7 2" xfId="35547"/>
    <cellStyle name="Normal 5 26" xfId="19129"/>
    <cellStyle name="Normal 5 26 2" xfId="19130"/>
    <cellStyle name="Normal 5 26 2 2" xfId="35548"/>
    <cellStyle name="Normal 5 26 3" xfId="19131"/>
    <cellStyle name="Normal 5 26 3 2" xfId="35549"/>
    <cellStyle name="Normal 5 26 4" xfId="19132"/>
    <cellStyle name="Normal 5 26 4 2" xfId="35550"/>
    <cellStyle name="Normal 5 26 5" xfId="19133"/>
    <cellStyle name="Normal 5 26 5 2" xfId="35551"/>
    <cellStyle name="Normal 5 26 6" xfId="19134"/>
    <cellStyle name="Normal 5 26 6 2" xfId="35552"/>
    <cellStyle name="Normal 5 26 7" xfId="19135"/>
    <cellStyle name="Normal 5 26 7 2" xfId="35553"/>
    <cellStyle name="Normal 5 27" xfId="19136"/>
    <cellStyle name="Normal 5 27 2" xfId="19137"/>
    <cellStyle name="Normal 5 27 2 2" xfId="35554"/>
    <cellStyle name="Normal 5 27 3" xfId="19138"/>
    <cellStyle name="Normal 5 27 3 2" xfId="35555"/>
    <cellStyle name="Normal 5 27 4" xfId="19139"/>
    <cellStyle name="Normal 5 27 4 2" xfId="35556"/>
    <cellStyle name="Normal 5 27 5" xfId="19140"/>
    <cellStyle name="Normal 5 27 5 2" xfId="35557"/>
    <cellStyle name="Normal 5 27 6" xfId="19141"/>
    <cellStyle name="Normal 5 27 6 2" xfId="35558"/>
    <cellStyle name="Normal 5 27 7" xfId="19142"/>
    <cellStyle name="Normal 5 27 7 2" xfId="35559"/>
    <cellStyle name="Normal 5 28" xfId="19143"/>
    <cellStyle name="Normal 5 28 2" xfId="19144"/>
    <cellStyle name="Normal 5 28 2 2" xfId="35560"/>
    <cellStyle name="Normal 5 28 3" xfId="19145"/>
    <cellStyle name="Normal 5 28 3 2" xfId="35561"/>
    <cellStyle name="Normal 5 28 4" xfId="19146"/>
    <cellStyle name="Normal 5 28 4 2" xfId="35562"/>
    <cellStyle name="Normal 5 28 5" xfId="19147"/>
    <cellStyle name="Normal 5 28 5 2" xfId="35563"/>
    <cellStyle name="Normal 5 28 6" xfId="19148"/>
    <cellStyle name="Normal 5 28 6 2" xfId="35564"/>
    <cellStyle name="Normal 5 28 7" xfId="19149"/>
    <cellStyle name="Normal 5 28 7 2" xfId="35565"/>
    <cellStyle name="Normal 5 29" xfId="19150"/>
    <cellStyle name="Normal 5 29 2" xfId="19151"/>
    <cellStyle name="Normal 5 29 2 2" xfId="35566"/>
    <cellStyle name="Normal 5 29 3" xfId="19152"/>
    <cellStyle name="Normal 5 29 3 2" xfId="35567"/>
    <cellStyle name="Normal 5 29 4" xfId="19153"/>
    <cellStyle name="Normal 5 29 4 2" xfId="35568"/>
    <cellStyle name="Normal 5 29 5" xfId="19154"/>
    <cellStyle name="Normal 5 29 5 2" xfId="35569"/>
    <cellStyle name="Normal 5 29 6" xfId="19155"/>
    <cellStyle name="Normal 5 29 6 2" xfId="35570"/>
    <cellStyle name="Normal 5 29 7" xfId="19156"/>
    <cellStyle name="Normal 5 29 7 2" xfId="35571"/>
    <cellStyle name="Normal 5 3" xfId="19157"/>
    <cellStyle name="Normal 5 3 10" xfId="19158"/>
    <cellStyle name="Normal 5 3 10 2" xfId="19159"/>
    <cellStyle name="Normal 5 3 10 2 2" xfId="35573"/>
    <cellStyle name="Normal 5 3 10 3" xfId="19160"/>
    <cellStyle name="Normal 5 3 10 3 2" xfId="35574"/>
    <cellStyle name="Normal 5 3 10 4" xfId="19161"/>
    <cellStyle name="Normal 5 3 10 4 2" xfId="35575"/>
    <cellStyle name="Normal 5 3 10 5" xfId="19162"/>
    <cellStyle name="Normal 5 3 10 5 2" xfId="35576"/>
    <cellStyle name="Normal 5 3 10 6" xfId="35572"/>
    <cellStyle name="Normal 5 3 11" xfId="19163"/>
    <cellStyle name="Normal 5 3 11 2" xfId="19164"/>
    <cellStyle name="Normal 5 3 11 2 2" xfId="35578"/>
    <cellStyle name="Normal 5 3 11 3" xfId="19165"/>
    <cellStyle name="Normal 5 3 11 3 2" xfId="35579"/>
    <cellStyle name="Normal 5 3 11 4" xfId="19166"/>
    <cellStyle name="Normal 5 3 11 4 2" xfId="35580"/>
    <cellStyle name="Normal 5 3 11 5" xfId="19167"/>
    <cellStyle name="Normal 5 3 11 5 2" xfId="35581"/>
    <cellStyle name="Normal 5 3 11 6" xfId="35577"/>
    <cellStyle name="Normal 5 3 12" xfId="19168"/>
    <cellStyle name="Normal 5 3 12 2" xfId="19169"/>
    <cellStyle name="Normal 5 3 12 2 2" xfId="35583"/>
    <cellStyle name="Normal 5 3 12 3" xfId="19170"/>
    <cellStyle name="Normal 5 3 12 3 2" xfId="35584"/>
    <cellStyle name="Normal 5 3 12 4" xfId="19171"/>
    <cellStyle name="Normal 5 3 12 4 2" xfId="35585"/>
    <cellStyle name="Normal 5 3 12 5" xfId="19172"/>
    <cellStyle name="Normal 5 3 12 5 2" xfId="35586"/>
    <cellStyle name="Normal 5 3 12 6" xfId="35582"/>
    <cellStyle name="Normal 5 3 13" xfId="19173"/>
    <cellStyle name="Normal 5 3 13 2" xfId="19174"/>
    <cellStyle name="Normal 5 3 13 2 2" xfId="35588"/>
    <cellStyle name="Normal 5 3 13 3" xfId="19175"/>
    <cellStyle name="Normal 5 3 13 3 2" xfId="35589"/>
    <cellStyle name="Normal 5 3 13 4" xfId="19176"/>
    <cellStyle name="Normal 5 3 13 4 2" xfId="35590"/>
    <cellStyle name="Normal 5 3 13 5" xfId="19177"/>
    <cellStyle name="Normal 5 3 13 5 2" xfId="35591"/>
    <cellStyle name="Normal 5 3 13 6" xfId="35587"/>
    <cellStyle name="Normal 5 3 14" xfId="19178"/>
    <cellStyle name="Normal 5 3 14 2" xfId="19179"/>
    <cellStyle name="Normal 5 3 14 2 2" xfId="35593"/>
    <cellStyle name="Normal 5 3 14 3" xfId="19180"/>
    <cellStyle name="Normal 5 3 14 3 2" xfId="35594"/>
    <cellStyle name="Normal 5 3 14 4" xfId="19181"/>
    <cellStyle name="Normal 5 3 14 4 2" xfId="35595"/>
    <cellStyle name="Normal 5 3 14 5" xfId="19182"/>
    <cellStyle name="Normal 5 3 14 5 2" xfId="35596"/>
    <cellStyle name="Normal 5 3 14 6" xfId="35592"/>
    <cellStyle name="Normal 5 3 15" xfId="19183"/>
    <cellStyle name="Normal 5 3 15 2" xfId="19184"/>
    <cellStyle name="Normal 5 3 15 2 2" xfId="35598"/>
    <cellStyle name="Normal 5 3 15 3" xfId="19185"/>
    <cellStyle name="Normal 5 3 15 3 2" xfId="35599"/>
    <cellStyle name="Normal 5 3 15 4" xfId="19186"/>
    <cellStyle name="Normal 5 3 15 4 2" xfId="35600"/>
    <cellStyle name="Normal 5 3 15 5" xfId="19187"/>
    <cellStyle name="Normal 5 3 15 5 2" xfId="35601"/>
    <cellStyle name="Normal 5 3 15 6" xfId="35597"/>
    <cellStyle name="Normal 5 3 16" xfId="19188"/>
    <cellStyle name="Normal 5 3 16 2" xfId="19189"/>
    <cellStyle name="Normal 5 3 16 2 2" xfId="35603"/>
    <cellStyle name="Normal 5 3 16 3" xfId="19190"/>
    <cellStyle name="Normal 5 3 16 3 2" xfId="35604"/>
    <cellStyle name="Normal 5 3 16 4" xfId="19191"/>
    <cellStyle name="Normal 5 3 16 4 2" xfId="35605"/>
    <cellStyle name="Normal 5 3 16 5" xfId="19192"/>
    <cellStyle name="Normal 5 3 16 5 2" xfId="35606"/>
    <cellStyle name="Normal 5 3 16 6" xfId="35602"/>
    <cellStyle name="Normal 5 3 17" xfId="19193"/>
    <cellStyle name="Normal 5 3 17 2" xfId="19194"/>
    <cellStyle name="Normal 5 3 17 2 2" xfId="35608"/>
    <cellStyle name="Normal 5 3 17 3" xfId="19195"/>
    <cellStyle name="Normal 5 3 17 3 2" xfId="35609"/>
    <cellStyle name="Normal 5 3 17 4" xfId="19196"/>
    <cellStyle name="Normal 5 3 17 4 2" xfId="35610"/>
    <cellStyle name="Normal 5 3 17 5" xfId="19197"/>
    <cellStyle name="Normal 5 3 17 5 2" xfId="35611"/>
    <cellStyle name="Normal 5 3 17 6" xfId="35607"/>
    <cellStyle name="Normal 5 3 18" xfId="19198"/>
    <cellStyle name="Normal 5 3 18 2" xfId="19199"/>
    <cellStyle name="Normal 5 3 18 2 2" xfId="35613"/>
    <cellStyle name="Normal 5 3 18 3" xfId="19200"/>
    <cellStyle name="Normal 5 3 18 3 2" xfId="35614"/>
    <cellStyle name="Normal 5 3 18 4" xfId="19201"/>
    <cellStyle name="Normal 5 3 18 4 2" xfId="35615"/>
    <cellStyle name="Normal 5 3 18 5" xfId="19202"/>
    <cellStyle name="Normal 5 3 18 5 2" xfId="35616"/>
    <cellStyle name="Normal 5 3 18 6" xfId="35612"/>
    <cellStyle name="Normal 5 3 19" xfId="19203"/>
    <cellStyle name="Normal 5 3 19 2" xfId="19204"/>
    <cellStyle name="Normal 5 3 19 2 2" xfId="35618"/>
    <cellStyle name="Normal 5 3 19 3" xfId="19205"/>
    <cellStyle name="Normal 5 3 19 3 2" xfId="35619"/>
    <cellStyle name="Normal 5 3 19 4" xfId="19206"/>
    <cellStyle name="Normal 5 3 19 4 2" xfId="35620"/>
    <cellStyle name="Normal 5 3 19 5" xfId="19207"/>
    <cellStyle name="Normal 5 3 19 5 2" xfId="35621"/>
    <cellStyle name="Normal 5 3 19 6" xfId="35617"/>
    <cellStyle name="Normal 5 3 2" xfId="19208"/>
    <cellStyle name="Normal 5 3 2 10" xfId="19209"/>
    <cellStyle name="Normal 5 3 2 10 2" xfId="19210"/>
    <cellStyle name="Normal 5 3 2 10 2 2" xfId="35624"/>
    <cellStyle name="Normal 5 3 2 10 3" xfId="19211"/>
    <cellStyle name="Normal 5 3 2 10 3 2" xfId="35625"/>
    <cellStyle name="Normal 5 3 2 10 4" xfId="19212"/>
    <cellStyle name="Normal 5 3 2 10 4 2" xfId="35626"/>
    <cellStyle name="Normal 5 3 2 10 5" xfId="19213"/>
    <cellStyle name="Normal 5 3 2 10 5 2" xfId="35627"/>
    <cellStyle name="Normal 5 3 2 10 6" xfId="35623"/>
    <cellStyle name="Normal 5 3 2 11" xfId="19214"/>
    <cellStyle name="Normal 5 3 2 11 2" xfId="19215"/>
    <cellStyle name="Normal 5 3 2 11 2 2" xfId="35629"/>
    <cellStyle name="Normal 5 3 2 11 3" xfId="19216"/>
    <cellStyle name="Normal 5 3 2 11 3 2" xfId="35630"/>
    <cellStyle name="Normal 5 3 2 11 4" xfId="19217"/>
    <cellStyle name="Normal 5 3 2 11 4 2" xfId="35631"/>
    <cellStyle name="Normal 5 3 2 11 5" xfId="19218"/>
    <cellStyle name="Normal 5 3 2 11 5 2" xfId="35632"/>
    <cellStyle name="Normal 5 3 2 11 6" xfId="35628"/>
    <cellStyle name="Normal 5 3 2 12" xfId="19219"/>
    <cellStyle name="Normal 5 3 2 12 2" xfId="19220"/>
    <cellStyle name="Normal 5 3 2 12 2 2" xfId="35634"/>
    <cellStyle name="Normal 5 3 2 12 3" xfId="19221"/>
    <cellStyle name="Normal 5 3 2 12 3 2" xfId="35635"/>
    <cellStyle name="Normal 5 3 2 12 4" xfId="19222"/>
    <cellStyle name="Normal 5 3 2 12 4 2" xfId="35636"/>
    <cellStyle name="Normal 5 3 2 12 5" xfId="19223"/>
    <cellStyle name="Normal 5 3 2 12 5 2" xfId="35637"/>
    <cellStyle name="Normal 5 3 2 12 6" xfId="35633"/>
    <cellStyle name="Normal 5 3 2 13" xfId="19224"/>
    <cellStyle name="Normal 5 3 2 13 2" xfId="19225"/>
    <cellStyle name="Normal 5 3 2 13 2 2" xfId="35639"/>
    <cellStyle name="Normal 5 3 2 13 3" xfId="19226"/>
    <cellStyle name="Normal 5 3 2 13 3 2" xfId="35640"/>
    <cellStyle name="Normal 5 3 2 13 4" xfId="19227"/>
    <cellStyle name="Normal 5 3 2 13 4 2" xfId="35641"/>
    <cellStyle name="Normal 5 3 2 13 5" xfId="19228"/>
    <cellStyle name="Normal 5 3 2 13 5 2" xfId="35642"/>
    <cellStyle name="Normal 5 3 2 13 6" xfId="35638"/>
    <cellStyle name="Normal 5 3 2 14" xfId="19229"/>
    <cellStyle name="Normal 5 3 2 14 2" xfId="19230"/>
    <cellStyle name="Normal 5 3 2 14 2 2" xfId="35644"/>
    <cellStyle name="Normal 5 3 2 14 3" xfId="19231"/>
    <cellStyle name="Normal 5 3 2 14 3 2" xfId="35645"/>
    <cellStyle name="Normal 5 3 2 14 4" xfId="19232"/>
    <cellStyle name="Normal 5 3 2 14 4 2" xfId="35646"/>
    <cellStyle name="Normal 5 3 2 14 5" xfId="19233"/>
    <cellStyle name="Normal 5 3 2 14 5 2" xfId="35647"/>
    <cellStyle name="Normal 5 3 2 14 6" xfId="35643"/>
    <cellStyle name="Normal 5 3 2 15" xfId="19234"/>
    <cellStyle name="Normal 5 3 2 15 2" xfId="19235"/>
    <cellStyle name="Normal 5 3 2 15 2 2" xfId="35649"/>
    <cellStyle name="Normal 5 3 2 15 3" xfId="19236"/>
    <cellStyle name="Normal 5 3 2 15 3 2" xfId="35650"/>
    <cellStyle name="Normal 5 3 2 15 4" xfId="19237"/>
    <cellStyle name="Normal 5 3 2 15 4 2" xfId="35651"/>
    <cellStyle name="Normal 5 3 2 15 5" xfId="19238"/>
    <cellStyle name="Normal 5 3 2 15 5 2" xfId="35652"/>
    <cellStyle name="Normal 5 3 2 15 6" xfId="35648"/>
    <cellStyle name="Normal 5 3 2 16" xfId="19239"/>
    <cellStyle name="Normal 5 3 2 16 2" xfId="19240"/>
    <cellStyle name="Normal 5 3 2 16 2 2" xfId="35654"/>
    <cellStyle name="Normal 5 3 2 16 3" xfId="19241"/>
    <cellStyle name="Normal 5 3 2 16 3 2" xfId="35655"/>
    <cellStyle name="Normal 5 3 2 16 4" xfId="19242"/>
    <cellStyle name="Normal 5 3 2 16 4 2" xfId="35656"/>
    <cellStyle name="Normal 5 3 2 16 5" xfId="19243"/>
    <cellStyle name="Normal 5 3 2 16 5 2" xfId="35657"/>
    <cellStyle name="Normal 5 3 2 16 6" xfId="35653"/>
    <cellStyle name="Normal 5 3 2 17" xfId="19244"/>
    <cellStyle name="Normal 5 3 2 17 2" xfId="35658"/>
    <cellStyle name="Normal 5 3 2 18" xfId="19245"/>
    <cellStyle name="Normal 5 3 2 18 2" xfId="35659"/>
    <cellStyle name="Normal 5 3 2 19" xfId="19246"/>
    <cellStyle name="Normal 5 3 2 19 2" xfId="35660"/>
    <cellStyle name="Normal 5 3 2 2" xfId="19247"/>
    <cellStyle name="Normal 5 3 2 2 10" xfId="19248"/>
    <cellStyle name="Normal 5 3 2 2 10 2" xfId="35662"/>
    <cellStyle name="Normal 5 3 2 2 11" xfId="19249"/>
    <cellStyle name="Normal 5 3 2 2 11 2" xfId="35663"/>
    <cellStyle name="Normal 5 3 2 2 12" xfId="40733"/>
    <cellStyle name="Normal 5 3 2 2 13" xfId="35661"/>
    <cellStyle name="Normal 5 3 2 2 2" xfId="19250"/>
    <cellStyle name="Normal 5 3 2 2 2 2" xfId="19251"/>
    <cellStyle name="Normal 5 3 2 2 2 2 2" xfId="35665"/>
    <cellStyle name="Normal 5 3 2 2 2 3" xfId="19252"/>
    <cellStyle name="Normal 5 3 2 2 2 3 2" xfId="35666"/>
    <cellStyle name="Normal 5 3 2 2 2 4" xfId="19253"/>
    <cellStyle name="Normal 5 3 2 2 2 4 2" xfId="35667"/>
    <cellStyle name="Normal 5 3 2 2 2 5" xfId="19254"/>
    <cellStyle name="Normal 5 3 2 2 2 5 2" xfId="35668"/>
    <cellStyle name="Normal 5 3 2 2 2 6" xfId="35664"/>
    <cellStyle name="Normal 5 3 2 2 3" xfId="19255"/>
    <cellStyle name="Normal 5 3 2 2 3 2" xfId="19256"/>
    <cellStyle name="Normal 5 3 2 2 3 2 2" xfId="35670"/>
    <cellStyle name="Normal 5 3 2 2 3 3" xfId="19257"/>
    <cellStyle name="Normal 5 3 2 2 3 3 2" xfId="35671"/>
    <cellStyle name="Normal 5 3 2 2 3 4" xfId="19258"/>
    <cellStyle name="Normal 5 3 2 2 3 4 2" xfId="35672"/>
    <cellStyle name="Normal 5 3 2 2 3 5" xfId="19259"/>
    <cellStyle name="Normal 5 3 2 2 3 5 2" xfId="35673"/>
    <cellStyle name="Normal 5 3 2 2 3 6" xfId="35669"/>
    <cellStyle name="Normal 5 3 2 2 4" xfId="19260"/>
    <cellStyle name="Normal 5 3 2 2 4 2" xfId="19261"/>
    <cellStyle name="Normal 5 3 2 2 4 2 2" xfId="35675"/>
    <cellStyle name="Normal 5 3 2 2 4 3" xfId="19262"/>
    <cellStyle name="Normal 5 3 2 2 4 3 2" xfId="35676"/>
    <cellStyle name="Normal 5 3 2 2 4 4" xfId="19263"/>
    <cellStyle name="Normal 5 3 2 2 4 4 2" xfId="35677"/>
    <cellStyle name="Normal 5 3 2 2 4 5" xfId="19264"/>
    <cellStyle name="Normal 5 3 2 2 4 5 2" xfId="35678"/>
    <cellStyle name="Normal 5 3 2 2 4 6" xfId="35674"/>
    <cellStyle name="Normal 5 3 2 2 5" xfId="19265"/>
    <cellStyle name="Normal 5 3 2 2 5 2" xfId="19266"/>
    <cellStyle name="Normal 5 3 2 2 5 2 2" xfId="35680"/>
    <cellStyle name="Normal 5 3 2 2 5 3" xfId="19267"/>
    <cellStyle name="Normal 5 3 2 2 5 3 2" xfId="35681"/>
    <cellStyle name="Normal 5 3 2 2 5 4" xfId="19268"/>
    <cellStyle name="Normal 5 3 2 2 5 4 2" xfId="35682"/>
    <cellStyle name="Normal 5 3 2 2 5 5" xfId="19269"/>
    <cellStyle name="Normal 5 3 2 2 5 5 2" xfId="35683"/>
    <cellStyle name="Normal 5 3 2 2 5 6" xfId="35679"/>
    <cellStyle name="Normal 5 3 2 2 6" xfId="19270"/>
    <cellStyle name="Normal 5 3 2 2 6 2" xfId="19271"/>
    <cellStyle name="Normal 5 3 2 2 6 2 2" xfId="35685"/>
    <cellStyle name="Normal 5 3 2 2 6 3" xfId="19272"/>
    <cellStyle name="Normal 5 3 2 2 6 3 2" xfId="35686"/>
    <cellStyle name="Normal 5 3 2 2 6 4" xfId="19273"/>
    <cellStyle name="Normal 5 3 2 2 6 4 2" xfId="35687"/>
    <cellStyle name="Normal 5 3 2 2 6 5" xfId="19274"/>
    <cellStyle name="Normal 5 3 2 2 6 5 2" xfId="35688"/>
    <cellStyle name="Normal 5 3 2 2 6 6" xfId="35684"/>
    <cellStyle name="Normal 5 3 2 2 7" xfId="19275"/>
    <cellStyle name="Normal 5 3 2 2 7 2" xfId="19276"/>
    <cellStyle name="Normal 5 3 2 2 7 2 2" xfId="35690"/>
    <cellStyle name="Normal 5 3 2 2 7 3" xfId="19277"/>
    <cellStyle name="Normal 5 3 2 2 7 3 2" xfId="35691"/>
    <cellStyle name="Normal 5 3 2 2 7 4" xfId="19278"/>
    <cellStyle name="Normal 5 3 2 2 7 4 2" xfId="35692"/>
    <cellStyle name="Normal 5 3 2 2 7 5" xfId="19279"/>
    <cellStyle name="Normal 5 3 2 2 7 5 2" xfId="35693"/>
    <cellStyle name="Normal 5 3 2 2 7 6" xfId="35689"/>
    <cellStyle name="Normal 5 3 2 2 8" xfId="19280"/>
    <cellStyle name="Normal 5 3 2 2 8 2" xfId="35694"/>
    <cellStyle name="Normal 5 3 2 2 9" xfId="19281"/>
    <cellStyle name="Normal 5 3 2 2 9 2" xfId="35695"/>
    <cellStyle name="Normal 5 3 2 20" xfId="19282"/>
    <cellStyle name="Normal 5 3 2 20 2" xfId="35696"/>
    <cellStyle name="Normal 5 3 2 21" xfId="40732"/>
    <cellStyle name="Normal 5 3 2 22" xfId="35622"/>
    <cellStyle name="Normal 5 3 2 3" xfId="19283"/>
    <cellStyle name="Normal 5 3 2 3 2" xfId="19284"/>
    <cellStyle name="Normal 5 3 2 3 2 2" xfId="19285"/>
    <cellStyle name="Normal 5 3 2 3 2 2 2" xfId="35699"/>
    <cellStyle name="Normal 5 3 2 3 2 3" xfId="19286"/>
    <cellStyle name="Normal 5 3 2 3 2 3 2" xfId="35700"/>
    <cellStyle name="Normal 5 3 2 3 2 4" xfId="19287"/>
    <cellStyle name="Normal 5 3 2 3 2 4 2" xfId="35701"/>
    <cellStyle name="Normal 5 3 2 3 2 5" xfId="19288"/>
    <cellStyle name="Normal 5 3 2 3 2 5 2" xfId="35702"/>
    <cellStyle name="Normal 5 3 2 3 2 6" xfId="35698"/>
    <cellStyle name="Normal 5 3 2 3 3" xfId="19289"/>
    <cellStyle name="Normal 5 3 2 3 3 2" xfId="35703"/>
    <cellStyle name="Normal 5 3 2 3 4" xfId="19290"/>
    <cellStyle name="Normal 5 3 2 3 4 2" xfId="35704"/>
    <cellStyle name="Normal 5 3 2 3 5" xfId="19291"/>
    <cellStyle name="Normal 5 3 2 3 5 2" xfId="35705"/>
    <cellStyle name="Normal 5 3 2 3 6" xfId="19292"/>
    <cellStyle name="Normal 5 3 2 3 6 2" xfId="35706"/>
    <cellStyle name="Normal 5 3 2 3 7" xfId="35697"/>
    <cellStyle name="Normal 5 3 2 4" xfId="19293"/>
    <cellStyle name="Normal 5 3 2 4 2" xfId="19294"/>
    <cellStyle name="Normal 5 3 2 4 2 2" xfId="19295"/>
    <cellStyle name="Normal 5 3 2 4 2 2 2" xfId="35709"/>
    <cellStyle name="Normal 5 3 2 4 2 3" xfId="19296"/>
    <cellStyle name="Normal 5 3 2 4 2 3 2" xfId="35710"/>
    <cellStyle name="Normal 5 3 2 4 2 4" xfId="19297"/>
    <cellStyle name="Normal 5 3 2 4 2 4 2" xfId="35711"/>
    <cellStyle name="Normal 5 3 2 4 2 5" xfId="19298"/>
    <cellStyle name="Normal 5 3 2 4 2 5 2" xfId="35712"/>
    <cellStyle name="Normal 5 3 2 4 2 6" xfId="35708"/>
    <cellStyle name="Normal 5 3 2 4 3" xfId="19299"/>
    <cellStyle name="Normal 5 3 2 4 3 2" xfId="35713"/>
    <cellStyle name="Normal 5 3 2 4 4" xfId="19300"/>
    <cellStyle name="Normal 5 3 2 4 4 2" xfId="35714"/>
    <cellStyle name="Normal 5 3 2 4 5" xfId="19301"/>
    <cellStyle name="Normal 5 3 2 4 5 2" xfId="35715"/>
    <cellStyle name="Normal 5 3 2 4 6" xfId="19302"/>
    <cellStyle name="Normal 5 3 2 4 6 2" xfId="35716"/>
    <cellStyle name="Normal 5 3 2 4 7" xfId="35707"/>
    <cellStyle name="Normal 5 3 2 5" xfId="19303"/>
    <cellStyle name="Normal 5 3 2 5 2" xfId="19304"/>
    <cellStyle name="Normal 5 3 2 5 2 2" xfId="35718"/>
    <cellStyle name="Normal 5 3 2 5 3" xfId="19305"/>
    <cellStyle name="Normal 5 3 2 5 3 2" xfId="35719"/>
    <cellStyle name="Normal 5 3 2 5 4" xfId="19306"/>
    <cellStyle name="Normal 5 3 2 5 4 2" xfId="35720"/>
    <cellStyle name="Normal 5 3 2 5 5" xfId="19307"/>
    <cellStyle name="Normal 5 3 2 5 5 2" xfId="35721"/>
    <cellStyle name="Normal 5 3 2 5 6" xfId="35717"/>
    <cellStyle name="Normal 5 3 2 6" xfId="19308"/>
    <cellStyle name="Normal 5 3 2 6 2" xfId="19309"/>
    <cellStyle name="Normal 5 3 2 6 2 2" xfId="35723"/>
    <cellStyle name="Normal 5 3 2 6 3" xfId="19310"/>
    <cellStyle name="Normal 5 3 2 6 3 2" xfId="35724"/>
    <cellStyle name="Normal 5 3 2 6 4" xfId="19311"/>
    <cellStyle name="Normal 5 3 2 6 4 2" xfId="35725"/>
    <cellStyle name="Normal 5 3 2 6 5" xfId="19312"/>
    <cellStyle name="Normal 5 3 2 6 5 2" xfId="35726"/>
    <cellStyle name="Normal 5 3 2 6 6" xfId="35722"/>
    <cellStyle name="Normal 5 3 2 7" xfId="19313"/>
    <cellStyle name="Normal 5 3 2 7 2" xfId="19314"/>
    <cellStyle name="Normal 5 3 2 7 2 2" xfId="35728"/>
    <cellStyle name="Normal 5 3 2 7 3" xfId="19315"/>
    <cellStyle name="Normal 5 3 2 7 3 2" xfId="35729"/>
    <cellStyle name="Normal 5 3 2 7 4" xfId="19316"/>
    <cellStyle name="Normal 5 3 2 7 4 2" xfId="35730"/>
    <cellStyle name="Normal 5 3 2 7 5" xfId="19317"/>
    <cellStyle name="Normal 5 3 2 7 5 2" xfId="35731"/>
    <cellStyle name="Normal 5 3 2 7 6" xfId="35727"/>
    <cellStyle name="Normal 5 3 2 8" xfId="19318"/>
    <cellStyle name="Normal 5 3 2 8 2" xfId="19319"/>
    <cellStyle name="Normal 5 3 2 8 2 2" xfId="35733"/>
    <cellStyle name="Normal 5 3 2 8 3" xfId="19320"/>
    <cellStyle name="Normal 5 3 2 8 3 2" xfId="35734"/>
    <cellStyle name="Normal 5 3 2 8 4" xfId="19321"/>
    <cellStyle name="Normal 5 3 2 8 4 2" xfId="35735"/>
    <cellStyle name="Normal 5 3 2 8 5" xfId="19322"/>
    <cellStyle name="Normal 5 3 2 8 5 2" xfId="35736"/>
    <cellStyle name="Normal 5 3 2 8 6" xfId="35732"/>
    <cellStyle name="Normal 5 3 2 9" xfId="19323"/>
    <cellStyle name="Normal 5 3 2 9 2" xfId="19324"/>
    <cellStyle name="Normal 5 3 2 9 2 2" xfId="35738"/>
    <cellStyle name="Normal 5 3 2 9 3" xfId="19325"/>
    <cellStyle name="Normal 5 3 2 9 3 2" xfId="35739"/>
    <cellStyle name="Normal 5 3 2 9 4" xfId="19326"/>
    <cellStyle name="Normal 5 3 2 9 4 2" xfId="35740"/>
    <cellStyle name="Normal 5 3 2 9 5" xfId="19327"/>
    <cellStyle name="Normal 5 3 2 9 5 2" xfId="35741"/>
    <cellStyle name="Normal 5 3 2 9 6" xfId="35737"/>
    <cellStyle name="Normal 5 3 20" xfId="19328"/>
    <cellStyle name="Normal 5 3 20 2" xfId="19329"/>
    <cellStyle name="Normal 5 3 20 2 2" xfId="35743"/>
    <cellStyle name="Normal 5 3 20 3" xfId="19330"/>
    <cellStyle name="Normal 5 3 20 3 2" xfId="35744"/>
    <cellStyle name="Normal 5 3 20 4" xfId="19331"/>
    <cellStyle name="Normal 5 3 20 4 2" xfId="35745"/>
    <cellStyle name="Normal 5 3 20 5" xfId="19332"/>
    <cellStyle name="Normal 5 3 20 5 2" xfId="35746"/>
    <cellStyle name="Normal 5 3 20 6" xfId="35742"/>
    <cellStyle name="Normal 5 3 21" xfId="19333"/>
    <cellStyle name="Normal 5 3 21 2" xfId="19334"/>
    <cellStyle name="Normal 5 3 21 2 2" xfId="35748"/>
    <cellStyle name="Normal 5 3 21 3" xfId="19335"/>
    <cellStyle name="Normal 5 3 21 3 2" xfId="35749"/>
    <cellStyle name="Normal 5 3 21 4" xfId="19336"/>
    <cellStyle name="Normal 5 3 21 4 2" xfId="35750"/>
    <cellStyle name="Normal 5 3 21 5" xfId="19337"/>
    <cellStyle name="Normal 5 3 21 5 2" xfId="35751"/>
    <cellStyle name="Normal 5 3 21 6" xfId="35747"/>
    <cellStyle name="Normal 5 3 22" xfId="19338"/>
    <cellStyle name="Normal 5 3 22 2" xfId="19339"/>
    <cellStyle name="Normal 5 3 22 2 2" xfId="35753"/>
    <cellStyle name="Normal 5 3 22 3" xfId="19340"/>
    <cellStyle name="Normal 5 3 22 3 2" xfId="35754"/>
    <cellStyle name="Normal 5 3 22 4" xfId="19341"/>
    <cellStyle name="Normal 5 3 22 4 2" xfId="35755"/>
    <cellStyle name="Normal 5 3 22 5" xfId="19342"/>
    <cellStyle name="Normal 5 3 22 5 2" xfId="35756"/>
    <cellStyle name="Normal 5 3 22 6" xfId="35752"/>
    <cellStyle name="Normal 5 3 23" xfId="19343"/>
    <cellStyle name="Normal 5 3 23 2" xfId="19344"/>
    <cellStyle name="Normal 5 3 23 2 2" xfId="35758"/>
    <cellStyle name="Normal 5 3 23 3" xfId="19345"/>
    <cellStyle name="Normal 5 3 23 3 2" xfId="35759"/>
    <cellStyle name="Normal 5 3 23 4" xfId="19346"/>
    <cellStyle name="Normal 5 3 23 4 2" xfId="35760"/>
    <cellStyle name="Normal 5 3 23 5" xfId="19347"/>
    <cellStyle name="Normal 5 3 23 5 2" xfId="35761"/>
    <cellStyle name="Normal 5 3 23 6" xfId="35757"/>
    <cellStyle name="Normal 5 3 24" xfId="19348"/>
    <cellStyle name="Normal 5 3 24 2" xfId="35762"/>
    <cellStyle name="Normal 5 3 25" xfId="19349"/>
    <cellStyle name="Normal 5 3 25 2" xfId="35763"/>
    <cellStyle name="Normal 5 3 26" xfId="19350"/>
    <cellStyle name="Normal 5 3 26 2" xfId="35764"/>
    <cellStyle name="Normal 5 3 27" xfId="19351"/>
    <cellStyle name="Normal 5 3 27 2" xfId="35765"/>
    <cellStyle name="Normal 5 3 28" xfId="19352"/>
    <cellStyle name="Normal 5 3 28 2" xfId="35766"/>
    <cellStyle name="Normal 5 3 29" xfId="40731"/>
    <cellStyle name="Normal 5 3 3" xfId="19353"/>
    <cellStyle name="Normal 5 3 3 10" xfId="19354"/>
    <cellStyle name="Normal 5 3 3 10 2" xfId="19355"/>
    <cellStyle name="Normal 5 3 3 10 2 2" xfId="35769"/>
    <cellStyle name="Normal 5 3 3 10 3" xfId="19356"/>
    <cellStyle name="Normal 5 3 3 10 3 2" xfId="35770"/>
    <cellStyle name="Normal 5 3 3 10 4" xfId="19357"/>
    <cellStyle name="Normal 5 3 3 10 4 2" xfId="35771"/>
    <cellStyle name="Normal 5 3 3 10 5" xfId="19358"/>
    <cellStyle name="Normal 5 3 3 10 5 2" xfId="35772"/>
    <cellStyle name="Normal 5 3 3 10 6" xfId="35768"/>
    <cellStyle name="Normal 5 3 3 11" xfId="19359"/>
    <cellStyle name="Normal 5 3 3 11 2" xfId="19360"/>
    <cellStyle name="Normal 5 3 3 11 2 2" xfId="35774"/>
    <cellStyle name="Normal 5 3 3 11 3" xfId="19361"/>
    <cellStyle name="Normal 5 3 3 11 3 2" xfId="35775"/>
    <cellStyle name="Normal 5 3 3 11 4" xfId="19362"/>
    <cellStyle name="Normal 5 3 3 11 4 2" xfId="35776"/>
    <cellStyle name="Normal 5 3 3 11 5" xfId="19363"/>
    <cellStyle name="Normal 5 3 3 11 5 2" xfId="35777"/>
    <cellStyle name="Normal 5 3 3 11 6" xfId="35773"/>
    <cellStyle name="Normal 5 3 3 12" xfId="19364"/>
    <cellStyle name="Normal 5 3 3 12 2" xfId="19365"/>
    <cellStyle name="Normal 5 3 3 12 2 2" xfId="35779"/>
    <cellStyle name="Normal 5 3 3 12 3" xfId="19366"/>
    <cellStyle name="Normal 5 3 3 12 3 2" xfId="35780"/>
    <cellStyle name="Normal 5 3 3 12 4" xfId="19367"/>
    <cellStyle name="Normal 5 3 3 12 4 2" xfId="35781"/>
    <cellStyle name="Normal 5 3 3 12 5" xfId="19368"/>
    <cellStyle name="Normal 5 3 3 12 5 2" xfId="35782"/>
    <cellStyle name="Normal 5 3 3 12 6" xfId="35778"/>
    <cellStyle name="Normal 5 3 3 13" xfId="19369"/>
    <cellStyle name="Normal 5 3 3 13 2" xfId="19370"/>
    <cellStyle name="Normal 5 3 3 13 2 2" xfId="35784"/>
    <cellStyle name="Normal 5 3 3 13 3" xfId="19371"/>
    <cellStyle name="Normal 5 3 3 13 3 2" xfId="35785"/>
    <cellStyle name="Normal 5 3 3 13 4" xfId="19372"/>
    <cellStyle name="Normal 5 3 3 13 4 2" xfId="35786"/>
    <cellStyle name="Normal 5 3 3 13 5" xfId="19373"/>
    <cellStyle name="Normal 5 3 3 13 5 2" xfId="35787"/>
    <cellStyle name="Normal 5 3 3 13 6" xfId="35783"/>
    <cellStyle name="Normal 5 3 3 14" xfId="19374"/>
    <cellStyle name="Normal 5 3 3 14 2" xfId="19375"/>
    <cellStyle name="Normal 5 3 3 14 2 2" xfId="35789"/>
    <cellStyle name="Normal 5 3 3 14 3" xfId="19376"/>
    <cellStyle name="Normal 5 3 3 14 3 2" xfId="35790"/>
    <cellStyle name="Normal 5 3 3 14 4" xfId="19377"/>
    <cellStyle name="Normal 5 3 3 14 4 2" xfId="35791"/>
    <cellStyle name="Normal 5 3 3 14 5" xfId="19378"/>
    <cellStyle name="Normal 5 3 3 14 5 2" xfId="35792"/>
    <cellStyle name="Normal 5 3 3 14 6" xfId="35788"/>
    <cellStyle name="Normal 5 3 3 15" xfId="19379"/>
    <cellStyle name="Normal 5 3 3 15 2" xfId="19380"/>
    <cellStyle name="Normal 5 3 3 15 2 2" xfId="35794"/>
    <cellStyle name="Normal 5 3 3 15 3" xfId="19381"/>
    <cellStyle name="Normal 5 3 3 15 3 2" xfId="35795"/>
    <cellStyle name="Normal 5 3 3 15 4" xfId="19382"/>
    <cellStyle name="Normal 5 3 3 15 4 2" xfId="35796"/>
    <cellStyle name="Normal 5 3 3 15 5" xfId="19383"/>
    <cellStyle name="Normal 5 3 3 15 5 2" xfId="35797"/>
    <cellStyle name="Normal 5 3 3 15 6" xfId="35793"/>
    <cellStyle name="Normal 5 3 3 16" xfId="19384"/>
    <cellStyle name="Normal 5 3 3 16 2" xfId="19385"/>
    <cellStyle name="Normal 5 3 3 16 2 2" xfId="35799"/>
    <cellStyle name="Normal 5 3 3 16 3" xfId="19386"/>
    <cellStyle name="Normal 5 3 3 16 3 2" xfId="35800"/>
    <cellStyle name="Normal 5 3 3 16 4" xfId="19387"/>
    <cellStyle name="Normal 5 3 3 16 4 2" xfId="35801"/>
    <cellStyle name="Normal 5 3 3 16 5" xfId="19388"/>
    <cellStyle name="Normal 5 3 3 16 5 2" xfId="35802"/>
    <cellStyle name="Normal 5 3 3 16 6" xfId="35798"/>
    <cellStyle name="Normal 5 3 3 17" xfId="19389"/>
    <cellStyle name="Normal 5 3 3 17 2" xfId="35803"/>
    <cellStyle name="Normal 5 3 3 18" xfId="19390"/>
    <cellStyle name="Normal 5 3 3 18 2" xfId="35804"/>
    <cellStyle name="Normal 5 3 3 19" xfId="19391"/>
    <cellStyle name="Normal 5 3 3 19 2" xfId="35805"/>
    <cellStyle name="Normal 5 3 3 2" xfId="19392"/>
    <cellStyle name="Normal 5 3 3 2 10" xfId="19393"/>
    <cellStyle name="Normal 5 3 3 2 10 2" xfId="35807"/>
    <cellStyle name="Normal 5 3 3 2 11" xfId="19394"/>
    <cellStyle name="Normal 5 3 3 2 11 2" xfId="35808"/>
    <cellStyle name="Normal 5 3 3 2 12" xfId="35806"/>
    <cellStyle name="Normal 5 3 3 2 2" xfId="19395"/>
    <cellStyle name="Normal 5 3 3 2 2 2" xfId="19396"/>
    <cellStyle name="Normal 5 3 3 2 2 2 2" xfId="35810"/>
    <cellStyle name="Normal 5 3 3 2 2 3" xfId="19397"/>
    <cellStyle name="Normal 5 3 3 2 2 3 2" xfId="35811"/>
    <cellStyle name="Normal 5 3 3 2 2 4" xfId="19398"/>
    <cellStyle name="Normal 5 3 3 2 2 4 2" xfId="35812"/>
    <cellStyle name="Normal 5 3 3 2 2 5" xfId="19399"/>
    <cellStyle name="Normal 5 3 3 2 2 5 2" xfId="35813"/>
    <cellStyle name="Normal 5 3 3 2 2 6" xfId="35809"/>
    <cellStyle name="Normal 5 3 3 2 3" xfId="19400"/>
    <cellStyle name="Normal 5 3 3 2 3 2" xfId="19401"/>
    <cellStyle name="Normal 5 3 3 2 3 2 2" xfId="35815"/>
    <cellStyle name="Normal 5 3 3 2 3 3" xfId="19402"/>
    <cellStyle name="Normal 5 3 3 2 3 3 2" xfId="35816"/>
    <cellStyle name="Normal 5 3 3 2 3 4" xfId="19403"/>
    <cellStyle name="Normal 5 3 3 2 3 4 2" xfId="35817"/>
    <cellStyle name="Normal 5 3 3 2 3 5" xfId="19404"/>
    <cellStyle name="Normal 5 3 3 2 3 5 2" xfId="35818"/>
    <cellStyle name="Normal 5 3 3 2 3 6" xfId="35814"/>
    <cellStyle name="Normal 5 3 3 2 4" xfId="19405"/>
    <cellStyle name="Normal 5 3 3 2 4 2" xfId="19406"/>
    <cellStyle name="Normal 5 3 3 2 4 2 2" xfId="35820"/>
    <cellStyle name="Normal 5 3 3 2 4 3" xfId="19407"/>
    <cellStyle name="Normal 5 3 3 2 4 3 2" xfId="35821"/>
    <cellStyle name="Normal 5 3 3 2 4 4" xfId="19408"/>
    <cellStyle name="Normal 5 3 3 2 4 4 2" xfId="35822"/>
    <cellStyle name="Normal 5 3 3 2 4 5" xfId="19409"/>
    <cellStyle name="Normal 5 3 3 2 4 5 2" xfId="35823"/>
    <cellStyle name="Normal 5 3 3 2 4 6" xfId="35819"/>
    <cellStyle name="Normal 5 3 3 2 5" xfId="19410"/>
    <cellStyle name="Normal 5 3 3 2 5 2" xfId="19411"/>
    <cellStyle name="Normal 5 3 3 2 5 2 2" xfId="35825"/>
    <cellStyle name="Normal 5 3 3 2 5 3" xfId="19412"/>
    <cellStyle name="Normal 5 3 3 2 5 3 2" xfId="35826"/>
    <cellStyle name="Normal 5 3 3 2 5 4" xfId="19413"/>
    <cellStyle name="Normal 5 3 3 2 5 4 2" xfId="35827"/>
    <cellStyle name="Normal 5 3 3 2 5 5" xfId="19414"/>
    <cellStyle name="Normal 5 3 3 2 5 5 2" xfId="35828"/>
    <cellStyle name="Normal 5 3 3 2 5 6" xfId="35824"/>
    <cellStyle name="Normal 5 3 3 2 6" xfId="19415"/>
    <cellStyle name="Normal 5 3 3 2 6 2" xfId="19416"/>
    <cellStyle name="Normal 5 3 3 2 6 2 2" xfId="35830"/>
    <cellStyle name="Normal 5 3 3 2 6 3" xfId="19417"/>
    <cellStyle name="Normal 5 3 3 2 6 3 2" xfId="35831"/>
    <cellStyle name="Normal 5 3 3 2 6 4" xfId="19418"/>
    <cellStyle name="Normal 5 3 3 2 6 4 2" xfId="35832"/>
    <cellStyle name="Normal 5 3 3 2 6 5" xfId="19419"/>
    <cellStyle name="Normal 5 3 3 2 6 5 2" xfId="35833"/>
    <cellStyle name="Normal 5 3 3 2 6 6" xfId="35829"/>
    <cellStyle name="Normal 5 3 3 2 7" xfId="19420"/>
    <cellStyle name="Normal 5 3 3 2 7 2" xfId="19421"/>
    <cellStyle name="Normal 5 3 3 2 7 2 2" xfId="35835"/>
    <cellStyle name="Normal 5 3 3 2 7 3" xfId="19422"/>
    <cellStyle name="Normal 5 3 3 2 7 3 2" xfId="35836"/>
    <cellStyle name="Normal 5 3 3 2 7 4" xfId="19423"/>
    <cellStyle name="Normal 5 3 3 2 7 4 2" xfId="35837"/>
    <cellStyle name="Normal 5 3 3 2 7 5" xfId="19424"/>
    <cellStyle name="Normal 5 3 3 2 7 5 2" xfId="35838"/>
    <cellStyle name="Normal 5 3 3 2 7 6" xfId="35834"/>
    <cellStyle name="Normal 5 3 3 2 8" xfId="19425"/>
    <cellStyle name="Normal 5 3 3 2 8 2" xfId="35839"/>
    <cellStyle name="Normal 5 3 3 2 9" xfId="19426"/>
    <cellStyle name="Normal 5 3 3 2 9 2" xfId="35840"/>
    <cellStyle name="Normal 5 3 3 20" xfId="19427"/>
    <cellStyle name="Normal 5 3 3 20 2" xfId="35841"/>
    <cellStyle name="Normal 5 3 3 21" xfId="40734"/>
    <cellStyle name="Normal 5 3 3 22" xfId="35767"/>
    <cellStyle name="Normal 5 3 3 3" xfId="19428"/>
    <cellStyle name="Normal 5 3 3 3 2" xfId="19429"/>
    <cellStyle name="Normal 5 3 3 3 2 2" xfId="19430"/>
    <cellStyle name="Normal 5 3 3 3 2 2 2" xfId="35844"/>
    <cellStyle name="Normal 5 3 3 3 2 3" xfId="19431"/>
    <cellStyle name="Normal 5 3 3 3 2 3 2" xfId="35845"/>
    <cellStyle name="Normal 5 3 3 3 2 4" xfId="19432"/>
    <cellStyle name="Normal 5 3 3 3 2 4 2" xfId="35846"/>
    <cellStyle name="Normal 5 3 3 3 2 5" xfId="19433"/>
    <cellStyle name="Normal 5 3 3 3 2 5 2" xfId="35847"/>
    <cellStyle name="Normal 5 3 3 3 2 6" xfId="35843"/>
    <cellStyle name="Normal 5 3 3 3 3" xfId="19434"/>
    <cellStyle name="Normal 5 3 3 3 3 2" xfId="35848"/>
    <cellStyle name="Normal 5 3 3 3 4" xfId="19435"/>
    <cellStyle name="Normal 5 3 3 3 4 2" xfId="35849"/>
    <cellStyle name="Normal 5 3 3 3 5" xfId="19436"/>
    <cellStyle name="Normal 5 3 3 3 5 2" xfId="35850"/>
    <cellStyle name="Normal 5 3 3 3 6" xfId="19437"/>
    <cellStyle name="Normal 5 3 3 3 6 2" xfId="35851"/>
    <cellStyle name="Normal 5 3 3 3 7" xfId="35842"/>
    <cellStyle name="Normal 5 3 3 4" xfId="19438"/>
    <cellStyle name="Normal 5 3 3 4 2" xfId="19439"/>
    <cellStyle name="Normal 5 3 3 4 2 2" xfId="19440"/>
    <cellStyle name="Normal 5 3 3 4 2 2 2" xfId="35854"/>
    <cellStyle name="Normal 5 3 3 4 2 3" xfId="19441"/>
    <cellStyle name="Normal 5 3 3 4 2 3 2" xfId="35855"/>
    <cellStyle name="Normal 5 3 3 4 2 4" xfId="19442"/>
    <cellStyle name="Normal 5 3 3 4 2 4 2" xfId="35856"/>
    <cellStyle name="Normal 5 3 3 4 2 5" xfId="19443"/>
    <cellStyle name="Normal 5 3 3 4 2 5 2" xfId="35857"/>
    <cellStyle name="Normal 5 3 3 4 2 6" xfId="35853"/>
    <cellStyle name="Normal 5 3 3 4 3" xfId="19444"/>
    <cellStyle name="Normal 5 3 3 4 3 2" xfId="35858"/>
    <cellStyle name="Normal 5 3 3 4 4" xfId="19445"/>
    <cellStyle name="Normal 5 3 3 4 4 2" xfId="35859"/>
    <cellStyle name="Normal 5 3 3 4 5" xfId="19446"/>
    <cellStyle name="Normal 5 3 3 4 5 2" xfId="35860"/>
    <cellStyle name="Normal 5 3 3 4 6" xfId="19447"/>
    <cellStyle name="Normal 5 3 3 4 6 2" xfId="35861"/>
    <cellStyle name="Normal 5 3 3 4 7" xfId="35852"/>
    <cellStyle name="Normal 5 3 3 5" xfId="19448"/>
    <cellStyle name="Normal 5 3 3 5 2" xfId="19449"/>
    <cellStyle name="Normal 5 3 3 5 2 2" xfId="35863"/>
    <cellStyle name="Normal 5 3 3 5 3" xfId="19450"/>
    <cellStyle name="Normal 5 3 3 5 3 2" xfId="35864"/>
    <cellStyle name="Normal 5 3 3 5 4" xfId="19451"/>
    <cellStyle name="Normal 5 3 3 5 4 2" xfId="35865"/>
    <cellStyle name="Normal 5 3 3 5 5" xfId="19452"/>
    <cellStyle name="Normal 5 3 3 5 5 2" xfId="35866"/>
    <cellStyle name="Normal 5 3 3 5 6" xfId="35862"/>
    <cellStyle name="Normal 5 3 3 6" xfId="19453"/>
    <cellStyle name="Normal 5 3 3 6 2" xfId="19454"/>
    <cellStyle name="Normal 5 3 3 6 2 2" xfId="35868"/>
    <cellStyle name="Normal 5 3 3 6 3" xfId="19455"/>
    <cellStyle name="Normal 5 3 3 6 3 2" xfId="35869"/>
    <cellStyle name="Normal 5 3 3 6 4" xfId="19456"/>
    <cellStyle name="Normal 5 3 3 6 4 2" xfId="35870"/>
    <cellStyle name="Normal 5 3 3 6 5" xfId="19457"/>
    <cellStyle name="Normal 5 3 3 6 5 2" xfId="35871"/>
    <cellStyle name="Normal 5 3 3 6 6" xfId="35867"/>
    <cellStyle name="Normal 5 3 3 7" xfId="19458"/>
    <cellStyle name="Normal 5 3 3 7 2" xfId="19459"/>
    <cellStyle name="Normal 5 3 3 7 2 2" xfId="35873"/>
    <cellStyle name="Normal 5 3 3 7 3" xfId="19460"/>
    <cellStyle name="Normal 5 3 3 7 3 2" xfId="35874"/>
    <cellStyle name="Normal 5 3 3 7 4" xfId="19461"/>
    <cellStyle name="Normal 5 3 3 7 4 2" xfId="35875"/>
    <cellStyle name="Normal 5 3 3 7 5" xfId="19462"/>
    <cellStyle name="Normal 5 3 3 7 5 2" xfId="35876"/>
    <cellStyle name="Normal 5 3 3 7 6" xfId="35872"/>
    <cellStyle name="Normal 5 3 3 8" xfId="19463"/>
    <cellStyle name="Normal 5 3 3 8 2" xfId="19464"/>
    <cellStyle name="Normal 5 3 3 8 2 2" xfId="35878"/>
    <cellStyle name="Normal 5 3 3 8 3" xfId="19465"/>
    <cellStyle name="Normal 5 3 3 8 3 2" xfId="35879"/>
    <cellStyle name="Normal 5 3 3 8 4" xfId="19466"/>
    <cellStyle name="Normal 5 3 3 8 4 2" xfId="35880"/>
    <cellStyle name="Normal 5 3 3 8 5" xfId="19467"/>
    <cellStyle name="Normal 5 3 3 8 5 2" xfId="35881"/>
    <cellStyle name="Normal 5 3 3 8 6" xfId="35877"/>
    <cellStyle name="Normal 5 3 3 9" xfId="19468"/>
    <cellStyle name="Normal 5 3 3 9 2" xfId="19469"/>
    <cellStyle name="Normal 5 3 3 9 2 2" xfId="35883"/>
    <cellStyle name="Normal 5 3 3 9 3" xfId="19470"/>
    <cellStyle name="Normal 5 3 3 9 3 2" xfId="35884"/>
    <cellStyle name="Normal 5 3 3 9 4" xfId="19471"/>
    <cellStyle name="Normal 5 3 3 9 4 2" xfId="35885"/>
    <cellStyle name="Normal 5 3 3 9 5" xfId="19472"/>
    <cellStyle name="Normal 5 3 3 9 5 2" xfId="35886"/>
    <cellStyle name="Normal 5 3 3 9 6" xfId="35882"/>
    <cellStyle name="Normal 5 3 4" xfId="19473"/>
    <cellStyle name="Normal 5 3 4 10" xfId="19474"/>
    <cellStyle name="Normal 5 3 4 10 2" xfId="19475"/>
    <cellStyle name="Normal 5 3 4 10 2 2" xfId="35889"/>
    <cellStyle name="Normal 5 3 4 10 3" xfId="19476"/>
    <cellStyle name="Normal 5 3 4 10 3 2" xfId="35890"/>
    <cellStyle name="Normal 5 3 4 10 4" xfId="19477"/>
    <cellStyle name="Normal 5 3 4 10 4 2" xfId="35891"/>
    <cellStyle name="Normal 5 3 4 10 5" xfId="19478"/>
    <cellStyle name="Normal 5 3 4 10 5 2" xfId="35892"/>
    <cellStyle name="Normal 5 3 4 10 6" xfId="35888"/>
    <cellStyle name="Normal 5 3 4 11" xfId="19479"/>
    <cellStyle name="Normal 5 3 4 11 2" xfId="19480"/>
    <cellStyle name="Normal 5 3 4 11 2 2" xfId="35894"/>
    <cellStyle name="Normal 5 3 4 11 3" xfId="19481"/>
    <cellStyle name="Normal 5 3 4 11 3 2" xfId="35895"/>
    <cellStyle name="Normal 5 3 4 11 4" xfId="19482"/>
    <cellStyle name="Normal 5 3 4 11 4 2" xfId="35896"/>
    <cellStyle name="Normal 5 3 4 11 5" xfId="19483"/>
    <cellStyle name="Normal 5 3 4 11 5 2" xfId="35897"/>
    <cellStyle name="Normal 5 3 4 11 6" xfId="35893"/>
    <cellStyle name="Normal 5 3 4 12" xfId="19484"/>
    <cellStyle name="Normal 5 3 4 12 2" xfId="19485"/>
    <cellStyle name="Normal 5 3 4 12 2 2" xfId="35899"/>
    <cellStyle name="Normal 5 3 4 12 3" xfId="19486"/>
    <cellStyle name="Normal 5 3 4 12 3 2" xfId="35900"/>
    <cellStyle name="Normal 5 3 4 12 4" xfId="19487"/>
    <cellStyle name="Normal 5 3 4 12 4 2" xfId="35901"/>
    <cellStyle name="Normal 5 3 4 12 5" xfId="19488"/>
    <cellStyle name="Normal 5 3 4 12 5 2" xfId="35902"/>
    <cellStyle name="Normal 5 3 4 12 6" xfId="35898"/>
    <cellStyle name="Normal 5 3 4 13" xfId="19489"/>
    <cellStyle name="Normal 5 3 4 13 2" xfId="19490"/>
    <cellStyle name="Normal 5 3 4 13 2 2" xfId="35904"/>
    <cellStyle name="Normal 5 3 4 13 3" xfId="19491"/>
    <cellStyle name="Normal 5 3 4 13 3 2" xfId="35905"/>
    <cellStyle name="Normal 5 3 4 13 4" xfId="19492"/>
    <cellStyle name="Normal 5 3 4 13 4 2" xfId="35906"/>
    <cellStyle name="Normal 5 3 4 13 5" xfId="19493"/>
    <cellStyle name="Normal 5 3 4 13 5 2" xfId="35907"/>
    <cellStyle name="Normal 5 3 4 13 6" xfId="35903"/>
    <cellStyle name="Normal 5 3 4 14" xfId="19494"/>
    <cellStyle name="Normal 5 3 4 14 2" xfId="19495"/>
    <cellStyle name="Normal 5 3 4 14 2 2" xfId="35909"/>
    <cellStyle name="Normal 5 3 4 14 3" xfId="19496"/>
    <cellStyle name="Normal 5 3 4 14 3 2" xfId="35910"/>
    <cellStyle name="Normal 5 3 4 14 4" xfId="19497"/>
    <cellStyle name="Normal 5 3 4 14 4 2" xfId="35911"/>
    <cellStyle name="Normal 5 3 4 14 5" xfId="19498"/>
    <cellStyle name="Normal 5 3 4 14 5 2" xfId="35912"/>
    <cellStyle name="Normal 5 3 4 14 6" xfId="35908"/>
    <cellStyle name="Normal 5 3 4 15" xfId="19499"/>
    <cellStyle name="Normal 5 3 4 15 2" xfId="19500"/>
    <cellStyle name="Normal 5 3 4 15 2 2" xfId="35914"/>
    <cellStyle name="Normal 5 3 4 15 3" xfId="19501"/>
    <cellStyle name="Normal 5 3 4 15 3 2" xfId="35915"/>
    <cellStyle name="Normal 5 3 4 15 4" xfId="19502"/>
    <cellStyle name="Normal 5 3 4 15 4 2" xfId="35916"/>
    <cellStyle name="Normal 5 3 4 15 5" xfId="19503"/>
    <cellStyle name="Normal 5 3 4 15 5 2" xfId="35917"/>
    <cellStyle name="Normal 5 3 4 15 6" xfId="35913"/>
    <cellStyle name="Normal 5 3 4 16" xfId="19504"/>
    <cellStyle name="Normal 5 3 4 16 2" xfId="19505"/>
    <cellStyle name="Normal 5 3 4 16 2 2" xfId="35919"/>
    <cellStyle name="Normal 5 3 4 16 3" xfId="19506"/>
    <cellStyle name="Normal 5 3 4 16 3 2" xfId="35920"/>
    <cellStyle name="Normal 5 3 4 16 4" xfId="19507"/>
    <cellStyle name="Normal 5 3 4 16 4 2" xfId="35921"/>
    <cellStyle name="Normal 5 3 4 16 5" xfId="19508"/>
    <cellStyle name="Normal 5 3 4 16 5 2" xfId="35922"/>
    <cellStyle name="Normal 5 3 4 16 6" xfId="35918"/>
    <cellStyle name="Normal 5 3 4 17" xfId="19509"/>
    <cellStyle name="Normal 5 3 4 17 2" xfId="35923"/>
    <cellStyle name="Normal 5 3 4 18" xfId="19510"/>
    <cellStyle name="Normal 5 3 4 18 2" xfId="35924"/>
    <cellStyle name="Normal 5 3 4 19" xfId="19511"/>
    <cellStyle name="Normal 5 3 4 19 2" xfId="35925"/>
    <cellStyle name="Normal 5 3 4 2" xfId="19512"/>
    <cellStyle name="Normal 5 3 4 2 10" xfId="19513"/>
    <cellStyle name="Normal 5 3 4 2 10 2" xfId="35927"/>
    <cellStyle name="Normal 5 3 4 2 11" xfId="19514"/>
    <cellStyle name="Normal 5 3 4 2 11 2" xfId="35928"/>
    <cellStyle name="Normal 5 3 4 2 12" xfId="35926"/>
    <cellStyle name="Normal 5 3 4 2 2" xfId="19515"/>
    <cellStyle name="Normal 5 3 4 2 2 2" xfId="19516"/>
    <cellStyle name="Normal 5 3 4 2 2 2 2" xfId="35930"/>
    <cellStyle name="Normal 5 3 4 2 2 3" xfId="19517"/>
    <cellStyle name="Normal 5 3 4 2 2 3 2" xfId="35931"/>
    <cellStyle name="Normal 5 3 4 2 2 4" xfId="19518"/>
    <cellStyle name="Normal 5 3 4 2 2 4 2" xfId="35932"/>
    <cellStyle name="Normal 5 3 4 2 2 5" xfId="19519"/>
    <cellStyle name="Normal 5 3 4 2 2 5 2" xfId="35933"/>
    <cellStyle name="Normal 5 3 4 2 2 6" xfId="35929"/>
    <cellStyle name="Normal 5 3 4 2 3" xfId="19520"/>
    <cellStyle name="Normal 5 3 4 2 3 2" xfId="19521"/>
    <cellStyle name="Normal 5 3 4 2 3 2 2" xfId="35935"/>
    <cellStyle name="Normal 5 3 4 2 3 3" xfId="19522"/>
    <cellStyle name="Normal 5 3 4 2 3 3 2" xfId="35936"/>
    <cellStyle name="Normal 5 3 4 2 3 4" xfId="19523"/>
    <cellStyle name="Normal 5 3 4 2 3 4 2" xfId="35937"/>
    <cellStyle name="Normal 5 3 4 2 3 5" xfId="19524"/>
    <cellStyle name="Normal 5 3 4 2 3 5 2" xfId="35938"/>
    <cellStyle name="Normal 5 3 4 2 3 6" xfId="35934"/>
    <cellStyle name="Normal 5 3 4 2 4" xfId="19525"/>
    <cellStyle name="Normal 5 3 4 2 4 2" xfId="19526"/>
    <cellStyle name="Normal 5 3 4 2 4 2 2" xfId="35940"/>
    <cellStyle name="Normal 5 3 4 2 4 3" xfId="19527"/>
    <cellStyle name="Normal 5 3 4 2 4 3 2" xfId="35941"/>
    <cellStyle name="Normal 5 3 4 2 4 4" xfId="19528"/>
    <cellStyle name="Normal 5 3 4 2 4 4 2" xfId="35942"/>
    <cellStyle name="Normal 5 3 4 2 4 5" xfId="19529"/>
    <cellStyle name="Normal 5 3 4 2 4 5 2" xfId="35943"/>
    <cellStyle name="Normal 5 3 4 2 4 6" xfId="35939"/>
    <cellStyle name="Normal 5 3 4 2 5" xfId="19530"/>
    <cellStyle name="Normal 5 3 4 2 5 2" xfId="19531"/>
    <cellStyle name="Normal 5 3 4 2 5 2 2" xfId="35945"/>
    <cellStyle name="Normal 5 3 4 2 5 3" xfId="19532"/>
    <cellStyle name="Normal 5 3 4 2 5 3 2" xfId="35946"/>
    <cellStyle name="Normal 5 3 4 2 5 4" xfId="19533"/>
    <cellStyle name="Normal 5 3 4 2 5 4 2" xfId="35947"/>
    <cellStyle name="Normal 5 3 4 2 5 5" xfId="19534"/>
    <cellStyle name="Normal 5 3 4 2 5 5 2" xfId="35948"/>
    <cellStyle name="Normal 5 3 4 2 5 6" xfId="35944"/>
    <cellStyle name="Normal 5 3 4 2 6" xfId="19535"/>
    <cellStyle name="Normal 5 3 4 2 6 2" xfId="19536"/>
    <cellStyle name="Normal 5 3 4 2 6 2 2" xfId="35950"/>
    <cellStyle name="Normal 5 3 4 2 6 3" xfId="19537"/>
    <cellStyle name="Normal 5 3 4 2 6 3 2" xfId="35951"/>
    <cellStyle name="Normal 5 3 4 2 6 4" xfId="19538"/>
    <cellStyle name="Normal 5 3 4 2 6 4 2" xfId="35952"/>
    <cellStyle name="Normal 5 3 4 2 6 5" xfId="19539"/>
    <cellStyle name="Normal 5 3 4 2 6 5 2" xfId="35953"/>
    <cellStyle name="Normal 5 3 4 2 6 6" xfId="35949"/>
    <cellStyle name="Normal 5 3 4 2 7" xfId="19540"/>
    <cellStyle name="Normal 5 3 4 2 7 2" xfId="19541"/>
    <cellStyle name="Normal 5 3 4 2 7 2 2" xfId="35955"/>
    <cellStyle name="Normal 5 3 4 2 7 3" xfId="19542"/>
    <cellStyle name="Normal 5 3 4 2 7 3 2" xfId="35956"/>
    <cellStyle name="Normal 5 3 4 2 7 4" xfId="19543"/>
    <cellStyle name="Normal 5 3 4 2 7 4 2" xfId="35957"/>
    <cellStyle name="Normal 5 3 4 2 7 5" xfId="19544"/>
    <cellStyle name="Normal 5 3 4 2 7 5 2" xfId="35958"/>
    <cellStyle name="Normal 5 3 4 2 7 6" xfId="35954"/>
    <cellStyle name="Normal 5 3 4 2 8" xfId="19545"/>
    <cellStyle name="Normal 5 3 4 2 8 2" xfId="35959"/>
    <cellStyle name="Normal 5 3 4 2 9" xfId="19546"/>
    <cellStyle name="Normal 5 3 4 2 9 2" xfId="35960"/>
    <cellStyle name="Normal 5 3 4 20" xfId="19547"/>
    <cellStyle name="Normal 5 3 4 20 2" xfId="35961"/>
    <cellStyle name="Normal 5 3 4 21" xfId="40735"/>
    <cellStyle name="Normal 5 3 4 22" xfId="35887"/>
    <cellStyle name="Normal 5 3 4 3" xfId="19548"/>
    <cellStyle name="Normal 5 3 4 3 2" xfId="19549"/>
    <cellStyle name="Normal 5 3 4 3 2 2" xfId="19550"/>
    <cellStyle name="Normal 5 3 4 3 2 2 2" xfId="35964"/>
    <cellStyle name="Normal 5 3 4 3 2 3" xfId="19551"/>
    <cellStyle name="Normal 5 3 4 3 2 3 2" xfId="35965"/>
    <cellStyle name="Normal 5 3 4 3 2 4" xfId="19552"/>
    <cellStyle name="Normal 5 3 4 3 2 4 2" xfId="35966"/>
    <cellStyle name="Normal 5 3 4 3 2 5" xfId="19553"/>
    <cellStyle name="Normal 5 3 4 3 2 5 2" xfId="35967"/>
    <cellStyle name="Normal 5 3 4 3 2 6" xfId="35963"/>
    <cellStyle name="Normal 5 3 4 3 3" xfId="19554"/>
    <cellStyle name="Normal 5 3 4 3 3 2" xfId="35968"/>
    <cellStyle name="Normal 5 3 4 3 4" xfId="19555"/>
    <cellStyle name="Normal 5 3 4 3 4 2" xfId="35969"/>
    <cellStyle name="Normal 5 3 4 3 5" xfId="19556"/>
    <cellStyle name="Normal 5 3 4 3 5 2" xfId="35970"/>
    <cellStyle name="Normal 5 3 4 3 6" xfId="19557"/>
    <cellStyle name="Normal 5 3 4 3 6 2" xfId="35971"/>
    <cellStyle name="Normal 5 3 4 3 7" xfId="35962"/>
    <cellStyle name="Normal 5 3 4 4" xfId="19558"/>
    <cellStyle name="Normal 5 3 4 4 2" xfId="19559"/>
    <cellStyle name="Normal 5 3 4 4 2 2" xfId="19560"/>
    <cellStyle name="Normal 5 3 4 4 2 2 2" xfId="35974"/>
    <cellStyle name="Normal 5 3 4 4 2 3" xfId="19561"/>
    <cellStyle name="Normal 5 3 4 4 2 3 2" xfId="35975"/>
    <cellStyle name="Normal 5 3 4 4 2 4" xfId="19562"/>
    <cellStyle name="Normal 5 3 4 4 2 4 2" xfId="35976"/>
    <cellStyle name="Normal 5 3 4 4 2 5" xfId="19563"/>
    <cellStyle name="Normal 5 3 4 4 2 5 2" xfId="35977"/>
    <cellStyle name="Normal 5 3 4 4 2 6" xfId="35973"/>
    <cellStyle name="Normal 5 3 4 4 3" xfId="19564"/>
    <cellStyle name="Normal 5 3 4 4 3 2" xfId="35978"/>
    <cellStyle name="Normal 5 3 4 4 4" xfId="19565"/>
    <cellStyle name="Normal 5 3 4 4 4 2" xfId="35979"/>
    <cellStyle name="Normal 5 3 4 4 5" xfId="19566"/>
    <cellStyle name="Normal 5 3 4 4 5 2" xfId="35980"/>
    <cellStyle name="Normal 5 3 4 4 6" xfId="19567"/>
    <cellStyle name="Normal 5 3 4 4 6 2" xfId="35981"/>
    <cellStyle name="Normal 5 3 4 4 7" xfId="35972"/>
    <cellStyle name="Normal 5 3 4 5" xfId="19568"/>
    <cellStyle name="Normal 5 3 4 5 2" xfId="19569"/>
    <cellStyle name="Normal 5 3 4 5 2 2" xfId="35983"/>
    <cellStyle name="Normal 5 3 4 5 3" xfId="19570"/>
    <cellStyle name="Normal 5 3 4 5 3 2" xfId="35984"/>
    <cellStyle name="Normal 5 3 4 5 4" xfId="19571"/>
    <cellStyle name="Normal 5 3 4 5 4 2" xfId="35985"/>
    <cellStyle name="Normal 5 3 4 5 5" xfId="19572"/>
    <cellStyle name="Normal 5 3 4 5 5 2" xfId="35986"/>
    <cellStyle name="Normal 5 3 4 5 6" xfId="35982"/>
    <cellStyle name="Normal 5 3 4 6" xfId="19573"/>
    <cellStyle name="Normal 5 3 4 6 2" xfId="19574"/>
    <cellStyle name="Normal 5 3 4 6 2 2" xfId="35988"/>
    <cellStyle name="Normal 5 3 4 6 3" xfId="19575"/>
    <cellStyle name="Normal 5 3 4 6 3 2" xfId="35989"/>
    <cellStyle name="Normal 5 3 4 6 4" xfId="19576"/>
    <cellStyle name="Normal 5 3 4 6 4 2" xfId="35990"/>
    <cellStyle name="Normal 5 3 4 6 5" xfId="19577"/>
    <cellStyle name="Normal 5 3 4 6 5 2" xfId="35991"/>
    <cellStyle name="Normal 5 3 4 6 6" xfId="35987"/>
    <cellStyle name="Normal 5 3 4 7" xfId="19578"/>
    <cellStyle name="Normal 5 3 4 7 2" xfId="19579"/>
    <cellStyle name="Normal 5 3 4 7 2 2" xfId="35993"/>
    <cellStyle name="Normal 5 3 4 7 3" xfId="19580"/>
    <cellStyle name="Normal 5 3 4 7 3 2" xfId="35994"/>
    <cellStyle name="Normal 5 3 4 7 4" xfId="19581"/>
    <cellStyle name="Normal 5 3 4 7 4 2" xfId="35995"/>
    <cellStyle name="Normal 5 3 4 7 5" xfId="19582"/>
    <cellStyle name="Normal 5 3 4 7 5 2" xfId="35996"/>
    <cellStyle name="Normal 5 3 4 7 6" xfId="35992"/>
    <cellStyle name="Normal 5 3 4 8" xfId="19583"/>
    <cellStyle name="Normal 5 3 4 8 2" xfId="19584"/>
    <cellStyle name="Normal 5 3 4 8 2 2" xfId="35998"/>
    <cellStyle name="Normal 5 3 4 8 3" xfId="19585"/>
    <cellStyle name="Normal 5 3 4 8 3 2" xfId="35999"/>
    <cellStyle name="Normal 5 3 4 8 4" xfId="19586"/>
    <cellStyle name="Normal 5 3 4 8 4 2" xfId="36000"/>
    <cellStyle name="Normal 5 3 4 8 5" xfId="19587"/>
    <cellStyle name="Normal 5 3 4 8 5 2" xfId="36001"/>
    <cellStyle name="Normal 5 3 4 8 6" xfId="35997"/>
    <cellStyle name="Normal 5 3 4 9" xfId="19588"/>
    <cellStyle name="Normal 5 3 4 9 2" xfId="19589"/>
    <cellStyle name="Normal 5 3 4 9 2 2" xfId="36003"/>
    <cellStyle name="Normal 5 3 4 9 3" xfId="19590"/>
    <cellStyle name="Normal 5 3 4 9 3 2" xfId="36004"/>
    <cellStyle name="Normal 5 3 4 9 4" xfId="19591"/>
    <cellStyle name="Normal 5 3 4 9 4 2" xfId="36005"/>
    <cellStyle name="Normal 5 3 4 9 5" xfId="19592"/>
    <cellStyle name="Normal 5 3 4 9 5 2" xfId="36006"/>
    <cellStyle name="Normal 5 3 4 9 6" xfId="36002"/>
    <cellStyle name="Normal 5 3 5" xfId="19593"/>
    <cellStyle name="Normal 5 3 5 2" xfId="41020"/>
    <cellStyle name="Normal 5 3 6" xfId="19594"/>
    <cellStyle name="Normal 5 3 6 2" xfId="41013"/>
    <cellStyle name="Normal 5 3 7" xfId="19595"/>
    <cellStyle name="Normal 5 3 7 10" xfId="19596"/>
    <cellStyle name="Normal 5 3 7 10 2" xfId="19597"/>
    <cellStyle name="Normal 5 3 7 10 2 2" xfId="36009"/>
    <cellStyle name="Normal 5 3 7 10 3" xfId="19598"/>
    <cellStyle name="Normal 5 3 7 10 3 2" xfId="36010"/>
    <cellStyle name="Normal 5 3 7 10 4" xfId="19599"/>
    <cellStyle name="Normal 5 3 7 10 4 2" xfId="36011"/>
    <cellStyle name="Normal 5 3 7 10 5" xfId="19600"/>
    <cellStyle name="Normal 5 3 7 10 5 2" xfId="36012"/>
    <cellStyle name="Normal 5 3 7 10 6" xfId="36008"/>
    <cellStyle name="Normal 5 3 7 11" xfId="19601"/>
    <cellStyle name="Normal 5 3 7 11 2" xfId="19602"/>
    <cellStyle name="Normal 5 3 7 11 2 2" xfId="36014"/>
    <cellStyle name="Normal 5 3 7 11 3" xfId="19603"/>
    <cellStyle name="Normal 5 3 7 11 3 2" xfId="36015"/>
    <cellStyle name="Normal 5 3 7 11 4" xfId="19604"/>
    <cellStyle name="Normal 5 3 7 11 4 2" xfId="36016"/>
    <cellStyle name="Normal 5 3 7 11 5" xfId="19605"/>
    <cellStyle name="Normal 5 3 7 11 5 2" xfId="36017"/>
    <cellStyle name="Normal 5 3 7 11 6" xfId="36013"/>
    <cellStyle name="Normal 5 3 7 12" xfId="19606"/>
    <cellStyle name="Normal 5 3 7 12 2" xfId="19607"/>
    <cellStyle name="Normal 5 3 7 12 2 2" xfId="36019"/>
    <cellStyle name="Normal 5 3 7 12 3" xfId="19608"/>
    <cellStyle name="Normal 5 3 7 12 3 2" xfId="36020"/>
    <cellStyle name="Normal 5 3 7 12 4" xfId="19609"/>
    <cellStyle name="Normal 5 3 7 12 4 2" xfId="36021"/>
    <cellStyle name="Normal 5 3 7 12 5" xfId="19610"/>
    <cellStyle name="Normal 5 3 7 12 5 2" xfId="36022"/>
    <cellStyle name="Normal 5 3 7 12 6" xfId="36018"/>
    <cellStyle name="Normal 5 3 7 13" xfId="19611"/>
    <cellStyle name="Normal 5 3 7 13 2" xfId="19612"/>
    <cellStyle name="Normal 5 3 7 13 2 2" xfId="36024"/>
    <cellStyle name="Normal 5 3 7 13 3" xfId="19613"/>
    <cellStyle name="Normal 5 3 7 13 3 2" xfId="36025"/>
    <cellStyle name="Normal 5 3 7 13 4" xfId="19614"/>
    <cellStyle name="Normal 5 3 7 13 4 2" xfId="36026"/>
    <cellStyle name="Normal 5 3 7 13 5" xfId="19615"/>
    <cellStyle name="Normal 5 3 7 13 5 2" xfId="36027"/>
    <cellStyle name="Normal 5 3 7 13 6" xfId="36023"/>
    <cellStyle name="Normal 5 3 7 14" xfId="19616"/>
    <cellStyle name="Normal 5 3 7 14 2" xfId="19617"/>
    <cellStyle name="Normal 5 3 7 14 2 2" xfId="36029"/>
    <cellStyle name="Normal 5 3 7 14 3" xfId="19618"/>
    <cellStyle name="Normal 5 3 7 14 3 2" xfId="36030"/>
    <cellStyle name="Normal 5 3 7 14 4" xfId="19619"/>
    <cellStyle name="Normal 5 3 7 14 4 2" xfId="36031"/>
    <cellStyle name="Normal 5 3 7 14 5" xfId="19620"/>
    <cellStyle name="Normal 5 3 7 14 5 2" xfId="36032"/>
    <cellStyle name="Normal 5 3 7 14 6" xfId="36028"/>
    <cellStyle name="Normal 5 3 7 15" xfId="19621"/>
    <cellStyle name="Normal 5 3 7 15 2" xfId="19622"/>
    <cellStyle name="Normal 5 3 7 15 2 2" xfId="36034"/>
    <cellStyle name="Normal 5 3 7 15 3" xfId="19623"/>
    <cellStyle name="Normal 5 3 7 15 3 2" xfId="36035"/>
    <cellStyle name="Normal 5 3 7 15 4" xfId="19624"/>
    <cellStyle name="Normal 5 3 7 15 4 2" xfId="36036"/>
    <cellStyle name="Normal 5 3 7 15 5" xfId="19625"/>
    <cellStyle name="Normal 5 3 7 15 5 2" xfId="36037"/>
    <cellStyle name="Normal 5 3 7 15 6" xfId="36033"/>
    <cellStyle name="Normal 5 3 7 16" xfId="19626"/>
    <cellStyle name="Normal 5 3 7 16 2" xfId="19627"/>
    <cellStyle name="Normal 5 3 7 16 2 2" xfId="36039"/>
    <cellStyle name="Normal 5 3 7 16 3" xfId="19628"/>
    <cellStyle name="Normal 5 3 7 16 3 2" xfId="36040"/>
    <cellStyle name="Normal 5 3 7 16 4" xfId="19629"/>
    <cellStyle name="Normal 5 3 7 16 4 2" xfId="36041"/>
    <cellStyle name="Normal 5 3 7 16 5" xfId="19630"/>
    <cellStyle name="Normal 5 3 7 16 5 2" xfId="36042"/>
    <cellStyle name="Normal 5 3 7 16 6" xfId="36038"/>
    <cellStyle name="Normal 5 3 7 17" xfId="19631"/>
    <cellStyle name="Normal 5 3 7 17 2" xfId="36043"/>
    <cellStyle name="Normal 5 3 7 18" xfId="19632"/>
    <cellStyle name="Normal 5 3 7 18 2" xfId="36044"/>
    <cellStyle name="Normal 5 3 7 19" xfId="19633"/>
    <cellStyle name="Normal 5 3 7 19 2" xfId="36045"/>
    <cellStyle name="Normal 5 3 7 2" xfId="19634"/>
    <cellStyle name="Normal 5 3 7 20" xfId="19635"/>
    <cellStyle name="Normal 5 3 7 20 2" xfId="36046"/>
    <cellStyle name="Normal 5 3 7 21" xfId="36007"/>
    <cellStyle name="Normal 5 3 7 3" xfId="19636"/>
    <cellStyle name="Normal 5 3 7 3 2" xfId="19637"/>
    <cellStyle name="Normal 5 3 7 3 2 2" xfId="36048"/>
    <cellStyle name="Normal 5 3 7 3 3" xfId="19638"/>
    <cellStyle name="Normal 5 3 7 3 3 2" xfId="36049"/>
    <cellStyle name="Normal 5 3 7 3 4" xfId="19639"/>
    <cellStyle name="Normal 5 3 7 3 4 2" xfId="36050"/>
    <cellStyle name="Normal 5 3 7 3 5" xfId="19640"/>
    <cellStyle name="Normal 5 3 7 3 5 2" xfId="36051"/>
    <cellStyle name="Normal 5 3 7 3 6" xfId="36047"/>
    <cellStyle name="Normal 5 3 7 4" xfId="19641"/>
    <cellStyle name="Normal 5 3 7 4 2" xfId="19642"/>
    <cellStyle name="Normal 5 3 7 4 2 2" xfId="36053"/>
    <cellStyle name="Normal 5 3 7 4 3" xfId="19643"/>
    <cellStyle name="Normal 5 3 7 4 3 2" xfId="36054"/>
    <cellStyle name="Normal 5 3 7 4 4" xfId="19644"/>
    <cellStyle name="Normal 5 3 7 4 4 2" xfId="36055"/>
    <cellStyle name="Normal 5 3 7 4 5" xfId="19645"/>
    <cellStyle name="Normal 5 3 7 4 5 2" xfId="36056"/>
    <cellStyle name="Normal 5 3 7 4 6" xfId="36052"/>
    <cellStyle name="Normal 5 3 7 5" xfId="19646"/>
    <cellStyle name="Normal 5 3 7 5 2" xfId="19647"/>
    <cellStyle name="Normal 5 3 7 5 2 2" xfId="36058"/>
    <cellStyle name="Normal 5 3 7 5 3" xfId="19648"/>
    <cellStyle name="Normal 5 3 7 5 3 2" xfId="36059"/>
    <cellStyle name="Normal 5 3 7 5 4" xfId="19649"/>
    <cellStyle name="Normal 5 3 7 5 4 2" xfId="36060"/>
    <cellStyle name="Normal 5 3 7 5 5" xfId="19650"/>
    <cellStyle name="Normal 5 3 7 5 5 2" xfId="36061"/>
    <cellStyle name="Normal 5 3 7 5 6" xfId="36057"/>
    <cellStyle name="Normal 5 3 7 6" xfId="19651"/>
    <cellStyle name="Normal 5 3 7 6 2" xfId="19652"/>
    <cellStyle name="Normal 5 3 7 6 2 2" xfId="36063"/>
    <cellStyle name="Normal 5 3 7 6 3" xfId="19653"/>
    <cellStyle name="Normal 5 3 7 6 3 2" xfId="36064"/>
    <cellStyle name="Normal 5 3 7 6 4" xfId="19654"/>
    <cellStyle name="Normal 5 3 7 6 4 2" xfId="36065"/>
    <cellStyle name="Normal 5 3 7 6 5" xfId="19655"/>
    <cellStyle name="Normal 5 3 7 6 5 2" xfId="36066"/>
    <cellStyle name="Normal 5 3 7 6 6" xfId="36062"/>
    <cellStyle name="Normal 5 3 7 7" xfId="19656"/>
    <cellStyle name="Normal 5 3 7 7 2" xfId="19657"/>
    <cellStyle name="Normal 5 3 7 7 2 2" xfId="36068"/>
    <cellStyle name="Normal 5 3 7 7 3" xfId="19658"/>
    <cellStyle name="Normal 5 3 7 7 3 2" xfId="36069"/>
    <cellStyle name="Normal 5 3 7 7 4" xfId="19659"/>
    <cellStyle name="Normal 5 3 7 7 4 2" xfId="36070"/>
    <cellStyle name="Normal 5 3 7 7 5" xfId="19660"/>
    <cellStyle name="Normal 5 3 7 7 5 2" xfId="36071"/>
    <cellStyle name="Normal 5 3 7 7 6" xfId="36067"/>
    <cellStyle name="Normal 5 3 7 8" xfId="19661"/>
    <cellStyle name="Normal 5 3 7 8 2" xfId="19662"/>
    <cellStyle name="Normal 5 3 7 8 2 2" xfId="36073"/>
    <cellStyle name="Normal 5 3 7 8 3" xfId="19663"/>
    <cellStyle name="Normal 5 3 7 8 3 2" xfId="36074"/>
    <cellStyle name="Normal 5 3 7 8 4" xfId="19664"/>
    <cellStyle name="Normal 5 3 7 8 4 2" xfId="36075"/>
    <cellStyle name="Normal 5 3 7 8 5" xfId="19665"/>
    <cellStyle name="Normal 5 3 7 8 5 2" xfId="36076"/>
    <cellStyle name="Normal 5 3 7 8 6" xfId="36072"/>
    <cellStyle name="Normal 5 3 7 9" xfId="19666"/>
    <cellStyle name="Normal 5 3 7 9 2" xfId="19667"/>
    <cellStyle name="Normal 5 3 7 9 2 2" xfId="36078"/>
    <cellStyle name="Normal 5 3 7 9 3" xfId="19668"/>
    <cellStyle name="Normal 5 3 7 9 3 2" xfId="36079"/>
    <cellStyle name="Normal 5 3 7 9 4" xfId="19669"/>
    <cellStyle name="Normal 5 3 7 9 4 2" xfId="36080"/>
    <cellStyle name="Normal 5 3 7 9 5" xfId="19670"/>
    <cellStyle name="Normal 5 3 7 9 5 2" xfId="36081"/>
    <cellStyle name="Normal 5 3 7 9 6" xfId="36077"/>
    <cellStyle name="Normal 5 3 8" xfId="19671"/>
    <cellStyle name="Normal 5 3 8 2" xfId="19672"/>
    <cellStyle name="Normal 5 3 8 3" xfId="19673"/>
    <cellStyle name="Normal 5 3 8 3 2" xfId="36083"/>
    <cellStyle name="Normal 5 3 8 4" xfId="19674"/>
    <cellStyle name="Normal 5 3 8 4 2" xfId="36084"/>
    <cellStyle name="Normal 5 3 8 5" xfId="19675"/>
    <cellStyle name="Normal 5 3 8 5 2" xfId="36085"/>
    <cellStyle name="Normal 5 3 8 6" xfId="19676"/>
    <cellStyle name="Normal 5 3 8 6 2" xfId="36086"/>
    <cellStyle name="Normal 5 3 8 7" xfId="36082"/>
    <cellStyle name="Normal 5 3 9" xfId="19677"/>
    <cellStyle name="Normal 5 3 9 2" xfId="19678"/>
    <cellStyle name="Normal 5 3 9 3" xfId="19679"/>
    <cellStyle name="Normal 5 3 9 3 2" xfId="36088"/>
    <cellStyle name="Normal 5 3 9 4" xfId="19680"/>
    <cellStyle name="Normal 5 3 9 4 2" xfId="36089"/>
    <cellStyle name="Normal 5 3 9 5" xfId="19681"/>
    <cellStyle name="Normal 5 3 9 5 2" xfId="36090"/>
    <cellStyle name="Normal 5 3 9 6" xfId="19682"/>
    <cellStyle name="Normal 5 3 9 6 2" xfId="36091"/>
    <cellStyle name="Normal 5 3 9 7" xfId="36087"/>
    <cellStyle name="Normal 5 30" xfId="19683"/>
    <cellStyle name="Normal 5 30 2" xfId="19684"/>
    <cellStyle name="Normal 5 30 2 2" xfId="36092"/>
    <cellStyle name="Normal 5 30 3" xfId="19685"/>
    <cellStyle name="Normal 5 30 3 2" xfId="36093"/>
    <cellStyle name="Normal 5 30 4" xfId="19686"/>
    <cellStyle name="Normal 5 30 4 2" xfId="36094"/>
    <cellStyle name="Normal 5 30 5" xfId="19687"/>
    <cellStyle name="Normal 5 30 5 2" xfId="36095"/>
    <cellStyle name="Normal 5 30 6" xfId="19688"/>
    <cellStyle name="Normal 5 30 6 2" xfId="36096"/>
    <cellStyle name="Normal 5 30 7" xfId="19689"/>
    <cellStyle name="Normal 5 30 7 2" xfId="36097"/>
    <cellStyle name="Normal 5 31" xfId="19690"/>
    <cellStyle name="Normal 5 31 2" xfId="19691"/>
    <cellStyle name="Normal 5 31 2 2" xfId="36098"/>
    <cellStyle name="Normal 5 31 3" xfId="19692"/>
    <cellStyle name="Normal 5 31 3 2" xfId="36099"/>
    <cellStyle name="Normal 5 31 4" xfId="19693"/>
    <cellStyle name="Normal 5 31 4 2" xfId="36100"/>
    <cellStyle name="Normal 5 31 5" xfId="19694"/>
    <cellStyle name="Normal 5 31 5 2" xfId="36101"/>
    <cellStyle name="Normal 5 31 6" xfId="19695"/>
    <cellStyle name="Normal 5 31 6 2" xfId="36102"/>
    <cellStyle name="Normal 5 31 7" xfId="19696"/>
    <cellStyle name="Normal 5 31 7 2" xfId="36103"/>
    <cellStyle name="Normal 5 32" xfId="19697"/>
    <cellStyle name="Normal 5 32 2" xfId="19698"/>
    <cellStyle name="Normal 5 32 2 2" xfId="36104"/>
    <cellStyle name="Normal 5 32 3" xfId="19699"/>
    <cellStyle name="Normal 5 32 3 2" xfId="36105"/>
    <cellStyle name="Normal 5 32 4" xfId="19700"/>
    <cellStyle name="Normal 5 32 4 2" xfId="36106"/>
    <cellStyle name="Normal 5 32 5" xfId="19701"/>
    <cellStyle name="Normal 5 32 5 2" xfId="36107"/>
    <cellStyle name="Normal 5 32 6" xfId="19702"/>
    <cellStyle name="Normal 5 32 6 2" xfId="36108"/>
    <cellStyle name="Normal 5 32 7" xfId="19703"/>
    <cellStyle name="Normal 5 32 7 2" xfId="36109"/>
    <cellStyle name="Normal 5 33" xfId="19704"/>
    <cellStyle name="Normal 5 33 2" xfId="19705"/>
    <cellStyle name="Normal 5 33 2 2" xfId="36110"/>
    <cellStyle name="Normal 5 33 3" xfId="19706"/>
    <cellStyle name="Normal 5 33 3 2" xfId="36111"/>
    <cellStyle name="Normal 5 33 4" xfId="19707"/>
    <cellStyle name="Normal 5 33 4 2" xfId="36112"/>
    <cellStyle name="Normal 5 33 5" xfId="19708"/>
    <cellStyle name="Normal 5 33 5 2" xfId="36113"/>
    <cellStyle name="Normal 5 33 6" xfId="19709"/>
    <cellStyle name="Normal 5 33 6 2" xfId="36114"/>
    <cellStyle name="Normal 5 33 7" xfId="19710"/>
    <cellStyle name="Normal 5 33 7 2" xfId="36115"/>
    <cellStyle name="Normal 5 34" xfId="19711"/>
    <cellStyle name="Normal 5 35" xfId="19712"/>
    <cellStyle name="Normal 5 36" xfId="19713"/>
    <cellStyle name="Normal 5 37" xfId="19714"/>
    <cellStyle name="Normal 5 38" xfId="19715"/>
    <cellStyle name="Normal 5 39" xfId="19716"/>
    <cellStyle name="Normal 5 4" xfId="19717"/>
    <cellStyle name="Normal 5 4 10" xfId="19718"/>
    <cellStyle name="Normal 5 4 10 2" xfId="19719"/>
    <cellStyle name="Normal 5 4 10 2 2" xfId="36117"/>
    <cellStyle name="Normal 5 4 10 3" xfId="19720"/>
    <cellStyle name="Normal 5 4 10 3 2" xfId="36118"/>
    <cellStyle name="Normal 5 4 10 4" xfId="19721"/>
    <cellStyle name="Normal 5 4 10 4 2" xfId="36119"/>
    <cellStyle name="Normal 5 4 10 5" xfId="19722"/>
    <cellStyle name="Normal 5 4 10 5 2" xfId="36120"/>
    <cellStyle name="Normal 5 4 10 6" xfId="36116"/>
    <cellStyle name="Normal 5 4 11" xfId="19723"/>
    <cellStyle name="Normal 5 4 11 2" xfId="19724"/>
    <cellStyle name="Normal 5 4 11 2 2" xfId="36122"/>
    <cellStyle name="Normal 5 4 11 3" xfId="19725"/>
    <cellStyle name="Normal 5 4 11 3 2" xfId="36123"/>
    <cellStyle name="Normal 5 4 11 4" xfId="19726"/>
    <cellStyle name="Normal 5 4 11 4 2" xfId="36124"/>
    <cellStyle name="Normal 5 4 11 5" xfId="19727"/>
    <cellStyle name="Normal 5 4 11 5 2" xfId="36125"/>
    <cellStyle name="Normal 5 4 11 6" xfId="36121"/>
    <cellStyle name="Normal 5 4 12" xfId="19728"/>
    <cellStyle name="Normal 5 4 12 2" xfId="19729"/>
    <cellStyle name="Normal 5 4 12 2 2" xfId="36127"/>
    <cellStyle name="Normal 5 4 12 3" xfId="19730"/>
    <cellStyle name="Normal 5 4 12 3 2" xfId="36128"/>
    <cellStyle name="Normal 5 4 12 4" xfId="19731"/>
    <cellStyle name="Normal 5 4 12 4 2" xfId="36129"/>
    <cellStyle name="Normal 5 4 12 5" xfId="19732"/>
    <cellStyle name="Normal 5 4 12 5 2" xfId="36130"/>
    <cellStyle name="Normal 5 4 12 6" xfId="36126"/>
    <cellStyle name="Normal 5 4 13" xfId="19733"/>
    <cellStyle name="Normal 5 4 13 2" xfId="19734"/>
    <cellStyle name="Normal 5 4 13 2 2" xfId="36132"/>
    <cellStyle name="Normal 5 4 13 3" xfId="19735"/>
    <cellStyle name="Normal 5 4 13 3 2" xfId="36133"/>
    <cellStyle name="Normal 5 4 13 4" xfId="19736"/>
    <cellStyle name="Normal 5 4 13 4 2" xfId="36134"/>
    <cellStyle name="Normal 5 4 13 5" xfId="19737"/>
    <cellStyle name="Normal 5 4 13 5 2" xfId="36135"/>
    <cellStyle name="Normal 5 4 13 6" xfId="36131"/>
    <cellStyle name="Normal 5 4 14" xfId="19738"/>
    <cellStyle name="Normal 5 4 14 2" xfId="19739"/>
    <cellStyle name="Normal 5 4 14 2 2" xfId="36137"/>
    <cellStyle name="Normal 5 4 14 3" xfId="19740"/>
    <cellStyle name="Normal 5 4 14 3 2" xfId="36138"/>
    <cellStyle name="Normal 5 4 14 4" xfId="19741"/>
    <cellStyle name="Normal 5 4 14 4 2" xfId="36139"/>
    <cellStyle name="Normal 5 4 14 5" xfId="19742"/>
    <cellStyle name="Normal 5 4 14 5 2" xfId="36140"/>
    <cellStyle name="Normal 5 4 14 6" xfId="36136"/>
    <cellStyle name="Normal 5 4 15" xfId="19743"/>
    <cellStyle name="Normal 5 4 15 2" xfId="19744"/>
    <cellStyle name="Normal 5 4 15 2 2" xfId="36142"/>
    <cellStyle name="Normal 5 4 15 3" xfId="19745"/>
    <cellStyle name="Normal 5 4 15 3 2" xfId="36143"/>
    <cellStyle name="Normal 5 4 15 4" xfId="19746"/>
    <cellStyle name="Normal 5 4 15 4 2" xfId="36144"/>
    <cellStyle name="Normal 5 4 15 5" xfId="19747"/>
    <cellStyle name="Normal 5 4 15 5 2" xfId="36145"/>
    <cellStyle name="Normal 5 4 15 6" xfId="36141"/>
    <cellStyle name="Normal 5 4 16" xfId="19748"/>
    <cellStyle name="Normal 5 4 16 2" xfId="19749"/>
    <cellStyle name="Normal 5 4 16 2 2" xfId="36147"/>
    <cellStyle name="Normal 5 4 16 3" xfId="19750"/>
    <cellStyle name="Normal 5 4 16 3 2" xfId="36148"/>
    <cellStyle name="Normal 5 4 16 4" xfId="19751"/>
    <cellStyle name="Normal 5 4 16 4 2" xfId="36149"/>
    <cellStyle name="Normal 5 4 16 5" xfId="19752"/>
    <cellStyle name="Normal 5 4 16 5 2" xfId="36150"/>
    <cellStyle name="Normal 5 4 16 6" xfId="36146"/>
    <cellStyle name="Normal 5 4 17" xfId="19753"/>
    <cellStyle name="Normal 5 4 17 2" xfId="19754"/>
    <cellStyle name="Normal 5 4 17 2 2" xfId="36152"/>
    <cellStyle name="Normal 5 4 17 3" xfId="19755"/>
    <cellStyle name="Normal 5 4 17 3 2" xfId="36153"/>
    <cellStyle name="Normal 5 4 17 4" xfId="19756"/>
    <cellStyle name="Normal 5 4 17 4 2" xfId="36154"/>
    <cellStyle name="Normal 5 4 17 5" xfId="19757"/>
    <cellStyle name="Normal 5 4 17 5 2" xfId="36155"/>
    <cellStyle name="Normal 5 4 17 6" xfId="36151"/>
    <cellStyle name="Normal 5 4 18" xfId="19758"/>
    <cellStyle name="Normal 5 4 18 2" xfId="19759"/>
    <cellStyle name="Normal 5 4 18 2 2" xfId="36157"/>
    <cellStyle name="Normal 5 4 18 3" xfId="19760"/>
    <cellStyle name="Normal 5 4 18 3 2" xfId="36158"/>
    <cellStyle name="Normal 5 4 18 4" xfId="19761"/>
    <cellStyle name="Normal 5 4 18 4 2" xfId="36159"/>
    <cellStyle name="Normal 5 4 18 5" xfId="19762"/>
    <cellStyle name="Normal 5 4 18 5 2" xfId="36160"/>
    <cellStyle name="Normal 5 4 18 6" xfId="36156"/>
    <cellStyle name="Normal 5 4 19" xfId="19763"/>
    <cellStyle name="Normal 5 4 19 2" xfId="19764"/>
    <cellStyle name="Normal 5 4 19 2 2" xfId="36162"/>
    <cellStyle name="Normal 5 4 19 3" xfId="19765"/>
    <cellStyle name="Normal 5 4 19 3 2" xfId="36163"/>
    <cellStyle name="Normal 5 4 19 4" xfId="19766"/>
    <cellStyle name="Normal 5 4 19 4 2" xfId="36164"/>
    <cellStyle name="Normal 5 4 19 5" xfId="19767"/>
    <cellStyle name="Normal 5 4 19 5 2" xfId="36165"/>
    <cellStyle name="Normal 5 4 19 6" xfId="36161"/>
    <cellStyle name="Normal 5 4 2" xfId="19768"/>
    <cellStyle name="Normal 5 4 2 10" xfId="19769"/>
    <cellStyle name="Normal 5 4 2 11" xfId="19770"/>
    <cellStyle name="Normal 5 4 2 12" xfId="19771"/>
    <cellStyle name="Normal 5 4 2 13" xfId="19772"/>
    <cellStyle name="Normal 5 4 2 14" xfId="19773"/>
    <cellStyle name="Normal 5 4 2 15" xfId="19774"/>
    <cellStyle name="Normal 5 4 2 16" xfId="19775"/>
    <cellStyle name="Normal 5 4 2 17" xfId="19776"/>
    <cellStyle name="Normal 5 4 2 18" xfId="19777"/>
    <cellStyle name="Normal 5 4 2 19" xfId="19778"/>
    <cellStyle name="Normal 5 4 2 2" xfId="19779"/>
    <cellStyle name="Normal 5 4 2 2 2" xfId="19780"/>
    <cellStyle name="Normal 5 4 2 2 3" xfId="19781"/>
    <cellStyle name="Normal 5 4 2 2 4" xfId="19782"/>
    <cellStyle name="Normal 5 4 2 2 5" xfId="19783"/>
    <cellStyle name="Normal 5 4 2 2 6" xfId="19784"/>
    <cellStyle name="Normal 5 4 2 2 7" xfId="19785"/>
    <cellStyle name="Normal 5 4 2 20" xfId="19786"/>
    <cellStyle name="Normal 5 4 2 21" xfId="19787"/>
    <cellStyle name="Normal 5 4 2 22" xfId="40737"/>
    <cellStyle name="Normal 5 4 2 23" xfId="36166"/>
    <cellStyle name="Normal 5 4 2 3" xfId="19788"/>
    <cellStyle name="Normal 5 4 2 4" xfId="19789"/>
    <cellStyle name="Normal 5 4 2 5" xfId="19790"/>
    <cellStyle name="Normal 5 4 2 6" xfId="19791"/>
    <cellStyle name="Normal 5 4 2 7" xfId="19792"/>
    <cellStyle name="Normal 5 4 2 8" xfId="19793"/>
    <cellStyle name="Normal 5 4 2 9" xfId="19794"/>
    <cellStyle name="Normal 5 4 20" xfId="19795"/>
    <cellStyle name="Normal 5 4 20 2" xfId="19796"/>
    <cellStyle name="Normal 5 4 20 2 2" xfId="36168"/>
    <cellStyle name="Normal 5 4 20 3" xfId="19797"/>
    <cellStyle name="Normal 5 4 20 3 2" xfId="36169"/>
    <cellStyle name="Normal 5 4 20 4" xfId="19798"/>
    <cellStyle name="Normal 5 4 20 4 2" xfId="36170"/>
    <cellStyle name="Normal 5 4 20 5" xfId="19799"/>
    <cellStyle name="Normal 5 4 20 5 2" xfId="36171"/>
    <cellStyle name="Normal 5 4 20 6" xfId="36167"/>
    <cellStyle name="Normal 5 4 21" xfId="19800"/>
    <cellStyle name="Normal 5 4 21 2" xfId="36172"/>
    <cellStyle name="Normal 5 4 22" xfId="19801"/>
    <cellStyle name="Normal 5 4 22 2" xfId="36173"/>
    <cellStyle name="Normal 5 4 23" xfId="19802"/>
    <cellStyle name="Normal 5 4 23 2" xfId="36174"/>
    <cellStyle name="Normal 5 4 24" xfId="19803"/>
    <cellStyle name="Normal 5 4 24 2" xfId="36175"/>
    <cellStyle name="Normal 5 4 25" xfId="19804"/>
    <cellStyle name="Normal 5 4 25 2" xfId="36176"/>
    <cellStyle name="Normal 5 4 26" xfId="40736"/>
    <cellStyle name="Normal 5 4 3" xfId="19805"/>
    <cellStyle name="Normal 5 4 3 10" xfId="19806"/>
    <cellStyle name="Normal 5 4 3 11" xfId="19807"/>
    <cellStyle name="Normal 5 4 3 12" xfId="19808"/>
    <cellStyle name="Normal 5 4 3 13" xfId="19809"/>
    <cellStyle name="Normal 5 4 3 14" xfId="19810"/>
    <cellStyle name="Normal 5 4 3 15" xfId="19811"/>
    <cellStyle name="Normal 5 4 3 16" xfId="19812"/>
    <cellStyle name="Normal 5 4 3 17" xfId="40738"/>
    <cellStyle name="Normal 5 4 3 2" xfId="19813"/>
    <cellStyle name="Normal 5 4 3 3" xfId="19814"/>
    <cellStyle name="Normal 5 4 3 4" xfId="19815"/>
    <cellStyle name="Normal 5 4 3 5" xfId="19816"/>
    <cellStyle name="Normal 5 4 3 6" xfId="19817"/>
    <cellStyle name="Normal 5 4 3 7" xfId="19818"/>
    <cellStyle name="Normal 5 4 3 8" xfId="19819"/>
    <cellStyle name="Normal 5 4 3 9" xfId="19820"/>
    <cellStyle name="Normal 5 4 4" xfId="19821"/>
    <cellStyle name="Normal 5 4 4 10" xfId="19822"/>
    <cellStyle name="Normal 5 4 4 10 2" xfId="19823"/>
    <cellStyle name="Normal 5 4 4 10 2 2" xfId="36179"/>
    <cellStyle name="Normal 5 4 4 10 3" xfId="19824"/>
    <cellStyle name="Normal 5 4 4 10 3 2" xfId="36180"/>
    <cellStyle name="Normal 5 4 4 10 4" xfId="19825"/>
    <cellStyle name="Normal 5 4 4 10 4 2" xfId="36181"/>
    <cellStyle name="Normal 5 4 4 10 5" xfId="19826"/>
    <cellStyle name="Normal 5 4 4 10 5 2" xfId="36182"/>
    <cellStyle name="Normal 5 4 4 10 6" xfId="36178"/>
    <cellStyle name="Normal 5 4 4 11" xfId="19827"/>
    <cellStyle name="Normal 5 4 4 11 2" xfId="19828"/>
    <cellStyle name="Normal 5 4 4 11 2 2" xfId="36184"/>
    <cellStyle name="Normal 5 4 4 11 3" xfId="19829"/>
    <cellStyle name="Normal 5 4 4 11 3 2" xfId="36185"/>
    <cellStyle name="Normal 5 4 4 11 4" xfId="19830"/>
    <cellStyle name="Normal 5 4 4 11 4 2" xfId="36186"/>
    <cellStyle name="Normal 5 4 4 11 5" xfId="19831"/>
    <cellStyle name="Normal 5 4 4 11 5 2" xfId="36187"/>
    <cellStyle name="Normal 5 4 4 11 6" xfId="36183"/>
    <cellStyle name="Normal 5 4 4 12" xfId="19832"/>
    <cellStyle name="Normal 5 4 4 12 2" xfId="19833"/>
    <cellStyle name="Normal 5 4 4 12 2 2" xfId="36189"/>
    <cellStyle name="Normal 5 4 4 12 3" xfId="19834"/>
    <cellStyle name="Normal 5 4 4 12 3 2" xfId="36190"/>
    <cellStyle name="Normal 5 4 4 12 4" xfId="19835"/>
    <cellStyle name="Normal 5 4 4 12 4 2" xfId="36191"/>
    <cellStyle name="Normal 5 4 4 12 5" xfId="19836"/>
    <cellStyle name="Normal 5 4 4 12 5 2" xfId="36192"/>
    <cellStyle name="Normal 5 4 4 12 6" xfId="36188"/>
    <cellStyle name="Normal 5 4 4 13" xfId="19837"/>
    <cellStyle name="Normal 5 4 4 13 2" xfId="19838"/>
    <cellStyle name="Normal 5 4 4 13 2 2" xfId="36194"/>
    <cellStyle name="Normal 5 4 4 13 3" xfId="19839"/>
    <cellStyle name="Normal 5 4 4 13 3 2" xfId="36195"/>
    <cellStyle name="Normal 5 4 4 13 4" xfId="19840"/>
    <cellStyle name="Normal 5 4 4 13 4 2" xfId="36196"/>
    <cellStyle name="Normal 5 4 4 13 5" xfId="19841"/>
    <cellStyle name="Normal 5 4 4 13 5 2" xfId="36197"/>
    <cellStyle name="Normal 5 4 4 13 6" xfId="36193"/>
    <cellStyle name="Normal 5 4 4 14" xfId="19842"/>
    <cellStyle name="Normal 5 4 4 14 2" xfId="19843"/>
    <cellStyle name="Normal 5 4 4 14 2 2" xfId="36199"/>
    <cellStyle name="Normal 5 4 4 14 3" xfId="19844"/>
    <cellStyle name="Normal 5 4 4 14 3 2" xfId="36200"/>
    <cellStyle name="Normal 5 4 4 14 4" xfId="19845"/>
    <cellStyle name="Normal 5 4 4 14 4 2" xfId="36201"/>
    <cellStyle name="Normal 5 4 4 14 5" xfId="19846"/>
    <cellStyle name="Normal 5 4 4 14 5 2" xfId="36202"/>
    <cellStyle name="Normal 5 4 4 14 6" xfId="36198"/>
    <cellStyle name="Normal 5 4 4 15" xfId="19847"/>
    <cellStyle name="Normal 5 4 4 15 2" xfId="19848"/>
    <cellStyle name="Normal 5 4 4 15 2 2" xfId="36204"/>
    <cellStyle name="Normal 5 4 4 15 3" xfId="19849"/>
    <cellStyle name="Normal 5 4 4 15 3 2" xfId="36205"/>
    <cellStyle name="Normal 5 4 4 15 4" xfId="19850"/>
    <cellStyle name="Normal 5 4 4 15 4 2" xfId="36206"/>
    <cellStyle name="Normal 5 4 4 15 5" xfId="19851"/>
    <cellStyle name="Normal 5 4 4 15 5 2" xfId="36207"/>
    <cellStyle name="Normal 5 4 4 15 6" xfId="36203"/>
    <cellStyle name="Normal 5 4 4 16" xfId="19852"/>
    <cellStyle name="Normal 5 4 4 16 2" xfId="19853"/>
    <cellStyle name="Normal 5 4 4 16 2 2" xfId="36209"/>
    <cellStyle name="Normal 5 4 4 16 3" xfId="19854"/>
    <cellStyle name="Normal 5 4 4 16 3 2" xfId="36210"/>
    <cellStyle name="Normal 5 4 4 16 4" xfId="19855"/>
    <cellStyle name="Normal 5 4 4 16 4 2" xfId="36211"/>
    <cellStyle name="Normal 5 4 4 16 5" xfId="19856"/>
    <cellStyle name="Normal 5 4 4 16 5 2" xfId="36212"/>
    <cellStyle name="Normal 5 4 4 16 6" xfId="36208"/>
    <cellStyle name="Normal 5 4 4 17" xfId="19857"/>
    <cellStyle name="Normal 5 4 4 17 2" xfId="36213"/>
    <cellStyle name="Normal 5 4 4 18" xfId="19858"/>
    <cellStyle name="Normal 5 4 4 18 2" xfId="36214"/>
    <cellStyle name="Normal 5 4 4 19" xfId="19859"/>
    <cellStyle name="Normal 5 4 4 19 2" xfId="36215"/>
    <cellStyle name="Normal 5 4 4 2" xfId="19860"/>
    <cellStyle name="Normal 5 4 4 20" xfId="19861"/>
    <cellStyle name="Normal 5 4 4 20 2" xfId="36216"/>
    <cellStyle name="Normal 5 4 4 21" xfId="40739"/>
    <cellStyle name="Normal 5 4 4 22" xfId="36177"/>
    <cellStyle name="Normal 5 4 4 3" xfId="19862"/>
    <cellStyle name="Normal 5 4 4 3 2" xfId="19863"/>
    <cellStyle name="Normal 5 4 4 3 2 2" xfId="36218"/>
    <cellStyle name="Normal 5 4 4 3 3" xfId="19864"/>
    <cellStyle name="Normal 5 4 4 3 3 2" xfId="36219"/>
    <cellStyle name="Normal 5 4 4 3 4" xfId="19865"/>
    <cellStyle name="Normal 5 4 4 3 4 2" xfId="36220"/>
    <cellStyle name="Normal 5 4 4 3 5" xfId="19866"/>
    <cellStyle name="Normal 5 4 4 3 5 2" xfId="36221"/>
    <cellStyle name="Normal 5 4 4 3 6" xfId="36217"/>
    <cellStyle name="Normal 5 4 4 4" xfId="19867"/>
    <cellStyle name="Normal 5 4 4 4 2" xfId="19868"/>
    <cellStyle name="Normal 5 4 4 4 2 2" xfId="36223"/>
    <cellStyle name="Normal 5 4 4 4 3" xfId="19869"/>
    <cellStyle name="Normal 5 4 4 4 3 2" xfId="36224"/>
    <cellStyle name="Normal 5 4 4 4 4" xfId="19870"/>
    <cellStyle name="Normal 5 4 4 4 4 2" xfId="36225"/>
    <cellStyle name="Normal 5 4 4 4 5" xfId="19871"/>
    <cellStyle name="Normal 5 4 4 4 5 2" xfId="36226"/>
    <cellStyle name="Normal 5 4 4 4 6" xfId="36222"/>
    <cellStyle name="Normal 5 4 4 5" xfId="19872"/>
    <cellStyle name="Normal 5 4 4 5 2" xfId="19873"/>
    <cellStyle name="Normal 5 4 4 5 2 2" xfId="36228"/>
    <cellStyle name="Normal 5 4 4 5 3" xfId="19874"/>
    <cellStyle name="Normal 5 4 4 5 3 2" xfId="36229"/>
    <cellStyle name="Normal 5 4 4 5 4" xfId="19875"/>
    <cellStyle name="Normal 5 4 4 5 4 2" xfId="36230"/>
    <cellStyle name="Normal 5 4 4 5 5" xfId="19876"/>
    <cellStyle name="Normal 5 4 4 5 5 2" xfId="36231"/>
    <cellStyle name="Normal 5 4 4 5 6" xfId="36227"/>
    <cellStyle name="Normal 5 4 4 6" xfId="19877"/>
    <cellStyle name="Normal 5 4 4 6 2" xfId="19878"/>
    <cellStyle name="Normal 5 4 4 6 2 2" xfId="36233"/>
    <cellStyle name="Normal 5 4 4 6 3" xfId="19879"/>
    <cellStyle name="Normal 5 4 4 6 3 2" xfId="36234"/>
    <cellStyle name="Normal 5 4 4 6 4" xfId="19880"/>
    <cellStyle name="Normal 5 4 4 6 4 2" xfId="36235"/>
    <cellStyle name="Normal 5 4 4 6 5" xfId="19881"/>
    <cellStyle name="Normal 5 4 4 6 5 2" xfId="36236"/>
    <cellStyle name="Normal 5 4 4 6 6" xfId="36232"/>
    <cellStyle name="Normal 5 4 4 7" xfId="19882"/>
    <cellStyle name="Normal 5 4 4 7 2" xfId="19883"/>
    <cellStyle name="Normal 5 4 4 7 2 2" xfId="36238"/>
    <cellStyle name="Normal 5 4 4 7 3" xfId="19884"/>
    <cellStyle name="Normal 5 4 4 7 3 2" xfId="36239"/>
    <cellStyle name="Normal 5 4 4 7 4" xfId="19885"/>
    <cellStyle name="Normal 5 4 4 7 4 2" xfId="36240"/>
    <cellStyle name="Normal 5 4 4 7 5" xfId="19886"/>
    <cellStyle name="Normal 5 4 4 7 5 2" xfId="36241"/>
    <cellStyle name="Normal 5 4 4 7 6" xfId="36237"/>
    <cellStyle name="Normal 5 4 4 8" xfId="19887"/>
    <cellStyle name="Normal 5 4 4 8 2" xfId="19888"/>
    <cellStyle name="Normal 5 4 4 8 2 2" xfId="36243"/>
    <cellStyle name="Normal 5 4 4 8 3" xfId="19889"/>
    <cellStyle name="Normal 5 4 4 8 3 2" xfId="36244"/>
    <cellStyle name="Normal 5 4 4 8 4" xfId="19890"/>
    <cellStyle name="Normal 5 4 4 8 4 2" xfId="36245"/>
    <cellStyle name="Normal 5 4 4 8 5" xfId="19891"/>
    <cellStyle name="Normal 5 4 4 8 5 2" xfId="36246"/>
    <cellStyle name="Normal 5 4 4 8 6" xfId="36242"/>
    <cellStyle name="Normal 5 4 4 9" xfId="19892"/>
    <cellStyle name="Normal 5 4 4 9 2" xfId="19893"/>
    <cellStyle name="Normal 5 4 4 9 2 2" xfId="36248"/>
    <cellStyle name="Normal 5 4 4 9 3" xfId="19894"/>
    <cellStyle name="Normal 5 4 4 9 3 2" xfId="36249"/>
    <cellStyle name="Normal 5 4 4 9 4" xfId="19895"/>
    <cellStyle name="Normal 5 4 4 9 4 2" xfId="36250"/>
    <cellStyle name="Normal 5 4 4 9 5" xfId="19896"/>
    <cellStyle name="Normal 5 4 4 9 5 2" xfId="36251"/>
    <cellStyle name="Normal 5 4 4 9 6" xfId="36247"/>
    <cellStyle name="Normal 5 4 5" xfId="19897"/>
    <cellStyle name="Normal 5 4 5 2" xfId="19898"/>
    <cellStyle name="Normal 5 4 5 3" xfId="19899"/>
    <cellStyle name="Normal 5 4 5 3 2" xfId="36253"/>
    <cellStyle name="Normal 5 4 5 4" xfId="19900"/>
    <cellStyle name="Normal 5 4 5 4 2" xfId="36254"/>
    <cellStyle name="Normal 5 4 5 5" xfId="19901"/>
    <cellStyle name="Normal 5 4 5 5 2" xfId="36255"/>
    <cellStyle name="Normal 5 4 5 6" xfId="19902"/>
    <cellStyle name="Normal 5 4 5 6 2" xfId="36256"/>
    <cellStyle name="Normal 5 4 5 7" xfId="36252"/>
    <cellStyle name="Normal 5 4 6" xfId="19903"/>
    <cellStyle name="Normal 5 4 6 2" xfId="19904"/>
    <cellStyle name="Normal 5 4 6 3" xfId="19905"/>
    <cellStyle name="Normal 5 4 6 3 2" xfId="36258"/>
    <cellStyle name="Normal 5 4 6 4" xfId="19906"/>
    <cellStyle name="Normal 5 4 6 4 2" xfId="36259"/>
    <cellStyle name="Normal 5 4 6 5" xfId="19907"/>
    <cellStyle name="Normal 5 4 6 5 2" xfId="36260"/>
    <cellStyle name="Normal 5 4 6 6" xfId="19908"/>
    <cellStyle name="Normal 5 4 6 6 2" xfId="36261"/>
    <cellStyle name="Normal 5 4 6 7" xfId="36257"/>
    <cellStyle name="Normal 5 4 7" xfId="19909"/>
    <cellStyle name="Normal 5 4 7 2" xfId="19910"/>
    <cellStyle name="Normal 5 4 7 2 2" xfId="36263"/>
    <cellStyle name="Normal 5 4 7 3" xfId="19911"/>
    <cellStyle name="Normal 5 4 7 3 2" xfId="36264"/>
    <cellStyle name="Normal 5 4 7 4" xfId="19912"/>
    <cellStyle name="Normal 5 4 7 4 2" xfId="36265"/>
    <cellStyle name="Normal 5 4 7 5" xfId="19913"/>
    <cellStyle name="Normal 5 4 7 5 2" xfId="36266"/>
    <cellStyle name="Normal 5 4 7 6" xfId="36262"/>
    <cellStyle name="Normal 5 4 8" xfId="19914"/>
    <cellStyle name="Normal 5 4 8 2" xfId="19915"/>
    <cellStyle name="Normal 5 4 8 2 2" xfId="36268"/>
    <cellStyle name="Normal 5 4 8 3" xfId="19916"/>
    <cellStyle name="Normal 5 4 8 3 2" xfId="36269"/>
    <cellStyle name="Normal 5 4 8 4" xfId="19917"/>
    <cellStyle name="Normal 5 4 8 4 2" xfId="36270"/>
    <cellStyle name="Normal 5 4 8 5" xfId="19918"/>
    <cellStyle name="Normal 5 4 8 5 2" xfId="36271"/>
    <cellStyle name="Normal 5 4 8 6" xfId="36267"/>
    <cellStyle name="Normal 5 4 9" xfId="19919"/>
    <cellStyle name="Normal 5 4 9 2" xfId="19920"/>
    <cellStyle name="Normal 5 4 9 2 2" xfId="36273"/>
    <cellStyle name="Normal 5 4 9 3" xfId="19921"/>
    <cellStyle name="Normal 5 4 9 3 2" xfId="36274"/>
    <cellStyle name="Normal 5 4 9 4" xfId="19922"/>
    <cellStyle name="Normal 5 4 9 4 2" xfId="36275"/>
    <cellStyle name="Normal 5 4 9 5" xfId="19923"/>
    <cellStyle name="Normal 5 4 9 5 2" xfId="36276"/>
    <cellStyle name="Normal 5 4 9 6" xfId="36272"/>
    <cellStyle name="Normal 5 40" xfId="19924"/>
    <cellStyle name="Normal 5 41" xfId="19925"/>
    <cellStyle name="Normal 5 42" xfId="19926"/>
    <cellStyle name="Normal 5 43" xfId="19927"/>
    <cellStyle name="Normal 5 44" xfId="19928"/>
    <cellStyle name="Normal 5 45" xfId="19929"/>
    <cellStyle name="Normal 5 46" xfId="19930"/>
    <cellStyle name="Normal 5 47" xfId="19931"/>
    <cellStyle name="Normal 5 48" xfId="19932"/>
    <cellStyle name="Normal 5 49" xfId="19933"/>
    <cellStyle name="Normal 5 5" xfId="19934"/>
    <cellStyle name="Normal 5 5 10" xfId="19935"/>
    <cellStyle name="Normal 5 5 10 2" xfId="19936"/>
    <cellStyle name="Normal 5 5 10 2 2" xfId="36278"/>
    <cellStyle name="Normal 5 5 10 3" xfId="19937"/>
    <cellStyle name="Normal 5 5 10 3 2" xfId="36279"/>
    <cellStyle name="Normal 5 5 10 4" xfId="19938"/>
    <cellStyle name="Normal 5 5 10 4 2" xfId="36280"/>
    <cellStyle name="Normal 5 5 10 5" xfId="19939"/>
    <cellStyle name="Normal 5 5 10 5 2" xfId="36281"/>
    <cellStyle name="Normal 5 5 10 6" xfId="36277"/>
    <cellStyle name="Normal 5 5 11" xfId="19940"/>
    <cellStyle name="Normal 5 5 11 2" xfId="19941"/>
    <cellStyle name="Normal 5 5 11 2 2" xfId="36283"/>
    <cellStyle name="Normal 5 5 11 3" xfId="19942"/>
    <cellStyle name="Normal 5 5 11 3 2" xfId="36284"/>
    <cellStyle name="Normal 5 5 11 4" xfId="19943"/>
    <cellStyle name="Normal 5 5 11 4 2" xfId="36285"/>
    <cellStyle name="Normal 5 5 11 5" xfId="19944"/>
    <cellStyle name="Normal 5 5 11 5 2" xfId="36286"/>
    <cellStyle name="Normal 5 5 11 6" xfId="36282"/>
    <cellStyle name="Normal 5 5 12" xfId="19945"/>
    <cellStyle name="Normal 5 5 12 2" xfId="19946"/>
    <cellStyle name="Normal 5 5 12 2 2" xfId="36288"/>
    <cellStyle name="Normal 5 5 12 3" xfId="19947"/>
    <cellStyle name="Normal 5 5 12 3 2" xfId="36289"/>
    <cellStyle name="Normal 5 5 12 4" xfId="19948"/>
    <cellStyle name="Normal 5 5 12 4 2" xfId="36290"/>
    <cellStyle name="Normal 5 5 12 5" xfId="19949"/>
    <cellStyle name="Normal 5 5 12 5 2" xfId="36291"/>
    <cellStyle name="Normal 5 5 12 6" xfId="36287"/>
    <cellStyle name="Normal 5 5 13" xfId="19950"/>
    <cellStyle name="Normal 5 5 13 2" xfId="19951"/>
    <cellStyle name="Normal 5 5 13 2 2" xfId="36293"/>
    <cellStyle name="Normal 5 5 13 3" xfId="19952"/>
    <cellStyle name="Normal 5 5 13 3 2" xfId="36294"/>
    <cellStyle name="Normal 5 5 13 4" xfId="19953"/>
    <cellStyle name="Normal 5 5 13 4 2" xfId="36295"/>
    <cellStyle name="Normal 5 5 13 5" xfId="19954"/>
    <cellStyle name="Normal 5 5 13 5 2" xfId="36296"/>
    <cellStyle name="Normal 5 5 13 6" xfId="36292"/>
    <cellStyle name="Normal 5 5 14" xfId="19955"/>
    <cellStyle name="Normal 5 5 14 2" xfId="19956"/>
    <cellStyle name="Normal 5 5 14 2 2" xfId="36298"/>
    <cellStyle name="Normal 5 5 14 3" xfId="19957"/>
    <cellStyle name="Normal 5 5 14 3 2" xfId="36299"/>
    <cellStyle name="Normal 5 5 14 4" xfId="19958"/>
    <cellStyle name="Normal 5 5 14 4 2" xfId="36300"/>
    <cellStyle name="Normal 5 5 14 5" xfId="19959"/>
    <cellStyle name="Normal 5 5 14 5 2" xfId="36301"/>
    <cellStyle name="Normal 5 5 14 6" xfId="36297"/>
    <cellStyle name="Normal 5 5 15" xfId="19960"/>
    <cellStyle name="Normal 5 5 15 2" xfId="19961"/>
    <cellStyle name="Normal 5 5 15 2 2" xfId="36303"/>
    <cellStyle name="Normal 5 5 15 3" xfId="19962"/>
    <cellStyle name="Normal 5 5 15 3 2" xfId="36304"/>
    <cellStyle name="Normal 5 5 15 4" xfId="19963"/>
    <cellStyle name="Normal 5 5 15 4 2" xfId="36305"/>
    <cellStyle name="Normal 5 5 15 5" xfId="19964"/>
    <cellStyle name="Normal 5 5 15 5 2" xfId="36306"/>
    <cellStyle name="Normal 5 5 15 6" xfId="36302"/>
    <cellStyle name="Normal 5 5 16" xfId="19965"/>
    <cellStyle name="Normal 5 5 16 2" xfId="19966"/>
    <cellStyle name="Normal 5 5 16 2 2" xfId="36308"/>
    <cellStyle name="Normal 5 5 16 3" xfId="19967"/>
    <cellStyle name="Normal 5 5 16 3 2" xfId="36309"/>
    <cellStyle name="Normal 5 5 16 4" xfId="19968"/>
    <cellStyle name="Normal 5 5 16 4 2" xfId="36310"/>
    <cellStyle name="Normal 5 5 16 5" xfId="19969"/>
    <cellStyle name="Normal 5 5 16 5 2" xfId="36311"/>
    <cellStyle name="Normal 5 5 16 6" xfId="36307"/>
    <cellStyle name="Normal 5 5 17" xfId="19970"/>
    <cellStyle name="Normal 5 5 17 2" xfId="19971"/>
    <cellStyle name="Normal 5 5 17 2 2" xfId="36313"/>
    <cellStyle name="Normal 5 5 17 3" xfId="19972"/>
    <cellStyle name="Normal 5 5 17 3 2" xfId="36314"/>
    <cellStyle name="Normal 5 5 17 4" xfId="19973"/>
    <cellStyle name="Normal 5 5 17 4 2" xfId="36315"/>
    <cellStyle name="Normal 5 5 17 5" xfId="19974"/>
    <cellStyle name="Normal 5 5 17 5 2" xfId="36316"/>
    <cellStyle name="Normal 5 5 17 6" xfId="36312"/>
    <cellStyle name="Normal 5 5 18" xfId="19975"/>
    <cellStyle name="Normal 5 5 18 2" xfId="19976"/>
    <cellStyle name="Normal 5 5 18 2 2" xfId="36318"/>
    <cellStyle name="Normal 5 5 18 3" xfId="19977"/>
    <cellStyle name="Normal 5 5 18 3 2" xfId="36319"/>
    <cellStyle name="Normal 5 5 18 4" xfId="19978"/>
    <cellStyle name="Normal 5 5 18 4 2" xfId="36320"/>
    <cellStyle name="Normal 5 5 18 5" xfId="19979"/>
    <cellStyle name="Normal 5 5 18 5 2" xfId="36321"/>
    <cellStyle name="Normal 5 5 18 6" xfId="36317"/>
    <cellStyle name="Normal 5 5 19" xfId="19980"/>
    <cellStyle name="Normal 5 5 19 2" xfId="19981"/>
    <cellStyle name="Normal 5 5 19 2 2" xfId="36323"/>
    <cellStyle name="Normal 5 5 19 3" xfId="19982"/>
    <cellStyle name="Normal 5 5 19 3 2" xfId="36324"/>
    <cellStyle name="Normal 5 5 19 4" xfId="19983"/>
    <cellStyle name="Normal 5 5 19 4 2" xfId="36325"/>
    <cellStyle name="Normal 5 5 19 5" xfId="19984"/>
    <cellStyle name="Normal 5 5 19 5 2" xfId="36326"/>
    <cellStyle name="Normal 5 5 19 6" xfId="36322"/>
    <cellStyle name="Normal 5 5 2" xfId="19985"/>
    <cellStyle name="Normal 5 5 2 10" xfId="19986"/>
    <cellStyle name="Normal 5 5 2 11" xfId="19987"/>
    <cellStyle name="Normal 5 5 2 12" xfId="19988"/>
    <cellStyle name="Normal 5 5 2 13" xfId="19989"/>
    <cellStyle name="Normal 5 5 2 14" xfId="19990"/>
    <cellStyle name="Normal 5 5 2 15" xfId="19991"/>
    <cellStyle name="Normal 5 5 2 16" xfId="19992"/>
    <cellStyle name="Normal 5 5 2 17" xfId="19993"/>
    <cellStyle name="Normal 5 5 2 18" xfId="19994"/>
    <cellStyle name="Normal 5 5 2 19" xfId="19995"/>
    <cellStyle name="Normal 5 5 2 2" xfId="19996"/>
    <cellStyle name="Normal 5 5 2 2 2" xfId="19997"/>
    <cellStyle name="Normal 5 5 2 2 3" xfId="19998"/>
    <cellStyle name="Normal 5 5 2 2 4" xfId="19999"/>
    <cellStyle name="Normal 5 5 2 2 5" xfId="20000"/>
    <cellStyle name="Normal 5 5 2 2 6" xfId="20001"/>
    <cellStyle name="Normal 5 5 2 2 7" xfId="20002"/>
    <cellStyle name="Normal 5 5 2 20" xfId="20003"/>
    <cellStyle name="Normal 5 5 2 21" xfId="20004"/>
    <cellStyle name="Normal 5 5 2 22" xfId="40741"/>
    <cellStyle name="Normal 5 5 2 23" xfId="36327"/>
    <cellStyle name="Normal 5 5 2 3" xfId="20005"/>
    <cellStyle name="Normal 5 5 2 4" xfId="20006"/>
    <cellStyle name="Normal 5 5 2 5" xfId="20007"/>
    <cellStyle name="Normal 5 5 2 6" xfId="20008"/>
    <cellStyle name="Normal 5 5 2 7" xfId="20009"/>
    <cellStyle name="Normal 5 5 2 8" xfId="20010"/>
    <cellStyle name="Normal 5 5 2 9" xfId="20011"/>
    <cellStyle name="Normal 5 5 20" xfId="20012"/>
    <cellStyle name="Normal 5 5 20 2" xfId="20013"/>
    <cellStyle name="Normal 5 5 20 2 2" xfId="36329"/>
    <cellStyle name="Normal 5 5 20 3" xfId="20014"/>
    <cellStyle name="Normal 5 5 20 3 2" xfId="36330"/>
    <cellStyle name="Normal 5 5 20 4" xfId="20015"/>
    <cellStyle name="Normal 5 5 20 4 2" xfId="36331"/>
    <cellStyle name="Normal 5 5 20 5" xfId="20016"/>
    <cellStyle name="Normal 5 5 20 5 2" xfId="36332"/>
    <cellStyle name="Normal 5 5 20 6" xfId="36328"/>
    <cellStyle name="Normal 5 5 21" xfId="20017"/>
    <cellStyle name="Normal 5 5 21 2" xfId="36333"/>
    <cellStyle name="Normal 5 5 22" xfId="20018"/>
    <cellStyle name="Normal 5 5 22 2" xfId="36334"/>
    <cellStyle name="Normal 5 5 23" xfId="20019"/>
    <cellStyle name="Normal 5 5 23 2" xfId="36335"/>
    <cellStyle name="Normal 5 5 24" xfId="20020"/>
    <cellStyle name="Normal 5 5 24 2" xfId="36336"/>
    <cellStyle name="Normal 5 5 25" xfId="20021"/>
    <cellStyle name="Normal 5 5 25 2" xfId="36337"/>
    <cellStyle name="Normal 5 5 26" xfId="40740"/>
    <cellStyle name="Normal 5 5 3" xfId="20022"/>
    <cellStyle name="Normal 5 5 3 10" xfId="20023"/>
    <cellStyle name="Normal 5 5 3 11" xfId="20024"/>
    <cellStyle name="Normal 5 5 3 12" xfId="20025"/>
    <cellStyle name="Normal 5 5 3 13" xfId="20026"/>
    <cellStyle name="Normal 5 5 3 14" xfId="20027"/>
    <cellStyle name="Normal 5 5 3 15" xfId="20028"/>
    <cellStyle name="Normal 5 5 3 16" xfId="20029"/>
    <cellStyle name="Normal 5 5 3 17" xfId="40742"/>
    <cellStyle name="Normal 5 5 3 2" xfId="20030"/>
    <cellStyle name="Normal 5 5 3 3" xfId="20031"/>
    <cellStyle name="Normal 5 5 3 4" xfId="20032"/>
    <cellStyle name="Normal 5 5 3 5" xfId="20033"/>
    <cellStyle name="Normal 5 5 3 6" xfId="20034"/>
    <cellStyle name="Normal 5 5 3 7" xfId="20035"/>
    <cellStyle name="Normal 5 5 3 8" xfId="20036"/>
    <cellStyle name="Normal 5 5 3 9" xfId="20037"/>
    <cellStyle name="Normal 5 5 4" xfId="20038"/>
    <cellStyle name="Normal 5 5 4 10" xfId="20039"/>
    <cellStyle name="Normal 5 5 4 10 2" xfId="20040"/>
    <cellStyle name="Normal 5 5 4 10 2 2" xfId="36340"/>
    <cellStyle name="Normal 5 5 4 10 3" xfId="20041"/>
    <cellStyle name="Normal 5 5 4 10 3 2" xfId="36341"/>
    <cellStyle name="Normal 5 5 4 10 4" xfId="20042"/>
    <cellStyle name="Normal 5 5 4 10 4 2" xfId="36342"/>
    <cellStyle name="Normal 5 5 4 10 5" xfId="20043"/>
    <cellStyle name="Normal 5 5 4 10 5 2" xfId="36343"/>
    <cellStyle name="Normal 5 5 4 10 6" xfId="36339"/>
    <cellStyle name="Normal 5 5 4 11" xfId="20044"/>
    <cellStyle name="Normal 5 5 4 11 2" xfId="20045"/>
    <cellStyle name="Normal 5 5 4 11 2 2" xfId="36345"/>
    <cellStyle name="Normal 5 5 4 11 3" xfId="20046"/>
    <cellStyle name="Normal 5 5 4 11 3 2" xfId="36346"/>
    <cellStyle name="Normal 5 5 4 11 4" xfId="20047"/>
    <cellStyle name="Normal 5 5 4 11 4 2" xfId="36347"/>
    <cellStyle name="Normal 5 5 4 11 5" xfId="20048"/>
    <cellStyle name="Normal 5 5 4 11 5 2" xfId="36348"/>
    <cellStyle name="Normal 5 5 4 11 6" xfId="36344"/>
    <cellStyle name="Normal 5 5 4 12" xfId="20049"/>
    <cellStyle name="Normal 5 5 4 12 2" xfId="20050"/>
    <cellStyle name="Normal 5 5 4 12 2 2" xfId="36350"/>
    <cellStyle name="Normal 5 5 4 12 3" xfId="20051"/>
    <cellStyle name="Normal 5 5 4 12 3 2" xfId="36351"/>
    <cellStyle name="Normal 5 5 4 12 4" xfId="20052"/>
    <cellStyle name="Normal 5 5 4 12 4 2" xfId="36352"/>
    <cellStyle name="Normal 5 5 4 12 5" xfId="20053"/>
    <cellStyle name="Normal 5 5 4 12 5 2" xfId="36353"/>
    <cellStyle name="Normal 5 5 4 12 6" xfId="36349"/>
    <cellStyle name="Normal 5 5 4 13" xfId="20054"/>
    <cellStyle name="Normal 5 5 4 13 2" xfId="20055"/>
    <cellStyle name="Normal 5 5 4 13 2 2" xfId="36355"/>
    <cellStyle name="Normal 5 5 4 13 3" xfId="20056"/>
    <cellStyle name="Normal 5 5 4 13 3 2" xfId="36356"/>
    <cellStyle name="Normal 5 5 4 13 4" xfId="20057"/>
    <cellStyle name="Normal 5 5 4 13 4 2" xfId="36357"/>
    <cellStyle name="Normal 5 5 4 13 5" xfId="20058"/>
    <cellStyle name="Normal 5 5 4 13 5 2" xfId="36358"/>
    <cellStyle name="Normal 5 5 4 13 6" xfId="36354"/>
    <cellStyle name="Normal 5 5 4 14" xfId="20059"/>
    <cellStyle name="Normal 5 5 4 14 2" xfId="20060"/>
    <cellStyle name="Normal 5 5 4 14 2 2" xfId="36360"/>
    <cellStyle name="Normal 5 5 4 14 3" xfId="20061"/>
    <cellStyle name="Normal 5 5 4 14 3 2" xfId="36361"/>
    <cellStyle name="Normal 5 5 4 14 4" xfId="20062"/>
    <cellStyle name="Normal 5 5 4 14 4 2" xfId="36362"/>
    <cellStyle name="Normal 5 5 4 14 5" xfId="20063"/>
    <cellStyle name="Normal 5 5 4 14 5 2" xfId="36363"/>
    <cellStyle name="Normal 5 5 4 14 6" xfId="36359"/>
    <cellStyle name="Normal 5 5 4 15" xfId="20064"/>
    <cellStyle name="Normal 5 5 4 15 2" xfId="20065"/>
    <cellStyle name="Normal 5 5 4 15 2 2" xfId="36365"/>
    <cellStyle name="Normal 5 5 4 15 3" xfId="20066"/>
    <cellStyle name="Normal 5 5 4 15 3 2" xfId="36366"/>
    <cellStyle name="Normal 5 5 4 15 4" xfId="20067"/>
    <cellStyle name="Normal 5 5 4 15 4 2" xfId="36367"/>
    <cellStyle name="Normal 5 5 4 15 5" xfId="20068"/>
    <cellStyle name="Normal 5 5 4 15 5 2" xfId="36368"/>
    <cellStyle name="Normal 5 5 4 15 6" xfId="36364"/>
    <cellStyle name="Normal 5 5 4 16" xfId="20069"/>
    <cellStyle name="Normal 5 5 4 16 2" xfId="20070"/>
    <cellStyle name="Normal 5 5 4 16 2 2" xfId="36370"/>
    <cellStyle name="Normal 5 5 4 16 3" xfId="20071"/>
    <cellStyle name="Normal 5 5 4 16 3 2" xfId="36371"/>
    <cellStyle name="Normal 5 5 4 16 4" xfId="20072"/>
    <cellStyle name="Normal 5 5 4 16 4 2" xfId="36372"/>
    <cellStyle name="Normal 5 5 4 16 5" xfId="20073"/>
    <cellStyle name="Normal 5 5 4 16 5 2" xfId="36373"/>
    <cellStyle name="Normal 5 5 4 16 6" xfId="36369"/>
    <cellStyle name="Normal 5 5 4 17" xfId="20074"/>
    <cellStyle name="Normal 5 5 4 17 2" xfId="36374"/>
    <cellStyle name="Normal 5 5 4 18" xfId="20075"/>
    <cellStyle name="Normal 5 5 4 18 2" xfId="36375"/>
    <cellStyle name="Normal 5 5 4 19" xfId="20076"/>
    <cellStyle name="Normal 5 5 4 19 2" xfId="36376"/>
    <cellStyle name="Normal 5 5 4 2" xfId="20077"/>
    <cellStyle name="Normal 5 5 4 20" xfId="20078"/>
    <cellStyle name="Normal 5 5 4 20 2" xfId="36377"/>
    <cellStyle name="Normal 5 5 4 21" xfId="40743"/>
    <cellStyle name="Normal 5 5 4 22" xfId="36338"/>
    <cellStyle name="Normal 5 5 4 3" xfId="20079"/>
    <cellStyle name="Normal 5 5 4 3 2" xfId="20080"/>
    <cellStyle name="Normal 5 5 4 3 2 2" xfId="36379"/>
    <cellStyle name="Normal 5 5 4 3 3" xfId="20081"/>
    <cellStyle name="Normal 5 5 4 3 3 2" xfId="36380"/>
    <cellStyle name="Normal 5 5 4 3 4" xfId="20082"/>
    <cellStyle name="Normal 5 5 4 3 4 2" xfId="36381"/>
    <cellStyle name="Normal 5 5 4 3 5" xfId="20083"/>
    <cellStyle name="Normal 5 5 4 3 5 2" xfId="36382"/>
    <cellStyle name="Normal 5 5 4 3 6" xfId="36378"/>
    <cellStyle name="Normal 5 5 4 4" xfId="20084"/>
    <cellStyle name="Normal 5 5 4 4 2" xfId="20085"/>
    <cellStyle name="Normal 5 5 4 4 2 2" xfId="36384"/>
    <cellStyle name="Normal 5 5 4 4 3" xfId="20086"/>
    <cellStyle name="Normal 5 5 4 4 3 2" xfId="36385"/>
    <cellStyle name="Normal 5 5 4 4 4" xfId="20087"/>
    <cellStyle name="Normal 5 5 4 4 4 2" xfId="36386"/>
    <cellStyle name="Normal 5 5 4 4 5" xfId="20088"/>
    <cellStyle name="Normal 5 5 4 4 5 2" xfId="36387"/>
    <cellStyle name="Normal 5 5 4 4 6" xfId="36383"/>
    <cellStyle name="Normal 5 5 4 5" xfId="20089"/>
    <cellStyle name="Normal 5 5 4 5 2" xfId="20090"/>
    <cellStyle name="Normal 5 5 4 5 2 2" xfId="36389"/>
    <cellStyle name="Normal 5 5 4 5 3" xfId="20091"/>
    <cellStyle name="Normal 5 5 4 5 3 2" xfId="36390"/>
    <cellStyle name="Normal 5 5 4 5 4" xfId="20092"/>
    <cellStyle name="Normal 5 5 4 5 4 2" xfId="36391"/>
    <cellStyle name="Normal 5 5 4 5 5" xfId="20093"/>
    <cellStyle name="Normal 5 5 4 5 5 2" xfId="36392"/>
    <cellStyle name="Normal 5 5 4 5 6" xfId="36388"/>
    <cellStyle name="Normal 5 5 4 6" xfId="20094"/>
    <cellStyle name="Normal 5 5 4 6 2" xfId="20095"/>
    <cellStyle name="Normal 5 5 4 6 2 2" xfId="36394"/>
    <cellStyle name="Normal 5 5 4 6 3" xfId="20096"/>
    <cellStyle name="Normal 5 5 4 6 3 2" xfId="36395"/>
    <cellStyle name="Normal 5 5 4 6 4" xfId="20097"/>
    <cellStyle name="Normal 5 5 4 6 4 2" xfId="36396"/>
    <cellStyle name="Normal 5 5 4 6 5" xfId="20098"/>
    <cellStyle name="Normal 5 5 4 6 5 2" xfId="36397"/>
    <cellStyle name="Normal 5 5 4 6 6" xfId="36393"/>
    <cellStyle name="Normal 5 5 4 7" xfId="20099"/>
    <cellStyle name="Normal 5 5 4 7 2" xfId="20100"/>
    <cellStyle name="Normal 5 5 4 7 2 2" xfId="36399"/>
    <cellStyle name="Normal 5 5 4 7 3" xfId="20101"/>
    <cellStyle name="Normal 5 5 4 7 3 2" xfId="36400"/>
    <cellStyle name="Normal 5 5 4 7 4" xfId="20102"/>
    <cellStyle name="Normal 5 5 4 7 4 2" xfId="36401"/>
    <cellStyle name="Normal 5 5 4 7 5" xfId="20103"/>
    <cellStyle name="Normal 5 5 4 7 5 2" xfId="36402"/>
    <cellStyle name="Normal 5 5 4 7 6" xfId="36398"/>
    <cellStyle name="Normal 5 5 4 8" xfId="20104"/>
    <cellStyle name="Normal 5 5 4 8 2" xfId="20105"/>
    <cellStyle name="Normal 5 5 4 8 2 2" xfId="36404"/>
    <cellStyle name="Normal 5 5 4 8 3" xfId="20106"/>
    <cellStyle name="Normal 5 5 4 8 3 2" xfId="36405"/>
    <cellStyle name="Normal 5 5 4 8 4" xfId="20107"/>
    <cellStyle name="Normal 5 5 4 8 4 2" xfId="36406"/>
    <cellStyle name="Normal 5 5 4 8 5" xfId="20108"/>
    <cellStyle name="Normal 5 5 4 8 5 2" xfId="36407"/>
    <cellStyle name="Normal 5 5 4 8 6" xfId="36403"/>
    <cellStyle name="Normal 5 5 4 9" xfId="20109"/>
    <cellStyle name="Normal 5 5 4 9 2" xfId="20110"/>
    <cellStyle name="Normal 5 5 4 9 2 2" xfId="36409"/>
    <cellStyle name="Normal 5 5 4 9 3" xfId="20111"/>
    <cellStyle name="Normal 5 5 4 9 3 2" xfId="36410"/>
    <cellStyle name="Normal 5 5 4 9 4" xfId="20112"/>
    <cellStyle name="Normal 5 5 4 9 4 2" xfId="36411"/>
    <cellStyle name="Normal 5 5 4 9 5" xfId="20113"/>
    <cellStyle name="Normal 5 5 4 9 5 2" xfId="36412"/>
    <cellStyle name="Normal 5 5 4 9 6" xfId="36408"/>
    <cellStyle name="Normal 5 5 5" xfId="20114"/>
    <cellStyle name="Normal 5 5 5 2" xfId="20115"/>
    <cellStyle name="Normal 5 5 5 3" xfId="20116"/>
    <cellStyle name="Normal 5 5 5 3 2" xfId="36414"/>
    <cellStyle name="Normal 5 5 5 4" xfId="20117"/>
    <cellStyle name="Normal 5 5 5 4 2" xfId="36415"/>
    <cellStyle name="Normal 5 5 5 5" xfId="20118"/>
    <cellStyle name="Normal 5 5 5 5 2" xfId="36416"/>
    <cellStyle name="Normal 5 5 5 6" xfId="20119"/>
    <cellStyle name="Normal 5 5 5 6 2" xfId="36417"/>
    <cellStyle name="Normal 5 5 5 7" xfId="36413"/>
    <cellStyle name="Normal 5 5 6" xfId="20120"/>
    <cellStyle name="Normal 5 5 6 2" xfId="20121"/>
    <cellStyle name="Normal 5 5 6 3" xfId="20122"/>
    <cellStyle name="Normal 5 5 6 3 2" xfId="36419"/>
    <cellStyle name="Normal 5 5 6 4" xfId="20123"/>
    <cellStyle name="Normal 5 5 6 4 2" xfId="36420"/>
    <cellStyle name="Normal 5 5 6 5" xfId="20124"/>
    <cellStyle name="Normal 5 5 6 5 2" xfId="36421"/>
    <cellStyle name="Normal 5 5 6 6" xfId="20125"/>
    <cellStyle name="Normal 5 5 6 6 2" xfId="36422"/>
    <cellStyle name="Normal 5 5 6 7" xfId="36418"/>
    <cellStyle name="Normal 5 5 7" xfId="20126"/>
    <cellStyle name="Normal 5 5 7 2" xfId="20127"/>
    <cellStyle name="Normal 5 5 7 2 2" xfId="36424"/>
    <cellStyle name="Normal 5 5 7 3" xfId="20128"/>
    <cellStyle name="Normal 5 5 7 3 2" xfId="36425"/>
    <cellStyle name="Normal 5 5 7 4" xfId="20129"/>
    <cellStyle name="Normal 5 5 7 4 2" xfId="36426"/>
    <cellStyle name="Normal 5 5 7 5" xfId="20130"/>
    <cellStyle name="Normal 5 5 7 5 2" xfId="36427"/>
    <cellStyle name="Normal 5 5 7 6" xfId="36423"/>
    <cellStyle name="Normal 5 5 8" xfId="20131"/>
    <cellStyle name="Normal 5 5 8 2" xfId="20132"/>
    <cellStyle name="Normal 5 5 8 2 2" xfId="36429"/>
    <cellStyle name="Normal 5 5 8 3" xfId="20133"/>
    <cellStyle name="Normal 5 5 8 3 2" xfId="36430"/>
    <cellStyle name="Normal 5 5 8 4" xfId="20134"/>
    <cellStyle name="Normal 5 5 8 4 2" xfId="36431"/>
    <cellStyle name="Normal 5 5 8 5" xfId="20135"/>
    <cellStyle name="Normal 5 5 8 5 2" xfId="36432"/>
    <cellStyle name="Normal 5 5 8 6" xfId="36428"/>
    <cellStyle name="Normal 5 5 9" xfId="20136"/>
    <cellStyle name="Normal 5 5 9 2" xfId="20137"/>
    <cellStyle name="Normal 5 5 9 2 2" xfId="36434"/>
    <cellStyle name="Normal 5 5 9 3" xfId="20138"/>
    <cellStyle name="Normal 5 5 9 3 2" xfId="36435"/>
    <cellStyle name="Normal 5 5 9 4" xfId="20139"/>
    <cellStyle name="Normal 5 5 9 4 2" xfId="36436"/>
    <cellStyle name="Normal 5 5 9 5" xfId="20140"/>
    <cellStyle name="Normal 5 5 9 5 2" xfId="36437"/>
    <cellStyle name="Normal 5 5 9 6" xfId="36433"/>
    <cellStyle name="Normal 5 50" xfId="20141"/>
    <cellStyle name="Normal 5 51" xfId="20142"/>
    <cellStyle name="Normal 5 52" xfId="20143"/>
    <cellStyle name="Normal 5 52 2" xfId="36438"/>
    <cellStyle name="Normal 5 53" xfId="20144"/>
    <cellStyle name="Normal 5 53 2" xfId="36439"/>
    <cellStyle name="Normal 5 54" xfId="20145"/>
    <cellStyle name="Normal 5 55" xfId="20146"/>
    <cellStyle name="Normal 5 56" xfId="20147"/>
    <cellStyle name="Normal 5 57" xfId="20148"/>
    <cellStyle name="Normal 5 57 2" xfId="36440"/>
    <cellStyle name="Normal 5 58" xfId="20149"/>
    <cellStyle name="Normal 5 58 2" xfId="36441"/>
    <cellStyle name="Normal 5 59" xfId="20150"/>
    <cellStyle name="Normal 5 59 2" xfId="36442"/>
    <cellStyle name="Normal 5 6" xfId="20151"/>
    <cellStyle name="Normal 5 6 10" xfId="20152"/>
    <cellStyle name="Normal 5 6 10 2" xfId="20153"/>
    <cellStyle name="Normal 5 6 10 2 2" xfId="36444"/>
    <cellStyle name="Normal 5 6 10 3" xfId="20154"/>
    <cellStyle name="Normal 5 6 10 3 2" xfId="36445"/>
    <cellStyle name="Normal 5 6 10 4" xfId="20155"/>
    <cellStyle name="Normal 5 6 10 4 2" xfId="36446"/>
    <cellStyle name="Normal 5 6 10 5" xfId="20156"/>
    <cellStyle name="Normal 5 6 10 5 2" xfId="36447"/>
    <cellStyle name="Normal 5 6 10 6" xfId="36443"/>
    <cellStyle name="Normal 5 6 11" xfId="20157"/>
    <cellStyle name="Normal 5 6 11 2" xfId="20158"/>
    <cellStyle name="Normal 5 6 11 2 2" xfId="36449"/>
    <cellStyle name="Normal 5 6 11 3" xfId="20159"/>
    <cellStyle name="Normal 5 6 11 3 2" xfId="36450"/>
    <cellStyle name="Normal 5 6 11 4" xfId="20160"/>
    <cellStyle name="Normal 5 6 11 4 2" xfId="36451"/>
    <cellStyle name="Normal 5 6 11 5" xfId="20161"/>
    <cellStyle name="Normal 5 6 11 5 2" xfId="36452"/>
    <cellStyle name="Normal 5 6 11 6" xfId="36448"/>
    <cellStyle name="Normal 5 6 12" xfId="20162"/>
    <cellStyle name="Normal 5 6 12 2" xfId="20163"/>
    <cellStyle name="Normal 5 6 12 2 2" xfId="36454"/>
    <cellStyle name="Normal 5 6 12 3" xfId="20164"/>
    <cellStyle name="Normal 5 6 12 3 2" xfId="36455"/>
    <cellStyle name="Normal 5 6 12 4" xfId="20165"/>
    <cellStyle name="Normal 5 6 12 4 2" xfId="36456"/>
    <cellStyle name="Normal 5 6 12 5" xfId="20166"/>
    <cellStyle name="Normal 5 6 12 5 2" xfId="36457"/>
    <cellStyle name="Normal 5 6 12 6" xfId="36453"/>
    <cellStyle name="Normal 5 6 13" xfId="20167"/>
    <cellStyle name="Normal 5 6 13 2" xfId="20168"/>
    <cellStyle name="Normal 5 6 13 2 2" xfId="36459"/>
    <cellStyle name="Normal 5 6 13 3" xfId="20169"/>
    <cellStyle name="Normal 5 6 13 3 2" xfId="36460"/>
    <cellStyle name="Normal 5 6 13 4" xfId="20170"/>
    <cellStyle name="Normal 5 6 13 4 2" xfId="36461"/>
    <cellStyle name="Normal 5 6 13 5" xfId="20171"/>
    <cellStyle name="Normal 5 6 13 5 2" xfId="36462"/>
    <cellStyle name="Normal 5 6 13 6" xfId="36458"/>
    <cellStyle name="Normal 5 6 14" xfId="20172"/>
    <cellStyle name="Normal 5 6 14 2" xfId="20173"/>
    <cellStyle name="Normal 5 6 14 2 2" xfId="36464"/>
    <cellStyle name="Normal 5 6 14 3" xfId="20174"/>
    <cellStyle name="Normal 5 6 14 3 2" xfId="36465"/>
    <cellStyle name="Normal 5 6 14 4" xfId="20175"/>
    <cellStyle name="Normal 5 6 14 4 2" xfId="36466"/>
    <cellStyle name="Normal 5 6 14 5" xfId="20176"/>
    <cellStyle name="Normal 5 6 14 5 2" xfId="36467"/>
    <cellStyle name="Normal 5 6 14 6" xfId="36463"/>
    <cellStyle name="Normal 5 6 15" xfId="20177"/>
    <cellStyle name="Normal 5 6 15 2" xfId="20178"/>
    <cellStyle name="Normal 5 6 15 2 2" xfId="36469"/>
    <cellStyle name="Normal 5 6 15 3" xfId="20179"/>
    <cellStyle name="Normal 5 6 15 3 2" xfId="36470"/>
    <cellStyle name="Normal 5 6 15 4" xfId="20180"/>
    <cellStyle name="Normal 5 6 15 4 2" xfId="36471"/>
    <cellStyle name="Normal 5 6 15 5" xfId="20181"/>
    <cellStyle name="Normal 5 6 15 5 2" xfId="36472"/>
    <cellStyle name="Normal 5 6 15 6" xfId="36468"/>
    <cellStyle name="Normal 5 6 16" xfId="20182"/>
    <cellStyle name="Normal 5 6 16 2" xfId="20183"/>
    <cellStyle name="Normal 5 6 16 2 2" xfId="36474"/>
    <cellStyle name="Normal 5 6 16 3" xfId="20184"/>
    <cellStyle name="Normal 5 6 16 3 2" xfId="36475"/>
    <cellStyle name="Normal 5 6 16 4" xfId="20185"/>
    <cellStyle name="Normal 5 6 16 4 2" xfId="36476"/>
    <cellStyle name="Normal 5 6 16 5" xfId="20186"/>
    <cellStyle name="Normal 5 6 16 5 2" xfId="36477"/>
    <cellStyle name="Normal 5 6 16 6" xfId="36473"/>
    <cellStyle name="Normal 5 6 17" xfId="20187"/>
    <cellStyle name="Normal 5 6 17 2" xfId="20188"/>
    <cellStyle name="Normal 5 6 17 2 2" xfId="36479"/>
    <cellStyle name="Normal 5 6 17 3" xfId="20189"/>
    <cellStyle name="Normal 5 6 17 3 2" xfId="36480"/>
    <cellStyle name="Normal 5 6 17 4" xfId="20190"/>
    <cellStyle name="Normal 5 6 17 4 2" xfId="36481"/>
    <cellStyle name="Normal 5 6 17 5" xfId="20191"/>
    <cellStyle name="Normal 5 6 17 5 2" xfId="36482"/>
    <cellStyle name="Normal 5 6 17 6" xfId="36478"/>
    <cellStyle name="Normal 5 6 18" xfId="20192"/>
    <cellStyle name="Normal 5 6 18 2" xfId="20193"/>
    <cellStyle name="Normal 5 6 18 2 2" xfId="36484"/>
    <cellStyle name="Normal 5 6 18 3" xfId="20194"/>
    <cellStyle name="Normal 5 6 18 3 2" xfId="36485"/>
    <cellStyle name="Normal 5 6 18 4" xfId="20195"/>
    <cellStyle name="Normal 5 6 18 4 2" xfId="36486"/>
    <cellStyle name="Normal 5 6 18 5" xfId="20196"/>
    <cellStyle name="Normal 5 6 18 5 2" xfId="36487"/>
    <cellStyle name="Normal 5 6 18 6" xfId="36483"/>
    <cellStyle name="Normal 5 6 19" xfId="20197"/>
    <cellStyle name="Normal 5 6 19 2" xfId="20198"/>
    <cellStyle name="Normal 5 6 19 2 2" xfId="36489"/>
    <cellStyle name="Normal 5 6 19 3" xfId="20199"/>
    <cellStyle name="Normal 5 6 19 3 2" xfId="36490"/>
    <cellStyle name="Normal 5 6 19 4" xfId="20200"/>
    <cellStyle name="Normal 5 6 19 4 2" xfId="36491"/>
    <cellStyle name="Normal 5 6 19 5" xfId="20201"/>
    <cellStyle name="Normal 5 6 19 5 2" xfId="36492"/>
    <cellStyle name="Normal 5 6 19 6" xfId="36488"/>
    <cellStyle name="Normal 5 6 2" xfId="20202"/>
    <cellStyle name="Normal 5 6 2 10" xfId="20203"/>
    <cellStyle name="Normal 5 6 2 11" xfId="20204"/>
    <cellStyle name="Normal 5 6 2 12" xfId="20205"/>
    <cellStyle name="Normal 5 6 2 13" xfId="20206"/>
    <cellStyle name="Normal 5 6 2 14" xfId="20207"/>
    <cellStyle name="Normal 5 6 2 15" xfId="20208"/>
    <cellStyle name="Normal 5 6 2 16" xfId="20209"/>
    <cellStyle name="Normal 5 6 2 17" xfId="20210"/>
    <cellStyle name="Normal 5 6 2 18" xfId="20211"/>
    <cellStyle name="Normal 5 6 2 19" xfId="20212"/>
    <cellStyle name="Normal 5 6 2 2" xfId="20213"/>
    <cellStyle name="Normal 5 6 2 2 2" xfId="20214"/>
    <cellStyle name="Normal 5 6 2 2 3" xfId="20215"/>
    <cellStyle name="Normal 5 6 2 2 4" xfId="20216"/>
    <cellStyle name="Normal 5 6 2 2 5" xfId="20217"/>
    <cellStyle name="Normal 5 6 2 2 6" xfId="20218"/>
    <cellStyle name="Normal 5 6 2 2 7" xfId="20219"/>
    <cellStyle name="Normal 5 6 2 20" xfId="20220"/>
    <cellStyle name="Normal 5 6 2 21" xfId="20221"/>
    <cellStyle name="Normal 5 6 2 22" xfId="36493"/>
    <cellStyle name="Normal 5 6 2 3" xfId="20222"/>
    <cellStyle name="Normal 5 6 2 4" xfId="20223"/>
    <cellStyle name="Normal 5 6 2 5" xfId="20224"/>
    <cellStyle name="Normal 5 6 2 6" xfId="20225"/>
    <cellStyle name="Normal 5 6 2 7" xfId="20226"/>
    <cellStyle name="Normal 5 6 2 8" xfId="20227"/>
    <cellStyle name="Normal 5 6 2 9" xfId="20228"/>
    <cellStyle name="Normal 5 6 20" xfId="20229"/>
    <cellStyle name="Normal 5 6 20 2" xfId="20230"/>
    <cellStyle name="Normal 5 6 20 2 2" xfId="36495"/>
    <cellStyle name="Normal 5 6 20 3" xfId="20231"/>
    <cellStyle name="Normal 5 6 20 3 2" xfId="36496"/>
    <cellStyle name="Normal 5 6 20 4" xfId="20232"/>
    <cellStyle name="Normal 5 6 20 4 2" xfId="36497"/>
    <cellStyle name="Normal 5 6 20 5" xfId="20233"/>
    <cellStyle name="Normal 5 6 20 5 2" xfId="36498"/>
    <cellStyle name="Normal 5 6 20 6" xfId="36494"/>
    <cellStyle name="Normal 5 6 21" xfId="20234"/>
    <cellStyle name="Normal 5 6 21 2" xfId="36499"/>
    <cellStyle name="Normal 5 6 22" xfId="20235"/>
    <cellStyle name="Normal 5 6 22 2" xfId="36500"/>
    <cellStyle name="Normal 5 6 23" xfId="20236"/>
    <cellStyle name="Normal 5 6 23 2" xfId="36501"/>
    <cellStyle name="Normal 5 6 24" xfId="20237"/>
    <cellStyle name="Normal 5 6 24 2" xfId="36502"/>
    <cellStyle name="Normal 5 6 25" xfId="20238"/>
    <cellStyle name="Normal 5 6 25 2" xfId="36503"/>
    <cellStyle name="Normal 5 6 26" xfId="40744"/>
    <cellStyle name="Normal 5 6 3" xfId="20239"/>
    <cellStyle name="Normal 5 6 3 10" xfId="20240"/>
    <cellStyle name="Normal 5 6 3 11" xfId="20241"/>
    <cellStyle name="Normal 5 6 3 12" xfId="20242"/>
    <cellStyle name="Normal 5 6 3 13" xfId="20243"/>
    <cellStyle name="Normal 5 6 3 14" xfId="20244"/>
    <cellStyle name="Normal 5 6 3 15" xfId="20245"/>
    <cellStyle name="Normal 5 6 3 16" xfId="20246"/>
    <cellStyle name="Normal 5 6 3 2" xfId="20247"/>
    <cellStyle name="Normal 5 6 3 3" xfId="20248"/>
    <cellStyle name="Normal 5 6 3 4" xfId="20249"/>
    <cellStyle name="Normal 5 6 3 5" xfId="20250"/>
    <cellStyle name="Normal 5 6 3 6" xfId="20251"/>
    <cellStyle name="Normal 5 6 3 7" xfId="20252"/>
    <cellStyle name="Normal 5 6 3 8" xfId="20253"/>
    <cellStyle name="Normal 5 6 3 9" xfId="20254"/>
    <cellStyle name="Normal 5 6 4" xfId="20255"/>
    <cellStyle name="Normal 5 6 4 10" xfId="20256"/>
    <cellStyle name="Normal 5 6 4 10 2" xfId="20257"/>
    <cellStyle name="Normal 5 6 4 10 2 2" xfId="36506"/>
    <cellStyle name="Normal 5 6 4 10 3" xfId="20258"/>
    <cellStyle name="Normal 5 6 4 10 3 2" xfId="36507"/>
    <cellStyle name="Normal 5 6 4 10 4" xfId="20259"/>
    <cellStyle name="Normal 5 6 4 10 4 2" xfId="36508"/>
    <cellStyle name="Normal 5 6 4 10 5" xfId="20260"/>
    <cellStyle name="Normal 5 6 4 10 5 2" xfId="36509"/>
    <cellStyle name="Normal 5 6 4 10 6" xfId="36505"/>
    <cellStyle name="Normal 5 6 4 11" xfId="20261"/>
    <cellStyle name="Normal 5 6 4 11 2" xfId="20262"/>
    <cellStyle name="Normal 5 6 4 11 2 2" xfId="36511"/>
    <cellStyle name="Normal 5 6 4 11 3" xfId="20263"/>
    <cellStyle name="Normal 5 6 4 11 3 2" xfId="36512"/>
    <cellStyle name="Normal 5 6 4 11 4" xfId="20264"/>
    <cellStyle name="Normal 5 6 4 11 4 2" xfId="36513"/>
    <cellStyle name="Normal 5 6 4 11 5" xfId="20265"/>
    <cellStyle name="Normal 5 6 4 11 5 2" xfId="36514"/>
    <cellStyle name="Normal 5 6 4 11 6" xfId="36510"/>
    <cellStyle name="Normal 5 6 4 12" xfId="20266"/>
    <cellStyle name="Normal 5 6 4 12 2" xfId="20267"/>
    <cellStyle name="Normal 5 6 4 12 2 2" xfId="36516"/>
    <cellStyle name="Normal 5 6 4 12 3" xfId="20268"/>
    <cellStyle name="Normal 5 6 4 12 3 2" xfId="36517"/>
    <cellStyle name="Normal 5 6 4 12 4" xfId="20269"/>
    <cellStyle name="Normal 5 6 4 12 4 2" xfId="36518"/>
    <cellStyle name="Normal 5 6 4 12 5" xfId="20270"/>
    <cellStyle name="Normal 5 6 4 12 5 2" xfId="36519"/>
    <cellStyle name="Normal 5 6 4 12 6" xfId="36515"/>
    <cellStyle name="Normal 5 6 4 13" xfId="20271"/>
    <cellStyle name="Normal 5 6 4 13 2" xfId="20272"/>
    <cellStyle name="Normal 5 6 4 13 2 2" xfId="36521"/>
    <cellStyle name="Normal 5 6 4 13 3" xfId="20273"/>
    <cellStyle name="Normal 5 6 4 13 3 2" xfId="36522"/>
    <cellStyle name="Normal 5 6 4 13 4" xfId="20274"/>
    <cellStyle name="Normal 5 6 4 13 4 2" xfId="36523"/>
    <cellStyle name="Normal 5 6 4 13 5" xfId="20275"/>
    <cellStyle name="Normal 5 6 4 13 5 2" xfId="36524"/>
    <cellStyle name="Normal 5 6 4 13 6" xfId="36520"/>
    <cellStyle name="Normal 5 6 4 14" xfId="20276"/>
    <cellStyle name="Normal 5 6 4 14 2" xfId="20277"/>
    <cellStyle name="Normal 5 6 4 14 2 2" xfId="36526"/>
    <cellStyle name="Normal 5 6 4 14 3" xfId="20278"/>
    <cellStyle name="Normal 5 6 4 14 3 2" xfId="36527"/>
    <cellStyle name="Normal 5 6 4 14 4" xfId="20279"/>
    <cellStyle name="Normal 5 6 4 14 4 2" xfId="36528"/>
    <cellStyle name="Normal 5 6 4 14 5" xfId="20280"/>
    <cellStyle name="Normal 5 6 4 14 5 2" xfId="36529"/>
    <cellStyle name="Normal 5 6 4 14 6" xfId="36525"/>
    <cellStyle name="Normal 5 6 4 15" xfId="20281"/>
    <cellStyle name="Normal 5 6 4 15 2" xfId="20282"/>
    <cellStyle name="Normal 5 6 4 15 2 2" xfId="36531"/>
    <cellStyle name="Normal 5 6 4 15 3" xfId="20283"/>
    <cellStyle name="Normal 5 6 4 15 3 2" xfId="36532"/>
    <cellStyle name="Normal 5 6 4 15 4" xfId="20284"/>
    <cellStyle name="Normal 5 6 4 15 4 2" xfId="36533"/>
    <cellStyle name="Normal 5 6 4 15 5" xfId="20285"/>
    <cellStyle name="Normal 5 6 4 15 5 2" xfId="36534"/>
    <cellStyle name="Normal 5 6 4 15 6" xfId="36530"/>
    <cellStyle name="Normal 5 6 4 16" xfId="20286"/>
    <cellStyle name="Normal 5 6 4 16 2" xfId="20287"/>
    <cellStyle name="Normal 5 6 4 16 2 2" xfId="36536"/>
    <cellStyle name="Normal 5 6 4 16 3" xfId="20288"/>
    <cellStyle name="Normal 5 6 4 16 3 2" xfId="36537"/>
    <cellStyle name="Normal 5 6 4 16 4" xfId="20289"/>
    <cellStyle name="Normal 5 6 4 16 4 2" xfId="36538"/>
    <cellStyle name="Normal 5 6 4 16 5" xfId="20290"/>
    <cellStyle name="Normal 5 6 4 16 5 2" xfId="36539"/>
    <cellStyle name="Normal 5 6 4 16 6" xfId="36535"/>
    <cellStyle name="Normal 5 6 4 17" xfId="20291"/>
    <cellStyle name="Normal 5 6 4 17 2" xfId="36540"/>
    <cellStyle name="Normal 5 6 4 18" xfId="20292"/>
    <cellStyle name="Normal 5 6 4 18 2" xfId="36541"/>
    <cellStyle name="Normal 5 6 4 19" xfId="20293"/>
    <cellStyle name="Normal 5 6 4 19 2" xfId="36542"/>
    <cellStyle name="Normal 5 6 4 2" xfId="20294"/>
    <cellStyle name="Normal 5 6 4 20" xfId="20295"/>
    <cellStyle name="Normal 5 6 4 20 2" xfId="36543"/>
    <cellStyle name="Normal 5 6 4 21" xfId="36504"/>
    <cellStyle name="Normal 5 6 4 3" xfId="20296"/>
    <cellStyle name="Normal 5 6 4 3 2" xfId="20297"/>
    <cellStyle name="Normal 5 6 4 3 2 2" xfId="36545"/>
    <cellStyle name="Normal 5 6 4 3 3" xfId="20298"/>
    <cellStyle name="Normal 5 6 4 3 3 2" xfId="36546"/>
    <cellStyle name="Normal 5 6 4 3 4" xfId="20299"/>
    <cellStyle name="Normal 5 6 4 3 4 2" xfId="36547"/>
    <cellStyle name="Normal 5 6 4 3 5" xfId="20300"/>
    <cellStyle name="Normal 5 6 4 3 5 2" xfId="36548"/>
    <cellStyle name="Normal 5 6 4 3 6" xfId="36544"/>
    <cellStyle name="Normal 5 6 4 4" xfId="20301"/>
    <cellStyle name="Normal 5 6 4 4 2" xfId="20302"/>
    <cellStyle name="Normal 5 6 4 4 2 2" xfId="36550"/>
    <cellStyle name="Normal 5 6 4 4 3" xfId="20303"/>
    <cellStyle name="Normal 5 6 4 4 3 2" xfId="36551"/>
    <cellStyle name="Normal 5 6 4 4 4" xfId="20304"/>
    <cellStyle name="Normal 5 6 4 4 4 2" xfId="36552"/>
    <cellStyle name="Normal 5 6 4 4 5" xfId="20305"/>
    <cellStyle name="Normal 5 6 4 4 5 2" xfId="36553"/>
    <cellStyle name="Normal 5 6 4 4 6" xfId="36549"/>
    <cellStyle name="Normal 5 6 4 5" xfId="20306"/>
    <cellStyle name="Normal 5 6 4 5 2" xfId="20307"/>
    <cellStyle name="Normal 5 6 4 5 2 2" xfId="36555"/>
    <cellStyle name="Normal 5 6 4 5 3" xfId="20308"/>
    <cellStyle name="Normal 5 6 4 5 3 2" xfId="36556"/>
    <cellStyle name="Normal 5 6 4 5 4" xfId="20309"/>
    <cellStyle name="Normal 5 6 4 5 4 2" xfId="36557"/>
    <cellStyle name="Normal 5 6 4 5 5" xfId="20310"/>
    <cellStyle name="Normal 5 6 4 5 5 2" xfId="36558"/>
    <cellStyle name="Normal 5 6 4 5 6" xfId="36554"/>
    <cellStyle name="Normal 5 6 4 6" xfId="20311"/>
    <cellStyle name="Normal 5 6 4 6 2" xfId="20312"/>
    <cellStyle name="Normal 5 6 4 6 2 2" xfId="36560"/>
    <cellStyle name="Normal 5 6 4 6 3" xfId="20313"/>
    <cellStyle name="Normal 5 6 4 6 3 2" xfId="36561"/>
    <cellStyle name="Normal 5 6 4 6 4" xfId="20314"/>
    <cellStyle name="Normal 5 6 4 6 4 2" xfId="36562"/>
    <cellStyle name="Normal 5 6 4 6 5" xfId="20315"/>
    <cellStyle name="Normal 5 6 4 6 5 2" xfId="36563"/>
    <cellStyle name="Normal 5 6 4 6 6" xfId="36559"/>
    <cellStyle name="Normal 5 6 4 7" xfId="20316"/>
    <cellStyle name="Normal 5 6 4 7 2" xfId="20317"/>
    <cellStyle name="Normal 5 6 4 7 2 2" xfId="36565"/>
    <cellStyle name="Normal 5 6 4 7 3" xfId="20318"/>
    <cellStyle name="Normal 5 6 4 7 3 2" xfId="36566"/>
    <cellStyle name="Normal 5 6 4 7 4" xfId="20319"/>
    <cellStyle name="Normal 5 6 4 7 4 2" xfId="36567"/>
    <cellStyle name="Normal 5 6 4 7 5" xfId="20320"/>
    <cellStyle name="Normal 5 6 4 7 5 2" xfId="36568"/>
    <cellStyle name="Normal 5 6 4 7 6" xfId="36564"/>
    <cellStyle name="Normal 5 6 4 8" xfId="20321"/>
    <cellStyle name="Normal 5 6 4 8 2" xfId="20322"/>
    <cellStyle name="Normal 5 6 4 8 2 2" xfId="36570"/>
    <cellStyle name="Normal 5 6 4 8 3" xfId="20323"/>
    <cellStyle name="Normal 5 6 4 8 3 2" xfId="36571"/>
    <cellStyle name="Normal 5 6 4 8 4" xfId="20324"/>
    <cellStyle name="Normal 5 6 4 8 4 2" xfId="36572"/>
    <cellStyle name="Normal 5 6 4 8 5" xfId="20325"/>
    <cellStyle name="Normal 5 6 4 8 5 2" xfId="36573"/>
    <cellStyle name="Normal 5 6 4 8 6" xfId="36569"/>
    <cellStyle name="Normal 5 6 4 9" xfId="20326"/>
    <cellStyle name="Normal 5 6 4 9 2" xfId="20327"/>
    <cellStyle name="Normal 5 6 4 9 2 2" xfId="36575"/>
    <cellStyle name="Normal 5 6 4 9 3" xfId="20328"/>
    <cellStyle name="Normal 5 6 4 9 3 2" xfId="36576"/>
    <cellStyle name="Normal 5 6 4 9 4" xfId="20329"/>
    <cellStyle name="Normal 5 6 4 9 4 2" xfId="36577"/>
    <cellStyle name="Normal 5 6 4 9 5" xfId="20330"/>
    <cellStyle name="Normal 5 6 4 9 5 2" xfId="36578"/>
    <cellStyle name="Normal 5 6 4 9 6" xfId="36574"/>
    <cellStyle name="Normal 5 6 5" xfId="20331"/>
    <cellStyle name="Normal 5 6 5 2" xfId="20332"/>
    <cellStyle name="Normal 5 6 5 3" xfId="20333"/>
    <cellStyle name="Normal 5 6 5 3 2" xfId="36580"/>
    <cellStyle name="Normal 5 6 5 4" xfId="20334"/>
    <cellStyle name="Normal 5 6 5 4 2" xfId="36581"/>
    <cellStyle name="Normal 5 6 5 5" xfId="20335"/>
    <cellStyle name="Normal 5 6 5 5 2" xfId="36582"/>
    <cellStyle name="Normal 5 6 5 6" xfId="20336"/>
    <cellStyle name="Normal 5 6 5 6 2" xfId="36583"/>
    <cellStyle name="Normal 5 6 5 7" xfId="36579"/>
    <cellStyle name="Normal 5 6 6" xfId="20337"/>
    <cellStyle name="Normal 5 6 6 2" xfId="20338"/>
    <cellStyle name="Normal 5 6 6 3" xfId="20339"/>
    <cellStyle name="Normal 5 6 6 3 2" xfId="36585"/>
    <cellStyle name="Normal 5 6 6 4" xfId="20340"/>
    <cellStyle name="Normal 5 6 6 4 2" xfId="36586"/>
    <cellStyle name="Normal 5 6 6 5" xfId="20341"/>
    <cellStyle name="Normal 5 6 6 5 2" xfId="36587"/>
    <cellStyle name="Normal 5 6 6 6" xfId="20342"/>
    <cellStyle name="Normal 5 6 6 6 2" xfId="36588"/>
    <cellStyle name="Normal 5 6 6 7" xfId="36584"/>
    <cellStyle name="Normal 5 6 7" xfId="20343"/>
    <cellStyle name="Normal 5 6 7 2" xfId="20344"/>
    <cellStyle name="Normal 5 6 7 2 2" xfId="36590"/>
    <cellStyle name="Normal 5 6 7 3" xfId="20345"/>
    <cellStyle name="Normal 5 6 7 3 2" xfId="36591"/>
    <cellStyle name="Normal 5 6 7 4" xfId="20346"/>
    <cellStyle name="Normal 5 6 7 4 2" xfId="36592"/>
    <cellStyle name="Normal 5 6 7 5" xfId="20347"/>
    <cellStyle name="Normal 5 6 7 5 2" xfId="36593"/>
    <cellStyle name="Normal 5 6 7 6" xfId="36589"/>
    <cellStyle name="Normal 5 6 8" xfId="20348"/>
    <cellStyle name="Normal 5 6 8 2" xfId="20349"/>
    <cellStyle name="Normal 5 6 8 2 2" xfId="36595"/>
    <cellStyle name="Normal 5 6 8 3" xfId="20350"/>
    <cellStyle name="Normal 5 6 8 3 2" xfId="36596"/>
    <cellStyle name="Normal 5 6 8 4" xfId="20351"/>
    <cellStyle name="Normal 5 6 8 4 2" xfId="36597"/>
    <cellStyle name="Normal 5 6 8 5" xfId="20352"/>
    <cellStyle name="Normal 5 6 8 5 2" xfId="36598"/>
    <cellStyle name="Normal 5 6 8 6" xfId="36594"/>
    <cellStyle name="Normal 5 6 9" xfId="20353"/>
    <cellStyle name="Normal 5 6 9 2" xfId="20354"/>
    <cellStyle name="Normal 5 6 9 2 2" xfId="36600"/>
    <cellStyle name="Normal 5 6 9 3" xfId="20355"/>
    <cellStyle name="Normal 5 6 9 3 2" xfId="36601"/>
    <cellStyle name="Normal 5 6 9 4" xfId="20356"/>
    <cellStyle name="Normal 5 6 9 4 2" xfId="36602"/>
    <cellStyle name="Normal 5 6 9 5" xfId="20357"/>
    <cellStyle name="Normal 5 6 9 5 2" xfId="36603"/>
    <cellStyle name="Normal 5 6 9 6" xfId="36599"/>
    <cellStyle name="Normal 5 60" xfId="20358"/>
    <cellStyle name="Normal 5 60 2" xfId="36604"/>
    <cellStyle name="Normal 5 7" xfId="20359"/>
    <cellStyle name="Normal 5 7 10" xfId="20360"/>
    <cellStyle name="Normal 5 7 10 2" xfId="20361"/>
    <cellStyle name="Normal 5 7 10 2 2" xfId="36606"/>
    <cellStyle name="Normal 5 7 10 3" xfId="20362"/>
    <cellStyle name="Normal 5 7 10 3 2" xfId="36607"/>
    <cellStyle name="Normal 5 7 10 4" xfId="20363"/>
    <cellStyle name="Normal 5 7 10 4 2" xfId="36608"/>
    <cellStyle name="Normal 5 7 10 5" xfId="20364"/>
    <cellStyle name="Normal 5 7 10 5 2" xfId="36609"/>
    <cellStyle name="Normal 5 7 10 6" xfId="36605"/>
    <cellStyle name="Normal 5 7 11" xfId="20365"/>
    <cellStyle name="Normal 5 7 11 2" xfId="20366"/>
    <cellStyle name="Normal 5 7 11 2 2" xfId="36611"/>
    <cellStyle name="Normal 5 7 11 3" xfId="20367"/>
    <cellStyle name="Normal 5 7 11 3 2" xfId="36612"/>
    <cellStyle name="Normal 5 7 11 4" xfId="20368"/>
    <cellStyle name="Normal 5 7 11 4 2" xfId="36613"/>
    <cellStyle name="Normal 5 7 11 5" xfId="20369"/>
    <cellStyle name="Normal 5 7 11 5 2" xfId="36614"/>
    <cellStyle name="Normal 5 7 11 6" xfId="36610"/>
    <cellStyle name="Normal 5 7 12" xfId="20370"/>
    <cellStyle name="Normal 5 7 12 2" xfId="20371"/>
    <cellStyle name="Normal 5 7 12 2 2" xfId="36616"/>
    <cellStyle name="Normal 5 7 12 3" xfId="20372"/>
    <cellStyle name="Normal 5 7 12 3 2" xfId="36617"/>
    <cellStyle name="Normal 5 7 12 4" xfId="20373"/>
    <cellStyle name="Normal 5 7 12 4 2" xfId="36618"/>
    <cellStyle name="Normal 5 7 12 5" xfId="20374"/>
    <cellStyle name="Normal 5 7 12 5 2" xfId="36619"/>
    <cellStyle name="Normal 5 7 12 6" xfId="36615"/>
    <cellStyle name="Normal 5 7 13" xfId="20375"/>
    <cellStyle name="Normal 5 7 13 2" xfId="20376"/>
    <cellStyle name="Normal 5 7 13 2 2" xfId="36621"/>
    <cellStyle name="Normal 5 7 13 3" xfId="20377"/>
    <cellStyle name="Normal 5 7 13 3 2" xfId="36622"/>
    <cellStyle name="Normal 5 7 13 4" xfId="20378"/>
    <cellStyle name="Normal 5 7 13 4 2" xfId="36623"/>
    <cellStyle name="Normal 5 7 13 5" xfId="20379"/>
    <cellStyle name="Normal 5 7 13 5 2" xfId="36624"/>
    <cellStyle name="Normal 5 7 13 6" xfId="36620"/>
    <cellStyle name="Normal 5 7 14" xfId="20380"/>
    <cellStyle name="Normal 5 7 14 2" xfId="20381"/>
    <cellStyle name="Normal 5 7 14 2 2" xfId="36626"/>
    <cellStyle name="Normal 5 7 14 3" xfId="20382"/>
    <cellStyle name="Normal 5 7 14 3 2" xfId="36627"/>
    <cellStyle name="Normal 5 7 14 4" xfId="20383"/>
    <cellStyle name="Normal 5 7 14 4 2" xfId="36628"/>
    <cellStyle name="Normal 5 7 14 5" xfId="20384"/>
    <cellStyle name="Normal 5 7 14 5 2" xfId="36629"/>
    <cellStyle name="Normal 5 7 14 6" xfId="36625"/>
    <cellStyle name="Normal 5 7 15" xfId="20385"/>
    <cellStyle name="Normal 5 7 15 2" xfId="20386"/>
    <cellStyle name="Normal 5 7 15 2 2" xfId="36631"/>
    <cellStyle name="Normal 5 7 15 3" xfId="20387"/>
    <cellStyle name="Normal 5 7 15 3 2" xfId="36632"/>
    <cellStyle name="Normal 5 7 15 4" xfId="20388"/>
    <cellStyle name="Normal 5 7 15 4 2" xfId="36633"/>
    <cellStyle name="Normal 5 7 15 5" xfId="20389"/>
    <cellStyle name="Normal 5 7 15 5 2" xfId="36634"/>
    <cellStyle name="Normal 5 7 15 6" xfId="36630"/>
    <cellStyle name="Normal 5 7 16" xfId="20390"/>
    <cellStyle name="Normal 5 7 16 2" xfId="20391"/>
    <cellStyle name="Normal 5 7 16 2 2" xfId="36636"/>
    <cellStyle name="Normal 5 7 16 3" xfId="20392"/>
    <cellStyle name="Normal 5 7 16 3 2" xfId="36637"/>
    <cellStyle name="Normal 5 7 16 4" xfId="20393"/>
    <cellStyle name="Normal 5 7 16 4 2" xfId="36638"/>
    <cellStyle name="Normal 5 7 16 5" xfId="20394"/>
    <cellStyle name="Normal 5 7 16 5 2" xfId="36639"/>
    <cellStyle name="Normal 5 7 16 6" xfId="36635"/>
    <cellStyle name="Normal 5 7 17" xfId="20395"/>
    <cellStyle name="Normal 5 7 17 2" xfId="20396"/>
    <cellStyle name="Normal 5 7 17 2 2" xfId="36641"/>
    <cellStyle name="Normal 5 7 17 3" xfId="20397"/>
    <cellStyle name="Normal 5 7 17 3 2" xfId="36642"/>
    <cellStyle name="Normal 5 7 17 4" xfId="20398"/>
    <cellStyle name="Normal 5 7 17 4 2" xfId="36643"/>
    <cellStyle name="Normal 5 7 17 5" xfId="20399"/>
    <cellStyle name="Normal 5 7 17 5 2" xfId="36644"/>
    <cellStyle name="Normal 5 7 17 6" xfId="36640"/>
    <cellStyle name="Normal 5 7 18" xfId="20400"/>
    <cellStyle name="Normal 5 7 18 2" xfId="20401"/>
    <cellStyle name="Normal 5 7 18 2 2" xfId="36646"/>
    <cellStyle name="Normal 5 7 18 3" xfId="20402"/>
    <cellStyle name="Normal 5 7 18 3 2" xfId="36647"/>
    <cellStyle name="Normal 5 7 18 4" xfId="20403"/>
    <cellStyle name="Normal 5 7 18 4 2" xfId="36648"/>
    <cellStyle name="Normal 5 7 18 5" xfId="20404"/>
    <cellStyle name="Normal 5 7 18 5 2" xfId="36649"/>
    <cellStyle name="Normal 5 7 18 6" xfId="36645"/>
    <cellStyle name="Normal 5 7 19" xfId="20405"/>
    <cellStyle name="Normal 5 7 19 2" xfId="20406"/>
    <cellStyle name="Normal 5 7 19 2 2" xfId="36651"/>
    <cellStyle name="Normal 5 7 19 3" xfId="20407"/>
    <cellStyle name="Normal 5 7 19 3 2" xfId="36652"/>
    <cellStyle name="Normal 5 7 19 4" xfId="20408"/>
    <cellStyle name="Normal 5 7 19 4 2" xfId="36653"/>
    <cellStyle name="Normal 5 7 19 5" xfId="20409"/>
    <cellStyle name="Normal 5 7 19 5 2" xfId="36654"/>
    <cellStyle name="Normal 5 7 19 6" xfId="36650"/>
    <cellStyle name="Normal 5 7 2" xfId="20410"/>
    <cellStyle name="Normal 5 7 2 10" xfId="20411"/>
    <cellStyle name="Normal 5 7 2 11" xfId="20412"/>
    <cellStyle name="Normal 5 7 2 12" xfId="20413"/>
    <cellStyle name="Normal 5 7 2 13" xfId="20414"/>
    <cellStyle name="Normal 5 7 2 14" xfId="20415"/>
    <cellStyle name="Normal 5 7 2 15" xfId="20416"/>
    <cellStyle name="Normal 5 7 2 16" xfId="20417"/>
    <cellStyle name="Normal 5 7 2 17" xfId="20418"/>
    <cellStyle name="Normal 5 7 2 18" xfId="20419"/>
    <cellStyle name="Normal 5 7 2 19" xfId="20420"/>
    <cellStyle name="Normal 5 7 2 2" xfId="20421"/>
    <cellStyle name="Normal 5 7 2 2 2" xfId="20422"/>
    <cellStyle name="Normal 5 7 2 2 3" xfId="20423"/>
    <cellStyle name="Normal 5 7 2 2 4" xfId="20424"/>
    <cellStyle name="Normal 5 7 2 2 5" xfId="20425"/>
    <cellStyle name="Normal 5 7 2 2 6" xfId="20426"/>
    <cellStyle name="Normal 5 7 2 2 7" xfId="20427"/>
    <cellStyle name="Normal 5 7 2 20" xfId="20428"/>
    <cellStyle name="Normal 5 7 2 21" xfId="20429"/>
    <cellStyle name="Normal 5 7 2 22" xfId="36655"/>
    <cellStyle name="Normal 5 7 2 3" xfId="20430"/>
    <cellStyle name="Normal 5 7 2 4" xfId="20431"/>
    <cellStyle name="Normal 5 7 2 5" xfId="20432"/>
    <cellStyle name="Normal 5 7 2 6" xfId="20433"/>
    <cellStyle name="Normal 5 7 2 7" xfId="20434"/>
    <cellStyle name="Normal 5 7 2 8" xfId="20435"/>
    <cellStyle name="Normal 5 7 2 9" xfId="20436"/>
    <cellStyle name="Normal 5 7 20" xfId="20437"/>
    <cellStyle name="Normal 5 7 20 2" xfId="20438"/>
    <cellStyle name="Normal 5 7 20 2 2" xfId="36657"/>
    <cellStyle name="Normal 5 7 20 3" xfId="20439"/>
    <cellStyle name="Normal 5 7 20 3 2" xfId="36658"/>
    <cellStyle name="Normal 5 7 20 4" xfId="20440"/>
    <cellStyle name="Normal 5 7 20 4 2" xfId="36659"/>
    <cellStyle name="Normal 5 7 20 5" xfId="20441"/>
    <cellStyle name="Normal 5 7 20 5 2" xfId="36660"/>
    <cellStyle name="Normal 5 7 20 6" xfId="36656"/>
    <cellStyle name="Normal 5 7 21" xfId="20442"/>
    <cellStyle name="Normal 5 7 21 2" xfId="36661"/>
    <cellStyle name="Normal 5 7 22" xfId="20443"/>
    <cellStyle name="Normal 5 7 22 2" xfId="36662"/>
    <cellStyle name="Normal 5 7 23" xfId="20444"/>
    <cellStyle name="Normal 5 7 23 2" xfId="36663"/>
    <cellStyle name="Normal 5 7 24" xfId="20445"/>
    <cellStyle name="Normal 5 7 24 2" xfId="36664"/>
    <cellStyle name="Normal 5 7 25" xfId="20446"/>
    <cellStyle name="Normal 5 7 25 2" xfId="36665"/>
    <cellStyle name="Normal 5 7 26" xfId="40745"/>
    <cellStyle name="Normal 5 7 3" xfId="20447"/>
    <cellStyle name="Normal 5 7 3 10" xfId="20448"/>
    <cellStyle name="Normal 5 7 3 11" xfId="20449"/>
    <cellStyle name="Normal 5 7 3 12" xfId="20450"/>
    <cellStyle name="Normal 5 7 3 13" xfId="20451"/>
    <cellStyle name="Normal 5 7 3 14" xfId="20452"/>
    <cellStyle name="Normal 5 7 3 15" xfId="20453"/>
    <cellStyle name="Normal 5 7 3 16" xfId="20454"/>
    <cellStyle name="Normal 5 7 3 2" xfId="20455"/>
    <cellStyle name="Normal 5 7 3 3" xfId="20456"/>
    <cellStyle name="Normal 5 7 3 4" xfId="20457"/>
    <cellStyle name="Normal 5 7 3 5" xfId="20458"/>
    <cellStyle name="Normal 5 7 3 6" xfId="20459"/>
    <cellStyle name="Normal 5 7 3 7" xfId="20460"/>
    <cellStyle name="Normal 5 7 3 8" xfId="20461"/>
    <cellStyle name="Normal 5 7 3 9" xfId="20462"/>
    <cellStyle name="Normal 5 7 4" xfId="20463"/>
    <cellStyle name="Normal 5 7 4 10" xfId="20464"/>
    <cellStyle name="Normal 5 7 4 10 2" xfId="20465"/>
    <cellStyle name="Normal 5 7 4 10 2 2" xfId="36668"/>
    <cellStyle name="Normal 5 7 4 10 3" xfId="20466"/>
    <cellStyle name="Normal 5 7 4 10 3 2" xfId="36669"/>
    <cellStyle name="Normal 5 7 4 10 4" xfId="20467"/>
    <cellStyle name="Normal 5 7 4 10 4 2" xfId="36670"/>
    <cellStyle name="Normal 5 7 4 10 5" xfId="20468"/>
    <cellStyle name="Normal 5 7 4 10 5 2" xfId="36671"/>
    <cellStyle name="Normal 5 7 4 10 6" xfId="36667"/>
    <cellStyle name="Normal 5 7 4 11" xfId="20469"/>
    <cellStyle name="Normal 5 7 4 11 2" xfId="20470"/>
    <cellStyle name="Normal 5 7 4 11 2 2" xfId="36673"/>
    <cellStyle name="Normal 5 7 4 11 3" xfId="20471"/>
    <cellStyle name="Normal 5 7 4 11 3 2" xfId="36674"/>
    <cellStyle name="Normal 5 7 4 11 4" xfId="20472"/>
    <cellStyle name="Normal 5 7 4 11 4 2" xfId="36675"/>
    <cellStyle name="Normal 5 7 4 11 5" xfId="20473"/>
    <cellStyle name="Normal 5 7 4 11 5 2" xfId="36676"/>
    <cellStyle name="Normal 5 7 4 11 6" xfId="36672"/>
    <cellStyle name="Normal 5 7 4 12" xfId="20474"/>
    <cellStyle name="Normal 5 7 4 12 2" xfId="20475"/>
    <cellStyle name="Normal 5 7 4 12 2 2" xfId="36678"/>
    <cellStyle name="Normal 5 7 4 12 3" xfId="20476"/>
    <cellStyle name="Normal 5 7 4 12 3 2" xfId="36679"/>
    <cellStyle name="Normal 5 7 4 12 4" xfId="20477"/>
    <cellStyle name="Normal 5 7 4 12 4 2" xfId="36680"/>
    <cellStyle name="Normal 5 7 4 12 5" xfId="20478"/>
    <cellStyle name="Normal 5 7 4 12 5 2" xfId="36681"/>
    <cellStyle name="Normal 5 7 4 12 6" xfId="36677"/>
    <cellStyle name="Normal 5 7 4 13" xfId="20479"/>
    <cellStyle name="Normal 5 7 4 13 2" xfId="20480"/>
    <cellStyle name="Normal 5 7 4 13 2 2" xfId="36683"/>
    <cellStyle name="Normal 5 7 4 13 3" xfId="20481"/>
    <cellStyle name="Normal 5 7 4 13 3 2" xfId="36684"/>
    <cellStyle name="Normal 5 7 4 13 4" xfId="20482"/>
    <cellStyle name="Normal 5 7 4 13 4 2" xfId="36685"/>
    <cellStyle name="Normal 5 7 4 13 5" xfId="20483"/>
    <cellStyle name="Normal 5 7 4 13 5 2" xfId="36686"/>
    <cellStyle name="Normal 5 7 4 13 6" xfId="36682"/>
    <cellStyle name="Normal 5 7 4 14" xfId="20484"/>
    <cellStyle name="Normal 5 7 4 14 2" xfId="20485"/>
    <cellStyle name="Normal 5 7 4 14 2 2" xfId="36688"/>
    <cellStyle name="Normal 5 7 4 14 3" xfId="20486"/>
    <cellStyle name="Normal 5 7 4 14 3 2" xfId="36689"/>
    <cellStyle name="Normal 5 7 4 14 4" xfId="20487"/>
    <cellStyle name="Normal 5 7 4 14 4 2" xfId="36690"/>
    <cellStyle name="Normal 5 7 4 14 5" xfId="20488"/>
    <cellStyle name="Normal 5 7 4 14 5 2" xfId="36691"/>
    <cellStyle name="Normal 5 7 4 14 6" xfId="36687"/>
    <cellStyle name="Normal 5 7 4 15" xfId="20489"/>
    <cellStyle name="Normal 5 7 4 15 2" xfId="20490"/>
    <cellStyle name="Normal 5 7 4 15 2 2" xfId="36693"/>
    <cellStyle name="Normal 5 7 4 15 3" xfId="20491"/>
    <cellStyle name="Normal 5 7 4 15 3 2" xfId="36694"/>
    <cellStyle name="Normal 5 7 4 15 4" xfId="20492"/>
    <cellStyle name="Normal 5 7 4 15 4 2" xfId="36695"/>
    <cellStyle name="Normal 5 7 4 15 5" xfId="20493"/>
    <cellStyle name="Normal 5 7 4 15 5 2" xfId="36696"/>
    <cellStyle name="Normal 5 7 4 15 6" xfId="36692"/>
    <cellStyle name="Normal 5 7 4 16" xfId="20494"/>
    <cellStyle name="Normal 5 7 4 16 2" xfId="20495"/>
    <cellStyle name="Normal 5 7 4 16 2 2" xfId="36698"/>
    <cellStyle name="Normal 5 7 4 16 3" xfId="20496"/>
    <cellStyle name="Normal 5 7 4 16 3 2" xfId="36699"/>
    <cellStyle name="Normal 5 7 4 16 4" xfId="20497"/>
    <cellStyle name="Normal 5 7 4 16 4 2" xfId="36700"/>
    <cellStyle name="Normal 5 7 4 16 5" xfId="20498"/>
    <cellStyle name="Normal 5 7 4 16 5 2" xfId="36701"/>
    <cellStyle name="Normal 5 7 4 16 6" xfId="36697"/>
    <cellStyle name="Normal 5 7 4 17" xfId="20499"/>
    <cellStyle name="Normal 5 7 4 17 2" xfId="36702"/>
    <cellStyle name="Normal 5 7 4 18" xfId="20500"/>
    <cellStyle name="Normal 5 7 4 18 2" xfId="36703"/>
    <cellStyle name="Normal 5 7 4 19" xfId="20501"/>
    <cellStyle name="Normal 5 7 4 19 2" xfId="36704"/>
    <cellStyle name="Normal 5 7 4 2" xfId="20502"/>
    <cellStyle name="Normal 5 7 4 20" xfId="20503"/>
    <cellStyle name="Normal 5 7 4 20 2" xfId="36705"/>
    <cellStyle name="Normal 5 7 4 21" xfId="36666"/>
    <cellStyle name="Normal 5 7 4 3" xfId="20504"/>
    <cellStyle name="Normal 5 7 4 3 2" xfId="20505"/>
    <cellStyle name="Normal 5 7 4 3 2 2" xfId="36707"/>
    <cellStyle name="Normal 5 7 4 3 3" xfId="20506"/>
    <cellStyle name="Normal 5 7 4 3 3 2" xfId="36708"/>
    <cellStyle name="Normal 5 7 4 3 4" xfId="20507"/>
    <cellStyle name="Normal 5 7 4 3 4 2" xfId="36709"/>
    <cellStyle name="Normal 5 7 4 3 5" xfId="20508"/>
    <cellStyle name="Normal 5 7 4 3 5 2" xfId="36710"/>
    <cellStyle name="Normal 5 7 4 3 6" xfId="36706"/>
    <cellStyle name="Normal 5 7 4 4" xfId="20509"/>
    <cellStyle name="Normal 5 7 4 4 2" xfId="20510"/>
    <cellStyle name="Normal 5 7 4 4 2 2" xfId="36712"/>
    <cellStyle name="Normal 5 7 4 4 3" xfId="20511"/>
    <cellStyle name="Normal 5 7 4 4 3 2" xfId="36713"/>
    <cellStyle name="Normal 5 7 4 4 4" xfId="20512"/>
    <cellStyle name="Normal 5 7 4 4 4 2" xfId="36714"/>
    <cellStyle name="Normal 5 7 4 4 5" xfId="20513"/>
    <cellStyle name="Normal 5 7 4 4 5 2" xfId="36715"/>
    <cellStyle name="Normal 5 7 4 4 6" xfId="36711"/>
    <cellStyle name="Normal 5 7 4 5" xfId="20514"/>
    <cellStyle name="Normal 5 7 4 5 2" xfId="20515"/>
    <cellStyle name="Normal 5 7 4 5 2 2" xfId="36717"/>
    <cellStyle name="Normal 5 7 4 5 3" xfId="20516"/>
    <cellStyle name="Normal 5 7 4 5 3 2" xfId="36718"/>
    <cellStyle name="Normal 5 7 4 5 4" xfId="20517"/>
    <cellStyle name="Normal 5 7 4 5 4 2" xfId="36719"/>
    <cellStyle name="Normal 5 7 4 5 5" xfId="20518"/>
    <cellStyle name="Normal 5 7 4 5 5 2" xfId="36720"/>
    <cellStyle name="Normal 5 7 4 5 6" xfId="36716"/>
    <cellStyle name="Normal 5 7 4 6" xfId="20519"/>
    <cellStyle name="Normal 5 7 4 6 2" xfId="20520"/>
    <cellStyle name="Normal 5 7 4 6 2 2" xfId="36722"/>
    <cellStyle name="Normal 5 7 4 6 3" xfId="20521"/>
    <cellStyle name="Normal 5 7 4 6 3 2" xfId="36723"/>
    <cellStyle name="Normal 5 7 4 6 4" xfId="20522"/>
    <cellStyle name="Normal 5 7 4 6 4 2" xfId="36724"/>
    <cellStyle name="Normal 5 7 4 6 5" xfId="20523"/>
    <cellStyle name="Normal 5 7 4 6 5 2" xfId="36725"/>
    <cellStyle name="Normal 5 7 4 6 6" xfId="36721"/>
    <cellStyle name="Normal 5 7 4 7" xfId="20524"/>
    <cellStyle name="Normal 5 7 4 7 2" xfId="20525"/>
    <cellStyle name="Normal 5 7 4 7 2 2" xfId="36727"/>
    <cellStyle name="Normal 5 7 4 7 3" xfId="20526"/>
    <cellStyle name="Normal 5 7 4 7 3 2" xfId="36728"/>
    <cellStyle name="Normal 5 7 4 7 4" xfId="20527"/>
    <cellStyle name="Normal 5 7 4 7 4 2" xfId="36729"/>
    <cellStyle name="Normal 5 7 4 7 5" xfId="20528"/>
    <cellStyle name="Normal 5 7 4 7 5 2" xfId="36730"/>
    <cellStyle name="Normal 5 7 4 7 6" xfId="36726"/>
    <cellStyle name="Normal 5 7 4 8" xfId="20529"/>
    <cellStyle name="Normal 5 7 4 8 2" xfId="20530"/>
    <cellStyle name="Normal 5 7 4 8 2 2" xfId="36732"/>
    <cellStyle name="Normal 5 7 4 8 3" xfId="20531"/>
    <cellStyle name="Normal 5 7 4 8 3 2" xfId="36733"/>
    <cellStyle name="Normal 5 7 4 8 4" xfId="20532"/>
    <cellStyle name="Normal 5 7 4 8 4 2" xfId="36734"/>
    <cellStyle name="Normal 5 7 4 8 5" xfId="20533"/>
    <cellStyle name="Normal 5 7 4 8 5 2" xfId="36735"/>
    <cellStyle name="Normal 5 7 4 8 6" xfId="36731"/>
    <cellStyle name="Normal 5 7 4 9" xfId="20534"/>
    <cellStyle name="Normal 5 7 4 9 2" xfId="20535"/>
    <cellStyle name="Normal 5 7 4 9 2 2" xfId="36737"/>
    <cellStyle name="Normal 5 7 4 9 3" xfId="20536"/>
    <cellStyle name="Normal 5 7 4 9 3 2" xfId="36738"/>
    <cellStyle name="Normal 5 7 4 9 4" xfId="20537"/>
    <cellStyle name="Normal 5 7 4 9 4 2" xfId="36739"/>
    <cellStyle name="Normal 5 7 4 9 5" xfId="20538"/>
    <cellStyle name="Normal 5 7 4 9 5 2" xfId="36740"/>
    <cellStyle name="Normal 5 7 4 9 6" xfId="36736"/>
    <cellStyle name="Normal 5 7 5" xfId="20539"/>
    <cellStyle name="Normal 5 7 5 2" xfId="20540"/>
    <cellStyle name="Normal 5 7 5 3" xfId="20541"/>
    <cellStyle name="Normal 5 7 5 3 2" xfId="36742"/>
    <cellStyle name="Normal 5 7 5 4" xfId="20542"/>
    <cellStyle name="Normal 5 7 5 4 2" xfId="36743"/>
    <cellStyle name="Normal 5 7 5 5" xfId="20543"/>
    <cellStyle name="Normal 5 7 5 5 2" xfId="36744"/>
    <cellStyle name="Normal 5 7 5 6" xfId="20544"/>
    <cellStyle name="Normal 5 7 5 6 2" xfId="36745"/>
    <cellStyle name="Normal 5 7 5 7" xfId="36741"/>
    <cellStyle name="Normal 5 7 6" xfId="20545"/>
    <cellStyle name="Normal 5 7 6 2" xfId="20546"/>
    <cellStyle name="Normal 5 7 6 3" xfId="20547"/>
    <cellStyle name="Normal 5 7 6 3 2" xfId="36747"/>
    <cellStyle name="Normal 5 7 6 4" xfId="20548"/>
    <cellStyle name="Normal 5 7 6 4 2" xfId="36748"/>
    <cellStyle name="Normal 5 7 6 5" xfId="20549"/>
    <cellStyle name="Normal 5 7 6 5 2" xfId="36749"/>
    <cellStyle name="Normal 5 7 6 6" xfId="20550"/>
    <cellStyle name="Normal 5 7 6 6 2" xfId="36750"/>
    <cellStyle name="Normal 5 7 6 7" xfId="36746"/>
    <cellStyle name="Normal 5 7 7" xfId="20551"/>
    <cellStyle name="Normal 5 7 7 2" xfId="20552"/>
    <cellStyle name="Normal 5 7 7 2 2" xfId="36752"/>
    <cellStyle name="Normal 5 7 7 3" xfId="20553"/>
    <cellStyle name="Normal 5 7 7 3 2" xfId="36753"/>
    <cellStyle name="Normal 5 7 7 4" xfId="20554"/>
    <cellStyle name="Normal 5 7 7 4 2" xfId="36754"/>
    <cellStyle name="Normal 5 7 7 5" xfId="20555"/>
    <cellStyle name="Normal 5 7 7 5 2" xfId="36755"/>
    <cellStyle name="Normal 5 7 7 6" xfId="36751"/>
    <cellStyle name="Normal 5 7 8" xfId="20556"/>
    <cellStyle name="Normal 5 7 8 2" xfId="20557"/>
    <cellStyle name="Normal 5 7 8 2 2" xfId="36757"/>
    <cellStyle name="Normal 5 7 8 3" xfId="20558"/>
    <cellStyle name="Normal 5 7 8 3 2" xfId="36758"/>
    <cellStyle name="Normal 5 7 8 4" xfId="20559"/>
    <cellStyle name="Normal 5 7 8 4 2" xfId="36759"/>
    <cellStyle name="Normal 5 7 8 5" xfId="20560"/>
    <cellStyle name="Normal 5 7 8 5 2" xfId="36760"/>
    <cellStyle name="Normal 5 7 8 6" xfId="36756"/>
    <cellStyle name="Normal 5 7 9" xfId="20561"/>
    <cellStyle name="Normal 5 7 9 2" xfId="20562"/>
    <cellStyle name="Normal 5 7 9 2 2" xfId="36762"/>
    <cellStyle name="Normal 5 7 9 3" xfId="20563"/>
    <cellStyle name="Normal 5 7 9 3 2" xfId="36763"/>
    <cellStyle name="Normal 5 7 9 4" xfId="20564"/>
    <cellStyle name="Normal 5 7 9 4 2" xfId="36764"/>
    <cellStyle name="Normal 5 7 9 5" xfId="20565"/>
    <cellStyle name="Normal 5 7 9 5 2" xfId="36765"/>
    <cellStyle name="Normal 5 7 9 6" xfId="36761"/>
    <cellStyle name="Normal 5 8" xfId="20566"/>
    <cellStyle name="Normal 5 8 10" xfId="20567"/>
    <cellStyle name="Normal 5 8 10 2" xfId="20568"/>
    <cellStyle name="Normal 5 8 10 2 2" xfId="36767"/>
    <cellStyle name="Normal 5 8 10 3" xfId="20569"/>
    <cellStyle name="Normal 5 8 10 3 2" xfId="36768"/>
    <cellStyle name="Normal 5 8 10 4" xfId="20570"/>
    <cellStyle name="Normal 5 8 10 4 2" xfId="36769"/>
    <cellStyle name="Normal 5 8 10 5" xfId="20571"/>
    <cellStyle name="Normal 5 8 10 5 2" xfId="36770"/>
    <cellStyle name="Normal 5 8 10 6" xfId="36766"/>
    <cellStyle name="Normal 5 8 11" xfId="20572"/>
    <cellStyle name="Normal 5 8 11 2" xfId="20573"/>
    <cellStyle name="Normal 5 8 11 2 2" xfId="36772"/>
    <cellStyle name="Normal 5 8 11 3" xfId="20574"/>
    <cellStyle name="Normal 5 8 11 3 2" xfId="36773"/>
    <cellStyle name="Normal 5 8 11 4" xfId="20575"/>
    <cellStyle name="Normal 5 8 11 4 2" xfId="36774"/>
    <cellStyle name="Normal 5 8 11 5" xfId="20576"/>
    <cellStyle name="Normal 5 8 11 5 2" xfId="36775"/>
    <cellStyle name="Normal 5 8 11 6" xfId="36771"/>
    <cellStyle name="Normal 5 8 12" xfId="20577"/>
    <cellStyle name="Normal 5 8 12 2" xfId="20578"/>
    <cellStyle name="Normal 5 8 12 2 2" xfId="36777"/>
    <cellStyle name="Normal 5 8 12 3" xfId="20579"/>
    <cellStyle name="Normal 5 8 12 3 2" xfId="36778"/>
    <cellStyle name="Normal 5 8 12 4" xfId="20580"/>
    <cellStyle name="Normal 5 8 12 4 2" xfId="36779"/>
    <cellStyle name="Normal 5 8 12 5" xfId="20581"/>
    <cellStyle name="Normal 5 8 12 5 2" xfId="36780"/>
    <cellStyle name="Normal 5 8 12 6" xfId="36776"/>
    <cellStyle name="Normal 5 8 13" xfId="20582"/>
    <cellStyle name="Normal 5 8 13 2" xfId="20583"/>
    <cellStyle name="Normal 5 8 13 2 2" xfId="36782"/>
    <cellStyle name="Normal 5 8 13 3" xfId="20584"/>
    <cellStyle name="Normal 5 8 13 3 2" xfId="36783"/>
    <cellStyle name="Normal 5 8 13 4" xfId="20585"/>
    <cellStyle name="Normal 5 8 13 4 2" xfId="36784"/>
    <cellStyle name="Normal 5 8 13 5" xfId="20586"/>
    <cellStyle name="Normal 5 8 13 5 2" xfId="36785"/>
    <cellStyle name="Normal 5 8 13 6" xfId="36781"/>
    <cellStyle name="Normal 5 8 14" xfId="20587"/>
    <cellStyle name="Normal 5 8 14 2" xfId="20588"/>
    <cellStyle name="Normal 5 8 14 2 2" xfId="36787"/>
    <cellStyle name="Normal 5 8 14 3" xfId="20589"/>
    <cellStyle name="Normal 5 8 14 3 2" xfId="36788"/>
    <cellStyle name="Normal 5 8 14 4" xfId="20590"/>
    <cellStyle name="Normal 5 8 14 4 2" xfId="36789"/>
    <cellStyle name="Normal 5 8 14 5" xfId="20591"/>
    <cellStyle name="Normal 5 8 14 5 2" xfId="36790"/>
    <cellStyle name="Normal 5 8 14 6" xfId="36786"/>
    <cellStyle name="Normal 5 8 15" xfId="20592"/>
    <cellStyle name="Normal 5 8 15 2" xfId="20593"/>
    <cellStyle name="Normal 5 8 15 2 2" xfId="36792"/>
    <cellStyle name="Normal 5 8 15 3" xfId="20594"/>
    <cellStyle name="Normal 5 8 15 3 2" xfId="36793"/>
    <cellStyle name="Normal 5 8 15 4" xfId="20595"/>
    <cellStyle name="Normal 5 8 15 4 2" xfId="36794"/>
    <cellStyle name="Normal 5 8 15 5" xfId="20596"/>
    <cellStyle name="Normal 5 8 15 5 2" xfId="36795"/>
    <cellStyle name="Normal 5 8 15 6" xfId="36791"/>
    <cellStyle name="Normal 5 8 16" xfId="20597"/>
    <cellStyle name="Normal 5 8 16 2" xfId="20598"/>
    <cellStyle name="Normal 5 8 16 2 2" xfId="36797"/>
    <cellStyle name="Normal 5 8 16 3" xfId="20599"/>
    <cellStyle name="Normal 5 8 16 3 2" xfId="36798"/>
    <cellStyle name="Normal 5 8 16 4" xfId="20600"/>
    <cellStyle name="Normal 5 8 16 4 2" xfId="36799"/>
    <cellStyle name="Normal 5 8 16 5" xfId="20601"/>
    <cellStyle name="Normal 5 8 16 5 2" xfId="36800"/>
    <cellStyle name="Normal 5 8 16 6" xfId="36796"/>
    <cellStyle name="Normal 5 8 17" xfId="20602"/>
    <cellStyle name="Normal 5 8 17 2" xfId="20603"/>
    <cellStyle name="Normal 5 8 17 2 2" xfId="36802"/>
    <cellStyle name="Normal 5 8 17 3" xfId="20604"/>
    <cellStyle name="Normal 5 8 17 3 2" xfId="36803"/>
    <cellStyle name="Normal 5 8 17 4" xfId="20605"/>
    <cellStyle name="Normal 5 8 17 4 2" xfId="36804"/>
    <cellStyle name="Normal 5 8 17 5" xfId="20606"/>
    <cellStyle name="Normal 5 8 17 5 2" xfId="36805"/>
    <cellStyle name="Normal 5 8 17 6" xfId="36801"/>
    <cellStyle name="Normal 5 8 18" xfId="20607"/>
    <cellStyle name="Normal 5 8 18 2" xfId="20608"/>
    <cellStyle name="Normal 5 8 18 2 2" xfId="36807"/>
    <cellStyle name="Normal 5 8 18 3" xfId="20609"/>
    <cellStyle name="Normal 5 8 18 3 2" xfId="36808"/>
    <cellStyle name="Normal 5 8 18 4" xfId="20610"/>
    <cellStyle name="Normal 5 8 18 4 2" xfId="36809"/>
    <cellStyle name="Normal 5 8 18 5" xfId="20611"/>
    <cellStyle name="Normal 5 8 18 5 2" xfId="36810"/>
    <cellStyle name="Normal 5 8 18 6" xfId="36806"/>
    <cellStyle name="Normal 5 8 19" xfId="20612"/>
    <cellStyle name="Normal 5 8 19 2" xfId="20613"/>
    <cellStyle name="Normal 5 8 19 2 2" xfId="36812"/>
    <cellStyle name="Normal 5 8 19 3" xfId="20614"/>
    <cellStyle name="Normal 5 8 19 3 2" xfId="36813"/>
    <cellStyle name="Normal 5 8 19 4" xfId="20615"/>
    <cellStyle name="Normal 5 8 19 4 2" xfId="36814"/>
    <cellStyle name="Normal 5 8 19 5" xfId="20616"/>
    <cellStyle name="Normal 5 8 19 5 2" xfId="36815"/>
    <cellStyle name="Normal 5 8 19 6" xfId="36811"/>
    <cellStyle name="Normal 5 8 2" xfId="20617"/>
    <cellStyle name="Normal 5 8 2 10" xfId="20618"/>
    <cellStyle name="Normal 5 8 2 11" xfId="20619"/>
    <cellStyle name="Normal 5 8 2 12" xfId="20620"/>
    <cellStyle name="Normal 5 8 2 13" xfId="20621"/>
    <cellStyle name="Normal 5 8 2 14" xfId="20622"/>
    <cellStyle name="Normal 5 8 2 15" xfId="20623"/>
    <cellStyle name="Normal 5 8 2 16" xfId="20624"/>
    <cellStyle name="Normal 5 8 2 17" xfId="20625"/>
    <cellStyle name="Normal 5 8 2 18" xfId="20626"/>
    <cellStyle name="Normal 5 8 2 19" xfId="20627"/>
    <cellStyle name="Normal 5 8 2 2" xfId="20628"/>
    <cellStyle name="Normal 5 8 2 2 2" xfId="20629"/>
    <cellStyle name="Normal 5 8 2 2 3" xfId="20630"/>
    <cellStyle name="Normal 5 8 2 2 4" xfId="20631"/>
    <cellStyle name="Normal 5 8 2 2 5" xfId="20632"/>
    <cellStyle name="Normal 5 8 2 2 6" xfId="20633"/>
    <cellStyle name="Normal 5 8 2 2 7" xfId="20634"/>
    <cellStyle name="Normal 5 8 2 20" xfId="20635"/>
    <cellStyle name="Normal 5 8 2 21" xfId="20636"/>
    <cellStyle name="Normal 5 8 2 22" xfId="36816"/>
    <cellStyle name="Normal 5 8 2 3" xfId="20637"/>
    <cellStyle name="Normal 5 8 2 4" xfId="20638"/>
    <cellStyle name="Normal 5 8 2 5" xfId="20639"/>
    <cellStyle name="Normal 5 8 2 6" xfId="20640"/>
    <cellStyle name="Normal 5 8 2 7" xfId="20641"/>
    <cellStyle name="Normal 5 8 2 8" xfId="20642"/>
    <cellStyle name="Normal 5 8 2 9" xfId="20643"/>
    <cellStyle name="Normal 5 8 20" xfId="20644"/>
    <cellStyle name="Normal 5 8 20 2" xfId="20645"/>
    <cellStyle name="Normal 5 8 20 2 2" xfId="36818"/>
    <cellStyle name="Normal 5 8 20 3" xfId="20646"/>
    <cellStyle name="Normal 5 8 20 3 2" xfId="36819"/>
    <cellStyle name="Normal 5 8 20 4" xfId="20647"/>
    <cellStyle name="Normal 5 8 20 4 2" xfId="36820"/>
    <cellStyle name="Normal 5 8 20 5" xfId="20648"/>
    <cellStyle name="Normal 5 8 20 5 2" xfId="36821"/>
    <cellStyle name="Normal 5 8 20 6" xfId="36817"/>
    <cellStyle name="Normal 5 8 21" xfId="20649"/>
    <cellStyle name="Normal 5 8 21 2" xfId="36822"/>
    <cellStyle name="Normal 5 8 22" xfId="20650"/>
    <cellStyle name="Normal 5 8 22 2" xfId="36823"/>
    <cellStyle name="Normal 5 8 23" xfId="20651"/>
    <cellStyle name="Normal 5 8 23 2" xfId="36824"/>
    <cellStyle name="Normal 5 8 24" xfId="20652"/>
    <cellStyle name="Normal 5 8 24 2" xfId="36825"/>
    <cellStyle name="Normal 5 8 25" xfId="20653"/>
    <cellStyle name="Normal 5 8 25 2" xfId="36826"/>
    <cellStyle name="Normal 5 8 26" xfId="40746"/>
    <cellStyle name="Normal 5 8 3" xfId="20654"/>
    <cellStyle name="Normal 5 8 3 10" xfId="20655"/>
    <cellStyle name="Normal 5 8 3 11" xfId="20656"/>
    <cellStyle name="Normal 5 8 3 12" xfId="20657"/>
    <cellStyle name="Normal 5 8 3 13" xfId="20658"/>
    <cellStyle name="Normal 5 8 3 14" xfId="20659"/>
    <cellStyle name="Normal 5 8 3 15" xfId="20660"/>
    <cellStyle name="Normal 5 8 3 16" xfId="20661"/>
    <cellStyle name="Normal 5 8 3 2" xfId="20662"/>
    <cellStyle name="Normal 5 8 3 3" xfId="20663"/>
    <cellStyle name="Normal 5 8 3 4" xfId="20664"/>
    <cellStyle name="Normal 5 8 3 5" xfId="20665"/>
    <cellStyle name="Normal 5 8 3 6" xfId="20666"/>
    <cellStyle name="Normal 5 8 3 7" xfId="20667"/>
    <cellStyle name="Normal 5 8 3 8" xfId="20668"/>
    <cellStyle name="Normal 5 8 3 9" xfId="20669"/>
    <cellStyle name="Normal 5 8 4" xfId="20670"/>
    <cellStyle name="Normal 5 8 4 10" xfId="20671"/>
    <cellStyle name="Normal 5 8 4 10 2" xfId="20672"/>
    <cellStyle name="Normal 5 8 4 10 2 2" xfId="36829"/>
    <cellStyle name="Normal 5 8 4 10 3" xfId="20673"/>
    <cellStyle name="Normal 5 8 4 10 3 2" xfId="36830"/>
    <cellStyle name="Normal 5 8 4 10 4" xfId="20674"/>
    <cellStyle name="Normal 5 8 4 10 4 2" xfId="36831"/>
    <cellStyle name="Normal 5 8 4 10 5" xfId="20675"/>
    <cellStyle name="Normal 5 8 4 10 5 2" xfId="36832"/>
    <cellStyle name="Normal 5 8 4 10 6" xfId="36828"/>
    <cellStyle name="Normal 5 8 4 11" xfId="20676"/>
    <cellStyle name="Normal 5 8 4 11 2" xfId="20677"/>
    <cellStyle name="Normal 5 8 4 11 2 2" xfId="36834"/>
    <cellStyle name="Normal 5 8 4 11 3" xfId="20678"/>
    <cellStyle name="Normal 5 8 4 11 3 2" xfId="36835"/>
    <cellStyle name="Normal 5 8 4 11 4" xfId="20679"/>
    <cellStyle name="Normal 5 8 4 11 4 2" xfId="36836"/>
    <cellStyle name="Normal 5 8 4 11 5" xfId="20680"/>
    <cellStyle name="Normal 5 8 4 11 5 2" xfId="36837"/>
    <cellStyle name="Normal 5 8 4 11 6" xfId="36833"/>
    <cellStyle name="Normal 5 8 4 12" xfId="20681"/>
    <cellStyle name="Normal 5 8 4 12 2" xfId="20682"/>
    <cellStyle name="Normal 5 8 4 12 2 2" xfId="36839"/>
    <cellStyle name="Normal 5 8 4 12 3" xfId="20683"/>
    <cellStyle name="Normal 5 8 4 12 3 2" xfId="36840"/>
    <cellStyle name="Normal 5 8 4 12 4" xfId="20684"/>
    <cellStyle name="Normal 5 8 4 12 4 2" xfId="36841"/>
    <cellStyle name="Normal 5 8 4 12 5" xfId="20685"/>
    <cellStyle name="Normal 5 8 4 12 5 2" xfId="36842"/>
    <cellStyle name="Normal 5 8 4 12 6" xfId="36838"/>
    <cellStyle name="Normal 5 8 4 13" xfId="20686"/>
    <cellStyle name="Normal 5 8 4 13 2" xfId="20687"/>
    <cellStyle name="Normal 5 8 4 13 2 2" xfId="36844"/>
    <cellStyle name="Normal 5 8 4 13 3" xfId="20688"/>
    <cellStyle name="Normal 5 8 4 13 3 2" xfId="36845"/>
    <cellStyle name="Normal 5 8 4 13 4" xfId="20689"/>
    <cellStyle name="Normal 5 8 4 13 4 2" xfId="36846"/>
    <cellStyle name="Normal 5 8 4 13 5" xfId="20690"/>
    <cellStyle name="Normal 5 8 4 13 5 2" xfId="36847"/>
    <cellStyle name="Normal 5 8 4 13 6" xfId="36843"/>
    <cellStyle name="Normal 5 8 4 14" xfId="20691"/>
    <cellStyle name="Normal 5 8 4 14 2" xfId="20692"/>
    <cellStyle name="Normal 5 8 4 14 2 2" xfId="36849"/>
    <cellStyle name="Normal 5 8 4 14 3" xfId="20693"/>
    <cellStyle name="Normal 5 8 4 14 3 2" xfId="36850"/>
    <cellStyle name="Normal 5 8 4 14 4" xfId="20694"/>
    <cellStyle name="Normal 5 8 4 14 4 2" xfId="36851"/>
    <cellStyle name="Normal 5 8 4 14 5" xfId="20695"/>
    <cellStyle name="Normal 5 8 4 14 5 2" xfId="36852"/>
    <cellStyle name="Normal 5 8 4 14 6" xfId="36848"/>
    <cellStyle name="Normal 5 8 4 15" xfId="20696"/>
    <cellStyle name="Normal 5 8 4 15 2" xfId="20697"/>
    <cellStyle name="Normal 5 8 4 15 2 2" xfId="36854"/>
    <cellStyle name="Normal 5 8 4 15 3" xfId="20698"/>
    <cellStyle name="Normal 5 8 4 15 3 2" xfId="36855"/>
    <cellStyle name="Normal 5 8 4 15 4" xfId="20699"/>
    <cellStyle name="Normal 5 8 4 15 4 2" xfId="36856"/>
    <cellStyle name="Normal 5 8 4 15 5" xfId="20700"/>
    <cellStyle name="Normal 5 8 4 15 5 2" xfId="36857"/>
    <cellStyle name="Normal 5 8 4 15 6" xfId="36853"/>
    <cellStyle name="Normal 5 8 4 16" xfId="20701"/>
    <cellStyle name="Normal 5 8 4 16 2" xfId="20702"/>
    <cellStyle name="Normal 5 8 4 16 2 2" xfId="36859"/>
    <cellStyle name="Normal 5 8 4 16 3" xfId="20703"/>
    <cellStyle name="Normal 5 8 4 16 3 2" xfId="36860"/>
    <cellStyle name="Normal 5 8 4 16 4" xfId="20704"/>
    <cellStyle name="Normal 5 8 4 16 4 2" xfId="36861"/>
    <cellStyle name="Normal 5 8 4 16 5" xfId="20705"/>
    <cellStyle name="Normal 5 8 4 16 5 2" xfId="36862"/>
    <cellStyle name="Normal 5 8 4 16 6" xfId="36858"/>
    <cellStyle name="Normal 5 8 4 17" xfId="20706"/>
    <cellStyle name="Normal 5 8 4 17 2" xfId="36863"/>
    <cellStyle name="Normal 5 8 4 18" xfId="20707"/>
    <cellStyle name="Normal 5 8 4 18 2" xfId="36864"/>
    <cellStyle name="Normal 5 8 4 19" xfId="20708"/>
    <cellStyle name="Normal 5 8 4 19 2" xfId="36865"/>
    <cellStyle name="Normal 5 8 4 2" xfId="20709"/>
    <cellStyle name="Normal 5 8 4 20" xfId="20710"/>
    <cellStyle name="Normal 5 8 4 20 2" xfId="36866"/>
    <cellStyle name="Normal 5 8 4 21" xfId="36827"/>
    <cellStyle name="Normal 5 8 4 3" xfId="20711"/>
    <cellStyle name="Normal 5 8 4 3 2" xfId="20712"/>
    <cellStyle name="Normal 5 8 4 3 2 2" xfId="36868"/>
    <cellStyle name="Normal 5 8 4 3 3" xfId="20713"/>
    <cellStyle name="Normal 5 8 4 3 3 2" xfId="36869"/>
    <cellStyle name="Normal 5 8 4 3 4" xfId="20714"/>
    <cellStyle name="Normal 5 8 4 3 4 2" xfId="36870"/>
    <cellStyle name="Normal 5 8 4 3 5" xfId="20715"/>
    <cellStyle name="Normal 5 8 4 3 5 2" xfId="36871"/>
    <cellStyle name="Normal 5 8 4 3 6" xfId="36867"/>
    <cellStyle name="Normal 5 8 4 4" xfId="20716"/>
    <cellStyle name="Normal 5 8 4 4 2" xfId="20717"/>
    <cellStyle name="Normal 5 8 4 4 2 2" xfId="36873"/>
    <cellStyle name="Normal 5 8 4 4 3" xfId="20718"/>
    <cellStyle name="Normal 5 8 4 4 3 2" xfId="36874"/>
    <cellStyle name="Normal 5 8 4 4 4" xfId="20719"/>
    <cellStyle name="Normal 5 8 4 4 4 2" xfId="36875"/>
    <cellStyle name="Normal 5 8 4 4 5" xfId="20720"/>
    <cellStyle name="Normal 5 8 4 4 5 2" xfId="36876"/>
    <cellStyle name="Normal 5 8 4 4 6" xfId="36872"/>
    <cellStyle name="Normal 5 8 4 5" xfId="20721"/>
    <cellStyle name="Normal 5 8 4 5 2" xfId="20722"/>
    <cellStyle name="Normal 5 8 4 5 2 2" xfId="36878"/>
    <cellStyle name="Normal 5 8 4 5 3" xfId="20723"/>
    <cellStyle name="Normal 5 8 4 5 3 2" xfId="36879"/>
    <cellStyle name="Normal 5 8 4 5 4" xfId="20724"/>
    <cellStyle name="Normal 5 8 4 5 4 2" xfId="36880"/>
    <cellStyle name="Normal 5 8 4 5 5" xfId="20725"/>
    <cellStyle name="Normal 5 8 4 5 5 2" xfId="36881"/>
    <cellStyle name="Normal 5 8 4 5 6" xfId="36877"/>
    <cellStyle name="Normal 5 8 4 6" xfId="20726"/>
    <cellStyle name="Normal 5 8 4 6 2" xfId="20727"/>
    <cellStyle name="Normal 5 8 4 6 2 2" xfId="36883"/>
    <cellStyle name="Normal 5 8 4 6 3" xfId="20728"/>
    <cellStyle name="Normal 5 8 4 6 3 2" xfId="36884"/>
    <cellStyle name="Normal 5 8 4 6 4" xfId="20729"/>
    <cellStyle name="Normal 5 8 4 6 4 2" xfId="36885"/>
    <cellStyle name="Normal 5 8 4 6 5" xfId="20730"/>
    <cellStyle name="Normal 5 8 4 6 5 2" xfId="36886"/>
    <cellStyle name="Normal 5 8 4 6 6" xfId="36882"/>
    <cellStyle name="Normal 5 8 4 7" xfId="20731"/>
    <cellStyle name="Normal 5 8 4 7 2" xfId="20732"/>
    <cellStyle name="Normal 5 8 4 7 2 2" xfId="36888"/>
    <cellStyle name="Normal 5 8 4 7 3" xfId="20733"/>
    <cellStyle name="Normal 5 8 4 7 3 2" xfId="36889"/>
    <cellStyle name="Normal 5 8 4 7 4" xfId="20734"/>
    <cellStyle name="Normal 5 8 4 7 4 2" xfId="36890"/>
    <cellStyle name="Normal 5 8 4 7 5" xfId="20735"/>
    <cellStyle name="Normal 5 8 4 7 5 2" xfId="36891"/>
    <cellStyle name="Normal 5 8 4 7 6" xfId="36887"/>
    <cellStyle name="Normal 5 8 4 8" xfId="20736"/>
    <cellStyle name="Normal 5 8 4 8 2" xfId="20737"/>
    <cellStyle name="Normal 5 8 4 8 2 2" xfId="36893"/>
    <cellStyle name="Normal 5 8 4 8 3" xfId="20738"/>
    <cellStyle name="Normal 5 8 4 8 3 2" xfId="36894"/>
    <cellStyle name="Normal 5 8 4 8 4" xfId="20739"/>
    <cellStyle name="Normal 5 8 4 8 4 2" xfId="36895"/>
    <cellStyle name="Normal 5 8 4 8 5" xfId="20740"/>
    <cellStyle name="Normal 5 8 4 8 5 2" xfId="36896"/>
    <cellStyle name="Normal 5 8 4 8 6" xfId="36892"/>
    <cellStyle name="Normal 5 8 4 9" xfId="20741"/>
    <cellStyle name="Normal 5 8 4 9 2" xfId="20742"/>
    <cellStyle name="Normal 5 8 4 9 2 2" xfId="36898"/>
    <cellStyle name="Normal 5 8 4 9 3" xfId="20743"/>
    <cellStyle name="Normal 5 8 4 9 3 2" xfId="36899"/>
    <cellStyle name="Normal 5 8 4 9 4" xfId="20744"/>
    <cellStyle name="Normal 5 8 4 9 4 2" xfId="36900"/>
    <cellStyle name="Normal 5 8 4 9 5" xfId="20745"/>
    <cellStyle name="Normal 5 8 4 9 5 2" xfId="36901"/>
    <cellStyle name="Normal 5 8 4 9 6" xfId="36897"/>
    <cellStyle name="Normal 5 8 5" xfId="20746"/>
    <cellStyle name="Normal 5 8 5 2" xfId="20747"/>
    <cellStyle name="Normal 5 8 5 3" xfId="20748"/>
    <cellStyle name="Normal 5 8 5 3 2" xfId="36903"/>
    <cellStyle name="Normal 5 8 5 4" xfId="20749"/>
    <cellStyle name="Normal 5 8 5 4 2" xfId="36904"/>
    <cellStyle name="Normal 5 8 5 5" xfId="20750"/>
    <cellStyle name="Normal 5 8 5 5 2" xfId="36905"/>
    <cellStyle name="Normal 5 8 5 6" xfId="20751"/>
    <cellStyle name="Normal 5 8 5 6 2" xfId="36906"/>
    <cellStyle name="Normal 5 8 5 7" xfId="36902"/>
    <cellStyle name="Normal 5 8 6" xfId="20752"/>
    <cellStyle name="Normal 5 8 6 2" xfId="20753"/>
    <cellStyle name="Normal 5 8 6 3" xfId="20754"/>
    <cellStyle name="Normal 5 8 6 3 2" xfId="36908"/>
    <cellStyle name="Normal 5 8 6 4" xfId="20755"/>
    <cellStyle name="Normal 5 8 6 4 2" xfId="36909"/>
    <cellStyle name="Normal 5 8 6 5" xfId="20756"/>
    <cellStyle name="Normal 5 8 6 5 2" xfId="36910"/>
    <cellStyle name="Normal 5 8 6 6" xfId="20757"/>
    <cellStyle name="Normal 5 8 6 6 2" xfId="36911"/>
    <cellStyle name="Normal 5 8 6 7" xfId="36907"/>
    <cellStyle name="Normal 5 8 7" xfId="20758"/>
    <cellStyle name="Normal 5 8 7 2" xfId="20759"/>
    <cellStyle name="Normal 5 8 7 2 2" xfId="36913"/>
    <cellStyle name="Normal 5 8 7 3" xfId="20760"/>
    <cellStyle name="Normal 5 8 7 3 2" xfId="36914"/>
    <cellStyle name="Normal 5 8 7 4" xfId="20761"/>
    <cellStyle name="Normal 5 8 7 4 2" xfId="36915"/>
    <cellStyle name="Normal 5 8 7 5" xfId="20762"/>
    <cellStyle name="Normal 5 8 7 5 2" xfId="36916"/>
    <cellStyle name="Normal 5 8 7 6" xfId="36912"/>
    <cellStyle name="Normal 5 8 8" xfId="20763"/>
    <cellStyle name="Normal 5 8 8 2" xfId="20764"/>
    <cellStyle name="Normal 5 8 8 2 2" xfId="36918"/>
    <cellStyle name="Normal 5 8 8 3" xfId="20765"/>
    <cellStyle name="Normal 5 8 8 3 2" xfId="36919"/>
    <cellStyle name="Normal 5 8 8 4" xfId="20766"/>
    <cellStyle name="Normal 5 8 8 4 2" xfId="36920"/>
    <cellStyle name="Normal 5 8 8 5" xfId="20767"/>
    <cellStyle name="Normal 5 8 8 5 2" xfId="36921"/>
    <cellStyle name="Normal 5 8 8 6" xfId="36917"/>
    <cellStyle name="Normal 5 8 9" xfId="20768"/>
    <cellStyle name="Normal 5 8 9 2" xfId="20769"/>
    <cellStyle name="Normal 5 8 9 2 2" xfId="36923"/>
    <cellStyle name="Normal 5 8 9 3" xfId="20770"/>
    <cellStyle name="Normal 5 8 9 3 2" xfId="36924"/>
    <cellStyle name="Normal 5 8 9 4" xfId="20771"/>
    <cellStyle name="Normal 5 8 9 4 2" xfId="36925"/>
    <cellStyle name="Normal 5 8 9 5" xfId="20772"/>
    <cellStyle name="Normal 5 8 9 5 2" xfId="36926"/>
    <cellStyle name="Normal 5 8 9 6" xfId="36922"/>
    <cellStyle name="Normal 5 9" xfId="20773"/>
    <cellStyle name="Normal 5 9 10" xfId="20774"/>
    <cellStyle name="Normal 5 9 11" xfId="20775"/>
    <cellStyle name="Normal 5 9 12" xfId="20776"/>
    <cellStyle name="Normal 5 9 13" xfId="20777"/>
    <cellStyle name="Normal 5 9 14" xfId="20778"/>
    <cellStyle name="Normal 5 9 15" xfId="20779"/>
    <cellStyle name="Normal 5 9 16" xfId="20780"/>
    <cellStyle name="Normal 5 9 17" xfId="20781"/>
    <cellStyle name="Normal 5 9 18" xfId="20782"/>
    <cellStyle name="Normal 5 9 19" xfId="20783"/>
    <cellStyle name="Normal 5 9 2" xfId="20784"/>
    <cellStyle name="Normal 5 9 2 2" xfId="20785"/>
    <cellStyle name="Normal 5 9 2 3" xfId="20786"/>
    <cellStyle name="Normal 5 9 2 4" xfId="20787"/>
    <cellStyle name="Normal 5 9 2 5" xfId="20788"/>
    <cellStyle name="Normal 5 9 2 6" xfId="20789"/>
    <cellStyle name="Normal 5 9 2 7" xfId="20790"/>
    <cellStyle name="Normal 5 9 20" xfId="20791"/>
    <cellStyle name="Normal 5 9 21" xfId="20792"/>
    <cellStyle name="Normal 5 9 22" xfId="20793"/>
    <cellStyle name="Normal 5 9 23" xfId="20794"/>
    <cellStyle name="Normal 5 9 24" xfId="40747"/>
    <cellStyle name="Normal 5 9 3" xfId="20795"/>
    <cellStyle name="Normal 5 9 4" xfId="20796"/>
    <cellStyle name="Normal 5 9 4 10" xfId="20797"/>
    <cellStyle name="Normal 5 9 4 10 2" xfId="36928"/>
    <cellStyle name="Normal 5 9 4 11" xfId="20798"/>
    <cellStyle name="Normal 5 9 4 11 2" xfId="36929"/>
    <cellStyle name="Normal 5 9 4 12" xfId="36927"/>
    <cellStyle name="Normal 5 9 4 2" xfId="20799"/>
    <cellStyle name="Normal 5 9 4 2 2" xfId="20800"/>
    <cellStyle name="Normal 5 9 4 2 2 2" xfId="36931"/>
    <cellStyle name="Normal 5 9 4 2 3" xfId="20801"/>
    <cellStyle name="Normal 5 9 4 2 3 2" xfId="36932"/>
    <cellStyle name="Normal 5 9 4 2 4" xfId="20802"/>
    <cellStyle name="Normal 5 9 4 2 4 2" xfId="36933"/>
    <cellStyle name="Normal 5 9 4 2 5" xfId="20803"/>
    <cellStyle name="Normal 5 9 4 2 5 2" xfId="36934"/>
    <cellStyle name="Normal 5 9 4 2 6" xfId="36930"/>
    <cellStyle name="Normal 5 9 4 3" xfId="20804"/>
    <cellStyle name="Normal 5 9 4 3 2" xfId="20805"/>
    <cellStyle name="Normal 5 9 4 3 2 2" xfId="36936"/>
    <cellStyle name="Normal 5 9 4 3 3" xfId="20806"/>
    <cellStyle name="Normal 5 9 4 3 3 2" xfId="36937"/>
    <cellStyle name="Normal 5 9 4 3 4" xfId="20807"/>
    <cellStyle name="Normal 5 9 4 3 4 2" xfId="36938"/>
    <cellStyle name="Normal 5 9 4 3 5" xfId="20808"/>
    <cellStyle name="Normal 5 9 4 3 5 2" xfId="36939"/>
    <cellStyle name="Normal 5 9 4 3 6" xfId="36935"/>
    <cellStyle name="Normal 5 9 4 4" xfId="20809"/>
    <cellStyle name="Normal 5 9 4 4 2" xfId="20810"/>
    <cellStyle name="Normal 5 9 4 4 2 2" xfId="36941"/>
    <cellStyle name="Normal 5 9 4 4 3" xfId="20811"/>
    <cellStyle name="Normal 5 9 4 4 3 2" xfId="36942"/>
    <cellStyle name="Normal 5 9 4 4 4" xfId="20812"/>
    <cellStyle name="Normal 5 9 4 4 4 2" xfId="36943"/>
    <cellStyle name="Normal 5 9 4 4 5" xfId="20813"/>
    <cellStyle name="Normal 5 9 4 4 5 2" xfId="36944"/>
    <cellStyle name="Normal 5 9 4 4 6" xfId="36940"/>
    <cellStyle name="Normal 5 9 4 5" xfId="20814"/>
    <cellStyle name="Normal 5 9 4 5 2" xfId="20815"/>
    <cellStyle name="Normal 5 9 4 5 2 2" xfId="36946"/>
    <cellStyle name="Normal 5 9 4 5 3" xfId="20816"/>
    <cellStyle name="Normal 5 9 4 5 3 2" xfId="36947"/>
    <cellStyle name="Normal 5 9 4 5 4" xfId="20817"/>
    <cellStyle name="Normal 5 9 4 5 4 2" xfId="36948"/>
    <cellStyle name="Normal 5 9 4 5 5" xfId="20818"/>
    <cellStyle name="Normal 5 9 4 5 5 2" xfId="36949"/>
    <cellStyle name="Normal 5 9 4 5 6" xfId="36945"/>
    <cellStyle name="Normal 5 9 4 6" xfId="20819"/>
    <cellStyle name="Normal 5 9 4 6 2" xfId="20820"/>
    <cellStyle name="Normal 5 9 4 6 2 2" xfId="36951"/>
    <cellStyle name="Normal 5 9 4 6 3" xfId="20821"/>
    <cellStyle name="Normal 5 9 4 6 3 2" xfId="36952"/>
    <cellStyle name="Normal 5 9 4 6 4" xfId="20822"/>
    <cellStyle name="Normal 5 9 4 6 4 2" xfId="36953"/>
    <cellStyle name="Normal 5 9 4 6 5" xfId="20823"/>
    <cellStyle name="Normal 5 9 4 6 5 2" xfId="36954"/>
    <cellStyle name="Normal 5 9 4 6 6" xfId="36950"/>
    <cellStyle name="Normal 5 9 4 7" xfId="20824"/>
    <cellStyle name="Normal 5 9 4 7 2" xfId="20825"/>
    <cellStyle name="Normal 5 9 4 7 2 2" xfId="36956"/>
    <cellStyle name="Normal 5 9 4 7 3" xfId="20826"/>
    <cellStyle name="Normal 5 9 4 7 3 2" xfId="36957"/>
    <cellStyle name="Normal 5 9 4 7 4" xfId="20827"/>
    <cellStyle name="Normal 5 9 4 7 4 2" xfId="36958"/>
    <cellStyle name="Normal 5 9 4 7 5" xfId="20828"/>
    <cellStyle name="Normal 5 9 4 7 5 2" xfId="36959"/>
    <cellStyle name="Normal 5 9 4 7 6" xfId="36955"/>
    <cellStyle name="Normal 5 9 4 8" xfId="20829"/>
    <cellStyle name="Normal 5 9 4 8 2" xfId="36960"/>
    <cellStyle name="Normal 5 9 4 9" xfId="20830"/>
    <cellStyle name="Normal 5 9 4 9 2" xfId="36961"/>
    <cellStyle name="Normal 5 9 5" xfId="20831"/>
    <cellStyle name="Normal 5 9 6" xfId="20832"/>
    <cellStyle name="Normal 5 9 7" xfId="20833"/>
    <cellStyle name="Normal 5 9 8" xfId="20834"/>
    <cellStyle name="Normal 5 9 9" xfId="20835"/>
    <cellStyle name="Normal 54" xfId="41061"/>
    <cellStyle name="Normal 6" xfId="20836"/>
    <cellStyle name="Normal 6 10" xfId="20837"/>
    <cellStyle name="Normal 6 10 2" xfId="40748"/>
    <cellStyle name="Normal 6 11" xfId="20838"/>
    <cellStyle name="Normal 6 11 2" xfId="40749"/>
    <cellStyle name="Normal 6 12" xfId="20839"/>
    <cellStyle name="Normal 6 12 2" xfId="40750"/>
    <cellStyle name="Normal 6 13" xfId="20840"/>
    <cellStyle name="Normal 6 13 10" xfId="20841"/>
    <cellStyle name="Normal 6 13 11" xfId="20842"/>
    <cellStyle name="Normal 6 13 12" xfId="20843"/>
    <cellStyle name="Normal 6 13 13" xfId="20844"/>
    <cellStyle name="Normal 6 13 14" xfId="20845"/>
    <cellStyle name="Normal 6 13 15" xfId="20846"/>
    <cellStyle name="Normal 6 13 16" xfId="20847"/>
    <cellStyle name="Normal 6 13 2" xfId="20848"/>
    <cellStyle name="Normal 6 13 3" xfId="20849"/>
    <cellStyle name="Normal 6 13 4" xfId="20850"/>
    <cellStyle name="Normal 6 13 5" xfId="20851"/>
    <cellStyle name="Normal 6 13 6" xfId="20852"/>
    <cellStyle name="Normal 6 13 7" xfId="20853"/>
    <cellStyle name="Normal 6 13 8" xfId="20854"/>
    <cellStyle name="Normal 6 13 9" xfId="20855"/>
    <cellStyle name="Normal 6 14" xfId="20856"/>
    <cellStyle name="Normal 6 14 2" xfId="20857"/>
    <cellStyle name="Normal 6 15" xfId="20858"/>
    <cellStyle name="Normal 6 15 2" xfId="20859"/>
    <cellStyle name="Normal 6 16" xfId="20860"/>
    <cellStyle name="Normal 6 16 2" xfId="20861"/>
    <cellStyle name="Normal 6 17" xfId="20862"/>
    <cellStyle name="Normal 6 18" xfId="20863"/>
    <cellStyle name="Normal 6 19" xfId="20864"/>
    <cellStyle name="Normal 6 2" xfId="20865"/>
    <cellStyle name="Normal 6 2 10" xfId="20866"/>
    <cellStyle name="Normal 6 2 11" xfId="20867"/>
    <cellStyle name="Normal 6 2 12" xfId="20868"/>
    <cellStyle name="Normal 6 2 13" xfId="20869"/>
    <cellStyle name="Normal 6 2 14" xfId="20870"/>
    <cellStyle name="Normal 6 2 15" xfId="20871"/>
    <cellStyle name="Normal 6 2 16" xfId="20872"/>
    <cellStyle name="Normal 6 2 17" xfId="20873"/>
    <cellStyle name="Normal 6 2 18" xfId="20874"/>
    <cellStyle name="Normal 6 2 19" xfId="20875"/>
    <cellStyle name="Normal 6 2 2" xfId="20876"/>
    <cellStyle name="Normal 6 2 2 10" xfId="20877"/>
    <cellStyle name="Normal 6 2 2 11" xfId="20878"/>
    <cellStyle name="Normal 6 2 2 12" xfId="20879"/>
    <cellStyle name="Normal 6 2 2 13" xfId="20880"/>
    <cellStyle name="Normal 6 2 2 14" xfId="20881"/>
    <cellStyle name="Normal 6 2 2 15" xfId="20882"/>
    <cellStyle name="Normal 6 2 2 16" xfId="20883"/>
    <cellStyle name="Normal 6 2 2 17" xfId="20884"/>
    <cellStyle name="Normal 6 2 2 18" xfId="20885"/>
    <cellStyle name="Normal 6 2 2 19" xfId="20886"/>
    <cellStyle name="Normal 6 2 2 2" xfId="20887"/>
    <cellStyle name="Normal 6 2 2 2 2" xfId="20888"/>
    <cellStyle name="Normal 6 2 2 2 3" xfId="20889"/>
    <cellStyle name="Normal 6 2 2 2 4" xfId="20890"/>
    <cellStyle name="Normal 6 2 2 2 5" xfId="20891"/>
    <cellStyle name="Normal 6 2 2 2 6" xfId="20892"/>
    <cellStyle name="Normal 6 2 2 2 7" xfId="20893"/>
    <cellStyle name="Normal 6 2 2 20" xfId="20894"/>
    <cellStyle name="Normal 6 2 2 21" xfId="20895"/>
    <cellStyle name="Normal 6 2 2 22" xfId="40751"/>
    <cellStyle name="Normal 6 2 2 3" xfId="20896"/>
    <cellStyle name="Normal 6 2 2 4" xfId="20897"/>
    <cellStyle name="Normal 6 2 2 5" xfId="20898"/>
    <cellStyle name="Normal 6 2 2 6" xfId="20899"/>
    <cellStyle name="Normal 6 2 2 7" xfId="20900"/>
    <cellStyle name="Normal 6 2 2 8" xfId="20901"/>
    <cellStyle name="Normal 6 2 2 9" xfId="20902"/>
    <cellStyle name="Normal 6 2 20" xfId="20903"/>
    <cellStyle name="Normal 6 2 21" xfId="20904"/>
    <cellStyle name="Normal 6 2 22" xfId="20905"/>
    <cellStyle name="Normal 6 2 23" xfId="20906"/>
    <cellStyle name="Normal 6 2 3" xfId="20907"/>
    <cellStyle name="Normal 6 2 3 2" xfId="40752"/>
    <cellStyle name="Normal 6 2 4" xfId="20908"/>
    <cellStyle name="Normal 6 2 4 2" xfId="40753"/>
    <cellStyle name="Normal 6 2 5" xfId="20909"/>
    <cellStyle name="Normal 6 2 5 2" xfId="20910"/>
    <cellStyle name="Normal 6 2 6" xfId="20911"/>
    <cellStyle name="Normal 6 2 6 2" xfId="20912"/>
    <cellStyle name="Normal 6 2 7" xfId="20913"/>
    <cellStyle name="Normal 6 2 7 2" xfId="20914"/>
    <cellStyle name="Normal 6 2 8" xfId="20915"/>
    <cellStyle name="Normal 6 2 8 2" xfId="20916"/>
    <cellStyle name="Normal 6 2 9" xfId="20917"/>
    <cellStyle name="Normal 6 20" xfId="20918"/>
    <cellStyle name="Normal 6 21" xfId="20919"/>
    <cellStyle name="Normal 6 22" xfId="20920"/>
    <cellStyle name="Normal 6 23" xfId="20921"/>
    <cellStyle name="Normal 6 24" xfId="20922"/>
    <cellStyle name="Normal 6 25" xfId="20923"/>
    <cellStyle name="Normal 6 26" xfId="20924"/>
    <cellStyle name="Normal 6 27" xfId="20925"/>
    <cellStyle name="Normal 6 28" xfId="20926"/>
    <cellStyle name="Normal 6 29" xfId="20927"/>
    <cellStyle name="Normal 6 3" xfId="20928"/>
    <cellStyle name="Normal 6 3 2" xfId="20929"/>
    <cellStyle name="Normal 6 3 2 2" xfId="20930"/>
    <cellStyle name="Normal 6 3 2 2 2" xfId="40756"/>
    <cellStyle name="Normal 6 3 2 3" xfId="20931"/>
    <cellStyle name="Normal 6 3 2 4" xfId="20932"/>
    <cellStyle name="Normal 6 3 2 5" xfId="20933"/>
    <cellStyle name="Normal 6 3 2 6" xfId="20934"/>
    <cellStyle name="Normal 6 3 2 7" xfId="20935"/>
    <cellStyle name="Normal 6 3 2 8" xfId="40755"/>
    <cellStyle name="Normal 6 3 3" xfId="20936"/>
    <cellStyle name="Normal 6 3 3 2" xfId="40757"/>
    <cellStyle name="Normal 6 3 4" xfId="20937"/>
    <cellStyle name="Normal 6 3 4 2" xfId="40758"/>
    <cellStyle name="Normal 6 3 5" xfId="20938"/>
    <cellStyle name="Normal 6 3 5 2" xfId="41021"/>
    <cellStyle name="Normal 6 3 6" xfId="20939"/>
    <cellStyle name="Normal 6 3 6 2" xfId="41012"/>
    <cellStyle name="Normal 6 3 7" xfId="20940"/>
    <cellStyle name="Normal 6 3 8" xfId="20941"/>
    <cellStyle name="Normal 6 3 9" xfId="40754"/>
    <cellStyle name="Normal 6 30" xfId="20942"/>
    <cellStyle name="Normal 6 31" xfId="20943"/>
    <cellStyle name="Normal 6 32" xfId="20944"/>
    <cellStyle name="Normal 6 33" xfId="20945"/>
    <cellStyle name="Normal 6 34" xfId="20946"/>
    <cellStyle name="Normal 6 35" xfId="20947"/>
    <cellStyle name="Normal 6 4" xfId="20948"/>
    <cellStyle name="Normal 6 4 10" xfId="20949"/>
    <cellStyle name="Normal 6 4 11" xfId="20950"/>
    <cellStyle name="Normal 6 4 12" xfId="20951"/>
    <cellStyle name="Normal 6 4 13" xfId="20952"/>
    <cellStyle name="Normal 6 4 14" xfId="20953"/>
    <cellStyle name="Normal 6 4 15" xfId="20954"/>
    <cellStyle name="Normal 6 4 16" xfId="20955"/>
    <cellStyle name="Normal 6 4 2" xfId="20956"/>
    <cellStyle name="Normal 6 4 2 10" xfId="20957"/>
    <cellStyle name="Normal 6 4 2 11" xfId="20958"/>
    <cellStyle name="Normal 6 4 2 12" xfId="20959"/>
    <cellStyle name="Normal 6 4 2 13" xfId="20960"/>
    <cellStyle name="Normal 6 4 2 14" xfId="20961"/>
    <cellStyle name="Normal 6 4 2 15" xfId="20962"/>
    <cellStyle name="Normal 6 4 2 16" xfId="20963"/>
    <cellStyle name="Normal 6 4 2 17" xfId="40759"/>
    <cellStyle name="Normal 6 4 2 2" xfId="20964"/>
    <cellStyle name="Normal 6 4 2 3" xfId="20965"/>
    <cellStyle name="Normal 6 4 2 4" xfId="20966"/>
    <cellStyle name="Normal 6 4 2 5" xfId="20967"/>
    <cellStyle name="Normal 6 4 2 6" xfId="20968"/>
    <cellStyle name="Normal 6 4 2 7" xfId="20969"/>
    <cellStyle name="Normal 6 4 2 8" xfId="20970"/>
    <cellStyle name="Normal 6 4 2 9" xfId="20971"/>
    <cellStyle name="Normal 6 4 3" xfId="20972"/>
    <cellStyle name="Normal 6 4 3 2" xfId="40760"/>
    <cellStyle name="Normal 6 4 4" xfId="20973"/>
    <cellStyle name="Normal 6 4 4 2" xfId="40761"/>
    <cellStyle name="Normal 6 4 5" xfId="20974"/>
    <cellStyle name="Normal 6 4 6" xfId="20975"/>
    <cellStyle name="Normal 6 4 7" xfId="20976"/>
    <cellStyle name="Normal 6 4 8" xfId="20977"/>
    <cellStyle name="Normal 6 4 9" xfId="20978"/>
    <cellStyle name="Normal 6 5" xfId="20979"/>
    <cellStyle name="Normal 6 5 2" xfId="40762"/>
    <cellStyle name="Normal 6 6" xfId="20980"/>
    <cellStyle name="Normal 6 6 2" xfId="40763"/>
    <cellStyle name="Normal 6 7" xfId="20981"/>
    <cellStyle name="Normal 6 7 2" xfId="40764"/>
    <cellStyle name="Normal 6 8" xfId="20982"/>
    <cellStyle name="Normal 6 8 2" xfId="40765"/>
    <cellStyle name="Normal 6 9" xfId="20983"/>
    <cellStyle name="Normal 6 9 2" xfId="40766"/>
    <cellStyle name="Normal 7" xfId="20984"/>
    <cellStyle name="Normal 7 10" xfId="20985"/>
    <cellStyle name="Normal 7 11" xfId="20986"/>
    <cellStyle name="Normal 7 12" xfId="20987"/>
    <cellStyle name="Normal 7 13" xfId="20988"/>
    <cellStyle name="Normal 7 2" xfId="20989"/>
    <cellStyle name="Normal 7 2 10" xfId="20990"/>
    <cellStyle name="Normal 7 2 10 2" xfId="20991"/>
    <cellStyle name="Normal 7 2 10 2 2" xfId="36963"/>
    <cellStyle name="Normal 7 2 10 3" xfId="20992"/>
    <cellStyle name="Normal 7 2 10 3 2" xfId="36964"/>
    <cellStyle name="Normal 7 2 10 4" xfId="20993"/>
    <cellStyle name="Normal 7 2 10 4 2" xfId="36965"/>
    <cellStyle name="Normal 7 2 10 5" xfId="20994"/>
    <cellStyle name="Normal 7 2 10 5 2" xfId="36966"/>
    <cellStyle name="Normal 7 2 10 6" xfId="36962"/>
    <cellStyle name="Normal 7 2 11" xfId="20995"/>
    <cellStyle name="Normal 7 2 11 2" xfId="20996"/>
    <cellStyle name="Normal 7 2 11 2 2" xfId="36968"/>
    <cellStyle name="Normal 7 2 11 3" xfId="20997"/>
    <cellStyle name="Normal 7 2 11 3 2" xfId="36969"/>
    <cellStyle name="Normal 7 2 11 4" xfId="20998"/>
    <cellStyle name="Normal 7 2 11 4 2" xfId="36970"/>
    <cellStyle name="Normal 7 2 11 5" xfId="20999"/>
    <cellStyle name="Normal 7 2 11 5 2" xfId="36971"/>
    <cellStyle name="Normal 7 2 11 6" xfId="36967"/>
    <cellStyle name="Normal 7 2 12" xfId="21000"/>
    <cellStyle name="Normal 7 2 12 2" xfId="21001"/>
    <cellStyle name="Normal 7 2 12 2 2" xfId="36973"/>
    <cellStyle name="Normal 7 2 12 3" xfId="21002"/>
    <cellStyle name="Normal 7 2 12 3 2" xfId="36974"/>
    <cellStyle name="Normal 7 2 12 4" xfId="21003"/>
    <cellStyle name="Normal 7 2 12 4 2" xfId="36975"/>
    <cellStyle name="Normal 7 2 12 5" xfId="21004"/>
    <cellStyle name="Normal 7 2 12 5 2" xfId="36976"/>
    <cellStyle name="Normal 7 2 12 6" xfId="36972"/>
    <cellStyle name="Normal 7 2 13" xfId="21005"/>
    <cellStyle name="Normal 7 2 13 2" xfId="21006"/>
    <cellStyle name="Normal 7 2 13 2 2" xfId="36978"/>
    <cellStyle name="Normal 7 2 13 3" xfId="21007"/>
    <cellStyle name="Normal 7 2 13 3 2" xfId="36979"/>
    <cellStyle name="Normal 7 2 13 4" xfId="21008"/>
    <cellStyle name="Normal 7 2 13 4 2" xfId="36980"/>
    <cellStyle name="Normal 7 2 13 5" xfId="21009"/>
    <cellStyle name="Normal 7 2 13 5 2" xfId="36981"/>
    <cellStyle name="Normal 7 2 13 6" xfId="36977"/>
    <cellStyle name="Normal 7 2 14" xfId="21010"/>
    <cellStyle name="Normal 7 2 14 2" xfId="21011"/>
    <cellStyle name="Normal 7 2 14 2 2" xfId="36983"/>
    <cellStyle name="Normal 7 2 14 3" xfId="21012"/>
    <cellStyle name="Normal 7 2 14 3 2" xfId="36984"/>
    <cellStyle name="Normal 7 2 14 4" xfId="21013"/>
    <cellStyle name="Normal 7 2 14 4 2" xfId="36985"/>
    <cellStyle name="Normal 7 2 14 5" xfId="21014"/>
    <cellStyle name="Normal 7 2 14 5 2" xfId="36986"/>
    <cellStyle name="Normal 7 2 14 6" xfId="36982"/>
    <cellStyle name="Normal 7 2 15" xfId="21015"/>
    <cellStyle name="Normal 7 2 15 2" xfId="21016"/>
    <cellStyle name="Normal 7 2 15 2 2" xfId="36988"/>
    <cellStyle name="Normal 7 2 15 3" xfId="21017"/>
    <cellStyle name="Normal 7 2 15 3 2" xfId="36989"/>
    <cellStyle name="Normal 7 2 15 4" xfId="21018"/>
    <cellStyle name="Normal 7 2 15 4 2" xfId="36990"/>
    <cellStyle name="Normal 7 2 15 5" xfId="21019"/>
    <cellStyle name="Normal 7 2 15 5 2" xfId="36991"/>
    <cellStyle name="Normal 7 2 15 6" xfId="36987"/>
    <cellStyle name="Normal 7 2 16" xfId="21020"/>
    <cellStyle name="Normal 7 2 16 2" xfId="21021"/>
    <cellStyle name="Normal 7 2 16 2 2" xfId="36993"/>
    <cellStyle name="Normal 7 2 16 3" xfId="21022"/>
    <cellStyle name="Normal 7 2 16 3 2" xfId="36994"/>
    <cellStyle name="Normal 7 2 16 4" xfId="21023"/>
    <cellStyle name="Normal 7 2 16 4 2" xfId="36995"/>
    <cellStyle name="Normal 7 2 16 5" xfId="21024"/>
    <cellStyle name="Normal 7 2 16 5 2" xfId="36996"/>
    <cellStyle name="Normal 7 2 16 6" xfId="36992"/>
    <cellStyle name="Normal 7 2 17" xfId="21025"/>
    <cellStyle name="Normal 7 2 17 2" xfId="21026"/>
    <cellStyle name="Normal 7 2 17 2 2" xfId="36998"/>
    <cellStyle name="Normal 7 2 17 3" xfId="21027"/>
    <cellStyle name="Normal 7 2 17 3 2" xfId="36999"/>
    <cellStyle name="Normal 7 2 17 4" xfId="21028"/>
    <cellStyle name="Normal 7 2 17 4 2" xfId="37000"/>
    <cellStyle name="Normal 7 2 17 5" xfId="21029"/>
    <cellStyle name="Normal 7 2 17 5 2" xfId="37001"/>
    <cellStyle name="Normal 7 2 17 6" xfId="36997"/>
    <cellStyle name="Normal 7 2 18" xfId="21030"/>
    <cellStyle name="Normal 7 2 18 2" xfId="21031"/>
    <cellStyle name="Normal 7 2 18 2 2" xfId="37003"/>
    <cellStyle name="Normal 7 2 18 3" xfId="21032"/>
    <cellStyle name="Normal 7 2 18 3 2" xfId="37004"/>
    <cellStyle name="Normal 7 2 18 4" xfId="21033"/>
    <cellStyle name="Normal 7 2 18 4 2" xfId="37005"/>
    <cellStyle name="Normal 7 2 18 5" xfId="21034"/>
    <cellStyle name="Normal 7 2 18 5 2" xfId="37006"/>
    <cellStyle name="Normal 7 2 18 6" xfId="37002"/>
    <cellStyle name="Normal 7 2 19" xfId="21035"/>
    <cellStyle name="Normal 7 2 19 2" xfId="37007"/>
    <cellStyle name="Normal 7 2 2" xfId="21036"/>
    <cellStyle name="Normal 7 2 2 2" xfId="21037"/>
    <cellStyle name="Normal 7 2 2 3" xfId="21038"/>
    <cellStyle name="Normal 7 2 2 4" xfId="21039"/>
    <cellStyle name="Normal 7 2 2 5" xfId="21040"/>
    <cellStyle name="Normal 7 2 2 6" xfId="21041"/>
    <cellStyle name="Normal 7 2 2 7" xfId="21042"/>
    <cellStyle name="Normal 7 2 2 8" xfId="37008"/>
    <cellStyle name="Normal 7 2 20" xfId="21043"/>
    <cellStyle name="Normal 7 2 20 2" xfId="37009"/>
    <cellStyle name="Normal 7 2 21" xfId="21044"/>
    <cellStyle name="Normal 7 2 21 2" xfId="37010"/>
    <cellStyle name="Normal 7 2 22" xfId="21045"/>
    <cellStyle name="Normal 7 2 22 2" xfId="37011"/>
    <cellStyle name="Normal 7 2 23" xfId="21046"/>
    <cellStyle name="Normal 7 2 23 2" xfId="37012"/>
    <cellStyle name="Normal 7 2 3" xfId="21047"/>
    <cellStyle name="Normal 7 2 4" xfId="21048"/>
    <cellStyle name="Normal 7 2 4 10" xfId="21049"/>
    <cellStyle name="Normal 7 2 4 10 2" xfId="37014"/>
    <cellStyle name="Normal 7 2 4 11" xfId="21050"/>
    <cellStyle name="Normal 7 2 4 11 2" xfId="37015"/>
    <cellStyle name="Normal 7 2 4 12" xfId="40767"/>
    <cellStyle name="Normal 7 2 4 13" xfId="37013"/>
    <cellStyle name="Normal 7 2 4 2" xfId="21051"/>
    <cellStyle name="Normal 7 2 4 2 2" xfId="21052"/>
    <cellStyle name="Normal 7 2 4 2 2 2" xfId="37017"/>
    <cellStyle name="Normal 7 2 4 2 3" xfId="21053"/>
    <cellStyle name="Normal 7 2 4 2 3 2" xfId="37018"/>
    <cellStyle name="Normal 7 2 4 2 4" xfId="21054"/>
    <cellStyle name="Normal 7 2 4 2 4 2" xfId="37019"/>
    <cellStyle name="Normal 7 2 4 2 5" xfId="21055"/>
    <cellStyle name="Normal 7 2 4 2 5 2" xfId="37020"/>
    <cellStyle name="Normal 7 2 4 2 6" xfId="37016"/>
    <cellStyle name="Normal 7 2 4 3" xfId="21056"/>
    <cellStyle name="Normal 7 2 4 3 2" xfId="21057"/>
    <cellStyle name="Normal 7 2 4 3 2 2" xfId="37022"/>
    <cellStyle name="Normal 7 2 4 3 3" xfId="21058"/>
    <cellStyle name="Normal 7 2 4 3 3 2" xfId="37023"/>
    <cellStyle name="Normal 7 2 4 3 4" xfId="21059"/>
    <cellStyle name="Normal 7 2 4 3 4 2" xfId="37024"/>
    <cellStyle name="Normal 7 2 4 3 5" xfId="21060"/>
    <cellStyle name="Normal 7 2 4 3 5 2" xfId="37025"/>
    <cellStyle name="Normal 7 2 4 3 6" xfId="37021"/>
    <cellStyle name="Normal 7 2 4 4" xfId="21061"/>
    <cellStyle name="Normal 7 2 4 4 2" xfId="21062"/>
    <cellStyle name="Normal 7 2 4 4 2 2" xfId="37027"/>
    <cellStyle name="Normal 7 2 4 4 3" xfId="21063"/>
    <cellStyle name="Normal 7 2 4 4 3 2" xfId="37028"/>
    <cellStyle name="Normal 7 2 4 4 4" xfId="21064"/>
    <cellStyle name="Normal 7 2 4 4 4 2" xfId="37029"/>
    <cellStyle name="Normal 7 2 4 4 5" xfId="21065"/>
    <cellStyle name="Normal 7 2 4 4 5 2" xfId="37030"/>
    <cellStyle name="Normal 7 2 4 4 6" xfId="37026"/>
    <cellStyle name="Normal 7 2 4 5" xfId="21066"/>
    <cellStyle name="Normal 7 2 4 5 2" xfId="21067"/>
    <cellStyle name="Normal 7 2 4 5 2 2" xfId="37032"/>
    <cellStyle name="Normal 7 2 4 5 3" xfId="21068"/>
    <cellStyle name="Normal 7 2 4 5 3 2" xfId="37033"/>
    <cellStyle name="Normal 7 2 4 5 4" xfId="21069"/>
    <cellStyle name="Normal 7 2 4 5 4 2" xfId="37034"/>
    <cellStyle name="Normal 7 2 4 5 5" xfId="21070"/>
    <cellStyle name="Normal 7 2 4 5 5 2" xfId="37035"/>
    <cellStyle name="Normal 7 2 4 5 6" xfId="37031"/>
    <cellStyle name="Normal 7 2 4 6" xfId="21071"/>
    <cellStyle name="Normal 7 2 4 6 2" xfId="21072"/>
    <cellStyle name="Normal 7 2 4 6 2 2" xfId="37037"/>
    <cellStyle name="Normal 7 2 4 6 3" xfId="21073"/>
    <cellStyle name="Normal 7 2 4 6 3 2" xfId="37038"/>
    <cellStyle name="Normal 7 2 4 6 4" xfId="21074"/>
    <cellStyle name="Normal 7 2 4 6 4 2" xfId="37039"/>
    <cellStyle name="Normal 7 2 4 6 5" xfId="21075"/>
    <cellStyle name="Normal 7 2 4 6 5 2" xfId="37040"/>
    <cellStyle name="Normal 7 2 4 6 6" xfId="37036"/>
    <cellStyle name="Normal 7 2 4 7" xfId="21076"/>
    <cellStyle name="Normal 7 2 4 7 2" xfId="21077"/>
    <cellStyle name="Normal 7 2 4 7 2 2" xfId="37042"/>
    <cellStyle name="Normal 7 2 4 7 3" xfId="21078"/>
    <cellStyle name="Normal 7 2 4 7 3 2" xfId="37043"/>
    <cellStyle name="Normal 7 2 4 7 4" xfId="21079"/>
    <cellStyle name="Normal 7 2 4 7 4 2" xfId="37044"/>
    <cellStyle name="Normal 7 2 4 7 5" xfId="21080"/>
    <cellStyle name="Normal 7 2 4 7 5 2" xfId="37045"/>
    <cellStyle name="Normal 7 2 4 7 6" xfId="37041"/>
    <cellStyle name="Normal 7 2 4 8" xfId="21081"/>
    <cellStyle name="Normal 7 2 4 8 2" xfId="37046"/>
    <cellStyle name="Normal 7 2 4 9" xfId="21082"/>
    <cellStyle name="Normal 7 2 4 9 2" xfId="37047"/>
    <cellStyle name="Normal 7 2 5" xfId="21083"/>
    <cellStyle name="Normal 7 2 5 2" xfId="21084"/>
    <cellStyle name="Normal 7 2 5 2 2" xfId="21085"/>
    <cellStyle name="Normal 7 2 5 2 2 2" xfId="37050"/>
    <cellStyle name="Normal 7 2 5 2 3" xfId="21086"/>
    <cellStyle name="Normal 7 2 5 2 3 2" xfId="37051"/>
    <cellStyle name="Normal 7 2 5 2 4" xfId="21087"/>
    <cellStyle name="Normal 7 2 5 2 4 2" xfId="37052"/>
    <cellStyle name="Normal 7 2 5 2 5" xfId="21088"/>
    <cellStyle name="Normal 7 2 5 2 5 2" xfId="37053"/>
    <cellStyle name="Normal 7 2 5 2 6" xfId="37049"/>
    <cellStyle name="Normal 7 2 5 3" xfId="21089"/>
    <cellStyle name="Normal 7 2 5 3 2" xfId="37054"/>
    <cellStyle name="Normal 7 2 5 4" xfId="21090"/>
    <cellStyle name="Normal 7 2 5 4 2" xfId="37055"/>
    <cellStyle name="Normal 7 2 5 5" xfId="21091"/>
    <cellStyle name="Normal 7 2 5 5 2" xfId="37056"/>
    <cellStyle name="Normal 7 2 5 6" xfId="21092"/>
    <cellStyle name="Normal 7 2 5 6 2" xfId="37057"/>
    <cellStyle name="Normal 7 2 5 7" xfId="37048"/>
    <cellStyle name="Normal 7 2 6" xfId="21093"/>
    <cellStyle name="Normal 7 2 6 2" xfId="21094"/>
    <cellStyle name="Normal 7 2 6 2 2" xfId="21095"/>
    <cellStyle name="Normal 7 2 6 2 2 2" xfId="37060"/>
    <cellStyle name="Normal 7 2 6 2 3" xfId="21096"/>
    <cellStyle name="Normal 7 2 6 2 3 2" xfId="37061"/>
    <cellStyle name="Normal 7 2 6 2 4" xfId="21097"/>
    <cellStyle name="Normal 7 2 6 2 4 2" xfId="37062"/>
    <cellStyle name="Normal 7 2 6 2 5" xfId="21098"/>
    <cellStyle name="Normal 7 2 6 2 5 2" xfId="37063"/>
    <cellStyle name="Normal 7 2 6 2 6" xfId="37059"/>
    <cellStyle name="Normal 7 2 6 3" xfId="21099"/>
    <cellStyle name="Normal 7 2 6 3 2" xfId="37064"/>
    <cellStyle name="Normal 7 2 6 4" xfId="21100"/>
    <cellStyle name="Normal 7 2 6 4 2" xfId="37065"/>
    <cellStyle name="Normal 7 2 6 5" xfId="21101"/>
    <cellStyle name="Normal 7 2 6 5 2" xfId="37066"/>
    <cellStyle name="Normal 7 2 6 6" xfId="21102"/>
    <cellStyle name="Normal 7 2 6 6 2" xfId="37067"/>
    <cellStyle name="Normal 7 2 6 7" xfId="37058"/>
    <cellStyle name="Normal 7 2 7" xfId="21103"/>
    <cellStyle name="Normal 7 2 7 2" xfId="21104"/>
    <cellStyle name="Normal 7 2 7 2 2" xfId="37069"/>
    <cellStyle name="Normal 7 2 7 3" xfId="21105"/>
    <cellStyle name="Normal 7 2 7 3 2" xfId="37070"/>
    <cellStyle name="Normal 7 2 7 4" xfId="21106"/>
    <cellStyle name="Normal 7 2 7 4 2" xfId="37071"/>
    <cellStyle name="Normal 7 2 7 5" xfId="21107"/>
    <cellStyle name="Normal 7 2 7 5 2" xfId="37072"/>
    <cellStyle name="Normal 7 2 7 6" xfId="37068"/>
    <cellStyle name="Normal 7 2 8" xfId="21108"/>
    <cellStyle name="Normal 7 2 8 2" xfId="21109"/>
    <cellStyle name="Normal 7 2 8 2 2" xfId="37074"/>
    <cellStyle name="Normal 7 2 8 3" xfId="21110"/>
    <cellStyle name="Normal 7 2 8 3 2" xfId="37075"/>
    <cellStyle name="Normal 7 2 8 4" xfId="21111"/>
    <cellStyle name="Normal 7 2 8 4 2" xfId="37076"/>
    <cellStyle name="Normal 7 2 8 5" xfId="21112"/>
    <cellStyle name="Normal 7 2 8 5 2" xfId="37077"/>
    <cellStyle name="Normal 7 2 8 6" xfId="37073"/>
    <cellStyle name="Normal 7 2 9" xfId="21113"/>
    <cellStyle name="Normal 7 2 9 2" xfId="21114"/>
    <cellStyle name="Normal 7 2 9 2 2" xfId="37079"/>
    <cellStyle name="Normal 7 2 9 3" xfId="21115"/>
    <cellStyle name="Normal 7 2 9 3 2" xfId="37080"/>
    <cellStyle name="Normal 7 2 9 4" xfId="21116"/>
    <cellStyle name="Normal 7 2 9 4 2" xfId="37081"/>
    <cellStyle name="Normal 7 2 9 5" xfId="21117"/>
    <cellStyle name="Normal 7 2 9 5 2" xfId="37082"/>
    <cellStyle name="Normal 7 2 9 6" xfId="37078"/>
    <cellStyle name="Normal 7 3" xfId="21118"/>
    <cellStyle name="Normal 7 3 10" xfId="21119"/>
    <cellStyle name="Normal 7 3 10 2" xfId="21120"/>
    <cellStyle name="Normal 7 3 10 2 2" xfId="37084"/>
    <cellStyle name="Normal 7 3 10 3" xfId="21121"/>
    <cellStyle name="Normal 7 3 10 3 2" xfId="37085"/>
    <cellStyle name="Normal 7 3 10 4" xfId="21122"/>
    <cellStyle name="Normal 7 3 10 4 2" xfId="37086"/>
    <cellStyle name="Normal 7 3 10 5" xfId="21123"/>
    <cellStyle name="Normal 7 3 10 5 2" xfId="37087"/>
    <cellStyle name="Normal 7 3 10 6" xfId="37083"/>
    <cellStyle name="Normal 7 3 11" xfId="21124"/>
    <cellStyle name="Normal 7 3 11 2" xfId="21125"/>
    <cellStyle name="Normal 7 3 11 2 2" xfId="37089"/>
    <cellStyle name="Normal 7 3 11 3" xfId="21126"/>
    <cellStyle name="Normal 7 3 11 3 2" xfId="37090"/>
    <cellStyle name="Normal 7 3 11 4" xfId="21127"/>
    <cellStyle name="Normal 7 3 11 4 2" xfId="37091"/>
    <cellStyle name="Normal 7 3 11 5" xfId="21128"/>
    <cellStyle name="Normal 7 3 11 5 2" xfId="37092"/>
    <cellStyle name="Normal 7 3 11 6" xfId="37088"/>
    <cellStyle name="Normal 7 3 12" xfId="21129"/>
    <cellStyle name="Normal 7 3 12 2" xfId="21130"/>
    <cellStyle name="Normal 7 3 12 2 2" xfId="37094"/>
    <cellStyle name="Normal 7 3 12 3" xfId="21131"/>
    <cellStyle name="Normal 7 3 12 3 2" xfId="37095"/>
    <cellStyle name="Normal 7 3 12 4" xfId="21132"/>
    <cellStyle name="Normal 7 3 12 4 2" xfId="37096"/>
    <cellStyle name="Normal 7 3 12 5" xfId="21133"/>
    <cellStyle name="Normal 7 3 12 5 2" xfId="37097"/>
    <cellStyle name="Normal 7 3 12 6" xfId="37093"/>
    <cellStyle name="Normal 7 3 13" xfId="21134"/>
    <cellStyle name="Normal 7 3 13 2" xfId="21135"/>
    <cellStyle name="Normal 7 3 13 2 2" xfId="37099"/>
    <cellStyle name="Normal 7 3 13 3" xfId="21136"/>
    <cellStyle name="Normal 7 3 13 3 2" xfId="37100"/>
    <cellStyle name="Normal 7 3 13 4" xfId="21137"/>
    <cellStyle name="Normal 7 3 13 4 2" xfId="37101"/>
    <cellStyle name="Normal 7 3 13 5" xfId="21138"/>
    <cellStyle name="Normal 7 3 13 5 2" xfId="37102"/>
    <cellStyle name="Normal 7 3 13 6" xfId="37098"/>
    <cellStyle name="Normal 7 3 14" xfId="21139"/>
    <cellStyle name="Normal 7 3 14 2" xfId="21140"/>
    <cellStyle name="Normal 7 3 14 2 2" xfId="37104"/>
    <cellStyle name="Normal 7 3 14 3" xfId="21141"/>
    <cellStyle name="Normal 7 3 14 3 2" xfId="37105"/>
    <cellStyle name="Normal 7 3 14 4" xfId="21142"/>
    <cellStyle name="Normal 7 3 14 4 2" xfId="37106"/>
    <cellStyle name="Normal 7 3 14 5" xfId="21143"/>
    <cellStyle name="Normal 7 3 14 5 2" xfId="37107"/>
    <cellStyle name="Normal 7 3 14 6" xfId="37103"/>
    <cellStyle name="Normal 7 3 15" xfId="21144"/>
    <cellStyle name="Normal 7 3 15 2" xfId="21145"/>
    <cellStyle name="Normal 7 3 15 2 2" xfId="37109"/>
    <cellStyle name="Normal 7 3 15 3" xfId="21146"/>
    <cellStyle name="Normal 7 3 15 3 2" xfId="37110"/>
    <cellStyle name="Normal 7 3 15 4" xfId="21147"/>
    <cellStyle name="Normal 7 3 15 4 2" xfId="37111"/>
    <cellStyle name="Normal 7 3 15 5" xfId="21148"/>
    <cellStyle name="Normal 7 3 15 5 2" xfId="37112"/>
    <cellStyle name="Normal 7 3 15 6" xfId="37108"/>
    <cellStyle name="Normal 7 3 16" xfId="21149"/>
    <cellStyle name="Normal 7 3 16 2" xfId="21150"/>
    <cellStyle name="Normal 7 3 16 2 2" xfId="37114"/>
    <cellStyle name="Normal 7 3 16 3" xfId="21151"/>
    <cellStyle name="Normal 7 3 16 3 2" xfId="37115"/>
    <cellStyle name="Normal 7 3 16 4" xfId="21152"/>
    <cellStyle name="Normal 7 3 16 4 2" xfId="37116"/>
    <cellStyle name="Normal 7 3 16 5" xfId="21153"/>
    <cellStyle name="Normal 7 3 16 5 2" xfId="37117"/>
    <cellStyle name="Normal 7 3 16 6" xfId="37113"/>
    <cellStyle name="Normal 7 3 17" xfId="21154"/>
    <cellStyle name="Normal 7 3 17 2" xfId="21155"/>
    <cellStyle name="Normal 7 3 17 2 2" xfId="37119"/>
    <cellStyle name="Normal 7 3 17 3" xfId="21156"/>
    <cellStyle name="Normal 7 3 17 3 2" xfId="37120"/>
    <cellStyle name="Normal 7 3 17 4" xfId="21157"/>
    <cellStyle name="Normal 7 3 17 4 2" xfId="37121"/>
    <cellStyle name="Normal 7 3 17 5" xfId="21158"/>
    <cellStyle name="Normal 7 3 17 5 2" xfId="37122"/>
    <cellStyle name="Normal 7 3 17 6" xfId="37118"/>
    <cellStyle name="Normal 7 3 18" xfId="21159"/>
    <cellStyle name="Normal 7 3 18 2" xfId="21160"/>
    <cellStyle name="Normal 7 3 18 2 2" xfId="37124"/>
    <cellStyle name="Normal 7 3 18 3" xfId="21161"/>
    <cellStyle name="Normal 7 3 18 3 2" xfId="37125"/>
    <cellStyle name="Normal 7 3 18 4" xfId="21162"/>
    <cellStyle name="Normal 7 3 18 4 2" xfId="37126"/>
    <cellStyle name="Normal 7 3 18 5" xfId="21163"/>
    <cellStyle name="Normal 7 3 18 5 2" xfId="37127"/>
    <cellStyle name="Normal 7 3 18 6" xfId="37123"/>
    <cellStyle name="Normal 7 3 19" xfId="21164"/>
    <cellStyle name="Normal 7 3 19 2" xfId="37128"/>
    <cellStyle name="Normal 7 3 2" xfId="21165"/>
    <cellStyle name="Normal 7 3 2 2" xfId="21166"/>
    <cellStyle name="Normal 7 3 2 3" xfId="21167"/>
    <cellStyle name="Normal 7 3 2 4" xfId="21168"/>
    <cellStyle name="Normal 7 3 2 5" xfId="21169"/>
    <cellStyle name="Normal 7 3 2 6" xfId="21170"/>
    <cellStyle name="Normal 7 3 2 7" xfId="21171"/>
    <cellStyle name="Normal 7 3 2 8" xfId="37129"/>
    <cellStyle name="Normal 7 3 20" xfId="21172"/>
    <cellStyle name="Normal 7 3 20 2" xfId="37130"/>
    <cellStyle name="Normal 7 3 21" xfId="21173"/>
    <cellStyle name="Normal 7 3 21 2" xfId="37131"/>
    <cellStyle name="Normal 7 3 22" xfId="21174"/>
    <cellStyle name="Normal 7 3 22 2" xfId="37132"/>
    <cellStyle name="Normal 7 3 23" xfId="21175"/>
    <cellStyle name="Normal 7 3 23 2" xfId="37133"/>
    <cellStyle name="Normal 7 3 3" xfId="21176"/>
    <cellStyle name="Normal 7 3 4" xfId="21177"/>
    <cellStyle name="Normal 7 3 4 10" xfId="21178"/>
    <cellStyle name="Normal 7 3 4 10 2" xfId="37135"/>
    <cellStyle name="Normal 7 3 4 11" xfId="21179"/>
    <cellStyle name="Normal 7 3 4 11 2" xfId="37136"/>
    <cellStyle name="Normal 7 3 4 12" xfId="37134"/>
    <cellStyle name="Normal 7 3 4 2" xfId="21180"/>
    <cellStyle name="Normal 7 3 4 2 2" xfId="21181"/>
    <cellStyle name="Normal 7 3 4 2 2 2" xfId="37138"/>
    <cellStyle name="Normal 7 3 4 2 3" xfId="21182"/>
    <cellStyle name="Normal 7 3 4 2 3 2" xfId="37139"/>
    <cellStyle name="Normal 7 3 4 2 4" xfId="21183"/>
    <cellStyle name="Normal 7 3 4 2 4 2" xfId="37140"/>
    <cellStyle name="Normal 7 3 4 2 5" xfId="21184"/>
    <cellStyle name="Normal 7 3 4 2 5 2" xfId="37141"/>
    <cellStyle name="Normal 7 3 4 2 6" xfId="37137"/>
    <cellStyle name="Normal 7 3 4 3" xfId="21185"/>
    <cellStyle name="Normal 7 3 4 3 2" xfId="21186"/>
    <cellStyle name="Normal 7 3 4 3 2 2" xfId="37143"/>
    <cellStyle name="Normal 7 3 4 3 3" xfId="21187"/>
    <cellStyle name="Normal 7 3 4 3 3 2" xfId="37144"/>
    <cellStyle name="Normal 7 3 4 3 4" xfId="21188"/>
    <cellStyle name="Normal 7 3 4 3 4 2" xfId="37145"/>
    <cellStyle name="Normal 7 3 4 3 5" xfId="21189"/>
    <cellStyle name="Normal 7 3 4 3 5 2" xfId="37146"/>
    <cellStyle name="Normal 7 3 4 3 6" xfId="37142"/>
    <cellStyle name="Normal 7 3 4 4" xfId="21190"/>
    <cellStyle name="Normal 7 3 4 4 2" xfId="21191"/>
    <cellStyle name="Normal 7 3 4 4 2 2" xfId="37148"/>
    <cellStyle name="Normal 7 3 4 4 3" xfId="21192"/>
    <cellStyle name="Normal 7 3 4 4 3 2" xfId="37149"/>
    <cellStyle name="Normal 7 3 4 4 4" xfId="21193"/>
    <cellStyle name="Normal 7 3 4 4 4 2" xfId="37150"/>
    <cellStyle name="Normal 7 3 4 4 5" xfId="21194"/>
    <cellStyle name="Normal 7 3 4 4 5 2" xfId="37151"/>
    <cellStyle name="Normal 7 3 4 4 6" xfId="37147"/>
    <cellStyle name="Normal 7 3 4 5" xfId="21195"/>
    <cellStyle name="Normal 7 3 4 5 2" xfId="21196"/>
    <cellStyle name="Normal 7 3 4 5 2 2" xfId="37153"/>
    <cellStyle name="Normal 7 3 4 5 3" xfId="21197"/>
    <cellStyle name="Normal 7 3 4 5 3 2" xfId="37154"/>
    <cellStyle name="Normal 7 3 4 5 4" xfId="21198"/>
    <cellStyle name="Normal 7 3 4 5 4 2" xfId="37155"/>
    <cellStyle name="Normal 7 3 4 5 5" xfId="21199"/>
    <cellStyle name="Normal 7 3 4 5 5 2" xfId="37156"/>
    <cellStyle name="Normal 7 3 4 5 6" xfId="37152"/>
    <cellStyle name="Normal 7 3 4 6" xfId="21200"/>
    <cellStyle name="Normal 7 3 4 6 2" xfId="21201"/>
    <cellStyle name="Normal 7 3 4 6 2 2" xfId="37158"/>
    <cellStyle name="Normal 7 3 4 6 3" xfId="21202"/>
    <cellStyle name="Normal 7 3 4 6 3 2" xfId="37159"/>
    <cellStyle name="Normal 7 3 4 6 4" xfId="21203"/>
    <cellStyle name="Normal 7 3 4 6 4 2" xfId="37160"/>
    <cellStyle name="Normal 7 3 4 6 5" xfId="21204"/>
    <cellStyle name="Normal 7 3 4 6 5 2" xfId="37161"/>
    <cellStyle name="Normal 7 3 4 6 6" xfId="37157"/>
    <cellStyle name="Normal 7 3 4 7" xfId="21205"/>
    <cellStyle name="Normal 7 3 4 7 2" xfId="21206"/>
    <cellStyle name="Normal 7 3 4 7 2 2" xfId="37163"/>
    <cellStyle name="Normal 7 3 4 7 3" xfId="21207"/>
    <cellStyle name="Normal 7 3 4 7 3 2" xfId="37164"/>
    <cellStyle name="Normal 7 3 4 7 4" xfId="21208"/>
    <cellStyle name="Normal 7 3 4 7 4 2" xfId="37165"/>
    <cellStyle name="Normal 7 3 4 7 5" xfId="21209"/>
    <cellStyle name="Normal 7 3 4 7 5 2" xfId="37166"/>
    <cellStyle name="Normal 7 3 4 7 6" xfId="37162"/>
    <cellStyle name="Normal 7 3 4 8" xfId="21210"/>
    <cellStyle name="Normal 7 3 4 8 2" xfId="37167"/>
    <cellStyle name="Normal 7 3 4 9" xfId="21211"/>
    <cellStyle name="Normal 7 3 4 9 2" xfId="37168"/>
    <cellStyle name="Normal 7 3 5" xfId="21212"/>
    <cellStyle name="Normal 7 3 5 2" xfId="21213"/>
    <cellStyle name="Normal 7 3 5 2 2" xfId="21214"/>
    <cellStyle name="Normal 7 3 5 2 2 2" xfId="37171"/>
    <cellStyle name="Normal 7 3 5 2 3" xfId="21215"/>
    <cellStyle name="Normal 7 3 5 2 3 2" xfId="37172"/>
    <cellStyle name="Normal 7 3 5 2 4" xfId="21216"/>
    <cellStyle name="Normal 7 3 5 2 4 2" xfId="37173"/>
    <cellStyle name="Normal 7 3 5 2 5" xfId="21217"/>
    <cellStyle name="Normal 7 3 5 2 5 2" xfId="37174"/>
    <cellStyle name="Normal 7 3 5 2 6" xfId="37170"/>
    <cellStyle name="Normal 7 3 5 3" xfId="21218"/>
    <cellStyle name="Normal 7 3 5 3 2" xfId="37175"/>
    <cellStyle name="Normal 7 3 5 4" xfId="21219"/>
    <cellStyle name="Normal 7 3 5 4 2" xfId="37176"/>
    <cellStyle name="Normal 7 3 5 5" xfId="21220"/>
    <cellStyle name="Normal 7 3 5 5 2" xfId="37177"/>
    <cellStyle name="Normal 7 3 5 6" xfId="21221"/>
    <cellStyle name="Normal 7 3 5 6 2" xfId="37178"/>
    <cellStyle name="Normal 7 3 5 7" xfId="37169"/>
    <cellStyle name="Normal 7 3 6" xfId="21222"/>
    <cellStyle name="Normal 7 3 6 2" xfId="21223"/>
    <cellStyle name="Normal 7 3 6 2 2" xfId="21224"/>
    <cellStyle name="Normal 7 3 6 2 2 2" xfId="37181"/>
    <cellStyle name="Normal 7 3 6 2 3" xfId="21225"/>
    <cellStyle name="Normal 7 3 6 2 3 2" xfId="37182"/>
    <cellStyle name="Normal 7 3 6 2 4" xfId="21226"/>
    <cellStyle name="Normal 7 3 6 2 4 2" xfId="37183"/>
    <cellStyle name="Normal 7 3 6 2 5" xfId="21227"/>
    <cellStyle name="Normal 7 3 6 2 5 2" xfId="37184"/>
    <cellStyle name="Normal 7 3 6 2 6" xfId="37180"/>
    <cellStyle name="Normal 7 3 6 3" xfId="21228"/>
    <cellStyle name="Normal 7 3 6 3 2" xfId="37185"/>
    <cellStyle name="Normal 7 3 6 4" xfId="21229"/>
    <cellStyle name="Normal 7 3 6 4 2" xfId="37186"/>
    <cellStyle name="Normal 7 3 6 5" xfId="21230"/>
    <cellStyle name="Normal 7 3 6 5 2" xfId="37187"/>
    <cellStyle name="Normal 7 3 6 6" xfId="21231"/>
    <cellStyle name="Normal 7 3 6 6 2" xfId="37188"/>
    <cellStyle name="Normal 7 3 6 7" xfId="37179"/>
    <cellStyle name="Normal 7 3 7" xfId="21232"/>
    <cellStyle name="Normal 7 3 7 2" xfId="21233"/>
    <cellStyle name="Normal 7 3 7 2 2" xfId="37190"/>
    <cellStyle name="Normal 7 3 7 3" xfId="21234"/>
    <cellStyle name="Normal 7 3 7 3 2" xfId="37191"/>
    <cellStyle name="Normal 7 3 7 4" xfId="21235"/>
    <cellStyle name="Normal 7 3 7 4 2" xfId="37192"/>
    <cellStyle name="Normal 7 3 7 5" xfId="21236"/>
    <cellStyle name="Normal 7 3 7 5 2" xfId="37193"/>
    <cellStyle name="Normal 7 3 7 6" xfId="37189"/>
    <cellStyle name="Normal 7 3 8" xfId="21237"/>
    <cellStyle name="Normal 7 3 8 2" xfId="21238"/>
    <cellStyle name="Normal 7 3 8 2 2" xfId="37195"/>
    <cellStyle name="Normal 7 3 8 3" xfId="21239"/>
    <cellStyle name="Normal 7 3 8 3 2" xfId="37196"/>
    <cellStyle name="Normal 7 3 8 4" xfId="21240"/>
    <cellStyle name="Normal 7 3 8 4 2" xfId="37197"/>
    <cellStyle name="Normal 7 3 8 5" xfId="21241"/>
    <cellStyle name="Normal 7 3 8 5 2" xfId="37198"/>
    <cellStyle name="Normal 7 3 8 6" xfId="37194"/>
    <cellStyle name="Normal 7 3 9" xfId="21242"/>
    <cellStyle name="Normal 7 3 9 2" xfId="21243"/>
    <cellStyle name="Normal 7 3 9 2 2" xfId="37200"/>
    <cellStyle name="Normal 7 3 9 3" xfId="21244"/>
    <cellStyle name="Normal 7 3 9 3 2" xfId="37201"/>
    <cellStyle name="Normal 7 3 9 4" xfId="21245"/>
    <cellStyle name="Normal 7 3 9 4 2" xfId="37202"/>
    <cellStyle name="Normal 7 3 9 5" xfId="21246"/>
    <cellStyle name="Normal 7 3 9 5 2" xfId="37203"/>
    <cellStyle name="Normal 7 3 9 6" xfId="37199"/>
    <cellStyle name="Normal 7 4" xfId="21247"/>
    <cellStyle name="Normal 7 5" xfId="21248"/>
    <cellStyle name="Normal 7 5 2" xfId="21249"/>
    <cellStyle name="Normal 7 5 3" xfId="21250"/>
    <cellStyle name="Normal 7 5 4" xfId="21251"/>
    <cellStyle name="Normal 7 5 5" xfId="21252"/>
    <cellStyle name="Normal 7 5 6" xfId="21253"/>
    <cellStyle name="Normal 7 5 7" xfId="21254"/>
    <cellStyle name="Normal 7 6" xfId="21255"/>
    <cellStyle name="Normal 7 7" xfId="21256"/>
    <cellStyle name="Normal 7 8" xfId="21257"/>
    <cellStyle name="Normal 7 9" xfId="21258"/>
    <cellStyle name="Normal 8" xfId="21259"/>
    <cellStyle name="Normal 8 10" xfId="21260"/>
    <cellStyle name="Normal 8 10 2" xfId="40768"/>
    <cellStyle name="Normal 8 11" xfId="21261"/>
    <cellStyle name="Normal 8 11 10" xfId="21262"/>
    <cellStyle name="Normal 8 11 10 2" xfId="21263"/>
    <cellStyle name="Normal 8 11 10 2 2" xfId="37206"/>
    <cellStyle name="Normal 8 11 10 3" xfId="21264"/>
    <cellStyle name="Normal 8 11 10 3 2" xfId="37207"/>
    <cellStyle name="Normal 8 11 10 4" xfId="21265"/>
    <cellStyle name="Normal 8 11 10 4 2" xfId="37208"/>
    <cellStyle name="Normal 8 11 10 5" xfId="21266"/>
    <cellStyle name="Normal 8 11 10 5 2" xfId="37209"/>
    <cellStyle name="Normal 8 11 10 6" xfId="37205"/>
    <cellStyle name="Normal 8 11 11" xfId="21267"/>
    <cellStyle name="Normal 8 11 11 2" xfId="21268"/>
    <cellStyle name="Normal 8 11 11 2 2" xfId="37211"/>
    <cellStyle name="Normal 8 11 11 3" xfId="21269"/>
    <cellStyle name="Normal 8 11 11 3 2" xfId="37212"/>
    <cellStyle name="Normal 8 11 11 4" xfId="21270"/>
    <cellStyle name="Normal 8 11 11 4 2" xfId="37213"/>
    <cellStyle name="Normal 8 11 11 5" xfId="21271"/>
    <cellStyle name="Normal 8 11 11 5 2" xfId="37214"/>
    <cellStyle name="Normal 8 11 11 6" xfId="37210"/>
    <cellStyle name="Normal 8 11 12" xfId="21272"/>
    <cellStyle name="Normal 8 11 12 2" xfId="21273"/>
    <cellStyle name="Normal 8 11 12 2 2" xfId="37216"/>
    <cellStyle name="Normal 8 11 12 3" xfId="21274"/>
    <cellStyle name="Normal 8 11 12 3 2" xfId="37217"/>
    <cellStyle name="Normal 8 11 12 4" xfId="21275"/>
    <cellStyle name="Normal 8 11 12 4 2" xfId="37218"/>
    <cellStyle name="Normal 8 11 12 5" xfId="21276"/>
    <cellStyle name="Normal 8 11 12 5 2" xfId="37219"/>
    <cellStyle name="Normal 8 11 12 6" xfId="37215"/>
    <cellStyle name="Normal 8 11 13" xfId="21277"/>
    <cellStyle name="Normal 8 11 13 2" xfId="21278"/>
    <cellStyle name="Normal 8 11 13 2 2" xfId="37221"/>
    <cellStyle name="Normal 8 11 13 3" xfId="21279"/>
    <cellStyle name="Normal 8 11 13 3 2" xfId="37222"/>
    <cellStyle name="Normal 8 11 13 4" xfId="21280"/>
    <cellStyle name="Normal 8 11 13 4 2" xfId="37223"/>
    <cellStyle name="Normal 8 11 13 5" xfId="21281"/>
    <cellStyle name="Normal 8 11 13 5 2" xfId="37224"/>
    <cellStyle name="Normal 8 11 13 6" xfId="37220"/>
    <cellStyle name="Normal 8 11 14" xfId="21282"/>
    <cellStyle name="Normal 8 11 14 2" xfId="21283"/>
    <cellStyle name="Normal 8 11 14 2 2" xfId="37226"/>
    <cellStyle name="Normal 8 11 14 3" xfId="21284"/>
    <cellStyle name="Normal 8 11 14 3 2" xfId="37227"/>
    <cellStyle name="Normal 8 11 14 4" xfId="21285"/>
    <cellStyle name="Normal 8 11 14 4 2" xfId="37228"/>
    <cellStyle name="Normal 8 11 14 5" xfId="21286"/>
    <cellStyle name="Normal 8 11 14 5 2" xfId="37229"/>
    <cellStyle name="Normal 8 11 14 6" xfId="37225"/>
    <cellStyle name="Normal 8 11 15" xfId="21287"/>
    <cellStyle name="Normal 8 11 15 2" xfId="21288"/>
    <cellStyle name="Normal 8 11 15 2 2" xfId="37231"/>
    <cellStyle name="Normal 8 11 15 3" xfId="21289"/>
    <cellStyle name="Normal 8 11 15 3 2" xfId="37232"/>
    <cellStyle name="Normal 8 11 15 4" xfId="21290"/>
    <cellStyle name="Normal 8 11 15 4 2" xfId="37233"/>
    <cellStyle name="Normal 8 11 15 5" xfId="21291"/>
    <cellStyle name="Normal 8 11 15 5 2" xfId="37234"/>
    <cellStyle name="Normal 8 11 15 6" xfId="37230"/>
    <cellStyle name="Normal 8 11 16" xfId="21292"/>
    <cellStyle name="Normal 8 11 16 2" xfId="21293"/>
    <cellStyle name="Normal 8 11 16 2 2" xfId="37236"/>
    <cellStyle name="Normal 8 11 16 3" xfId="21294"/>
    <cellStyle name="Normal 8 11 16 3 2" xfId="37237"/>
    <cellStyle name="Normal 8 11 16 4" xfId="21295"/>
    <cellStyle name="Normal 8 11 16 4 2" xfId="37238"/>
    <cellStyle name="Normal 8 11 16 5" xfId="21296"/>
    <cellStyle name="Normal 8 11 16 5 2" xfId="37239"/>
    <cellStyle name="Normal 8 11 16 6" xfId="37235"/>
    <cellStyle name="Normal 8 11 17" xfId="21297"/>
    <cellStyle name="Normal 8 11 18" xfId="21298"/>
    <cellStyle name="Normal 8 11 19" xfId="21299"/>
    <cellStyle name="Normal 8 11 2" xfId="21300"/>
    <cellStyle name="Normal 8 11 2 2" xfId="21301"/>
    <cellStyle name="Normal 8 11 2 3" xfId="21302"/>
    <cellStyle name="Normal 8 11 2 4" xfId="21303"/>
    <cellStyle name="Normal 8 11 2 5" xfId="21304"/>
    <cellStyle name="Normal 8 11 2 6" xfId="21305"/>
    <cellStyle name="Normal 8 11 2 7" xfId="21306"/>
    <cellStyle name="Normal 8 11 20" xfId="21307"/>
    <cellStyle name="Normal 8 11 21" xfId="21308"/>
    <cellStyle name="Normal 8 11 22" xfId="37204"/>
    <cellStyle name="Normal 8 11 3" xfId="21309"/>
    <cellStyle name="Normal 8 11 3 2" xfId="21310"/>
    <cellStyle name="Normal 8 11 3 2 2" xfId="37241"/>
    <cellStyle name="Normal 8 11 3 3" xfId="21311"/>
    <cellStyle name="Normal 8 11 3 3 2" xfId="37242"/>
    <cellStyle name="Normal 8 11 3 4" xfId="21312"/>
    <cellStyle name="Normal 8 11 3 4 2" xfId="37243"/>
    <cellStyle name="Normal 8 11 3 5" xfId="21313"/>
    <cellStyle name="Normal 8 11 3 5 2" xfId="37244"/>
    <cellStyle name="Normal 8 11 3 6" xfId="37240"/>
    <cellStyle name="Normal 8 11 4" xfId="21314"/>
    <cellStyle name="Normal 8 11 4 2" xfId="21315"/>
    <cellStyle name="Normal 8 11 4 2 2" xfId="37246"/>
    <cellStyle name="Normal 8 11 4 3" xfId="21316"/>
    <cellStyle name="Normal 8 11 4 3 2" xfId="37247"/>
    <cellStyle name="Normal 8 11 4 4" xfId="21317"/>
    <cellStyle name="Normal 8 11 4 4 2" xfId="37248"/>
    <cellStyle name="Normal 8 11 4 5" xfId="21318"/>
    <cellStyle name="Normal 8 11 4 5 2" xfId="37249"/>
    <cellStyle name="Normal 8 11 4 6" xfId="37245"/>
    <cellStyle name="Normal 8 11 5" xfId="21319"/>
    <cellStyle name="Normal 8 11 5 2" xfId="21320"/>
    <cellStyle name="Normal 8 11 5 2 2" xfId="37251"/>
    <cellStyle name="Normal 8 11 5 3" xfId="21321"/>
    <cellStyle name="Normal 8 11 5 3 2" xfId="37252"/>
    <cellStyle name="Normal 8 11 5 4" xfId="21322"/>
    <cellStyle name="Normal 8 11 5 4 2" xfId="37253"/>
    <cellStyle name="Normal 8 11 5 5" xfId="21323"/>
    <cellStyle name="Normal 8 11 5 5 2" xfId="37254"/>
    <cellStyle name="Normal 8 11 5 6" xfId="37250"/>
    <cellStyle name="Normal 8 11 6" xfId="21324"/>
    <cellStyle name="Normal 8 11 6 2" xfId="21325"/>
    <cellStyle name="Normal 8 11 6 2 2" xfId="37256"/>
    <cellStyle name="Normal 8 11 6 3" xfId="21326"/>
    <cellStyle name="Normal 8 11 6 3 2" xfId="37257"/>
    <cellStyle name="Normal 8 11 6 4" xfId="21327"/>
    <cellStyle name="Normal 8 11 6 4 2" xfId="37258"/>
    <cellStyle name="Normal 8 11 6 5" xfId="21328"/>
    <cellStyle name="Normal 8 11 6 5 2" xfId="37259"/>
    <cellStyle name="Normal 8 11 6 6" xfId="37255"/>
    <cellStyle name="Normal 8 11 7" xfId="21329"/>
    <cellStyle name="Normal 8 11 7 2" xfId="21330"/>
    <cellStyle name="Normal 8 11 7 2 2" xfId="37261"/>
    <cellStyle name="Normal 8 11 7 3" xfId="21331"/>
    <cellStyle name="Normal 8 11 7 3 2" xfId="37262"/>
    <cellStyle name="Normal 8 11 7 4" xfId="21332"/>
    <cellStyle name="Normal 8 11 7 4 2" xfId="37263"/>
    <cellStyle name="Normal 8 11 7 5" xfId="21333"/>
    <cellStyle name="Normal 8 11 7 5 2" xfId="37264"/>
    <cellStyle name="Normal 8 11 7 6" xfId="37260"/>
    <cellStyle name="Normal 8 11 8" xfId="21334"/>
    <cellStyle name="Normal 8 11 8 2" xfId="21335"/>
    <cellStyle name="Normal 8 11 8 2 2" xfId="37266"/>
    <cellStyle name="Normal 8 11 8 3" xfId="21336"/>
    <cellStyle name="Normal 8 11 8 3 2" xfId="37267"/>
    <cellStyle name="Normal 8 11 8 4" xfId="21337"/>
    <cellStyle name="Normal 8 11 8 4 2" xfId="37268"/>
    <cellStyle name="Normal 8 11 8 5" xfId="21338"/>
    <cellStyle name="Normal 8 11 8 5 2" xfId="37269"/>
    <cellStyle name="Normal 8 11 8 6" xfId="37265"/>
    <cellStyle name="Normal 8 11 9" xfId="21339"/>
    <cellStyle name="Normal 8 11 9 2" xfId="21340"/>
    <cellStyle name="Normal 8 11 9 2 2" xfId="37271"/>
    <cellStyle name="Normal 8 11 9 3" xfId="21341"/>
    <cellStyle name="Normal 8 11 9 3 2" xfId="37272"/>
    <cellStyle name="Normal 8 11 9 4" xfId="21342"/>
    <cellStyle name="Normal 8 11 9 4 2" xfId="37273"/>
    <cellStyle name="Normal 8 11 9 5" xfId="21343"/>
    <cellStyle name="Normal 8 11 9 5 2" xfId="37274"/>
    <cellStyle name="Normal 8 11 9 6" xfId="37270"/>
    <cellStyle name="Normal 8 12" xfId="21344"/>
    <cellStyle name="Normal 8 12 2" xfId="21345"/>
    <cellStyle name="Normal 8 13" xfId="21346"/>
    <cellStyle name="Normal 8 13 2" xfId="21347"/>
    <cellStyle name="Normal 8 14" xfId="21348"/>
    <cellStyle name="Normal 8 14 2" xfId="21349"/>
    <cellStyle name="Normal 8 15" xfId="21350"/>
    <cellStyle name="Normal 8 15 2" xfId="21351"/>
    <cellStyle name="Normal 8 15 2 2" xfId="21352"/>
    <cellStyle name="Normal 8 15 2 2 2" xfId="37277"/>
    <cellStyle name="Normal 8 15 2 3" xfId="21353"/>
    <cellStyle name="Normal 8 15 2 3 2" xfId="37278"/>
    <cellStyle name="Normal 8 15 2 4" xfId="21354"/>
    <cellStyle name="Normal 8 15 2 4 2" xfId="37279"/>
    <cellStyle name="Normal 8 15 2 5" xfId="21355"/>
    <cellStyle name="Normal 8 15 2 5 2" xfId="37280"/>
    <cellStyle name="Normal 8 15 2 6" xfId="37276"/>
    <cellStyle name="Normal 8 15 3" xfId="21356"/>
    <cellStyle name="Normal 8 15 3 2" xfId="37281"/>
    <cellStyle name="Normal 8 15 4" xfId="21357"/>
    <cellStyle name="Normal 8 15 4 2" xfId="37282"/>
    <cellStyle name="Normal 8 15 5" xfId="21358"/>
    <cellStyle name="Normal 8 15 5 2" xfId="37283"/>
    <cellStyle name="Normal 8 15 6" xfId="21359"/>
    <cellStyle name="Normal 8 15 6 2" xfId="37284"/>
    <cellStyle name="Normal 8 15 7" xfId="37275"/>
    <cellStyle name="Normal 8 16" xfId="21360"/>
    <cellStyle name="Normal 8 16 2" xfId="21361"/>
    <cellStyle name="Normal 8 16 2 2" xfId="21362"/>
    <cellStyle name="Normal 8 16 2 2 2" xfId="37287"/>
    <cellStyle name="Normal 8 16 2 3" xfId="21363"/>
    <cellStyle name="Normal 8 16 2 3 2" xfId="37288"/>
    <cellStyle name="Normal 8 16 2 4" xfId="21364"/>
    <cellStyle name="Normal 8 16 2 4 2" xfId="37289"/>
    <cellStyle name="Normal 8 16 2 5" xfId="21365"/>
    <cellStyle name="Normal 8 16 2 5 2" xfId="37290"/>
    <cellStyle name="Normal 8 16 2 6" xfId="37286"/>
    <cellStyle name="Normal 8 16 3" xfId="21366"/>
    <cellStyle name="Normal 8 16 3 2" xfId="37291"/>
    <cellStyle name="Normal 8 16 4" xfId="21367"/>
    <cellStyle name="Normal 8 16 4 2" xfId="37292"/>
    <cellStyle name="Normal 8 16 5" xfId="21368"/>
    <cellStyle name="Normal 8 16 5 2" xfId="37293"/>
    <cellStyle name="Normal 8 16 6" xfId="21369"/>
    <cellStyle name="Normal 8 16 6 2" xfId="37294"/>
    <cellStyle name="Normal 8 16 7" xfId="37285"/>
    <cellStyle name="Normal 8 17" xfId="21370"/>
    <cellStyle name="Normal 8 17 2" xfId="21371"/>
    <cellStyle name="Normal 8 17 2 2" xfId="21372"/>
    <cellStyle name="Normal 8 17 2 2 2" xfId="37297"/>
    <cellStyle name="Normal 8 17 2 3" xfId="21373"/>
    <cellStyle name="Normal 8 17 2 3 2" xfId="37298"/>
    <cellStyle name="Normal 8 17 2 4" xfId="21374"/>
    <cellStyle name="Normal 8 17 2 4 2" xfId="37299"/>
    <cellStyle name="Normal 8 17 2 5" xfId="21375"/>
    <cellStyle name="Normal 8 17 2 5 2" xfId="37300"/>
    <cellStyle name="Normal 8 17 2 6" xfId="37296"/>
    <cellStyle name="Normal 8 17 3" xfId="21376"/>
    <cellStyle name="Normal 8 17 3 2" xfId="37301"/>
    <cellStyle name="Normal 8 17 4" xfId="21377"/>
    <cellStyle name="Normal 8 17 4 2" xfId="37302"/>
    <cellStyle name="Normal 8 17 5" xfId="21378"/>
    <cellStyle name="Normal 8 17 5 2" xfId="37303"/>
    <cellStyle name="Normal 8 17 6" xfId="21379"/>
    <cellStyle name="Normal 8 17 6 2" xfId="37304"/>
    <cellStyle name="Normal 8 17 7" xfId="37295"/>
    <cellStyle name="Normal 8 18" xfId="21380"/>
    <cellStyle name="Normal 8 18 2" xfId="21381"/>
    <cellStyle name="Normal 8 18 2 2" xfId="37306"/>
    <cellStyle name="Normal 8 18 3" xfId="21382"/>
    <cellStyle name="Normal 8 18 3 2" xfId="37307"/>
    <cellStyle name="Normal 8 18 4" xfId="21383"/>
    <cellStyle name="Normal 8 18 4 2" xfId="37308"/>
    <cellStyle name="Normal 8 18 5" xfId="21384"/>
    <cellStyle name="Normal 8 18 5 2" xfId="37309"/>
    <cellStyle name="Normal 8 18 6" xfId="37305"/>
    <cellStyle name="Normal 8 19" xfId="21385"/>
    <cellStyle name="Normal 8 19 2" xfId="21386"/>
    <cellStyle name="Normal 8 19 2 2" xfId="37311"/>
    <cellStyle name="Normal 8 19 3" xfId="21387"/>
    <cellStyle name="Normal 8 19 3 2" xfId="37312"/>
    <cellStyle name="Normal 8 19 4" xfId="21388"/>
    <cellStyle name="Normal 8 19 4 2" xfId="37313"/>
    <cellStyle name="Normal 8 19 5" xfId="21389"/>
    <cellStyle name="Normal 8 19 5 2" xfId="37314"/>
    <cellStyle name="Normal 8 19 6" xfId="37310"/>
    <cellStyle name="Normal 8 2" xfId="21390"/>
    <cellStyle name="Normal 8 2 10" xfId="21391"/>
    <cellStyle name="Normal 8 2 11" xfId="21392"/>
    <cellStyle name="Normal 8 2 12" xfId="21393"/>
    <cellStyle name="Normal 8 2 13" xfId="21394"/>
    <cellStyle name="Normal 8 2 14" xfId="21395"/>
    <cellStyle name="Normal 8 2 15" xfId="21396"/>
    <cellStyle name="Normal 8 2 16" xfId="21397"/>
    <cellStyle name="Normal 8 2 2" xfId="21398"/>
    <cellStyle name="Normal 8 2 2 10" xfId="21399"/>
    <cellStyle name="Normal 8 2 2 11" xfId="21400"/>
    <cellStyle name="Normal 8 2 2 12" xfId="21401"/>
    <cellStyle name="Normal 8 2 2 13" xfId="21402"/>
    <cellStyle name="Normal 8 2 2 14" xfId="21403"/>
    <cellStyle name="Normal 8 2 2 15" xfId="21404"/>
    <cellStyle name="Normal 8 2 2 16" xfId="21405"/>
    <cellStyle name="Normal 8 2 2 17" xfId="40769"/>
    <cellStyle name="Normal 8 2 2 2" xfId="21406"/>
    <cellStyle name="Normal 8 2 2 3" xfId="21407"/>
    <cellStyle name="Normal 8 2 2 4" xfId="21408"/>
    <cellStyle name="Normal 8 2 2 5" xfId="21409"/>
    <cellStyle name="Normal 8 2 2 6" xfId="21410"/>
    <cellStyle name="Normal 8 2 2 7" xfId="21411"/>
    <cellStyle name="Normal 8 2 2 8" xfId="21412"/>
    <cellStyle name="Normal 8 2 2 9" xfId="21413"/>
    <cellStyle name="Normal 8 2 3" xfId="21414"/>
    <cellStyle name="Normal 8 2 3 2" xfId="21415"/>
    <cellStyle name="Normal 8 2 3 3" xfId="40770"/>
    <cellStyle name="Normal 8 2 4" xfId="21416"/>
    <cellStyle name="Normal 8 2 4 2" xfId="21417"/>
    <cellStyle name="Normal 8 2 4 3" xfId="40771"/>
    <cellStyle name="Normal 8 2 5" xfId="21418"/>
    <cellStyle name="Normal 8 2 5 2" xfId="21419"/>
    <cellStyle name="Normal 8 2 6" xfId="21420"/>
    <cellStyle name="Normal 8 2 6 2" xfId="21421"/>
    <cellStyle name="Normal 8 2 7" xfId="21422"/>
    <cellStyle name="Normal 8 2 8" xfId="21423"/>
    <cellStyle name="Normal 8 2 9" xfId="21424"/>
    <cellStyle name="Normal 8 20" xfId="21425"/>
    <cellStyle name="Normal 8 20 2" xfId="21426"/>
    <cellStyle name="Normal 8 20 2 2" xfId="37316"/>
    <cellStyle name="Normal 8 20 3" xfId="21427"/>
    <cellStyle name="Normal 8 20 3 2" xfId="37317"/>
    <cellStyle name="Normal 8 20 4" xfId="21428"/>
    <cellStyle name="Normal 8 20 4 2" xfId="37318"/>
    <cellStyle name="Normal 8 20 5" xfId="21429"/>
    <cellStyle name="Normal 8 20 5 2" xfId="37319"/>
    <cellStyle name="Normal 8 20 6" xfId="37315"/>
    <cellStyle name="Normal 8 21" xfId="21430"/>
    <cellStyle name="Normal 8 21 2" xfId="21431"/>
    <cellStyle name="Normal 8 21 2 2" xfId="37321"/>
    <cellStyle name="Normal 8 21 3" xfId="21432"/>
    <cellStyle name="Normal 8 21 3 2" xfId="37322"/>
    <cellStyle name="Normal 8 21 4" xfId="21433"/>
    <cellStyle name="Normal 8 21 4 2" xfId="37323"/>
    <cellStyle name="Normal 8 21 5" xfId="21434"/>
    <cellStyle name="Normal 8 21 5 2" xfId="37324"/>
    <cellStyle name="Normal 8 21 6" xfId="37320"/>
    <cellStyle name="Normal 8 22" xfId="21435"/>
    <cellStyle name="Normal 8 22 2" xfId="21436"/>
    <cellStyle name="Normal 8 22 2 2" xfId="37326"/>
    <cellStyle name="Normal 8 22 3" xfId="21437"/>
    <cellStyle name="Normal 8 22 3 2" xfId="37327"/>
    <cellStyle name="Normal 8 22 4" xfId="21438"/>
    <cellStyle name="Normal 8 22 4 2" xfId="37328"/>
    <cellStyle name="Normal 8 22 5" xfId="21439"/>
    <cellStyle name="Normal 8 22 5 2" xfId="37329"/>
    <cellStyle name="Normal 8 22 6" xfId="37325"/>
    <cellStyle name="Normal 8 23" xfId="21440"/>
    <cellStyle name="Normal 8 23 2" xfId="21441"/>
    <cellStyle name="Normal 8 23 2 2" xfId="37331"/>
    <cellStyle name="Normal 8 23 3" xfId="21442"/>
    <cellStyle name="Normal 8 23 3 2" xfId="37332"/>
    <cellStyle name="Normal 8 23 4" xfId="21443"/>
    <cellStyle name="Normal 8 23 4 2" xfId="37333"/>
    <cellStyle name="Normal 8 23 5" xfId="21444"/>
    <cellStyle name="Normal 8 23 5 2" xfId="37334"/>
    <cellStyle name="Normal 8 23 6" xfId="37330"/>
    <cellStyle name="Normal 8 24" xfId="21445"/>
    <cellStyle name="Normal 8 24 2" xfId="21446"/>
    <cellStyle name="Normal 8 24 2 2" xfId="37336"/>
    <cellStyle name="Normal 8 24 3" xfId="21447"/>
    <cellStyle name="Normal 8 24 3 2" xfId="37337"/>
    <cellStyle name="Normal 8 24 4" xfId="21448"/>
    <cellStyle name="Normal 8 24 4 2" xfId="37338"/>
    <cellStyle name="Normal 8 24 5" xfId="21449"/>
    <cellStyle name="Normal 8 24 5 2" xfId="37339"/>
    <cellStyle name="Normal 8 24 6" xfId="37335"/>
    <cellStyle name="Normal 8 25" xfId="21450"/>
    <cellStyle name="Normal 8 25 2" xfId="21451"/>
    <cellStyle name="Normal 8 25 2 2" xfId="37341"/>
    <cellStyle name="Normal 8 25 3" xfId="21452"/>
    <cellStyle name="Normal 8 25 3 2" xfId="37342"/>
    <cellStyle name="Normal 8 25 4" xfId="21453"/>
    <cellStyle name="Normal 8 25 4 2" xfId="37343"/>
    <cellStyle name="Normal 8 25 5" xfId="21454"/>
    <cellStyle name="Normal 8 25 5 2" xfId="37344"/>
    <cellStyle name="Normal 8 25 6" xfId="37340"/>
    <cellStyle name="Normal 8 26" xfId="21455"/>
    <cellStyle name="Normal 8 26 2" xfId="21456"/>
    <cellStyle name="Normal 8 26 2 2" xfId="37346"/>
    <cellStyle name="Normal 8 26 3" xfId="21457"/>
    <cellStyle name="Normal 8 26 3 2" xfId="37347"/>
    <cellStyle name="Normal 8 26 4" xfId="21458"/>
    <cellStyle name="Normal 8 26 4 2" xfId="37348"/>
    <cellStyle name="Normal 8 26 5" xfId="21459"/>
    <cellStyle name="Normal 8 26 5 2" xfId="37349"/>
    <cellStyle name="Normal 8 26 6" xfId="37345"/>
    <cellStyle name="Normal 8 27" xfId="21460"/>
    <cellStyle name="Normal 8 27 2" xfId="21461"/>
    <cellStyle name="Normal 8 27 2 2" xfId="37351"/>
    <cellStyle name="Normal 8 27 3" xfId="21462"/>
    <cellStyle name="Normal 8 27 3 2" xfId="37352"/>
    <cellStyle name="Normal 8 27 4" xfId="21463"/>
    <cellStyle name="Normal 8 27 4 2" xfId="37353"/>
    <cellStyle name="Normal 8 27 5" xfId="21464"/>
    <cellStyle name="Normal 8 27 5 2" xfId="37354"/>
    <cellStyle name="Normal 8 27 6" xfId="37350"/>
    <cellStyle name="Normal 8 28" xfId="21465"/>
    <cellStyle name="Normal 8 28 2" xfId="21466"/>
    <cellStyle name="Normal 8 28 2 2" xfId="37356"/>
    <cellStyle name="Normal 8 28 3" xfId="21467"/>
    <cellStyle name="Normal 8 28 3 2" xfId="37357"/>
    <cellStyle name="Normal 8 28 4" xfId="21468"/>
    <cellStyle name="Normal 8 28 4 2" xfId="37358"/>
    <cellStyle name="Normal 8 28 5" xfId="21469"/>
    <cellStyle name="Normal 8 28 5 2" xfId="37359"/>
    <cellStyle name="Normal 8 28 6" xfId="37355"/>
    <cellStyle name="Normal 8 29" xfId="21470"/>
    <cellStyle name="Normal 8 29 2" xfId="37360"/>
    <cellStyle name="Normal 8 3" xfId="21471"/>
    <cellStyle name="Normal 8 3 2" xfId="40773"/>
    <cellStyle name="Normal 8 3 3" xfId="40774"/>
    <cellStyle name="Normal 8 3 4" xfId="40775"/>
    <cellStyle name="Normal 8 3 5" xfId="40772"/>
    <cellStyle name="Normal 8 30" xfId="21472"/>
    <cellStyle name="Normal 8 30 2" xfId="37361"/>
    <cellStyle name="Normal 8 31" xfId="21473"/>
    <cellStyle name="Normal 8 31 2" xfId="37362"/>
    <cellStyle name="Normal 8 32" xfId="21474"/>
    <cellStyle name="Normal 8 32 2" xfId="37363"/>
    <cellStyle name="Normal 8 33" xfId="21475"/>
    <cellStyle name="Normal 8 33 2" xfId="37364"/>
    <cellStyle name="Normal 8 4" xfId="21476"/>
    <cellStyle name="Normal 8 4 2" xfId="40777"/>
    <cellStyle name="Normal 8 4 3" xfId="40778"/>
    <cellStyle name="Normal 8 4 4" xfId="40779"/>
    <cellStyle name="Normal 8 4 5" xfId="40776"/>
    <cellStyle name="Normal 8 5" xfId="21477"/>
    <cellStyle name="Normal 8 5 2" xfId="40780"/>
    <cellStyle name="Normal 8 6" xfId="21478"/>
    <cellStyle name="Normal 8 6 2" xfId="40781"/>
    <cellStyle name="Normal 8 7" xfId="21479"/>
    <cellStyle name="Normal 8 7 2" xfId="40782"/>
    <cellStyle name="Normal 8 8" xfId="21480"/>
    <cellStyle name="Normal 8 8 2" xfId="40783"/>
    <cellStyle name="Normal 8 9" xfId="21481"/>
    <cellStyle name="Normal 8 9 2" xfId="40784"/>
    <cellStyle name="Normal 9" xfId="21482"/>
    <cellStyle name="Normal 9 10" xfId="21483"/>
    <cellStyle name="Normal 9 10 2" xfId="21484"/>
    <cellStyle name="Normal 9 10 2 2" xfId="37366"/>
    <cellStyle name="Normal 9 10 3" xfId="21485"/>
    <cellStyle name="Normal 9 10 3 2" xfId="37367"/>
    <cellStyle name="Normal 9 10 4" xfId="21486"/>
    <cellStyle name="Normal 9 10 4 2" xfId="37368"/>
    <cellStyle name="Normal 9 10 5" xfId="21487"/>
    <cellStyle name="Normal 9 10 5 2" xfId="37369"/>
    <cellStyle name="Normal 9 10 6" xfId="37365"/>
    <cellStyle name="Normal 9 11" xfId="21488"/>
    <cellStyle name="Normal 9 11 2" xfId="21489"/>
    <cellStyle name="Normal 9 11 2 2" xfId="37371"/>
    <cellStyle name="Normal 9 11 3" xfId="21490"/>
    <cellStyle name="Normal 9 11 3 2" xfId="37372"/>
    <cellStyle name="Normal 9 11 4" xfId="21491"/>
    <cellStyle name="Normal 9 11 4 2" xfId="37373"/>
    <cellStyle name="Normal 9 11 5" xfId="21492"/>
    <cellStyle name="Normal 9 11 5 2" xfId="37374"/>
    <cellStyle name="Normal 9 11 6" xfId="37370"/>
    <cellStyle name="Normal 9 12" xfId="21493"/>
    <cellStyle name="Normal 9 12 2" xfId="21494"/>
    <cellStyle name="Normal 9 12 2 2" xfId="37376"/>
    <cellStyle name="Normal 9 12 3" xfId="21495"/>
    <cellStyle name="Normal 9 12 3 2" xfId="37377"/>
    <cellStyle name="Normal 9 12 4" xfId="21496"/>
    <cellStyle name="Normal 9 12 4 2" xfId="37378"/>
    <cellStyle name="Normal 9 12 5" xfId="21497"/>
    <cellStyle name="Normal 9 12 5 2" xfId="37379"/>
    <cellStyle name="Normal 9 12 6" xfId="37375"/>
    <cellStyle name="Normal 9 13" xfId="21498"/>
    <cellStyle name="Normal 9 13 2" xfId="21499"/>
    <cellStyle name="Normal 9 13 2 2" xfId="37381"/>
    <cellStyle name="Normal 9 13 3" xfId="21500"/>
    <cellStyle name="Normal 9 13 3 2" xfId="37382"/>
    <cellStyle name="Normal 9 13 4" xfId="21501"/>
    <cellStyle name="Normal 9 13 4 2" xfId="37383"/>
    <cellStyle name="Normal 9 13 5" xfId="21502"/>
    <cellStyle name="Normal 9 13 5 2" xfId="37384"/>
    <cellStyle name="Normal 9 13 6" xfId="37380"/>
    <cellStyle name="Normal 9 14" xfId="21503"/>
    <cellStyle name="Normal 9 14 2" xfId="21504"/>
    <cellStyle name="Normal 9 14 2 2" xfId="37386"/>
    <cellStyle name="Normal 9 14 3" xfId="21505"/>
    <cellStyle name="Normal 9 14 3 2" xfId="37387"/>
    <cellStyle name="Normal 9 14 4" xfId="21506"/>
    <cellStyle name="Normal 9 14 4 2" xfId="37388"/>
    <cellStyle name="Normal 9 14 5" xfId="21507"/>
    <cellStyle name="Normal 9 14 5 2" xfId="37389"/>
    <cellStyle name="Normal 9 14 6" xfId="37385"/>
    <cellStyle name="Normal 9 15" xfId="21508"/>
    <cellStyle name="Normal 9 15 2" xfId="21509"/>
    <cellStyle name="Normal 9 15 2 2" xfId="37391"/>
    <cellStyle name="Normal 9 15 3" xfId="21510"/>
    <cellStyle name="Normal 9 15 3 2" xfId="37392"/>
    <cellStyle name="Normal 9 15 4" xfId="21511"/>
    <cellStyle name="Normal 9 15 4 2" xfId="37393"/>
    <cellStyle name="Normal 9 15 5" xfId="21512"/>
    <cellStyle name="Normal 9 15 5 2" xfId="37394"/>
    <cellStyle name="Normal 9 15 6" xfId="37390"/>
    <cellStyle name="Normal 9 16" xfId="21513"/>
    <cellStyle name="Normal 9 16 2" xfId="21514"/>
    <cellStyle name="Normal 9 16 2 2" xfId="37396"/>
    <cellStyle name="Normal 9 16 3" xfId="21515"/>
    <cellStyle name="Normal 9 16 3 2" xfId="37397"/>
    <cellStyle name="Normal 9 16 4" xfId="21516"/>
    <cellStyle name="Normal 9 16 4 2" xfId="37398"/>
    <cellStyle name="Normal 9 16 5" xfId="21517"/>
    <cellStyle name="Normal 9 16 5 2" xfId="37399"/>
    <cellStyle name="Normal 9 16 6" xfId="37395"/>
    <cellStyle name="Normal 9 17" xfId="21518"/>
    <cellStyle name="Normal 9 17 2" xfId="21519"/>
    <cellStyle name="Normal 9 17 2 2" xfId="37401"/>
    <cellStyle name="Normal 9 17 3" xfId="21520"/>
    <cellStyle name="Normal 9 17 3 2" xfId="37402"/>
    <cellStyle name="Normal 9 17 4" xfId="21521"/>
    <cellStyle name="Normal 9 17 4 2" xfId="37403"/>
    <cellStyle name="Normal 9 17 5" xfId="21522"/>
    <cellStyle name="Normal 9 17 5 2" xfId="37404"/>
    <cellStyle name="Normal 9 17 6" xfId="37400"/>
    <cellStyle name="Normal 9 18" xfId="21523"/>
    <cellStyle name="Normal 9 18 2" xfId="21524"/>
    <cellStyle name="Normal 9 18 2 2" xfId="37406"/>
    <cellStyle name="Normal 9 18 3" xfId="21525"/>
    <cellStyle name="Normal 9 18 3 2" xfId="37407"/>
    <cellStyle name="Normal 9 18 4" xfId="21526"/>
    <cellStyle name="Normal 9 18 4 2" xfId="37408"/>
    <cellStyle name="Normal 9 18 5" xfId="21527"/>
    <cellStyle name="Normal 9 18 5 2" xfId="37409"/>
    <cellStyle name="Normal 9 18 6" xfId="37405"/>
    <cellStyle name="Normal 9 19" xfId="21528"/>
    <cellStyle name="Normal 9 19 2" xfId="21529"/>
    <cellStyle name="Normal 9 19 2 2" xfId="37411"/>
    <cellStyle name="Normal 9 19 3" xfId="21530"/>
    <cellStyle name="Normal 9 19 3 2" xfId="37412"/>
    <cellStyle name="Normal 9 19 4" xfId="21531"/>
    <cellStyle name="Normal 9 19 4 2" xfId="37413"/>
    <cellStyle name="Normal 9 19 5" xfId="21532"/>
    <cellStyle name="Normal 9 19 5 2" xfId="37414"/>
    <cellStyle name="Normal 9 19 6" xfId="37410"/>
    <cellStyle name="Normal 9 2" xfId="21533"/>
    <cellStyle name="Normal 9 2 10" xfId="21534"/>
    <cellStyle name="Normal 9 2 10 2" xfId="21535"/>
    <cellStyle name="Normal 9 2 10 2 2" xfId="37417"/>
    <cellStyle name="Normal 9 2 10 3" xfId="21536"/>
    <cellStyle name="Normal 9 2 10 3 2" xfId="37418"/>
    <cellStyle name="Normal 9 2 10 4" xfId="21537"/>
    <cellStyle name="Normal 9 2 10 4 2" xfId="37419"/>
    <cellStyle name="Normal 9 2 10 5" xfId="21538"/>
    <cellStyle name="Normal 9 2 10 5 2" xfId="37420"/>
    <cellStyle name="Normal 9 2 10 6" xfId="37416"/>
    <cellStyle name="Normal 9 2 11" xfId="21539"/>
    <cellStyle name="Normal 9 2 11 2" xfId="21540"/>
    <cellStyle name="Normal 9 2 11 2 2" xfId="37422"/>
    <cellStyle name="Normal 9 2 11 3" xfId="21541"/>
    <cellStyle name="Normal 9 2 11 3 2" xfId="37423"/>
    <cellStyle name="Normal 9 2 11 4" xfId="21542"/>
    <cellStyle name="Normal 9 2 11 4 2" xfId="37424"/>
    <cellStyle name="Normal 9 2 11 5" xfId="21543"/>
    <cellStyle name="Normal 9 2 11 5 2" xfId="37425"/>
    <cellStyle name="Normal 9 2 11 6" xfId="37421"/>
    <cellStyle name="Normal 9 2 12" xfId="21544"/>
    <cellStyle name="Normal 9 2 12 2" xfId="21545"/>
    <cellStyle name="Normal 9 2 12 2 2" xfId="37427"/>
    <cellStyle name="Normal 9 2 12 3" xfId="21546"/>
    <cellStyle name="Normal 9 2 12 3 2" xfId="37428"/>
    <cellStyle name="Normal 9 2 12 4" xfId="21547"/>
    <cellStyle name="Normal 9 2 12 4 2" xfId="37429"/>
    <cellStyle name="Normal 9 2 12 5" xfId="21548"/>
    <cellStyle name="Normal 9 2 12 5 2" xfId="37430"/>
    <cellStyle name="Normal 9 2 12 6" xfId="37426"/>
    <cellStyle name="Normal 9 2 13" xfId="21549"/>
    <cellStyle name="Normal 9 2 13 2" xfId="21550"/>
    <cellStyle name="Normal 9 2 13 2 2" xfId="37432"/>
    <cellStyle name="Normal 9 2 13 3" xfId="21551"/>
    <cellStyle name="Normal 9 2 13 3 2" xfId="37433"/>
    <cellStyle name="Normal 9 2 13 4" xfId="21552"/>
    <cellStyle name="Normal 9 2 13 4 2" xfId="37434"/>
    <cellStyle name="Normal 9 2 13 5" xfId="21553"/>
    <cellStyle name="Normal 9 2 13 5 2" xfId="37435"/>
    <cellStyle name="Normal 9 2 13 6" xfId="37431"/>
    <cellStyle name="Normal 9 2 14" xfId="21554"/>
    <cellStyle name="Normal 9 2 14 2" xfId="21555"/>
    <cellStyle name="Normal 9 2 14 2 2" xfId="37437"/>
    <cellStyle name="Normal 9 2 14 3" xfId="21556"/>
    <cellStyle name="Normal 9 2 14 3 2" xfId="37438"/>
    <cellStyle name="Normal 9 2 14 4" xfId="21557"/>
    <cellStyle name="Normal 9 2 14 4 2" xfId="37439"/>
    <cellStyle name="Normal 9 2 14 5" xfId="21558"/>
    <cellStyle name="Normal 9 2 14 5 2" xfId="37440"/>
    <cellStyle name="Normal 9 2 14 6" xfId="37436"/>
    <cellStyle name="Normal 9 2 15" xfId="21559"/>
    <cellStyle name="Normal 9 2 15 2" xfId="21560"/>
    <cellStyle name="Normal 9 2 15 2 2" xfId="37442"/>
    <cellStyle name="Normal 9 2 15 3" xfId="21561"/>
    <cellStyle name="Normal 9 2 15 3 2" xfId="37443"/>
    <cellStyle name="Normal 9 2 15 4" xfId="21562"/>
    <cellStyle name="Normal 9 2 15 4 2" xfId="37444"/>
    <cellStyle name="Normal 9 2 15 5" xfId="21563"/>
    <cellStyle name="Normal 9 2 15 5 2" xfId="37445"/>
    <cellStyle name="Normal 9 2 15 6" xfId="37441"/>
    <cellStyle name="Normal 9 2 16" xfId="21564"/>
    <cellStyle name="Normal 9 2 16 2" xfId="21565"/>
    <cellStyle name="Normal 9 2 16 2 2" xfId="37447"/>
    <cellStyle name="Normal 9 2 16 3" xfId="21566"/>
    <cellStyle name="Normal 9 2 16 3 2" xfId="37448"/>
    <cellStyle name="Normal 9 2 16 4" xfId="21567"/>
    <cellStyle name="Normal 9 2 16 4 2" xfId="37449"/>
    <cellStyle name="Normal 9 2 16 5" xfId="21568"/>
    <cellStyle name="Normal 9 2 16 5 2" xfId="37450"/>
    <cellStyle name="Normal 9 2 16 6" xfId="37446"/>
    <cellStyle name="Normal 9 2 17" xfId="21569"/>
    <cellStyle name="Normal 9 2 17 2" xfId="37451"/>
    <cellStyle name="Normal 9 2 18" xfId="21570"/>
    <cellStyle name="Normal 9 2 18 2" xfId="37452"/>
    <cellStyle name="Normal 9 2 19" xfId="21571"/>
    <cellStyle name="Normal 9 2 19 2" xfId="37453"/>
    <cellStyle name="Normal 9 2 2" xfId="21572"/>
    <cellStyle name="Normal 9 2 20" xfId="21573"/>
    <cellStyle name="Normal 9 2 20 2" xfId="37454"/>
    <cellStyle name="Normal 9 2 21" xfId="40785"/>
    <cellStyle name="Normal 9 2 22" xfId="37415"/>
    <cellStyle name="Normal 9 2 3" xfId="21574"/>
    <cellStyle name="Normal 9 2 3 2" xfId="21575"/>
    <cellStyle name="Normal 9 2 3 2 2" xfId="37456"/>
    <cellStyle name="Normal 9 2 3 3" xfId="21576"/>
    <cellStyle name="Normal 9 2 3 3 2" xfId="37457"/>
    <cellStyle name="Normal 9 2 3 4" xfId="21577"/>
    <cellStyle name="Normal 9 2 3 4 2" xfId="37458"/>
    <cellStyle name="Normal 9 2 3 5" xfId="21578"/>
    <cellStyle name="Normal 9 2 3 5 2" xfId="37459"/>
    <cellStyle name="Normal 9 2 3 6" xfId="37455"/>
    <cellStyle name="Normal 9 2 4" xfId="21579"/>
    <cellStyle name="Normal 9 2 4 2" xfId="21580"/>
    <cellStyle name="Normal 9 2 4 2 2" xfId="37461"/>
    <cellStyle name="Normal 9 2 4 3" xfId="21581"/>
    <cellStyle name="Normal 9 2 4 3 2" xfId="37462"/>
    <cellStyle name="Normal 9 2 4 4" xfId="21582"/>
    <cellStyle name="Normal 9 2 4 4 2" xfId="37463"/>
    <cellStyle name="Normal 9 2 4 5" xfId="21583"/>
    <cellStyle name="Normal 9 2 4 5 2" xfId="37464"/>
    <cellStyle name="Normal 9 2 4 6" xfId="37460"/>
    <cellStyle name="Normal 9 2 5" xfId="21584"/>
    <cellStyle name="Normal 9 2 5 2" xfId="21585"/>
    <cellStyle name="Normal 9 2 5 2 2" xfId="37466"/>
    <cellStyle name="Normal 9 2 5 3" xfId="21586"/>
    <cellStyle name="Normal 9 2 5 3 2" xfId="37467"/>
    <cellStyle name="Normal 9 2 5 4" xfId="21587"/>
    <cellStyle name="Normal 9 2 5 4 2" xfId="37468"/>
    <cellStyle name="Normal 9 2 5 5" xfId="21588"/>
    <cellStyle name="Normal 9 2 5 5 2" xfId="37469"/>
    <cellStyle name="Normal 9 2 5 6" xfId="37465"/>
    <cellStyle name="Normal 9 2 6" xfId="21589"/>
    <cellStyle name="Normal 9 2 6 2" xfId="21590"/>
    <cellStyle name="Normal 9 2 6 2 2" xfId="37471"/>
    <cellStyle name="Normal 9 2 6 3" xfId="21591"/>
    <cellStyle name="Normal 9 2 6 3 2" xfId="37472"/>
    <cellStyle name="Normal 9 2 6 4" xfId="21592"/>
    <cellStyle name="Normal 9 2 6 4 2" xfId="37473"/>
    <cellStyle name="Normal 9 2 6 5" xfId="21593"/>
    <cellStyle name="Normal 9 2 6 5 2" xfId="37474"/>
    <cellStyle name="Normal 9 2 6 6" xfId="37470"/>
    <cellStyle name="Normal 9 2 7" xfId="21594"/>
    <cellStyle name="Normal 9 2 7 2" xfId="21595"/>
    <cellStyle name="Normal 9 2 7 2 2" xfId="37476"/>
    <cellStyle name="Normal 9 2 7 3" xfId="21596"/>
    <cellStyle name="Normal 9 2 7 3 2" xfId="37477"/>
    <cellStyle name="Normal 9 2 7 4" xfId="21597"/>
    <cellStyle name="Normal 9 2 7 4 2" xfId="37478"/>
    <cellStyle name="Normal 9 2 7 5" xfId="21598"/>
    <cellStyle name="Normal 9 2 7 5 2" xfId="37479"/>
    <cellStyle name="Normal 9 2 7 6" xfId="37475"/>
    <cellStyle name="Normal 9 2 8" xfId="21599"/>
    <cellStyle name="Normal 9 2 8 2" xfId="21600"/>
    <cellStyle name="Normal 9 2 8 2 2" xfId="37481"/>
    <cellStyle name="Normal 9 2 8 3" xfId="21601"/>
    <cellStyle name="Normal 9 2 8 3 2" xfId="37482"/>
    <cellStyle name="Normal 9 2 8 4" xfId="21602"/>
    <cellStyle name="Normal 9 2 8 4 2" xfId="37483"/>
    <cellStyle name="Normal 9 2 8 5" xfId="21603"/>
    <cellStyle name="Normal 9 2 8 5 2" xfId="37484"/>
    <cellStyle name="Normal 9 2 8 6" xfId="37480"/>
    <cellStyle name="Normal 9 2 9" xfId="21604"/>
    <cellStyle name="Normal 9 2 9 2" xfId="21605"/>
    <cellStyle name="Normal 9 2 9 2 2" xfId="37486"/>
    <cellStyle name="Normal 9 2 9 3" xfId="21606"/>
    <cellStyle name="Normal 9 2 9 3 2" xfId="37487"/>
    <cellStyle name="Normal 9 2 9 4" xfId="21607"/>
    <cellStyle name="Normal 9 2 9 4 2" xfId="37488"/>
    <cellStyle name="Normal 9 2 9 5" xfId="21608"/>
    <cellStyle name="Normal 9 2 9 5 2" xfId="37489"/>
    <cellStyle name="Normal 9 2 9 6" xfId="37485"/>
    <cellStyle name="Normal 9 20" xfId="21609"/>
    <cellStyle name="Normal 9 20 2" xfId="37490"/>
    <cellStyle name="Normal 9 21" xfId="21610"/>
    <cellStyle name="Normal 9 21 2" xfId="37491"/>
    <cellStyle name="Normal 9 22" xfId="21611"/>
    <cellStyle name="Normal 9 22 2" xfId="37492"/>
    <cellStyle name="Normal 9 23" xfId="21612"/>
    <cellStyle name="Normal 9 23 2" xfId="37493"/>
    <cellStyle name="Normal 9 24" xfId="21613"/>
    <cellStyle name="Normal 9 24 2" xfId="37494"/>
    <cellStyle name="Normal 9 3" xfId="21614"/>
    <cellStyle name="Normal 9 3 2" xfId="21615"/>
    <cellStyle name="Normal 9 3 3" xfId="21616"/>
    <cellStyle name="Normal 9 3 3 2" xfId="37496"/>
    <cellStyle name="Normal 9 3 4" xfId="21617"/>
    <cellStyle name="Normal 9 3 4 2" xfId="37497"/>
    <cellStyle name="Normal 9 3 5" xfId="21618"/>
    <cellStyle name="Normal 9 3 5 2" xfId="37498"/>
    <cellStyle name="Normal 9 3 6" xfId="21619"/>
    <cellStyle name="Normal 9 3 6 2" xfId="37499"/>
    <cellStyle name="Normal 9 3 7" xfId="40786"/>
    <cellStyle name="Normal 9 3 8" xfId="37495"/>
    <cellStyle name="Normal 9 4" xfId="21620"/>
    <cellStyle name="Normal 9 4 2" xfId="21621"/>
    <cellStyle name="Normal 9 4 3" xfId="21622"/>
    <cellStyle name="Normal 9 4 3 2" xfId="37501"/>
    <cellStyle name="Normal 9 4 4" xfId="21623"/>
    <cellStyle name="Normal 9 4 4 2" xfId="37502"/>
    <cellStyle name="Normal 9 4 5" xfId="21624"/>
    <cellStyle name="Normal 9 4 5 2" xfId="37503"/>
    <cellStyle name="Normal 9 4 6" xfId="21625"/>
    <cellStyle name="Normal 9 4 6 2" xfId="37504"/>
    <cellStyle name="Normal 9 4 7" xfId="40787"/>
    <cellStyle name="Normal 9 4 8" xfId="37500"/>
    <cellStyle name="Normal 9 5" xfId="21626"/>
    <cellStyle name="Normal 9 5 2" xfId="21627"/>
    <cellStyle name="Normal 9 5 3" xfId="21628"/>
    <cellStyle name="Normal 9 5 3 2" xfId="37506"/>
    <cellStyle name="Normal 9 5 4" xfId="21629"/>
    <cellStyle name="Normal 9 5 4 2" xfId="37507"/>
    <cellStyle name="Normal 9 5 5" xfId="21630"/>
    <cellStyle name="Normal 9 5 5 2" xfId="37508"/>
    <cellStyle name="Normal 9 5 6" xfId="21631"/>
    <cellStyle name="Normal 9 5 6 2" xfId="37509"/>
    <cellStyle name="Normal 9 5 7" xfId="37505"/>
    <cellStyle name="Normal 9 6" xfId="21632"/>
    <cellStyle name="Normal 9 6 2" xfId="21633"/>
    <cellStyle name="Normal 9 6 2 2" xfId="37511"/>
    <cellStyle name="Normal 9 6 3" xfId="21634"/>
    <cellStyle name="Normal 9 6 3 2" xfId="37512"/>
    <cellStyle name="Normal 9 6 4" xfId="21635"/>
    <cellStyle name="Normal 9 6 4 2" xfId="37513"/>
    <cellStyle name="Normal 9 6 5" xfId="21636"/>
    <cellStyle name="Normal 9 6 5 2" xfId="37514"/>
    <cellStyle name="Normal 9 6 6" xfId="37510"/>
    <cellStyle name="Normal 9 7" xfId="21637"/>
    <cellStyle name="Normal 9 7 2" xfId="21638"/>
    <cellStyle name="Normal 9 7 2 2" xfId="37516"/>
    <cellStyle name="Normal 9 7 3" xfId="21639"/>
    <cellStyle name="Normal 9 7 3 2" xfId="37517"/>
    <cellStyle name="Normal 9 7 4" xfId="21640"/>
    <cellStyle name="Normal 9 7 4 2" xfId="37518"/>
    <cellStyle name="Normal 9 7 5" xfId="21641"/>
    <cellStyle name="Normal 9 7 5 2" xfId="37519"/>
    <cellStyle name="Normal 9 7 6" xfId="37515"/>
    <cellStyle name="Normal 9 8" xfId="21642"/>
    <cellStyle name="Normal 9 8 2" xfId="21643"/>
    <cellStyle name="Normal 9 8 2 2" xfId="37521"/>
    <cellStyle name="Normal 9 8 3" xfId="21644"/>
    <cellStyle name="Normal 9 8 3 2" xfId="37522"/>
    <cellStyle name="Normal 9 8 4" xfId="21645"/>
    <cellStyle name="Normal 9 8 4 2" xfId="37523"/>
    <cellStyle name="Normal 9 8 5" xfId="21646"/>
    <cellStyle name="Normal 9 8 5 2" xfId="37524"/>
    <cellStyle name="Normal 9 8 6" xfId="37520"/>
    <cellStyle name="Normal 9 9" xfId="21647"/>
    <cellStyle name="Normal 9 9 2" xfId="21648"/>
    <cellStyle name="Normal 9 9 2 2" xfId="37526"/>
    <cellStyle name="Normal 9 9 3" xfId="21649"/>
    <cellStyle name="Normal 9 9 3 2" xfId="37527"/>
    <cellStyle name="Normal 9 9 4" xfId="21650"/>
    <cellStyle name="Normal 9 9 4 2" xfId="37528"/>
    <cellStyle name="Normal 9 9 5" xfId="21651"/>
    <cellStyle name="Normal 9 9 5 2" xfId="37529"/>
    <cellStyle name="Normal 9 9 6" xfId="37525"/>
    <cellStyle name="Normal_Composições CEF - Emergencia" xfId="41062"/>
    <cellStyle name="Normal_Composições CEF - Emergencia 2" xfId="17"/>
    <cellStyle name="Normal_Composições CEF - Emergencia 7" xfId="18"/>
    <cellStyle name="Nota 10" xfId="21652"/>
    <cellStyle name="Nota 10 2" xfId="21653"/>
    <cellStyle name="Nota 10 2 2" xfId="40789"/>
    <cellStyle name="Nota 10 2 3" xfId="37530"/>
    <cellStyle name="Nota 10 3" xfId="21654"/>
    <cellStyle name="Nota 10 3 2" xfId="41022"/>
    <cellStyle name="Nota 10 3 3" xfId="37531"/>
    <cellStyle name="Nota 10 4" xfId="21655"/>
    <cellStyle name="Nota 10 4 2" xfId="41011"/>
    <cellStyle name="Nota 10 4 3" xfId="37532"/>
    <cellStyle name="Nota 10 5" xfId="21656"/>
    <cellStyle name="Nota 10 5 2" xfId="37533"/>
    <cellStyle name="Nota 10 6" xfId="21657"/>
    <cellStyle name="Nota 10 6 2" xfId="37534"/>
    <cellStyle name="Nota 10 7" xfId="21658"/>
    <cellStyle name="Nota 10 7 2" xfId="37535"/>
    <cellStyle name="Nota 10 8" xfId="29176"/>
    <cellStyle name="Nota 10 8 2" xfId="40788"/>
    <cellStyle name="Nota 100" xfId="21659"/>
    <cellStyle name="Nota 100 2" xfId="37536"/>
    <cellStyle name="Nota 101" xfId="21660"/>
    <cellStyle name="Nota 101 2" xfId="37537"/>
    <cellStyle name="Nota 102" xfId="21661"/>
    <cellStyle name="Nota 102 2" xfId="37538"/>
    <cellStyle name="Nota 103" xfId="21662"/>
    <cellStyle name="Nota 103 2" xfId="37539"/>
    <cellStyle name="Nota 104" xfId="21663"/>
    <cellStyle name="Nota 104 2" xfId="37540"/>
    <cellStyle name="Nota 105" xfId="21664"/>
    <cellStyle name="Nota 105 2" xfId="37541"/>
    <cellStyle name="Nota 106" xfId="21665"/>
    <cellStyle name="Nota 106 2" xfId="37542"/>
    <cellStyle name="Nota 107" xfId="21666"/>
    <cellStyle name="Nota 107 2" xfId="37543"/>
    <cellStyle name="Nota 108" xfId="21667"/>
    <cellStyle name="Nota 108 2" xfId="37544"/>
    <cellStyle name="Nota 109" xfId="21668"/>
    <cellStyle name="Nota 109 2" xfId="37545"/>
    <cellStyle name="Nota 11" xfId="21669"/>
    <cellStyle name="Nota 11 2" xfId="21670"/>
    <cellStyle name="Nota 11 2 2" xfId="40791"/>
    <cellStyle name="Nota 11 2 3" xfId="37546"/>
    <cellStyle name="Nota 11 3" xfId="21671"/>
    <cellStyle name="Nota 11 3 2" xfId="41023"/>
    <cellStyle name="Nota 11 3 3" xfId="37547"/>
    <cellStyle name="Nota 11 4" xfId="21672"/>
    <cellStyle name="Nota 11 4 2" xfId="41010"/>
    <cellStyle name="Nota 11 4 3" xfId="37548"/>
    <cellStyle name="Nota 11 5" xfId="21673"/>
    <cellStyle name="Nota 11 5 2" xfId="37549"/>
    <cellStyle name="Nota 11 6" xfId="21674"/>
    <cellStyle name="Nota 11 6 2" xfId="37550"/>
    <cellStyle name="Nota 11 7" xfId="21675"/>
    <cellStyle name="Nota 11 7 2" xfId="37551"/>
    <cellStyle name="Nota 11 8" xfId="29177"/>
    <cellStyle name="Nota 11 8 2" xfId="40790"/>
    <cellStyle name="Nota 110" xfId="21676"/>
    <cellStyle name="Nota 110 2" xfId="37552"/>
    <cellStyle name="Nota 111" xfId="21677"/>
    <cellStyle name="Nota 111 2" xfId="37553"/>
    <cellStyle name="Nota 112" xfId="21678"/>
    <cellStyle name="Nota 112 2" xfId="37554"/>
    <cellStyle name="Nota 113" xfId="21679"/>
    <cellStyle name="Nota 113 2" xfId="37555"/>
    <cellStyle name="Nota 114" xfId="21680"/>
    <cellStyle name="Nota 114 2" xfId="37556"/>
    <cellStyle name="Nota 115" xfId="21681"/>
    <cellStyle name="Nota 115 2" xfId="37557"/>
    <cellStyle name="Nota 116" xfId="21682"/>
    <cellStyle name="Nota 116 2" xfId="37558"/>
    <cellStyle name="Nota 117" xfId="21683"/>
    <cellStyle name="Nota 117 2" xfId="37559"/>
    <cellStyle name="Nota 118" xfId="21684"/>
    <cellStyle name="Nota 118 2" xfId="37560"/>
    <cellStyle name="Nota 119" xfId="21685"/>
    <cellStyle name="Nota 119 2" xfId="37561"/>
    <cellStyle name="Nota 12" xfId="21686"/>
    <cellStyle name="Nota 12 2" xfId="21687"/>
    <cellStyle name="Nota 12 2 2" xfId="40793"/>
    <cellStyle name="Nota 12 2 3" xfId="37562"/>
    <cellStyle name="Nota 12 3" xfId="21688"/>
    <cellStyle name="Nota 12 3 2" xfId="41024"/>
    <cellStyle name="Nota 12 3 3" xfId="37563"/>
    <cellStyle name="Nota 12 4" xfId="21689"/>
    <cellStyle name="Nota 12 4 2" xfId="41009"/>
    <cellStyle name="Nota 12 4 3" xfId="37564"/>
    <cellStyle name="Nota 12 5" xfId="21690"/>
    <cellStyle name="Nota 12 5 2" xfId="37565"/>
    <cellStyle name="Nota 12 6" xfId="21691"/>
    <cellStyle name="Nota 12 6 2" xfId="37566"/>
    <cellStyle name="Nota 12 7" xfId="21692"/>
    <cellStyle name="Nota 12 7 2" xfId="37567"/>
    <cellStyle name="Nota 12 8" xfId="29178"/>
    <cellStyle name="Nota 12 8 2" xfId="40792"/>
    <cellStyle name="Nota 120" xfId="21693"/>
    <cellStyle name="Nota 120 2" xfId="37568"/>
    <cellStyle name="Nota 121" xfId="21694"/>
    <cellStyle name="Nota 121 2" xfId="37569"/>
    <cellStyle name="Nota 122" xfId="21695"/>
    <cellStyle name="Nota 122 2" xfId="37570"/>
    <cellStyle name="Nota 123" xfId="21696"/>
    <cellStyle name="Nota 123 2" xfId="37571"/>
    <cellStyle name="Nota 124" xfId="21697"/>
    <cellStyle name="Nota 124 2" xfId="37572"/>
    <cellStyle name="Nota 125" xfId="21698"/>
    <cellStyle name="Nota 125 2" xfId="37573"/>
    <cellStyle name="Nota 126" xfId="21699"/>
    <cellStyle name="Nota 126 2" xfId="37574"/>
    <cellStyle name="Nota 127" xfId="21700"/>
    <cellStyle name="Nota 127 2" xfId="37575"/>
    <cellStyle name="Nota 128" xfId="21701"/>
    <cellStyle name="Nota 128 2" xfId="37576"/>
    <cellStyle name="Nota 129" xfId="21702"/>
    <cellStyle name="Nota 129 2" xfId="37577"/>
    <cellStyle name="Nota 13" xfId="21703"/>
    <cellStyle name="Nota 13 2" xfId="21704"/>
    <cellStyle name="Nota 13 2 2" xfId="40795"/>
    <cellStyle name="Nota 13 2 3" xfId="37578"/>
    <cellStyle name="Nota 13 3" xfId="21705"/>
    <cellStyle name="Nota 13 3 2" xfId="41025"/>
    <cellStyle name="Nota 13 3 3" xfId="37579"/>
    <cellStyle name="Nota 13 4" xfId="21706"/>
    <cellStyle name="Nota 13 4 2" xfId="41008"/>
    <cellStyle name="Nota 13 4 3" xfId="37580"/>
    <cellStyle name="Nota 13 5" xfId="21707"/>
    <cellStyle name="Nota 13 5 2" xfId="37581"/>
    <cellStyle name="Nota 13 6" xfId="21708"/>
    <cellStyle name="Nota 13 6 2" xfId="37582"/>
    <cellStyle name="Nota 13 7" xfId="21709"/>
    <cellStyle name="Nota 13 7 2" xfId="37583"/>
    <cellStyle name="Nota 13 8" xfId="29179"/>
    <cellStyle name="Nota 13 8 2" xfId="40794"/>
    <cellStyle name="Nota 130" xfId="21710"/>
    <cellStyle name="Nota 130 2" xfId="37584"/>
    <cellStyle name="Nota 131" xfId="21711"/>
    <cellStyle name="Nota 131 2" xfId="37585"/>
    <cellStyle name="Nota 132" xfId="21712"/>
    <cellStyle name="Nota 132 2" xfId="37586"/>
    <cellStyle name="Nota 133" xfId="21713"/>
    <cellStyle name="Nota 133 2" xfId="37587"/>
    <cellStyle name="Nota 134" xfId="21714"/>
    <cellStyle name="Nota 134 2" xfId="37588"/>
    <cellStyle name="Nota 135" xfId="21715"/>
    <cellStyle name="Nota 135 2" xfId="37589"/>
    <cellStyle name="Nota 136" xfId="21716"/>
    <cellStyle name="Nota 136 2" xfId="37590"/>
    <cellStyle name="Nota 137" xfId="21717"/>
    <cellStyle name="Nota 137 2" xfId="37591"/>
    <cellStyle name="Nota 138" xfId="21718"/>
    <cellStyle name="Nota 138 2" xfId="37592"/>
    <cellStyle name="Nota 139" xfId="21719"/>
    <cellStyle name="Nota 139 2" xfId="37593"/>
    <cellStyle name="Nota 14" xfId="21720"/>
    <cellStyle name="Nota 14 2" xfId="21721"/>
    <cellStyle name="Nota 14 2 2" xfId="37594"/>
    <cellStyle name="Nota 14 3" xfId="21722"/>
    <cellStyle name="Nota 14 3 2" xfId="37595"/>
    <cellStyle name="Nota 14 4" xfId="21723"/>
    <cellStyle name="Nota 14 4 2" xfId="37596"/>
    <cellStyle name="Nota 14 5" xfId="21724"/>
    <cellStyle name="Nota 14 5 2" xfId="37597"/>
    <cellStyle name="Nota 14 6" xfId="21725"/>
    <cellStyle name="Nota 14 6 2" xfId="37598"/>
    <cellStyle name="Nota 14 7" xfId="21726"/>
    <cellStyle name="Nota 14 7 2" xfId="37599"/>
    <cellStyle name="Nota 14 8" xfId="29180"/>
    <cellStyle name="Nota 14 8 2" xfId="40796"/>
    <cellStyle name="Nota 140" xfId="21727"/>
    <cellStyle name="Nota 140 2" xfId="37600"/>
    <cellStyle name="Nota 141" xfId="21728"/>
    <cellStyle name="Nota 141 2" xfId="37601"/>
    <cellStyle name="Nota 142" xfId="21729"/>
    <cellStyle name="Nota 142 2" xfId="37602"/>
    <cellStyle name="Nota 143" xfId="21730"/>
    <cellStyle name="Nota 143 2" xfId="37603"/>
    <cellStyle name="Nota 144" xfId="21731"/>
    <cellStyle name="Nota 144 2" xfId="37604"/>
    <cellStyle name="Nota 145" xfId="21732"/>
    <cellStyle name="Nota 145 2" xfId="37605"/>
    <cellStyle name="Nota 146" xfId="21733"/>
    <cellStyle name="Nota 146 2" xfId="37606"/>
    <cellStyle name="Nota 147" xfId="21734"/>
    <cellStyle name="Nota 147 2" xfId="37607"/>
    <cellStyle name="Nota 148" xfId="21735"/>
    <cellStyle name="Nota 148 2" xfId="37608"/>
    <cellStyle name="Nota 149" xfId="21736"/>
    <cellStyle name="Nota 149 2" xfId="37609"/>
    <cellStyle name="Nota 15" xfId="21737"/>
    <cellStyle name="Nota 15 2" xfId="21738"/>
    <cellStyle name="Nota 15 2 2" xfId="37610"/>
    <cellStyle name="Nota 15 3" xfId="21739"/>
    <cellStyle name="Nota 15 3 2" xfId="37611"/>
    <cellStyle name="Nota 15 4" xfId="21740"/>
    <cellStyle name="Nota 15 4 2" xfId="37612"/>
    <cellStyle name="Nota 15 5" xfId="21741"/>
    <cellStyle name="Nota 15 5 2" xfId="37613"/>
    <cellStyle name="Nota 15 6" xfId="21742"/>
    <cellStyle name="Nota 15 6 2" xfId="37614"/>
    <cellStyle name="Nota 15 7" xfId="21743"/>
    <cellStyle name="Nota 15 7 2" xfId="37615"/>
    <cellStyle name="Nota 15 8" xfId="29181"/>
    <cellStyle name="Nota 15 8 2" xfId="40797"/>
    <cellStyle name="Nota 150" xfId="21744"/>
    <cellStyle name="Nota 150 2" xfId="37616"/>
    <cellStyle name="Nota 151" xfId="21745"/>
    <cellStyle name="Nota 151 2" xfId="37617"/>
    <cellStyle name="Nota 152" xfId="21746"/>
    <cellStyle name="Nota 152 2" xfId="37618"/>
    <cellStyle name="Nota 153" xfId="21747"/>
    <cellStyle name="Nota 153 2" xfId="37619"/>
    <cellStyle name="Nota 154" xfId="21748"/>
    <cellStyle name="Nota 154 2" xfId="37620"/>
    <cellStyle name="Nota 155" xfId="21749"/>
    <cellStyle name="Nota 155 2" xfId="37621"/>
    <cellStyle name="Nota 156" xfId="21750"/>
    <cellStyle name="Nota 156 2" xfId="37622"/>
    <cellStyle name="Nota 157" xfId="21751"/>
    <cellStyle name="Nota 157 2" xfId="37623"/>
    <cellStyle name="Nota 158" xfId="21752"/>
    <cellStyle name="Nota 158 2" xfId="37624"/>
    <cellStyle name="Nota 159" xfId="21753"/>
    <cellStyle name="Nota 159 2" xfId="37625"/>
    <cellStyle name="Nota 16" xfId="21754"/>
    <cellStyle name="Nota 16 2" xfId="21755"/>
    <cellStyle name="Nota 16 2 2" xfId="37626"/>
    <cellStyle name="Nota 16 3" xfId="21756"/>
    <cellStyle name="Nota 16 3 2" xfId="37627"/>
    <cellStyle name="Nota 16 4" xfId="21757"/>
    <cellStyle name="Nota 16 4 2" xfId="37628"/>
    <cellStyle name="Nota 16 5" xfId="21758"/>
    <cellStyle name="Nota 16 5 2" xfId="37629"/>
    <cellStyle name="Nota 16 6" xfId="21759"/>
    <cellStyle name="Nota 16 6 2" xfId="37630"/>
    <cellStyle name="Nota 16 7" xfId="21760"/>
    <cellStyle name="Nota 16 7 2" xfId="37631"/>
    <cellStyle name="Nota 16 8" xfId="29182"/>
    <cellStyle name="Nota 16 8 2" xfId="40798"/>
    <cellStyle name="Nota 160" xfId="21761"/>
    <cellStyle name="Nota 160 2" xfId="37632"/>
    <cellStyle name="Nota 161" xfId="21762"/>
    <cellStyle name="Nota 161 2" xfId="37633"/>
    <cellStyle name="Nota 162" xfId="21763"/>
    <cellStyle name="Nota 162 2" xfId="37634"/>
    <cellStyle name="Nota 163" xfId="21764"/>
    <cellStyle name="Nota 163 2" xfId="37635"/>
    <cellStyle name="Nota 164" xfId="21765"/>
    <cellStyle name="Nota 164 2" xfId="37636"/>
    <cellStyle name="Nota 165" xfId="21766"/>
    <cellStyle name="Nota 165 2" xfId="37637"/>
    <cellStyle name="Nota 166" xfId="21767"/>
    <cellStyle name="Nota 166 2" xfId="37638"/>
    <cellStyle name="Nota 167" xfId="21768"/>
    <cellStyle name="Nota 167 2" xfId="37639"/>
    <cellStyle name="Nota 168" xfId="21769"/>
    <cellStyle name="Nota 168 2" xfId="37640"/>
    <cellStyle name="Nota 169" xfId="21770"/>
    <cellStyle name="Nota 169 2" xfId="37641"/>
    <cellStyle name="Nota 17" xfId="21771"/>
    <cellStyle name="Nota 17 2" xfId="21772"/>
    <cellStyle name="Nota 17 2 2" xfId="37642"/>
    <cellStyle name="Nota 17 3" xfId="21773"/>
    <cellStyle name="Nota 17 3 2" xfId="37643"/>
    <cellStyle name="Nota 17 4" xfId="21774"/>
    <cellStyle name="Nota 17 4 2" xfId="37644"/>
    <cellStyle name="Nota 17 5" xfId="21775"/>
    <cellStyle name="Nota 17 5 2" xfId="37645"/>
    <cellStyle name="Nota 17 6" xfId="21776"/>
    <cellStyle name="Nota 17 6 2" xfId="37646"/>
    <cellStyle name="Nota 17 7" xfId="21777"/>
    <cellStyle name="Nota 17 7 2" xfId="37647"/>
    <cellStyle name="Nota 17 8" xfId="29183"/>
    <cellStyle name="Nota 17 8 2" xfId="40799"/>
    <cellStyle name="Nota 170" xfId="21778"/>
    <cellStyle name="Nota 170 2" xfId="37648"/>
    <cellStyle name="Nota 171" xfId="21779"/>
    <cellStyle name="Nota 171 2" xfId="37649"/>
    <cellStyle name="Nota 172" xfId="21780"/>
    <cellStyle name="Nota 172 2" xfId="37650"/>
    <cellStyle name="Nota 173" xfId="21781"/>
    <cellStyle name="Nota 173 2" xfId="37651"/>
    <cellStyle name="Nota 174" xfId="21782"/>
    <cellStyle name="Nota 174 2" xfId="37652"/>
    <cellStyle name="Nota 175" xfId="21783"/>
    <cellStyle name="Nota 175 2" xfId="37653"/>
    <cellStyle name="Nota 176" xfId="21784"/>
    <cellStyle name="Nota 176 2" xfId="37654"/>
    <cellStyle name="Nota 177" xfId="21785"/>
    <cellStyle name="Nota 177 2" xfId="37655"/>
    <cellStyle name="Nota 178" xfId="21786"/>
    <cellStyle name="Nota 178 2" xfId="37656"/>
    <cellStyle name="Nota 179" xfId="21787"/>
    <cellStyle name="Nota 179 2" xfId="37657"/>
    <cellStyle name="Nota 18" xfId="21788"/>
    <cellStyle name="Nota 18 2" xfId="21789"/>
    <cellStyle name="Nota 18 2 2" xfId="37658"/>
    <cellStyle name="Nota 18 3" xfId="21790"/>
    <cellStyle name="Nota 18 3 2" xfId="37659"/>
    <cellStyle name="Nota 18 4" xfId="21791"/>
    <cellStyle name="Nota 18 4 2" xfId="37660"/>
    <cellStyle name="Nota 18 5" xfId="21792"/>
    <cellStyle name="Nota 18 5 2" xfId="37661"/>
    <cellStyle name="Nota 18 6" xfId="21793"/>
    <cellStyle name="Nota 18 6 2" xfId="37662"/>
    <cellStyle name="Nota 18 7" xfId="21794"/>
    <cellStyle name="Nota 18 7 2" xfId="37663"/>
    <cellStyle name="Nota 18 8" xfId="29184"/>
    <cellStyle name="Nota 18 8 2" xfId="40800"/>
    <cellStyle name="Nota 180" xfId="21795"/>
    <cellStyle name="Nota 180 2" xfId="37664"/>
    <cellStyle name="Nota 181" xfId="21796"/>
    <cellStyle name="Nota 181 2" xfId="37665"/>
    <cellStyle name="Nota 182" xfId="21797"/>
    <cellStyle name="Nota 182 2" xfId="37666"/>
    <cellStyle name="Nota 183" xfId="21798"/>
    <cellStyle name="Nota 183 2" xfId="37667"/>
    <cellStyle name="Nota 184" xfId="21799"/>
    <cellStyle name="Nota 184 2" xfId="37668"/>
    <cellStyle name="Nota 185" xfId="21800"/>
    <cellStyle name="Nota 185 2" xfId="37669"/>
    <cellStyle name="Nota 186" xfId="21801"/>
    <cellStyle name="Nota 186 2" xfId="37670"/>
    <cellStyle name="Nota 187" xfId="21802"/>
    <cellStyle name="Nota 187 2" xfId="37671"/>
    <cellStyle name="Nota 188" xfId="21803"/>
    <cellStyle name="Nota 188 2" xfId="37672"/>
    <cellStyle name="Nota 189" xfId="21804"/>
    <cellStyle name="Nota 189 2" xfId="37673"/>
    <cellStyle name="Nota 19" xfId="21805"/>
    <cellStyle name="Nota 19 2" xfId="21806"/>
    <cellStyle name="Nota 19 2 2" xfId="37674"/>
    <cellStyle name="Nota 19 3" xfId="21807"/>
    <cellStyle name="Nota 19 3 2" xfId="37675"/>
    <cellStyle name="Nota 19 4" xfId="21808"/>
    <cellStyle name="Nota 19 4 2" xfId="37676"/>
    <cellStyle name="Nota 19 5" xfId="21809"/>
    <cellStyle name="Nota 19 5 2" xfId="37677"/>
    <cellStyle name="Nota 19 6" xfId="21810"/>
    <cellStyle name="Nota 19 6 2" xfId="37678"/>
    <cellStyle name="Nota 19 7" xfId="21811"/>
    <cellStyle name="Nota 19 7 2" xfId="37679"/>
    <cellStyle name="Nota 19 8" xfId="29185"/>
    <cellStyle name="Nota 19 8 2" xfId="40801"/>
    <cellStyle name="Nota 190" xfId="21812"/>
    <cellStyle name="Nota 190 2" xfId="37680"/>
    <cellStyle name="Nota 191" xfId="21813"/>
    <cellStyle name="Nota 191 2" xfId="37681"/>
    <cellStyle name="Nota 192" xfId="21814"/>
    <cellStyle name="Nota 192 2" xfId="37682"/>
    <cellStyle name="Nota 193" xfId="21815"/>
    <cellStyle name="Nota 193 2" xfId="37683"/>
    <cellStyle name="Nota 194" xfId="21816"/>
    <cellStyle name="Nota 194 2" xfId="37684"/>
    <cellStyle name="Nota 195" xfId="21817"/>
    <cellStyle name="Nota 195 2" xfId="37685"/>
    <cellStyle name="Nota 196" xfId="21818"/>
    <cellStyle name="Nota 196 2" xfId="37686"/>
    <cellStyle name="Nota 197" xfId="21819"/>
    <cellStyle name="Nota 197 2" xfId="37687"/>
    <cellStyle name="Nota 198" xfId="21820"/>
    <cellStyle name="Nota 198 2" xfId="37688"/>
    <cellStyle name="Nota 199" xfId="21821"/>
    <cellStyle name="Nota 199 2" xfId="37689"/>
    <cellStyle name="Nota 2" xfId="21822"/>
    <cellStyle name="Nota 2 10" xfId="21823"/>
    <cellStyle name="Nota 2 10 2" xfId="29186"/>
    <cellStyle name="Nota 2 11" xfId="21824"/>
    <cellStyle name="Nota 2 11 2" xfId="29187"/>
    <cellStyle name="Nota 2 12" xfId="21825"/>
    <cellStyle name="Nota 2 12 2" xfId="29188"/>
    <cellStyle name="Nota 2 13" xfId="21826"/>
    <cellStyle name="Nota 2 13 2" xfId="29189"/>
    <cellStyle name="Nota 2 14" xfId="21827"/>
    <cellStyle name="Nota 2 14 2" xfId="29190"/>
    <cellStyle name="Nota 2 15" xfId="21828"/>
    <cellStyle name="Nota 2 15 2" xfId="29191"/>
    <cellStyle name="Nota 2 16" xfId="21829"/>
    <cellStyle name="Nota 2 16 2" xfId="29192"/>
    <cellStyle name="Nota 2 17" xfId="21830"/>
    <cellStyle name="Nota 2 17 2" xfId="29193"/>
    <cellStyle name="Nota 2 18" xfId="21831"/>
    <cellStyle name="Nota 2 18 2" xfId="29194"/>
    <cellStyle name="Nota 2 19" xfId="21832"/>
    <cellStyle name="Nota 2 19 2" xfId="29195"/>
    <cellStyle name="Nota 2 2" xfId="21833"/>
    <cellStyle name="Nota 2 2 10" xfId="21834"/>
    <cellStyle name="Nota 2 2 10 2" xfId="37690"/>
    <cellStyle name="Nota 2 2 11" xfId="21835"/>
    <cellStyle name="Nota 2 2 11 2" xfId="37691"/>
    <cellStyle name="Nota 2 2 12" xfId="21836"/>
    <cellStyle name="Nota 2 2 12 2" xfId="37692"/>
    <cellStyle name="Nota 2 2 13" xfId="21837"/>
    <cellStyle name="Nota 2 2 13 2" xfId="37693"/>
    <cellStyle name="Nota 2 2 14" xfId="21838"/>
    <cellStyle name="Nota 2 2 14 2" xfId="37694"/>
    <cellStyle name="Nota 2 2 15" xfId="21839"/>
    <cellStyle name="Nota 2 2 15 2" xfId="37695"/>
    <cellStyle name="Nota 2 2 16" xfId="21840"/>
    <cellStyle name="Nota 2 2 16 2" xfId="37696"/>
    <cellStyle name="Nota 2 2 17" xfId="21841"/>
    <cellStyle name="Nota 2 2 17 2" xfId="37697"/>
    <cellStyle name="Nota 2 2 18" xfId="21842"/>
    <cellStyle name="Nota 2 2 18 2" xfId="37698"/>
    <cellStyle name="Nota 2 2 19" xfId="21843"/>
    <cellStyle name="Nota 2 2 19 2" xfId="37699"/>
    <cellStyle name="Nota 2 2 2" xfId="21844"/>
    <cellStyle name="Nota 2 2 2 2" xfId="37700"/>
    <cellStyle name="Nota 2 2 20" xfId="21845"/>
    <cellStyle name="Nota 2 2 20 2" xfId="37701"/>
    <cellStyle name="Nota 2 2 21" xfId="21846"/>
    <cellStyle name="Nota 2 2 21 2" xfId="37702"/>
    <cellStyle name="Nota 2 2 22" xfId="21847"/>
    <cellStyle name="Nota 2 2 22 2" xfId="37703"/>
    <cellStyle name="Nota 2 2 23" xfId="21848"/>
    <cellStyle name="Nota 2 2 23 2" xfId="37704"/>
    <cellStyle name="Nota 2 2 24" xfId="21849"/>
    <cellStyle name="Nota 2 2 24 2" xfId="37705"/>
    <cellStyle name="Nota 2 2 25" xfId="21850"/>
    <cellStyle name="Nota 2 2 25 2" xfId="37706"/>
    <cellStyle name="Nota 2 2 26" xfId="21851"/>
    <cellStyle name="Nota 2 2 26 2" xfId="37707"/>
    <cellStyle name="Nota 2 2 27" xfId="21852"/>
    <cellStyle name="Nota 2 2 27 2" xfId="37708"/>
    <cellStyle name="Nota 2 2 28" xfId="29196"/>
    <cellStyle name="Nota 2 2 28 2" xfId="40802"/>
    <cellStyle name="Nota 2 2 3" xfId="21853"/>
    <cellStyle name="Nota 2 2 3 2" xfId="37709"/>
    <cellStyle name="Nota 2 2 4" xfId="21854"/>
    <cellStyle name="Nota 2 2 4 2" xfId="37710"/>
    <cellStyle name="Nota 2 2 5" xfId="21855"/>
    <cellStyle name="Nota 2 2 5 2" xfId="37711"/>
    <cellStyle name="Nota 2 2 6" xfId="21856"/>
    <cellStyle name="Nota 2 2 6 2" xfId="37712"/>
    <cellStyle name="Nota 2 2 7" xfId="21857"/>
    <cellStyle name="Nota 2 2 7 2" xfId="37713"/>
    <cellStyle name="Nota 2 2 8" xfId="21858"/>
    <cellStyle name="Nota 2 2 8 2" xfId="37714"/>
    <cellStyle name="Nota 2 2 9" xfId="21859"/>
    <cellStyle name="Nota 2 2 9 2" xfId="37715"/>
    <cellStyle name="Nota 2 20" xfId="21860"/>
    <cellStyle name="Nota 2 20 2" xfId="29197"/>
    <cellStyle name="Nota 2 21" xfId="21861"/>
    <cellStyle name="Nota 2 21 2" xfId="29198"/>
    <cellStyle name="Nota 2 22" xfId="21862"/>
    <cellStyle name="Nota 2 22 2" xfId="29199"/>
    <cellStyle name="Nota 2 23" xfId="21863"/>
    <cellStyle name="Nota 2 23 2" xfId="29200"/>
    <cellStyle name="Nota 2 24" xfId="21864"/>
    <cellStyle name="Nota 2 24 2" xfId="29201"/>
    <cellStyle name="Nota 2 25" xfId="21865"/>
    <cellStyle name="Nota 2 25 2" xfId="29202"/>
    <cellStyle name="Nota 2 26" xfId="21866"/>
    <cellStyle name="Nota 2 26 2" xfId="29203"/>
    <cellStyle name="Nota 2 27" xfId="21867"/>
    <cellStyle name="Nota 2 27 2" xfId="29204"/>
    <cellStyle name="Nota 2 28" xfId="21868"/>
    <cellStyle name="Nota 2 28 2" xfId="29205"/>
    <cellStyle name="Nota 2 29" xfId="21869"/>
    <cellStyle name="Nota 2 29 2" xfId="29206"/>
    <cellStyle name="Nota 2 3" xfId="21870"/>
    <cellStyle name="Nota 2 3 10" xfId="21871"/>
    <cellStyle name="Nota 2 3 10 2" xfId="37716"/>
    <cellStyle name="Nota 2 3 11" xfId="21872"/>
    <cellStyle name="Nota 2 3 11 2" xfId="37717"/>
    <cellStyle name="Nota 2 3 12" xfId="21873"/>
    <cellStyle name="Nota 2 3 12 2" xfId="37718"/>
    <cellStyle name="Nota 2 3 13" xfId="21874"/>
    <cellStyle name="Nota 2 3 13 2" xfId="37719"/>
    <cellStyle name="Nota 2 3 14" xfId="21875"/>
    <cellStyle name="Nota 2 3 14 2" xfId="37720"/>
    <cellStyle name="Nota 2 3 15" xfId="21876"/>
    <cellStyle name="Nota 2 3 15 2" xfId="37721"/>
    <cellStyle name="Nota 2 3 16" xfId="21877"/>
    <cellStyle name="Nota 2 3 16 2" xfId="37722"/>
    <cellStyle name="Nota 2 3 17" xfId="21878"/>
    <cellStyle name="Nota 2 3 17 2" xfId="37723"/>
    <cellStyle name="Nota 2 3 18" xfId="21879"/>
    <cellStyle name="Nota 2 3 18 2" xfId="37724"/>
    <cellStyle name="Nota 2 3 19" xfId="21880"/>
    <cellStyle name="Nota 2 3 19 2" xfId="37725"/>
    <cellStyle name="Nota 2 3 2" xfId="21881"/>
    <cellStyle name="Nota 2 3 2 2" xfId="37726"/>
    <cellStyle name="Nota 2 3 20" xfId="21882"/>
    <cellStyle name="Nota 2 3 20 2" xfId="37727"/>
    <cellStyle name="Nota 2 3 21" xfId="21883"/>
    <cellStyle name="Nota 2 3 21 2" xfId="37728"/>
    <cellStyle name="Nota 2 3 22" xfId="21884"/>
    <cellStyle name="Nota 2 3 22 2" xfId="37729"/>
    <cellStyle name="Nota 2 3 23" xfId="21885"/>
    <cellStyle name="Nota 2 3 23 2" xfId="37730"/>
    <cellStyle name="Nota 2 3 24" xfId="21886"/>
    <cellStyle name="Nota 2 3 24 2" xfId="37731"/>
    <cellStyle name="Nota 2 3 25" xfId="21887"/>
    <cellStyle name="Nota 2 3 25 2" xfId="37732"/>
    <cellStyle name="Nota 2 3 26" xfId="21888"/>
    <cellStyle name="Nota 2 3 26 2" xfId="37733"/>
    <cellStyle name="Nota 2 3 27" xfId="21889"/>
    <cellStyle name="Nota 2 3 27 2" xfId="37734"/>
    <cellStyle name="Nota 2 3 28" xfId="29207"/>
    <cellStyle name="Nota 2 3 28 2" xfId="40803"/>
    <cellStyle name="Nota 2 3 3" xfId="21890"/>
    <cellStyle name="Nota 2 3 3 2" xfId="37735"/>
    <cellStyle name="Nota 2 3 4" xfId="21891"/>
    <cellStyle name="Nota 2 3 4 2" xfId="37736"/>
    <cellStyle name="Nota 2 3 5" xfId="21892"/>
    <cellStyle name="Nota 2 3 5 2" xfId="37737"/>
    <cellStyle name="Nota 2 3 6" xfId="21893"/>
    <cellStyle name="Nota 2 3 6 2" xfId="37738"/>
    <cellStyle name="Nota 2 3 7" xfId="21894"/>
    <cellStyle name="Nota 2 3 7 2" xfId="37739"/>
    <cellStyle name="Nota 2 3 8" xfId="21895"/>
    <cellStyle name="Nota 2 3 8 2" xfId="37740"/>
    <cellStyle name="Nota 2 3 9" xfId="21896"/>
    <cellStyle name="Nota 2 3 9 2" xfId="37741"/>
    <cellStyle name="Nota 2 30" xfId="21897"/>
    <cellStyle name="Nota 2 30 2" xfId="29208"/>
    <cellStyle name="Nota 2 31" xfId="21898"/>
    <cellStyle name="Nota 2 31 10" xfId="21899"/>
    <cellStyle name="Nota 2 31 10 2" xfId="37743"/>
    <cellStyle name="Nota 2 31 11" xfId="21900"/>
    <cellStyle name="Nota 2 31 11 2" xfId="37744"/>
    <cellStyle name="Nota 2 31 12" xfId="21901"/>
    <cellStyle name="Nota 2 31 12 2" xfId="37745"/>
    <cellStyle name="Nota 2 31 13" xfId="21902"/>
    <cellStyle name="Nota 2 31 13 2" xfId="37746"/>
    <cellStyle name="Nota 2 31 14" xfId="21903"/>
    <cellStyle name="Nota 2 31 14 2" xfId="37747"/>
    <cellStyle name="Nota 2 31 15" xfId="21904"/>
    <cellStyle name="Nota 2 31 15 2" xfId="37748"/>
    <cellStyle name="Nota 2 31 16" xfId="21905"/>
    <cellStyle name="Nota 2 31 16 2" xfId="37749"/>
    <cellStyle name="Nota 2 31 17" xfId="21906"/>
    <cellStyle name="Nota 2 31 17 2" xfId="37750"/>
    <cellStyle name="Nota 2 31 18" xfId="21907"/>
    <cellStyle name="Nota 2 31 18 2" xfId="37751"/>
    <cellStyle name="Nota 2 31 19" xfId="21908"/>
    <cellStyle name="Nota 2 31 19 2" xfId="37752"/>
    <cellStyle name="Nota 2 31 2" xfId="21909"/>
    <cellStyle name="Nota 2 31 2 2" xfId="37753"/>
    <cellStyle name="Nota 2 31 20" xfId="21910"/>
    <cellStyle name="Nota 2 31 20 2" xfId="37754"/>
    <cellStyle name="Nota 2 31 21" xfId="37742"/>
    <cellStyle name="Nota 2 31 3" xfId="21911"/>
    <cellStyle name="Nota 2 31 3 2" xfId="37755"/>
    <cellStyle name="Nota 2 31 4" xfId="21912"/>
    <cellStyle name="Nota 2 31 4 2" xfId="37756"/>
    <cellStyle name="Nota 2 31 5" xfId="21913"/>
    <cellStyle name="Nota 2 31 5 2" xfId="37757"/>
    <cellStyle name="Nota 2 31 6" xfId="21914"/>
    <cellStyle name="Nota 2 31 6 2" xfId="37758"/>
    <cellStyle name="Nota 2 31 7" xfId="21915"/>
    <cellStyle name="Nota 2 31 7 2" xfId="37759"/>
    <cellStyle name="Nota 2 31 8" xfId="21916"/>
    <cellStyle name="Nota 2 31 8 2" xfId="37760"/>
    <cellStyle name="Nota 2 31 9" xfId="21917"/>
    <cellStyle name="Nota 2 31 9 2" xfId="37761"/>
    <cellStyle name="Nota 2 32" xfId="21918"/>
    <cellStyle name="Nota 2 32 10" xfId="21919"/>
    <cellStyle name="Nota 2 32 10 2" xfId="37763"/>
    <cellStyle name="Nota 2 32 11" xfId="21920"/>
    <cellStyle name="Nota 2 32 11 2" xfId="37764"/>
    <cellStyle name="Nota 2 32 12" xfId="21921"/>
    <cellStyle name="Nota 2 32 12 2" xfId="37765"/>
    <cellStyle name="Nota 2 32 13" xfId="21922"/>
    <cellStyle name="Nota 2 32 13 2" xfId="37766"/>
    <cellStyle name="Nota 2 32 14" xfId="21923"/>
    <cellStyle name="Nota 2 32 14 2" xfId="37767"/>
    <cellStyle name="Nota 2 32 15" xfId="21924"/>
    <cellStyle name="Nota 2 32 15 2" xfId="37768"/>
    <cellStyle name="Nota 2 32 16" xfId="21925"/>
    <cellStyle name="Nota 2 32 16 2" xfId="37769"/>
    <cellStyle name="Nota 2 32 17" xfId="21926"/>
    <cellStyle name="Nota 2 32 17 2" xfId="37770"/>
    <cellStyle name="Nota 2 32 18" xfId="21927"/>
    <cellStyle name="Nota 2 32 18 2" xfId="37771"/>
    <cellStyle name="Nota 2 32 19" xfId="21928"/>
    <cellStyle name="Nota 2 32 19 2" xfId="37772"/>
    <cellStyle name="Nota 2 32 2" xfId="21929"/>
    <cellStyle name="Nota 2 32 2 2" xfId="37773"/>
    <cellStyle name="Nota 2 32 20" xfId="21930"/>
    <cellStyle name="Nota 2 32 20 2" xfId="37774"/>
    <cellStyle name="Nota 2 32 21" xfId="37762"/>
    <cellStyle name="Nota 2 32 3" xfId="21931"/>
    <cellStyle name="Nota 2 32 3 2" xfId="37775"/>
    <cellStyle name="Nota 2 32 4" xfId="21932"/>
    <cellStyle name="Nota 2 32 4 2" xfId="37776"/>
    <cellStyle name="Nota 2 32 5" xfId="21933"/>
    <cellStyle name="Nota 2 32 5 2" xfId="37777"/>
    <cellStyle name="Nota 2 32 6" xfId="21934"/>
    <cellStyle name="Nota 2 32 6 2" xfId="37778"/>
    <cellStyle name="Nota 2 32 7" xfId="21935"/>
    <cellStyle name="Nota 2 32 7 2" xfId="37779"/>
    <cellStyle name="Nota 2 32 8" xfId="21936"/>
    <cellStyle name="Nota 2 32 8 2" xfId="37780"/>
    <cellStyle name="Nota 2 32 9" xfId="21937"/>
    <cellStyle name="Nota 2 32 9 2" xfId="37781"/>
    <cellStyle name="Nota 2 33" xfId="21938"/>
    <cellStyle name="Nota 2 33 10" xfId="21939"/>
    <cellStyle name="Nota 2 33 10 2" xfId="37783"/>
    <cellStyle name="Nota 2 33 11" xfId="21940"/>
    <cellStyle name="Nota 2 33 11 2" xfId="37784"/>
    <cellStyle name="Nota 2 33 12" xfId="21941"/>
    <cellStyle name="Nota 2 33 12 2" xfId="37785"/>
    <cellStyle name="Nota 2 33 13" xfId="21942"/>
    <cellStyle name="Nota 2 33 13 2" xfId="37786"/>
    <cellStyle name="Nota 2 33 14" xfId="21943"/>
    <cellStyle name="Nota 2 33 14 2" xfId="37787"/>
    <cellStyle name="Nota 2 33 15" xfId="21944"/>
    <cellStyle name="Nota 2 33 15 2" xfId="37788"/>
    <cellStyle name="Nota 2 33 16" xfId="21945"/>
    <cellStyle name="Nota 2 33 16 2" xfId="37789"/>
    <cellStyle name="Nota 2 33 17" xfId="21946"/>
    <cellStyle name="Nota 2 33 17 2" xfId="37790"/>
    <cellStyle name="Nota 2 33 18" xfId="21947"/>
    <cellStyle name="Nota 2 33 18 2" xfId="37791"/>
    <cellStyle name="Nota 2 33 19" xfId="21948"/>
    <cellStyle name="Nota 2 33 19 2" xfId="37792"/>
    <cellStyle name="Nota 2 33 2" xfId="21949"/>
    <cellStyle name="Nota 2 33 2 2" xfId="37793"/>
    <cellStyle name="Nota 2 33 20" xfId="21950"/>
    <cellStyle name="Nota 2 33 20 2" xfId="37794"/>
    <cellStyle name="Nota 2 33 21" xfId="37782"/>
    <cellStyle name="Nota 2 33 3" xfId="21951"/>
    <cellStyle name="Nota 2 33 3 2" xfId="37795"/>
    <cellStyle name="Nota 2 33 4" xfId="21952"/>
    <cellStyle name="Nota 2 33 4 2" xfId="37796"/>
    <cellStyle name="Nota 2 33 5" xfId="21953"/>
    <cellStyle name="Nota 2 33 5 2" xfId="37797"/>
    <cellStyle name="Nota 2 33 6" xfId="21954"/>
    <cellStyle name="Nota 2 33 6 2" xfId="37798"/>
    <cellStyle name="Nota 2 33 7" xfId="21955"/>
    <cellStyle name="Nota 2 33 7 2" xfId="37799"/>
    <cellStyle name="Nota 2 33 8" xfId="21956"/>
    <cellStyle name="Nota 2 33 8 2" xfId="37800"/>
    <cellStyle name="Nota 2 33 9" xfId="21957"/>
    <cellStyle name="Nota 2 33 9 2" xfId="37801"/>
    <cellStyle name="Nota 2 34" xfId="21958"/>
    <cellStyle name="Nota 2 34 10" xfId="21959"/>
    <cellStyle name="Nota 2 34 10 2" xfId="37803"/>
    <cellStyle name="Nota 2 34 11" xfId="21960"/>
    <cellStyle name="Nota 2 34 11 2" xfId="37804"/>
    <cellStyle name="Nota 2 34 12" xfId="21961"/>
    <cellStyle name="Nota 2 34 12 2" xfId="37805"/>
    <cellStyle name="Nota 2 34 13" xfId="21962"/>
    <cellStyle name="Nota 2 34 13 2" xfId="37806"/>
    <cellStyle name="Nota 2 34 14" xfId="21963"/>
    <cellStyle name="Nota 2 34 14 2" xfId="37807"/>
    <cellStyle name="Nota 2 34 15" xfId="21964"/>
    <cellStyle name="Nota 2 34 15 2" xfId="37808"/>
    <cellStyle name="Nota 2 34 16" xfId="21965"/>
    <cellStyle name="Nota 2 34 16 2" xfId="37809"/>
    <cellStyle name="Nota 2 34 17" xfId="21966"/>
    <cellStyle name="Nota 2 34 17 2" xfId="37810"/>
    <cellStyle name="Nota 2 34 18" xfId="21967"/>
    <cellStyle name="Nota 2 34 18 2" xfId="37811"/>
    <cellStyle name="Nota 2 34 19" xfId="21968"/>
    <cellStyle name="Nota 2 34 19 2" xfId="37812"/>
    <cellStyle name="Nota 2 34 2" xfId="21969"/>
    <cellStyle name="Nota 2 34 2 2" xfId="37813"/>
    <cellStyle name="Nota 2 34 20" xfId="21970"/>
    <cellStyle name="Nota 2 34 20 2" xfId="37814"/>
    <cellStyle name="Nota 2 34 21" xfId="37802"/>
    <cellStyle name="Nota 2 34 3" xfId="21971"/>
    <cellStyle name="Nota 2 34 3 2" xfId="37815"/>
    <cellStyle name="Nota 2 34 4" xfId="21972"/>
    <cellStyle name="Nota 2 34 4 2" xfId="37816"/>
    <cellStyle name="Nota 2 34 5" xfId="21973"/>
    <cellStyle name="Nota 2 34 5 2" xfId="37817"/>
    <cellStyle name="Nota 2 34 6" xfId="21974"/>
    <cellStyle name="Nota 2 34 6 2" xfId="37818"/>
    <cellStyle name="Nota 2 34 7" xfId="21975"/>
    <cellStyle name="Nota 2 34 7 2" xfId="37819"/>
    <cellStyle name="Nota 2 34 8" xfId="21976"/>
    <cellStyle name="Nota 2 34 8 2" xfId="37820"/>
    <cellStyle name="Nota 2 34 9" xfId="21977"/>
    <cellStyle name="Nota 2 34 9 2" xfId="37821"/>
    <cellStyle name="Nota 2 35" xfId="21978"/>
    <cellStyle name="Nota 2 35 2" xfId="37822"/>
    <cellStyle name="Nota 2 36" xfId="21979"/>
    <cellStyle name="Nota 2 36 2" xfId="37823"/>
    <cellStyle name="Nota 2 37" xfId="21980"/>
    <cellStyle name="Nota 2 37 2" xfId="37824"/>
    <cellStyle name="Nota 2 38" xfId="21981"/>
    <cellStyle name="Nota 2 38 2" xfId="37825"/>
    <cellStyle name="Nota 2 39" xfId="21982"/>
    <cellStyle name="Nota 2 39 2" xfId="37826"/>
    <cellStyle name="Nota 2 4" xfId="21983"/>
    <cellStyle name="Nota 2 4 2" xfId="29209"/>
    <cellStyle name="Nota 2 4 2 2" xfId="40804"/>
    <cellStyle name="Nota 2 40" xfId="21984"/>
    <cellStyle name="Nota 2 40 2" xfId="37827"/>
    <cellStyle name="Nota 2 41" xfId="21985"/>
    <cellStyle name="Nota 2 41 2" xfId="37828"/>
    <cellStyle name="Nota 2 42" xfId="21986"/>
    <cellStyle name="Nota 2 42 2" xfId="37829"/>
    <cellStyle name="Nota 2 43" xfId="21987"/>
    <cellStyle name="Nota 2 43 2" xfId="37830"/>
    <cellStyle name="Nota 2 44" xfId="21988"/>
    <cellStyle name="Nota 2 44 2" xfId="37831"/>
    <cellStyle name="Nota 2 45" xfId="21989"/>
    <cellStyle name="Nota 2 45 2" xfId="37832"/>
    <cellStyle name="Nota 2 46" xfId="21990"/>
    <cellStyle name="Nota 2 46 2" xfId="37833"/>
    <cellStyle name="Nota 2 47" xfId="21991"/>
    <cellStyle name="Nota 2 47 2" xfId="37834"/>
    <cellStyle name="Nota 2 48" xfId="21992"/>
    <cellStyle name="Nota 2 48 2" xfId="37835"/>
    <cellStyle name="Nota 2 49" xfId="29375"/>
    <cellStyle name="Nota 2 49 2" xfId="40455"/>
    <cellStyle name="Nota 2 5" xfId="21993"/>
    <cellStyle name="Nota 2 5 2" xfId="29210"/>
    <cellStyle name="Nota 2 5 2 2" xfId="40805"/>
    <cellStyle name="Nota 2 6" xfId="21994"/>
    <cellStyle name="Nota 2 6 2" xfId="29211"/>
    <cellStyle name="Nota 2 6 2 2" xfId="40806"/>
    <cellStyle name="Nota 2 7" xfId="21995"/>
    <cellStyle name="Nota 2 7 2" xfId="29212"/>
    <cellStyle name="Nota 2 7 2 2" xfId="40807"/>
    <cellStyle name="Nota 2 8" xfId="21996"/>
    <cellStyle name="Nota 2 8 2" xfId="29213"/>
    <cellStyle name="Nota 2 8 2 2" xfId="41039"/>
    <cellStyle name="Nota 2 9" xfId="21997"/>
    <cellStyle name="Nota 2 9 2" xfId="21998"/>
    <cellStyle name="Nota 2 9 2 2" xfId="29215"/>
    <cellStyle name="Nota 2 9 3" xfId="21999"/>
    <cellStyle name="Nota 2 9 3 2" xfId="29216"/>
    <cellStyle name="Nota 2 9 4" xfId="22000"/>
    <cellStyle name="Nota 2 9 4 2" xfId="29217"/>
    <cellStyle name="Nota 2 9 5" xfId="29214"/>
    <cellStyle name="Nota 20" xfId="22001"/>
    <cellStyle name="Nota 20 2" xfId="22002"/>
    <cellStyle name="Nota 20 2 2" xfId="37836"/>
    <cellStyle name="Nota 20 3" xfId="22003"/>
    <cellStyle name="Nota 20 3 2" xfId="37837"/>
    <cellStyle name="Nota 20 4" xfId="22004"/>
    <cellStyle name="Nota 20 4 2" xfId="37838"/>
    <cellStyle name="Nota 20 5" xfId="22005"/>
    <cellStyle name="Nota 20 5 2" xfId="37839"/>
    <cellStyle name="Nota 20 6" xfId="22006"/>
    <cellStyle name="Nota 20 6 2" xfId="37840"/>
    <cellStyle name="Nota 20 7" xfId="22007"/>
    <cellStyle name="Nota 20 7 2" xfId="37841"/>
    <cellStyle name="Nota 20 8" xfId="29218"/>
    <cellStyle name="Nota 20 8 2" xfId="40808"/>
    <cellStyle name="Nota 200" xfId="22008"/>
    <cellStyle name="Nota 200 2" xfId="37842"/>
    <cellStyle name="Nota 201" xfId="22009"/>
    <cellStyle name="Nota 201 2" xfId="37843"/>
    <cellStyle name="Nota 202" xfId="22010"/>
    <cellStyle name="Nota 202 2" xfId="37844"/>
    <cellStyle name="Nota 203" xfId="22011"/>
    <cellStyle name="Nota 203 2" xfId="37845"/>
    <cellStyle name="Nota 204" xfId="22012"/>
    <cellStyle name="Nota 204 2" xfId="37846"/>
    <cellStyle name="Nota 205" xfId="22013"/>
    <cellStyle name="Nota 205 2" xfId="37847"/>
    <cellStyle name="Nota 206" xfId="22014"/>
    <cellStyle name="Nota 206 2" xfId="37848"/>
    <cellStyle name="Nota 207" xfId="22015"/>
    <cellStyle name="Nota 207 2" xfId="37849"/>
    <cellStyle name="Nota 208" xfId="22016"/>
    <cellStyle name="Nota 208 2" xfId="37850"/>
    <cellStyle name="Nota 209" xfId="22017"/>
    <cellStyle name="Nota 209 2" xfId="37851"/>
    <cellStyle name="Nota 21" xfId="22018"/>
    <cellStyle name="Nota 21 2" xfId="29219"/>
    <cellStyle name="Nota 21 2 2" xfId="41026"/>
    <cellStyle name="Nota 21 3" xfId="41007"/>
    <cellStyle name="Nota 21 4" xfId="40809"/>
    <cellStyle name="Nota 210" xfId="40451"/>
    <cellStyle name="Nota 22" xfId="22019"/>
    <cellStyle name="Nota 22 2" xfId="29220"/>
    <cellStyle name="Nota 22 2 2" xfId="41027"/>
    <cellStyle name="Nota 22 3" xfId="41006"/>
    <cellStyle name="Nota 22 4" xfId="40810"/>
    <cellStyle name="Nota 23" xfId="22020"/>
    <cellStyle name="Nota 23 2" xfId="29221"/>
    <cellStyle name="Nota 23 2 2" xfId="41028"/>
    <cellStyle name="Nota 23 3" xfId="41005"/>
    <cellStyle name="Nota 23 4" xfId="40811"/>
    <cellStyle name="Nota 24" xfId="22021"/>
    <cellStyle name="Nota 24 2" xfId="29222"/>
    <cellStyle name="Nota 24 2 2" xfId="40956"/>
    <cellStyle name="Nota 25" xfId="22022"/>
    <cellStyle name="Nota 25 2" xfId="29223"/>
    <cellStyle name="Nota 25 2 2" xfId="40991"/>
    <cellStyle name="Nota 26" xfId="22023"/>
    <cellStyle name="Nota 26 2" xfId="22024"/>
    <cellStyle name="Nota 26 2 10" xfId="22025"/>
    <cellStyle name="Nota 26 2 10 2" xfId="37854"/>
    <cellStyle name="Nota 26 2 11" xfId="22026"/>
    <cellStyle name="Nota 26 2 11 2" xfId="37855"/>
    <cellStyle name="Nota 26 2 12" xfId="22027"/>
    <cellStyle name="Nota 26 2 12 2" xfId="37856"/>
    <cellStyle name="Nota 26 2 13" xfId="22028"/>
    <cellStyle name="Nota 26 2 13 2" xfId="37857"/>
    <cellStyle name="Nota 26 2 14" xfId="22029"/>
    <cellStyle name="Nota 26 2 14 2" xfId="37858"/>
    <cellStyle name="Nota 26 2 15" xfId="22030"/>
    <cellStyle name="Nota 26 2 15 2" xfId="37859"/>
    <cellStyle name="Nota 26 2 16" xfId="37853"/>
    <cellStyle name="Nota 26 2 2" xfId="22031"/>
    <cellStyle name="Nota 26 2 2 2" xfId="37860"/>
    <cellStyle name="Nota 26 2 3" xfId="22032"/>
    <cellStyle name="Nota 26 2 3 2" xfId="37861"/>
    <cellStyle name="Nota 26 2 4" xfId="22033"/>
    <cellStyle name="Nota 26 2 4 2" xfId="37862"/>
    <cellStyle name="Nota 26 2 5" xfId="22034"/>
    <cellStyle name="Nota 26 2 5 2" xfId="37863"/>
    <cellStyle name="Nota 26 2 6" xfId="22035"/>
    <cellStyle name="Nota 26 2 6 2" xfId="37864"/>
    <cellStyle name="Nota 26 2 7" xfId="22036"/>
    <cellStyle name="Nota 26 2 7 2" xfId="37865"/>
    <cellStyle name="Nota 26 2 8" xfId="22037"/>
    <cellStyle name="Nota 26 2 8 2" xfId="37866"/>
    <cellStyle name="Nota 26 2 9" xfId="22038"/>
    <cellStyle name="Nota 26 2 9 2" xfId="37867"/>
    <cellStyle name="Nota 26 3" xfId="22039"/>
    <cellStyle name="Nota 26 3 10" xfId="22040"/>
    <cellStyle name="Nota 26 3 10 2" xfId="37869"/>
    <cellStyle name="Nota 26 3 11" xfId="22041"/>
    <cellStyle name="Nota 26 3 11 2" xfId="37870"/>
    <cellStyle name="Nota 26 3 12" xfId="22042"/>
    <cellStyle name="Nota 26 3 12 2" xfId="37871"/>
    <cellStyle name="Nota 26 3 13" xfId="22043"/>
    <cellStyle name="Nota 26 3 13 2" xfId="37872"/>
    <cellStyle name="Nota 26 3 14" xfId="22044"/>
    <cellStyle name="Nota 26 3 14 2" xfId="37873"/>
    <cellStyle name="Nota 26 3 15" xfId="22045"/>
    <cellStyle name="Nota 26 3 15 2" xfId="37874"/>
    <cellStyle name="Nota 26 3 16" xfId="37868"/>
    <cellStyle name="Nota 26 3 2" xfId="22046"/>
    <cellStyle name="Nota 26 3 2 2" xfId="37875"/>
    <cellStyle name="Nota 26 3 3" xfId="22047"/>
    <cellStyle name="Nota 26 3 3 2" xfId="37876"/>
    <cellStyle name="Nota 26 3 4" xfId="22048"/>
    <cellStyle name="Nota 26 3 4 2" xfId="37877"/>
    <cellStyle name="Nota 26 3 5" xfId="22049"/>
    <cellStyle name="Nota 26 3 5 2" xfId="37878"/>
    <cellStyle name="Nota 26 3 6" xfId="22050"/>
    <cellStyle name="Nota 26 3 6 2" xfId="37879"/>
    <cellStyle name="Nota 26 3 7" xfId="22051"/>
    <cellStyle name="Nota 26 3 7 2" xfId="37880"/>
    <cellStyle name="Nota 26 3 8" xfId="22052"/>
    <cellStyle name="Nota 26 3 8 2" xfId="37881"/>
    <cellStyle name="Nota 26 3 9" xfId="22053"/>
    <cellStyle name="Nota 26 3 9 2" xfId="37882"/>
    <cellStyle name="Nota 26 4" xfId="22054"/>
    <cellStyle name="Nota 26 4 10" xfId="22055"/>
    <cellStyle name="Nota 26 4 10 2" xfId="37884"/>
    <cellStyle name="Nota 26 4 11" xfId="22056"/>
    <cellStyle name="Nota 26 4 11 2" xfId="37885"/>
    <cellStyle name="Nota 26 4 12" xfId="22057"/>
    <cellStyle name="Nota 26 4 12 2" xfId="37886"/>
    <cellStyle name="Nota 26 4 13" xfId="22058"/>
    <cellStyle name="Nota 26 4 13 2" xfId="37887"/>
    <cellStyle name="Nota 26 4 14" xfId="22059"/>
    <cellStyle name="Nota 26 4 14 2" xfId="37888"/>
    <cellStyle name="Nota 26 4 15" xfId="22060"/>
    <cellStyle name="Nota 26 4 15 2" xfId="37889"/>
    <cellStyle name="Nota 26 4 16" xfId="37883"/>
    <cellStyle name="Nota 26 4 2" xfId="22061"/>
    <cellStyle name="Nota 26 4 2 2" xfId="37890"/>
    <cellStyle name="Nota 26 4 3" xfId="22062"/>
    <cellStyle name="Nota 26 4 3 2" xfId="37891"/>
    <cellStyle name="Nota 26 4 4" xfId="22063"/>
    <cellStyle name="Nota 26 4 4 2" xfId="37892"/>
    <cellStyle name="Nota 26 4 5" xfId="22064"/>
    <cellStyle name="Nota 26 4 5 2" xfId="37893"/>
    <cellStyle name="Nota 26 4 6" xfId="22065"/>
    <cellStyle name="Nota 26 4 6 2" xfId="37894"/>
    <cellStyle name="Nota 26 4 7" xfId="22066"/>
    <cellStyle name="Nota 26 4 7 2" xfId="37895"/>
    <cellStyle name="Nota 26 4 8" xfId="22067"/>
    <cellStyle name="Nota 26 4 8 2" xfId="37896"/>
    <cellStyle name="Nota 26 4 9" xfId="22068"/>
    <cellStyle name="Nota 26 4 9 2" xfId="37897"/>
    <cellStyle name="Nota 26 5" xfId="22069"/>
    <cellStyle name="Nota 26 5 10" xfId="22070"/>
    <cellStyle name="Nota 26 5 10 2" xfId="37899"/>
    <cellStyle name="Nota 26 5 11" xfId="22071"/>
    <cellStyle name="Nota 26 5 11 2" xfId="37900"/>
    <cellStyle name="Nota 26 5 12" xfId="22072"/>
    <cellStyle name="Nota 26 5 12 2" xfId="37901"/>
    <cellStyle name="Nota 26 5 13" xfId="22073"/>
    <cellStyle name="Nota 26 5 13 2" xfId="37902"/>
    <cellStyle name="Nota 26 5 14" xfId="22074"/>
    <cellStyle name="Nota 26 5 14 2" xfId="37903"/>
    <cellStyle name="Nota 26 5 15" xfId="22075"/>
    <cellStyle name="Nota 26 5 15 2" xfId="37904"/>
    <cellStyle name="Nota 26 5 16" xfId="37898"/>
    <cellStyle name="Nota 26 5 2" xfId="22076"/>
    <cellStyle name="Nota 26 5 2 2" xfId="37905"/>
    <cellStyle name="Nota 26 5 3" xfId="22077"/>
    <cellStyle name="Nota 26 5 3 2" xfId="37906"/>
    <cellStyle name="Nota 26 5 4" xfId="22078"/>
    <cellStyle name="Nota 26 5 4 2" xfId="37907"/>
    <cellStyle name="Nota 26 5 5" xfId="22079"/>
    <cellStyle name="Nota 26 5 5 2" xfId="37908"/>
    <cellStyle name="Nota 26 5 6" xfId="22080"/>
    <cellStyle name="Nota 26 5 6 2" xfId="37909"/>
    <cellStyle name="Nota 26 5 7" xfId="22081"/>
    <cellStyle name="Nota 26 5 7 2" xfId="37910"/>
    <cellStyle name="Nota 26 5 8" xfId="22082"/>
    <cellStyle name="Nota 26 5 8 2" xfId="37911"/>
    <cellStyle name="Nota 26 5 9" xfId="22083"/>
    <cellStyle name="Nota 26 5 9 2" xfId="37912"/>
    <cellStyle name="Nota 26 6" xfId="41001"/>
    <cellStyle name="Nota 26 7" xfId="37852"/>
    <cellStyle name="Nota 27" xfId="22084"/>
    <cellStyle name="Nota 27 2" xfId="22085"/>
    <cellStyle name="Nota 27 2 10" xfId="22086"/>
    <cellStyle name="Nota 27 2 10 2" xfId="37915"/>
    <cellStyle name="Nota 27 2 11" xfId="22087"/>
    <cellStyle name="Nota 27 2 11 2" xfId="37916"/>
    <cellStyle name="Nota 27 2 12" xfId="22088"/>
    <cellStyle name="Nota 27 2 12 2" xfId="37917"/>
    <cellStyle name="Nota 27 2 13" xfId="22089"/>
    <cellStyle name="Nota 27 2 13 2" xfId="37918"/>
    <cellStyle name="Nota 27 2 14" xfId="22090"/>
    <cellStyle name="Nota 27 2 14 2" xfId="37919"/>
    <cellStyle name="Nota 27 2 15" xfId="22091"/>
    <cellStyle name="Nota 27 2 15 2" xfId="37920"/>
    <cellStyle name="Nota 27 2 16" xfId="37914"/>
    <cellStyle name="Nota 27 2 2" xfId="22092"/>
    <cellStyle name="Nota 27 2 2 2" xfId="37921"/>
    <cellStyle name="Nota 27 2 3" xfId="22093"/>
    <cellStyle name="Nota 27 2 3 2" xfId="37922"/>
    <cellStyle name="Nota 27 2 4" xfId="22094"/>
    <cellStyle name="Nota 27 2 4 2" xfId="37923"/>
    <cellStyle name="Nota 27 2 5" xfId="22095"/>
    <cellStyle name="Nota 27 2 5 2" xfId="37924"/>
    <cellStyle name="Nota 27 2 6" xfId="22096"/>
    <cellStyle name="Nota 27 2 6 2" xfId="37925"/>
    <cellStyle name="Nota 27 2 7" xfId="22097"/>
    <cellStyle name="Nota 27 2 7 2" xfId="37926"/>
    <cellStyle name="Nota 27 2 8" xfId="22098"/>
    <cellStyle name="Nota 27 2 8 2" xfId="37927"/>
    <cellStyle name="Nota 27 2 9" xfId="22099"/>
    <cellStyle name="Nota 27 2 9 2" xfId="37928"/>
    <cellStyle name="Nota 27 3" xfId="22100"/>
    <cellStyle name="Nota 27 3 10" xfId="22101"/>
    <cellStyle name="Nota 27 3 10 2" xfId="37930"/>
    <cellStyle name="Nota 27 3 11" xfId="22102"/>
    <cellStyle name="Nota 27 3 11 2" xfId="37931"/>
    <cellStyle name="Nota 27 3 12" xfId="22103"/>
    <cellStyle name="Nota 27 3 12 2" xfId="37932"/>
    <cellStyle name="Nota 27 3 13" xfId="22104"/>
    <cellStyle name="Nota 27 3 13 2" xfId="37933"/>
    <cellStyle name="Nota 27 3 14" xfId="22105"/>
    <cellStyle name="Nota 27 3 14 2" xfId="37934"/>
    <cellStyle name="Nota 27 3 15" xfId="22106"/>
    <cellStyle name="Nota 27 3 15 2" xfId="37935"/>
    <cellStyle name="Nota 27 3 16" xfId="37929"/>
    <cellStyle name="Nota 27 3 2" xfId="22107"/>
    <cellStyle name="Nota 27 3 2 2" xfId="37936"/>
    <cellStyle name="Nota 27 3 3" xfId="22108"/>
    <cellStyle name="Nota 27 3 3 2" xfId="37937"/>
    <cellStyle name="Nota 27 3 4" xfId="22109"/>
    <cellStyle name="Nota 27 3 4 2" xfId="37938"/>
    <cellStyle name="Nota 27 3 5" xfId="22110"/>
    <cellStyle name="Nota 27 3 5 2" xfId="37939"/>
    <cellStyle name="Nota 27 3 6" xfId="22111"/>
    <cellStyle name="Nota 27 3 6 2" xfId="37940"/>
    <cellStyle name="Nota 27 3 7" xfId="22112"/>
    <cellStyle name="Nota 27 3 7 2" xfId="37941"/>
    <cellStyle name="Nota 27 3 8" xfId="22113"/>
    <cellStyle name="Nota 27 3 8 2" xfId="37942"/>
    <cellStyle name="Nota 27 3 9" xfId="22114"/>
    <cellStyle name="Nota 27 3 9 2" xfId="37943"/>
    <cellStyle name="Nota 27 4" xfId="22115"/>
    <cellStyle name="Nota 27 4 10" xfId="22116"/>
    <cellStyle name="Nota 27 4 10 2" xfId="37945"/>
    <cellStyle name="Nota 27 4 11" xfId="22117"/>
    <cellStyle name="Nota 27 4 11 2" xfId="37946"/>
    <cellStyle name="Nota 27 4 12" xfId="22118"/>
    <cellStyle name="Nota 27 4 12 2" xfId="37947"/>
    <cellStyle name="Nota 27 4 13" xfId="22119"/>
    <cellStyle name="Nota 27 4 13 2" xfId="37948"/>
    <cellStyle name="Nota 27 4 14" xfId="22120"/>
    <cellStyle name="Nota 27 4 14 2" xfId="37949"/>
    <cellStyle name="Nota 27 4 15" xfId="22121"/>
    <cellStyle name="Nota 27 4 15 2" xfId="37950"/>
    <cellStyle name="Nota 27 4 16" xfId="37944"/>
    <cellStyle name="Nota 27 4 2" xfId="22122"/>
    <cellStyle name="Nota 27 4 2 2" xfId="37951"/>
    <cellStyle name="Nota 27 4 3" xfId="22123"/>
    <cellStyle name="Nota 27 4 3 2" xfId="37952"/>
    <cellStyle name="Nota 27 4 4" xfId="22124"/>
    <cellStyle name="Nota 27 4 4 2" xfId="37953"/>
    <cellStyle name="Nota 27 4 5" xfId="22125"/>
    <cellStyle name="Nota 27 4 5 2" xfId="37954"/>
    <cellStyle name="Nota 27 4 6" xfId="22126"/>
    <cellStyle name="Nota 27 4 6 2" xfId="37955"/>
    <cellStyle name="Nota 27 4 7" xfId="22127"/>
    <cellStyle name="Nota 27 4 7 2" xfId="37956"/>
    <cellStyle name="Nota 27 4 8" xfId="22128"/>
    <cellStyle name="Nota 27 4 8 2" xfId="37957"/>
    <cellStyle name="Nota 27 4 9" xfId="22129"/>
    <cellStyle name="Nota 27 4 9 2" xfId="37958"/>
    <cellStyle name="Nota 27 5" xfId="22130"/>
    <cellStyle name="Nota 27 5 10" xfId="22131"/>
    <cellStyle name="Nota 27 5 10 2" xfId="37960"/>
    <cellStyle name="Nota 27 5 11" xfId="22132"/>
    <cellStyle name="Nota 27 5 11 2" xfId="37961"/>
    <cellStyle name="Nota 27 5 12" xfId="22133"/>
    <cellStyle name="Nota 27 5 12 2" xfId="37962"/>
    <cellStyle name="Nota 27 5 13" xfId="22134"/>
    <cellStyle name="Nota 27 5 13 2" xfId="37963"/>
    <cellStyle name="Nota 27 5 14" xfId="22135"/>
    <cellStyle name="Nota 27 5 14 2" xfId="37964"/>
    <cellStyle name="Nota 27 5 15" xfId="22136"/>
    <cellStyle name="Nota 27 5 15 2" xfId="37965"/>
    <cellStyle name="Nota 27 5 16" xfId="37959"/>
    <cellStyle name="Nota 27 5 2" xfId="22137"/>
    <cellStyle name="Nota 27 5 2 2" xfId="37966"/>
    <cellStyle name="Nota 27 5 3" xfId="22138"/>
    <cellStyle name="Nota 27 5 3 2" xfId="37967"/>
    <cellStyle name="Nota 27 5 4" xfId="22139"/>
    <cellStyle name="Nota 27 5 4 2" xfId="37968"/>
    <cellStyle name="Nota 27 5 5" xfId="22140"/>
    <cellStyle name="Nota 27 5 5 2" xfId="37969"/>
    <cellStyle name="Nota 27 5 6" xfId="22141"/>
    <cellStyle name="Nota 27 5 6 2" xfId="37970"/>
    <cellStyle name="Nota 27 5 7" xfId="22142"/>
    <cellStyle name="Nota 27 5 7 2" xfId="37971"/>
    <cellStyle name="Nota 27 5 8" xfId="22143"/>
    <cellStyle name="Nota 27 5 8 2" xfId="37972"/>
    <cellStyle name="Nota 27 5 9" xfId="22144"/>
    <cellStyle name="Nota 27 5 9 2" xfId="37973"/>
    <cellStyle name="Nota 27 6" xfId="37913"/>
    <cellStyle name="Nota 28" xfId="22145"/>
    <cellStyle name="Nota 28 2" xfId="22146"/>
    <cellStyle name="Nota 28 2 10" xfId="22147"/>
    <cellStyle name="Nota 28 2 10 2" xfId="37976"/>
    <cellStyle name="Nota 28 2 11" xfId="22148"/>
    <cellStyle name="Nota 28 2 11 2" xfId="37977"/>
    <cellStyle name="Nota 28 2 12" xfId="22149"/>
    <cellStyle name="Nota 28 2 12 2" xfId="37978"/>
    <cellStyle name="Nota 28 2 13" xfId="22150"/>
    <cellStyle name="Nota 28 2 13 2" xfId="37979"/>
    <cellStyle name="Nota 28 2 14" xfId="22151"/>
    <cellStyle name="Nota 28 2 14 2" xfId="37980"/>
    <cellStyle name="Nota 28 2 15" xfId="22152"/>
    <cellStyle name="Nota 28 2 15 2" xfId="37981"/>
    <cellStyle name="Nota 28 2 16" xfId="37975"/>
    <cellStyle name="Nota 28 2 2" xfId="22153"/>
    <cellStyle name="Nota 28 2 2 2" xfId="37982"/>
    <cellStyle name="Nota 28 2 3" xfId="22154"/>
    <cellStyle name="Nota 28 2 3 2" xfId="37983"/>
    <cellStyle name="Nota 28 2 4" xfId="22155"/>
    <cellStyle name="Nota 28 2 4 2" xfId="37984"/>
    <cellStyle name="Nota 28 2 5" xfId="22156"/>
    <cellStyle name="Nota 28 2 5 2" xfId="37985"/>
    <cellStyle name="Nota 28 2 6" xfId="22157"/>
    <cellStyle name="Nota 28 2 6 2" xfId="37986"/>
    <cellStyle name="Nota 28 2 7" xfId="22158"/>
    <cellStyle name="Nota 28 2 7 2" xfId="37987"/>
    <cellStyle name="Nota 28 2 8" xfId="22159"/>
    <cellStyle name="Nota 28 2 8 2" xfId="37988"/>
    <cellStyle name="Nota 28 2 9" xfId="22160"/>
    <cellStyle name="Nota 28 2 9 2" xfId="37989"/>
    <cellStyle name="Nota 28 3" xfId="22161"/>
    <cellStyle name="Nota 28 3 10" xfId="22162"/>
    <cellStyle name="Nota 28 3 10 2" xfId="37991"/>
    <cellStyle name="Nota 28 3 11" xfId="22163"/>
    <cellStyle name="Nota 28 3 11 2" xfId="37992"/>
    <cellStyle name="Nota 28 3 12" xfId="22164"/>
    <cellStyle name="Nota 28 3 12 2" xfId="37993"/>
    <cellStyle name="Nota 28 3 13" xfId="22165"/>
    <cellStyle name="Nota 28 3 13 2" xfId="37994"/>
    <cellStyle name="Nota 28 3 14" xfId="22166"/>
    <cellStyle name="Nota 28 3 14 2" xfId="37995"/>
    <cellStyle name="Nota 28 3 15" xfId="22167"/>
    <cellStyle name="Nota 28 3 15 2" xfId="37996"/>
    <cellStyle name="Nota 28 3 16" xfId="37990"/>
    <cellStyle name="Nota 28 3 2" xfId="22168"/>
    <cellStyle name="Nota 28 3 2 2" xfId="37997"/>
    <cellStyle name="Nota 28 3 3" xfId="22169"/>
    <cellStyle name="Nota 28 3 3 2" xfId="37998"/>
    <cellStyle name="Nota 28 3 4" xfId="22170"/>
    <cellStyle name="Nota 28 3 4 2" xfId="37999"/>
    <cellStyle name="Nota 28 3 5" xfId="22171"/>
    <cellStyle name="Nota 28 3 5 2" xfId="38000"/>
    <cellStyle name="Nota 28 3 6" xfId="22172"/>
    <cellStyle name="Nota 28 3 6 2" xfId="38001"/>
    <cellStyle name="Nota 28 3 7" xfId="22173"/>
    <cellStyle name="Nota 28 3 7 2" xfId="38002"/>
    <cellStyle name="Nota 28 3 8" xfId="22174"/>
    <cellStyle name="Nota 28 3 8 2" xfId="38003"/>
    <cellStyle name="Nota 28 3 9" xfId="22175"/>
    <cellStyle name="Nota 28 3 9 2" xfId="38004"/>
    <cellStyle name="Nota 28 4" xfId="22176"/>
    <cellStyle name="Nota 28 4 10" xfId="22177"/>
    <cellStyle name="Nota 28 4 10 2" xfId="38006"/>
    <cellStyle name="Nota 28 4 11" xfId="22178"/>
    <cellStyle name="Nota 28 4 11 2" xfId="38007"/>
    <cellStyle name="Nota 28 4 12" xfId="22179"/>
    <cellStyle name="Nota 28 4 12 2" xfId="38008"/>
    <cellStyle name="Nota 28 4 13" xfId="22180"/>
    <cellStyle name="Nota 28 4 13 2" xfId="38009"/>
    <cellStyle name="Nota 28 4 14" xfId="22181"/>
    <cellStyle name="Nota 28 4 14 2" xfId="38010"/>
    <cellStyle name="Nota 28 4 15" xfId="22182"/>
    <cellStyle name="Nota 28 4 15 2" xfId="38011"/>
    <cellStyle name="Nota 28 4 16" xfId="38005"/>
    <cellStyle name="Nota 28 4 2" xfId="22183"/>
    <cellStyle name="Nota 28 4 2 2" xfId="38012"/>
    <cellStyle name="Nota 28 4 3" xfId="22184"/>
    <cellStyle name="Nota 28 4 3 2" xfId="38013"/>
    <cellStyle name="Nota 28 4 4" xfId="22185"/>
    <cellStyle name="Nota 28 4 4 2" xfId="38014"/>
    <cellStyle name="Nota 28 4 5" xfId="22186"/>
    <cellStyle name="Nota 28 4 5 2" xfId="38015"/>
    <cellStyle name="Nota 28 4 6" xfId="22187"/>
    <cellStyle name="Nota 28 4 6 2" xfId="38016"/>
    <cellStyle name="Nota 28 4 7" xfId="22188"/>
    <cellStyle name="Nota 28 4 7 2" xfId="38017"/>
    <cellStyle name="Nota 28 4 8" xfId="22189"/>
    <cellStyle name="Nota 28 4 8 2" xfId="38018"/>
    <cellStyle name="Nota 28 4 9" xfId="22190"/>
    <cellStyle name="Nota 28 4 9 2" xfId="38019"/>
    <cellStyle name="Nota 28 5" xfId="22191"/>
    <cellStyle name="Nota 28 5 10" xfId="22192"/>
    <cellStyle name="Nota 28 5 10 2" xfId="38021"/>
    <cellStyle name="Nota 28 5 11" xfId="22193"/>
    <cellStyle name="Nota 28 5 11 2" xfId="38022"/>
    <cellStyle name="Nota 28 5 12" xfId="22194"/>
    <cellStyle name="Nota 28 5 12 2" xfId="38023"/>
    <cellStyle name="Nota 28 5 13" xfId="22195"/>
    <cellStyle name="Nota 28 5 13 2" xfId="38024"/>
    <cellStyle name="Nota 28 5 14" xfId="22196"/>
    <cellStyle name="Nota 28 5 14 2" xfId="38025"/>
    <cellStyle name="Nota 28 5 15" xfId="22197"/>
    <cellStyle name="Nota 28 5 15 2" xfId="38026"/>
    <cellStyle name="Nota 28 5 16" xfId="38020"/>
    <cellStyle name="Nota 28 5 2" xfId="22198"/>
    <cellStyle name="Nota 28 5 2 2" xfId="38027"/>
    <cellStyle name="Nota 28 5 3" xfId="22199"/>
    <cellStyle name="Nota 28 5 3 2" xfId="38028"/>
    <cellStyle name="Nota 28 5 4" xfId="22200"/>
    <cellStyle name="Nota 28 5 4 2" xfId="38029"/>
    <cellStyle name="Nota 28 5 5" xfId="22201"/>
    <cellStyle name="Nota 28 5 5 2" xfId="38030"/>
    <cellStyle name="Nota 28 5 6" xfId="22202"/>
    <cellStyle name="Nota 28 5 6 2" xfId="38031"/>
    <cellStyle name="Nota 28 5 7" xfId="22203"/>
    <cellStyle name="Nota 28 5 7 2" xfId="38032"/>
    <cellStyle name="Nota 28 5 8" xfId="22204"/>
    <cellStyle name="Nota 28 5 8 2" xfId="38033"/>
    <cellStyle name="Nota 28 5 9" xfId="22205"/>
    <cellStyle name="Nota 28 5 9 2" xfId="38034"/>
    <cellStyle name="Nota 28 6" xfId="37974"/>
    <cellStyle name="Nota 29" xfId="22206"/>
    <cellStyle name="Nota 29 2" xfId="22207"/>
    <cellStyle name="Nota 29 2 10" xfId="22208"/>
    <cellStyle name="Nota 29 2 10 2" xfId="38037"/>
    <cellStyle name="Nota 29 2 11" xfId="22209"/>
    <cellStyle name="Nota 29 2 11 2" xfId="38038"/>
    <cellStyle name="Nota 29 2 12" xfId="22210"/>
    <cellStyle name="Nota 29 2 12 2" xfId="38039"/>
    <cellStyle name="Nota 29 2 13" xfId="22211"/>
    <cellStyle name="Nota 29 2 13 2" xfId="38040"/>
    <cellStyle name="Nota 29 2 14" xfId="22212"/>
    <cellStyle name="Nota 29 2 14 2" xfId="38041"/>
    <cellStyle name="Nota 29 2 15" xfId="22213"/>
    <cellStyle name="Nota 29 2 15 2" xfId="38042"/>
    <cellStyle name="Nota 29 2 16" xfId="38036"/>
    <cellStyle name="Nota 29 2 2" xfId="22214"/>
    <cellStyle name="Nota 29 2 2 2" xfId="38043"/>
    <cellStyle name="Nota 29 2 3" xfId="22215"/>
    <cellStyle name="Nota 29 2 3 2" xfId="38044"/>
    <cellStyle name="Nota 29 2 4" xfId="22216"/>
    <cellStyle name="Nota 29 2 4 2" xfId="38045"/>
    <cellStyle name="Nota 29 2 5" xfId="22217"/>
    <cellStyle name="Nota 29 2 5 2" xfId="38046"/>
    <cellStyle name="Nota 29 2 6" xfId="22218"/>
    <cellStyle name="Nota 29 2 6 2" xfId="38047"/>
    <cellStyle name="Nota 29 2 7" xfId="22219"/>
    <cellStyle name="Nota 29 2 7 2" xfId="38048"/>
    <cellStyle name="Nota 29 2 8" xfId="22220"/>
    <cellStyle name="Nota 29 2 8 2" xfId="38049"/>
    <cellStyle name="Nota 29 2 9" xfId="22221"/>
    <cellStyle name="Nota 29 2 9 2" xfId="38050"/>
    <cellStyle name="Nota 29 3" xfId="22222"/>
    <cellStyle name="Nota 29 3 10" xfId="22223"/>
    <cellStyle name="Nota 29 3 10 2" xfId="38052"/>
    <cellStyle name="Nota 29 3 11" xfId="22224"/>
    <cellStyle name="Nota 29 3 11 2" xfId="38053"/>
    <cellStyle name="Nota 29 3 12" xfId="22225"/>
    <cellStyle name="Nota 29 3 12 2" xfId="38054"/>
    <cellStyle name="Nota 29 3 13" xfId="22226"/>
    <cellStyle name="Nota 29 3 13 2" xfId="38055"/>
    <cellStyle name="Nota 29 3 14" xfId="22227"/>
    <cellStyle name="Nota 29 3 14 2" xfId="38056"/>
    <cellStyle name="Nota 29 3 15" xfId="22228"/>
    <cellStyle name="Nota 29 3 15 2" xfId="38057"/>
    <cellStyle name="Nota 29 3 16" xfId="38051"/>
    <cellStyle name="Nota 29 3 2" xfId="22229"/>
    <cellStyle name="Nota 29 3 2 2" xfId="38058"/>
    <cellStyle name="Nota 29 3 3" xfId="22230"/>
    <cellStyle name="Nota 29 3 3 2" xfId="38059"/>
    <cellStyle name="Nota 29 3 4" xfId="22231"/>
    <cellStyle name="Nota 29 3 4 2" xfId="38060"/>
    <cellStyle name="Nota 29 3 5" xfId="22232"/>
    <cellStyle name="Nota 29 3 5 2" xfId="38061"/>
    <cellStyle name="Nota 29 3 6" xfId="22233"/>
    <cellStyle name="Nota 29 3 6 2" xfId="38062"/>
    <cellStyle name="Nota 29 3 7" xfId="22234"/>
    <cellStyle name="Nota 29 3 7 2" xfId="38063"/>
    <cellStyle name="Nota 29 3 8" xfId="22235"/>
    <cellStyle name="Nota 29 3 8 2" xfId="38064"/>
    <cellStyle name="Nota 29 3 9" xfId="22236"/>
    <cellStyle name="Nota 29 3 9 2" xfId="38065"/>
    <cellStyle name="Nota 29 4" xfId="22237"/>
    <cellStyle name="Nota 29 4 10" xfId="22238"/>
    <cellStyle name="Nota 29 4 10 2" xfId="38067"/>
    <cellStyle name="Nota 29 4 11" xfId="22239"/>
    <cellStyle name="Nota 29 4 11 2" xfId="38068"/>
    <cellStyle name="Nota 29 4 12" xfId="22240"/>
    <cellStyle name="Nota 29 4 12 2" xfId="38069"/>
    <cellStyle name="Nota 29 4 13" xfId="22241"/>
    <cellStyle name="Nota 29 4 13 2" xfId="38070"/>
    <cellStyle name="Nota 29 4 14" xfId="22242"/>
    <cellStyle name="Nota 29 4 14 2" xfId="38071"/>
    <cellStyle name="Nota 29 4 15" xfId="22243"/>
    <cellStyle name="Nota 29 4 15 2" xfId="38072"/>
    <cellStyle name="Nota 29 4 16" xfId="38066"/>
    <cellStyle name="Nota 29 4 2" xfId="22244"/>
    <cellStyle name="Nota 29 4 2 2" xfId="38073"/>
    <cellStyle name="Nota 29 4 3" xfId="22245"/>
    <cellStyle name="Nota 29 4 3 2" xfId="38074"/>
    <cellStyle name="Nota 29 4 4" xfId="22246"/>
    <cellStyle name="Nota 29 4 4 2" xfId="38075"/>
    <cellStyle name="Nota 29 4 5" xfId="22247"/>
    <cellStyle name="Nota 29 4 5 2" xfId="38076"/>
    <cellStyle name="Nota 29 4 6" xfId="22248"/>
    <cellStyle name="Nota 29 4 6 2" xfId="38077"/>
    <cellStyle name="Nota 29 4 7" xfId="22249"/>
    <cellStyle name="Nota 29 4 7 2" xfId="38078"/>
    <cellStyle name="Nota 29 4 8" xfId="22250"/>
    <cellStyle name="Nota 29 4 8 2" xfId="38079"/>
    <cellStyle name="Nota 29 4 9" xfId="22251"/>
    <cellStyle name="Nota 29 4 9 2" xfId="38080"/>
    <cellStyle name="Nota 29 5" xfId="22252"/>
    <cellStyle name="Nota 29 5 10" xfId="22253"/>
    <cellStyle name="Nota 29 5 10 2" xfId="38082"/>
    <cellStyle name="Nota 29 5 11" xfId="22254"/>
    <cellStyle name="Nota 29 5 11 2" xfId="38083"/>
    <cellStyle name="Nota 29 5 12" xfId="22255"/>
    <cellStyle name="Nota 29 5 12 2" xfId="38084"/>
    <cellStyle name="Nota 29 5 13" xfId="22256"/>
    <cellStyle name="Nota 29 5 13 2" xfId="38085"/>
    <cellStyle name="Nota 29 5 14" xfId="22257"/>
    <cellStyle name="Nota 29 5 14 2" xfId="38086"/>
    <cellStyle name="Nota 29 5 15" xfId="22258"/>
    <cellStyle name="Nota 29 5 15 2" xfId="38087"/>
    <cellStyle name="Nota 29 5 16" xfId="38081"/>
    <cellStyle name="Nota 29 5 2" xfId="22259"/>
    <cellStyle name="Nota 29 5 2 2" xfId="38088"/>
    <cellStyle name="Nota 29 5 3" xfId="22260"/>
    <cellStyle name="Nota 29 5 3 2" xfId="38089"/>
    <cellStyle name="Nota 29 5 4" xfId="22261"/>
    <cellStyle name="Nota 29 5 4 2" xfId="38090"/>
    <cellStyle name="Nota 29 5 5" xfId="22262"/>
    <cellStyle name="Nota 29 5 5 2" xfId="38091"/>
    <cellStyle name="Nota 29 5 6" xfId="22263"/>
    <cellStyle name="Nota 29 5 6 2" xfId="38092"/>
    <cellStyle name="Nota 29 5 7" xfId="22264"/>
    <cellStyle name="Nota 29 5 7 2" xfId="38093"/>
    <cellStyle name="Nota 29 5 8" xfId="22265"/>
    <cellStyle name="Nota 29 5 8 2" xfId="38094"/>
    <cellStyle name="Nota 29 5 9" xfId="22266"/>
    <cellStyle name="Nota 29 5 9 2" xfId="38095"/>
    <cellStyle name="Nota 29 6" xfId="38035"/>
    <cellStyle name="Nota 3" xfId="22267"/>
    <cellStyle name="Nota 3 10" xfId="22268"/>
    <cellStyle name="Nota 3 10 10" xfId="22269"/>
    <cellStyle name="Nota 3 10 10 2" xfId="38097"/>
    <cellStyle name="Nota 3 10 11" xfId="22270"/>
    <cellStyle name="Nota 3 10 11 2" xfId="38098"/>
    <cellStyle name="Nota 3 10 12" xfId="22271"/>
    <cellStyle name="Nota 3 10 12 2" xfId="38099"/>
    <cellStyle name="Nota 3 10 13" xfId="22272"/>
    <cellStyle name="Nota 3 10 13 2" xfId="38100"/>
    <cellStyle name="Nota 3 10 14" xfId="22273"/>
    <cellStyle name="Nota 3 10 14 2" xfId="38101"/>
    <cellStyle name="Nota 3 10 15" xfId="22274"/>
    <cellStyle name="Nota 3 10 15 2" xfId="38102"/>
    <cellStyle name="Nota 3 10 16" xfId="38096"/>
    <cellStyle name="Nota 3 10 2" xfId="22275"/>
    <cellStyle name="Nota 3 10 2 2" xfId="38103"/>
    <cellStyle name="Nota 3 10 3" xfId="22276"/>
    <cellStyle name="Nota 3 10 3 2" xfId="38104"/>
    <cellStyle name="Nota 3 10 4" xfId="22277"/>
    <cellStyle name="Nota 3 10 4 2" xfId="38105"/>
    <cellStyle name="Nota 3 10 5" xfId="22278"/>
    <cellStyle name="Nota 3 10 5 2" xfId="38106"/>
    <cellStyle name="Nota 3 10 6" xfId="22279"/>
    <cellStyle name="Nota 3 10 6 2" xfId="38107"/>
    <cellStyle name="Nota 3 10 7" xfId="22280"/>
    <cellStyle name="Nota 3 10 7 2" xfId="38108"/>
    <cellStyle name="Nota 3 10 8" xfId="22281"/>
    <cellStyle name="Nota 3 10 8 2" xfId="38109"/>
    <cellStyle name="Nota 3 10 9" xfId="22282"/>
    <cellStyle name="Nota 3 10 9 2" xfId="38110"/>
    <cellStyle name="Nota 3 11" xfId="22283"/>
    <cellStyle name="Nota 3 11 10" xfId="22284"/>
    <cellStyle name="Nota 3 11 10 2" xfId="38112"/>
    <cellStyle name="Nota 3 11 11" xfId="22285"/>
    <cellStyle name="Nota 3 11 11 2" xfId="38113"/>
    <cellStyle name="Nota 3 11 12" xfId="22286"/>
    <cellStyle name="Nota 3 11 12 2" xfId="38114"/>
    <cellStyle name="Nota 3 11 13" xfId="22287"/>
    <cellStyle name="Nota 3 11 13 2" xfId="38115"/>
    <cellStyle name="Nota 3 11 14" xfId="22288"/>
    <cellStyle name="Nota 3 11 14 2" xfId="38116"/>
    <cellStyle name="Nota 3 11 15" xfId="22289"/>
    <cellStyle name="Nota 3 11 15 2" xfId="38117"/>
    <cellStyle name="Nota 3 11 16" xfId="38111"/>
    <cellStyle name="Nota 3 11 2" xfId="22290"/>
    <cellStyle name="Nota 3 11 2 2" xfId="38118"/>
    <cellStyle name="Nota 3 11 3" xfId="22291"/>
    <cellStyle name="Nota 3 11 3 2" xfId="38119"/>
    <cellStyle name="Nota 3 11 4" xfId="22292"/>
    <cellStyle name="Nota 3 11 4 2" xfId="38120"/>
    <cellStyle name="Nota 3 11 5" xfId="22293"/>
    <cellStyle name="Nota 3 11 5 2" xfId="38121"/>
    <cellStyle name="Nota 3 11 6" xfId="22294"/>
    <cellStyle name="Nota 3 11 6 2" xfId="38122"/>
    <cellStyle name="Nota 3 11 7" xfId="22295"/>
    <cellStyle name="Nota 3 11 7 2" xfId="38123"/>
    <cellStyle name="Nota 3 11 8" xfId="22296"/>
    <cellStyle name="Nota 3 11 8 2" xfId="38124"/>
    <cellStyle name="Nota 3 11 9" xfId="22297"/>
    <cellStyle name="Nota 3 11 9 2" xfId="38125"/>
    <cellStyle name="Nota 3 12" xfId="40812"/>
    <cellStyle name="Nota 3 2" xfId="22298"/>
    <cellStyle name="Nota 3 2 2" xfId="29224"/>
    <cellStyle name="Nota 3 2 2 2" xfId="40813"/>
    <cellStyle name="Nota 3 3" xfId="22299"/>
    <cellStyle name="Nota 3 3 2" xfId="29225"/>
    <cellStyle name="Nota 3 3 2 2" xfId="40814"/>
    <cellStyle name="Nota 3 4" xfId="22300"/>
    <cellStyle name="Nota 3 4 2" xfId="29226"/>
    <cellStyle name="Nota 3 4 2 2" xfId="40815"/>
    <cellStyle name="Nota 3 5" xfId="22301"/>
    <cellStyle name="Nota 3 5 2" xfId="29227"/>
    <cellStyle name="Nota 3 6" xfId="22302"/>
    <cellStyle name="Nota 3 6 2" xfId="29228"/>
    <cellStyle name="Nota 3 7" xfId="22303"/>
    <cellStyle name="Nota 3 7 2" xfId="29229"/>
    <cellStyle name="Nota 3 8" xfId="22304"/>
    <cellStyle name="Nota 3 8 10" xfId="22305"/>
    <cellStyle name="Nota 3 8 10 2" xfId="38127"/>
    <cellStyle name="Nota 3 8 11" xfId="22306"/>
    <cellStyle name="Nota 3 8 11 2" xfId="38128"/>
    <cellStyle name="Nota 3 8 12" xfId="22307"/>
    <cellStyle name="Nota 3 8 12 2" xfId="38129"/>
    <cellStyle name="Nota 3 8 13" xfId="22308"/>
    <cellStyle name="Nota 3 8 13 2" xfId="38130"/>
    <cellStyle name="Nota 3 8 14" xfId="22309"/>
    <cellStyle name="Nota 3 8 14 2" xfId="38131"/>
    <cellStyle name="Nota 3 8 15" xfId="22310"/>
    <cellStyle name="Nota 3 8 15 2" xfId="38132"/>
    <cellStyle name="Nota 3 8 16" xfId="38126"/>
    <cellStyle name="Nota 3 8 2" xfId="22311"/>
    <cellStyle name="Nota 3 8 2 2" xfId="38133"/>
    <cellStyle name="Nota 3 8 3" xfId="22312"/>
    <cellStyle name="Nota 3 8 3 2" xfId="38134"/>
    <cellStyle name="Nota 3 8 4" xfId="22313"/>
    <cellStyle name="Nota 3 8 4 2" xfId="38135"/>
    <cellStyle name="Nota 3 8 5" xfId="22314"/>
    <cellStyle name="Nota 3 8 5 2" xfId="38136"/>
    <cellStyle name="Nota 3 8 6" xfId="22315"/>
    <cellStyle name="Nota 3 8 6 2" xfId="38137"/>
    <cellStyle name="Nota 3 8 7" xfId="22316"/>
    <cellStyle name="Nota 3 8 7 2" xfId="38138"/>
    <cellStyle name="Nota 3 8 8" xfId="22317"/>
    <cellStyle name="Nota 3 8 8 2" xfId="38139"/>
    <cellStyle name="Nota 3 8 9" xfId="22318"/>
    <cellStyle name="Nota 3 8 9 2" xfId="38140"/>
    <cellStyle name="Nota 3 9" xfId="22319"/>
    <cellStyle name="Nota 3 9 10" xfId="22320"/>
    <cellStyle name="Nota 3 9 10 2" xfId="38142"/>
    <cellStyle name="Nota 3 9 11" xfId="22321"/>
    <cellStyle name="Nota 3 9 11 2" xfId="38143"/>
    <cellStyle name="Nota 3 9 12" xfId="22322"/>
    <cellStyle name="Nota 3 9 12 2" xfId="38144"/>
    <cellStyle name="Nota 3 9 13" xfId="22323"/>
    <cellStyle name="Nota 3 9 13 2" xfId="38145"/>
    <cellStyle name="Nota 3 9 14" xfId="22324"/>
    <cellStyle name="Nota 3 9 14 2" xfId="38146"/>
    <cellStyle name="Nota 3 9 15" xfId="22325"/>
    <cellStyle name="Nota 3 9 15 2" xfId="38147"/>
    <cellStyle name="Nota 3 9 16" xfId="38141"/>
    <cellStyle name="Nota 3 9 2" xfId="22326"/>
    <cellStyle name="Nota 3 9 2 2" xfId="38148"/>
    <cellStyle name="Nota 3 9 3" xfId="22327"/>
    <cellStyle name="Nota 3 9 3 2" xfId="38149"/>
    <cellStyle name="Nota 3 9 4" xfId="22328"/>
    <cellStyle name="Nota 3 9 4 2" xfId="38150"/>
    <cellStyle name="Nota 3 9 5" xfId="22329"/>
    <cellStyle name="Nota 3 9 5 2" xfId="38151"/>
    <cellStyle name="Nota 3 9 6" xfId="22330"/>
    <cellStyle name="Nota 3 9 6 2" xfId="38152"/>
    <cellStyle name="Nota 3 9 7" xfId="22331"/>
    <cellStyle name="Nota 3 9 7 2" xfId="38153"/>
    <cellStyle name="Nota 3 9 8" xfId="22332"/>
    <cellStyle name="Nota 3 9 8 2" xfId="38154"/>
    <cellStyle name="Nota 3 9 9" xfId="22333"/>
    <cellStyle name="Nota 3 9 9 2" xfId="38155"/>
    <cellStyle name="Nota 30" xfId="22334"/>
    <cellStyle name="Nota 30 2" xfId="38156"/>
    <cellStyle name="Nota 31" xfId="22335"/>
    <cellStyle name="Nota 31 2" xfId="38157"/>
    <cellStyle name="Nota 32" xfId="22336"/>
    <cellStyle name="Nota 32 2" xfId="38158"/>
    <cellStyle name="Nota 33" xfId="22337"/>
    <cellStyle name="Nota 33 10" xfId="22338"/>
    <cellStyle name="Nota 33 10 2" xfId="38160"/>
    <cellStyle name="Nota 33 11" xfId="22339"/>
    <cellStyle name="Nota 33 11 2" xfId="38161"/>
    <cellStyle name="Nota 33 12" xfId="22340"/>
    <cellStyle name="Nota 33 12 2" xfId="38162"/>
    <cellStyle name="Nota 33 13" xfId="22341"/>
    <cellStyle name="Nota 33 13 2" xfId="38163"/>
    <cellStyle name="Nota 33 14" xfId="22342"/>
    <cellStyle name="Nota 33 14 2" xfId="38164"/>
    <cellStyle name="Nota 33 15" xfId="22343"/>
    <cellStyle name="Nota 33 15 2" xfId="38165"/>
    <cellStyle name="Nota 33 16" xfId="38159"/>
    <cellStyle name="Nota 33 2" xfId="22344"/>
    <cellStyle name="Nota 33 2 2" xfId="38166"/>
    <cellStyle name="Nota 33 3" xfId="22345"/>
    <cellStyle name="Nota 33 3 2" xfId="38167"/>
    <cellStyle name="Nota 33 4" xfId="22346"/>
    <cellStyle name="Nota 33 4 2" xfId="38168"/>
    <cellStyle name="Nota 33 5" xfId="22347"/>
    <cellStyle name="Nota 33 5 2" xfId="38169"/>
    <cellStyle name="Nota 33 6" xfId="22348"/>
    <cellStyle name="Nota 33 6 2" xfId="38170"/>
    <cellStyle name="Nota 33 7" xfId="22349"/>
    <cellStyle name="Nota 33 7 2" xfId="38171"/>
    <cellStyle name="Nota 33 8" xfId="22350"/>
    <cellStyle name="Nota 33 8 2" xfId="38172"/>
    <cellStyle name="Nota 33 9" xfId="22351"/>
    <cellStyle name="Nota 33 9 2" xfId="38173"/>
    <cellStyle name="Nota 34" xfId="22352"/>
    <cellStyle name="Nota 34 2" xfId="38174"/>
    <cellStyle name="Nota 35" xfId="22353"/>
    <cellStyle name="Nota 35 2" xfId="38175"/>
    <cellStyle name="Nota 36" xfId="22354"/>
    <cellStyle name="Nota 36 2" xfId="38176"/>
    <cellStyle name="Nota 37" xfId="22355"/>
    <cellStyle name="Nota 37 2" xfId="38177"/>
    <cellStyle name="Nota 38" xfId="22356"/>
    <cellStyle name="Nota 38 2" xfId="38178"/>
    <cellStyle name="Nota 39" xfId="22357"/>
    <cellStyle name="Nota 39 2" xfId="38179"/>
    <cellStyle name="Nota 4" xfId="22358"/>
    <cellStyle name="Nota 4 10" xfId="22359"/>
    <cellStyle name="Nota 4 10 10" xfId="22360"/>
    <cellStyle name="Nota 4 10 10 2" xfId="38181"/>
    <cellStyle name="Nota 4 10 11" xfId="22361"/>
    <cellStyle name="Nota 4 10 11 2" xfId="38182"/>
    <cellStyle name="Nota 4 10 12" xfId="22362"/>
    <cellStyle name="Nota 4 10 12 2" xfId="38183"/>
    <cellStyle name="Nota 4 10 13" xfId="22363"/>
    <cellStyle name="Nota 4 10 13 2" xfId="38184"/>
    <cellStyle name="Nota 4 10 14" xfId="22364"/>
    <cellStyle name="Nota 4 10 14 2" xfId="38185"/>
    <cellStyle name="Nota 4 10 15" xfId="22365"/>
    <cellStyle name="Nota 4 10 15 2" xfId="38186"/>
    <cellStyle name="Nota 4 10 16" xfId="38180"/>
    <cellStyle name="Nota 4 10 2" xfId="22366"/>
    <cellStyle name="Nota 4 10 2 2" xfId="38187"/>
    <cellStyle name="Nota 4 10 3" xfId="22367"/>
    <cellStyle name="Nota 4 10 3 2" xfId="38188"/>
    <cellStyle name="Nota 4 10 4" xfId="22368"/>
    <cellStyle name="Nota 4 10 4 2" xfId="38189"/>
    <cellStyle name="Nota 4 10 5" xfId="22369"/>
    <cellStyle name="Nota 4 10 5 2" xfId="38190"/>
    <cellStyle name="Nota 4 10 6" xfId="22370"/>
    <cellStyle name="Nota 4 10 6 2" xfId="38191"/>
    <cellStyle name="Nota 4 10 7" xfId="22371"/>
    <cellStyle name="Nota 4 10 7 2" xfId="38192"/>
    <cellStyle name="Nota 4 10 8" xfId="22372"/>
    <cellStyle name="Nota 4 10 8 2" xfId="38193"/>
    <cellStyle name="Nota 4 10 9" xfId="22373"/>
    <cellStyle name="Nota 4 10 9 2" xfId="38194"/>
    <cellStyle name="Nota 4 11" xfId="22374"/>
    <cellStyle name="Nota 4 11 10" xfId="22375"/>
    <cellStyle name="Nota 4 11 10 2" xfId="38196"/>
    <cellStyle name="Nota 4 11 11" xfId="22376"/>
    <cellStyle name="Nota 4 11 11 2" xfId="38197"/>
    <cellStyle name="Nota 4 11 12" xfId="22377"/>
    <cellStyle name="Nota 4 11 12 2" xfId="38198"/>
    <cellStyle name="Nota 4 11 13" xfId="22378"/>
    <cellStyle name="Nota 4 11 13 2" xfId="38199"/>
    <cellStyle name="Nota 4 11 14" xfId="22379"/>
    <cellStyle name="Nota 4 11 14 2" xfId="38200"/>
    <cellStyle name="Nota 4 11 15" xfId="22380"/>
    <cellStyle name="Nota 4 11 15 2" xfId="38201"/>
    <cellStyle name="Nota 4 11 16" xfId="38195"/>
    <cellStyle name="Nota 4 11 2" xfId="22381"/>
    <cellStyle name="Nota 4 11 2 2" xfId="38202"/>
    <cellStyle name="Nota 4 11 3" xfId="22382"/>
    <cellStyle name="Nota 4 11 3 2" xfId="38203"/>
    <cellStyle name="Nota 4 11 4" xfId="22383"/>
    <cellStyle name="Nota 4 11 4 2" xfId="38204"/>
    <cellStyle name="Nota 4 11 5" xfId="22384"/>
    <cellStyle name="Nota 4 11 5 2" xfId="38205"/>
    <cellStyle name="Nota 4 11 6" xfId="22385"/>
    <cellStyle name="Nota 4 11 6 2" xfId="38206"/>
    <cellStyle name="Nota 4 11 7" xfId="22386"/>
    <cellStyle name="Nota 4 11 7 2" xfId="38207"/>
    <cellStyle name="Nota 4 11 8" xfId="22387"/>
    <cellStyle name="Nota 4 11 8 2" xfId="38208"/>
    <cellStyle name="Nota 4 11 9" xfId="22388"/>
    <cellStyle name="Nota 4 11 9 2" xfId="38209"/>
    <cellStyle name="Nota 4 12" xfId="40816"/>
    <cellStyle name="Nota 4 2" xfId="22389"/>
    <cellStyle name="Nota 4 2 2" xfId="29230"/>
    <cellStyle name="Nota 4 2 2 2" xfId="40817"/>
    <cellStyle name="Nota 4 3" xfId="22390"/>
    <cellStyle name="Nota 4 3 2" xfId="29231"/>
    <cellStyle name="Nota 4 3 2 2" xfId="40818"/>
    <cellStyle name="Nota 4 4" xfId="22391"/>
    <cellStyle name="Nota 4 4 2" xfId="29232"/>
    <cellStyle name="Nota 4 4 2 2" xfId="40819"/>
    <cellStyle name="Nota 4 5" xfId="22392"/>
    <cellStyle name="Nota 4 5 2" xfId="29233"/>
    <cellStyle name="Nota 4 6" xfId="22393"/>
    <cellStyle name="Nota 4 6 2" xfId="29234"/>
    <cellStyle name="Nota 4 7" xfId="22394"/>
    <cellStyle name="Nota 4 7 2" xfId="29235"/>
    <cellStyle name="Nota 4 8" xfId="22395"/>
    <cellStyle name="Nota 4 8 10" xfId="22396"/>
    <cellStyle name="Nota 4 8 10 2" xfId="38211"/>
    <cellStyle name="Nota 4 8 11" xfId="22397"/>
    <cellStyle name="Nota 4 8 11 2" xfId="38212"/>
    <cellStyle name="Nota 4 8 12" xfId="22398"/>
    <cellStyle name="Nota 4 8 12 2" xfId="38213"/>
    <cellStyle name="Nota 4 8 13" xfId="22399"/>
    <cellStyle name="Nota 4 8 13 2" xfId="38214"/>
    <cellStyle name="Nota 4 8 14" xfId="22400"/>
    <cellStyle name="Nota 4 8 14 2" xfId="38215"/>
    <cellStyle name="Nota 4 8 15" xfId="22401"/>
    <cellStyle name="Nota 4 8 15 2" xfId="38216"/>
    <cellStyle name="Nota 4 8 16" xfId="38210"/>
    <cellStyle name="Nota 4 8 2" xfId="22402"/>
    <cellStyle name="Nota 4 8 2 2" xfId="38217"/>
    <cellStyle name="Nota 4 8 3" xfId="22403"/>
    <cellStyle name="Nota 4 8 3 2" xfId="38218"/>
    <cellStyle name="Nota 4 8 4" xfId="22404"/>
    <cellStyle name="Nota 4 8 4 2" xfId="38219"/>
    <cellStyle name="Nota 4 8 5" xfId="22405"/>
    <cellStyle name="Nota 4 8 5 2" xfId="38220"/>
    <cellStyle name="Nota 4 8 6" xfId="22406"/>
    <cellStyle name="Nota 4 8 6 2" xfId="38221"/>
    <cellStyle name="Nota 4 8 7" xfId="22407"/>
    <cellStyle name="Nota 4 8 7 2" xfId="38222"/>
    <cellStyle name="Nota 4 8 8" xfId="22408"/>
    <cellStyle name="Nota 4 8 8 2" xfId="38223"/>
    <cellStyle name="Nota 4 8 9" xfId="22409"/>
    <cellStyle name="Nota 4 8 9 2" xfId="38224"/>
    <cellStyle name="Nota 4 9" xfId="22410"/>
    <cellStyle name="Nota 4 9 10" xfId="22411"/>
    <cellStyle name="Nota 4 9 10 2" xfId="38226"/>
    <cellStyle name="Nota 4 9 11" xfId="22412"/>
    <cellStyle name="Nota 4 9 11 2" xfId="38227"/>
    <cellStyle name="Nota 4 9 12" xfId="22413"/>
    <cellStyle name="Nota 4 9 12 2" xfId="38228"/>
    <cellStyle name="Nota 4 9 13" xfId="22414"/>
    <cellStyle name="Nota 4 9 13 2" xfId="38229"/>
    <cellStyle name="Nota 4 9 14" xfId="22415"/>
    <cellStyle name="Nota 4 9 14 2" xfId="38230"/>
    <cellStyle name="Nota 4 9 15" xfId="22416"/>
    <cellStyle name="Nota 4 9 15 2" xfId="38231"/>
    <cellStyle name="Nota 4 9 16" xfId="38225"/>
    <cellStyle name="Nota 4 9 2" xfId="22417"/>
    <cellStyle name="Nota 4 9 2 2" xfId="38232"/>
    <cellStyle name="Nota 4 9 3" xfId="22418"/>
    <cellStyle name="Nota 4 9 3 2" xfId="38233"/>
    <cellStyle name="Nota 4 9 4" xfId="22419"/>
    <cellStyle name="Nota 4 9 4 2" xfId="38234"/>
    <cellStyle name="Nota 4 9 5" xfId="22420"/>
    <cellStyle name="Nota 4 9 5 2" xfId="38235"/>
    <cellStyle name="Nota 4 9 6" xfId="22421"/>
    <cellStyle name="Nota 4 9 6 2" xfId="38236"/>
    <cellStyle name="Nota 4 9 7" xfId="22422"/>
    <cellStyle name="Nota 4 9 7 2" xfId="38237"/>
    <cellStyle name="Nota 4 9 8" xfId="22423"/>
    <cellStyle name="Nota 4 9 8 2" xfId="38238"/>
    <cellStyle name="Nota 4 9 9" xfId="22424"/>
    <cellStyle name="Nota 4 9 9 2" xfId="38239"/>
    <cellStyle name="Nota 40" xfId="22425"/>
    <cellStyle name="Nota 40 2" xfId="38240"/>
    <cellStyle name="Nota 41" xfId="22426"/>
    <cellStyle name="Nota 41 2" xfId="38241"/>
    <cellStyle name="Nota 42" xfId="22427"/>
    <cellStyle name="Nota 42 2" xfId="38242"/>
    <cellStyle name="Nota 43" xfId="22428"/>
    <cellStyle name="Nota 43 2" xfId="38243"/>
    <cellStyle name="Nota 44" xfId="22429"/>
    <cellStyle name="Nota 44 2" xfId="38244"/>
    <cellStyle name="Nota 45" xfId="22430"/>
    <cellStyle name="Nota 45 2" xfId="38245"/>
    <cellStyle name="Nota 46" xfId="22431"/>
    <cellStyle name="Nota 46 2" xfId="38246"/>
    <cellStyle name="Nota 47" xfId="22432"/>
    <cellStyle name="Nota 47 2" xfId="38247"/>
    <cellStyle name="Nota 48" xfId="22433"/>
    <cellStyle name="Nota 48 2" xfId="38248"/>
    <cellStyle name="Nota 49" xfId="22434"/>
    <cellStyle name="Nota 49 2" xfId="38249"/>
    <cellStyle name="Nota 5" xfId="22435"/>
    <cellStyle name="Nota 5 2" xfId="22436"/>
    <cellStyle name="Nota 5 2 2" xfId="29237"/>
    <cellStyle name="Nota 5 3" xfId="22437"/>
    <cellStyle name="Nota 5 3 2" xfId="29238"/>
    <cellStyle name="Nota 5 4" xfId="22438"/>
    <cellStyle name="Nota 5 4 2" xfId="29239"/>
    <cellStyle name="Nota 5 5" xfId="29236"/>
    <cellStyle name="Nota 5 5 2" xfId="40820"/>
    <cellStyle name="Nota 50" xfId="22439"/>
    <cellStyle name="Nota 50 2" xfId="38250"/>
    <cellStyle name="Nota 51" xfId="22440"/>
    <cellStyle name="Nota 51 2" xfId="38251"/>
    <cellStyle name="Nota 52" xfId="22441"/>
    <cellStyle name="Nota 52 2" xfId="38252"/>
    <cellStyle name="Nota 53" xfId="22442"/>
    <cellStyle name="Nota 53 2" xfId="38253"/>
    <cellStyle name="Nota 54" xfId="22443"/>
    <cellStyle name="Nota 54 10" xfId="22444"/>
    <cellStyle name="Nota 54 10 2" xfId="38255"/>
    <cellStyle name="Nota 54 11" xfId="22445"/>
    <cellStyle name="Nota 54 11 2" xfId="38256"/>
    <cellStyle name="Nota 54 12" xfId="22446"/>
    <cellStyle name="Nota 54 12 2" xfId="38257"/>
    <cellStyle name="Nota 54 13" xfId="22447"/>
    <cellStyle name="Nota 54 13 2" xfId="38258"/>
    <cellStyle name="Nota 54 14" xfId="22448"/>
    <cellStyle name="Nota 54 14 2" xfId="38259"/>
    <cellStyle name="Nota 54 15" xfId="22449"/>
    <cellStyle name="Nota 54 15 2" xfId="38260"/>
    <cellStyle name="Nota 54 16" xfId="38254"/>
    <cellStyle name="Nota 54 2" xfId="22450"/>
    <cellStyle name="Nota 54 2 2" xfId="38261"/>
    <cellStyle name="Nota 54 3" xfId="22451"/>
    <cellStyle name="Nota 54 3 2" xfId="38262"/>
    <cellStyle name="Nota 54 4" xfId="22452"/>
    <cellStyle name="Nota 54 4 2" xfId="38263"/>
    <cellStyle name="Nota 54 5" xfId="22453"/>
    <cellStyle name="Nota 54 5 2" xfId="38264"/>
    <cellStyle name="Nota 54 6" xfId="22454"/>
    <cellStyle name="Nota 54 6 2" xfId="38265"/>
    <cellStyle name="Nota 54 7" xfId="22455"/>
    <cellStyle name="Nota 54 7 2" xfId="38266"/>
    <cellStyle name="Nota 54 8" xfId="22456"/>
    <cellStyle name="Nota 54 8 2" xfId="38267"/>
    <cellStyle name="Nota 54 9" xfId="22457"/>
    <cellStyle name="Nota 54 9 2" xfId="38268"/>
    <cellStyle name="Nota 55" xfId="22458"/>
    <cellStyle name="Nota 55 10" xfId="22459"/>
    <cellStyle name="Nota 55 10 2" xfId="38270"/>
    <cellStyle name="Nota 55 11" xfId="22460"/>
    <cellStyle name="Nota 55 11 2" xfId="38271"/>
    <cellStyle name="Nota 55 12" xfId="22461"/>
    <cellStyle name="Nota 55 12 2" xfId="38272"/>
    <cellStyle name="Nota 55 13" xfId="22462"/>
    <cellStyle name="Nota 55 13 2" xfId="38273"/>
    <cellStyle name="Nota 55 14" xfId="22463"/>
    <cellStyle name="Nota 55 14 2" xfId="38274"/>
    <cellStyle name="Nota 55 15" xfId="22464"/>
    <cellStyle name="Nota 55 15 2" xfId="38275"/>
    <cellStyle name="Nota 55 16" xfId="38269"/>
    <cellStyle name="Nota 55 2" xfId="22465"/>
    <cellStyle name="Nota 55 2 2" xfId="38276"/>
    <cellStyle name="Nota 55 3" xfId="22466"/>
    <cellStyle name="Nota 55 3 2" xfId="38277"/>
    <cellStyle name="Nota 55 4" xfId="22467"/>
    <cellStyle name="Nota 55 4 2" xfId="38278"/>
    <cellStyle name="Nota 55 5" xfId="22468"/>
    <cellStyle name="Nota 55 5 2" xfId="38279"/>
    <cellStyle name="Nota 55 6" xfId="22469"/>
    <cellStyle name="Nota 55 6 2" xfId="38280"/>
    <cellStyle name="Nota 55 7" xfId="22470"/>
    <cellStyle name="Nota 55 7 2" xfId="38281"/>
    <cellStyle name="Nota 55 8" xfId="22471"/>
    <cellStyle name="Nota 55 8 2" xfId="38282"/>
    <cellStyle name="Nota 55 9" xfId="22472"/>
    <cellStyle name="Nota 55 9 2" xfId="38283"/>
    <cellStyle name="Nota 56" xfId="22473"/>
    <cellStyle name="Nota 56 10" xfId="22474"/>
    <cellStyle name="Nota 56 10 2" xfId="38285"/>
    <cellStyle name="Nota 56 11" xfId="22475"/>
    <cellStyle name="Nota 56 11 2" xfId="38286"/>
    <cellStyle name="Nota 56 12" xfId="22476"/>
    <cellStyle name="Nota 56 12 2" xfId="38287"/>
    <cellStyle name="Nota 56 13" xfId="22477"/>
    <cellStyle name="Nota 56 13 2" xfId="38288"/>
    <cellStyle name="Nota 56 14" xfId="22478"/>
    <cellStyle name="Nota 56 14 2" xfId="38289"/>
    <cellStyle name="Nota 56 15" xfId="22479"/>
    <cellStyle name="Nota 56 15 2" xfId="38290"/>
    <cellStyle name="Nota 56 16" xfId="38284"/>
    <cellStyle name="Nota 56 2" xfId="22480"/>
    <cellStyle name="Nota 56 2 2" xfId="38291"/>
    <cellStyle name="Nota 56 3" xfId="22481"/>
    <cellStyle name="Nota 56 3 2" xfId="38292"/>
    <cellStyle name="Nota 56 4" xfId="22482"/>
    <cellStyle name="Nota 56 4 2" xfId="38293"/>
    <cellStyle name="Nota 56 5" xfId="22483"/>
    <cellStyle name="Nota 56 5 2" xfId="38294"/>
    <cellStyle name="Nota 56 6" xfId="22484"/>
    <cellStyle name="Nota 56 6 2" xfId="38295"/>
    <cellStyle name="Nota 56 7" xfId="22485"/>
    <cellStyle name="Nota 56 7 2" xfId="38296"/>
    <cellStyle name="Nota 56 8" xfId="22486"/>
    <cellStyle name="Nota 56 8 2" xfId="38297"/>
    <cellStyle name="Nota 56 9" xfId="22487"/>
    <cellStyle name="Nota 56 9 2" xfId="38298"/>
    <cellStyle name="Nota 57" xfId="22488"/>
    <cellStyle name="Nota 57 10" xfId="22489"/>
    <cellStyle name="Nota 57 10 2" xfId="38300"/>
    <cellStyle name="Nota 57 11" xfId="22490"/>
    <cellStyle name="Nota 57 11 2" xfId="38301"/>
    <cellStyle name="Nota 57 12" xfId="22491"/>
    <cellStyle name="Nota 57 12 2" xfId="38302"/>
    <cellStyle name="Nota 57 13" xfId="22492"/>
    <cellStyle name="Nota 57 13 2" xfId="38303"/>
    <cellStyle name="Nota 57 14" xfId="22493"/>
    <cellStyle name="Nota 57 14 2" xfId="38304"/>
    <cellStyle name="Nota 57 15" xfId="22494"/>
    <cellStyle name="Nota 57 15 2" xfId="38305"/>
    <cellStyle name="Nota 57 16" xfId="38299"/>
    <cellStyle name="Nota 57 2" xfId="22495"/>
    <cellStyle name="Nota 57 2 2" xfId="38306"/>
    <cellStyle name="Nota 57 3" xfId="22496"/>
    <cellStyle name="Nota 57 3 2" xfId="38307"/>
    <cellStyle name="Nota 57 4" xfId="22497"/>
    <cellStyle name="Nota 57 4 2" xfId="38308"/>
    <cellStyle name="Nota 57 5" xfId="22498"/>
    <cellStyle name="Nota 57 5 2" xfId="38309"/>
    <cellStyle name="Nota 57 6" xfId="22499"/>
    <cellStyle name="Nota 57 6 2" xfId="38310"/>
    <cellStyle name="Nota 57 7" xfId="22500"/>
    <cellStyle name="Nota 57 7 2" xfId="38311"/>
    <cellStyle name="Nota 57 8" xfId="22501"/>
    <cellStyle name="Nota 57 8 2" xfId="38312"/>
    <cellStyle name="Nota 57 9" xfId="22502"/>
    <cellStyle name="Nota 57 9 2" xfId="38313"/>
    <cellStyle name="Nota 58" xfId="22503"/>
    <cellStyle name="Nota 58 10" xfId="22504"/>
    <cellStyle name="Nota 58 10 2" xfId="38315"/>
    <cellStyle name="Nota 58 11" xfId="22505"/>
    <cellStyle name="Nota 58 11 2" xfId="38316"/>
    <cellStyle name="Nota 58 12" xfId="22506"/>
    <cellStyle name="Nota 58 12 2" xfId="38317"/>
    <cellStyle name="Nota 58 13" xfId="22507"/>
    <cellStyle name="Nota 58 13 2" xfId="38318"/>
    <cellStyle name="Nota 58 14" xfId="22508"/>
    <cellStyle name="Nota 58 14 2" xfId="38319"/>
    <cellStyle name="Nota 58 15" xfId="22509"/>
    <cellStyle name="Nota 58 15 2" xfId="38320"/>
    <cellStyle name="Nota 58 16" xfId="38314"/>
    <cellStyle name="Nota 58 2" xfId="22510"/>
    <cellStyle name="Nota 58 2 2" xfId="38321"/>
    <cellStyle name="Nota 58 3" xfId="22511"/>
    <cellStyle name="Nota 58 3 2" xfId="38322"/>
    <cellStyle name="Nota 58 4" xfId="22512"/>
    <cellStyle name="Nota 58 4 2" xfId="38323"/>
    <cellStyle name="Nota 58 5" xfId="22513"/>
    <cellStyle name="Nota 58 5 2" xfId="38324"/>
    <cellStyle name="Nota 58 6" xfId="22514"/>
    <cellStyle name="Nota 58 6 2" xfId="38325"/>
    <cellStyle name="Nota 58 7" xfId="22515"/>
    <cellStyle name="Nota 58 7 2" xfId="38326"/>
    <cellStyle name="Nota 58 8" xfId="22516"/>
    <cellStyle name="Nota 58 8 2" xfId="38327"/>
    <cellStyle name="Nota 58 9" xfId="22517"/>
    <cellStyle name="Nota 58 9 2" xfId="38328"/>
    <cellStyle name="Nota 59" xfId="22518"/>
    <cellStyle name="Nota 59 2" xfId="38329"/>
    <cellStyle name="Nota 6" xfId="22519"/>
    <cellStyle name="Nota 6 2" xfId="22520"/>
    <cellStyle name="Nota 6 2 2" xfId="29241"/>
    <cellStyle name="Nota 6 3" xfId="22521"/>
    <cellStyle name="Nota 6 3 2" xfId="29242"/>
    <cellStyle name="Nota 6 4" xfId="22522"/>
    <cellStyle name="Nota 6 4 2" xfId="29243"/>
    <cellStyle name="Nota 6 5" xfId="29240"/>
    <cellStyle name="Nota 6 5 2" xfId="40821"/>
    <cellStyle name="Nota 60" xfId="22523"/>
    <cellStyle name="Nota 60 2" xfId="38330"/>
    <cellStyle name="Nota 61" xfId="22524"/>
    <cellStyle name="Nota 61 2" xfId="38331"/>
    <cellStyle name="Nota 62" xfId="22525"/>
    <cellStyle name="Nota 62 2" xfId="38332"/>
    <cellStyle name="Nota 63" xfId="22526"/>
    <cellStyle name="Nota 63 2" xfId="38333"/>
    <cellStyle name="Nota 64" xfId="22527"/>
    <cellStyle name="Nota 64 2" xfId="38334"/>
    <cellStyle name="Nota 65" xfId="22528"/>
    <cellStyle name="Nota 65 2" xfId="38335"/>
    <cellStyle name="Nota 66" xfId="22529"/>
    <cellStyle name="Nota 66 2" xfId="38336"/>
    <cellStyle name="Nota 67" xfId="22530"/>
    <cellStyle name="Nota 67 2" xfId="38337"/>
    <cellStyle name="Nota 68" xfId="22531"/>
    <cellStyle name="Nota 68 2" xfId="38338"/>
    <cellStyle name="Nota 69" xfId="22532"/>
    <cellStyle name="Nota 69 2" xfId="22533"/>
    <cellStyle name="Nota 69 2 2" xfId="38340"/>
    <cellStyle name="Nota 69 3" xfId="22534"/>
    <cellStyle name="Nota 69 3 2" xfId="38341"/>
    <cellStyle name="Nota 69 4" xfId="22535"/>
    <cellStyle name="Nota 69 4 2" xfId="38342"/>
    <cellStyle name="Nota 69 5" xfId="22536"/>
    <cellStyle name="Nota 69 5 2" xfId="38343"/>
    <cellStyle name="Nota 69 6" xfId="22537"/>
    <cellStyle name="Nota 69 6 2" xfId="38344"/>
    <cellStyle name="Nota 69 7" xfId="38339"/>
    <cellStyle name="Nota 7" xfId="22538"/>
    <cellStyle name="Nota 7 10" xfId="22539"/>
    <cellStyle name="Nota 7 10 2" xfId="38345"/>
    <cellStyle name="Nota 7 11" xfId="22540"/>
    <cellStyle name="Nota 7 11 2" xfId="38346"/>
    <cellStyle name="Nota 7 12" xfId="22541"/>
    <cellStyle name="Nota 7 12 2" xfId="38347"/>
    <cellStyle name="Nota 7 13" xfId="22542"/>
    <cellStyle name="Nota 7 13 2" xfId="38348"/>
    <cellStyle name="Nota 7 14" xfId="22543"/>
    <cellStyle name="Nota 7 14 2" xfId="38349"/>
    <cellStyle name="Nota 7 15" xfId="22544"/>
    <cellStyle name="Nota 7 15 2" xfId="38350"/>
    <cellStyle name="Nota 7 16" xfId="22545"/>
    <cellStyle name="Nota 7 16 2" xfId="38351"/>
    <cellStyle name="Nota 7 17" xfId="22546"/>
    <cellStyle name="Nota 7 17 2" xfId="38352"/>
    <cellStyle name="Nota 7 18" xfId="22547"/>
    <cellStyle name="Nota 7 18 2" xfId="38353"/>
    <cellStyle name="Nota 7 19" xfId="22548"/>
    <cellStyle name="Nota 7 19 2" xfId="38354"/>
    <cellStyle name="Nota 7 2" xfId="22549"/>
    <cellStyle name="Nota 7 2 2" xfId="29245"/>
    <cellStyle name="Nota 7 20" xfId="22550"/>
    <cellStyle name="Nota 7 20 2" xfId="38355"/>
    <cellStyle name="Nota 7 21" xfId="22551"/>
    <cellStyle name="Nota 7 21 2" xfId="38356"/>
    <cellStyle name="Nota 7 22" xfId="22552"/>
    <cellStyle name="Nota 7 22 2" xfId="38357"/>
    <cellStyle name="Nota 7 23" xfId="22553"/>
    <cellStyle name="Nota 7 23 2" xfId="38358"/>
    <cellStyle name="Nota 7 24" xfId="22554"/>
    <cellStyle name="Nota 7 24 2" xfId="38359"/>
    <cellStyle name="Nota 7 25" xfId="22555"/>
    <cellStyle name="Nota 7 25 2" xfId="38360"/>
    <cellStyle name="Nota 7 26" xfId="22556"/>
    <cellStyle name="Nota 7 26 2" xfId="38361"/>
    <cellStyle name="Nota 7 27" xfId="22557"/>
    <cellStyle name="Nota 7 27 2" xfId="38362"/>
    <cellStyle name="Nota 7 28" xfId="22558"/>
    <cellStyle name="Nota 7 28 2" xfId="38363"/>
    <cellStyle name="Nota 7 29" xfId="22559"/>
    <cellStyle name="Nota 7 29 2" xfId="38364"/>
    <cellStyle name="Nota 7 3" xfId="22560"/>
    <cellStyle name="Nota 7 3 2" xfId="29246"/>
    <cellStyle name="Nota 7 30" xfId="22561"/>
    <cellStyle name="Nota 7 30 2" xfId="38365"/>
    <cellStyle name="Nota 7 31" xfId="22562"/>
    <cellStyle name="Nota 7 31 2" xfId="38366"/>
    <cellStyle name="Nota 7 32" xfId="22563"/>
    <cellStyle name="Nota 7 32 2" xfId="38367"/>
    <cellStyle name="Nota 7 33" xfId="22564"/>
    <cellStyle name="Nota 7 33 2" xfId="38368"/>
    <cellStyle name="Nota 7 34" xfId="22565"/>
    <cellStyle name="Nota 7 34 2" xfId="38369"/>
    <cellStyle name="Nota 7 35" xfId="22566"/>
    <cellStyle name="Nota 7 35 2" xfId="38370"/>
    <cellStyle name="Nota 7 36" xfId="29244"/>
    <cellStyle name="Nota 7 36 2" xfId="40822"/>
    <cellStyle name="Nota 7 4" xfId="22567"/>
    <cellStyle name="Nota 7 4 2" xfId="29247"/>
    <cellStyle name="Nota 7 5" xfId="22568"/>
    <cellStyle name="Nota 7 5 2" xfId="38371"/>
    <cellStyle name="Nota 7 6" xfId="22569"/>
    <cellStyle name="Nota 7 6 2" xfId="38372"/>
    <cellStyle name="Nota 7 7" xfId="22570"/>
    <cellStyle name="Nota 7 7 2" xfId="38373"/>
    <cellStyle name="Nota 7 8" xfId="22571"/>
    <cellStyle name="Nota 7 8 2" xfId="38374"/>
    <cellStyle name="Nota 7 9" xfId="22572"/>
    <cellStyle name="Nota 7 9 2" xfId="38375"/>
    <cellStyle name="Nota 70" xfId="22573"/>
    <cellStyle name="Nota 70 2" xfId="22574"/>
    <cellStyle name="Nota 70 2 2" xfId="38377"/>
    <cellStyle name="Nota 70 3" xfId="22575"/>
    <cellStyle name="Nota 70 3 2" xfId="38378"/>
    <cellStyle name="Nota 70 4" xfId="22576"/>
    <cellStyle name="Nota 70 4 2" xfId="38379"/>
    <cellStyle name="Nota 70 5" xfId="22577"/>
    <cellStyle name="Nota 70 5 2" xfId="38380"/>
    <cellStyle name="Nota 70 6" xfId="22578"/>
    <cellStyle name="Nota 70 6 2" xfId="38381"/>
    <cellStyle name="Nota 70 7" xfId="38376"/>
    <cellStyle name="Nota 71" xfId="22579"/>
    <cellStyle name="Nota 71 2" xfId="22580"/>
    <cellStyle name="Nota 71 2 2" xfId="38383"/>
    <cellStyle name="Nota 71 3" xfId="22581"/>
    <cellStyle name="Nota 71 3 2" xfId="38384"/>
    <cellStyle name="Nota 71 4" xfId="22582"/>
    <cellStyle name="Nota 71 4 2" xfId="38385"/>
    <cellStyle name="Nota 71 5" xfId="22583"/>
    <cellStyle name="Nota 71 5 2" xfId="38386"/>
    <cellStyle name="Nota 71 6" xfId="22584"/>
    <cellStyle name="Nota 71 6 2" xfId="38387"/>
    <cellStyle name="Nota 71 7" xfId="38382"/>
    <cellStyle name="Nota 72" xfId="22585"/>
    <cellStyle name="Nota 72 2" xfId="22586"/>
    <cellStyle name="Nota 72 2 2" xfId="38389"/>
    <cellStyle name="Nota 72 3" xfId="22587"/>
    <cellStyle name="Nota 72 3 2" xfId="38390"/>
    <cellStyle name="Nota 72 4" xfId="22588"/>
    <cellStyle name="Nota 72 4 2" xfId="38391"/>
    <cellStyle name="Nota 72 5" xfId="22589"/>
    <cellStyle name="Nota 72 5 2" xfId="38392"/>
    <cellStyle name="Nota 72 6" xfId="22590"/>
    <cellStyle name="Nota 72 6 2" xfId="38393"/>
    <cellStyle name="Nota 72 7" xfId="38388"/>
    <cellStyle name="Nota 73" xfId="22591"/>
    <cellStyle name="Nota 73 2" xfId="22592"/>
    <cellStyle name="Nota 73 2 2" xfId="38395"/>
    <cellStyle name="Nota 73 3" xfId="22593"/>
    <cellStyle name="Nota 73 3 2" xfId="38396"/>
    <cellStyle name="Nota 73 4" xfId="22594"/>
    <cellStyle name="Nota 73 4 2" xfId="38397"/>
    <cellStyle name="Nota 73 5" xfId="22595"/>
    <cellStyle name="Nota 73 5 2" xfId="38398"/>
    <cellStyle name="Nota 73 6" xfId="22596"/>
    <cellStyle name="Nota 73 6 2" xfId="38399"/>
    <cellStyle name="Nota 73 7" xfId="38394"/>
    <cellStyle name="Nota 74" xfId="22597"/>
    <cellStyle name="Nota 74 2" xfId="22598"/>
    <cellStyle name="Nota 74 2 2" xfId="38401"/>
    <cellStyle name="Nota 74 3" xfId="22599"/>
    <cellStyle name="Nota 74 3 2" xfId="38402"/>
    <cellStyle name="Nota 74 4" xfId="22600"/>
    <cellStyle name="Nota 74 4 2" xfId="38403"/>
    <cellStyle name="Nota 74 5" xfId="22601"/>
    <cellStyle name="Nota 74 5 2" xfId="38404"/>
    <cellStyle name="Nota 74 6" xfId="22602"/>
    <cellStyle name="Nota 74 6 2" xfId="38405"/>
    <cellStyle name="Nota 74 7" xfId="38400"/>
    <cellStyle name="Nota 75" xfId="22603"/>
    <cellStyle name="Nota 75 2" xfId="22604"/>
    <cellStyle name="Nota 75 2 2" xfId="38407"/>
    <cellStyle name="Nota 75 3" xfId="22605"/>
    <cellStyle name="Nota 75 3 2" xfId="38408"/>
    <cellStyle name="Nota 75 4" xfId="22606"/>
    <cellStyle name="Nota 75 4 2" xfId="38409"/>
    <cellStyle name="Nota 75 5" xfId="22607"/>
    <cellStyle name="Nota 75 5 2" xfId="38410"/>
    <cellStyle name="Nota 75 6" xfId="22608"/>
    <cellStyle name="Nota 75 6 2" xfId="38411"/>
    <cellStyle name="Nota 75 7" xfId="38406"/>
    <cellStyle name="Nota 76" xfId="22609"/>
    <cellStyle name="Nota 76 2" xfId="22610"/>
    <cellStyle name="Nota 76 2 2" xfId="38413"/>
    <cellStyle name="Nota 76 3" xfId="22611"/>
    <cellStyle name="Nota 76 3 2" xfId="38414"/>
    <cellStyle name="Nota 76 4" xfId="22612"/>
    <cellStyle name="Nota 76 4 2" xfId="38415"/>
    <cellStyle name="Nota 76 5" xfId="22613"/>
    <cellStyle name="Nota 76 5 2" xfId="38416"/>
    <cellStyle name="Nota 76 6" xfId="22614"/>
    <cellStyle name="Nota 76 6 2" xfId="38417"/>
    <cellStyle name="Nota 76 7" xfId="38412"/>
    <cellStyle name="Nota 77" xfId="22615"/>
    <cellStyle name="Nota 77 2" xfId="22616"/>
    <cellStyle name="Nota 77 2 2" xfId="38419"/>
    <cellStyle name="Nota 77 3" xfId="22617"/>
    <cellStyle name="Nota 77 3 2" xfId="38420"/>
    <cellStyle name="Nota 77 4" xfId="22618"/>
    <cellStyle name="Nota 77 4 2" xfId="38421"/>
    <cellStyle name="Nota 77 5" xfId="22619"/>
    <cellStyle name="Nota 77 5 2" xfId="38422"/>
    <cellStyle name="Nota 77 6" xfId="22620"/>
    <cellStyle name="Nota 77 6 2" xfId="38423"/>
    <cellStyle name="Nota 77 7" xfId="38418"/>
    <cellStyle name="Nota 78" xfId="22621"/>
    <cellStyle name="Nota 78 2" xfId="22622"/>
    <cellStyle name="Nota 78 2 2" xfId="38425"/>
    <cellStyle name="Nota 78 3" xfId="22623"/>
    <cellStyle name="Nota 78 3 2" xfId="38426"/>
    <cellStyle name="Nota 78 4" xfId="22624"/>
    <cellStyle name="Nota 78 4 2" xfId="38427"/>
    <cellStyle name="Nota 78 5" xfId="22625"/>
    <cellStyle name="Nota 78 5 2" xfId="38428"/>
    <cellStyle name="Nota 78 6" xfId="22626"/>
    <cellStyle name="Nota 78 6 2" xfId="38429"/>
    <cellStyle name="Nota 78 7" xfId="38424"/>
    <cellStyle name="Nota 79" xfId="22627"/>
    <cellStyle name="Nota 79 2" xfId="22628"/>
    <cellStyle name="Nota 79 2 2" xfId="38431"/>
    <cellStyle name="Nota 79 3" xfId="22629"/>
    <cellStyle name="Nota 79 3 2" xfId="38432"/>
    <cellStyle name="Nota 79 4" xfId="22630"/>
    <cellStyle name="Nota 79 4 2" xfId="38433"/>
    <cellStyle name="Nota 79 5" xfId="22631"/>
    <cellStyle name="Nota 79 5 2" xfId="38434"/>
    <cellStyle name="Nota 79 6" xfId="22632"/>
    <cellStyle name="Nota 79 6 2" xfId="38435"/>
    <cellStyle name="Nota 79 7" xfId="38430"/>
    <cellStyle name="Nota 8" xfId="22633"/>
    <cellStyle name="Nota 8 10" xfId="22634"/>
    <cellStyle name="Nota 8 10 2" xfId="38436"/>
    <cellStyle name="Nota 8 11" xfId="22635"/>
    <cellStyle name="Nota 8 11 2" xfId="38437"/>
    <cellStyle name="Nota 8 12" xfId="22636"/>
    <cellStyle name="Nota 8 12 2" xfId="38438"/>
    <cellStyle name="Nota 8 13" xfId="22637"/>
    <cellStyle name="Nota 8 13 2" xfId="38439"/>
    <cellStyle name="Nota 8 14" xfId="22638"/>
    <cellStyle name="Nota 8 14 2" xfId="38440"/>
    <cellStyle name="Nota 8 15" xfId="22639"/>
    <cellStyle name="Nota 8 15 2" xfId="38441"/>
    <cellStyle name="Nota 8 16" xfId="22640"/>
    <cellStyle name="Nota 8 16 2" xfId="38442"/>
    <cellStyle name="Nota 8 17" xfId="22641"/>
    <cellStyle name="Nota 8 17 2" xfId="38443"/>
    <cellStyle name="Nota 8 18" xfId="22642"/>
    <cellStyle name="Nota 8 18 2" xfId="38444"/>
    <cellStyle name="Nota 8 19" xfId="22643"/>
    <cellStyle name="Nota 8 19 2" xfId="38445"/>
    <cellStyle name="Nota 8 2" xfId="22644"/>
    <cellStyle name="Nota 8 2 2" xfId="29249"/>
    <cellStyle name="Nota 8 20" xfId="22645"/>
    <cellStyle name="Nota 8 20 2" xfId="38446"/>
    <cellStyle name="Nota 8 21" xfId="22646"/>
    <cellStyle name="Nota 8 21 2" xfId="38447"/>
    <cellStyle name="Nota 8 22" xfId="22647"/>
    <cellStyle name="Nota 8 22 2" xfId="38448"/>
    <cellStyle name="Nota 8 23" xfId="22648"/>
    <cellStyle name="Nota 8 23 2" xfId="38449"/>
    <cellStyle name="Nota 8 24" xfId="22649"/>
    <cellStyle name="Nota 8 24 2" xfId="38450"/>
    <cellStyle name="Nota 8 25" xfId="22650"/>
    <cellStyle name="Nota 8 25 2" xfId="38451"/>
    <cellStyle name="Nota 8 26" xfId="22651"/>
    <cellStyle name="Nota 8 26 2" xfId="38452"/>
    <cellStyle name="Nota 8 27" xfId="22652"/>
    <cellStyle name="Nota 8 27 2" xfId="38453"/>
    <cellStyle name="Nota 8 28" xfId="22653"/>
    <cellStyle name="Nota 8 28 2" xfId="38454"/>
    <cellStyle name="Nota 8 29" xfId="22654"/>
    <cellStyle name="Nota 8 29 2" xfId="38455"/>
    <cellStyle name="Nota 8 3" xfId="22655"/>
    <cellStyle name="Nota 8 3 2" xfId="29250"/>
    <cellStyle name="Nota 8 30" xfId="22656"/>
    <cellStyle name="Nota 8 30 2" xfId="38456"/>
    <cellStyle name="Nota 8 31" xfId="22657"/>
    <cellStyle name="Nota 8 31 2" xfId="38457"/>
    <cellStyle name="Nota 8 32" xfId="22658"/>
    <cellStyle name="Nota 8 32 2" xfId="38458"/>
    <cellStyle name="Nota 8 33" xfId="22659"/>
    <cellStyle name="Nota 8 33 2" xfId="38459"/>
    <cellStyle name="Nota 8 34" xfId="22660"/>
    <cellStyle name="Nota 8 34 2" xfId="38460"/>
    <cellStyle name="Nota 8 35" xfId="22661"/>
    <cellStyle name="Nota 8 35 2" xfId="38461"/>
    <cellStyle name="Nota 8 36" xfId="22662"/>
    <cellStyle name="Nota 8 36 2" xfId="38462"/>
    <cellStyle name="Nota 8 37" xfId="22663"/>
    <cellStyle name="Nota 8 37 2" xfId="38463"/>
    <cellStyle name="Nota 8 38" xfId="22664"/>
    <cellStyle name="Nota 8 38 2" xfId="38464"/>
    <cellStyle name="Nota 8 39" xfId="22665"/>
    <cellStyle name="Nota 8 39 2" xfId="38465"/>
    <cellStyle name="Nota 8 4" xfId="22666"/>
    <cellStyle name="Nota 8 4 2" xfId="29251"/>
    <cellStyle name="Nota 8 40" xfId="22667"/>
    <cellStyle name="Nota 8 40 2" xfId="38466"/>
    <cellStyle name="Nota 8 41" xfId="29248"/>
    <cellStyle name="Nota 8 41 2" xfId="40823"/>
    <cellStyle name="Nota 8 5" xfId="22668"/>
    <cellStyle name="Nota 8 5 2" xfId="38467"/>
    <cellStyle name="Nota 8 6" xfId="22669"/>
    <cellStyle name="Nota 8 6 2" xfId="38468"/>
    <cellStyle name="Nota 8 7" xfId="22670"/>
    <cellStyle name="Nota 8 7 2" xfId="38469"/>
    <cellStyle name="Nota 8 8" xfId="22671"/>
    <cellStyle name="Nota 8 8 2" xfId="38470"/>
    <cellStyle name="Nota 8 9" xfId="22672"/>
    <cellStyle name="Nota 8 9 2" xfId="38471"/>
    <cellStyle name="Nota 80" xfId="22673"/>
    <cellStyle name="Nota 80 2" xfId="22674"/>
    <cellStyle name="Nota 80 2 2" xfId="38473"/>
    <cellStyle name="Nota 80 3" xfId="22675"/>
    <cellStyle name="Nota 80 3 2" xfId="38474"/>
    <cellStyle name="Nota 80 4" xfId="22676"/>
    <cellStyle name="Nota 80 4 2" xfId="38475"/>
    <cellStyle name="Nota 80 5" xfId="22677"/>
    <cellStyle name="Nota 80 5 2" xfId="38476"/>
    <cellStyle name="Nota 80 6" xfId="22678"/>
    <cellStyle name="Nota 80 6 2" xfId="38477"/>
    <cellStyle name="Nota 80 7" xfId="38472"/>
    <cellStyle name="Nota 81" xfId="22679"/>
    <cellStyle name="Nota 81 2" xfId="38478"/>
    <cellStyle name="Nota 82" xfId="22680"/>
    <cellStyle name="Nota 82 2" xfId="38479"/>
    <cellStyle name="Nota 83" xfId="22681"/>
    <cellStyle name="Nota 83 2" xfId="38480"/>
    <cellStyle name="Nota 84" xfId="22682"/>
    <cellStyle name="Nota 84 2" xfId="38481"/>
    <cellStyle name="Nota 85" xfId="22683"/>
    <cellStyle name="Nota 85 2" xfId="38482"/>
    <cellStyle name="Nota 86" xfId="22684"/>
    <cellStyle name="Nota 86 2" xfId="38483"/>
    <cellStyle name="Nota 87" xfId="22685"/>
    <cellStyle name="Nota 87 2" xfId="38484"/>
    <cellStyle name="Nota 88" xfId="22686"/>
    <cellStyle name="Nota 88 2" xfId="38485"/>
    <cellStyle name="Nota 89" xfId="22687"/>
    <cellStyle name="Nota 89 2" xfId="38486"/>
    <cellStyle name="Nota 9" xfId="22688"/>
    <cellStyle name="Nota 9 10" xfId="22689"/>
    <cellStyle name="Nota 9 10 2" xfId="38487"/>
    <cellStyle name="Nota 9 11" xfId="22690"/>
    <cellStyle name="Nota 9 11 2" xfId="38488"/>
    <cellStyle name="Nota 9 12" xfId="22691"/>
    <cellStyle name="Nota 9 12 2" xfId="38489"/>
    <cellStyle name="Nota 9 13" xfId="22692"/>
    <cellStyle name="Nota 9 13 2" xfId="38490"/>
    <cellStyle name="Nota 9 14" xfId="22693"/>
    <cellStyle name="Nota 9 14 2" xfId="38491"/>
    <cellStyle name="Nota 9 15" xfId="22694"/>
    <cellStyle name="Nota 9 15 2" xfId="38492"/>
    <cellStyle name="Nota 9 16" xfId="22695"/>
    <cellStyle name="Nota 9 16 2" xfId="38493"/>
    <cellStyle name="Nota 9 17" xfId="22696"/>
    <cellStyle name="Nota 9 17 2" xfId="38494"/>
    <cellStyle name="Nota 9 18" xfId="22697"/>
    <cellStyle name="Nota 9 18 2" xfId="38495"/>
    <cellStyle name="Nota 9 19" xfId="22698"/>
    <cellStyle name="Nota 9 19 2" xfId="38496"/>
    <cellStyle name="Nota 9 2" xfId="22699"/>
    <cellStyle name="Nota 9 2 2" xfId="38497"/>
    <cellStyle name="Nota 9 20" xfId="22700"/>
    <cellStyle name="Nota 9 20 2" xfId="38498"/>
    <cellStyle name="Nota 9 21" xfId="22701"/>
    <cellStyle name="Nota 9 21 2" xfId="38499"/>
    <cellStyle name="Nota 9 22" xfId="22702"/>
    <cellStyle name="Nota 9 22 2" xfId="38500"/>
    <cellStyle name="Nota 9 23" xfId="22703"/>
    <cellStyle name="Nota 9 23 2" xfId="38501"/>
    <cellStyle name="Nota 9 24" xfId="22704"/>
    <cellStyle name="Nota 9 24 2" xfId="38502"/>
    <cellStyle name="Nota 9 25" xfId="22705"/>
    <cellStyle name="Nota 9 25 2" xfId="38503"/>
    <cellStyle name="Nota 9 26" xfId="22706"/>
    <cellStyle name="Nota 9 26 2" xfId="38504"/>
    <cellStyle name="Nota 9 27" xfId="22707"/>
    <cellStyle name="Nota 9 27 2" xfId="38505"/>
    <cellStyle name="Nota 9 28" xfId="22708"/>
    <cellStyle name="Nota 9 28 2" xfId="38506"/>
    <cellStyle name="Nota 9 29" xfId="22709"/>
    <cellStyle name="Nota 9 29 2" xfId="38507"/>
    <cellStyle name="Nota 9 3" xfId="22710"/>
    <cellStyle name="Nota 9 3 2" xfId="38508"/>
    <cellStyle name="Nota 9 30" xfId="22711"/>
    <cellStyle name="Nota 9 30 2" xfId="38509"/>
    <cellStyle name="Nota 9 31" xfId="22712"/>
    <cellStyle name="Nota 9 31 2" xfId="38510"/>
    <cellStyle name="Nota 9 32" xfId="22713"/>
    <cellStyle name="Nota 9 32 2" xfId="38511"/>
    <cellStyle name="Nota 9 33" xfId="22714"/>
    <cellStyle name="Nota 9 33 2" xfId="38512"/>
    <cellStyle name="Nota 9 34" xfId="22715"/>
    <cellStyle name="Nota 9 34 2" xfId="38513"/>
    <cellStyle name="Nota 9 35" xfId="22716"/>
    <cellStyle name="Nota 9 35 2" xfId="38514"/>
    <cellStyle name="Nota 9 36" xfId="22717"/>
    <cellStyle name="Nota 9 36 2" xfId="38515"/>
    <cellStyle name="Nota 9 37" xfId="22718"/>
    <cellStyle name="Nota 9 37 2" xfId="38516"/>
    <cellStyle name="Nota 9 38" xfId="29252"/>
    <cellStyle name="Nota 9 38 2" xfId="40824"/>
    <cellStyle name="Nota 9 4" xfId="22719"/>
    <cellStyle name="Nota 9 4 2" xfId="38517"/>
    <cellStyle name="Nota 9 5" xfId="22720"/>
    <cellStyle name="Nota 9 5 2" xfId="38518"/>
    <cellStyle name="Nota 9 6" xfId="22721"/>
    <cellStyle name="Nota 9 6 2" xfId="38519"/>
    <cellStyle name="Nota 9 7" xfId="22722"/>
    <cellStyle name="Nota 9 7 2" xfId="38520"/>
    <cellStyle name="Nota 9 8" xfId="22723"/>
    <cellStyle name="Nota 9 8 2" xfId="38521"/>
    <cellStyle name="Nota 9 9" xfId="22724"/>
    <cellStyle name="Nota 9 9 2" xfId="38522"/>
    <cellStyle name="Nota 90" xfId="22725"/>
    <cellStyle name="Nota 90 2" xfId="38523"/>
    <cellStyle name="Nota 91" xfId="22726"/>
    <cellStyle name="Nota 91 2" xfId="38524"/>
    <cellStyle name="Nota 92" xfId="22727"/>
    <cellStyle name="Nota 92 2" xfId="38525"/>
    <cellStyle name="Nota 93" xfId="22728"/>
    <cellStyle name="Nota 93 2" xfId="38526"/>
    <cellStyle name="Nota 94" xfId="22729"/>
    <cellStyle name="Nota 94 2" xfId="38527"/>
    <cellStyle name="Nota 95" xfId="22730"/>
    <cellStyle name="Nota 95 2" xfId="38528"/>
    <cellStyle name="Nota 96" xfId="22731"/>
    <cellStyle name="Nota 96 2" xfId="38529"/>
    <cellStyle name="Nota 97" xfId="22732"/>
    <cellStyle name="Nota 97 2" xfId="38530"/>
    <cellStyle name="Nota 98" xfId="22733"/>
    <cellStyle name="Nota 98 2" xfId="38531"/>
    <cellStyle name="Nota 99" xfId="22734"/>
    <cellStyle name="Nota 99 2" xfId="38532"/>
    <cellStyle name="Percentual" xfId="22735"/>
    <cellStyle name="Ponto" xfId="22736"/>
    <cellStyle name="Porcentagem" xfId="19" builtinId="5"/>
    <cellStyle name="Porcentagem 10" xfId="22737"/>
    <cellStyle name="Porcentagem 10 2" xfId="22738"/>
    <cellStyle name="Porcentagem 11" xfId="22739"/>
    <cellStyle name="Porcentagem 12" xfId="22740"/>
    <cellStyle name="Porcentagem 13" xfId="22741"/>
    <cellStyle name="Porcentagem 14" xfId="22742"/>
    <cellStyle name="Porcentagem 15" xfId="22743"/>
    <cellStyle name="Porcentagem 16" xfId="22744"/>
    <cellStyle name="Porcentagem 17" xfId="22745"/>
    <cellStyle name="Porcentagem 17 2" xfId="38533"/>
    <cellStyle name="Porcentagem 18" xfId="22746"/>
    <cellStyle name="Porcentagem 18 10" xfId="22747"/>
    <cellStyle name="Porcentagem 18 2" xfId="22748"/>
    <cellStyle name="Porcentagem 18 3" xfId="22749"/>
    <cellStyle name="Porcentagem 18 4" xfId="22750"/>
    <cellStyle name="Porcentagem 18 5" xfId="22751"/>
    <cellStyle name="Porcentagem 18 6" xfId="22752"/>
    <cellStyle name="Porcentagem 18 7" xfId="22753"/>
    <cellStyle name="Porcentagem 18 8" xfId="22754"/>
    <cellStyle name="Porcentagem 18 9" xfId="22755"/>
    <cellStyle name="Porcentagem 19" xfId="29253"/>
    <cellStyle name="Porcentagem 2" xfId="20"/>
    <cellStyle name="Porcentagem 2 10" xfId="22756"/>
    <cellStyle name="Porcentagem 2 11" xfId="22757"/>
    <cellStyle name="Porcentagem 2 12" xfId="22758"/>
    <cellStyle name="Porcentagem 2 13" xfId="22759"/>
    <cellStyle name="Porcentagem 2 14" xfId="22760"/>
    <cellStyle name="Porcentagem 2 15" xfId="22761"/>
    <cellStyle name="Porcentagem 2 16" xfId="22762"/>
    <cellStyle name="Porcentagem 2 17" xfId="22763"/>
    <cellStyle name="Porcentagem 2 18" xfId="22764"/>
    <cellStyle name="Porcentagem 2 19" xfId="22765"/>
    <cellStyle name="Porcentagem 2 2" xfId="22766"/>
    <cellStyle name="Porcentagem 2 2 10" xfId="22767"/>
    <cellStyle name="Porcentagem 2 2 11" xfId="22768"/>
    <cellStyle name="Porcentagem 2 2 12" xfId="22769"/>
    <cellStyle name="Porcentagem 2 2 13" xfId="22770"/>
    <cellStyle name="Porcentagem 2 2 14" xfId="22771"/>
    <cellStyle name="Porcentagem 2 2 15" xfId="22772"/>
    <cellStyle name="Porcentagem 2 2 16" xfId="22773"/>
    <cellStyle name="Porcentagem 2 2 17" xfId="22774"/>
    <cellStyle name="Porcentagem 2 2 18" xfId="22775"/>
    <cellStyle name="Porcentagem 2 2 19" xfId="22776"/>
    <cellStyle name="Porcentagem 2 2 2" xfId="22777"/>
    <cellStyle name="Porcentagem 2 2 20" xfId="22778"/>
    <cellStyle name="Porcentagem 2 2 21" xfId="22779"/>
    <cellStyle name="Porcentagem 2 2 3" xfId="22780"/>
    <cellStyle name="Porcentagem 2 2 4" xfId="22781"/>
    <cellStyle name="Porcentagem 2 2 5" xfId="22782"/>
    <cellStyle name="Porcentagem 2 2 6" xfId="22783"/>
    <cellStyle name="Porcentagem 2 2 7" xfId="22784"/>
    <cellStyle name="Porcentagem 2 2 8" xfId="22785"/>
    <cellStyle name="Porcentagem 2 2 9" xfId="22786"/>
    <cellStyle name="Porcentagem 2 20" xfId="22787"/>
    <cellStyle name="Porcentagem 2 21" xfId="22788"/>
    <cellStyle name="Porcentagem 2 22" xfId="22789"/>
    <cellStyle name="Porcentagem 2 23" xfId="22790"/>
    <cellStyle name="Porcentagem 2 24" xfId="22791"/>
    <cellStyle name="Porcentagem 2 25" xfId="22792"/>
    <cellStyle name="Porcentagem 2 26" xfId="22793"/>
    <cellStyle name="Porcentagem 2 26 2" xfId="22794"/>
    <cellStyle name="Porcentagem 2 26 3" xfId="22795"/>
    <cellStyle name="Porcentagem 2 26 4" xfId="22796"/>
    <cellStyle name="Porcentagem 2 26 5" xfId="22797"/>
    <cellStyle name="Porcentagem 2 27" xfId="22798"/>
    <cellStyle name="Porcentagem 2 27 2" xfId="22799"/>
    <cellStyle name="Porcentagem 2 27 3" xfId="22800"/>
    <cellStyle name="Porcentagem 2 27 4" xfId="22801"/>
    <cellStyle name="Porcentagem 2 27 5" xfId="22802"/>
    <cellStyle name="Porcentagem 2 28" xfId="22803"/>
    <cellStyle name="Porcentagem 2 28 2" xfId="22804"/>
    <cellStyle name="Porcentagem 2 28 3" xfId="22805"/>
    <cellStyle name="Porcentagem 2 28 4" xfId="22806"/>
    <cellStyle name="Porcentagem 2 28 5" xfId="22807"/>
    <cellStyle name="Porcentagem 2 29" xfId="22808"/>
    <cellStyle name="Porcentagem 2 29 2" xfId="22809"/>
    <cellStyle name="Porcentagem 2 29 3" xfId="22810"/>
    <cellStyle name="Porcentagem 2 29 4" xfId="22811"/>
    <cellStyle name="Porcentagem 2 29 5" xfId="22812"/>
    <cellStyle name="Porcentagem 2 3" xfId="22813"/>
    <cellStyle name="Porcentagem 2 30" xfId="22814"/>
    <cellStyle name="Porcentagem 2 30 2" xfId="22815"/>
    <cellStyle name="Porcentagem 2 30 3" xfId="22816"/>
    <cellStyle name="Porcentagem 2 30 4" xfId="22817"/>
    <cellStyle name="Porcentagem 2 30 5" xfId="22818"/>
    <cellStyle name="Porcentagem 2 31" xfId="22819"/>
    <cellStyle name="Porcentagem 2 31 2" xfId="22820"/>
    <cellStyle name="Porcentagem 2 31 3" xfId="22821"/>
    <cellStyle name="Porcentagem 2 31 4" xfId="22822"/>
    <cellStyle name="Porcentagem 2 31 5" xfId="22823"/>
    <cellStyle name="Porcentagem 2 32" xfId="22824"/>
    <cellStyle name="Porcentagem 2 32 2" xfId="22825"/>
    <cellStyle name="Porcentagem 2 32 3" xfId="22826"/>
    <cellStyle name="Porcentagem 2 32 4" xfId="22827"/>
    <cellStyle name="Porcentagem 2 32 5" xfId="22828"/>
    <cellStyle name="Porcentagem 2 33" xfId="22829"/>
    <cellStyle name="Porcentagem 2 34" xfId="22830"/>
    <cellStyle name="Porcentagem 2 35" xfId="22831"/>
    <cellStyle name="Porcentagem 2 36" xfId="22832"/>
    <cellStyle name="Porcentagem 2 37" xfId="22833"/>
    <cellStyle name="Porcentagem 2 38" xfId="22834"/>
    <cellStyle name="Porcentagem 2 39" xfId="22835"/>
    <cellStyle name="Porcentagem 2 4" xfId="22836"/>
    <cellStyle name="Porcentagem 2 40" xfId="22837"/>
    <cellStyle name="Porcentagem 2 41" xfId="22838"/>
    <cellStyle name="Porcentagem 2 41 2" xfId="22839"/>
    <cellStyle name="Porcentagem 2 42" xfId="22840"/>
    <cellStyle name="Porcentagem 2 42 2" xfId="22841"/>
    <cellStyle name="Porcentagem 2 43" xfId="22842"/>
    <cellStyle name="Porcentagem 2 43 2" xfId="22843"/>
    <cellStyle name="Porcentagem 2 44" xfId="22844"/>
    <cellStyle name="Porcentagem 2 44 2" xfId="22845"/>
    <cellStyle name="Porcentagem 2 45" xfId="22846"/>
    <cellStyle name="Porcentagem 2 45 2" xfId="22847"/>
    <cellStyle name="Porcentagem 2 46" xfId="22848"/>
    <cellStyle name="Porcentagem 2 46 2" xfId="22849"/>
    <cellStyle name="Porcentagem 2 47" xfId="22850"/>
    <cellStyle name="Porcentagem 2 47 2" xfId="22851"/>
    <cellStyle name="Porcentagem 2 48" xfId="22852"/>
    <cellStyle name="Porcentagem 2 48 2" xfId="22853"/>
    <cellStyle name="Porcentagem 2 49" xfId="22854"/>
    <cellStyle name="Porcentagem 2 49 2" xfId="22855"/>
    <cellStyle name="Porcentagem 2 5" xfId="22856"/>
    <cellStyle name="Porcentagem 2 50" xfId="22857"/>
    <cellStyle name="Porcentagem 2 50 2" xfId="22858"/>
    <cellStyle name="Porcentagem 2 51" xfId="22859"/>
    <cellStyle name="Porcentagem 2 51 2" xfId="22860"/>
    <cellStyle name="Porcentagem 2 52" xfId="22861"/>
    <cellStyle name="Porcentagem 2 52 2" xfId="22862"/>
    <cellStyle name="Porcentagem 2 53" xfId="22863"/>
    <cellStyle name="Porcentagem 2 53 2" xfId="22864"/>
    <cellStyle name="Porcentagem 2 54" xfId="22865"/>
    <cellStyle name="Porcentagem 2 54 2" xfId="22866"/>
    <cellStyle name="Porcentagem 2 55" xfId="22867"/>
    <cellStyle name="Porcentagem 2 55 2" xfId="22868"/>
    <cellStyle name="Porcentagem 2 56" xfId="22869"/>
    <cellStyle name="Porcentagem 2 56 2" xfId="22870"/>
    <cellStyle name="Porcentagem 2 57" xfId="22871"/>
    <cellStyle name="Porcentagem 2 57 2" xfId="22872"/>
    <cellStyle name="Porcentagem 2 58" xfId="22873"/>
    <cellStyle name="Porcentagem 2 58 2" xfId="22874"/>
    <cellStyle name="Porcentagem 2 59" xfId="22875"/>
    <cellStyle name="Porcentagem 2 6" xfId="22876"/>
    <cellStyle name="Porcentagem 2 60" xfId="22877"/>
    <cellStyle name="Porcentagem 2 61" xfId="22878"/>
    <cellStyle name="Porcentagem 2 62" xfId="22879"/>
    <cellStyle name="Porcentagem 2 63" xfId="22880"/>
    <cellStyle name="Porcentagem 2 64" xfId="22881"/>
    <cellStyle name="Porcentagem 2 65" xfId="22882"/>
    <cellStyle name="Porcentagem 2 66" xfId="22883"/>
    <cellStyle name="Porcentagem 2 67" xfId="22884"/>
    <cellStyle name="Porcentagem 2 68" xfId="22885"/>
    <cellStyle name="Porcentagem 2 69" xfId="22886"/>
    <cellStyle name="Porcentagem 2 7" xfId="22887"/>
    <cellStyle name="Porcentagem 2 70" xfId="22888"/>
    <cellStyle name="Porcentagem 2 71" xfId="22889"/>
    <cellStyle name="Porcentagem 2 72" xfId="22890"/>
    <cellStyle name="Porcentagem 2 73" xfId="22891"/>
    <cellStyle name="Porcentagem 2 74" xfId="22892"/>
    <cellStyle name="Porcentagem 2 75" xfId="22893"/>
    <cellStyle name="Porcentagem 2 76" xfId="22894"/>
    <cellStyle name="Porcentagem 2 77" xfId="22895"/>
    <cellStyle name="Porcentagem 2 78" xfId="22896"/>
    <cellStyle name="Porcentagem 2 79" xfId="22897"/>
    <cellStyle name="Porcentagem 2 8" xfId="22898"/>
    <cellStyle name="Porcentagem 2 9" xfId="22899"/>
    <cellStyle name="Porcentagem 20" xfId="29358"/>
    <cellStyle name="Porcentagem 3" xfId="22900"/>
    <cellStyle name="Porcentagem 3 10" xfId="22901"/>
    <cellStyle name="Porcentagem 3 10 2" xfId="41048"/>
    <cellStyle name="Porcentagem 3 11" xfId="22902"/>
    <cellStyle name="Porcentagem 3 11 2" xfId="22903"/>
    <cellStyle name="Porcentagem 3 12" xfId="22904"/>
    <cellStyle name="Porcentagem 3 12 2" xfId="41049"/>
    <cellStyle name="Porcentagem 3 13" xfId="22905"/>
    <cellStyle name="Porcentagem 3 13 2" xfId="41051"/>
    <cellStyle name="Porcentagem 3 14" xfId="22906"/>
    <cellStyle name="Porcentagem 3 14 2" xfId="41047"/>
    <cellStyle name="Porcentagem 3 15" xfId="22907"/>
    <cellStyle name="Porcentagem 3 15 2" xfId="41052"/>
    <cellStyle name="Porcentagem 3 16" xfId="22908"/>
    <cellStyle name="Porcentagem 3 17" xfId="22909"/>
    <cellStyle name="Porcentagem 3 18" xfId="22910"/>
    <cellStyle name="Porcentagem 3 19" xfId="22911"/>
    <cellStyle name="Porcentagem 3 2" xfId="22912"/>
    <cellStyle name="Porcentagem 3 2 10" xfId="22913"/>
    <cellStyle name="Porcentagem 3 2 2" xfId="22914"/>
    <cellStyle name="Porcentagem 3 2 2 2" xfId="22915"/>
    <cellStyle name="Porcentagem 3 2 2 3" xfId="22916"/>
    <cellStyle name="Porcentagem 3 2 2 4" xfId="22917"/>
    <cellStyle name="Porcentagem 3 2 2 5" xfId="22918"/>
    <cellStyle name="Porcentagem 3 2 2 6" xfId="22919"/>
    <cellStyle name="Porcentagem 3 2 2 7" xfId="22920"/>
    <cellStyle name="Porcentagem 3 2 3" xfId="22921"/>
    <cellStyle name="Porcentagem 3 2 4" xfId="22922"/>
    <cellStyle name="Porcentagem 3 2 5" xfId="22923"/>
    <cellStyle name="Porcentagem 3 2 6" xfId="22924"/>
    <cellStyle name="Porcentagem 3 2 7" xfId="22925"/>
    <cellStyle name="Porcentagem 3 2 8" xfId="22926"/>
    <cellStyle name="Porcentagem 3 2 9" xfId="22927"/>
    <cellStyle name="Porcentagem 3 20" xfId="22928"/>
    <cellStyle name="Porcentagem 3 21" xfId="22929"/>
    <cellStyle name="Porcentagem 3 22" xfId="22930"/>
    <cellStyle name="Porcentagem 3 3" xfId="22931"/>
    <cellStyle name="Porcentagem 3 3 2" xfId="22932"/>
    <cellStyle name="Porcentagem 3 3 3" xfId="22933"/>
    <cellStyle name="Porcentagem 3 4" xfId="22934"/>
    <cellStyle name="Porcentagem 3 4 10" xfId="22935"/>
    <cellStyle name="Porcentagem 3 4 11" xfId="22936"/>
    <cellStyle name="Porcentagem 3 4 12" xfId="22937"/>
    <cellStyle name="Porcentagem 3 4 13" xfId="22938"/>
    <cellStyle name="Porcentagem 3 4 14" xfId="22939"/>
    <cellStyle name="Porcentagem 3 4 15" xfId="22940"/>
    <cellStyle name="Porcentagem 3 4 16" xfId="22941"/>
    <cellStyle name="Porcentagem 3 4 2" xfId="22942"/>
    <cellStyle name="Porcentagem 3 4 3" xfId="22943"/>
    <cellStyle name="Porcentagem 3 4 3 2" xfId="22944"/>
    <cellStyle name="Porcentagem 3 4 4" xfId="22945"/>
    <cellStyle name="Porcentagem 3 4 4 2" xfId="22946"/>
    <cellStyle name="Porcentagem 3 4 5" xfId="22947"/>
    <cellStyle name="Porcentagem 3 4 6" xfId="22948"/>
    <cellStyle name="Porcentagem 3 4 7" xfId="22949"/>
    <cellStyle name="Porcentagem 3 4 8" xfId="22950"/>
    <cellStyle name="Porcentagem 3 4 9" xfId="22951"/>
    <cellStyle name="Porcentagem 3 5" xfId="22952"/>
    <cellStyle name="Porcentagem 3 5 2" xfId="22953"/>
    <cellStyle name="Porcentagem 3 5 3" xfId="22954"/>
    <cellStyle name="Porcentagem 3 5 4" xfId="22955"/>
    <cellStyle name="Porcentagem 3 6" xfId="22956"/>
    <cellStyle name="Porcentagem 3 6 2" xfId="22957"/>
    <cellStyle name="Porcentagem 3 6 3" xfId="22958"/>
    <cellStyle name="Porcentagem 3 6 4" xfId="22959"/>
    <cellStyle name="Porcentagem 3 7" xfId="22960"/>
    <cellStyle name="Porcentagem 3 7 2" xfId="22961"/>
    <cellStyle name="Porcentagem 3 7 3" xfId="22962"/>
    <cellStyle name="Porcentagem 3 7 4" xfId="22963"/>
    <cellStyle name="Porcentagem 3 8" xfId="22964"/>
    <cellStyle name="Porcentagem 3 9" xfId="22965"/>
    <cellStyle name="Porcentagem 3 9 2" xfId="41050"/>
    <cellStyle name="Porcentagem 4" xfId="22966"/>
    <cellStyle name="Porcentagem 4 10" xfId="22967"/>
    <cellStyle name="Porcentagem 4 11" xfId="22968"/>
    <cellStyle name="Porcentagem 4 12" xfId="22969"/>
    <cellStyle name="Porcentagem 4 13" xfId="22970"/>
    <cellStyle name="Porcentagem 4 14" xfId="22971"/>
    <cellStyle name="Porcentagem 4 15" xfId="22972"/>
    <cellStyle name="Porcentagem 4 16" xfId="22973"/>
    <cellStyle name="Porcentagem 4 17" xfId="22974"/>
    <cellStyle name="Porcentagem 4 18" xfId="22975"/>
    <cellStyle name="Porcentagem 4 19" xfId="22976"/>
    <cellStyle name="Porcentagem 4 2" xfId="22977"/>
    <cellStyle name="Porcentagem 4 2 2" xfId="22978"/>
    <cellStyle name="Porcentagem 4 2 2 2" xfId="40825"/>
    <cellStyle name="Porcentagem 4 2 3" xfId="22979"/>
    <cellStyle name="Porcentagem 4 2 3 2" xfId="41041"/>
    <cellStyle name="Porcentagem 4 2 4" xfId="22980"/>
    <cellStyle name="Porcentagem 4 2 5" xfId="22981"/>
    <cellStyle name="Porcentagem 4 2 6" xfId="22982"/>
    <cellStyle name="Porcentagem 4 2 7" xfId="22983"/>
    <cellStyle name="Porcentagem 4 20" xfId="22984"/>
    <cellStyle name="Porcentagem 4 21" xfId="22985"/>
    <cellStyle name="Porcentagem 4 22" xfId="22986"/>
    <cellStyle name="Porcentagem 4 23" xfId="22987"/>
    <cellStyle name="Porcentagem 4 24" xfId="22988"/>
    <cellStyle name="Porcentagem 4 25" xfId="22989"/>
    <cellStyle name="Porcentagem 4 26" xfId="22990"/>
    <cellStyle name="Porcentagem 4 27" xfId="22991"/>
    <cellStyle name="Porcentagem 4 28" xfId="22992"/>
    <cellStyle name="Porcentagem 4 29" xfId="22993"/>
    <cellStyle name="Porcentagem 4 3" xfId="22994"/>
    <cellStyle name="Porcentagem 4 30" xfId="22995"/>
    <cellStyle name="Porcentagem 4 31" xfId="22996"/>
    <cellStyle name="Porcentagem 4 32" xfId="22997"/>
    <cellStyle name="Porcentagem 4 33" xfId="22998"/>
    <cellStyle name="Porcentagem 4 34" xfId="22999"/>
    <cellStyle name="Porcentagem 4 35" xfId="23000"/>
    <cellStyle name="Porcentagem 4 36" xfId="23001"/>
    <cellStyle name="Porcentagem 4 37" xfId="23002"/>
    <cellStyle name="Porcentagem 4 38" xfId="23003"/>
    <cellStyle name="Porcentagem 4 39" xfId="23004"/>
    <cellStyle name="Porcentagem 4 4" xfId="23005"/>
    <cellStyle name="Porcentagem 4 40" xfId="23006"/>
    <cellStyle name="Porcentagem 4 41" xfId="23007"/>
    <cellStyle name="Porcentagem 4 42" xfId="23008"/>
    <cellStyle name="Porcentagem 4 43" xfId="23009"/>
    <cellStyle name="Porcentagem 4 5" xfId="23010"/>
    <cellStyle name="Porcentagem 4 5 2" xfId="41029"/>
    <cellStyle name="Porcentagem 4 6" xfId="23011"/>
    <cellStyle name="Porcentagem 4 6 2" xfId="41004"/>
    <cellStyle name="Porcentagem 4 7" xfId="23012"/>
    <cellStyle name="Porcentagem 4 7 2" xfId="41040"/>
    <cellStyle name="Porcentagem 4 8" xfId="23013"/>
    <cellStyle name="Porcentagem 4 9" xfId="23014"/>
    <cellStyle name="Porcentagem 5" xfId="23015"/>
    <cellStyle name="Porcentagem 5 10" xfId="23016"/>
    <cellStyle name="Porcentagem 5 11" xfId="23017"/>
    <cellStyle name="Porcentagem 5 12" xfId="23018"/>
    <cellStyle name="Porcentagem 5 13" xfId="23019"/>
    <cellStyle name="Porcentagem 5 14" xfId="23020"/>
    <cellStyle name="Porcentagem 5 15" xfId="23021"/>
    <cellStyle name="Porcentagem 5 16" xfId="23022"/>
    <cellStyle name="Porcentagem 5 17" xfId="23023"/>
    <cellStyle name="Porcentagem 5 18" xfId="23024"/>
    <cellStyle name="Porcentagem 5 19" xfId="23025"/>
    <cellStyle name="Porcentagem 5 2" xfId="23026"/>
    <cellStyle name="Porcentagem 5 2 10" xfId="23027"/>
    <cellStyle name="Porcentagem 5 2 11" xfId="23028"/>
    <cellStyle name="Porcentagem 5 2 12" xfId="23029"/>
    <cellStyle name="Porcentagem 5 2 13" xfId="23030"/>
    <cellStyle name="Porcentagem 5 2 14" xfId="23031"/>
    <cellStyle name="Porcentagem 5 2 15" xfId="23032"/>
    <cellStyle name="Porcentagem 5 2 16" xfId="23033"/>
    <cellStyle name="Porcentagem 5 2 2" xfId="23034"/>
    <cellStyle name="Porcentagem 5 2 3" xfId="23035"/>
    <cellStyle name="Porcentagem 5 2 4" xfId="23036"/>
    <cellStyle name="Porcentagem 5 2 5" xfId="23037"/>
    <cellStyle name="Porcentagem 5 2 6" xfId="23038"/>
    <cellStyle name="Porcentagem 5 2 7" xfId="23039"/>
    <cellStyle name="Porcentagem 5 2 8" xfId="23040"/>
    <cellStyle name="Porcentagem 5 2 9" xfId="23041"/>
    <cellStyle name="Porcentagem 5 20" xfId="23042"/>
    <cellStyle name="Porcentagem 5 21" xfId="23043"/>
    <cellStyle name="Porcentagem 5 22" xfId="23044"/>
    <cellStyle name="Porcentagem 5 23" xfId="23045"/>
    <cellStyle name="Porcentagem 5 24" xfId="23046"/>
    <cellStyle name="Porcentagem 5 3" xfId="23047"/>
    <cellStyle name="Porcentagem 5 3 2" xfId="23048"/>
    <cellStyle name="Porcentagem 5 4" xfId="23049"/>
    <cellStyle name="Porcentagem 5 4 2" xfId="23050"/>
    <cellStyle name="Porcentagem 5 5" xfId="23051"/>
    <cellStyle name="Porcentagem 5 5 2" xfId="23052"/>
    <cellStyle name="Porcentagem 5 6" xfId="23053"/>
    <cellStyle name="Porcentagem 5 7" xfId="23054"/>
    <cellStyle name="Porcentagem 5 8" xfId="23055"/>
    <cellStyle name="Porcentagem 5 9" xfId="23056"/>
    <cellStyle name="Porcentagem 6" xfId="23057"/>
    <cellStyle name="Porcentagem 6 2" xfId="23058"/>
    <cellStyle name="Porcentagem 6 3" xfId="23059"/>
    <cellStyle name="Porcentagem 7" xfId="23060"/>
    <cellStyle name="Porcentagem 7 2" xfId="23061"/>
    <cellStyle name="Porcentagem 7 3" xfId="23062"/>
    <cellStyle name="Porcentagem 8" xfId="23063"/>
    <cellStyle name="Porcentagem 8 2" xfId="23064"/>
    <cellStyle name="Porcentagem 8 3" xfId="23065"/>
    <cellStyle name="Porcentagem 9" xfId="23066"/>
    <cellStyle name="Porcentagem 9 2" xfId="23067"/>
    <cellStyle name="Porcentagem 9 3" xfId="23068"/>
    <cellStyle name="Saída 10" xfId="23069"/>
    <cellStyle name="Saída 10 2" xfId="29254"/>
    <cellStyle name="Saída 10 2 2" xfId="40827"/>
    <cellStyle name="Saída 10 3" xfId="40826"/>
    <cellStyle name="Saída 100" xfId="23070"/>
    <cellStyle name="Saída 100 2" xfId="38534"/>
    <cellStyle name="Saída 101" xfId="23071"/>
    <cellStyle name="Saída 101 2" xfId="38535"/>
    <cellStyle name="Saída 102" xfId="23072"/>
    <cellStyle name="Saída 102 2" xfId="38536"/>
    <cellStyle name="Saída 103" xfId="23073"/>
    <cellStyle name="Saída 103 2" xfId="38537"/>
    <cellStyle name="Saída 104" xfId="23074"/>
    <cellStyle name="Saída 104 2" xfId="38538"/>
    <cellStyle name="Saída 105" xfId="23075"/>
    <cellStyle name="Saída 105 2" xfId="38539"/>
    <cellStyle name="Saída 106" xfId="23076"/>
    <cellStyle name="Saída 106 2" xfId="38540"/>
    <cellStyle name="Saída 107" xfId="23077"/>
    <cellStyle name="Saída 107 2" xfId="38541"/>
    <cellStyle name="Saída 108" xfId="23078"/>
    <cellStyle name="Saída 108 2" xfId="38542"/>
    <cellStyle name="Saída 109" xfId="23079"/>
    <cellStyle name="Saída 109 2" xfId="38543"/>
    <cellStyle name="Saída 11" xfId="23080"/>
    <cellStyle name="Saída 11 2" xfId="29255"/>
    <cellStyle name="Saída 11 2 2" xfId="40829"/>
    <cellStyle name="Saída 11 3" xfId="40828"/>
    <cellStyle name="Saída 110" xfId="23081"/>
    <cellStyle name="Saída 110 2" xfId="38544"/>
    <cellStyle name="Saída 111" xfId="23082"/>
    <cellStyle name="Saída 111 2" xfId="38545"/>
    <cellStyle name="Saída 112" xfId="23083"/>
    <cellStyle name="Saída 112 2" xfId="38546"/>
    <cellStyle name="Saída 113" xfId="23084"/>
    <cellStyle name="Saída 113 2" xfId="38547"/>
    <cellStyle name="Saída 114" xfId="23085"/>
    <cellStyle name="Saída 114 2" xfId="38548"/>
    <cellStyle name="Saída 115" xfId="23086"/>
    <cellStyle name="Saída 115 2" xfId="38549"/>
    <cellStyle name="Saída 116" xfId="23087"/>
    <cellStyle name="Saída 116 2" xfId="38550"/>
    <cellStyle name="Saída 117" xfId="23088"/>
    <cellStyle name="Saída 117 2" xfId="38551"/>
    <cellStyle name="Saída 118" xfId="23089"/>
    <cellStyle name="Saída 118 2" xfId="38552"/>
    <cellStyle name="Saída 119" xfId="23090"/>
    <cellStyle name="Saída 119 2" xfId="38553"/>
    <cellStyle name="Saída 12" xfId="23091"/>
    <cellStyle name="Saída 12 2" xfId="29256"/>
    <cellStyle name="Saída 12 2 2" xfId="40831"/>
    <cellStyle name="Saída 12 3" xfId="40830"/>
    <cellStyle name="Saída 120" xfId="23092"/>
    <cellStyle name="Saída 120 2" xfId="38554"/>
    <cellStyle name="Saída 121" xfId="23093"/>
    <cellStyle name="Saída 121 2" xfId="38555"/>
    <cellStyle name="Saída 122" xfId="23094"/>
    <cellStyle name="Saída 122 2" xfId="38556"/>
    <cellStyle name="Saída 123" xfId="23095"/>
    <cellStyle name="Saída 123 2" xfId="38557"/>
    <cellStyle name="Saída 124" xfId="23096"/>
    <cellStyle name="Saída 124 2" xfId="38558"/>
    <cellStyle name="Saída 125" xfId="23097"/>
    <cellStyle name="Saída 125 2" xfId="38559"/>
    <cellStyle name="Saída 126" xfId="23098"/>
    <cellStyle name="Saída 126 2" xfId="38560"/>
    <cellStyle name="Saída 127" xfId="23099"/>
    <cellStyle name="Saída 127 2" xfId="38561"/>
    <cellStyle name="Saída 128" xfId="23100"/>
    <cellStyle name="Saída 128 2" xfId="38562"/>
    <cellStyle name="Saída 129" xfId="23101"/>
    <cellStyle name="Saída 129 2" xfId="38563"/>
    <cellStyle name="Saída 13" xfId="23102"/>
    <cellStyle name="Saída 13 2" xfId="29257"/>
    <cellStyle name="Saída 13 2 2" xfId="40833"/>
    <cellStyle name="Saída 13 3" xfId="40832"/>
    <cellStyle name="Saída 130" xfId="23103"/>
    <cellStyle name="Saída 130 2" xfId="38564"/>
    <cellStyle name="Saída 131" xfId="23104"/>
    <cellStyle name="Saída 131 2" xfId="38565"/>
    <cellStyle name="Saída 132" xfId="23105"/>
    <cellStyle name="Saída 132 2" xfId="38566"/>
    <cellStyle name="Saída 133" xfId="23106"/>
    <cellStyle name="Saída 133 2" xfId="38567"/>
    <cellStyle name="Saída 134" xfId="23107"/>
    <cellStyle name="Saída 134 2" xfId="38568"/>
    <cellStyle name="Saída 135" xfId="23108"/>
    <cellStyle name="Saída 135 2" xfId="38569"/>
    <cellStyle name="Saída 136" xfId="23109"/>
    <cellStyle name="Saída 136 2" xfId="38570"/>
    <cellStyle name="Saída 137" xfId="23110"/>
    <cellStyle name="Saída 137 2" xfId="38571"/>
    <cellStyle name="Saída 138" xfId="23111"/>
    <cellStyle name="Saída 138 2" xfId="38572"/>
    <cellStyle name="Saída 139" xfId="23112"/>
    <cellStyle name="Saída 139 2" xfId="38573"/>
    <cellStyle name="Saída 14" xfId="23113"/>
    <cellStyle name="Saída 14 2" xfId="29258"/>
    <cellStyle name="Saída 14 2 2" xfId="40834"/>
    <cellStyle name="Saída 140" xfId="23114"/>
    <cellStyle name="Saída 140 2" xfId="38574"/>
    <cellStyle name="Saída 141" xfId="23115"/>
    <cellStyle name="Saída 141 2" xfId="38575"/>
    <cellStyle name="Saída 142" xfId="23116"/>
    <cellStyle name="Saída 142 2" xfId="38576"/>
    <cellStyle name="Saída 143" xfId="23117"/>
    <cellStyle name="Saída 143 2" xfId="38577"/>
    <cellStyle name="Saída 144" xfId="23118"/>
    <cellStyle name="Saída 144 2" xfId="38578"/>
    <cellStyle name="Saída 145" xfId="23119"/>
    <cellStyle name="Saída 145 2" xfId="38579"/>
    <cellStyle name="Saída 146" xfId="23120"/>
    <cellStyle name="Saída 146 2" xfId="38580"/>
    <cellStyle name="Saída 147" xfId="23121"/>
    <cellStyle name="Saída 147 2" xfId="38581"/>
    <cellStyle name="Saída 148" xfId="23122"/>
    <cellStyle name="Saída 148 2" xfId="38582"/>
    <cellStyle name="Saída 149" xfId="23123"/>
    <cellStyle name="Saída 149 2" xfId="38583"/>
    <cellStyle name="Saída 15" xfId="23124"/>
    <cellStyle name="Saída 15 2" xfId="23125"/>
    <cellStyle name="Saída 15 2 2" xfId="38584"/>
    <cellStyle name="Saída 15 3" xfId="23126"/>
    <cellStyle name="Saída 15 3 2" xfId="38585"/>
    <cellStyle name="Saída 15 4" xfId="29259"/>
    <cellStyle name="Saída 15 4 2" xfId="40835"/>
    <cellStyle name="Saída 150" xfId="23127"/>
    <cellStyle name="Saída 150 2" xfId="38586"/>
    <cellStyle name="Saída 151" xfId="23128"/>
    <cellStyle name="Saída 151 2" xfId="38587"/>
    <cellStyle name="Saída 152" xfId="23129"/>
    <cellStyle name="Saída 152 2" xfId="38588"/>
    <cellStyle name="Saída 153" xfId="23130"/>
    <cellStyle name="Saída 153 2" xfId="38589"/>
    <cellStyle name="Saída 154" xfId="23131"/>
    <cellStyle name="Saída 154 2" xfId="38590"/>
    <cellStyle name="Saída 155" xfId="23132"/>
    <cellStyle name="Saída 155 2" xfId="38591"/>
    <cellStyle name="Saída 156" xfId="23133"/>
    <cellStyle name="Saída 156 2" xfId="38592"/>
    <cellStyle name="Saída 157" xfId="23134"/>
    <cellStyle name="Saída 157 2" xfId="38593"/>
    <cellStyle name="Saída 158" xfId="23135"/>
    <cellStyle name="Saída 158 2" xfId="38594"/>
    <cellStyle name="Saída 159" xfId="23136"/>
    <cellStyle name="Saída 159 2" xfId="38595"/>
    <cellStyle name="Saída 16" xfId="23137"/>
    <cellStyle name="Saída 16 2" xfId="23138"/>
    <cellStyle name="Saída 16 2 2" xfId="38596"/>
    <cellStyle name="Saída 16 3" xfId="23139"/>
    <cellStyle name="Saída 16 3 2" xfId="38597"/>
    <cellStyle name="Saída 16 4" xfId="29260"/>
    <cellStyle name="Saída 16 4 2" xfId="40836"/>
    <cellStyle name="Saída 160" xfId="23140"/>
    <cellStyle name="Saída 160 2" xfId="38598"/>
    <cellStyle name="Saída 161" xfId="23141"/>
    <cellStyle name="Saída 161 2" xfId="38599"/>
    <cellStyle name="Saída 162" xfId="23142"/>
    <cellStyle name="Saída 162 2" xfId="38600"/>
    <cellStyle name="Saída 163" xfId="23143"/>
    <cellStyle name="Saída 163 2" xfId="38601"/>
    <cellStyle name="Saída 164" xfId="23144"/>
    <cellStyle name="Saída 164 2" xfId="38602"/>
    <cellStyle name="Saída 165" xfId="23145"/>
    <cellStyle name="Saída 165 2" xfId="38603"/>
    <cellStyle name="Saída 166" xfId="23146"/>
    <cellStyle name="Saída 166 2" xfId="38604"/>
    <cellStyle name="Saída 167" xfId="23147"/>
    <cellStyle name="Saída 167 2" xfId="38605"/>
    <cellStyle name="Saída 168" xfId="23148"/>
    <cellStyle name="Saída 168 2" xfId="38606"/>
    <cellStyle name="Saída 169" xfId="23149"/>
    <cellStyle name="Saída 169 2" xfId="38607"/>
    <cellStyle name="Saída 17" xfId="23150"/>
    <cellStyle name="Saída 17 2" xfId="23151"/>
    <cellStyle name="Saída 17 2 2" xfId="38608"/>
    <cellStyle name="Saída 17 3" xfId="23152"/>
    <cellStyle name="Saída 17 3 2" xfId="38609"/>
    <cellStyle name="Saída 17 4" xfId="29261"/>
    <cellStyle name="Saída 17 4 2" xfId="40837"/>
    <cellStyle name="Saída 170" xfId="23153"/>
    <cellStyle name="Saída 170 2" xfId="38610"/>
    <cellStyle name="Saída 171" xfId="23154"/>
    <cellStyle name="Saída 171 2" xfId="38611"/>
    <cellStyle name="Saída 172" xfId="23155"/>
    <cellStyle name="Saída 172 2" xfId="38612"/>
    <cellStyle name="Saída 173" xfId="23156"/>
    <cellStyle name="Saída 173 2" xfId="38613"/>
    <cellStyle name="Saída 174" xfId="23157"/>
    <cellStyle name="Saída 174 2" xfId="38614"/>
    <cellStyle name="Saída 175" xfId="23158"/>
    <cellStyle name="Saída 175 2" xfId="38615"/>
    <cellStyle name="Saída 176" xfId="23159"/>
    <cellStyle name="Saída 176 2" xfId="38616"/>
    <cellStyle name="Saída 177" xfId="23160"/>
    <cellStyle name="Saída 177 2" xfId="38617"/>
    <cellStyle name="Saída 178" xfId="23161"/>
    <cellStyle name="Saída 178 2" xfId="38618"/>
    <cellStyle name="Saída 179" xfId="23162"/>
    <cellStyle name="Saída 179 2" xfId="38619"/>
    <cellStyle name="Saída 18" xfId="23163"/>
    <cellStyle name="Saída 18 2" xfId="23164"/>
    <cellStyle name="Saída 18 2 2" xfId="38620"/>
    <cellStyle name="Saída 18 3" xfId="23165"/>
    <cellStyle name="Saída 18 3 2" xfId="38621"/>
    <cellStyle name="Saída 18 4" xfId="29262"/>
    <cellStyle name="Saída 18 4 2" xfId="40838"/>
    <cellStyle name="Saída 180" xfId="23166"/>
    <cellStyle name="Saída 180 2" xfId="38622"/>
    <cellStyle name="Saída 181" xfId="23167"/>
    <cellStyle name="Saída 181 2" xfId="38623"/>
    <cellStyle name="Saída 182" xfId="23168"/>
    <cellStyle name="Saída 182 2" xfId="38624"/>
    <cellStyle name="Saída 183" xfId="23169"/>
    <cellStyle name="Saída 183 2" xfId="38625"/>
    <cellStyle name="Saída 184" xfId="23170"/>
    <cellStyle name="Saída 184 2" xfId="38626"/>
    <cellStyle name="Saída 185" xfId="23171"/>
    <cellStyle name="Saída 185 2" xfId="38627"/>
    <cellStyle name="Saída 186" xfId="23172"/>
    <cellStyle name="Saída 186 2" xfId="38628"/>
    <cellStyle name="Saída 187" xfId="23173"/>
    <cellStyle name="Saída 187 2" xfId="38629"/>
    <cellStyle name="Saída 188" xfId="23174"/>
    <cellStyle name="Saída 188 2" xfId="38630"/>
    <cellStyle name="Saída 189" xfId="23175"/>
    <cellStyle name="Saída 189 2" xfId="38631"/>
    <cellStyle name="Saída 19" xfId="23176"/>
    <cellStyle name="Saída 19 2" xfId="23177"/>
    <cellStyle name="Saída 19 2 2" xfId="38632"/>
    <cellStyle name="Saída 19 3" xfId="23178"/>
    <cellStyle name="Saída 19 3 2" xfId="38633"/>
    <cellStyle name="Saída 19 4" xfId="29263"/>
    <cellStyle name="Saída 19 4 2" xfId="40839"/>
    <cellStyle name="Saída 190" xfId="23179"/>
    <cellStyle name="Saída 190 2" xfId="38634"/>
    <cellStyle name="Saída 191" xfId="40452"/>
    <cellStyle name="Saída 2" xfId="23180"/>
    <cellStyle name="Saída 2 10" xfId="23181"/>
    <cellStyle name="Saída 2 10 2" xfId="23182"/>
    <cellStyle name="Saída 2 10 2 2" xfId="38636"/>
    <cellStyle name="Saída 2 10 3" xfId="23183"/>
    <cellStyle name="Saída 2 10 3 2" xfId="38637"/>
    <cellStyle name="Saída 2 10 4" xfId="23184"/>
    <cellStyle name="Saída 2 10 4 2" xfId="38638"/>
    <cellStyle name="Saída 2 10 5" xfId="23185"/>
    <cellStyle name="Saída 2 10 5 2" xfId="38639"/>
    <cellStyle name="Saída 2 10 6" xfId="23186"/>
    <cellStyle name="Saída 2 10 6 2" xfId="38640"/>
    <cellStyle name="Saída 2 10 7" xfId="23187"/>
    <cellStyle name="Saída 2 10 7 2" xfId="38641"/>
    <cellStyle name="Saída 2 10 8" xfId="38635"/>
    <cellStyle name="Saída 2 11" xfId="23188"/>
    <cellStyle name="Saída 2 11 2" xfId="23189"/>
    <cellStyle name="Saída 2 11 2 2" xfId="38643"/>
    <cellStyle name="Saída 2 11 3" xfId="23190"/>
    <cellStyle name="Saída 2 11 3 2" xfId="38644"/>
    <cellStyle name="Saída 2 11 4" xfId="23191"/>
    <cellStyle name="Saída 2 11 4 2" xfId="38645"/>
    <cellStyle name="Saída 2 11 5" xfId="23192"/>
    <cellStyle name="Saída 2 11 5 2" xfId="38646"/>
    <cellStyle name="Saída 2 11 6" xfId="23193"/>
    <cellStyle name="Saída 2 11 6 2" xfId="38647"/>
    <cellStyle name="Saída 2 11 7" xfId="23194"/>
    <cellStyle name="Saída 2 11 7 2" xfId="38648"/>
    <cellStyle name="Saída 2 11 8" xfId="38642"/>
    <cellStyle name="Saída 2 12" xfId="23195"/>
    <cellStyle name="Saída 2 12 2" xfId="38649"/>
    <cellStyle name="Saída 2 13" xfId="23196"/>
    <cellStyle name="Saída 2 13 2" xfId="38650"/>
    <cellStyle name="Saída 2 14" xfId="23197"/>
    <cellStyle name="Saída 2 14 2" xfId="38651"/>
    <cellStyle name="Saída 2 15" xfId="23198"/>
    <cellStyle name="Saída 2 15 2" xfId="38652"/>
    <cellStyle name="Saída 2 16" xfId="23199"/>
    <cellStyle name="Saída 2 16 2" xfId="38653"/>
    <cellStyle name="Saída 2 17" xfId="23200"/>
    <cellStyle name="Saída 2 17 2" xfId="38654"/>
    <cellStyle name="Saída 2 18" xfId="23201"/>
    <cellStyle name="Saída 2 18 2" xfId="38655"/>
    <cellStyle name="Saída 2 19" xfId="23202"/>
    <cellStyle name="Saída 2 19 2" xfId="38656"/>
    <cellStyle name="Saída 2 2" xfId="23203"/>
    <cellStyle name="Saída 2 2 2" xfId="29264"/>
    <cellStyle name="Saída 2 2 2 2" xfId="40840"/>
    <cellStyle name="Saída 2 20" xfId="23204"/>
    <cellStyle name="Saída 2 20 2" xfId="38657"/>
    <cellStyle name="Saída 2 21" xfId="23205"/>
    <cellStyle name="Saída 2 21 2" xfId="38658"/>
    <cellStyle name="Saída 2 22" xfId="23206"/>
    <cellStyle name="Saída 2 22 2" xfId="38659"/>
    <cellStyle name="Saída 2 23" xfId="23207"/>
    <cellStyle name="Saída 2 23 2" xfId="38660"/>
    <cellStyle name="Saída 2 24" xfId="23208"/>
    <cellStyle name="Saída 2 24 2" xfId="38661"/>
    <cellStyle name="Saída 2 25" xfId="23209"/>
    <cellStyle name="Saída 2 25 2" xfId="38662"/>
    <cellStyle name="Saída 2 26" xfId="23210"/>
    <cellStyle name="Saída 2 26 2" xfId="38663"/>
    <cellStyle name="Saída 2 27" xfId="23211"/>
    <cellStyle name="Saída 2 27 2" xfId="38664"/>
    <cellStyle name="Saída 2 28" xfId="23212"/>
    <cellStyle name="Saída 2 28 2" xfId="38665"/>
    <cellStyle name="Saída 2 29" xfId="23213"/>
    <cellStyle name="Saída 2 29 2" xfId="38666"/>
    <cellStyle name="Saída 2 3" xfId="23214"/>
    <cellStyle name="Saída 2 3 2" xfId="29265"/>
    <cellStyle name="Saída 2 3 2 2" xfId="40841"/>
    <cellStyle name="Saída 2 30" xfId="23215"/>
    <cellStyle name="Saída 2 30 2" xfId="38667"/>
    <cellStyle name="Saída 2 31" xfId="23216"/>
    <cellStyle name="Saída 2 31 2" xfId="38668"/>
    <cellStyle name="Saída 2 32" xfId="23217"/>
    <cellStyle name="Saída 2 32 2" xfId="38669"/>
    <cellStyle name="Saída 2 33" xfId="23218"/>
    <cellStyle name="Saída 2 33 2" xfId="38670"/>
    <cellStyle name="Saída 2 34" xfId="23219"/>
    <cellStyle name="Saída 2 34 2" xfId="38671"/>
    <cellStyle name="Saída 2 35" xfId="23220"/>
    <cellStyle name="Saída 2 35 2" xfId="38672"/>
    <cellStyle name="Saída 2 36" xfId="29376"/>
    <cellStyle name="Saída 2 36 2" xfId="40456"/>
    <cellStyle name="Saída 2 4" xfId="23221"/>
    <cellStyle name="Saída 2 4 2" xfId="29266"/>
    <cellStyle name="Saída 2 4 2 2" xfId="40842"/>
    <cellStyle name="Saída 2 5" xfId="23222"/>
    <cellStyle name="Saída 2 5 2" xfId="29267"/>
    <cellStyle name="Saída 2 5 2 2" xfId="40843"/>
    <cellStyle name="Saída 2 6" xfId="23223"/>
    <cellStyle name="Saída 2 6 2" xfId="29268"/>
    <cellStyle name="Saída 2 6 2 2" xfId="40844"/>
    <cellStyle name="Saída 2 7" xfId="23224"/>
    <cellStyle name="Saída 2 7 2" xfId="29269"/>
    <cellStyle name="Saída 2 7 2 2" xfId="40845"/>
    <cellStyle name="Saída 2 8" xfId="23225"/>
    <cellStyle name="Saída 2 8 2" xfId="23226"/>
    <cellStyle name="Saída 2 8 2 2" xfId="38674"/>
    <cellStyle name="Saída 2 8 3" xfId="23227"/>
    <cellStyle name="Saída 2 8 3 2" xfId="38675"/>
    <cellStyle name="Saída 2 8 4" xfId="23228"/>
    <cellStyle name="Saída 2 8 4 2" xfId="38676"/>
    <cellStyle name="Saída 2 8 5" xfId="23229"/>
    <cellStyle name="Saída 2 8 5 2" xfId="38677"/>
    <cellStyle name="Saída 2 8 6" xfId="23230"/>
    <cellStyle name="Saída 2 8 6 2" xfId="38678"/>
    <cellStyle name="Saída 2 8 7" xfId="23231"/>
    <cellStyle name="Saída 2 8 7 2" xfId="38679"/>
    <cellStyle name="Saída 2 8 8" xfId="41042"/>
    <cellStyle name="Saída 2 8 9" xfId="38673"/>
    <cellStyle name="Saída 2 9" xfId="23232"/>
    <cellStyle name="Saída 2 9 2" xfId="23233"/>
    <cellStyle name="Saída 2 9 2 2" xfId="38681"/>
    <cellStyle name="Saída 2 9 3" xfId="23234"/>
    <cellStyle name="Saída 2 9 3 2" xfId="38682"/>
    <cellStyle name="Saída 2 9 4" xfId="23235"/>
    <cellStyle name="Saída 2 9 4 2" xfId="38683"/>
    <cellStyle name="Saída 2 9 5" xfId="23236"/>
    <cellStyle name="Saída 2 9 5 2" xfId="38684"/>
    <cellStyle name="Saída 2 9 6" xfId="23237"/>
    <cellStyle name="Saída 2 9 6 2" xfId="38685"/>
    <cellStyle name="Saída 2 9 7" xfId="23238"/>
    <cellStyle name="Saída 2 9 7 2" xfId="38686"/>
    <cellStyle name="Saída 2 9 8" xfId="38680"/>
    <cellStyle name="Saída 20" xfId="23239"/>
    <cellStyle name="Saída 20 2" xfId="23240"/>
    <cellStyle name="Saída 20 2 2" xfId="38687"/>
    <cellStyle name="Saída 20 3" xfId="23241"/>
    <cellStyle name="Saída 20 3 2" xfId="38688"/>
    <cellStyle name="Saída 20 4" xfId="29270"/>
    <cellStyle name="Saída 20 4 2" xfId="40846"/>
    <cellStyle name="Saída 21" xfId="23242"/>
    <cellStyle name="Saída 21 2" xfId="29271"/>
    <cellStyle name="Saída 21 2 2" xfId="40847"/>
    <cellStyle name="Saída 22" xfId="23243"/>
    <cellStyle name="Saída 22 2" xfId="29272"/>
    <cellStyle name="Saída 22 2 2" xfId="40848"/>
    <cellStyle name="Saída 23" xfId="23244"/>
    <cellStyle name="Saída 23 2" xfId="29273"/>
    <cellStyle name="Saída 23 2 2" xfId="40849"/>
    <cellStyle name="Saída 24" xfId="23245"/>
    <cellStyle name="Saída 24 2" xfId="29274"/>
    <cellStyle name="Saída 24 2 2" xfId="40957"/>
    <cellStyle name="Saída 25" xfId="23246"/>
    <cellStyle name="Saída 25 2" xfId="29275"/>
    <cellStyle name="Saída 25 2 2" xfId="40992"/>
    <cellStyle name="Saída 26" xfId="23247"/>
    <cellStyle name="Saída 26 10" xfId="23248"/>
    <cellStyle name="Saída 26 10 2" xfId="38690"/>
    <cellStyle name="Saída 26 11" xfId="23249"/>
    <cellStyle name="Saída 26 11 2" xfId="38691"/>
    <cellStyle name="Saída 26 12" xfId="23250"/>
    <cellStyle name="Saída 26 12 2" xfId="38692"/>
    <cellStyle name="Saída 26 13" xfId="23251"/>
    <cellStyle name="Saída 26 13 2" xfId="38693"/>
    <cellStyle name="Saída 26 14" xfId="23252"/>
    <cellStyle name="Saída 26 14 2" xfId="38694"/>
    <cellStyle name="Saída 26 15" xfId="23253"/>
    <cellStyle name="Saída 26 15 2" xfId="38695"/>
    <cellStyle name="Saída 26 16" xfId="23254"/>
    <cellStyle name="Saída 26 16 2" xfId="38696"/>
    <cellStyle name="Saída 26 17" xfId="41002"/>
    <cellStyle name="Saída 26 18" xfId="38689"/>
    <cellStyle name="Saída 26 2" xfId="23255"/>
    <cellStyle name="Saída 26 2 2" xfId="38697"/>
    <cellStyle name="Saída 26 3" xfId="23256"/>
    <cellStyle name="Saída 26 3 2" xfId="38698"/>
    <cellStyle name="Saída 26 4" xfId="23257"/>
    <cellStyle name="Saída 26 4 2" xfId="38699"/>
    <cellStyle name="Saída 26 5" xfId="23258"/>
    <cellStyle name="Saída 26 5 2" xfId="38700"/>
    <cellStyle name="Saída 26 6" xfId="23259"/>
    <cellStyle name="Saída 26 6 2" xfId="38701"/>
    <cellStyle name="Saída 26 7" xfId="23260"/>
    <cellStyle name="Saída 26 7 2" xfId="38702"/>
    <cellStyle name="Saída 26 8" xfId="23261"/>
    <cellStyle name="Saída 26 8 2" xfId="38703"/>
    <cellStyle name="Saída 26 9" xfId="23262"/>
    <cellStyle name="Saída 26 9 2" xfId="38704"/>
    <cellStyle name="Saída 27" xfId="23263"/>
    <cellStyle name="Saída 27 10" xfId="23264"/>
    <cellStyle name="Saída 27 10 2" xfId="38706"/>
    <cellStyle name="Saída 27 11" xfId="23265"/>
    <cellStyle name="Saída 27 11 2" xfId="38707"/>
    <cellStyle name="Saída 27 12" xfId="23266"/>
    <cellStyle name="Saída 27 12 2" xfId="38708"/>
    <cellStyle name="Saída 27 13" xfId="23267"/>
    <cellStyle name="Saída 27 13 2" xfId="38709"/>
    <cellStyle name="Saída 27 14" xfId="23268"/>
    <cellStyle name="Saída 27 14 2" xfId="38710"/>
    <cellStyle name="Saída 27 15" xfId="23269"/>
    <cellStyle name="Saída 27 15 2" xfId="38711"/>
    <cellStyle name="Saída 27 16" xfId="23270"/>
    <cellStyle name="Saída 27 16 2" xfId="38712"/>
    <cellStyle name="Saída 27 17" xfId="38705"/>
    <cellStyle name="Saída 27 2" xfId="23271"/>
    <cellStyle name="Saída 27 2 2" xfId="38713"/>
    <cellStyle name="Saída 27 3" xfId="23272"/>
    <cellStyle name="Saída 27 3 2" xfId="38714"/>
    <cellStyle name="Saída 27 4" xfId="23273"/>
    <cellStyle name="Saída 27 4 2" xfId="38715"/>
    <cellStyle name="Saída 27 5" xfId="23274"/>
    <cellStyle name="Saída 27 5 2" xfId="38716"/>
    <cellStyle name="Saída 27 6" xfId="23275"/>
    <cellStyle name="Saída 27 6 2" xfId="38717"/>
    <cellStyle name="Saída 27 7" xfId="23276"/>
    <cellStyle name="Saída 27 7 2" xfId="38718"/>
    <cellStyle name="Saída 27 8" xfId="23277"/>
    <cellStyle name="Saída 27 8 2" xfId="38719"/>
    <cellStyle name="Saída 27 9" xfId="23278"/>
    <cellStyle name="Saída 27 9 2" xfId="38720"/>
    <cellStyle name="Saída 28" xfId="23279"/>
    <cellStyle name="Saída 28 10" xfId="23280"/>
    <cellStyle name="Saída 28 10 2" xfId="38722"/>
    <cellStyle name="Saída 28 11" xfId="23281"/>
    <cellStyle name="Saída 28 11 2" xfId="38723"/>
    <cellStyle name="Saída 28 12" xfId="23282"/>
    <cellStyle name="Saída 28 12 2" xfId="38724"/>
    <cellStyle name="Saída 28 13" xfId="23283"/>
    <cellStyle name="Saída 28 13 2" xfId="38725"/>
    <cellStyle name="Saída 28 14" xfId="23284"/>
    <cellStyle name="Saída 28 14 2" xfId="38726"/>
    <cellStyle name="Saída 28 15" xfId="23285"/>
    <cellStyle name="Saída 28 15 2" xfId="38727"/>
    <cellStyle name="Saída 28 16" xfId="23286"/>
    <cellStyle name="Saída 28 16 2" xfId="38728"/>
    <cellStyle name="Saída 28 17" xfId="38721"/>
    <cellStyle name="Saída 28 2" xfId="23287"/>
    <cellStyle name="Saída 28 2 2" xfId="38729"/>
    <cellStyle name="Saída 28 3" xfId="23288"/>
    <cellStyle name="Saída 28 3 2" xfId="38730"/>
    <cellStyle name="Saída 28 4" xfId="23289"/>
    <cellStyle name="Saída 28 4 2" xfId="38731"/>
    <cellStyle name="Saída 28 5" xfId="23290"/>
    <cellStyle name="Saída 28 5 2" xfId="38732"/>
    <cellStyle name="Saída 28 6" xfId="23291"/>
    <cellStyle name="Saída 28 6 2" xfId="38733"/>
    <cellStyle name="Saída 28 7" xfId="23292"/>
    <cellStyle name="Saída 28 7 2" xfId="38734"/>
    <cellStyle name="Saída 28 8" xfId="23293"/>
    <cellStyle name="Saída 28 8 2" xfId="38735"/>
    <cellStyle name="Saída 28 9" xfId="23294"/>
    <cellStyle name="Saída 28 9 2" xfId="38736"/>
    <cellStyle name="Saída 29" xfId="23295"/>
    <cellStyle name="Saída 29 10" xfId="23296"/>
    <cellStyle name="Saída 29 10 2" xfId="38738"/>
    <cellStyle name="Saída 29 11" xfId="23297"/>
    <cellStyle name="Saída 29 11 2" xfId="38739"/>
    <cellStyle name="Saída 29 12" xfId="23298"/>
    <cellStyle name="Saída 29 12 2" xfId="38740"/>
    <cellStyle name="Saída 29 13" xfId="23299"/>
    <cellStyle name="Saída 29 13 2" xfId="38741"/>
    <cellStyle name="Saída 29 14" xfId="23300"/>
    <cellStyle name="Saída 29 14 2" xfId="38742"/>
    <cellStyle name="Saída 29 15" xfId="23301"/>
    <cellStyle name="Saída 29 15 2" xfId="38743"/>
    <cellStyle name="Saída 29 16" xfId="23302"/>
    <cellStyle name="Saída 29 16 2" xfId="38744"/>
    <cellStyle name="Saída 29 17" xfId="38737"/>
    <cellStyle name="Saída 29 2" xfId="23303"/>
    <cellStyle name="Saída 29 2 2" xfId="38745"/>
    <cellStyle name="Saída 29 3" xfId="23304"/>
    <cellStyle name="Saída 29 3 2" xfId="38746"/>
    <cellStyle name="Saída 29 4" xfId="23305"/>
    <cellStyle name="Saída 29 4 2" xfId="38747"/>
    <cellStyle name="Saída 29 5" xfId="23306"/>
    <cellStyle name="Saída 29 5 2" xfId="38748"/>
    <cellStyle name="Saída 29 6" xfId="23307"/>
    <cellStyle name="Saída 29 6 2" xfId="38749"/>
    <cellStyle name="Saída 29 7" xfId="23308"/>
    <cellStyle name="Saída 29 7 2" xfId="38750"/>
    <cellStyle name="Saída 29 8" xfId="23309"/>
    <cellStyle name="Saída 29 8 2" xfId="38751"/>
    <cellStyle name="Saída 29 9" xfId="23310"/>
    <cellStyle name="Saída 29 9 2" xfId="38752"/>
    <cellStyle name="Saída 3" xfId="23311"/>
    <cellStyle name="Saída 3 10" xfId="23312"/>
    <cellStyle name="Saída 3 10 2" xfId="38753"/>
    <cellStyle name="Saída 3 11" xfId="23313"/>
    <cellStyle name="Saída 3 11 2" xfId="38754"/>
    <cellStyle name="Saída 3 12" xfId="40850"/>
    <cellStyle name="Saída 3 2" xfId="23314"/>
    <cellStyle name="Saída 3 2 2" xfId="29276"/>
    <cellStyle name="Saída 3 2 2 2" xfId="40851"/>
    <cellStyle name="Saída 3 3" xfId="23315"/>
    <cellStyle name="Saída 3 3 2" xfId="29277"/>
    <cellStyle name="Saída 3 3 2 2" xfId="40852"/>
    <cellStyle name="Saída 3 4" xfId="23316"/>
    <cellStyle name="Saída 3 4 2" xfId="29278"/>
    <cellStyle name="Saída 3 4 2 2" xfId="40853"/>
    <cellStyle name="Saída 3 5" xfId="23317"/>
    <cellStyle name="Saída 3 5 2" xfId="29279"/>
    <cellStyle name="Saída 3 6" xfId="23318"/>
    <cellStyle name="Saída 3 6 2" xfId="29280"/>
    <cellStyle name="Saída 3 7" xfId="23319"/>
    <cellStyle name="Saída 3 7 2" xfId="29281"/>
    <cellStyle name="Saída 3 8" xfId="23320"/>
    <cellStyle name="Saída 3 8 2" xfId="38755"/>
    <cellStyle name="Saída 3 9" xfId="23321"/>
    <cellStyle name="Saída 3 9 2" xfId="38756"/>
    <cellStyle name="Saída 30" xfId="23322"/>
    <cellStyle name="Saída 30 2" xfId="38757"/>
    <cellStyle name="Saída 31" xfId="23323"/>
    <cellStyle name="Saída 31 2" xfId="38758"/>
    <cellStyle name="Saída 32" xfId="23324"/>
    <cellStyle name="Saída 32 2" xfId="38759"/>
    <cellStyle name="Saída 33" xfId="23325"/>
    <cellStyle name="Saída 33 2" xfId="38760"/>
    <cellStyle name="Saída 34" xfId="23326"/>
    <cellStyle name="Saída 34 2" xfId="38761"/>
    <cellStyle name="Saída 35" xfId="23327"/>
    <cellStyle name="Saída 35 2" xfId="38762"/>
    <cellStyle name="Saída 36" xfId="23328"/>
    <cellStyle name="Saída 36 2" xfId="38763"/>
    <cellStyle name="Saída 37" xfId="23329"/>
    <cellStyle name="Saída 37 2" xfId="38764"/>
    <cellStyle name="Saída 38" xfId="23330"/>
    <cellStyle name="Saída 38 2" xfId="38765"/>
    <cellStyle name="Saída 39" xfId="23331"/>
    <cellStyle name="Saída 39 2" xfId="38766"/>
    <cellStyle name="Saída 4" xfId="23332"/>
    <cellStyle name="Saída 4 10" xfId="23333"/>
    <cellStyle name="Saída 4 10 2" xfId="38767"/>
    <cellStyle name="Saída 4 11" xfId="23334"/>
    <cellStyle name="Saída 4 11 2" xfId="38768"/>
    <cellStyle name="Saída 4 12" xfId="40854"/>
    <cellStyle name="Saída 4 2" xfId="23335"/>
    <cellStyle name="Saída 4 2 2" xfId="29282"/>
    <cellStyle name="Saída 4 2 2 2" xfId="40855"/>
    <cellStyle name="Saída 4 3" xfId="23336"/>
    <cellStyle name="Saída 4 3 2" xfId="29283"/>
    <cellStyle name="Saída 4 3 2 2" xfId="40856"/>
    <cellStyle name="Saída 4 4" xfId="23337"/>
    <cellStyle name="Saída 4 4 2" xfId="29284"/>
    <cellStyle name="Saída 4 4 2 2" xfId="40857"/>
    <cellStyle name="Saída 4 5" xfId="23338"/>
    <cellStyle name="Saída 4 5 2" xfId="29285"/>
    <cellStyle name="Saída 4 6" xfId="23339"/>
    <cellStyle name="Saída 4 6 2" xfId="29286"/>
    <cellStyle name="Saída 4 7" xfId="23340"/>
    <cellStyle name="Saída 4 7 2" xfId="29287"/>
    <cellStyle name="Saída 4 8" xfId="23341"/>
    <cellStyle name="Saída 4 8 2" xfId="38769"/>
    <cellStyle name="Saída 4 9" xfId="23342"/>
    <cellStyle name="Saída 4 9 2" xfId="38770"/>
    <cellStyle name="Saída 40" xfId="23343"/>
    <cellStyle name="Saída 40 2" xfId="38771"/>
    <cellStyle name="Saída 41" xfId="23344"/>
    <cellStyle name="Saída 41 2" xfId="38772"/>
    <cellStyle name="Saída 42" xfId="23345"/>
    <cellStyle name="Saída 42 2" xfId="38773"/>
    <cellStyle name="Saída 43" xfId="23346"/>
    <cellStyle name="Saída 43 2" xfId="38774"/>
    <cellStyle name="Saída 44" xfId="23347"/>
    <cellStyle name="Saída 44 2" xfId="38775"/>
    <cellStyle name="Saída 45" xfId="23348"/>
    <cellStyle name="Saída 45 2" xfId="38776"/>
    <cellStyle name="Saída 46" xfId="23349"/>
    <cellStyle name="Saída 46 2" xfId="38777"/>
    <cellStyle name="Saída 47" xfId="23350"/>
    <cellStyle name="Saída 47 2" xfId="38778"/>
    <cellStyle name="Saída 48" xfId="23351"/>
    <cellStyle name="Saída 48 2" xfId="38779"/>
    <cellStyle name="Saída 49" xfId="23352"/>
    <cellStyle name="Saída 49 2" xfId="38780"/>
    <cellStyle name="Saída 5" xfId="23353"/>
    <cellStyle name="Saída 5 2" xfId="23354"/>
    <cellStyle name="Saída 5 2 2" xfId="29289"/>
    <cellStyle name="Saída 5 3" xfId="23355"/>
    <cellStyle name="Saída 5 3 2" xfId="29290"/>
    <cellStyle name="Saída 5 4" xfId="23356"/>
    <cellStyle name="Saída 5 4 2" xfId="29291"/>
    <cellStyle name="Saída 5 5" xfId="29288"/>
    <cellStyle name="Saída 5 5 2" xfId="40858"/>
    <cellStyle name="Saída 50" xfId="23357"/>
    <cellStyle name="Saída 50 2" xfId="38781"/>
    <cellStyle name="Saída 51" xfId="23358"/>
    <cellStyle name="Saída 51 2" xfId="38782"/>
    <cellStyle name="Saída 52" xfId="23359"/>
    <cellStyle name="Saída 52 2" xfId="38783"/>
    <cellStyle name="Saída 53" xfId="23360"/>
    <cellStyle name="Saída 53 2" xfId="38784"/>
    <cellStyle name="Saída 54" xfId="23361"/>
    <cellStyle name="Saída 54 2" xfId="38785"/>
    <cellStyle name="Saída 55" xfId="23362"/>
    <cellStyle name="Saída 55 2" xfId="38786"/>
    <cellStyle name="Saída 56" xfId="23363"/>
    <cellStyle name="Saída 56 2" xfId="38787"/>
    <cellStyle name="Saída 57" xfId="23364"/>
    <cellStyle name="Saída 57 2" xfId="38788"/>
    <cellStyle name="Saída 58" xfId="23365"/>
    <cellStyle name="Saída 58 2" xfId="38789"/>
    <cellStyle name="Saída 59" xfId="23366"/>
    <cellStyle name="Saída 59 2" xfId="38790"/>
    <cellStyle name="Saída 6" xfId="23367"/>
    <cellStyle name="Saída 6 2" xfId="23368"/>
    <cellStyle name="Saída 6 2 2" xfId="29293"/>
    <cellStyle name="Saída 6 3" xfId="23369"/>
    <cellStyle name="Saída 6 3 2" xfId="29294"/>
    <cellStyle name="Saída 6 4" xfId="23370"/>
    <cellStyle name="Saída 6 4 2" xfId="29295"/>
    <cellStyle name="Saída 6 5" xfId="29292"/>
    <cellStyle name="Saída 6 5 2" xfId="40859"/>
    <cellStyle name="Saída 60" xfId="23371"/>
    <cellStyle name="Saída 60 2" xfId="38791"/>
    <cellStyle name="Saída 61" xfId="23372"/>
    <cellStyle name="Saída 61 2" xfId="38792"/>
    <cellStyle name="Saída 62" xfId="23373"/>
    <cellStyle name="Saída 62 2" xfId="38793"/>
    <cellStyle name="Saída 63" xfId="23374"/>
    <cellStyle name="Saída 63 2" xfId="38794"/>
    <cellStyle name="Saída 64" xfId="23375"/>
    <cellStyle name="Saída 64 2" xfId="38795"/>
    <cellStyle name="Saída 65" xfId="23376"/>
    <cellStyle name="Saída 65 2" xfId="38796"/>
    <cellStyle name="Saída 66" xfId="23377"/>
    <cellStyle name="Saída 66 2" xfId="38797"/>
    <cellStyle name="Saída 67" xfId="23378"/>
    <cellStyle name="Saída 67 2" xfId="38798"/>
    <cellStyle name="Saída 68" xfId="23379"/>
    <cellStyle name="Saída 68 2" xfId="38799"/>
    <cellStyle name="Saída 69" xfId="23380"/>
    <cellStyle name="Saída 69 2" xfId="38800"/>
    <cellStyle name="Saída 7" xfId="23381"/>
    <cellStyle name="Saída 7 2" xfId="23382"/>
    <cellStyle name="Saída 7 2 2" xfId="29297"/>
    <cellStyle name="Saída 7 3" xfId="23383"/>
    <cellStyle name="Saída 7 3 2" xfId="29298"/>
    <cellStyle name="Saída 7 4" xfId="23384"/>
    <cellStyle name="Saída 7 4 2" xfId="29299"/>
    <cellStyle name="Saída 7 5" xfId="29296"/>
    <cellStyle name="Saída 7 5 2" xfId="40860"/>
    <cellStyle name="Saída 70" xfId="23385"/>
    <cellStyle name="Saída 70 2" xfId="38801"/>
    <cellStyle name="Saída 71" xfId="23386"/>
    <cellStyle name="Saída 71 2" xfId="38802"/>
    <cellStyle name="Saída 72" xfId="23387"/>
    <cellStyle name="Saída 72 2" xfId="38803"/>
    <cellStyle name="Saída 73" xfId="23388"/>
    <cellStyle name="Saída 73 2" xfId="38804"/>
    <cellStyle name="Saída 74" xfId="23389"/>
    <cellStyle name="Saída 74 2" xfId="38805"/>
    <cellStyle name="Saída 75" xfId="23390"/>
    <cellStyle name="Saída 75 2" xfId="38806"/>
    <cellStyle name="Saída 76" xfId="23391"/>
    <cellStyle name="Saída 76 2" xfId="38807"/>
    <cellStyle name="Saída 77" xfId="23392"/>
    <cellStyle name="Saída 77 2" xfId="38808"/>
    <cellStyle name="Saída 78" xfId="23393"/>
    <cellStyle name="Saída 78 2" xfId="38809"/>
    <cellStyle name="Saída 79" xfId="23394"/>
    <cellStyle name="Saída 79 2" xfId="38810"/>
    <cellStyle name="Saída 8" xfId="23395"/>
    <cellStyle name="Saída 8 2" xfId="23396"/>
    <cellStyle name="Saída 8 2 2" xfId="29301"/>
    <cellStyle name="Saída 8 3" xfId="23397"/>
    <cellStyle name="Saída 8 3 2" xfId="29302"/>
    <cellStyle name="Saída 8 4" xfId="23398"/>
    <cellStyle name="Saída 8 4 2" xfId="29303"/>
    <cellStyle name="Saída 8 5" xfId="29300"/>
    <cellStyle name="Saída 8 5 2" xfId="40861"/>
    <cellStyle name="Saída 80" xfId="23399"/>
    <cellStyle name="Saída 80 2" xfId="38811"/>
    <cellStyle name="Saída 81" xfId="23400"/>
    <cellStyle name="Saída 81 2" xfId="38812"/>
    <cellStyle name="Saída 82" xfId="23401"/>
    <cellStyle name="Saída 82 2" xfId="38813"/>
    <cellStyle name="Saída 83" xfId="23402"/>
    <cellStyle name="Saída 83 2" xfId="38814"/>
    <cellStyle name="Saída 84" xfId="23403"/>
    <cellStyle name="Saída 84 2" xfId="38815"/>
    <cellStyle name="Saída 85" xfId="23404"/>
    <cellStyle name="Saída 85 2" xfId="38816"/>
    <cellStyle name="Saída 86" xfId="23405"/>
    <cellStyle name="Saída 86 2" xfId="38817"/>
    <cellStyle name="Saída 87" xfId="23406"/>
    <cellStyle name="Saída 87 2" xfId="38818"/>
    <cellStyle name="Saída 88" xfId="23407"/>
    <cellStyle name="Saída 88 2" xfId="38819"/>
    <cellStyle name="Saída 89" xfId="23408"/>
    <cellStyle name="Saída 89 2" xfId="38820"/>
    <cellStyle name="Saída 9" xfId="23409"/>
    <cellStyle name="Saída 9 2" xfId="29304"/>
    <cellStyle name="Saída 9 2 2" xfId="40862"/>
    <cellStyle name="Saída 90" xfId="23410"/>
    <cellStyle name="Saída 90 2" xfId="38821"/>
    <cellStyle name="Saída 91" xfId="23411"/>
    <cellStyle name="Saída 91 2" xfId="38822"/>
    <cellStyle name="Saída 92" xfId="23412"/>
    <cellStyle name="Saída 92 2" xfId="38823"/>
    <cellStyle name="Saída 93" xfId="23413"/>
    <cellStyle name="Saída 93 2" xfId="38824"/>
    <cellStyle name="Saída 94" xfId="23414"/>
    <cellStyle name="Saída 94 2" xfId="38825"/>
    <cellStyle name="Saída 95" xfId="23415"/>
    <cellStyle name="Saída 95 2" xfId="38826"/>
    <cellStyle name="Saída 96" xfId="23416"/>
    <cellStyle name="Saída 96 2" xfId="38827"/>
    <cellStyle name="Saída 97" xfId="23417"/>
    <cellStyle name="Saída 97 2" xfId="38828"/>
    <cellStyle name="Saída 98" xfId="23418"/>
    <cellStyle name="Saída 98 2" xfId="38829"/>
    <cellStyle name="Saída 99" xfId="23419"/>
    <cellStyle name="Saída 99 2" xfId="38830"/>
    <cellStyle name="Separador de milhares 10" xfId="23420"/>
    <cellStyle name="Separador de milhares 10 2" xfId="23421"/>
    <cellStyle name="Separador de milhares 10 2 2" xfId="23422"/>
    <cellStyle name="Separador de milhares 10 2 3" xfId="23423"/>
    <cellStyle name="Separador de milhares 10 2 4" xfId="23424"/>
    <cellStyle name="Separador de milhares 10 2 5" xfId="23425"/>
    <cellStyle name="Separador de milhares 10 2 6" xfId="23426"/>
    <cellStyle name="Separador de milhares 10 2 7" xfId="23427"/>
    <cellStyle name="Separador de milhares 10 3" xfId="23428"/>
    <cellStyle name="Separador de milhares 10 4" xfId="23429"/>
    <cellStyle name="Separador de milhares 10 5" xfId="23430"/>
    <cellStyle name="Separador de milhares 10 6" xfId="23431"/>
    <cellStyle name="Separador de milhares 11" xfId="23432"/>
    <cellStyle name="Separador de milhares 11 2" xfId="23433"/>
    <cellStyle name="Separador de milhares 11 3" xfId="23434"/>
    <cellStyle name="Separador de milhares 12" xfId="23435"/>
    <cellStyle name="Separador de milhares 13" xfId="23436"/>
    <cellStyle name="Separador de milhares 14" xfId="23437"/>
    <cellStyle name="Separador de milhares 15" xfId="23438"/>
    <cellStyle name="Separador de milhares 16" xfId="23439"/>
    <cellStyle name="Separador de milhares 17" xfId="23440"/>
    <cellStyle name="Separador de milhares 18" xfId="23441"/>
    <cellStyle name="Separador de milhares 19" xfId="23442"/>
    <cellStyle name="Separador de milhares 2" xfId="22"/>
    <cellStyle name="Separador de milhares 2 10" xfId="23443"/>
    <cellStyle name="Separador de milhares 2 10 10" xfId="23444"/>
    <cellStyle name="Separador de milhares 2 10 11" xfId="23445"/>
    <cellStyle name="Separador de milhares 2 10 2" xfId="23446"/>
    <cellStyle name="Separador de milhares 2 10 2 2" xfId="23447"/>
    <cellStyle name="Separador de milhares 2 10 2 3" xfId="23448"/>
    <cellStyle name="Separador de milhares 2 10 2 4" xfId="23449"/>
    <cellStyle name="Separador de milhares 2 10 2 5" xfId="23450"/>
    <cellStyle name="Separador de milhares 2 10 2 6" xfId="23451"/>
    <cellStyle name="Separador de milhares 2 10 2 7" xfId="23452"/>
    <cellStyle name="Separador de milhares 2 10 3" xfId="23453"/>
    <cellStyle name="Separador de milhares 2 10 4" xfId="23454"/>
    <cellStyle name="Separador de milhares 2 10 5" xfId="23455"/>
    <cellStyle name="Separador de milhares 2 10 6" xfId="23456"/>
    <cellStyle name="Separador de milhares 2 10 7" xfId="23457"/>
    <cellStyle name="Separador de milhares 2 10 8" xfId="23458"/>
    <cellStyle name="Separador de milhares 2 10 9" xfId="23459"/>
    <cellStyle name="Separador de milhares 2 100" xfId="23460"/>
    <cellStyle name="Separador de milhares 2 100 2" xfId="23461"/>
    <cellStyle name="Separador de milhares 2 101" xfId="23462"/>
    <cellStyle name="Separador de milhares 2 101 2" xfId="23463"/>
    <cellStyle name="Separador de milhares 2 102" xfId="23464"/>
    <cellStyle name="Separador de milhares 2 102 2" xfId="23465"/>
    <cellStyle name="Separador de milhares 2 103" xfId="23466"/>
    <cellStyle name="Separador de milhares 2 103 2" xfId="23467"/>
    <cellStyle name="Separador de milhares 2 104" xfId="23468"/>
    <cellStyle name="Separador de milhares 2 104 2" xfId="23469"/>
    <cellStyle name="Separador de milhares 2 105" xfId="23470"/>
    <cellStyle name="Separador de milhares 2 105 2" xfId="23471"/>
    <cellStyle name="Separador de milhares 2 106" xfId="23472"/>
    <cellStyle name="Separador de milhares 2 106 2" xfId="23473"/>
    <cellStyle name="Separador de milhares 2 107" xfId="23474"/>
    <cellStyle name="Separador de milhares 2 107 2" xfId="23475"/>
    <cellStyle name="Separador de milhares 2 108" xfId="23476"/>
    <cellStyle name="Separador de milhares 2 108 2" xfId="23477"/>
    <cellStyle name="Separador de milhares 2 109" xfId="23478"/>
    <cellStyle name="Separador de milhares 2 109 2" xfId="23479"/>
    <cellStyle name="Separador de milhares 2 11" xfId="23480"/>
    <cellStyle name="Separador de milhares 2 11 10" xfId="23481"/>
    <cellStyle name="Separador de milhares 2 11 11" xfId="23482"/>
    <cellStyle name="Separador de milhares 2 11 2" xfId="23483"/>
    <cellStyle name="Separador de milhares 2 11 2 2" xfId="23484"/>
    <cellStyle name="Separador de milhares 2 11 2 3" xfId="23485"/>
    <cellStyle name="Separador de milhares 2 11 2 4" xfId="23486"/>
    <cellStyle name="Separador de milhares 2 11 2 5" xfId="23487"/>
    <cellStyle name="Separador de milhares 2 11 2 6" xfId="23488"/>
    <cellStyle name="Separador de milhares 2 11 2 7" xfId="23489"/>
    <cellStyle name="Separador de milhares 2 11 3" xfId="23490"/>
    <cellStyle name="Separador de milhares 2 11 4" xfId="23491"/>
    <cellStyle name="Separador de milhares 2 11 5" xfId="23492"/>
    <cellStyle name="Separador de milhares 2 11 6" xfId="23493"/>
    <cellStyle name="Separador de milhares 2 11 7" xfId="23494"/>
    <cellStyle name="Separador de milhares 2 11 8" xfId="23495"/>
    <cellStyle name="Separador de milhares 2 11 9" xfId="23496"/>
    <cellStyle name="Separador de milhares 2 110" xfId="23497"/>
    <cellStyle name="Separador de milhares 2 110 2" xfId="23498"/>
    <cellStyle name="Separador de milhares 2 111" xfId="23499"/>
    <cellStyle name="Separador de milhares 2 112" xfId="23500"/>
    <cellStyle name="Separador de milhares 2 113" xfId="23501"/>
    <cellStyle name="Separador de milhares 2 114" xfId="23502"/>
    <cellStyle name="Separador de milhares 2 115" xfId="23503"/>
    <cellStyle name="Separador de milhares 2 116" xfId="23504"/>
    <cellStyle name="Separador de milhares 2 117" xfId="23505"/>
    <cellStyle name="Separador de milhares 2 118" xfId="23506"/>
    <cellStyle name="Separador de milhares 2 119" xfId="23507"/>
    <cellStyle name="Separador de milhares 2 12" xfId="23508"/>
    <cellStyle name="Separador de milhares 2 12 10" xfId="23509"/>
    <cellStyle name="Separador de milhares 2 12 11" xfId="23510"/>
    <cellStyle name="Separador de milhares 2 12 2" xfId="23511"/>
    <cellStyle name="Separador de milhares 2 12 2 2" xfId="23512"/>
    <cellStyle name="Separador de milhares 2 12 2 3" xfId="23513"/>
    <cellStyle name="Separador de milhares 2 12 2 4" xfId="23514"/>
    <cellStyle name="Separador de milhares 2 12 2 5" xfId="23515"/>
    <cellStyle name="Separador de milhares 2 12 2 6" xfId="23516"/>
    <cellStyle name="Separador de milhares 2 12 2 7" xfId="23517"/>
    <cellStyle name="Separador de milhares 2 12 3" xfId="23518"/>
    <cellStyle name="Separador de milhares 2 12 4" xfId="23519"/>
    <cellStyle name="Separador de milhares 2 12 5" xfId="23520"/>
    <cellStyle name="Separador de milhares 2 12 6" xfId="23521"/>
    <cellStyle name="Separador de milhares 2 12 7" xfId="23522"/>
    <cellStyle name="Separador de milhares 2 12 8" xfId="23523"/>
    <cellStyle name="Separador de milhares 2 12 9" xfId="23524"/>
    <cellStyle name="Separador de milhares 2 120" xfId="23525"/>
    <cellStyle name="Separador de milhares 2 121" xfId="23526"/>
    <cellStyle name="Separador de milhares 2 122" xfId="23527"/>
    <cellStyle name="Separador de milhares 2 123" xfId="23528"/>
    <cellStyle name="Separador de milhares 2 124" xfId="23529"/>
    <cellStyle name="Separador de milhares 2 125" xfId="23530"/>
    <cellStyle name="Separador de milhares 2 126" xfId="23531"/>
    <cellStyle name="Separador de milhares 2 127" xfId="23532"/>
    <cellStyle name="Separador de milhares 2 128" xfId="23533"/>
    <cellStyle name="Separador de milhares 2 129" xfId="23534"/>
    <cellStyle name="Separador de milhares 2 13" xfId="23535"/>
    <cellStyle name="Separador de milhares 2 13 10" xfId="23536"/>
    <cellStyle name="Separador de milhares 2 13 11" xfId="23537"/>
    <cellStyle name="Separador de milhares 2 13 12" xfId="23538"/>
    <cellStyle name="Separador de milhares 2 13 13" xfId="23539"/>
    <cellStyle name="Separador de milhares 2 13 14" xfId="23540"/>
    <cellStyle name="Separador de milhares 2 13 15" xfId="23541"/>
    <cellStyle name="Separador de milhares 2 13 16" xfId="23542"/>
    <cellStyle name="Separador de milhares 2 13 17" xfId="23543"/>
    <cellStyle name="Separador de milhares 2 13 18" xfId="23544"/>
    <cellStyle name="Separador de milhares 2 13 19" xfId="23545"/>
    <cellStyle name="Separador de milhares 2 13 2" xfId="23546"/>
    <cellStyle name="Separador de milhares 2 13 20" xfId="23547"/>
    <cellStyle name="Separador de milhares 2 13 3" xfId="23548"/>
    <cellStyle name="Separador de milhares 2 13 4" xfId="23549"/>
    <cellStyle name="Separador de milhares 2 13 5" xfId="23550"/>
    <cellStyle name="Separador de milhares 2 13 6" xfId="23551"/>
    <cellStyle name="Separador de milhares 2 13 7" xfId="23552"/>
    <cellStyle name="Separador de milhares 2 13 8" xfId="23553"/>
    <cellStyle name="Separador de milhares 2 13 9" xfId="23554"/>
    <cellStyle name="Separador de milhares 2 130" xfId="23555"/>
    <cellStyle name="Separador de milhares 2 131" xfId="23556"/>
    <cellStyle name="Separador de milhares 2 132" xfId="23557"/>
    <cellStyle name="Separador de milhares 2 133" xfId="23558"/>
    <cellStyle name="Separador de milhares 2 134" xfId="23559"/>
    <cellStyle name="Separador de milhares 2 135" xfId="23560"/>
    <cellStyle name="Separador de milhares 2 136" xfId="23561"/>
    <cellStyle name="Separador de milhares 2 137" xfId="23562"/>
    <cellStyle name="Separador de milhares 2 138" xfId="23563"/>
    <cellStyle name="Separador de milhares 2 139" xfId="23564"/>
    <cellStyle name="Separador de milhares 2 14" xfId="23565"/>
    <cellStyle name="Separador de milhares 2 14 2" xfId="23566"/>
    <cellStyle name="Separador de milhares 2 14 3" xfId="23567"/>
    <cellStyle name="Separador de milhares 2 140" xfId="23568"/>
    <cellStyle name="Separador de milhares 2 141" xfId="23569"/>
    <cellStyle name="Separador de milhares 2 142" xfId="23570"/>
    <cellStyle name="Separador de milhares 2 143" xfId="23571"/>
    <cellStyle name="Separador de milhares 2 144" xfId="23572"/>
    <cellStyle name="Separador de milhares 2 145" xfId="23573"/>
    <cellStyle name="Separador de milhares 2 146" xfId="23574"/>
    <cellStyle name="Separador de milhares 2 147" xfId="23575"/>
    <cellStyle name="Separador de milhares 2 148" xfId="23576"/>
    <cellStyle name="Separador de milhares 2 149" xfId="23577"/>
    <cellStyle name="Separador de milhares 2 15" xfId="23578"/>
    <cellStyle name="Separador de milhares 2 15 2" xfId="23579"/>
    <cellStyle name="Separador de milhares 2 15 3" xfId="23580"/>
    <cellStyle name="Separador de milhares 2 150" xfId="23581"/>
    <cellStyle name="Separador de milhares 2 151" xfId="23582"/>
    <cellStyle name="Separador de milhares 2 152" xfId="23583"/>
    <cellStyle name="Separador de milhares 2 153" xfId="23584"/>
    <cellStyle name="Separador de milhares 2 154" xfId="23585"/>
    <cellStyle name="Separador de milhares 2 155" xfId="23586"/>
    <cellStyle name="Separador de milhares 2 156" xfId="23587"/>
    <cellStyle name="Separador de milhares 2 157" xfId="23588"/>
    <cellStyle name="Separador de milhares 2 158" xfId="23589"/>
    <cellStyle name="Separador de milhares 2 159" xfId="23590"/>
    <cellStyle name="Separador de milhares 2 16" xfId="23591"/>
    <cellStyle name="Separador de milhares 2 16 2" xfId="23592"/>
    <cellStyle name="Separador de milhares 2 16 3" xfId="23593"/>
    <cellStyle name="Separador de milhares 2 160" xfId="23594"/>
    <cellStyle name="Separador de milhares 2 161" xfId="23595"/>
    <cellStyle name="Separador de milhares 2 162" xfId="23596"/>
    <cellStyle name="Separador de milhares 2 163" xfId="23597"/>
    <cellStyle name="Separador de milhares 2 164" xfId="23598"/>
    <cellStyle name="Separador de milhares 2 165" xfId="23599"/>
    <cellStyle name="Separador de milhares 2 166" xfId="23600"/>
    <cellStyle name="Separador de milhares 2 167" xfId="23601"/>
    <cellStyle name="Separador de milhares 2 168" xfId="23602"/>
    <cellStyle name="Separador de milhares 2 169" xfId="23603"/>
    <cellStyle name="Separador de milhares 2 17" xfId="23604"/>
    <cellStyle name="Separador de milhares 2 17 2" xfId="23605"/>
    <cellStyle name="Separador de milhares 2 17 3" xfId="23606"/>
    <cellStyle name="Separador de milhares 2 170" xfId="23607"/>
    <cellStyle name="Separador de milhares 2 171" xfId="23608"/>
    <cellStyle name="Separador de milhares 2 172" xfId="23609"/>
    <cellStyle name="Separador de milhares 2 173" xfId="23610"/>
    <cellStyle name="Separador de milhares 2 174" xfId="23611"/>
    <cellStyle name="Separador de milhares 2 175" xfId="23612"/>
    <cellStyle name="Separador de milhares 2 176" xfId="23613"/>
    <cellStyle name="Separador de milhares 2 177" xfId="23614"/>
    <cellStyle name="Separador de milhares 2 178" xfId="23615"/>
    <cellStyle name="Separador de milhares 2 179" xfId="23616"/>
    <cellStyle name="Separador de milhares 2 18" xfId="23617"/>
    <cellStyle name="Separador de milhares 2 18 2" xfId="23618"/>
    <cellStyle name="Separador de milhares 2 18 3" xfId="23619"/>
    <cellStyle name="Separador de milhares 2 180" xfId="23620"/>
    <cellStyle name="Separador de milhares 2 181" xfId="23621"/>
    <cellStyle name="Separador de milhares 2 182" xfId="23622"/>
    <cellStyle name="Separador de milhares 2 183" xfId="23623"/>
    <cellStyle name="Separador de milhares 2 184" xfId="23624"/>
    <cellStyle name="Separador de milhares 2 185" xfId="23625"/>
    <cellStyle name="Separador de milhares 2 186" xfId="23626"/>
    <cellStyle name="Separador de milhares 2 187" xfId="23627"/>
    <cellStyle name="Separador de milhares 2 188" xfId="23628"/>
    <cellStyle name="Separador de milhares 2 189" xfId="23629"/>
    <cellStyle name="Separador de milhares 2 19" xfId="23630"/>
    <cellStyle name="Separador de milhares 2 19 2" xfId="23631"/>
    <cellStyle name="Separador de milhares 2 19 3" xfId="23632"/>
    <cellStyle name="Separador de milhares 2 190" xfId="23633"/>
    <cellStyle name="Separador de milhares 2 191" xfId="23634"/>
    <cellStyle name="Separador de milhares 2 192" xfId="23635"/>
    <cellStyle name="Separador de milhares 2 193" xfId="23636"/>
    <cellStyle name="Separador de milhares 2 194" xfId="23637"/>
    <cellStyle name="Separador de milhares 2 195" xfId="23638"/>
    <cellStyle name="Separador de milhares 2 196" xfId="23639"/>
    <cellStyle name="Separador de milhares 2 197" xfId="23640"/>
    <cellStyle name="Separador de milhares 2 198" xfId="23641"/>
    <cellStyle name="Separador de milhares 2 199" xfId="23642"/>
    <cellStyle name="Separador de milhares 2 2" xfId="23643"/>
    <cellStyle name="Separador de milhares 2 2 10" xfId="23644"/>
    <cellStyle name="Separador de milhares 2 2 10 2" xfId="23645"/>
    <cellStyle name="Separador de milhares 2 2 11" xfId="23646"/>
    <cellStyle name="Separador de milhares 2 2 11 2" xfId="23647"/>
    <cellStyle name="Separador de milhares 2 2 12" xfId="23648"/>
    <cellStyle name="Separador de milhares 2 2 12 2" xfId="23649"/>
    <cellStyle name="Separador de milhares 2 2 13" xfId="23650"/>
    <cellStyle name="Separador de milhares 2 2 13 2" xfId="23651"/>
    <cellStyle name="Separador de milhares 2 2 14" xfId="23652"/>
    <cellStyle name="Separador de milhares 2 2 15" xfId="23653"/>
    <cellStyle name="Separador de milhares 2 2 16" xfId="23654"/>
    <cellStyle name="Separador de milhares 2 2 17" xfId="23655"/>
    <cellStyle name="Separador de milhares 2 2 18" xfId="23656"/>
    <cellStyle name="Separador de milhares 2 2 19" xfId="23657"/>
    <cellStyle name="Separador de milhares 2 2 2" xfId="23658"/>
    <cellStyle name="Separador de milhares 2 2 2 10" xfId="23659"/>
    <cellStyle name="Separador de milhares 2 2 2 11" xfId="23660"/>
    <cellStyle name="Separador de milhares 2 2 2 12" xfId="23661"/>
    <cellStyle name="Separador de milhares 2 2 2 13" xfId="23662"/>
    <cellStyle name="Separador de milhares 2 2 2 14" xfId="23663"/>
    <cellStyle name="Separador de milhares 2 2 2 15" xfId="23664"/>
    <cellStyle name="Separador de milhares 2 2 2 16" xfId="23665"/>
    <cellStyle name="Separador de milhares 2 2 2 17" xfId="23666"/>
    <cellStyle name="Separador de milhares 2 2 2 18" xfId="23667"/>
    <cellStyle name="Separador de milhares 2 2 2 19" xfId="23668"/>
    <cellStyle name="Separador de milhares 2 2 2 2" xfId="23669"/>
    <cellStyle name="Separador de milhares 2 2 2 2 2" xfId="23670"/>
    <cellStyle name="Separador de milhares 2 2 2 2 3" xfId="23671"/>
    <cellStyle name="Separador de milhares 2 2 2 2 4" xfId="23672"/>
    <cellStyle name="Separador de milhares 2 2 2 2 5" xfId="23673"/>
    <cellStyle name="Separador de milhares 2 2 2 2 6" xfId="23674"/>
    <cellStyle name="Separador de milhares 2 2 2 2 7" xfId="23675"/>
    <cellStyle name="Separador de milhares 2 2 2 20" xfId="23676"/>
    <cellStyle name="Separador de milhares 2 2 2 21" xfId="23677"/>
    <cellStyle name="Separador de milhares 2 2 2 22" xfId="23678"/>
    <cellStyle name="Separador de milhares 2 2 2 23" xfId="23679"/>
    <cellStyle name="Separador de milhares 2 2 2 3" xfId="23680"/>
    <cellStyle name="Separador de milhares 2 2 2 4" xfId="23681"/>
    <cellStyle name="Separador de milhares 2 2 2 5" xfId="23682"/>
    <cellStyle name="Separador de milhares 2 2 2 6" xfId="23683"/>
    <cellStyle name="Separador de milhares 2 2 2 7" xfId="23684"/>
    <cellStyle name="Separador de milhares 2 2 2 8" xfId="23685"/>
    <cellStyle name="Separador de milhares 2 2 2 9" xfId="23686"/>
    <cellStyle name="Separador de milhares 2 2 20" xfId="23687"/>
    <cellStyle name="Separador de milhares 2 2 21" xfId="23688"/>
    <cellStyle name="Separador de milhares 2 2 22" xfId="23689"/>
    <cellStyle name="Separador de milhares 2 2 23" xfId="23690"/>
    <cellStyle name="Separador de milhares 2 2 3" xfId="23691"/>
    <cellStyle name="Separador de milhares 2 2 3 2" xfId="41043"/>
    <cellStyle name="Separador de milhares 2 2 4" xfId="23692"/>
    <cellStyle name="Separador de milhares 2 2 4 10" xfId="23693"/>
    <cellStyle name="Separador de milhares 2 2 4 11" xfId="23694"/>
    <cellStyle name="Separador de milhares 2 2 4 12" xfId="23695"/>
    <cellStyle name="Separador de milhares 2 2 4 13" xfId="23696"/>
    <cellStyle name="Separador de milhares 2 2 4 14" xfId="23697"/>
    <cellStyle name="Separador de milhares 2 2 4 15" xfId="23698"/>
    <cellStyle name="Separador de milhares 2 2 4 16" xfId="23699"/>
    <cellStyle name="Separador de milhares 2 2 4 2" xfId="23700"/>
    <cellStyle name="Separador de milhares 2 2 4 3" xfId="23701"/>
    <cellStyle name="Separador de milhares 2 2 4 4" xfId="23702"/>
    <cellStyle name="Separador de milhares 2 2 4 5" xfId="23703"/>
    <cellStyle name="Separador de milhares 2 2 4 6" xfId="23704"/>
    <cellStyle name="Separador de milhares 2 2 4 7" xfId="23705"/>
    <cellStyle name="Separador de milhares 2 2 4 8" xfId="23706"/>
    <cellStyle name="Separador de milhares 2 2 4 9" xfId="23707"/>
    <cellStyle name="Separador de milhares 2 2 5" xfId="23708"/>
    <cellStyle name="Separador de milhares 2 2 5 2" xfId="23709"/>
    <cellStyle name="Separador de milhares 2 2 6" xfId="23710"/>
    <cellStyle name="Separador de milhares 2 2 6 2" xfId="23711"/>
    <cellStyle name="Separador de milhares 2 2 7" xfId="23712"/>
    <cellStyle name="Separador de milhares 2 2 7 2" xfId="23713"/>
    <cellStyle name="Separador de milhares 2 2 8" xfId="23714"/>
    <cellStyle name="Separador de milhares 2 2 8 2" xfId="23715"/>
    <cellStyle name="Separador de milhares 2 2 9" xfId="23716"/>
    <cellStyle name="Separador de milhares 2 2 9 2" xfId="23717"/>
    <cellStyle name="Separador de milhares 2 20" xfId="23718"/>
    <cellStyle name="Separador de milhares 2 20 2" xfId="23719"/>
    <cellStyle name="Separador de milhares 2 20 3" xfId="23720"/>
    <cellStyle name="Separador de milhares 2 200" xfId="23721"/>
    <cellStyle name="Separador de milhares 2 201" xfId="23722"/>
    <cellStyle name="Separador de milhares 2 202" xfId="23723"/>
    <cellStyle name="Separador de milhares 2 203" xfId="23724"/>
    <cellStyle name="Separador de milhares 2 204" xfId="23725"/>
    <cellStyle name="Separador de milhares 2 205" xfId="23726"/>
    <cellStyle name="Separador de milhares 2 206" xfId="23727"/>
    <cellStyle name="Separador de milhares 2 207" xfId="23728"/>
    <cellStyle name="Separador de milhares 2 208" xfId="23729"/>
    <cellStyle name="Separador de milhares 2 209" xfId="23730"/>
    <cellStyle name="Separador de milhares 2 21" xfId="23731"/>
    <cellStyle name="Separador de milhares 2 21 2" xfId="23732"/>
    <cellStyle name="Separador de milhares 2 21 3" xfId="23733"/>
    <cellStyle name="Separador de milhares 2 210" xfId="23734"/>
    <cellStyle name="Separador de milhares 2 211" xfId="23735"/>
    <cellStyle name="Separador de milhares 2 212" xfId="23736"/>
    <cellStyle name="Separador de milhares 2 213" xfId="23737"/>
    <cellStyle name="Separador de milhares 2 214" xfId="23738"/>
    <cellStyle name="Separador de milhares 2 215" xfId="23739"/>
    <cellStyle name="Separador de milhares 2 22" xfId="23740"/>
    <cellStyle name="Separador de milhares 2 22 2" xfId="23741"/>
    <cellStyle name="Separador de milhares 2 22 3" xfId="23742"/>
    <cellStyle name="Separador de milhares 2 23" xfId="23743"/>
    <cellStyle name="Separador de milhares 2 24" xfId="23744"/>
    <cellStyle name="Separador de milhares 2 25" xfId="23745"/>
    <cellStyle name="Separador de milhares 2 26" xfId="23746"/>
    <cellStyle name="Separador de milhares 2 27" xfId="23747"/>
    <cellStyle name="Separador de milhares 2 28" xfId="23748"/>
    <cellStyle name="Separador de milhares 2 29" xfId="23749"/>
    <cellStyle name="Separador de milhares 2 3" xfId="23750"/>
    <cellStyle name="Separador de milhares 2 3 10" xfId="23751"/>
    <cellStyle name="Separador de milhares 2 3 11" xfId="23752"/>
    <cellStyle name="Separador de milhares 2 3 12" xfId="23753"/>
    <cellStyle name="Separador de milhares 2 3 13" xfId="23754"/>
    <cellStyle name="Separador de milhares 2 3 14" xfId="23755"/>
    <cellStyle name="Separador de milhares 2 3 15" xfId="23756"/>
    <cellStyle name="Separador de milhares 2 3 16" xfId="23757"/>
    <cellStyle name="Separador de milhares 2 3 17" xfId="23758"/>
    <cellStyle name="Separador de milhares 2 3 18" xfId="23759"/>
    <cellStyle name="Separador de milhares 2 3 19" xfId="23760"/>
    <cellStyle name="Separador de milhares 2 3 2" xfId="23761"/>
    <cellStyle name="Separador de milhares 2 3 20" xfId="23762"/>
    <cellStyle name="Separador de milhares 2 3 3" xfId="23763"/>
    <cellStyle name="Separador de milhares 2 3 4" xfId="23764"/>
    <cellStyle name="Separador de milhares 2 3 5" xfId="23765"/>
    <cellStyle name="Separador de milhares 2 3 6" xfId="23766"/>
    <cellStyle name="Separador de milhares 2 3 7" xfId="23767"/>
    <cellStyle name="Separador de milhares 2 3 8" xfId="23768"/>
    <cellStyle name="Separador de milhares 2 3 9" xfId="23769"/>
    <cellStyle name="Separador de milhares 2 30" xfId="23770"/>
    <cellStyle name="Separador de milhares 2 31" xfId="23771"/>
    <cellStyle name="Separador de milhares 2 32" xfId="23772"/>
    <cellStyle name="Separador de milhares 2 33" xfId="23773"/>
    <cellStyle name="Separador de milhares 2 33 2" xfId="23774"/>
    <cellStyle name="Separador de milhares 2 33 3" xfId="23775"/>
    <cellStyle name="Separador de milhares 2 33 4" xfId="23776"/>
    <cellStyle name="Separador de milhares 2 33 5" xfId="23777"/>
    <cellStyle name="Separador de milhares 2 33 6" xfId="23778"/>
    <cellStyle name="Separador de milhares 2 33 7" xfId="23779"/>
    <cellStyle name="Separador de milhares 2 34" xfId="23780"/>
    <cellStyle name="Separador de milhares 2 35" xfId="23781"/>
    <cellStyle name="Separador de milhares 2 36" xfId="23782"/>
    <cellStyle name="Separador de milhares 2 37" xfId="23783"/>
    <cellStyle name="Separador de milhares 2 37 10" xfId="23784"/>
    <cellStyle name="Separador de milhares 2 37 11" xfId="23785"/>
    <cellStyle name="Separador de milhares 2 37 12" xfId="23786"/>
    <cellStyle name="Separador de milhares 2 37 13" xfId="23787"/>
    <cellStyle name="Separador de milhares 2 37 14" xfId="23788"/>
    <cellStyle name="Separador de milhares 2 37 15" xfId="23789"/>
    <cellStyle name="Separador de milhares 2 37 16" xfId="23790"/>
    <cellStyle name="Separador de milhares 2 37 2" xfId="23791"/>
    <cellStyle name="Separador de milhares 2 37 3" xfId="23792"/>
    <cellStyle name="Separador de milhares 2 37 4" xfId="23793"/>
    <cellStyle name="Separador de milhares 2 37 5" xfId="23794"/>
    <cellStyle name="Separador de milhares 2 37 6" xfId="23795"/>
    <cellStyle name="Separador de milhares 2 37 7" xfId="23796"/>
    <cellStyle name="Separador de milhares 2 37 8" xfId="23797"/>
    <cellStyle name="Separador de milhares 2 37 9" xfId="23798"/>
    <cellStyle name="Separador de milhares 2 38" xfId="23799"/>
    <cellStyle name="Separador de milhares 2 39" xfId="23800"/>
    <cellStyle name="Separador de milhares 2 39 10" xfId="23801"/>
    <cellStyle name="Separador de milhares 2 39 10 2" xfId="23802"/>
    <cellStyle name="Separador de milhares 2 39 10 2 2" xfId="38833"/>
    <cellStyle name="Separador de milhares 2 39 10 3" xfId="23803"/>
    <cellStyle name="Separador de milhares 2 39 10 3 2" xfId="38834"/>
    <cellStyle name="Separador de milhares 2 39 10 4" xfId="23804"/>
    <cellStyle name="Separador de milhares 2 39 10 4 2" xfId="38835"/>
    <cellStyle name="Separador de milhares 2 39 10 5" xfId="23805"/>
    <cellStyle name="Separador de milhares 2 39 10 5 2" xfId="38836"/>
    <cellStyle name="Separador de milhares 2 39 10 6" xfId="38832"/>
    <cellStyle name="Separador de milhares 2 39 11" xfId="23806"/>
    <cellStyle name="Separador de milhares 2 39 11 2" xfId="23807"/>
    <cellStyle name="Separador de milhares 2 39 11 2 2" xfId="38838"/>
    <cellStyle name="Separador de milhares 2 39 11 3" xfId="23808"/>
    <cellStyle name="Separador de milhares 2 39 11 3 2" xfId="38839"/>
    <cellStyle name="Separador de milhares 2 39 11 4" xfId="23809"/>
    <cellStyle name="Separador de milhares 2 39 11 4 2" xfId="38840"/>
    <cellStyle name="Separador de milhares 2 39 11 5" xfId="23810"/>
    <cellStyle name="Separador de milhares 2 39 11 5 2" xfId="38841"/>
    <cellStyle name="Separador de milhares 2 39 11 6" xfId="38837"/>
    <cellStyle name="Separador de milhares 2 39 12" xfId="23811"/>
    <cellStyle name="Separador de milhares 2 39 12 2" xfId="23812"/>
    <cellStyle name="Separador de milhares 2 39 12 2 2" xfId="38843"/>
    <cellStyle name="Separador de milhares 2 39 12 3" xfId="23813"/>
    <cellStyle name="Separador de milhares 2 39 12 3 2" xfId="38844"/>
    <cellStyle name="Separador de milhares 2 39 12 4" xfId="23814"/>
    <cellStyle name="Separador de milhares 2 39 12 4 2" xfId="38845"/>
    <cellStyle name="Separador de milhares 2 39 12 5" xfId="23815"/>
    <cellStyle name="Separador de milhares 2 39 12 5 2" xfId="38846"/>
    <cellStyle name="Separador de milhares 2 39 12 6" xfId="38842"/>
    <cellStyle name="Separador de milhares 2 39 13" xfId="23816"/>
    <cellStyle name="Separador de milhares 2 39 13 2" xfId="23817"/>
    <cellStyle name="Separador de milhares 2 39 13 2 2" xfId="38848"/>
    <cellStyle name="Separador de milhares 2 39 13 3" xfId="23818"/>
    <cellStyle name="Separador de milhares 2 39 13 3 2" xfId="38849"/>
    <cellStyle name="Separador de milhares 2 39 13 4" xfId="23819"/>
    <cellStyle name="Separador de milhares 2 39 13 4 2" xfId="38850"/>
    <cellStyle name="Separador de milhares 2 39 13 5" xfId="23820"/>
    <cellStyle name="Separador de milhares 2 39 13 5 2" xfId="38851"/>
    <cellStyle name="Separador de milhares 2 39 13 6" xfId="38847"/>
    <cellStyle name="Separador de milhares 2 39 14" xfId="23821"/>
    <cellStyle name="Separador de milhares 2 39 14 2" xfId="23822"/>
    <cellStyle name="Separador de milhares 2 39 14 2 2" xfId="38853"/>
    <cellStyle name="Separador de milhares 2 39 14 3" xfId="23823"/>
    <cellStyle name="Separador de milhares 2 39 14 3 2" xfId="38854"/>
    <cellStyle name="Separador de milhares 2 39 14 4" xfId="23824"/>
    <cellStyle name="Separador de milhares 2 39 14 4 2" xfId="38855"/>
    <cellStyle name="Separador de milhares 2 39 14 5" xfId="23825"/>
    <cellStyle name="Separador de milhares 2 39 14 5 2" xfId="38856"/>
    <cellStyle name="Separador de milhares 2 39 14 6" xfId="38852"/>
    <cellStyle name="Separador de milhares 2 39 15" xfId="23826"/>
    <cellStyle name="Separador de milhares 2 39 15 2" xfId="23827"/>
    <cellStyle name="Separador de milhares 2 39 15 2 2" xfId="38858"/>
    <cellStyle name="Separador de milhares 2 39 15 3" xfId="23828"/>
    <cellStyle name="Separador de milhares 2 39 15 3 2" xfId="38859"/>
    <cellStyle name="Separador de milhares 2 39 15 4" xfId="23829"/>
    <cellStyle name="Separador de milhares 2 39 15 4 2" xfId="38860"/>
    <cellStyle name="Separador de milhares 2 39 15 5" xfId="23830"/>
    <cellStyle name="Separador de milhares 2 39 15 5 2" xfId="38861"/>
    <cellStyle name="Separador de milhares 2 39 15 6" xfId="38857"/>
    <cellStyle name="Separador de milhares 2 39 16" xfId="23831"/>
    <cellStyle name="Separador de milhares 2 39 16 2" xfId="23832"/>
    <cellStyle name="Separador de milhares 2 39 16 2 2" xfId="38863"/>
    <cellStyle name="Separador de milhares 2 39 16 3" xfId="23833"/>
    <cellStyle name="Separador de milhares 2 39 16 3 2" xfId="38864"/>
    <cellStyle name="Separador de milhares 2 39 16 4" xfId="23834"/>
    <cellStyle name="Separador de milhares 2 39 16 4 2" xfId="38865"/>
    <cellStyle name="Separador de milhares 2 39 16 5" xfId="23835"/>
    <cellStyle name="Separador de milhares 2 39 16 5 2" xfId="38866"/>
    <cellStyle name="Separador de milhares 2 39 16 6" xfId="38862"/>
    <cellStyle name="Separador de milhares 2 39 17" xfId="23836"/>
    <cellStyle name="Separador de milhares 2 39 17 2" xfId="38867"/>
    <cellStyle name="Separador de milhares 2 39 18" xfId="23837"/>
    <cellStyle name="Separador de milhares 2 39 18 2" xfId="38868"/>
    <cellStyle name="Separador de milhares 2 39 19" xfId="23838"/>
    <cellStyle name="Separador de milhares 2 39 19 2" xfId="38869"/>
    <cellStyle name="Separador de milhares 2 39 2" xfId="23839"/>
    <cellStyle name="Separador de milhares 2 39 2 10" xfId="23840"/>
    <cellStyle name="Separador de milhares 2 39 2 10 2" xfId="38871"/>
    <cellStyle name="Separador de milhares 2 39 2 11" xfId="23841"/>
    <cellStyle name="Separador de milhares 2 39 2 11 2" xfId="38872"/>
    <cellStyle name="Separador de milhares 2 39 2 12" xfId="38870"/>
    <cellStyle name="Separador de milhares 2 39 2 2" xfId="23842"/>
    <cellStyle name="Separador de milhares 2 39 2 2 2" xfId="23843"/>
    <cellStyle name="Separador de milhares 2 39 2 2 2 2" xfId="38874"/>
    <cellStyle name="Separador de milhares 2 39 2 2 3" xfId="23844"/>
    <cellStyle name="Separador de milhares 2 39 2 2 3 2" xfId="38875"/>
    <cellStyle name="Separador de milhares 2 39 2 2 4" xfId="23845"/>
    <cellStyle name="Separador de milhares 2 39 2 2 4 2" xfId="38876"/>
    <cellStyle name="Separador de milhares 2 39 2 2 5" xfId="23846"/>
    <cellStyle name="Separador de milhares 2 39 2 2 5 2" xfId="38877"/>
    <cellStyle name="Separador de milhares 2 39 2 2 6" xfId="38873"/>
    <cellStyle name="Separador de milhares 2 39 2 3" xfId="23847"/>
    <cellStyle name="Separador de milhares 2 39 2 3 2" xfId="23848"/>
    <cellStyle name="Separador de milhares 2 39 2 3 2 2" xfId="38879"/>
    <cellStyle name="Separador de milhares 2 39 2 3 3" xfId="23849"/>
    <cellStyle name="Separador de milhares 2 39 2 3 3 2" xfId="38880"/>
    <cellStyle name="Separador de milhares 2 39 2 3 4" xfId="23850"/>
    <cellStyle name="Separador de milhares 2 39 2 3 4 2" xfId="38881"/>
    <cellStyle name="Separador de milhares 2 39 2 3 5" xfId="23851"/>
    <cellStyle name="Separador de milhares 2 39 2 3 5 2" xfId="38882"/>
    <cellStyle name="Separador de milhares 2 39 2 3 6" xfId="38878"/>
    <cellStyle name="Separador de milhares 2 39 2 4" xfId="23852"/>
    <cellStyle name="Separador de milhares 2 39 2 4 2" xfId="23853"/>
    <cellStyle name="Separador de milhares 2 39 2 4 2 2" xfId="38884"/>
    <cellStyle name="Separador de milhares 2 39 2 4 3" xfId="23854"/>
    <cellStyle name="Separador de milhares 2 39 2 4 3 2" xfId="38885"/>
    <cellStyle name="Separador de milhares 2 39 2 4 4" xfId="23855"/>
    <cellStyle name="Separador de milhares 2 39 2 4 4 2" xfId="38886"/>
    <cellStyle name="Separador de milhares 2 39 2 4 5" xfId="23856"/>
    <cellStyle name="Separador de milhares 2 39 2 4 5 2" xfId="38887"/>
    <cellStyle name="Separador de milhares 2 39 2 4 6" xfId="38883"/>
    <cellStyle name="Separador de milhares 2 39 2 5" xfId="23857"/>
    <cellStyle name="Separador de milhares 2 39 2 5 2" xfId="23858"/>
    <cellStyle name="Separador de milhares 2 39 2 5 2 2" xfId="38889"/>
    <cellStyle name="Separador de milhares 2 39 2 5 3" xfId="23859"/>
    <cellStyle name="Separador de milhares 2 39 2 5 3 2" xfId="38890"/>
    <cellStyle name="Separador de milhares 2 39 2 5 4" xfId="23860"/>
    <cellStyle name="Separador de milhares 2 39 2 5 4 2" xfId="38891"/>
    <cellStyle name="Separador de milhares 2 39 2 5 5" xfId="23861"/>
    <cellStyle name="Separador de milhares 2 39 2 5 5 2" xfId="38892"/>
    <cellStyle name="Separador de milhares 2 39 2 5 6" xfId="38888"/>
    <cellStyle name="Separador de milhares 2 39 2 6" xfId="23862"/>
    <cellStyle name="Separador de milhares 2 39 2 6 2" xfId="23863"/>
    <cellStyle name="Separador de milhares 2 39 2 6 2 2" xfId="38894"/>
    <cellStyle name="Separador de milhares 2 39 2 6 3" xfId="23864"/>
    <cellStyle name="Separador de milhares 2 39 2 6 3 2" xfId="38895"/>
    <cellStyle name="Separador de milhares 2 39 2 6 4" xfId="23865"/>
    <cellStyle name="Separador de milhares 2 39 2 6 4 2" xfId="38896"/>
    <cellStyle name="Separador de milhares 2 39 2 6 5" xfId="23866"/>
    <cellStyle name="Separador de milhares 2 39 2 6 5 2" xfId="38897"/>
    <cellStyle name="Separador de milhares 2 39 2 6 6" xfId="38893"/>
    <cellStyle name="Separador de milhares 2 39 2 7" xfId="23867"/>
    <cellStyle name="Separador de milhares 2 39 2 7 2" xfId="23868"/>
    <cellStyle name="Separador de milhares 2 39 2 7 2 2" xfId="38899"/>
    <cellStyle name="Separador de milhares 2 39 2 7 3" xfId="23869"/>
    <cellStyle name="Separador de milhares 2 39 2 7 3 2" xfId="38900"/>
    <cellStyle name="Separador de milhares 2 39 2 7 4" xfId="23870"/>
    <cellStyle name="Separador de milhares 2 39 2 7 4 2" xfId="38901"/>
    <cellStyle name="Separador de milhares 2 39 2 7 5" xfId="23871"/>
    <cellStyle name="Separador de milhares 2 39 2 7 5 2" xfId="38902"/>
    <cellStyle name="Separador de milhares 2 39 2 7 6" xfId="38898"/>
    <cellStyle name="Separador de milhares 2 39 2 8" xfId="23872"/>
    <cellStyle name="Separador de milhares 2 39 2 8 2" xfId="38903"/>
    <cellStyle name="Separador de milhares 2 39 2 9" xfId="23873"/>
    <cellStyle name="Separador de milhares 2 39 2 9 2" xfId="38904"/>
    <cellStyle name="Separador de milhares 2 39 20" xfId="23874"/>
    <cellStyle name="Separador de milhares 2 39 20 2" xfId="38905"/>
    <cellStyle name="Separador de milhares 2 39 21" xfId="38831"/>
    <cellStyle name="Separador de milhares 2 39 3" xfId="23875"/>
    <cellStyle name="Separador de milhares 2 39 3 2" xfId="23876"/>
    <cellStyle name="Separador de milhares 2 39 3 2 2" xfId="23877"/>
    <cellStyle name="Separador de milhares 2 39 3 2 2 2" xfId="38908"/>
    <cellStyle name="Separador de milhares 2 39 3 2 3" xfId="23878"/>
    <cellStyle name="Separador de milhares 2 39 3 2 3 2" xfId="38909"/>
    <cellStyle name="Separador de milhares 2 39 3 2 4" xfId="23879"/>
    <cellStyle name="Separador de milhares 2 39 3 2 4 2" xfId="38910"/>
    <cellStyle name="Separador de milhares 2 39 3 2 5" xfId="23880"/>
    <cellStyle name="Separador de milhares 2 39 3 2 5 2" xfId="38911"/>
    <cellStyle name="Separador de milhares 2 39 3 2 6" xfId="38907"/>
    <cellStyle name="Separador de milhares 2 39 3 3" xfId="23881"/>
    <cellStyle name="Separador de milhares 2 39 3 3 2" xfId="38912"/>
    <cellStyle name="Separador de milhares 2 39 3 4" xfId="23882"/>
    <cellStyle name="Separador de milhares 2 39 3 4 2" xfId="38913"/>
    <cellStyle name="Separador de milhares 2 39 3 5" xfId="23883"/>
    <cellStyle name="Separador de milhares 2 39 3 5 2" xfId="38914"/>
    <cellStyle name="Separador de milhares 2 39 3 6" xfId="23884"/>
    <cellStyle name="Separador de milhares 2 39 3 6 2" xfId="38915"/>
    <cellStyle name="Separador de milhares 2 39 3 7" xfId="38906"/>
    <cellStyle name="Separador de milhares 2 39 4" xfId="23885"/>
    <cellStyle name="Separador de milhares 2 39 4 2" xfId="23886"/>
    <cellStyle name="Separador de milhares 2 39 4 2 2" xfId="23887"/>
    <cellStyle name="Separador de milhares 2 39 4 2 2 2" xfId="38918"/>
    <cellStyle name="Separador de milhares 2 39 4 2 3" xfId="23888"/>
    <cellStyle name="Separador de milhares 2 39 4 2 3 2" xfId="38919"/>
    <cellStyle name="Separador de milhares 2 39 4 2 4" xfId="23889"/>
    <cellStyle name="Separador de milhares 2 39 4 2 4 2" xfId="38920"/>
    <cellStyle name="Separador de milhares 2 39 4 2 5" xfId="23890"/>
    <cellStyle name="Separador de milhares 2 39 4 2 5 2" xfId="38921"/>
    <cellStyle name="Separador de milhares 2 39 4 2 6" xfId="38917"/>
    <cellStyle name="Separador de milhares 2 39 4 3" xfId="23891"/>
    <cellStyle name="Separador de milhares 2 39 4 3 2" xfId="38922"/>
    <cellStyle name="Separador de milhares 2 39 4 4" xfId="23892"/>
    <cellStyle name="Separador de milhares 2 39 4 4 2" xfId="38923"/>
    <cellStyle name="Separador de milhares 2 39 4 5" xfId="23893"/>
    <cellStyle name="Separador de milhares 2 39 4 5 2" xfId="38924"/>
    <cellStyle name="Separador de milhares 2 39 4 6" xfId="23894"/>
    <cellStyle name="Separador de milhares 2 39 4 6 2" xfId="38925"/>
    <cellStyle name="Separador de milhares 2 39 4 7" xfId="38916"/>
    <cellStyle name="Separador de milhares 2 39 5" xfId="23895"/>
    <cellStyle name="Separador de milhares 2 39 5 2" xfId="23896"/>
    <cellStyle name="Separador de milhares 2 39 5 2 2" xfId="38927"/>
    <cellStyle name="Separador de milhares 2 39 5 3" xfId="23897"/>
    <cellStyle name="Separador de milhares 2 39 5 3 2" xfId="38928"/>
    <cellStyle name="Separador de milhares 2 39 5 4" xfId="23898"/>
    <cellStyle name="Separador de milhares 2 39 5 4 2" xfId="38929"/>
    <cellStyle name="Separador de milhares 2 39 5 5" xfId="23899"/>
    <cellStyle name="Separador de milhares 2 39 5 5 2" xfId="38930"/>
    <cellStyle name="Separador de milhares 2 39 5 6" xfId="38926"/>
    <cellStyle name="Separador de milhares 2 39 6" xfId="23900"/>
    <cellStyle name="Separador de milhares 2 39 6 2" xfId="23901"/>
    <cellStyle name="Separador de milhares 2 39 6 2 2" xfId="38932"/>
    <cellStyle name="Separador de milhares 2 39 6 3" xfId="23902"/>
    <cellStyle name="Separador de milhares 2 39 6 3 2" xfId="38933"/>
    <cellStyle name="Separador de milhares 2 39 6 4" xfId="23903"/>
    <cellStyle name="Separador de milhares 2 39 6 4 2" xfId="38934"/>
    <cellStyle name="Separador de milhares 2 39 6 5" xfId="23904"/>
    <cellStyle name="Separador de milhares 2 39 6 5 2" xfId="38935"/>
    <cellStyle name="Separador de milhares 2 39 6 6" xfId="38931"/>
    <cellStyle name="Separador de milhares 2 39 7" xfId="23905"/>
    <cellStyle name="Separador de milhares 2 39 7 2" xfId="23906"/>
    <cellStyle name="Separador de milhares 2 39 7 2 2" xfId="38937"/>
    <cellStyle name="Separador de milhares 2 39 7 3" xfId="23907"/>
    <cellStyle name="Separador de milhares 2 39 7 3 2" xfId="38938"/>
    <cellStyle name="Separador de milhares 2 39 7 4" xfId="23908"/>
    <cellStyle name="Separador de milhares 2 39 7 4 2" xfId="38939"/>
    <cellStyle name="Separador de milhares 2 39 7 5" xfId="23909"/>
    <cellStyle name="Separador de milhares 2 39 7 5 2" xfId="38940"/>
    <cellStyle name="Separador de milhares 2 39 7 6" xfId="38936"/>
    <cellStyle name="Separador de milhares 2 39 8" xfId="23910"/>
    <cellStyle name="Separador de milhares 2 39 8 2" xfId="23911"/>
    <cellStyle name="Separador de milhares 2 39 8 2 2" xfId="38942"/>
    <cellStyle name="Separador de milhares 2 39 8 3" xfId="23912"/>
    <cellStyle name="Separador de milhares 2 39 8 3 2" xfId="38943"/>
    <cellStyle name="Separador de milhares 2 39 8 4" xfId="23913"/>
    <cellStyle name="Separador de milhares 2 39 8 4 2" xfId="38944"/>
    <cellStyle name="Separador de milhares 2 39 8 5" xfId="23914"/>
    <cellStyle name="Separador de milhares 2 39 8 5 2" xfId="38945"/>
    <cellStyle name="Separador de milhares 2 39 8 6" xfId="38941"/>
    <cellStyle name="Separador de milhares 2 39 9" xfId="23915"/>
    <cellStyle name="Separador de milhares 2 39 9 2" xfId="23916"/>
    <cellStyle name="Separador de milhares 2 39 9 2 2" xfId="38947"/>
    <cellStyle name="Separador de milhares 2 39 9 3" xfId="23917"/>
    <cellStyle name="Separador de milhares 2 39 9 3 2" xfId="38948"/>
    <cellStyle name="Separador de milhares 2 39 9 4" xfId="23918"/>
    <cellStyle name="Separador de milhares 2 39 9 4 2" xfId="38949"/>
    <cellStyle name="Separador de milhares 2 39 9 5" xfId="23919"/>
    <cellStyle name="Separador de milhares 2 39 9 5 2" xfId="38950"/>
    <cellStyle name="Separador de milhares 2 39 9 6" xfId="38946"/>
    <cellStyle name="Separador de milhares 2 4" xfId="23920"/>
    <cellStyle name="Separador de milhares 2 4 10" xfId="23921"/>
    <cellStyle name="Separador de milhares 2 4 11" xfId="23922"/>
    <cellStyle name="Separador de milhares 2 4 12" xfId="23923"/>
    <cellStyle name="Separador de milhares 2 4 13" xfId="23924"/>
    <cellStyle name="Separador de milhares 2 4 14" xfId="23925"/>
    <cellStyle name="Separador de milhares 2 4 15" xfId="23926"/>
    <cellStyle name="Separador de milhares 2 4 16" xfId="23927"/>
    <cellStyle name="Separador de milhares 2 4 17" xfId="23928"/>
    <cellStyle name="Separador de milhares 2 4 18" xfId="23929"/>
    <cellStyle name="Separador de milhares 2 4 19" xfId="23930"/>
    <cellStyle name="Separador de milhares 2 4 2" xfId="23931"/>
    <cellStyle name="Separador de milhares 2 4 2 2" xfId="23932"/>
    <cellStyle name="Separador de milhares 2 4 2 3" xfId="23933"/>
    <cellStyle name="Separador de milhares 2 4 2 4" xfId="23934"/>
    <cellStyle name="Separador de milhares 2 4 2 5" xfId="23935"/>
    <cellStyle name="Separador de milhares 2 4 2 6" xfId="23936"/>
    <cellStyle name="Separador de milhares 2 4 2 7" xfId="23937"/>
    <cellStyle name="Separador de milhares 2 4 20" xfId="23938"/>
    <cellStyle name="Separador de milhares 2 4 21" xfId="23939"/>
    <cellStyle name="Separador de milhares 2 4 22" xfId="23940"/>
    <cellStyle name="Separador de milhares 2 4 23" xfId="23941"/>
    <cellStyle name="Separador de milhares 2 4 24" xfId="23942"/>
    <cellStyle name="Separador de milhares 2 4 25" xfId="23943"/>
    <cellStyle name="Separador de milhares 2 4 3" xfId="23944"/>
    <cellStyle name="Separador de milhares 2 4 4" xfId="23945"/>
    <cellStyle name="Separador de milhares 2 4 5" xfId="23946"/>
    <cellStyle name="Separador de milhares 2 4 6" xfId="23947"/>
    <cellStyle name="Separador de milhares 2 4 7" xfId="23948"/>
    <cellStyle name="Separador de milhares 2 4 8" xfId="23949"/>
    <cellStyle name="Separador de milhares 2 4 9" xfId="23950"/>
    <cellStyle name="Separador de milhares 2 40" xfId="23951"/>
    <cellStyle name="Separador de milhares 2 40 10" xfId="23952"/>
    <cellStyle name="Separador de milhares 2 40 10 2" xfId="23953"/>
    <cellStyle name="Separador de milhares 2 40 10 2 2" xfId="38953"/>
    <cellStyle name="Separador de milhares 2 40 10 3" xfId="23954"/>
    <cellStyle name="Separador de milhares 2 40 10 3 2" xfId="38954"/>
    <cellStyle name="Separador de milhares 2 40 10 4" xfId="23955"/>
    <cellStyle name="Separador de milhares 2 40 10 4 2" xfId="38955"/>
    <cellStyle name="Separador de milhares 2 40 10 5" xfId="23956"/>
    <cellStyle name="Separador de milhares 2 40 10 5 2" xfId="38956"/>
    <cellStyle name="Separador de milhares 2 40 10 6" xfId="38952"/>
    <cellStyle name="Separador de milhares 2 40 11" xfId="23957"/>
    <cellStyle name="Separador de milhares 2 40 11 2" xfId="23958"/>
    <cellStyle name="Separador de milhares 2 40 11 2 2" xfId="38958"/>
    <cellStyle name="Separador de milhares 2 40 11 3" xfId="23959"/>
    <cellStyle name="Separador de milhares 2 40 11 3 2" xfId="38959"/>
    <cellStyle name="Separador de milhares 2 40 11 4" xfId="23960"/>
    <cellStyle name="Separador de milhares 2 40 11 4 2" xfId="38960"/>
    <cellStyle name="Separador de milhares 2 40 11 5" xfId="23961"/>
    <cellStyle name="Separador de milhares 2 40 11 5 2" xfId="38961"/>
    <cellStyle name="Separador de milhares 2 40 11 6" xfId="38957"/>
    <cellStyle name="Separador de milhares 2 40 12" xfId="23962"/>
    <cellStyle name="Separador de milhares 2 40 12 2" xfId="23963"/>
    <cellStyle name="Separador de milhares 2 40 12 2 2" xfId="38963"/>
    <cellStyle name="Separador de milhares 2 40 12 3" xfId="23964"/>
    <cellStyle name="Separador de milhares 2 40 12 3 2" xfId="38964"/>
    <cellStyle name="Separador de milhares 2 40 12 4" xfId="23965"/>
    <cellStyle name="Separador de milhares 2 40 12 4 2" xfId="38965"/>
    <cellStyle name="Separador de milhares 2 40 12 5" xfId="23966"/>
    <cellStyle name="Separador de milhares 2 40 12 5 2" xfId="38966"/>
    <cellStyle name="Separador de milhares 2 40 12 6" xfId="38962"/>
    <cellStyle name="Separador de milhares 2 40 13" xfId="23967"/>
    <cellStyle name="Separador de milhares 2 40 13 2" xfId="23968"/>
    <cellStyle name="Separador de milhares 2 40 13 2 2" xfId="38968"/>
    <cellStyle name="Separador de milhares 2 40 13 3" xfId="23969"/>
    <cellStyle name="Separador de milhares 2 40 13 3 2" xfId="38969"/>
    <cellStyle name="Separador de milhares 2 40 13 4" xfId="23970"/>
    <cellStyle name="Separador de milhares 2 40 13 4 2" xfId="38970"/>
    <cellStyle name="Separador de milhares 2 40 13 5" xfId="23971"/>
    <cellStyle name="Separador de milhares 2 40 13 5 2" xfId="38971"/>
    <cellStyle name="Separador de milhares 2 40 13 6" xfId="38967"/>
    <cellStyle name="Separador de milhares 2 40 14" xfId="23972"/>
    <cellStyle name="Separador de milhares 2 40 14 2" xfId="23973"/>
    <cellStyle name="Separador de milhares 2 40 14 2 2" xfId="38973"/>
    <cellStyle name="Separador de milhares 2 40 14 3" xfId="23974"/>
    <cellStyle name="Separador de milhares 2 40 14 3 2" xfId="38974"/>
    <cellStyle name="Separador de milhares 2 40 14 4" xfId="23975"/>
    <cellStyle name="Separador de milhares 2 40 14 4 2" xfId="38975"/>
    <cellStyle name="Separador de milhares 2 40 14 5" xfId="23976"/>
    <cellStyle name="Separador de milhares 2 40 14 5 2" xfId="38976"/>
    <cellStyle name="Separador de milhares 2 40 14 6" xfId="38972"/>
    <cellStyle name="Separador de milhares 2 40 15" xfId="23977"/>
    <cellStyle name="Separador de milhares 2 40 15 2" xfId="23978"/>
    <cellStyle name="Separador de milhares 2 40 15 2 2" xfId="38978"/>
    <cellStyle name="Separador de milhares 2 40 15 3" xfId="23979"/>
    <cellStyle name="Separador de milhares 2 40 15 3 2" xfId="38979"/>
    <cellStyle name="Separador de milhares 2 40 15 4" xfId="23980"/>
    <cellStyle name="Separador de milhares 2 40 15 4 2" xfId="38980"/>
    <cellStyle name="Separador de milhares 2 40 15 5" xfId="23981"/>
    <cellStyle name="Separador de milhares 2 40 15 5 2" xfId="38981"/>
    <cellStyle name="Separador de milhares 2 40 15 6" xfId="38977"/>
    <cellStyle name="Separador de milhares 2 40 16" xfId="23982"/>
    <cellStyle name="Separador de milhares 2 40 16 2" xfId="23983"/>
    <cellStyle name="Separador de milhares 2 40 16 2 2" xfId="38983"/>
    <cellStyle name="Separador de milhares 2 40 16 3" xfId="23984"/>
    <cellStyle name="Separador de milhares 2 40 16 3 2" xfId="38984"/>
    <cellStyle name="Separador de milhares 2 40 16 4" xfId="23985"/>
    <cellStyle name="Separador de milhares 2 40 16 4 2" xfId="38985"/>
    <cellStyle name="Separador de milhares 2 40 16 5" xfId="23986"/>
    <cellStyle name="Separador de milhares 2 40 16 5 2" xfId="38986"/>
    <cellStyle name="Separador de milhares 2 40 16 6" xfId="38982"/>
    <cellStyle name="Separador de milhares 2 40 17" xfId="23987"/>
    <cellStyle name="Separador de milhares 2 40 17 2" xfId="38987"/>
    <cellStyle name="Separador de milhares 2 40 18" xfId="23988"/>
    <cellStyle name="Separador de milhares 2 40 18 2" xfId="38988"/>
    <cellStyle name="Separador de milhares 2 40 19" xfId="23989"/>
    <cellStyle name="Separador de milhares 2 40 19 2" xfId="38989"/>
    <cellStyle name="Separador de milhares 2 40 2" xfId="23990"/>
    <cellStyle name="Separador de milhares 2 40 2 10" xfId="23991"/>
    <cellStyle name="Separador de milhares 2 40 2 10 2" xfId="38991"/>
    <cellStyle name="Separador de milhares 2 40 2 11" xfId="23992"/>
    <cellStyle name="Separador de milhares 2 40 2 11 2" xfId="38992"/>
    <cellStyle name="Separador de milhares 2 40 2 12" xfId="38990"/>
    <cellStyle name="Separador de milhares 2 40 2 2" xfId="23993"/>
    <cellStyle name="Separador de milhares 2 40 2 2 2" xfId="23994"/>
    <cellStyle name="Separador de milhares 2 40 2 2 2 2" xfId="38994"/>
    <cellStyle name="Separador de milhares 2 40 2 2 3" xfId="23995"/>
    <cellStyle name="Separador de milhares 2 40 2 2 3 2" xfId="38995"/>
    <cellStyle name="Separador de milhares 2 40 2 2 4" xfId="23996"/>
    <cellStyle name="Separador de milhares 2 40 2 2 4 2" xfId="38996"/>
    <cellStyle name="Separador de milhares 2 40 2 2 5" xfId="23997"/>
    <cellStyle name="Separador de milhares 2 40 2 2 5 2" xfId="38997"/>
    <cellStyle name="Separador de milhares 2 40 2 2 6" xfId="38993"/>
    <cellStyle name="Separador de milhares 2 40 2 3" xfId="23998"/>
    <cellStyle name="Separador de milhares 2 40 2 3 2" xfId="23999"/>
    <cellStyle name="Separador de milhares 2 40 2 3 2 2" xfId="38999"/>
    <cellStyle name="Separador de milhares 2 40 2 3 3" xfId="24000"/>
    <cellStyle name="Separador de milhares 2 40 2 3 3 2" xfId="39000"/>
    <cellStyle name="Separador de milhares 2 40 2 3 4" xfId="24001"/>
    <cellStyle name="Separador de milhares 2 40 2 3 4 2" xfId="39001"/>
    <cellStyle name="Separador de milhares 2 40 2 3 5" xfId="24002"/>
    <cellStyle name="Separador de milhares 2 40 2 3 5 2" xfId="39002"/>
    <cellStyle name="Separador de milhares 2 40 2 3 6" xfId="38998"/>
    <cellStyle name="Separador de milhares 2 40 2 4" xfId="24003"/>
    <cellStyle name="Separador de milhares 2 40 2 4 2" xfId="24004"/>
    <cellStyle name="Separador de milhares 2 40 2 4 2 2" xfId="39004"/>
    <cellStyle name="Separador de milhares 2 40 2 4 3" xfId="24005"/>
    <cellStyle name="Separador de milhares 2 40 2 4 3 2" xfId="39005"/>
    <cellStyle name="Separador de milhares 2 40 2 4 4" xfId="24006"/>
    <cellStyle name="Separador de milhares 2 40 2 4 4 2" xfId="39006"/>
    <cellStyle name="Separador de milhares 2 40 2 4 5" xfId="24007"/>
    <cellStyle name="Separador de milhares 2 40 2 4 5 2" xfId="39007"/>
    <cellStyle name="Separador de milhares 2 40 2 4 6" xfId="39003"/>
    <cellStyle name="Separador de milhares 2 40 2 5" xfId="24008"/>
    <cellStyle name="Separador de milhares 2 40 2 5 2" xfId="24009"/>
    <cellStyle name="Separador de milhares 2 40 2 5 2 2" xfId="39009"/>
    <cellStyle name="Separador de milhares 2 40 2 5 3" xfId="24010"/>
    <cellStyle name="Separador de milhares 2 40 2 5 3 2" xfId="39010"/>
    <cellStyle name="Separador de milhares 2 40 2 5 4" xfId="24011"/>
    <cellStyle name="Separador de milhares 2 40 2 5 4 2" xfId="39011"/>
    <cellStyle name="Separador de milhares 2 40 2 5 5" xfId="24012"/>
    <cellStyle name="Separador de milhares 2 40 2 5 5 2" xfId="39012"/>
    <cellStyle name="Separador de milhares 2 40 2 5 6" xfId="39008"/>
    <cellStyle name="Separador de milhares 2 40 2 6" xfId="24013"/>
    <cellStyle name="Separador de milhares 2 40 2 6 2" xfId="24014"/>
    <cellStyle name="Separador de milhares 2 40 2 6 2 2" xfId="39014"/>
    <cellStyle name="Separador de milhares 2 40 2 6 3" xfId="24015"/>
    <cellStyle name="Separador de milhares 2 40 2 6 3 2" xfId="39015"/>
    <cellStyle name="Separador de milhares 2 40 2 6 4" xfId="24016"/>
    <cellStyle name="Separador de milhares 2 40 2 6 4 2" xfId="39016"/>
    <cellStyle name="Separador de milhares 2 40 2 6 5" xfId="24017"/>
    <cellStyle name="Separador de milhares 2 40 2 6 5 2" xfId="39017"/>
    <cellStyle name="Separador de milhares 2 40 2 6 6" xfId="39013"/>
    <cellStyle name="Separador de milhares 2 40 2 7" xfId="24018"/>
    <cellStyle name="Separador de milhares 2 40 2 7 2" xfId="24019"/>
    <cellStyle name="Separador de milhares 2 40 2 7 2 2" xfId="39019"/>
    <cellStyle name="Separador de milhares 2 40 2 7 3" xfId="24020"/>
    <cellStyle name="Separador de milhares 2 40 2 7 3 2" xfId="39020"/>
    <cellStyle name="Separador de milhares 2 40 2 7 4" xfId="24021"/>
    <cellStyle name="Separador de milhares 2 40 2 7 4 2" xfId="39021"/>
    <cellStyle name="Separador de milhares 2 40 2 7 5" xfId="24022"/>
    <cellStyle name="Separador de milhares 2 40 2 7 5 2" xfId="39022"/>
    <cellStyle name="Separador de milhares 2 40 2 7 6" xfId="39018"/>
    <cellStyle name="Separador de milhares 2 40 2 8" xfId="24023"/>
    <cellStyle name="Separador de milhares 2 40 2 8 2" xfId="39023"/>
    <cellStyle name="Separador de milhares 2 40 2 9" xfId="24024"/>
    <cellStyle name="Separador de milhares 2 40 2 9 2" xfId="39024"/>
    <cellStyle name="Separador de milhares 2 40 20" xfId="24025"/>
    <cellStyle name="Separador de milhares 2 40 20 2" xfId="39025"/>
    <cellStyle name="Separador de milhares 2 40 21" xfId="38951"/>
    <cellStyle name="Separador de milhares 2 40 3" xfId="24026"/>
    <cellStyle name="Separador de milhares 2 40 3 2" xfId="24027"/>
    <cellStyle name="Separador de milhares 2 40 3 2 2" xfId="24028"/>
    <cellStyle name="Separador de milhares 2 40 3 2 2 2" xfId="39028"/>
    <cellStyle name="Separador de milhares 2 40 3 2 3" xfId="24029"/>
    <cellStyle name="Separador de milhares 2 40 3 2 3 2" xfId="39029"/>
    <cellStyle name="Separador de milhares 2 40 3 2 4" xfId="24030"/>
    <cellStyle name="Separador de milhares 2 40 3 2 4 2" xfId="39030"/>
    <cellStyle name="Separador de milhares 2 40 3 2 5" xfId="24031"/>
    <cellStyle name="Separador de milhares 2 40 3 2 5 2" xfId="39031"/>
    <cellStyle name="Separador de milhares 2 40 3 2 6" xfId="39027"/>
    <cellStyle name="Separador de milhares 2 40 3 3" xfId="24032"/>
    <cellStyle name="Separador de milhares 2 40 3 3 2" xfId="39032"/>
    <cellStyle name="Separador de milhares 2 40 3 4" xfId="24033"/>
    <cellStyle name="Separador de milhares 2 40 3 4 2" xfId="39033"/>
    <cellStyle name="Separador de milhares 2 40 3 5" xfId="24034"/>
    <cellStyle name="Separador de milhares 2 40 3 5 2" xfId="39034"/>
    <cellStyle name="Separador de milhares 2 40 3 6" xfId="24035"/>
    <cellStyle name="Separador de milhares 2 40 3 6 2" xfId="39035"/>
    <cellStyle name="Separador de milhares 2 40 3 7" xfId="39026"/>
    <cellStyle name="Separador de milhares 2 40 4" xfId="24036"/>
    <cellStyle name="Separador de milhares 2 40 4 2" xfId="24037"/>
    <cellStyle name="Separador de milhares 2 40 4 2 2" xfId="24038"/>
    <cellStyle name="Separador de milhares 2 40 4 2 2 2" xfId="39038"/>
    <cellStyle name="Separador de milhares 2 40 4 2 3" xfId="24039"/>
    <cellStyle name="Separador de milhares 2 40 4 2 3 2" xfId="39039"/>
    <cellStyle name="Separador de milhares 2 40 4 2 4" xfId="24040"/>
    <cellStyle name="Separador de milhares 2 40 4 2 4 2" xfId="39040"/>
    <cellStyle name="Separador de milhares 2 40 4 2 5" xfId="24041"/>
    <cellStyle name="Separador de milhares 2 40 4 2 5 2" xfId="39041"/>
    <cellStyle name="Separador de milhares 2 40 4 2 6" xfId="39037"/>
    <cellStyle name="Separador de milhares 2 40 4 3" xfId="24042"/>
    <cellStyle name="Separador de milhares 2 40 4 3 2" xfId="39042"/>
    <cellStyle name="Separador de milhares 2 40 4 4" xfId="24043"/>
    <cellStyle name="Separador de milhares 2 40 4 4 2" xfId="39043"/>
    <cellStyle name="Separador de milhares 2 40 4 5" xfId="24044"/>
    <cellStyle name="Separador de milhares 2 40 4 5 2" xfId="39044"/>
    <cellStyle name="Separador de milhares 2 40 4 6" xfId="24045"/>
    <cellStyle name="Separador de milhares 2 40 4 6 2" xfId="39045"/>
    <cellStyle name="Separador de milhares 2 40 4 7" xfId="39036"/>
    <cellStyle name="Separador de milhares 2 40 5" xfId="24046"/>
    <cellStyle name="Separador de milhares 2 40 5 2" xfId="24047"/>
    <cellStyle name="Separador de milhares 2 40 5 2 2" xfId="39047"/>
    <cellStyle name="Separador de milhares 2 40 5 3" xfId="24048"/>
    <cellStyle name="Separador de milhares 2 40 5 3 2" xfId="39048"/>
    <cellStyle name="Separador de milhares 2 40 5 4" xfId="24049"/>
    <cellStyle name="Separador de milhares 2 40 5 4 2" xfId="39049"/>
    <cellStyle name="Separador de milhares 2 40 5 5" xfId="24050"/>
    <cellStyle name="Separador de milhares 2 40 5 5 2" xfId="39050"/>
    <cellStyle name="Separador de milhares 2 40 5 6" xfId="39046"/>
    <cellStyle name="Separador de milhares 2 40 6" xfId="24051"/>
    <cellStyle name="Separador de milhares 2 40 6 2" xfId="24052"/>
    <cellStyle name="Separador de milhares 2 40 6 2 2" xfId="39052"/>
    <cellStyle name="Separador de milhares 2 40 6 3" xfId="24053"/>
    <cellStyle name="Separador de milhares 2 40 6 3 2" xfId="39053"/>
    <cellStyle name="Separador de milhares 2 40 6 4" xfId="24054"/>
    <cellStyle name="Separador de milhares 2 40 6 4 2" xfId="39054"/>
    <cellStyle name="Separador de milhares 2 40 6 5" xfId="24055"/>
    <cellStyle name="Separador de milhares 2 40 6 5 2" xfId="39055"/>
    <cellStyle name="Separador de milhares 2 40 6 6" xfId="39051"/>
    <cellStyle name="Separador de milhares 2 40 7" xfId="24056"/>
    <cellStyle name="Separador de milhares 2 40 7 2" xfId="24057"/>
    <cellStyle name="Separador de milhares 2 40 7 2 2" xfId="39057"/>
    <cellStyle name="Separador de milhares 2 40 7 3" xfId="24058"/>
    <cellStyle name="Separador de milhares 2 40 7 3 2" xfId="39058"/>
    <cellStyle name="Separador de milhares 2 40 7 4" xfId="24059"/>
    <cellStyle name="Separador de milhares 2 40 7 4 2" xfId="39059"/>
    <cellStyle name="Separador de milhares 2 40 7 5" xfId="24060"/>
    <cellStyle name="Separador de milhares 2 40 7 5 2" xfId="39060"/>
    <cellStyle name="Separador de milhares 2 40 7 6" xfId="39056"/>
    <cellStyle name="Separador de milhares 2 40 8" xfId="24061"/>
    <cellStyle name="Separador de milhares 2 40 8 2" xfId="24062"/>
    <cellStyle name="Separador de milhares 2 40 8 2 2" xfId="39062"/>
    <cellStyle name="Separador de milhares 2 40 8 3" xfId="24063"/>
    <cellStyle name="Separador de milhares 2 40 8 3 2" xfId="39063"/>
    <cellStyle name="Separador de milhares 2 40 8 4" xfId="24064"/>
    <cellStyle name="Separador de milhares 2 40 8 4 2" xfId="39064"/>
    <cellStyle name="Separador de milhares 2 40 8 5" xfId="24065"/>
    <cellStyle name="Separador de milhares 2 40 8 5 2" xfId="39065"/>
    <cellStyle name="Separador de milhares 2 40 8 6" xfId="39061"/>
    <cellStyle name="Separador de milhares 2 40 9" xfId="24066"/>
    <cellStyle name="Separador de milhares 2 40 9 2" xfId="24067"/>
    <cellStyle name="Separador de milhares 2 40 9 2 2" xfId="39067"/>
    <cellStyle name="Separador de milhares 2 40 9 3" xfId="24068"/>
    <cellStyle name="Separador de milhares 2 40 9 3 2" xfId="39068"/>
    <cellStyle name="Separador de milhares 2 40 9 4" xfId="24069"/>
    <cellStyle name="Separador de milhares 2 40 9 4 2" xfId="39069"/>
    <cellStyle name="Separador de milhares 2 40 9 5" xfId="24070"/>
    <cellStyle name="Separador de milhares 2 40 9 5 2" xfId="39070"/>
    <cellStyle name="Separador de milhares 2 40 9 6" xfId="39066"/>
    <cellStyle name="Separador de milhares 2 41" xfId="24071"/>
    <cellStyle name="Separador de milhares 2 42" xfId="24072"/>
    <cellStyle name="Separador de milhares 2 43" xfId="24073"/>
    <cellStyle name="Separador de milhares 2 44" xfId="24074"/>
    <cellStyle name="Separador de milhares 2 45" xfId="24075"/>
    <cellStyle name="Separador de milhares 2 46" xfId="24076"/>
    <cellStyle name="Separador de milhares 2 47" xfId="24077"/>
    <cellStyle name="Separador de milhares 2 48" xfId="24078"/>
    <cellStyle name="Separador de milhares 2 49" xfId="24079"/>
    <cellStyle name="Separador de milhares 2 5" xfId="24080"/>
    <cellStyle name="Separador de milhares 2 5 10" xfId="24081"/>
    <cellStyle name="Separador de milhares 2 5 11" xfId="24082"/>
    <cellStyle name="Separador de milhares 2 5 12" xfId="24083"/>
    <cellStyle name="Separador de milhares 2 5 13" xfId="24084"/>
    <cellStyle name="Separador de milhares 2 5 14" xfId="24085"/>
    <cellStyle name="Separador de milhares 2 5 15" xfId="24086"/>
    <cellStyle name="Separador de milhares 2 5 16" xfId="24087"/>
    <cellStyle name="Separador de milhares 2 5 17" xfId="24088"/>
    <cellStyle name="Separador de milhares 2 5 18" xfId="24089"/>
    <cellStyle name="Separador de milhares 2 5 19" xfId="24090"/>
    <cellStyle name="Separador de milhares 2 5 2" xfId="24091"/>
    <cellStyle name="Separador de milhares 2 5 2 2" xfId="24092"/>
    <cellStyle name="Separador de milhares 2 5 2 3" xfId="24093"/>
    <cellStyle name="Separador de milhares 2 5 2 4" xfId="24094"/>
    <cellStyle name="Separador de milhares 2 5 2 5" xfId="24095"/>
    <cellStyle name="Separador de milhares 2 5 2 6" xfId="24096"/>
    <cellStyle name="Separador de milhares 2 5 2 7" xfId="24097"/>
    <cellStyle name="Separador de milhares 2 5 20" xfId="24098"/>
    <cellStyle name="Separador de milhares 2 5 21" xfId="24099"/>
    <cellStyle name="Separador de milhares 2 5 22" xfId="24100"/>
    <cellStyle name="Separador de milhares 2 5 23" xfId="24101"/>
    <cellStyle name="Separador de milhares 2 5 24" xfId="24102"/>
    <cellStyle name="Separador de milhares 2 5 25" xfId="24103"/>
    <cellStyle name="Separador de milhares 2 5 26" xfId="24104"/>
    <cellStyle name="Separador de milhares 2 5 27" xfId="24105"/>
    <cellStyle name="Separador de milhares 2 5 3" xfId="24106"/>
    <cellStyle name="Separador de milhares 2 5 4" xfId="24107"/>
    <cellStyle name="Separador de milhares 2 5 5" xfId="24108"/>
    <cellStyle name="Separador de milhares 2 5 6" xfId="24109"/>
    <cellStyle name="Separador de milhares 2 5 7" xfId="24110"/>
    <cellStyle name="Separador de milhares 2 5 8" xfId="24111"/>
    <cellStyle name="Separador de milhares 2 5 9" xfId="24112"/>
    <cellStyle name="Separador de milhares 2 50" xfId="24113"/>
    <cellStyle name="Separador de milhares 2 51" xfId="24114"/>
    <cellStyle name="Separador de milhares 2 51 10" xfId="24115"/>
    <cellStyle name="Separador de milhares 2 51 11" xfId="24116"/>
    <cellStyle name="Separador de milhares 2 51 12" xfId="24117"/>
    <cellStyle name="Separador de milhares 2 51 13" xfId="24118"/>
    <cellStyle name="Separador de milhares 2 51 14" xfId="24119"/>
    <cellStyle name="Separador de milhares 2 51 15" xfId="24120"/>
    <cellStyle name="Separador de milhares 2 51 16" xfId="24121"/>
    <cellStyle name="Separador de milhares 2 51 2" xfId="24122"/>
    <cellStyle name="Separador de milhares 2 51 3" xfId="24123"/>
    <cellStyle name="Separador de milhares 2 51 4" xfId="24124"/>
    <cellStyle name="Separador de milhares 2 51 5" xfId="24125"/>
    <cellStyle name="Separador de milhares 2 51 6" xfId="24126"/>
    <cellStyle name="Separador de milhares 2 51 7" xfId="24127"/>
    <cellStyle name="Separador de milhares 2 51 8" xfId="24128"/>
    <cellStyle name="Separador de milhares 2 51 9" xfId="24129"/>
    <cellStyle name="Separador de milhares 2 52" xfId="24130"/>
    <cellStyle name="Separador de milhares 2 52 10" xfId="24131"/>
    <cellStyle name="Separador de milhares 2 52 11" xfId="24132"/>
    <cellStyle name="Separador de milhares 2 52 12" xfId="24133"/>
    <cellStyle name="Separador de milhares 2 52 13" xfId="24134"/>
    <cellStyle name="Separador de milhares 2 52 14" xfId="24135"/>
    <cellStyle name="Separador de milhares 2 52 15" xfId="24136"/>
    <cellStyle name="Separador de milhares 2 52 16" xfId="24137"/>
    <cellStyle name="Separador de milhares 2 52 2" xfId="24138"/>
    <cellStyle name="Separador de milhares 2 52 3" xfId="24139"/>
    <cellStyle name="Separador de milhares 2 52 4" xfId="24140"/>
    <cellStyle name="Separador de milhares 2 52 5" xfId="24141"/>
    <cellStyle name="Separador de milhares 2 52 6" xfId="24142"/>
    <cellStyle name="Separador de milhares 2 52 7" xfId="24143"/>
    <cellStyle name="Separador de milhares 2 52 8" xfId="24144"/>
    <cellStyle name="Separador de milhares 2 52 9" xfId="24145"/>
    <cellStyle name="Separador de milhares 2 53" xfId="24146"/>
    <cellStyle name="Separador de milhares 2 53 10" xfId="24147"/>
    <cellStyle name="Separador de milhares 2 53 11" xfId="24148"/>
    <cellStyle name="Separador de milhares 2 53 12" xfId="24149"/>
    <cellStyle name="Separador de milhares 2 53 13" xfId="24150"/>
    <cellStyle name="Separador de milhares 2 53 14" xfId="24151"/>
    <cellStyle name="Separador de milhares 2 53 15" xfId="24152"/>
    <cellStyle name="Separador de milhares 2 53 16" xfId="24153"/>
    <cellStyle name="Separador de milhares 2 53 2" xfId="24154"/>
    <cellStyle name="Separador de milhares 2 53 3" xfId="24155"/>
    <cellStyle name="Separador de milhares 2 53 4" xfId="24156"/>
    <cellStyle name="Separador de milhares 2 53 5" xfId="24157"/>
    <cellStyle name="Separador de milhares 2 53 6" xfId="24158"/>
    <cellStyle name="Separador de milhares 2 53 7" xfId="24159"/>
    <cellStyle name="Separador de milhares 2 53 8" xfId="24160"/>
    <cellStyle name="Separador de milhares 2 53 9" xfId="24161"/>
    <cellStyle name="Separador de milhares 2 54" xfId="24162"/>
    <cellStyle name="Separador de milhares 2 54 10" xfId="24163"/>
    <cellStyle name="Separador de milhares 2 54 11" xfId="24164"/>
    <cellStyle name="Separador de milhares 2 54 12" xfId="24165"/>
    <cellStyle name="Separador de milhares 2 54 13" xfId="24166"/>
    <cellStyle name="Separador de milhares 2 54 14" xfId="24167"/>
    <cellStyle name="Separador de milhares 2 54 15" xfId="24168"/>
    <cellStyle name="Separador de milhares 2 54 16" xfId="24169"/>
    <cellStyle name="Separador de milhares 2 54 2" xfId="24170"/>
    <cellStyle name="Separador de milhares 2 54 3" xfId="24171"/>
    <cellStyle name="Separador de milhares 2 54 4" xfId="24172"/>
    <cellStyle name="Separador de milhares 2 54 5" xfId="24173"/>
    <cellStyle name="Separador de milhares 2 54 6" xfId="24174"/>
    <cellStyle name="Separador de milhares 2 54 7" xfId="24175"/>
    <cellStyle name="Separador de milhares 2 54 8" xfId="24176"/>
    <cellStyle name="Separador de milhares 2 54 9" xfId="24177"/>
    <cellStyle name="Separador de milhares 2 55" xfId="24178"/>
    <cellStyle name="Separador de milhares 2 55 10" xfId="24179"/>
    <cellStyle name="Separador de milhares 2 55 11" xfId="24180"/>
    <cellStyle name="Separador de milhares 2 55 12" xfId="24181"/>
    <cellStyle name="Separador de milhares 2 55 13" xfId="24182"/>
    <cellStyle name="Separador de milhares 2 55 14" xfId="24183"/>
    <cellStyle name="Separador de milhares 2 55 15" xfId="24184"/>
    <cellStyle name="Separador de milhares 2 55 16" xfId="24185"/>
    <cellStyle name="Separador de milhares 2 55 2" xfId="24186"/>
    <cellStyle name="Separador de milhares 2 55 3" xfId="24187"/>
    <cellStyle name="Separador de milhares 2 55 4" xfId="24188"/>
    <cellStyle name="Separador de milhares 2 55 5" xfId="24189"/>
    <cellStyle name="Separador de milhares 2 55 6" xfId="24190"/>
    <cellStyle name="Separador de milhares 2 55 7" xfId="24191"/>
    <cellStyle name="Separador de milhares 2 55 8" xfId="24192"/>
    <cellStyle name="Separador de milhares 2 55 9" xfId="24193"/>
    <cellStyle name="Separador de milhares 2 56" xfId="24194"/>
    <cellStyle name="Separador de milhares 2 56 10" xfId="24195"/>
    <cellStyle name="Separador de milhares 2 56 11" xfId="24196"/>
    <cellStyle name="Separador de milhares 2 56 12" xfId="24197"/>
    <cellStyle name="Separador de milhares 2 56 13" xfId="24198"/>
    <cellStyle name="Separador de milhares 2 56 14" xfId="24199"/>
    <cellStyle name="Separador de milhares 2 56 15" xfId="24200"/>
    <cellStyle name="Separador de milhares 2 56 16" xfId="24201"/>
    <cellStyle name="Separador de milhares 2 56 2" xfId="24202"/>
    <cellStyle name="Separador de milhares 2 56 3" xfId="24203"/>
    <cellStyle name="Separador de milhares 2 56 4" xfId="24204"/>
    <cellStyle name="Separador de milhares 2 56 5" xfId="24205"/>
    <cellStyle name="Separador de milhares 2 56 6" xfId="24206"/>
    <cellStyle name="Separador de milhares 2 56 7" xfId="24207"/>
    <cellStyle name="Separador de milhares 2 56 8" xfId="24208"/>
    <cellStyle name="Separador de milhares 2 56 9" xfId="24209"/>
    <cellStyle name="Separador de milhares 2 57" xfId="24210"/>
    <cellStyle name="Separador de milhares 2 57 10" xfId="24211"/>
    <cellStyle name="Separador de milhares 2 57 11" xfId="24212"/>
    <cellStyle name="Separador de milhares 2 57 12" xfId="24213"/>
    <cellStyle name="Separador de milhares 2 57 13" xfId="24214"/>
    <cellStyle name="Separador de milhares 2 57 14" xfId="24215"/>
    <cellStyle name="Separador de milhares 2 57 15" xfId="24216"/>
    <cellStyle name="Separador de milhares 2 57 16" xfId="24217"/>
    <cellStyle name="Separador de milhares 2 57 2" xfId="24218"/>
    <cellStyle name="Separador de milhares 2 57 3" xfId="24219"/>
    <cellStyle name="Separador de milhares 2 57 4" xfId="24220"/>
    <cellStyle name="Separador de milhares 2 57 5" xfId="24221"/>
    <cellStyle name="Separador de milhares 2 57 6" xfId="24222"/>
    <cellStyle name="Separador de milhares 2 57 7" xfId="24223"/>
    <cellStyle name="Separador de milhares 2 57 8" xfId="24224"/>
    <cellStyle name="Separador de milhares 2 57 9" xfId="24225"/>
    <cellStyle name="Separador de milhares 2 58" xfId="24226"/>
    <cellStyle name="Separador de milhares 2 58 10" xfId="24227"/>
    <cellStyle name="Separador de milhares 2 58 11" xfId="24228"/>
    <cellStyle name="Separador de milhares 2 58 12" xfId="24229"/>
    <cellStyle name="Separador de milhares 2 58 13" xfId="24230"/>
    <cellStyle name="Separador de milhares 2 58 14" xfId="24231"/>
    <cellStyle name="Separador de milhares 2 58 15" xfId="24232"/>
    <cellStyle name="Separador de milhares 2 58 16" xfId="24233"/>
    <cellStyle name="Separador de milhares 2 58 2" xfId="24234"/>
    <cellStyle name="Separador de milhares 2 58 3" xfId="24235"/>
    <cellStyle name="Separador de milhares 2 58 4" xfId="24236"/>
    <cellStyle name="Separador de milhares 2 58 5" xfId="24237"/>
    <cellStyle name="Separador de milhares 2 58 6" xfId="24238"/>
    <cellStyle name="Separador de milhares 2 58 7" xfId="24239"/>
    <cellStyle name="Separador de milhares 2 58 8" xfId="24240"/>
    <cellStyle name="Separador de milhares 2 58 9" xfId="24241"/>
    <cellStyle name="Separador de milhares 2 59" xfId="24242"/>
    <cellStyle name="Separador de milhares 2 59 10" xfId="24243"/>
    <cellStyle name="Separador de milhares 2 59 11" xfId="24244"/>
    <cellStyle name="Separador de milhares 2 59 12" xfId="24245"/>
    <cellStyle name="Separador de milhares 2 59 13" xfId="24246"/>
    <cellStyle name="Separador de milhares 2 59 14" xfId="24247"/>
    <cellStyle name="Separador de milhares 2 59 15" xfId="24248"/>
    <cellStyle name="Separador de milhares 2 59 16" xfId="24249"/>
    <cellStyle name="Separador de milhares 2 59 2" xfId="24250"/>
    <cellStyle name="Separador de milhares 2 59 3" xfId="24251"/>
    <cellStyle name="Separador de milhares 2 59 4" xfId="24252"/>
    <cellStyle name="Separador de milhares 2 59 5" xfId="24253"/>
    <cellStyle name="Separador de milhares 2 59 6" xfId="24254"/>
    <cellStyle name="Separador de milhares 2 59 7" xfId="24255"/>
    <cellStyle name="Separador de milhares 2 59 8" xfId="24256"/>
    <cellStyle name="Separador de milhares 2 59 9" xfId="24257"/>
    <cellStyle name="Separador de milhares 2 6" xfId="24258"/>
    <cellStyle name="Separador de milhares 2 6 10" xfId="24259"/>
    <cellStyle name="Separador de milhares 2 6 11" xfId="24260"/>
    <cellStyle name="Separador de milhares 2 6 12" xfId="24261"/>
    <cellStyle name="Separador de milhares 2 6 13" xfId="24262"/>
    <cellStyle name="Separador de milhares 2 6 14" xfId="24263"/>
    <cellStyle name="Separador de milhares 2 6 15" xfId="24264"/>
    <cellStyle name="Separador de milhares 2 6 16" xfId="24265"/>
    <cellStyle name="Separador de milhares 2 6 17" xfId="24266"/>
    <cellStyle name="Separador de milhares 2 6 18" xfId="24267"/>
    <cellStyle name="Separador de milhares 2 6 19" xfId="24268"/>
    <cellStyle name="Separador de milhares 2 6 2" xfId="24269"/>
    <cellStyle name="Separador de milhares 2 6 2 2" xfId="24270"/>
    <cellStyle name="Separador de milhares 2 6 2 3" xfId="24271"/>
    <cellStyle name="Separador de milhares 2 6 2 4" xfId="24272"/>
    <cellStyle name="Separador de milhares 2 6 2 5" xfId="24273"/>
    <cellStyle name="Separador de milhares 2 6 2 6" xfId="24274"/>
    <cellStyle name="Separador de milhares 2 6 2 7" xfId="24275"/>
    <cellStyle name="Separador de milhares 2 6 20" xfId="24276"/>
    <cellStyle name="Separador de milhares 2 6 21" xfId="24277"/>
    <cellStyle name="Separador de milhares 2 6 22" xfId="24278"/>
    <cellStyle name="Separador de milhares 2 6 23" xfId="24279"/>
    <cellStyle name="Separador de milhares 2 6 24" xfId="24280"/>
    <cellStyle name="Separador de milhares 2 6 25" xfId="24281"/>
    <cellStyle name="Separador de milhares 2 6 3" xfId="24282"/>
    <cellStyle name="Separador de milhares 2 6 4" xfId="24283"/>
    <cellStyle name="Separador de milhares 2 6 5" xfId="24284"/>
    <cellStyle name="Separador de milhares 2 6 6" xfId="24285"/>
    <cellStyle name="Separador de milhares 2 6 7" xfId="24286"/>
    <cellStyle name="Separador de milhares 2 6 8" xfId="24287"/>
    <cellStyle name="Separador de milhares 2 6 9" xfId="24288"/>
    <cellStyle name="Separador de milhares 2 60" xfId="24289"/>
    <cellStyle name="Separador de milhares 2 61" xfId="24290"/>
    <cellStyle name="Separador de milhares 2 62" xfId="24291"/>
    <cellStyle name="Separador de milhares 2 63" xfId="24292"/>
    <cellStyle name="Separador de milhares 2 64" xfId="24293"/>
    <cellStyle name="Separador de milhares 2 65" xfId="24294"/>
    <cellStyle name="Separador de milhares 2 66" xfId="24295"/>
    <cellStyle name="Separador de milhares 2 67" xfId="24296"/>
    <cellStyle name="Separador de milhares 2 68" xfId="24297"/>
    <cellStyle name="Separador de milhares 2 69" xfId="24298"/>
    <cellStyle name="Separador de milhares 2 7" xfId="24299"/>
    <cellStyle name="Separador de milhares 2 7 10" xfId="24300"/>
    <cellStyle name="Separador de milhares 2 7 11" xfId="24301"/>
    <cellStyle name="Separador de milhares 2 7 12" xfId="24302"/>
    <cellStyle name="Separador de milhares 2 7 13" xfId="24303"/>
    <cellStyle name="Separador de milhares 2 7 14" xfId="24304"/>
    <cellStyle name="Separador de milhares 2 7 15" xfId="24305"/>
    <cellStyle name="Separador de milhares 2 7 16" xfId="24306"/>
    <cellStyle name="Separador de milhares 2 7 17" xfId="24307"/>
    <cellStyle name="Separador de milhares 2 7 18" xfId="24308"/>
    <cellStyle name="Separador de milhares 2 7 19" xfId="24309"/>
    <cellStyle name="Separador de milhares 2 7 2" xfId="24310"/>
    <cellStyle name="Separador de milhares 2 7 2 2" xfId="24311"/>
    <cellStyle name="Separador de milhares 2 7 2 3" xfId="24312"/>
    <cellStyle name="Separador de milhares 2 7 2 4" xfId="24313"/>
    <cellStyle name="Separador de milhares 2 7 2 5" xfId="24314"/>
    <cellStyle name="Separador de milhares 2 7 2 6" xfId="24315"/>
    <cellStyle name="Separador de milhares 2 7 2 7" xfId="24316"/>
    <cellStyle name="Separador de milhares 2 7 20" xfId="24317"/>
    <cellStyle name="Separador de milhares 2 7 21" xfId="24318"/>
    <cellStyle name="Separador de milhares 2 7 22" xfId="24319"/>
    <cellStyle name="Separador de milhares 2 7 23" xfId="24320"/>
    <cellStyle name="Separador de milhares 2 7 24" xfId="24321"/>
    <cellStyle name="Separador de milhares 2 7 25" xfId="24322"/>
    <cellStyle name="Separador de milhares 2 7 3" xfId="24323"/>
    <cellStyle name="Separador de milhares 2 7 4" xfId="24324"/>
    <cellStyle name="Separador de milhares 2 7 5" xfId="24325"/>
    <cellStyle name="Separador de milhares 2 7 6" xfId="24326"/>
    <cellStyle name="Separador de milhares 2 7 7" xfId="24327"/>
    <cellStyle name="Separador de milhares 2 7 8" xfId="24328"/>
    <cellStyle name="Separador de milhares 2 7 9" xfId="24329"/>
    <cellStyle name="Separador de milhares 2 70" xfId="24330"/>
    <cellStyle name="Separador de milhares 2 71" xfId="24331"/>
    <cellStyle name="Separador de milhares 2 72" xfId="24332"/>
    <cellStyle name="Separador de milhares 2 73" xfId="24333"/>
    <cellStyle name="Separador de milhares 2 74" xfId="24334"/>
    <cellStyle name="Separador de milhares 2 74 10" xfId="24335"/>
    <cellStyle name="Separador de milhares 2 74 11" xfId="24336"/>
    <cellStyle name="Separador de milhares 2 74 12" xfId="24337"/>
    <cellStyle name="Separador de milhares 2 74 13" xfId="24338"/>
    <cellStyle name="Separador de milhares 2 74 14" xfId="24339"/>
    <cellStyle name="Separador de milhares 2 74 15" xfId="24340"/>
    <cellStyle name="Separador de milhares 2 74 16" xfId="24341"/>
    <cellStyle name="Separador de milhares 2 74 2" xfId="24342"/>
    <cellStyle name="Separador de milhares 2 74 3" xfId="24343"/>
    <cellStyle name="Separador de milhares 2 74 4" xfId="24344"/>
    <cellStyle name="Separador de milhares 2 74 5" xfId="24345"/>
    <cellStyle name="Separador de milhares 2 74 6" xfId="24346"/>
    <cellStyle name="Separador de milhares 2 74 7" xfId="24347"/>
    <cellStyle name="Separador de milhares 2 74 8" xfId="24348"/>
    <cellStyle name="Separador de milhares 2 74 9" xfId="24349"/>
    <cellStyle name="Separador de milhares 2 75" xfId="24350"/>
    <cellStyle name="Separador de milhares 2 75 10" xfId="24351"/>
    <cellStyle name="Separador de milhares 2 75 11" xfId="24352"/>
    <cellStyle name="Separador de milhares 2 75 12" xfId="24353"/>
    <cellStyle name="Separador de milhares 2 75 13" xfId="24354"/>
    <cellStyle name="Separador de milhares 2 75 14" xfId="24355"/>
    <cellStyle name="Separador de milhares 2 75 15" xfId="24356"/>
    <cellStyle name="Separador de milhares 2 75 16" xfId="24357"/>
    <cellStyle name="Separador de milhares 2 75 2" xfId="24358"/>
    <cellStyle name="Separador de milhares 2 75 3" xfId="24359"/>
    <cellStyle name="Separador de milhares 2 75 4" xfId="24360"/>
    <cellStyle name="Separador de milhares 2 75 5" xfId="24361"/>
    <cellStyle name="Separador de milhares 2 75 6" xfId="24362"/>
    <cellStyle name="Separador de milhares 2 75 7" xfId="24363"/>
    <cellStyle name="Separador de milhares 2 75 8" xfId="24364"/>
    <cellStyle name="Separador de milhares 2 75 9" xfId="24365"/>
    <cellStyle name="Separador de milhares 2 76" xfId="24366"/>
    <cellStyle name="Separador de milhares 2 76 10" xfId="24367"/>
    <cellStyle name="Separador de milhares 2 76 11" xfId="24368"/>
    <cellStyle name="Separador de milhares 2 76 12" xfId="24369"/>
    <cellStyle name="Separador de milhares 2 76 13" xfId="24370"/>
    <cellStyle name="Separador de milhares 2 76 14" xfId="24371"/>
    <cellStyle name="Separador de milhares 2 76 15" xfId="24372"/>
    <cellStyle name="Separador de milhares 2 76 16" xfId="24373"/>
    <cellStyle name="Separador de milhares 2 76 2" xfId="24374"/>
    <cellStyle name="Separador de milhares 2 76 3" xfId="24375"/>
    <cellStyle name="Separador de milhares 2 76 4" xfId="24376"/>
    <cellStyle name="Separador de milhares 2 76 5" xfId="24377"/>
    <cellStyle name="Separador de milhares 2 76 6" xfId="24378"/>
    <cellStyle name="Separador de milhares 2 76 7" xfId="24379"/>
    <cellStyle name="Separador de milhares 2 76 8" xfId="24380"/>
    <cellStyle name="Separador de milhares 2 76 9" xfId="24381"/>
    <cellStyle name="Separador de milhares 2 77" xfId="24382"/>
    <cellStyle name="Separador de milhares 2 77 10" xfId="24383"/>
    <cellStyle name="Separador de milhares 2 77 11" xfId="24384"/>
    <cellStyle name="Separador de milhares 2 77 12" xfId="24385"/>
    <cellStyle name="Separador de milhares 2 77 13" xfId="24386"/>
    <cellStyle name="Separador de milhares 2 77 14" xfId="24387"/>
    <cellStyle name="Separador de milhares 2 77 15" xfId="24388"/>
    <cellStyle name="Separador de milhares 2 77 16" xfId="24389"/>
    <cellStyle name="Separador de milhares 2 77 2" xfId="24390"/>
    <cellStyle name="Separador de milhares 2 77 3" xfId="24391"/>
    <cellStyle name="Separador de milhares 2 77 4" xfId="24392"/>
    <cellStyle name="Separador de milhares 2 77 5" xfId="24393"/>
    <cellStyle name="Separador de milhares 2 77 6" xfId="24394"/>
    <cellStyle name="Separador de milhares 2 77 7" xfId="24395"/>
    <cellStyle name="Separador de milhares 2 77 8" xfId="24396"/>
    <cellStyle name="Separador de milhares 2 77 9" xfId="24397"/>
    <cellStyle name="Separador de milhares 2 78" xfId="24398"/>
    <cellStyle name="Separador de milhares 2 79" xfId="24399"/>
    <cellStyle name="Separador de milhares 2 8" xfId="24400"/>
    <cellStyle name="Separador de milhares 2 8 10" xfId="24401"/>
    <cellStyle name="Separador de milhares 2 8 11" xfId="24402"/>
    <cellStyle name="Separador de milhares 2 8 2" xfId="24403"/>
    <cellStyle name="Separador de milhares 2 8 2 2" xfId="24404"/>
    <cellStyle name="Separador de milhares 2 8 2 3" xfId="24405"/>
    <cellStyle name="Separador de milhares 2 8 2 4" xfId="24406"/>
    <cellStyle name="Separador de milhares 2 8 2 5" xfId="24407"/>
    <cellStyle name="Separador de milhares 2 8 2 6" xfId="24408"/>
    <cellStyle name="Separador de milhares 2 8 2 7" xfId="24409"/>
    <cellStyle name="Separador de milhares 2 8 3" xfId="24410"/>
    <cellStyle name="Separador de milhares 2 8 4" xfId="24411"/>
    <cellStyle name="Separador de milhares 2 8 5" xfId="24412"/>
    <cellStyle name="Separador de milhares 2 8 6" xfId="24413"/>
    <cellStyle name="Separador de milhares 2 8 7" xfId="24414"/>
    <cellStyle name="Separador de milhares 2 8 8" xfId="24415"/>
    <cellStyle name="Separador de milhares 2 8 9" xfId="24416"/>
    <cellStyle name="Separador de milhares 2 80" xfId="24417"/>
    <cellStyle name="Separador de milhares 2 81" xfId="24418"/>
    <cellStyle name="Separador de milhares 2 82" xfId="24419"/>
    <cellStyle name="Separador de milhares 2 83" xfId="24420"/>
    <cellStyle name="Separador de milhares 2 84" xfId="24421"/>
    <cellStyle name="Separador de milhares 2 85" xfId="24422"/>
    <cellStyle name="Separador de milhares 2 86" xfId="24423"/>
    <cellStyle name="Separador de milhares 2 87" xfId="24424"/>
    <cellStyle name="Separador de milhares 2 88" xfId="24425"/>
    <cellStyle name="Separador de milhares 2 89" xfId="24426"/>
    <cellStyle name="Separador de milhares 2 9" xfId="24427"/>
    <cellStyle name="Separador de milhares 2 9 10" xfId="24428"/>
    <cellStyle name="Separador de milhares 2 9 11" xfId="24429"/>
    <cellStyle name="Separador de milhares 2 9 2" xfId="24430"/>
    <cellStyle name="Separador de milhares 2 9 2 2" xfId="24431"/>
    <cellStyle name="Separador de milhares 2 9 2 3" xfId="24432"/>
    <cellStyle name="Separador de milhares 2 9 2 4" xfId="24433"/>
    <cellStyle name="Separador de milhares 2 9 2 5" xfId="24434"/>
    <cellStyle name="Separador de milhares 2 9 2 6" xfId="24435"/>
    <cellStyle name="Separador de milhares 2 9 2 7" xfId="24436"/>
    <cellStyle name="Separador de milhares 2 9 3" xfId="24437"/>
    <cellStyle name="Separador de milhares 2 9 4" xfId="24438"/>
    <cellStyle name="Separador de milhares 2 9 5" xfId="24439"/>
    <cellStyle name="Separador de milhares 2 9 6" xfId="24440"/>
    <cellStyle name="Separador de milhares 2 9 7" xfId="24441"/>
    <cellStyle name="Separador de milhares 2 9 8" xfId="24442"/>
    <cellStyle name="Separador de milhares 2 9 9" xfId="24443"/>
    <cellStyle name="Separador de milhares 2 90" xfId="24444"/>
    <cellStyle name="Separador de milhares 2 91" xfId="24445"/>
    <cellStyle name="Separador de milhares 2 92" xfId="24446"/>
    <cellStyle name="Separador de milhares 2 93" xfId="24447"/>
    <cellStyle name="Separador de milhares 2 94" xfId="24448"/>
    <cellStyle name="Separador de milhares 2 95" xfId="24449"/>
    <cellStyle name="Separador de milhares 2 96" xfId="24450"/>
    <cellStyle name="Separador de milhares 2 97" xfId="24451"/>
    <cellStyle name="Separador de milhares 2 97 2" xfId="24452"/>
    <cellStyle name="Separador de milhares 2 98" xfId="24453"/>
    <cellStyle name="Separador de milhares 2 98 2" xfId="24454"/>
    <cellStyle name="Separador de milhares 2 99" xfId="24455"/>
    <cellStyle name="Separador de milhares 2 99 2" xfId="24456"/>
    <cellStyle name="Separador de milhares 20" xfId="24457"/>
    <cellStyle name="Separador de milhares 21" xfId="24458"/>
    <cellStyle name="Separador de milhares 22" xfId="24459"/>
    <cellStyle name="Separador de milhares 23" xfId="29305"/>
    <cellStyle name="Separador de milhares 24" xfId="24460"/>
    <cellStyle name="Separador de milhares 25" xfId="24461"/>
    <cellStyle name="Separador de milhares 26" xfId="24462"/>
    <cellStyle name="Separador de milhares 27" xfId="24463"/>
    <cellStyle name="Separador de milhares 28" xfId="29357"/>
    <cellStyle name="Separador de milhares 3" xfId="24464"/>
    <cellStyle name="Separador de milhares 3 10" xfId="24465"/>
    <cellStyle name="Separador de milhares 3 10 2" xfId="24466"/>
    <cellStyle name="Separador de milhares 3 11" xfId="24467"/>
    <cellStyle name="Separador de milhares 3 11 2" xfId="24468"/>
    <cellStyle name="Separador de milhares 3 12" xfId="24469"/>
    <cellStyle name="Separador de milhares 3 12 2" xfId="24470"/>
    <cellStyle name="Separador de milhares 3 13" xfId="24471"/>
    <cellStyle name="Separador de milhares 3 13 2" xfId="24472"/>
    <cellStyle name="Separador de milhares 3 14" xfId="24473"/>
    <cellStyle name="Separador de milhares 3 14 2" xfId="24474"/>
    <cellStyle name="Separador de milhares 3 15" xfId="24475"/>
    <cellStyle name="Separador de milhares 3 15 2" xfId="24476"/>
    <cellStyle name="Separador de milhares 3 16" xfId="24477"/>
    <cellStyle name="Separador de milhares 3 16 2" xfId="24478"/>
    <cellStyle name="Separador de milhares 3 17" xfId="24479"/>
    <cellStyle name="Separador de milhares 3 18" xfId="24480"/>
    <cellStyle name="Separador de milhares 3 19" xfId="24481"/>
    <cellStyle name="Separador de milhares 3 2" xfId="24482"/>
    <cellStyle name="Separador de milhares 3 2 2" xfId="24483"/>
    <cellStyle name="Separador de milhares 3 2 3" xfId="24484"/>
    <cellStyle name="Separador de milhares 3 20" xfId="24485"/>
    <cellStyle name="Separador de milhares 3 21" xfId="24486"/>
    <cellStyle name="Separador de milhares 3 21 2" xfId="24487"/>
    <cellStyle name="Separador de milhares 3 22" xfId="24488"/>
    <cellStyle name="Separador de milhares 3 22 2" xfId="24489"/>
    <cellStyle name="Separador de milhares 3 23" xfId="24490"/>
    <cellStyle name="Separador de milhares 3 23 2" xfId="24491"/>
    <cellStyle name="Separador de milhares 3 24" xfId="24492"/>
    <cellStyle name="Separador de milhares 3 24 2" xfId="24493"/>
    <cellStyle name="Separador de milhares 3 25" xfId="24494"/>
    <cellStyle name="Separador de milhares 3 26" xfId="24495"/>
    <cellStyle name="Separador de milhares 3 27" xfId="24496"/>
    <cellStyle name="Separador de milhares 3 28" xfId="24497"/>
    <cellStyle name="Separador de milhares 3 29" xfId="24498"/>
    <cellStyle name="Separador de milhares 3 3" xfId="24499"/>
    <cellStyle name="Separador de milhares 3 3 2" xfId="24500"/>
    <cellStyle name="Separador de milhares 3 3 3" xfId="24501"/>
    <cellStyle name="Separador de milhares 3 3 4" xfId="24502"/>
    <cellStyle name="Separador de milhares 3 3 5" xfId="24503"/>
    <cellStyle name="Separador de milhares 3 3 6" xfId="24504"/>
    <cellStyle name="Separador de milhares 3 3 7" xfId="24505"/>
    <cellStyle name="Separador de milhares 3 30" xfId="24506"/>
    <cellStyle name="Separador de milhares 3 31" xfId="24507"/>
    <cellStyle name="Separador de milhares 3 32" xfId="24508"/>
    <cellStyle name="Separador de milhares 3 33" xfId="24509"/>
    <cellStyle name="Separador de milhares 3 34" xfId="24510"/>
    <cellStyle name="Separador de milhares 3 35" xfId="24511"/>
    <cellStyle name="Separador de milhares 3 36" xfId="24512"/>
    <cellStyle name="Separador de milhares 3 37" xfId="24513"/>
    <cellStyle name="Separador de milhares 3 4" xfId="24514"/>
    <cellStyle name="Separador de milhares 3 5" xfId="24515"/>
    <cellStyle name="Separador de milhares 3 6" xfId="24516"/>
    <cellStyle name="Separador de milhares 3 6 10" xfId="24517"/>
    <cellStyle name="Separador de milhares 3 6 10 2" xfId="24518"/>
    <cellStyle name="Separador de milhares 3 6 10 2 2" xfId="39073"/>
    <cellStyle name="Separador de milhares 3 6 10 3" xfId="24519"/>
    <cellStyle name="Separador de milhares 3 6 10 3 2" xfId="39074"/>
    <cellStyle name="Separador de milhares 3 6 10 4" xfId="24520"/>
    <cellStyle name="Separador de milhares 3 6 10 4 2" xfId="39075"/>
    <cellStyle name="Separador de milhares 3 6 10 5" xfId="24521"/>
    <cellStyle name="Separador de milhares 3 6 10 5 2" xfId="39076"/>
    <cellStyle name="Separador de milhares 3 6 10 6" xfId="39072"/>
    <cellStyle name="Separador de milhares 3 6 11" xfId="24522"/>
    <cellStyle name="Separador de milhares 3 6 11 2" xfId="24523"/>
    <cellStyle name="Separador de milhares 3 6 11 2 2" xfId="39078"/>
    <cellStyle name="Separador de milhares 3 6 11 3" xfId="24524"/>
    <cellStyle name="Separador de milhares 3 6 11 3 2" xfId="39079"/>
    <cellStyle name="Separador de milhares 3 6 11 4" xfId="24525"/>
    <cellStyle name="Separador de milhares 3 6 11 4 2" xfId="39080"/>
    <cellStyle name="Separador de milhares 3 6 11 5" xfId="24526"/>
    <cellStyle name="Separador de milhares 3 6 11 5 2" xfId="39081"/>
    <cellStyle name="Separador de milhares 3 6 11 6" xfId="39077"/>
    <cellStyle name="Separador de milhares 3 6 12" xfId="24527"/>
    <cellStyle name="Separador de milhares 3 6 12 2" xfId="24528"/>
    <cellStyle name="Separador de milhares 3 6 12 2 2" xfId="39083"/>
    <cellStyle name="Separador de milhares 3 6 12 3" xfId="24529"/>
    <cellStyle name="Separador de milhares 3 6 12 3 2" xfId="39084"/>
    <cellStyle name="Separador de milhares 3 6 12 4" xfId="24530"/>
    <cellStyle name="Separador de milhares 3 6 12 4 2" xfId="39085"/>
    <cellStyle name="Separador de milhares 3 6 12 5" xfId="24531"/>
    <cellStyle name="Separador de milhares 3 6 12 5 2" xfId="39086"/>
    <cellStyle name="Separador de milhares 3 6 12 6" xfId="39082"/>
    <cellStyle name="Separador de milhares 3 6 13" xfId="24532"/>
    <cellStyle name="Separador de milhares 3 6 13 2" xfId="24533"/>
    <cellStyle name="Separador de milhares 3 6 13 2 2" xfId="39088"/>
    <cellStyle name="Separador de milhares 3 6 13 3" xfId="24534"/>
    <cellStyle name="Separador de milhares 3 6 13 3 2" xfId="39089"/>
    <cellStyle name="Separador de milhares 3 6 13 4" xfId="24535"/>
    <cellStyle name="Separador de milhares 3 6 13 4 2" xfId="39090"/>
    <cellStyle name="Separador de milhares 3 6 13 5" xfId="24536"/>
    <cellStyle name="Separador de milhares 3 6 13 5 2" xfId="39091"/>
    <cellStyle name="Separador de milhares 3 6 13 6" xfId="39087"/>
    <cellStyle name="Separador de milhares 3 6 14" xfId="24537"/>
    <cellStyle name="Separador de milhares 3 6 14 2" xfId="24538"/>
    <cellStyle name="Separador de milhares 3 6 14 2 2" xfId="39093"/>
    <cellStyle name="Separador de milhares 3 6 14 3" xfId="24539"/>
    <cellStyle name="Separador de milhares 3 6 14 3 2" xfId="39094"/>
    <cellStyle name="Separador de milhares 3 6 14 4" xfId="24540"/>
    <cellStyle name="Separador de milhares 3 6 14 4 2" xfId="39095"/>
    <cellStyle name="Separador de milhares 3 6 14 5" xfId="24541"/>
    <cellStyle name="Separador de milhares 3 6 14 5 2" xfId="39096"/>
    <cellStyle name="Separador de milhares 3 6 14 6" xfId="39092"/>
    <cellStyle name="Separador de milhares 3 6 15" xfId="24542"/>
    <cellStyle name="Separador de milhares 3 6 15 2" xfId="24543"/>
    <cellStyle name="Separador de milhares 3 6 15 2 2" xfId="39098"/>
    <cellStyle name="Separador de milhares 3 6 15 3" xfId="24544"/>
    <cellStyle name="Separador de milhares 3 6 15 3 2" xfId="39099"/>
    <cellStyle name="Separador de milhares 3 6 15 4" xfId="24545"/>
    <cellStyle name="Separador de milhares 3 6 15 4 2" xfId="39100"/>
    <cellStyle name="Separador de milhares 3 6 15 5" xfId="24546"/>
    <cellStyle name="Separador de milhares 3 6 15 5 2" xfId="39101"/>
    <cellStyle name="Separador de milhares 3 6 15 6" xfId="39097"/>
    <cellStyle name="Separador de milhares 3 6 16" xfId="24547"/>
    <cellStyle name="Separador de milhares 3 6 16 2" xfId="24548"/>
    <cellStyle name="Separador de milhares 3 6 16 2 2" xfId="39103"/>
    <cellStyle name="Separador de milhares 3 6 16 3" xfId="24549"/>
    <cellStyle name="Separador de milhares 3 6 16 3 2" xfId="39104"/>
    <cellStyle name="Separador de milhares 3 6 16 4" xfId="24550"/>
    <cellStyle name="Separador de milhares 3 6 16 4 2" xfId="39105"/>
    <cellStyle name="Separador de milhares 3 6 16 5" xfId="24551"/>
    <cellStyle name="Separador de milhares 3 6 16 5 2" xfId="39106"/>
    <cellStyle name="Separador de milhares 3 6 16 6" xfId="39102"/>
    <cellStyle name="Separador de milhares 3 6 17" xfId="24552"/>
    <cellStyle name="Separador de milhares 3 6 17 2" xfId="39107"/>
    <cellStyle name="Separador de milhares 3 6 18" xfId="24553"/>
    <cellStyle name="Separador de milhares 3 6 18 2" xfId="39108"/>
    <cellStyle name="Separador de milhares 3 6 19" xfId="24554"/>
    <cellStyle name="Separador de milhares 3 6 19 2" xfId="39109"/>
    <cellStyle name="Separador de milhares 3 6 2" xfId="24555"/>
    <cellStyle name="Separador de milhares 3 6 2 10" xfId="24556"/>
    <cellStyle name="Separador de milhares 3 6 2 10 2" xfId="39111"/>
    <cellStyle name="Separador de milhares 3 6 2 11" xfId="24557"/>
    <cellStyle name="Separador de milhares 3 6 2 11 2" xfId="39112"/>
    <cellStyle name="Separador de milhares 3 6 2 12" xfId="39110"/>
    <cellStyle name="Separador de milhares 3 6 2 2" xfId="24558"/>
    <cellStyle name="Separador de milhares 3 6 2 2 2" xfId="24559"/>
    <cellStyle name="Separador de milhares 3 6 2 2 2 2" xfId="39114"/>
    <cellStyle name="Separador de milhares 3 6 2 2 3" xfId="24560"/>
    <cellStyle name="Separador de milhares 3 6 2 2 3 2" xfId="39115"/>
    <cellStyle name="Separador de milhares 3 6 2 2 4" xfId="24561"/>
    <cellStyle name="Separador de milhares 3 6 2 2 4 2" xfId="39116"/>
    <cellStyle name="Separador de milhares 3 6 2 2 5" xfId="24562"/>
    <cellStyle name="Separador de milhares 3 6 2 2 5 2" xfId="39117"/>
    <cellStyle name="Separador de milhares 3 6 2 2 6" xfId="39113"/>
    <cellStyle name="Separador de milhares 3 6 2 3" xfId="24563"/>
    <cellStyle name="Separador de milhares 3 6 2 3 2" xfId="24564"/>
    <cellStyle name="Separador de milhares 3 6 2 3 2 2" xfId="39119"/>
    <cellStyle name="Separador de milhares 3 6 2 3 3" xfId="24565"/>
    <cellStyle name="Separador de milhares 3 6 2 3 3 2" xfId="39120"/>
    <cellStyle name="Separador de milhares 3 6 2 3 4" xfId="24566"/>
    <cellStyle name="Separador de milhares 3 6 2 3 4 2" xfId="39121"/>
    <cellStyle name="Separador de milhares 3 6 2 3 5" xfId="24567"/>
    <cellStyle name="Separador de milhares 3 6 2 3 5 2" xfId="39122"/>
    <cellStyle name="Separador de milhares 3 6 2 3 6" xfId="39118"/>
    <cellStyle name="Separador de milhares 3 6 2 4" xfId="24568"/>
    <cellStyle name="Separador de milhares 3 6 2 4 2" xfId="24569"/>
    <cellStyle name="Separador de milhares 3 6 2 4 2 2" xfId="39124"/>
    <cellStyle name="Separador de milhares 3 6 2 4 3" xfId="24570"/>
    <cellStyle name="Separador de milhares 3 6 2 4 3 2" xfId="39125"/>
    <cellStyle name="Separador de milhares 3 6 2 4 4" xfId="24571"/>
    <cellStyle name="Separador de milhares 3 6 2 4 4 2" xfId="39126"/>
    <cellStyle name="Separador de milhares 3 6 2 4 5" xfId="24572"/>
    <cellStyle name="Separador de milhares 3 6 2 4 5 2" xfId="39127"/>
    <cellStyle name="Separador de milhares 3 6 2 4 6" xfId="39123"/>
    <cellStyle name="Separador de milhares 3 6 2 5" xfId="24573"/>
    <cellStyle name="Separador de milhares 3 6 2 5 2" xfId="24574"/>
    <cellStyle name="Separador de milhares 3 6 2 5 2 2" xfId="39129"/>
    <cellStyle name="Separador de milhares 3 6 2 5 3" xfId="24575"/>
    <cellStyle name="Separador de milhares 3 6 2 5 3 2" xfId="39130"/>
    <cellStyle name="Separador de milhares 3 6 2 5 4" xfId="24576"/>
    <cellStyle name="Separador de milhares 3 6 2 5 4 2" xfId="39131"/>
    <cellStyle name="Separador de milhares 3 6 2 5 5" xfId="24577"/>
    <cellStyle name="Separador de milhares 3 6 2 5 5 2" xfId="39132"/>
    <cellStyle name="Separador de milhares 3 6 2 5 6" xfId="39128"/>
    <cellStyle name="Separador de milhares 3 6 2 6" xfId="24578"/>
    <cellStyle name="Separador de milhares 3 6 2 6 2" xfId="24579"/>
    <cellStyle name="Separador de milhares 3 6 2 6 2 2" xfId="39134"/>
    <cellStyle name="Separador de milhares 3 6 2 6 3" xfId="24580"/>
    <cellStyle name="Separador de milhares 3 6 2 6 3 2" xfId="39135"/>
    <cellStyle name="Separador de milhares 3 6 2 6 4" xfId="24581"/>
    <cellStyle name="Separador de milhares 3 6 2 6 4 2" xfId="39136"/>
    <cellStyle name="Separador de milhares 3 6 2 6 5" xfId="24582"/>
    <cellStyle name="Separador de milhares 3 6 2 6 5 2" xfId="39137"/>
    <cellStyle name="Separador de milhares 3 6 2 6 6" xfId="39133"/>
    <cellStyle name="Separador de milhares 3 6 2 7" xfId="24583"/>
    <cellStyle name="Separador de milhares 3 6 2 7 2" xfId="24584"/>
    <cellStyle name="Separador de milhares 3 6 2 7 2 2" xfId="39139"/>
    <cellStyle name="Separador de milhares 3 6 2 7 3" xfId="24585"/>
    <cellStyle name="Separador de milhares 3 6 2 7 3 2" xfId="39140"/>
    <cellStyle name="Separador de milhares 3 6 2 7 4" xfId="24586"/>
    <cellStyle name="Separador de milhares 3 6 2 7 4 2" xfId="39141"/>
    <cellStyle name="Separador de milhares 3 6 2 7 5" xfId="24587"/>
    <cellStyle name="Separador de milhares 3 6 2 7 5 2" xfId="39142"/>
    <cellStyle name="Separador de milhares 3 6 2 7 6" xfId="39138"/>
    <cellStyle name="Separador de milhares 3 6 2 8" xfId="24588"/>
    <cellStyle name="Separador de milhares 3 6 2 8 2" xfId="39143"/>
    <cellStyle name="Separador de milhares 3 6 2 9" xfId="24589"/>
    <cellStyle name="Separador de milhares 3 6 2 9 2" xfId="39144"/>
    <cellStyle name="Separador de milhares 3 6 20" xfId="24590"/>
    <cellStyle name="Separador de milhares 3 6 20 2" xfId="39145"/>
    <cellStyle name="Separador de milhares 3 6 21" xfId="40999"/>
    <cellStyle name="Separador de milhares 3 6 22" xfId="39071"/>
    <cellStyle name="Separador de milhares 3 6 3" xfId="24591"/>
    <cellStyle name="Separador de milhares 3 6 3 2" xfId="24592"/>
    <cellStyle name="Separador de milhares 3 6 3 2 2" xfId="24593"/>
    <cellStyle name="Separador de milhares 3 6 3 2 2 2" xfId="39148"/>
    <cellStyle name="Separador de milhares 3 6 3 2 3" xfId="24594"/>
    <cellStyle name="Separador de milhares 3 6 3 2 3 2" xfId="39149"/>
    <cellStyle name="Separador de milhares 3 6 3 2 4" xfId="24595"/>
    <cellStyle name="Separador de milhares 3 6 3 2 4 2" xfId="39150"/>
    <cellStyle name="Separador de milhares 3 6 3 2 5" xfId="24596"/>
    <cellStyle name="Separador de milhares 3 6 3 2 5 2" xfId="39151"/>
    <cellStyle name="Separador de milhares 3 6 3 2 6" xfId="39147"/>
    <cellStyle name="Separador de milhares 3 6 3 3" xfId="24597"/>
    <cellStyle name="Separador de milhares 3 6 3 3 2" xfId="39152"/>
    <cellStyle name="Separador de milhares 3 6 3 4" xfId="24598"/>
    <cellStyle name="Separador de milhares 3 6 3 4 2" xfId="39153"/>
    <cellStyle name="Separador de milhares 3 6 3 5" xfId="24599"/>
    <cellStyle name="Separador de milhares 3 6 3 5 2" xfId="39154"/>
    <cellStyle name="Separador de milhares 3 6 3 6" xfId="24600"/>
    <cellStyle name="Separador de milhares 3 6 3 6 2" xfId="39155"/>
    <cellStyle name="Separador de milhares 3 6 3 7" xfId="39146"/>
    <cellStyle name="Separador de milhares 3 6 4" xfId="24601"/>
    <cellStyle name="Separador de milhares 3 6 4 2" xfId="24602"/>
    <cellStyle name="Separador de milhares 3 6 4 2 2" xfId="24603"/>
    <cellStyle name="Separador de milhares 3 6 4 2 2 2" xfId="39158"/>
    <cellStyle name="Separador de milhares 3 6 4 2 3" xfId="24604"/>
    <cellStyle name="Separador de milhares 3 6 4 2 3 2" xfId="39159"/>
    <cellStyle name="Separador de milhares 3 6 4 2 4" xfId="24605"/>
    <cellStyle name="Separador de milhares 3 6 4 2 4 2" xfId="39160"/>
    <cellStyle name="Separador de milhares 3 6 4 2 5" xfId="24606"/>
    <cellStyle name="Separador de milhares 3 6 4 2 5 2" xfId="39161"/>
    <cellStyle name="Separador de milhares 3 6 4 2 6" xfId="39157"/>
    <cellStyle name="Separador de milhares 3 6 4 3" xfId="24607"/>
    <cellStyle name="Separador de milhares 3 6 4 3 2" xfId="39162"/>
    <cellStyle name="Separador de milhares 3 6 4 4" xfId="24608"/>
    <cellStyle name="Separador de milhares 3 6 4 4 2" xfId="39163"/>
    <cellStyle name="Separador de milhares 3 6 4 5" xfId="24609"/>
    <cellStyle name="Separador de milhares 3 6 4 5 2" xfId="39164"/>
    <cellStyle name="Separador de milhares 3 6 4 6" xfId="24610"/>
    <cellStyle name="Separador de milhares 3 6 4 6 2" xfId="39165"/>
    <cellStyle name="Separador de milhares 3 6 4 7" xfId="39156"/>
    <cellStyle name="Separador de milhares 3 6 5" xfId="24611"/>
    <cellStyle name="Separador de milhares 3 6 5 2" xfId="24612"/>
    <cellStyle name="Separador de milhares 3 6 5 2 2" xfId="39167"/>
    <cellStyle name="Separador de milhares 3 6 5 3" xfId="24613"/>
    <cellStyle name="Separador de milhares 3 6 5 3 2" xfId="39168"/>
    <cellStyle name="Separador de milhares 3 6 5 4" xfId="24614"/>
    <cellStyle name="Separador de milhares 3 6 5 4 2" xfId="39169"/>
    <cellStyle name="Separador de milhares 3 6 5 5" xfId="24615"/>
    <cellStyle name="Separador de milhares 3 6 5 5 2" xfId="39170"/>
    <cellStyle name="Separador de milhares 3 6 5 6" xfId="39166"/>
    <cellStyle name="Separador de milhares 3 6 6" xfId="24616"/>
    <cellStyle name="Separador de milhares 3 6 6 2" xfId="24617"/>
    <cellStyle name="Separador de milhares 3 6 6 2 2" xfId="39172"/>
    <cellStyle name="Separador de milhares 3 6 6 3" xfId="24618"/>
    <cellStyle name="Separador de milhares 3 6 6 3 2" xfId="39173"/>
    <cellStyle name="Separador de milhares 3 6 6 4" xfId="24619"/>
    <cellStyle name="Separador de milhares 3 6 6 4 2" xfId="39174"/>
    <cellStyle name="Separador de milhares 3 6 6 5" xfId="24620"/>
    <cellStyle name="Separador de milhares 3 6 6 5 2" xfId="39175"/>
    <cellStyle name="Separador de milhares 3 6 6 6" xfId="39171"/>
    <cellStyle name="Separador de milhares 3 6 7" xfId="24621"/>
    <cellStyle name="Separador de milhares 3 6 7 2" xfId="24622"/>
    <cellStyle name="Separador de milhares 3 6 7 2 2" xfId="39177"/>
    <cellStyle name="Separador de milhares 3 6 7 3" xfId="24623"/>
    <cellStyle name="Separador de milhares 3 6 7 3 2" xfId="39178"/>
    <cellStyle name="Separador de milhares 3 6 7 4" xfId="24624"/>
    <cellStyle name="Separador de milhares 3 6 7 4 2" xfId="39179"/>
    <cellStyle name="Separador de milhares 3 6 7 5" xfId="24625"/>
    <cellStyle name="Separador de milhares 3 6 7 5 2" xfId="39180"/>
    <cellStyle name="Separador de milhares 3 6 7 6" xfId="39176"/>
    <cellStyle name="Separador de milhares 3 6 8" xfId="24626"/>
    <cellStyle name="Separador de milhares 3 6 8 2" xfId="24627"/>
    <cellStyle name="Separador de milhares 3 6 8 2 2" xfId="39182"/>
    <cellStyle name="Separador de milhares 3 6 8 3" xfId="24628"/>
    <cellStyle name="Separador de milhares 3 6 8 3 2" xfId="39183"/>
    <cellStyle name="Separador de milhares 3 6 8 4" xfId="24629"/>
    <cellStyle name="Separador de milhares 3 6 8 4 2" xfId="39184"/>
    <cellStyle name="Separador de milhares 3 6 8 5" xfId="24630"/>
    <cellStyle name="Separador de milhares 3 6 8 5 2" xfId="39185"/>
    <cellStyle name="Separador de milhares 3 6 8 6" xfId="39181"/>
    <cellStyle name="Separador de milhares 3 6 9" xfId="24631"/>
    <cellStyle name="Separador de milhares 3 6 9 2" xfId="24632"/>
    <cellStyle name="Separador de milhares 3 6 9 2 2" xfId="39187"/>
    <cellStyle name="Separador de milhares 3 6 9 3" xfId="24633"/>
    <cellStyle name="Separador de milhares 3 6 9 3 2" xfId="39188"/>
    <cellStyle name="Separador de milhares 3 6 9 4" xfId="24634"/>
    <cellStyle name="Separador de milhares 3 6 9 4 2" xfId="39189"/>
    <cellStyle name="Separador de milhares 3 6 9 5" xfId="24635"/>
    <cellStyle name="Separador de milhares 3 6 9 5 2" xfId="39190"/>
    <cellStyle name="Separador de milhares 3 6 9 6" xfId="39186"/>
    <cellStyle name="Separador de milhares 3 7" xfId="24636"/>
    <cellStyle name="Separador de milhares 3 7 10" xfId="24637"/>
    <cellStyle name="Separador de milhares 3 7 10 2" xfId="24638"/>
    <cellStyle name="Separador de milhares 3 7 10 2 2" xfId="39193"/>
    <cellStyle name="Separador de milhares 3 7 10 3" xfId="24639"/>
    <cellStyle name="Separador de milhares 3 7 10 3 2" xfId="39194"/>
    <cellStyle name="Separador de milhares 3 7 10 4" xfId="24640"/>
    <cellStyle name="Separador de milhares 3 7 10 4 2" xfId="39195"/>
    <cellStyle name="Separador de milhares 3 7 10 5" xfId="24641"/>
    <cellStyle name="Separador de milhares 3 7 10 5 2" xfId="39196"/>
    <cellStyle name="Separador de milhares 3 7 10 6" xfId="39192"/>
    <cellStyle name="Separador de milhares 3 7 11" xfId="24642"/>
    <cellStyle name="Separador de milhares 3 7 11 2" xfId="24643"/>
    <cellStyle name="Separador de milhares 3 7 11 2 2" xfId="39198"/>
    <cellStyle name="Separador de milhares 3 7 11 3" xfId="24644"/>
    <cellStyle name="Separador de milhares 3 7 11 3 2" xfId="39199"/>
    <cellStyle name="Separador de milhares 3 7 11 4" xfId="24645"/>
    <cellStyle name="Separador de milhares 3 7 11 4 2" xfId="39200"/>
    <cellStyle name="Separador de milhares 3 7 11 5" xfId="24646"/>
    <cellStyle name="Separador de milhares 3 7 11 5 2" xfId="39201"/>
    <cellStyle name="Separador de milhares 3 7 11 6" xfId="39197"/>
    <cellStyle name="Separador de milhares 3 7 12" xfId="24647"/>
    <cellStyle name="Separador de milhares 3 7 12 2" xfId="24648"/>
    <cellStyle name="Separador de milhares 3 7 12 2 2" xfId="39203"/>
    <cellStyle name="Separador de milhares 3 7 12 3" xfId="24649"/>
    <cellStyle name="Separador de milhares 3 7 12 3 2" xfId="39204"/>
    <cellStyle name="Separador de milhares 3 7 12 4" xfId="24650"/>
    <cellStyle name="Separador de milhares 3 7 12 4 2" xfId="39205"/>
    <cellStyle name="Separador de milhares 3 7 12 5" xfId="24651"/>
    <cellStyle name="Separador de milhares 3 7 12 5 2" xfId="39206"/>
    <cellStyle name="Separador de milhares 3 7 12 6" xfId="39202"/>
    <cellStyle name="Separador de milhares 3 7 13" xfId="24652"/>
    <cellStyle name="Separador de milhares 3 7 13 2" xfId="24653"/>
    <cellStyle name="Separador de milhares 3 7 13 2 2" xfId="39208"/>
    <cellStyle name="Separador de milhares 3 7 13 3" xfId="24654"/>
    <cellStyle name="Separador de milhares 3 7 13 3 2" xfId="39209"/>
    <cellStyle name="Separador de milhares 3 7 13 4" xfId="24655"/>
    <cellStyle name="Separador de milhares 3 7 13 4 2" xfId="39210"/>
    <cellStyle name="Separador de milhares 3 7 13 5" xfId="24656"/>
    <cellStyle name="Separador de milhares 3 7 13 5 2" xfId="39211"/>
    <cellStyle name="Separador de milhares 3 7 13 6" xfId="39207"/>
    <cellStyle name="Separador de milhares 3 7 14" xfId="24657"/>
    <cellStyle name="Separador de milhares 3 7 14 2" xfId="24658"/>
    <cellStyle name="Separador de milhares 3 7 14 2 2" xfId="39213"/>
    <cellStyle name="Separador de milhares 3 7 14 3" xfId="24659"/>
    <cellStyle name="Separador de milhares 3 7 14 3 2" xfId="39214"/>
    <cellStyle name="Separador de milhares 3 7 14 4" xfId="24660"/>
    <cellStyle name="Separador de milhares 3 7 14 4 2" xfId="39215"/>
    <cellStyle name="Separador de milhares 3 7 14 5" xfId="24661"/>
    <cellStyle name="Separador de milhares 3 7 14 5 2" xfId="39216"/>
    <cellStyle name="Separador de milhares 3 7 14 6" xfId="39212"/>
    <cellStyle name="Separador de milhares 3 7 15" xfId="24662"/>
    <cellStyle name="Separador de milhares 3 7 15 2" xfId="24663"/>
    <cellStyle name="Separador de milhares 3 7 15 2 2" xfId="39218"/>
    <cellStyle name="Separador de milhares 3 7 15 3" xfId="24664"/>
    <cellStyle name="Separador de milhares 3 7 15 3 2" xfId="39219"/>
    <cellStyle name="Separador de milhares 3 7 15 4" xfId="24665"/>
    <cellStyle name="Separador de milhares 3 7 15 4 2" xfId="39220"/>
    <cellStyle name="Separador de milhares 3 7 15 5" xfId="24666"/>
    <cellStyle name="Separador de milhares 3 7 15 5 2" xfId="39221"/>
    <cellStyle name="Separador de milhares 3 7 15 6" xfId="39217"/>
    <cellStyle name="Separador de milhares 3 7 16" xfId="24667"/>
    <cellStyle name="Separador de milhares 3 7 16 2" xfId="24668"/>
    <cellStyle name="Separador de milhares 3 7 16 2 2" xfId="39223"/>
    <cellStyle name="Separador de milhares 3 7 16 3" xfId="24669"/>
    <cellStyle name="Separador de milhares 3 7 16 3 2" xfId="39224"/>
    <cellStyle name="Separador de milhares 3 7 16 4" xfId="24670"/>
    <cellStyle name="Separador de milhares 3 7 16 4 2" xfId="39225"/>
    <cellStyle name="Separador de milhares 3 7 16 5" xfId="24671"/>
    <cellStyle name="Separador de milhares 3 7 16 5 2" xfId="39226"/>
    <cellStyle name="Separador de milhares 3 7 16 6" xfId="39222"/>
    <cellStyle name="Separador de milhares 3 7 17" xfId="24672"/>
    <cellStyle name="Separador de milhares 3 7 17 2" xfId="39227"/>
    <cellStyle name="Separador de milhares 3 7 18" xfId="24673"/>
    <cellStyle name="Separador de milhares 3 7 18 2" xfId="39228"/>
    <cellStyle name="Separador de milhares 3 7 19" xfId="24674"/>
    <cellStyle name="Separador de milhares 3 7 19 2" xfId="39229"/>
    <cellStyle name="Separador de milhares 3 7 2" xfId="24675"/>
    <cellStyle name="Separador de milhares 3 7 2 10" xfId="24676"/>
    <cellStyle name="Separador de milhares 3 7 2 10 2" xfId="39231"/>
    <cellStyle name="Separador de milhares 3 7 2 11" xfId="24677"/>
    <cellStyle name="Separador de milhares 3 7 2 11 2" xfId="39232"/>
    <cellStyle name="Separador de milhares 3 7 2 12" xfId="39230"/>
    <cellStyle name="Separador de milhares 3 7 2 2" xfId="24678"/>
    <cellStyle name="Separador de milhares 3 7 2 2 2" xfId="24679"/>
    <cellStyle name="Separador de milhares 3 7 2 2 2 2" xfId="39234"/>
    <cellStyle name="Separador de milhares 3 7 2 2 3" xfId="24680"/>
    <cellStyle name="Separador de milhares 3 7 2 2 3 2" xfId="39235"/>
    <cellStyle name="Separador de milhares 3 7 2 2 4" xfId="24681"/>
    <cellStyle name="Separador de milhares 3 7 2 2 4 2" xfId="39236"/>
    <cellStyle name="Separador de milhares 3 7 2 2 5" xfId="24682"/>
    <cellStyle name="Separador de milhares 3 7 2 2 5 2" xfId="39237"/>
    <cellStyle name="Separador de milhares 3 7 2 2 6" xfId="39233"/>
    <cellStyle name="Separador de milhares 3 7 2 3" xfId="24683"/>
    <cellStyle name="Separador de milhares 3 7 2 3 2" xfId="24684"/>
    <cellStyle name="Separador de milhares 3 7 2 3 2 2" xfId="39239"/>
    <cellStyle name="Separador de milhares 3 7 2 3 3" xfId="24685"/>
    <cellStyle name="Separador de milhares 3 7 2 3 3 2" xfId="39240"/>
    <cellStyle name="Separador de milhares 3 7 2 3 4" xfId="24686"/>
    <cellStyle name="Separador de milhares 3 7 2 3 4 2" xfId="39241"/>
    <cellStyle name="Separador de milhares 3 7 2 3 5" xfId="24687"/>
    <cellStyle name="Separador de milhares 3 7 2 3 5 2" xfId="39242"/>
    <cellStyle name="Separador de milhares 3 7 2 3 6" xfId="39238"/>
    <cellStyle name="Separador de milhares 3 7 2 4" xfId="24688"/>
    <cellStyle name="Separador de milhares 3 7 2 4 2" xfId="24689"/>
    <cellStyle name="Separador de milhares 3 7 2 4 2 2" xfId="39244"/>
    <cellStyle name="Separador de milhares 3 7 2 4 3" xfId="24690"/>
    <cellStyle name="Separador de milhares 3 7 2 4 3 2" xfId="39245"/>
    <cellStyle name="Separador de milhares 3 7 2 4 4" xfId="24691"/>
    <cellStyle name="Separador de milhares 3 7 2 4 4 2" xfId="39246"/>
    <cellStyle name="Separador de milhares 3 7 2 4 5" xfId="24692"/>
    <cellStyle name="Separador de milhares 3 7 2 4 5 2" xfId="39247"/>
    <cellStyle name="Separador de milhares 3 7 2 4 6" xfId="39243"/>
    <cellStyle name="Separador de milhares 3 7 2 5" xfId="24693"/>
    <cellStyle name="Separador de milhares 3 7 2 5 2" xfId="24694"/>
    <cellStyle name="Separador de milhares 3 7 2 5 2 2" xfId="39249"/>
    <cellStyle name="Separador de milhares 3 7 2 5 3" xfId="24695"/>
    <cellStyle name="Separador de milhares 3 7 2 5 3 2" xfId="39250"/>
    <cellStyle name="Separador de milhares 3 7 2 5 4" xfId="24696"/>
    <cellStyle name="Separador de milhares 3 7 2 5 4 2" xfId="39251"/>
    <cellStyle name="Separador de milhares 3 7 2 5 5" xfId="24697"/>
    <cellStyle name="Separador de milhares 3 7 2 5 5 2" xfId="39252"/>
    <cellStyle name="Separador de milhares 3 7 2 5 6" xfId="39248"/>
    <cellStyle name="Separador de milhares 3 7 2 6" xfId="24698"/>
    <cellStyle name="Separador de milhares 3 7 2 6 2" xfId="24699"/>
    <cellStyle name="Separador de milhares 3 7 2 6 2 2" xfId="39254"/>
    <cellStyle name="Separador de milhares 3 7 2 6 3" xfId="24700"/>
    <cellStyle name="Separador de milhares 3 7 2 6 3 2" xfId="39255"/>
    <cellStyle name="Separador de milhares 3 7 2 6 4" xfId="24701"/>
    <cellStyle name="Separador de milhares 3 7 2 6 4 2" xfId="39256"/>
    <cellStyle name="Separador de milhares 3 7 2 6 5" xfId="24702"/>
    <cellStyle name="Separador de milhares 3 7 2 6 5 2" xfId="39257"/>
    <cellStyle name="Separador de milhares 3 7 2 6 6" xfId="39253"/>
    <cellStyle name="Separador de milhares 3 7 2 7" xfId="24703"/>
    <cellStyle name="Separador de milhares 3 7 2 7 2" xfId="24704"/>
    <cellStyle name="Separador de milhares 3 7 2 7 2 2" xfId="39259"/>
    <cellStyle name="Separador de milhares 3 7 2 7 3" xfId="24705"/>
    <cellStyle name="Separador de milhares 3 7 2 7 3 2" xfId="39260"/>
    <cellStyle name="Separador de milhares 3 7 2 7 4" xfId="24706"/>
    <cellStyle name="Separador de milhares 3 7 2 7 4 2" xfId="39261"/>
    <cellStyle name="Separador de milhares 3 7 2 7 5" xfId="24707"/>
    <cellStyle name="Separador de milhares 3 7 2 7 5 2" xfId="39262"/>
    <cellStyle name="Separador de milhares 3 7 2 7 6" xfId="39258"/>
    <cellStyle name="Separador de milhares 3 7 2 8" xfId="24708"/>
    <cellStyle name="Separador de milhares 3 7 2 8 2" xfId="39263"/>
    <cellStyle name="Separador de milhares 3 7 2 9" xfId="24709"/>
    <cellStyle name="Separador de milhares 3 7 2 9 2" xfId="39264"/>
    <cellStyle name="Separador de milhares 3 7 20" xfId="24710"/>
    <cellStyle name="Separador de milhares 3 7 20 2" xfId="39265"/>
    <cellStyle name="Separador de milhares 3 7 21" xfId="41044"/>
    <cellStyle name="Separador de milhares 3 7 22" xfId="39191"/>
    <cellStyle name="Separador de milhares 3 7 3" xfId="24711"/>
    <cellStyle name="Separador de milhares 3 7 3 2" xfId="24712"/>
    <cellStyle name="Separador de milhares 3 7 3 2 2" xfId="24713"/>
    <cellStyle name="Separador de milhares 3 7 3 2 2 2" xfId="39268"/>
    <cellStyle name="Separador de milhares 3 7 3 2 3" xfId="24714"/>
    <cellStyle name="Separador de milhares 3 7 3 2 3 2" xfId="39269"/>
    <cellStyle name="Separador de milhares 3 7 3 2 4" xfId="24715"/>
    <cellStyle name="Separador de milhares 3 7 3 2 4 2" xfId="39270"/>
    <cellStyle name="Separador de milhares 3 7 3 2 5" xfId="24716"/>
    <cellStyle name="Separador de milhares 3 7 3 2 5 2" xfId="39271"/>
    <cellStyle name="Separador de milhares 3 7 3 2 6" xfId="39267"/>
    <cellStyle name="Separador de milhares 3 7 3 3" xfId="24717"/>
    <cellStyle name="Separador de milhares 3 7 3 3 2" xfId="39272"/>
    <cellStyle name="Separador de milhares 3 7 3 4" xfId="24718"/>
    <cellStyle name="Separador de milhares 3 7 3 4 2" xfId="39273"/>
    <cellStyle name="Separador de milhares 3 7 3 5" xfId="24719"/>
    <cellStyle name="Separador de milhares 3 7 3 5 2" xfId="39274"/>
    <cellStyle name="Separador de milhares 3 7 3 6" xfId="24720"/>
    <cellStyle name="Separador de milhares 3 7 3 6 2" xfId="39275"/>
    <cellStyle name="Separador de milhares 3 7 3 7" xfId="39266"/>
    <cellStyle name="Separador de milhares 3 7 4" xfId="24721"/>
    <cellStyle name="Separador de milhares 3 7 4 2" xfId="24722"/>
    <cellStyle name="Separador de milhares 3 7 4 2 2" xfId="24723"/>
    <cellStyle name="Separador de milhares 3 7 4 2 2 2" xfId="39278"/>
    <cellStyle name="Separador de milhares 3 7 4 2 3" xfId="24724"/>
    <cellStyle name="Separador de milhares 3 7 4 2 3 2" xfId="39279"/>
    <cellStyle name="Separador de milhares 3 7 4 2 4" xfId="24725"/>
    <cellStyle name="Separador de milhares 3 7 4 2 4 2" xfId="39280"/>
    <cellStyle name="Separador de milhares 3 7 4 2 5" xfId="24726"/>
    <cellStyle name="Separador de milhares 3 7 4 2 5 2" xfId="39281"/>
    <cellStyle name="Separador de milhares 3 7 4 2 6" xfId="39277"/>
    <cellStyle name="Separador de milhares 3 7 4 3" xfId="24727"/>
    <cellStyle name="Separador de milhares 3 7 4 3 2" xfId="39282"/>
    <cellStyle name="Separador de milhares 3 7 4 4" xfId="24728"/>
    <cellStyle name="Separador de milhares 3 7 4 4 2" xfId="39283"/>
    <cellStyle name="Separador de milhares 3 7 4 5" xfId="24729"/>
    <cellStyle name="Separador de milhares 3 7 4 5 2" xfId="39284"/>
    <cellStyle name="Separador de milhares 3 7 4 6" xfId="24730"/>
    <cellStyle name="Separador de milhares 3 7 4 6 2" xfId="39285"/>
    <cellStyle name="Separador de milhares 3 7 4 7" xfId="39276"/>
    <cellStyle name="Separador de milhares 3 7 5" xfId="24731"/>
    <cellStyle name="Separador de milhares 3 7 5 2" xfId="24732"/>
    <cellStyle name="Separador de milhares 3 7 5 2 2" xfId="39287"/>
    <cellStyle name="Separador de milhares 3 7 5 3" xfId="24733"/>
    <cellStyle name="Separador de milhares 3 7 5 3 2" xfId="39288"/>
    <cellStyle name="Separador de milhares 3 7 5 4" xfId="24734"/>
    <cellStyle name="Separador de milhares 3 7 5 4 2" xfId="39289"/>
    <cellStyle name="Separador de milhares 3 7 5 5" xfId="24735"/>
    <cellStyle name="Separador de milhares 3 7 5 5 2" xfId="39290"/>
    <cellStyle name="Separador de milhares 3 7 5 6" xfId="39286"/>
    <cellStyle name="Separador de milhares 3 7 6" xfId="24736"/>
    <cellStyle name="Separador de milhares 3 7 6 2" xfId="24737"/>
    <cellStyle name="Separador de milhares 3 7 6 2 2" xfId="39292"/>
    <cellStyle name="Separador de milhares 3 7 6 3" xfId="24738"/>
    <cellStyle name="Separador de milhares 3 7 6 3 2" xfId="39293"/>
    <cellStyle name="Separador de milhares 3 7 6 4" xfId="24739"/>
    <cellStyle name="Separador de milhares 3 7 6 4 2" xfId="39294"/>
    <cellStyle name="Separador de milhares 3 7 6 5" xfId="24740"/>
    <cellStyle name="Separador de milhares 3 7 6 5 2" xfId="39295"/>
    <cellStyle name="Separador de milhares 3 7 6 6" xfId="39291"/>
    <cellStyle name="Separador de milhares 3 7 7" xfId="24741"/>
    <cellStyle name="Separador de milhares 3 7 7 2" xfId="24742"/>
    <cellStyle name="Separador de milhares 3 7 7 2 2" xfId="39297"/>
    <cellStyle name="Separador de milhares 3 7 7 3" xfId="24743"/>
    <cellStyle name="Separador de milhares 3 7 7 3 2" xfId="39298"/>
    <cellStyle name="Separador de milhares 3 7 7 4" xfId="24744"/>
    <cellStyle name="Separador de milhares 3 7 7 4 2" xfId="39299"/>
    <cellStyle name="Separador de milhares 3 7 7 5" xfId="24745"/>
    <cellStyle name="Separador de milhares 3 7 7 5 2" xfId="39300"/>
    <cellStyle name="Separador de milhares 3 7 7 6" xfId="39296"/>
    <cellStyle name="Separador de milhares 3 7 8" xfId="24746"/>
    <cellStyle name="Separador de milhares 3 7 8 2" xfId="24747"/>
    <cellStyle name="Separador de milhares 3 7 8 2 2" xfId="39302"/>
    <cellStyle name="Separador de milhares 3 7 8 3" xfId="24748"/>
    <cellStyle name="Separador de milhares 3 7 8 3 2" xfId="39303"/>
    <cellStyle name="Separador de milhares 3 7 8 4" xfId="24749"/>
    <cellStyle name="Separador de milhares 3 7 8 4 2" xfId="39304"/>
    <cellStyle name="Separador de milhares 3 7 8 5" xfId="24750"/>
    <cellStyle name="Separador de milhares 3 7 8 5 2" xfId="39305"/>
    <cellStyle name="Separador de milhares 3 7 8 6" xfId="39301"/>
    <cellStyle name="Separador de milhares 3 7 9" xfId="24751"/>
    <cellStyle name="Separador de milhares 3 7 9 2" xfId="24752"/>
    <cellStyle name="Separador de milhares 3 7 9 2 2" xfId="39307"/>
    <cellStyle name="Separador de milhares 3 7 9 3" xfId="24753"/>
    <cellStyle name="Separador de milhares 3 7 9 3 2" xfId="39308"/>
    <cellStyle name="Separador de milhares 3 7 9 4" xfId="24754"/>
    <cellStyle name="Separador de milhares 3 7 9 4 2" xfId="39309"/>
    <cellStyle name="Separador de milhares 3 7 9 5" xfId="24755"/>
    <cellStyle name="Separador de milhares 3 7 9 5 2" xfId="39310"/>
    <cellStyle name="Separador de milhares 3 7 9 6" xfId="39306"/>
    <cellStyle name="Separador de milhares 3 8" xfId="24756"/>
    <cellStyle name="Separador de milhares 3 8 2" xfId="24757"/>
    <cellStyle name="Separador de milhares 3 9" xfId="24758"/>
    <cellStyle name="Separador de milhares 3 9 2" xfId="24759"/>
    <cellStyle name="Separador de milhares 30" xfId="24760"/>
    <cellStyle name="Separador de milhares 32" xfId="24761"/>
    <cellStyle name="Separador de milhares 32 2" xfId="24762"/>
    <cellStyle name="Separador de milhares 32 2 2" xfId="24763"/>
    <cellStyle name="Separador de milhares 32 2 3" xfId="24764"/>
    <cellStyle name="Separador de milhares 32 2 4" xfId="24765"/>
    <cellStyle name="Separador de milhares 32 2 5" xfId="24766"/>
    <cellStyle name="Separador de milhares 32 2 6" xfId="24767"/>
    <cellStyle name="Separador de milhares 33" xfId="24768"/>
    <cellStyle name="Separador de milhares 34" xfId="24769"/>
    <cellStyle name="Separador de milhares 35" xfId="24770"/>
    <cellStyle name="Separador de milhares 36" xfId="24771"/>
    <cellStyle name="Separador de milhares 37" xfId="24772"/>
    <cellStyle name="Separador de milhares 38" xfId="24773"/>
    <cellStyle name="Separador de milhares 39" xfId="24774"/>
    <cellStyle name="Separador de milhares 4" xfId="24775"/>
    <cellStyle name="Separador de milhares 4 10" xfId="24776"/>
    <cellStyle name="Separador de milhares 4 10 2" xfId="24777"/>
    <cellStyle name="Separador de milhares 4 10 2 2" xfId="24778"/>
    <cellStyle name="Separador de milhares 4 10 2 3" xfId="24779"/>
    <cellStyle name="Separador de milhares 4 10 2 4" xfId="24780"/>
    <cellStyle name="Separador de milhares 4 10 2 5" xfId="24781"/>
    <cellStyle name="Separador de milhares 4 10 2 6" xfId="24782"/>
    <cellStyle name="Separador de milhares 4 10 2 7" xfId="24783"/>
    <cellStyle name="Separador de milhares 4 10 2 8" xfId="39311"/>
    <cellStyle name="Separador de milhares 4 10 3" xfId="24784"/>
    <cellStyle name="Separador de milhares 4 10 3 2" xfId="39312"/>
    <cellStyle name="Separador de milhares 4 10 4" xfId="24785"/>
    <cellStyle name="Separador de milhares 4 10 4 2" xfId="39313"/>
    <cellStyle name="Separador de milhares 4 10 5" xfId="24786"/>
    <cellStyle name="Separador de milhares 4 10 5 2" xfId="39314"/>
    <cellStyle name="Separador de milhares 4 10 6" xfId="24787"/>
    <cellStyle name="Separador de milhares 4 10 6 2" xfId="39315"/>
    <cellStyle name="Separador de milhares 4 10 7" xfId="24788"/>
    <cellStyle name="Separador de milhares 4 10 7 2" xfId="39316"/>
    <cellStyle name="Separador de milhares 4 11" xfId="24789"/>
    <cellStyle name="Separador de milhares 4 11 2" xfId="24790"/>
    <cellStyle name="Separador de milhares 4 11 2 2" xfId="24791"/>
    <cellStyle name="Separador de milhares 4 11 2 3" xfId="24792"/>
    <cellStyle name="Separador de milhares 4 11 2 4" xfId="24793"/>
    <cellStyle name="Separador de milhares 4 11 2 5" xfId="24794"/>
    <cellStyle name="Separador de milhares 4 11 2 6" xfId="24795"/>
    <cellStyle name="Separador de milhares 4 11 2 7" xfId="24796"/>
    <cellStyle name="Separador de milhares 4 11 3" xfId="24797"/>
    <cellStyle name="Separador de milhares 4 11 4" xfId="24798"/>
    <cellStyle name="Separador de milhares 4 11 5" xfId="24799"/>
    <cellStyle name="Separador de milhares 4 11 6" xfId="24800"/>
    <cellStyle name="Separador de milhares 4 11 7" xfId="24801"/>
    <cellStyle name="Separador de milhares 4 12" xfId="24802"/>
    <cellStyle name="Separador de milhares 4 13" xfId="24803"/>
    <cellStyle name="Separador de milhares 4 14" xfId="24804"/>
    <cellStyle name="Separador de milhares 4 14 10" xfId="24805"/>
    <cellStyle name="Separador de milhares 4 14 11" xfId="24806"/>
    <cellStyle name="Separador de milhares 4 14 12" xfId="24807"/>
    <cellStyle name="Separador de milhares 4 14 13" xfId="24808"/>
    <cellStyle name="Separador de milhares 4 14 14" xfId="24809"/>
    <cellStyle name="Separador de milhares 4 14 15" xfId="24810"/>
    <cellStyle name="Separador de milhares 4 14 2" xfId="24811"/>
    <cellStyle name="Separador de milhares 4 14 3" xfId="24812"/>
    <cellStyle name="Separador de milhares 4 14 4" xfId="24813"/>
    <cellStyle name="Separador de milhares 4 14 5" xfId="24814"/>
    <cellStyle name="Separador de milhares 4 14 6" xfId="24815"/>
    <cellStyle name="Separador de milhares 4 14 7" xfId="24816"/>
    <cellStyle name="Separador de milhares 4 14 8" xfId="24817"/>
    <cellStyle name="Separador de milhares 4 14 9" xfId="24818"/>
    <cellStyle name="Separador de milhares 4 15" xfId="24819"/>
    <cellStyle name="Separador de milhares 4 15 10" xfId="24820"/>
    <cellStyle name="Separador de milhares 4 15 11" xfId="24821"/>
    <cellStyle name="Separador de milhares 4 15 12" xfId="24822"/>
    <cellStyle name="Separador de milhares 4 15 13" xfId="24823"/>
    <cellStyle name="Separador de milhares 4 15 14" xfId="24824"/>
    <cellStyle name="Separador de milhares 4 15 15" xfId="24825"/>
    <cellStyle name="Separador de milhares 4 15 2" xfId="24826"/>
    <cellStyle name="Separador de milhares 4 15 3" xfId="24827"/>
    <cellStyle name="Separador de milhares 4 15 4" xfId="24828"/>
    <cellStyle name="Separador de milhares 4 15 5" xfId="24829"/>
    <cellStyle name="Separador de milhares 4 15 6" xfId="24830"/>
    <cellStyle name="Separador de milhares 4 15 7" xfId="24831"/>
    <cellStyle name="Separador de milhares 4 15 8" xfId="24832"/>
    <cellStyle name="Separador de milhares 4 15 9" xfId="24833"/>
    <cellStyle name="Separador de milhares 4 16" xfId="24834"/>
    <cellStyle name="Separador de milhares 4 16 10" xfId="24835"/>
    <cellStyle name="Separador de milhares 4 16 11" xfId="24836"/>
    <cellStyle name="Separador de milhares 4 16 12" xfId="24837"/>
    <cellStyle name="Separador de milhares 4 16 13" xfId="24838"/>
    <cellStyle name="Separador de milhares 4 16 14" xfId="24839"/>
    <cellStyle name="Separador de milhares 4 16 15" xfId="24840"/>
    <cellStyle name="Separador de milhares 4 16 2" xfId="24841"/>
    <cellStyle name="Separador de milhares 4 16 3" xfId="24842"/>
    <cellStyle name="Separador de milhares 4 16 4" xfId="24843"/>
    <cellStyle name="Separador de milhares 4 16 5" xfId="24844"/>
    <cellStyle name="Separador de milhares 4 16 6" xfId="24845"/>
    <cellStyle name="Separador de milhares 4 16 7" xfId="24846"/>
    <cellStyle name="Separador de milhares 4 16 8" xfId="24847"/>
    <cellStyle name="Separador de milhares 4 16 9" xfId="24848"/>
    <cellStyle name="Separador de milhares 4 17" xfId="24849"/>
    <cellStyle name="Separador de milhares 4 18" xfId="24850"/>
    <cellStyle name="Separador de milhares 4 18 2" xfId="24851"/>
    <cellStyle name="Separador de milhares 4 18 3" xfId="24852"/>
    <cellStyle name="Separador de milhares 4 18 4" xfId="24853"/>
    <cellStyle name="Separador de milhares 4 18 5" xfId="24854"/>
    <cellStyle name="Separador de milhares 4 18 6" xfId="24855"/>
    <cellStyle name="Separador de milhares 4 18 7" xfId="24856"/>
    <cellStyle name="Separador de milhares 4 19" xfId="24857"/>
    <cellStyle name="Separador de milhares 4 19 2" xfId="24858"/>
    <cellStyle name="Separador de milhares 4 19 3" xfId="24859"/>
    <cellStyle name="Separador de milhares 4 19 4" xfId="24860"/>
    <cellStyle name="Separador de milhares 4 19 5" xfId="24861"/>
    <cellStyle name="Separador de milhares 4 19 6" xfId="24862"/>
    <cellStyle name="Separador de milhares 4 19 7" xfId="24863"/>
    <cellStyle name="Separador de milhares 4 2" xfId="24864"/>
    <cellStyle name="Separador de milhares 4 2 10" xfId="24865"/>
    <cellStyle name="Separador de milhares 4 2 10 2" xfId="24866"/>
    <cellStyle name="Separador de milhares 4 2 10 2 2" xfId="39318"/>
    <cellStyle name="Separador de milhares 4 2 10 3" xfId="24867"/>
    <cellStyle name="Separador de milhares 4 2 10 3 2" xfId="39319"/>
    <cellStyle name="Separador de milhares 4 2 10 4" xfId="24868"/>
    <cellStyle name="Separador de milhares 4 2 10 4 2" xfId="39320"/>
    <cellStyle name="Separador de milhares 4 2 10 5" xfId="24869"/>
    <cellStyle name="Separador de milhares 4 2 10 5 2" xfId="39321"/>
    <cellStyle name="Separador de milhares 4 2 10 6" xfId="39317"/>
    <cellStyle name="Separador de milhares 4 2 11" xfId="24870"/>
    <cellStyle name="Separador de milhares 4 2 11 2" xfId="24871"/>
    <cellStyle name="Separador de milhares 4 2 11 2 2" xfId="39323"/>
    <cellStyle name="Separador de milhares 4 2 11 3" xfId="24872"/>
    <cellStyle name="Separador de milhares 4 2 11 3 2" xfId="39324"/>
    <cellStyle name="Separador de milhares 4 2 11 4" xfId="24873"/>
    <cellStyle name="Separador de milhares 4 2 11 4 2" xfId="39325"/>
    <cellStyle name="Separador de milhares 4 2 11 5" xfId="24874"/>
    <cellStyle name="Separador de milhares 4 2 11 5 2" xfId="39326"/>
    <cellStyle name="Separador de milhares 4 2 11 6" xfId="39322"/>
    <cellStyle name="Separador de milhares 4 2 12" xfId="24875"/>
    <cellStyle name="Separador de milhares 4 2 12 2" xfId="24876"/>
    <cellStyle name="Separador de milhares 4 2 12 2 2" xfId="39328"/>
    <cellStyle name="Separador de milhares 4 2 12 3" xfId="24877"/>
    <cellStyle name="Separador de milhares 4 2 12 3 2" xfId="39329"/>
    <cellStyle name="Separador de milhares 4 2 12 4" xfId="24878"/>
    <cellStyle name="Separador de milhares 4 2 12 4 2" xfId="39330"/>
    <cellStyle name="Separador de milhares 4 2 12 5" xfId="24879"/>
    <cellStyle name="Separador de milhares 4 2 12 5 2" xfId="39331"/>
    <cellStyle name="Separador de milhares 4 2 12 6" xfId="39327"/>
    <cellStyle name="Separador de milhares 4 2 13" xfId="24880"/>
    <cellStyle name="Separador de milhares 4 2 13 2" xfId="24881"/>
    <cellStyle name="Separador de milhares 4 2 13 2 2" xfId="39333"/>
    <cellStyle name="Separador de milhares 4 2 13 3" xfId="24882"/>
    <cellStyle name="Separador de milhares 4 2 13 3 2" xfId="39334"/>
    <cellStyle name="Separador de milhares 4 2 13 4" xfId="24883"/>
    <cellStyle name="Separador de milhares 4 2 13 4 2" xfId="39335"/>
    <cellStyle name="Separador de milhares 4 2 13 5" xfId="24884"/>
    <cellStyle name="Separador de milhares 4 2 13 5 2" xfId="39336"/>
    <cellStyle name="Separador de milhares 4 2 13 6" xfId="39332"/>
    <cellStyle name="Separador de milhares 4 2 14" xfId="24885"/>
    <cellStyle name="Separador de milhares 4 2 14 2" xfId="24886"/>
    <cellStyle name="Separador de milhares 4 2 14 2 2" xfId="39338"/>
    <cellStyle name="Separador de milhares 4 2 14 3" xfId="24887"/>
    <cellStyle name="Separador de milhares 4 2 14 3 2" xfId="39339"/>
    <cellStyle name="Separador de milhares 4 2 14 4" xfId="24888"/>
    <cellStyle name="Separador de milhares 4 2 14 4 2" xfId="39340"/>
    <cellStyle name="Separador de milhares 4 2 14 5" xfId="24889"/>
    <cellStyle name="Separador de milhares 4 2 14 5 2" xfId="39341"/>
    <cellStyle name="Separador de milhares 4 2 14 6" xfId="39337"/>
    <cellStyle name="Separador de milhares 4 2 15" xfId="24890"/>
    <cellStyle name="Separador de milhares 4 2 15 2" xfId="24891"/>
    <cellStyle name="Separador de milhares 4 2 15 2 2" xfId="39343"/>
    <cellStyle name="Separador de milhares 4 2 15 3" xfId="24892"/>
    <cellStyle name="Separador de milhares 4 2 15 3 2" xfId="39344"/>
    <cellStyle name="Separador de milhares 4 2 15 4" xfId="24893"/>
    <cellStyle name="Separador de milhares 4 2 15 4 2" xfId="39345"/>
    <cellStyle name="Separador de milhares 4 2 15 5" xfId="24894"/>
    <cellStyle name="Separador de milhares 4 2 15 5 2" xfId="39346"/>
    <cellStyle name="Separador de milhares 4 2 15 6" xfId="39342"/>
    <cellStyle name="Separador de milhares 4 2 16" xfId="24895"/>
    <cellStyle name="Separador de milhares 4 2 16 2" xfId="24896"/>
    <cellStyle name="Separador de milhares 4 2 16 2 2" xfId="39348"/>
    <cellStyle name="Separador de milhares 4 2 16 3" xfId="24897"/>
    <cellStyle name="Separador de milhares 4 2 16 3 2" xfId="39349"/>
    <cellStyle name="Separador de milhares 4 2 16 4" xfId="24898"/>
    <cellStyle name="Separador de milhares 4 2 16 4 2" xfId="39350"/>
    <cellStyle name="Separador de milhares 4 2 16 5" xfId="24899"/>
    <cellStyle name="Separador de milhares 4 2 16 5 2" xfId="39351"/>
    <cellStyle name="Separador de milhares 4 2 16 6" xfId="39347"/>
    <cellStyle name="Separador de milhares 4 2 17" xfId="24900"/>
    <cellStyle name="Separador de milhares 4 2 17 2" xfId="24901"/>
    <cellStyle name="Separador de milhares 4 2 17 2 2" xfId="39353"/>
    <cellStyle name="Separador de milhares 4 2 17 3" xfId="24902"/>
    <cellStyle name="Separador de milhares 4 2 17 3 2" xfId="39354"/>
    <cellStyle name="Separador de milhares 4 2 17 4" xfId="24903"/>
    <cellStyle name="Separador de milhares 4 2 17 4 2" xfId="39355"/>
    <cellStyle name="Separador de milhares 4 2 17 5" xfId="24904"/>
    <cellStyle name="Separador de milhares 4 2 17 5 2" xfId="39356"/>
    <cellStyle name="Separador de milhares 4 2 17 6" xfId="39352"/>
    <cellStyle name="Separador de milhares 4 2 18" xfId="24905"/>
    <cellStyle name="Separador de milhares 4 2 18 2" xfId="24906"/>
    <cellStyle name="Separador de milhares 4 2 18 2 2" xfId="39358"/>
    <cellStyle name="Separador de milhares 4 2 18 3" xfId="24907"/>
    <cellStyle name="Separador de milhares 4 2 18 3 2" xfId="39359"/>
    <cellStyle name="Separador de milhares 4 2 18 4" xfId="24908"/>
    <cellStyle name="Separador de milhares 4 2 18 4 2" xfId="39360"/>
    <cellStyle name="Separador de milhares 4 2 18 5" xfId="24909"/>
    <cellStyle name="Separador de milhares 4 2 18 5 2" xfId="39361"/>
    <cellStyle name="Separador de milhares 4 2 18 6" xfId="39357"/>
    <cellStyle name="Separador de milhares 4 2 19" xfId="24910"/>
    <cellStyle name="Separador de milhares 4 2 19 2" xfId="24911"/>
    <cellStyle name="Separador de milhares 4 2 19 2 2" xfId="39363"/>
    <cellStyle name="Separador de milhares 4 2 19 3" xfId="24912"/>
    <cellStyle name="Separador de milhares 4 2 19 3 2" xfId="39364"/>
    <cellStyle name="Separador de milhares 4 2 19 4" xfId="24913"/>
    <cellStyle name="Separador de milhares 4 2 19 4 2" xfId="39365"/>
    <cellStyle name="Separador de milhares 4 2 19 5" xfId="24914"/>
    <cellStyle name="Separador de milhares 4 2 19 5 2" xfId="39366"/>
    <cellStyle name="Separador de milhares 4 2 19 6" xfId="39362"/>
    <cellStyle name="Separador de milhares 4 2 2" xfId="24915"/>
    <cellStyle name="Separador de milhares 4 2 2 2" xfId="24916"/>
    <cellStyle name="Separador de milhares 4 2 2 3" xfId="24917"/>
    <cellStyle name="Separador de milhares 4 2 2 4" xfId="24918"/>
    <cellStyle name="Separador de milhares 4 2 2 5" xfId="24919"/>
    <cellStyle name="Separador de milhares 4 2 2 6" xfId="24920"/>
    <cellStyle name="Separador de milhares 4 2 2 7" xfId="24921"/>
    <cellStyle name="Separador de milhares 4 2 2 8" xfId="39367"/>
    <cellStyle name="Separador de milhares 4 2 20" xfId="24922"/>
    <cellStyle name="Separador de milhares 4 2 20 2" xfId="24923"/>
    <cellStyle name="Separador de milhares 4 2 20 2 2" xfId="39369"/>
    <cellStyle name="Separador de milhares 4 2 20 3" xfId="24924"/>
    <cellStyle name="Separador de milhares 4 2 20 3 2" xfId="39370"/>
    <cellStyle name="Separador de milhares 4 2 20 4" xfId="24925"/>
    <cellStyle name="Separador de milhares 4 2 20 4 2" xfId="39371"/>
    <cellStyle name="Separador de milhares 4 2 20 5" xfId="24926"/>
    <cellStyle name="Separador de milhares 4 2 20 5 2" xfId="39372"/>
    <cellStyle name="Separador de milhares 4 2 20 6" xfId="39368"/>
    <cellStyle name="Separador de milhares 4 2 21" xfId="24927"/>
    <cellStyle name="Separador de milhares 4 2 21 2" xfId="39373"/>
    <cellStyle name="Separador de milhares 4 2 22" xfId="24928"/>
    <cellStyle name="Separador de milhares 4 2 22 2" xfId="39374"/>
    <cellStyle name="Separador de milhares 4 2 23" xfId="24929"/>
    <cellStyle name="Separador de milhares 4 2 23 2" xfId="39375"/>
    <cellStyle name="Separador de milhares 4 2 24" xfId="24930"/>
    <cellStyle name="Separador de milhares 4 2 24 2" xfId="39376"/>
    <cellStyle name="Separador de milhares 4 2 25" xfId="24931"/>
    <cellStyle name="Separador de milhares 4 2 25 2" xfId="39377"/>
    <cellStyle name="Separador de milhares 4 2 3" xfId="24932"/>
    <cellStyle name="Separador de milhares 4 2 3 2" xfId="24933"/>
    <cellStyle name="Separador de milhares 4 2 4" xfId="24934"/>
    <cellStyle name="Separador de milhares 4 2 4 2" xfId="24935"/>
    <cellStyle name="Separador de milhares 4 2 5" xfId="24936"/>
    <cellStyle name="Separador de milhares 4 2 5 2" xfId="24937"/>
    <cellStyle name="Separador de milhares 4 2 6" xfId="24938"/>
    <cellStyle name="Separador de milhares 4 2 6 2" xfId="24939"/>
    <cellStyle name="Separador de milhares 4 2 6 3" xfId="24940"/>
    <cellStyle name="Separador de milhares 4 2 6 3 2" xfId="39379"/>
    <cellStyle name="Separador de milhares 4 2 6 4" xfId="24941"/>
    <cellStyle name="Separador de milhares 4 2 6 4 2" xfId="39380"/>
    <cellStyle name="Separador de milhares 4 2 6 5" xfId="24942"/>
    <cellStyle name="Separador de milhares 4 2 6 5 2" xfId="39381"/>
    <cellStyle name="Separador de milhares 4 2 6 6" xfId="24943"/>
    <cellStyle name="Separador de milhares 4 2 6 6 2" xfId="39382"/>
    <cellStyle name="Separador de milhares 4 2 6 7" xfId="39378"/>
    <cellStyle name="Separador de milhares 4 2 7" xfId="24944"/>
    <cellStyle name="Separador de milhares 4 2 7 2" xfId="24945"/>
    <cellStyle name="Separador de milhares 4 2 7 2 2" xfId="24946"/>
    <cellStyle name="Separador de milhares 4 2 7 2 2 2" xfId="39385"/>
    <cellStyle name="Separador de milhares 4 2 7 2 3" xfId="24947"/>
    <cellStyle name="Separador de milhares 4 2 7 2 3 2" xfId="39386"/>
    <cellStyle name="Separador de milhares 4 2 7 2 4" xfId="24948"/>
    <cellStyle name="Separador de milhares 4 2 7 2 4 2" xfId="39387"/>
    <cellStyle name="Separador de milhares 4 2 7 2 5" xfId="24949"/>
    <cellStyle name="Separador de milhares 4 2 7 2 5 2" xfId="39388"/>
    <cellStyle name="Separador de milhares 4 2 7 2 6" xfId="39384"/>
    <cellStyle name="Separador de milhares 4 2 7 3" xfId="24950"/>
    <cellStyle name="Separador de milhares 4 2 7 3 2" xfId="39389"/>
    <cellStyle name="Separador de milhares 4 2 7 4" xfId="24951"/>
    <cellStyle name="Separador de milhares 4 2 7 4 2" xfId="39390"/>
    <cellStyle name="Separador de milhares 4 2 7 5" xfId="24952"/>
    <cellStyle name="Separador de milhares 4 2 7 5 2" xfId="39391"/>
    <cellStyle name="Separador de milhares 4 2 7 6" xfId="24953"/>
    <cellStyle name="Separador de milhares 4 2 7 6 2" xfId="39392"/>
    <cellStyle name="Separador de milhares 4 2 7 7" xfId="39383"/>
    <cellStyle name="Separador de milhares 4 2 8" xfId="24954"/>
    <cellStyle name="Separador de milhares 4 2 8 2" xfId="24955"/>
    <cellStyle name="Separador de milhares 4 2 8 2 2" xfId="24956"/>
    <cellStyle name="Separador de milhares 4 2 8 2 2 2" xfId="39395"/>
    <cellStyle name="Separador de milhares 4 2 8 2 3" xfId="24957"/>
    <cellStyle name="Separador de milhares 4 2 8 2 3 2" xfId="39396"/>
    <cellStyle name="Separador de milhares 4 2 8 2 4" xfId="24958"/>
    <cellStyle name="Separador de milhares 4 2 8 2 4 2" xfId="39397"/>
    <cellStyle name="Separador de milhares 4 2 8 2 5" xfId="24959"/>
    <cellStyle name="Separador de milhares 4 2 8 2 5 2" xfId="39398"/>
    <cellStyle name="Separador de milhares 4 2 8 2 6" xfId="39394"/>
    <cellStyle name="Separador de milhares 4 2 8 3" xfId="24960"/>
    <cellStyle name="Separador de milhares 4 2 8 3 2" xfId="39399"/>
    <cellStyle name="Separador de milhares 4 2 8 4" xfId="24961"/>
    <cellStyle name="Separador de milhares 4 2 8 4 2" xfId="39400"/>
    <cellStyle name="Separador de milhares 4 2 8 5" xfId="24962"/>
    <cellStyle name="Separador de milhares 4 2 8 5 2" xfId="39401"/>
    <cellStyle name="Separador de milhares 4 2 8 6" xfId="24963"/>
    <cellStyle name="Separador de milhares 4 2 8 6 2" xfId="39402"/>
    <cellStyle name="Separador de milhares 4 2 8 7" xfId="39393"/>
    <cellStyle name="Separador de milhares 4 2 9" xfId="24964"/>
    <cellStyle name="Separador de milhares 4 2 9 2" xfId="24965"/>
    <cellStyle name="Separador de milhares 4 2 9 2 2" xfId="24966"/>
    <cellStyle name="Separador de milhares 4 2 9 2 2 2" xfId="39404"/>
    <cellStyle name="Separador de milhares 4 2 9 2 3" xfId="24967"/>
    <cellStyle name="Separador de milhares 4 2 9 2 3 2" xfId="39405"/>
    <cellStyle name="Separador de milhares 4 2 9 2 4" xfId="24968"/>
    <cellStyle name="Separador de milhares 4 2 9 2 4 2" xfId="39406"/>
    <cellStyle name="Separador de milhares 4 2 9 2 5" xfId="24969"/>
    <cellStyle name="Separador de milhares 4 2 9 2 5 2" xfId="39407"/>
    <cellStyle name="Separador de milhares 4 2 9 2 6" xfId="39403"/>
    <cellStyle name="Separador de milhares 4 20" xfId="24970"/>
    <cellStyle name="Separador de milhares 4 20 2" xfId="24971"/>
    <cellStyle name="Separador de milhares 4 20 3" xfId="24972"/>
    <cellStyle name="Separador de milhares 4 20 4" xfId="24973"/>
    <cellStyle name="Separador de milhares 4 20 5" xfId="24974"/>
    <cellStyle name="Separador de milhares 4 20 6" xfId="24975"/>
    <cellStyle name="Separador de milhares 4 20 7" xfId="24976"/>
    <cellStyle name="Separador de milhares 4 21" xfId="24977"/>
    <cellStyle name="Separador de milhares 4 21 2" xfId="24978"/>
    <cellStyle name="Separador de milhares 4 21 3" xfId="24979"/>
    <cellStyle name="Separador de milhares 4 21 4" xfId="24980"/>
    <cellStyle name="Separador de milhares 4 21 5" xfId="24981"/>
    <cellStyle name="Separador de milhares 4 21 6" xfId="24982"/>
    <cellStyle name="Separador de milhares 4 21 7" xfId="24983"/>
    <cellStyle name="Separador de milhares 4 22" xfId="24984"/>
    <cellStyle name="Separador de milhares 4 22 2" xfId="24985"/>
    <cellStyle name="Separador de milhares 4 22 3" xfId="24986"/>
    <cellStyle name="Separador de milhares 4 22 4" xfId="24987"/>
    <cellStyle name="Separador de milhares 4 22 5" xfId="24988"/>
    <cellStyle name="Separador de milhares 4 22 6" xfId="24989"/>
    <cellStyle name="Separador de milhares 4 22 7" xfId="24990"/>
    <cellStyle name="Separador de milhares 4 23" xfId="24991"/>
    <cellStyle name="Separador de milhares 4 23 2" xfId="24992"/>
    <cellStyle name="Separador de milhares 4 23 3" xfId="24993"/>
    <cellStyle name="Separador de milhares 4 23 4" xfId="24994"/>
    <cellStyle name="Separador de milhares 4 23 5" xfId="24995"/>
    <cellStyle name="Separador de milhares 4 23 6" xfId="24996"/>
    <cellStyle name="Separador de milhares 4 23 7" xfId="24997"/>
    <cellStyle name="Separador de milhares 4 24" xfId="24998"/>
    <cellStyle name="Separador de milhares 4 24 2" xfId="24999"/>
    <cellStyle name="Separador de milhares 4 24 3" xfId="25000"/>
    <cellStyle name="Separador de milhares 4 24 4" xfId="25001"/>
    <cellStyle name="Separador de milhares 4 24 5" xfId="25002"/>
    <cellStyle name="Separador de milhares 4 24 6" xfId="25003"/>
    <cellStyle name="Separador de milhares 4 24 7" xfId="25004"/>
    <cellStyle name="Separador de milhares 4 25" xfId="25005"/>
    <cellStyle name="Separador de milhares 4 25 2" xfId="25006"/>
    <cellStyle name="Separador de milhares 4 25 3" xfId="25007"/>
    <cellStyle name="Separador de milhares 4 25 4" xfId="25008"/>
    <cellStyle name="Separador de milhares 4 25 5" xfId="25009"/>
    <cellStyle name="Separador de milhares 4 25 6" xfId="25010"/>
    <cellStyle name="Separador de milhares 4 25 7" xfId="25011"/>
    <cellStyle name="Separador de milhares 4 26" xfId="25012"/>
    <cellStyle name="Separador de milhares 4 26 2" xfId="25013"/>
    <cellStyle name="Separador de milhares 4 26 3" xfId="25014"/>
    <cellStyle name="Separador de milhares 4 26 4" xfId="25015"/>
    <cellStyle name="Separador de milhares 4 26 5" xfId="25016"/>
    <cellStyle name="Separador de milhares 4 26 6" xfId="25017"/>
    <cellStyle name="Separador de milhares 4 26 7" xfId="25018"/>
    <cellStyle name="Separador de milhares 4 27" xfId="25019"/>
    <cellStyle name="Separador de milhares 4 27 2" xfId="25020"/>
    <cellStyle name="Separador de milhares 4 27 3" xfId="25021"/>
    <cellStyle name="Separador de milhares 4 27 4" xfId="25022"/>
    <cellStyle name="Separador de milhares 4 27 5" xfId="25023"/>
    <cellStyle name="Separador de milhares 4 27 6" xfId="25024"/>
    <cellStyle name="Separador de milhares 4 27 7" xfId="25025"/>
    <cellStyle name="Separador de milhares 4 28" xfId="25026"/>
    <cellStyle name="Separador de milhares 4 28 2" xfId="25027"/>
    <cellStyle name="Separador de milhares 4 28 3" xfId="25028"/>
    <cellStyle name="Separador de milhares 4 28 4" xfId="25029"/>
    <cellStyle name="Separador de milhares 4 28 5" xfId="25030"/>
    <cellStyle name="Separador de milhares 4 28 6" xfId="25031"/>
    <cellStyle name="Separador de milhares 4 28 7" xfId="25032"/>
    <cellStyle name="Separador de milhares 4 29" xfId="25033"/>
    <cellStyle name="Separador de milhares 4 29 2" xfId="25034"/>
    <cellStyle name="Separador de milhares 4 29 3" xfId="25035"/>
    <cellStyle name="Separador de milhares 4 29 4" xfId="25036"/>
    <cellStyle name="Separador de milhares 4 29 5" xfId="25037"/>
    <cellStyle name="Separador de milhares 4 29 6" xfId="25038"/>
    <cellStyle name="Separador de milhares 4 29 7" xfId="25039"/>
    <cellStyle name="Separador de milhares 4 3" xfId="25040"/>
    <cellStyle name="Separador de milhares 4 3 10" xfId="25041"/>
    <cellStyle name="Separador de milhares 4 3 10 2" xfId="25042"/>
    <cellStyle name="Separador de milhares 4 3 10 2 2" xfId="39409"/>
    <cellStyle name="Separador de milhares 4 3 10 3" xfId="25043"/>
    <cellStyle name="Separador de milhares 4 3 10 3 2" xfId="39410"/>
    <cellStyle name="Separador de milhares 4 3 10 4" xfId="25044"/>
    <cellStyle name="Separador de milhares 4 3 10 4 2" xfId="39411"/>
    <cellStyle name="Separador de milhares 4 3 10 5" xfId="25045"/>
    <cellStyle name="Separador de milhares 4 3 10 5 2" xfId="39412"/>
    <cellStyle name="Separador de milhares 4 3 10 6" xfId="39408"/>
    <cellStyle name="Separador de milhares 4 3 11" xfId="25046"/>
    <cellStyle name="Separador de milhares 4 3 11 2" xfId="25047"/>
    <cellStyle name="Separador de milhares 4 3 11 2 2" xfId="39414"/>
    <cellStyle name="Separador de milhares 4 3 11 3" xfId="25048"/>
    <cellStyle name="Separador de milhares 4 3 11 3 2" xfId="39415"/>
    <cellStyle name="Separador de milhares 4 3 11 4" xfId="25049"/>
    <cellStyle name="Separador de milhares 4 3 11 4 2" xfId="39416"/>
    <cellStyle name="Separador de milhares 4 3 11 5" xfId="25050"/>
    <cellStyle name="Separador de milhares 4 3 11 5 2" xfId="39417"/>
    <cellStyle name="Separador de milhares 4 3 11 6" xfId="39413"/>
    <cellStyle name="Separador de milhares 4 3 12" xfId="25051"/>
    <cellStyle name="Separador de milhares 4 3 12 2" xfId="25052"/>
    <cellStyle name="Separador de milhares 4 3 12 2 2" xfId="39419"/>
    <cellStyle name="Separador de milhares 4 3 12 3" xfId="25053"/>
    <cellStyle name="Separador de milhares 4 3 12 3 2" xfId="39420"/>
    <cellStyle name="Separador de milhares 4 3 12 4" xfId="25054"/>
    <cellStyle name="Separador de milhares 4 3 12 4 2" xfId="39421"/>
    <cellStyle name="Separador de milhares 4 3 12 5" xfId="25055"/>
    <cellStyle name="Separador de milhares 4 3 12 5 2" xfId="39422"/>
    <cellStyle name="Separador de milhares 4 3 12 6" xfId="39418"/>
    <cellStyle name="Separador de milhares 4 3 13" xfId="25056"/>
    <cellStyle name="Separador de milhares 4 3 13 2" xfId="25057"/>
    <cellStyle name="Separador de milhares 4 3 13 2 2" xfId="39424"/>
    <cellStyle name="Separador de milhares 4 3 13 3" xfId="25058"/>
    <cellStyle name="Separador de milhares 4 3 13 3 2" xfId="39425"/>
    <cellStyle name="Separador de milhares 4 3 13 4" xfId="25059"/>
    <cellStyle name="Separador de milhares 4 3 13 4 2" xfId="39426"/>
    <cellStyle name="Separador de milhares 4 3 13 5" xfId="25060"/>
    <cellStyle name="Separador de milhares 4 3 13 5 2" xfId="39427"/>
    <cellStyle name="Separador de milhares 4 3 13 6" xfId="39423"/>
    <cellStyle name="Separador de milhares 4 3 14" xfId="25061"/>
    <cellStyle name="Separador de milhares 4 3 14 2" xfId="25062"/>
    <cellStyle name="Separador de milhares 4 3 14 2 2" xfId="39429"/>
    <cellStyle name="Separador de milhares 4 3 14 3" xfId="25063"/>
    <cellStyle name="Separador de milhares 4 3 14 3 2" xfId="39430"/>
    <cellStyle name="Separador de milhares 4 3 14 4" xfId="25064"/>
    <cellStyle name="Separador de milhares 4 3 14 4 2" xfId="39431"/>
    <cellStyle name="Separador de milhares 4 3 14 5" xfId="25065"/>
    <cellStyle name="Separador de milhares 4 3 14 5 2" xfId="39432"/>
    <cellStyle name="Separador de milhares 4 3 14 6" xfId="39428"/>
    <cellStyle name="Separador de milhares 4 3 15" xfId="25066"/>
    <cellStyle name="Separador de milhares 4 3 15 2" xfId="25067"/>
    <cellStyle name="Separador de milhares 4 3 15 2 2" xfId="39434"/>
    <cellStyle name="Separador de milhares 4 3 15 3" xfId="25068"/>
    <cellStyle name="Separador de milhares 4 3 15 3 2" xfId="39435"/>
    <cellStyle name="Separador de milhares 4 3 15 4" xfId="25069"/>
    <cellStyle name="Separador de milhares 4 3 15 4 2" xfId="39436"/>
    <cellStyle name="Separador de milhares 4 3 15 5" xfId="25070"/>
    <cellStyle name="Separador de milhares 4 3 15 5 2" xfId="39437"/>
    <cellStyle name="Separador de milhares 4 3 15 6" xfId="39433"/>
    <cellStyle name="Separador de milhares 4 3 16" xfId="25071"/>
    <cellStyle name="Separador de milhares 4 3 16 2" xfId="25072"/>
    <cellStyle name="Separador de milhares 4 3 16 2 2" xfId="39439"/>
    <cellStyle name="Separador de milhares 4 3 16 3" xfId="25073"/>
    <cellStyle name="Separador de milhares 4 3 16 3 2" xfId="39440"/>
    <cellStyle name="Separador de milhares 4 3 16 4" xfId="25074"/>
    <cellStyle name="Separador de milhares 4 3 16 4 2" xfId="39441"/>
    <cellStyle name="Separador de milhares 4 3 16 5" xfId="25075"/>
    <cellStyle name="Separador de milhares 4 3 16 5 2" xfId="39442"/>
    <cellStyle name="Separador de milhares 4 3 16 6" xfId="39438"/>
    <cellStyle name="Separador de milhares 4 3 17" xfId="25076"/>
    <cellStyle name="Separador de milhares 4 3 17 2" xfId="25077"/>
    <cellStyle name="Separador de milhares 4 3 17 2 2" xfId="39444"/>
    <cellStyle name="Separador de milhares 4 3 17 3" xfId="25078"/>
    <cellStyle name="Separador de milhares 4 3 17 3 2" xfId="39445"/>
    <cellStyle name="Separador de milhares 4 3 17 4" xfId="25079"/>
    <cellStyle name="Separador de milhares 4 3 17 4 2" xfId="39446"/>
    <cellStyle name="Separador de milhares 4 3 17 5" xfId="25080"/>
    <cellStyle name="Separador de milhares 4 3 17 5 2" xfId="39447"/>
    <cellStyle name="Separador de milhares 4 3 17 6" xfId="39443"/>
    <cellStyle name="Separador de milhares 4 3 18" xfId="25081"/>
    <cellStyle name="Separador de milhares 4 3 18 2" xfId="25082"/>
    <cellStyle name="Separador de milhares 4 3 18 2 2" xfId="39449"/>
    <cellStyle name="Separador de milhares 4 3 18 3" xfId="25083"/>
    <cellStyle name="Separador de milhares 4 3 18 3 2" xfId="39450"/>
    <cellStyle name="Separador de milhares 4 3 18 4" xfId="25084"/>
    <cellStyle name="Separador de milhares 4 3 18 4 2" xfId="39451"/>
    <cellStyle name="Separador de milhares 4 3 18 5" xfId="25085"/>
    <cellStyle name="Separador de milhares 4 3 18 5 2" xfId="39452"/>
    <cellStyle name="Separador de milhares 4 3 18 6" xfId="39448"/>
    <cellStyle name="Separador de milhares 4 3 19" xfId="25086"/>
    <cellStyle name="Separador de milhares 4 3 19 2" xfId="25087"/>
    <cellStyle name="Separador de milhares 4 3 19 2 2" xfId="39454"/>
    <cellStyle name="Separador de milhares 4 3 19 3" xfId="25088"/>
    <cellStyle name="Separador de milhares 4 3 19 3 2" xfId="39455"/>
    <cellStyle name="Separador de milhares 4 3 19 4" xfId="25089"/>
    <cellStyle name="Separador de milhares 4 3 19 4 2" xfId="39456"/>
    <cellStyle name="Separador de milhares 4 3 19 5" xfId="25090"/>
    <cellStyle name="Separador de milhares 4 3 19 5 2" xfId="39457"/>
    <cellStyle name="Separador de milhares 4 3 19 6" xfId="39453"/>
    <cellStyle name="Separador de milhares 4 3 2" xfId="25091"/>
    <cellStyle name="Separador de milhares 4 3 2 10" xfId="25092"/>
    <cellStyle name="Separador de milhares 4 3 2 10 2" xfId="25093"/>
    <cellStyle name="Separador de milhares 4 3 2 10 2 2" xfId="39460"/>
    <cellStyle name="Separador de milhares 4 3 2 10 3" xfId="25094"/>
    <cellStyle name="Separador de milhares 4 3 2 10 3 2" xfId="39461"/>
    <cellStyle name="Separador de milhares 4 3 2 10 4" xfId="25095"/>
    <cellStyle name="Separador de milhares 4 3 2 10 4 2" xfId="39462"/>
    <cellStyle name="Separador de milhares 4 3 2 10 5" xfId="25096"/>
    <cellStyle name="Separador de milhares 4 3 2 10 5 2" xfId="39463"/>
    <cellStyle name="Separador de milhares 4 3 2 10 6" xfId="39459"/>
    <cellStyle name="Separador de milhares 4 3 2 11" xfId="25097"/>
    <cellStyle name="Separador de milhares 4 3 2 11 2" xfId="25098"/>
    <cellStyle name="Separador de milhares 4 3 2 11 2 2" xfId="39465"/>
    <cellStyle name="Separador de milhares 4 3 2 11 3" xfId="25099"/>
    <cellStyle name="Separador de milhares 4 3 2 11 3 2" xfId="39466"/>
    <cellStyle name="Separador de milhares 4 3 2 11 4" xfId="25100"/>
    <cellStyle name="Separador de milhares 4 3 2 11 4 2" xfId="39467"/>
    <cellStyle name="Separador de milhares 4 3 2 11 5" xfId="25101"/>
    <cellStyle name="Separador de milhares 4 3 2 11 5 2" xfId="39468"/>
    <cellStyle name="Separador de milhares 4 3 2 11 6" xfId="39464"/>
    <cellStyle name="Separador de milhares 4 3 2 12" xfId="25102"/>
    <cellStyle name="Separador de milhares 4 3 2 12 2" xfId="25103"/>
    <cellStyle name="Separador de milhares 4 3 2 12 2 2" xfId="39470"/>
    <cellStyle name="Separador de milhares 4 3 2 12 3" xfId="25104"/>
    <cellStyle name="Separador de milhares 4 3 2 12 3 2" xfId="39471"/>
    <cellStyle name="Separador de milhares 4 3 2 12 4" xfId="25105"/>
    <cellStyle name="Separador de milhares 4 3 2 12 4 2" xfId="39472"/>
    <cellStyle name="Separador de milhares 4 3 2 12 5" xfId="25106"/>
    <cellStyle name="Separador de milhares 4 3 2 12 5 2" xfId="39473"/>
    <cellStyle name="Separador de milhares 4 3 2 12 6" xfId="39469"/>
    <cellStyle name="Separador de milhares 4 3 2 13" xfId="25107"/>
    <cellStyle name="Separador de milhares 4 3 2 13 2" xfId="25108"/>
    <cellStyle name="Separador de milhares 4 3 2 13 2 2" xfId="39475"/>
    <cellStyle name="Separador de milhares 4 3 2 13 3" xfId="25109"/>
    <cellStyle name="Separador de milhares 4 3 2 13 3 2" xfId="39476"/>
    <cellStyle name="Separador de milhares 4 3 2 13 4" xfId="25110"/>
    <cellStyle name="Separador de milhares 4 3 2 13 4 2" xfId="39477"/>
    <cellStyle name="Separador de milhares 4 3 2 13 5" xfId="25111"/>
    <cellStyle name="Separador de milhares 4 3 2 13 5 2" xfId="39478"/>
    <cellStyle name="Separador de milhares 4 3 2 13 6" xfId="39474"/>
    <cellStyle name="Separador de milhares 4 3 2 14" xfId="25112"/>
    <cellStyle name="Separador de milhares 4 3 2 14 2" xfId="25113"/>
    <cellStyle name="Separador de milhares 4 3 2 14 2 2" xfId="39480"/>
    <cellStyle name="Separador de milhares 4 3 2 14 3" xfId="25114"/>
    <cellStyle name="Separador de milhares 4 3 2 14 3 2" xfId="39481"/>
    <cellStyle name="Separador de milhares 4 3 2 14 4" xfId="25115"/>
    <cellStyle name="Separador de milhares 4 3 2 14 4 2" xfId="39482"/>
    <cellStyle name="Separador de milhares 4 3 2 14 5" xfId="25116"/>
    <cellStyle name="Separador de milhares 4 3 2 14 5 2" xfId="39483"/>
    <cellStyle name="Separador de milhares 4 3 2 14 6" xfId="39479"/>
    <cellStyle name="Separador de milhares 4 3 2 15" xfId="25117"/>
    <cellStyle name="Separador de milhares 4 3 2 15 2" xfId="25118"/>
    <cellStyle name="Separador de milhares 4 3 2 15 2 2" xfId="39485"/>
    <cellStyle name="Separador de milhares 4 3 2 15 3" xfId="25119"/>
    <cellStyle name="Separador de milhares 4 3 2 15 3 2" xfId="39486"/>
    <cellStyle name="Separador de milhares 4 3 2 15 4" xfId="25120"/>
    <cellStyle name="Separador de milhares 4 3 2 15 4 2" xfId="39487"/>
    <cellStyle name="Separador de milhares 4 3 2 15 5" xfId="25121"/>
    <cellStyle name="Separador de milhares 4 3 2 15 5 2" xfId="39488"/>
    <cellStyle name="Separador de milhares 4 3 2 15 6" xfId="39484"/>
    <cellStyle name="Separador de milhares 4 3 2 16" xfId="25122"/>
    <cellStyle name="Separador de milhares 4 3 2 16 2" xfId="25123"/>
    <cellStyle name="Separador de milhares 4 3 2 16 2 2" xfId="39490"/>
    <cellStyle name="Separador de milhares 4 3 2 16 3" xfId="25124"/>
    <cellStyle name="Separador de milhares 4 3 2 16 3 2" xfId="39491"/>
    <cellStyle name="Separador de milhares 4 3 2 16 4" xfId="25125"/>
    <cellStyle name="Separador de milhares 4 3 2 16 4 2" xfId="39492"/>
    <cellStyle name="Separador de milhares 4 3 2 16 5" xfId="25126"/>
    <cellStyle name="Separador de milhares 4 3 2 16 5 2" xfId="39493"/>
    <cellStyle name="Separador de milhares 4 3 2 16 6" xfId="39489"/>
    <cellStyle name="Separador de milhares 4 3 2 17" xfId="25127"/>
    <cellStyle name="Separador de milhares 4 3 2 17 2" xfId="39494"/>
    <cellStyle name="Separador de milhares 4 3 2 18" xfId="25128"/>
    <cellStyle name="Separador de milhares 4 3 2 18 2" xfId="39495"/>
    <cellStyle name="Separador de milhares 4 3 2 19" xfId="25129"/>
    <cellStyle name="Separador de milhares 4 3 2 19 2" xfId="39496"/>
    <cellStyle name="Separador de milhares 4 3 2 2" xfId="25130"/>
    <cellStyle name="Separador de milhares 4 3 2 20" xfId="25131"/>
    <cellStyle name="Separador de milhares 4 3 2 20 2" xfId="39497"/>
    <cellStyle name="Separador de milhares 4 3 2 21" xfId="39458"/>
    <cellStyle name="Separador de milhares 4 3 2 3" xfId="25132"/>
    <cellStyle name="Separador de milhares 4 3 2 3 2" xfId="25133"/>
    <cellStyle name="Separador de milhares 4 3 2 3 2 2" xfId="39499"/>
    <cellStyle name="Separador de milhares 4 3 2 3 3" xfId="25134"/>
    <cellStyle name="Separador de milhares 4 3 2 3 3 2" xfId="39500"/>
    <cellStyle name="Separador de milhares 4 3 2 3 4" xfId="25135"/>
    <cellStyle name="Separador de milhares 4 3 2 3 4 2" xfId="39501"/>
    <cellStyle name="Separador de milhares 4 3 2 3 5" xfId="25136"/>
    <cellStyle name="Separador de milhares 4 3 2 3 5 2" xfId="39502"/>
    <cellStyle name="Separador de milhares 4 3 2 3 6" xfId="39498"/>
    <cellStyle name="Separador de milhares 4 3 2 4" xfId="25137"/>
    <cellStyle name="Separador de milhares 4 3 2 4 2" xfId="25138"/>
    <cellStyle name="Separador de milhares 4 3 2 4 2 2" xfId="39504"/>
    <cellStyle name="Separador de milhares 4 3 2 4 3" xfId="25139"/>
    <cellStyle name="Separador de milhares 4 3 2 4 3 2" xfId="39505"/>
    <cellStyle name="Separador de milhares 4 3 2 4 4" xfId="25140"/>
    <cellStyle name="Separador de milhares 4 3 2 4 4 2" xfId="39506"/>
    <cellStyle name="Separador de milhares 4 3 2 4 5" xfId="25141"/>
    <cellStyle name="Separador de milhares 4 3 2 4 5 2" xfId="39507"/>
    <cellStyle name="Separador de milhares 4 3 2 4 6" xfId="39503"/>
    <cellStyle name="Separador de milhares 4 3 2 5" xfId="25142"/>
    <cellStyle name="Separador de milhares 4 3 2 5 2" xfId="25143"/>
    <cellStyle name="Separador de milhares 4 3 2 5 2 2" xfId="39509"/>
    <cellStyle name="Separador de milhares 4 3 2 5 3" xfId="25144"/>
    <cellStyle name="Separador de milhares 4 3 2 5 3 2" xfId="39510"/>
    <cellStyle name="Separador de milhares 4 3 2 5 4" xfId="25145"/>
    <cellStyle name="Separador de milhares 4 3 2 5 4 2" xfId="39511"/>
    <cellStyle name="Separador de milhares 4 3 2 5 5" xfId="25146"/>
    <cellStyle name="Separador de milhares 4 3 2 5 5 2" xfId="39512"/>
    <cellStyle name="Separador de milhares 4 3 2 5 6" xfId="39508"/>
    <cellStyle name="Separador de milhares 4 3 2 6" xfId="25147"/>
    <cellStyle name="Separador de milhares 4 3 2 6 2" xfId="25148"/>
    <cellStyle name="Separador de milhares 4 3 2 6 2 2" xfId="39514"/>
    <cellStyle name="Separador de milhares 4 3 2 6 3" xfId="25149"/>
    <cellStyle name="Separador de milhares 4 3 2 6 3 2" xfId="39515"/>
    <cellStyle name="Separador de milhares 4 3 2 6 4" xfId="25150"/>
    <cellStyle name="Separador de milhares 4 3 2 6 4 2" xfId="39516"/>
    <cellStyle name="Separador de milhares 4 3 2 6 5" xfId="25151"/>
    <cellStyle name="Separador de milhares 4 3 2 6 5 2" xfId="39517"/>
    <cellStyle name="Separador de milhares 4 3 2 6 6" xfId="39513"/>
    <cellStyle name="Separador de milhares 4 3 2 7" xfId="25152"/>
    <cellStyle name="Separador de milhares 4 3 2 7 2" xfId="25153"/>
    <cellStyle name="Separador de milhares 4 3 2 7 2 2" xfId="39519"/>
    <cellStyle name="Separador de milhares 4 3 2 7 3" xfId="25154"/>
    <cellStyle name="Separador de milhares 4 3 2 7 3 2" xfId="39520"/>
    <cellStyle name="Separador de milhares 4 3 2 7 4" xfId="25155"/>
    <cellStyle name="Separador de milhares 4 3 2 7 4 2" xfId="39521"/>
    <cellStyle name="Separador de milhares 4 3 2 7 5" xfId="25156"/>
    <cellStyle name="Separador de milhares 4 3 2 7 5 2" xfId="39522"/>
    <cellStyle name="Separador de milhares 4 3 2 7 6" xfId="39518"/>
    <cellStyle name="Separador de milhares 4 3 2 8" xfId="25157"/>
    <cellStyle name="Separador de milhares 4 3 2 8 2" xfId="25158"/>
    <cellStyle name="Separador de milhares 4 3 2 8 2 2" xfId="39524"/>
    <cellStyle name="Separador de milhares 4 3 2 8 3" xfId="25159"/>
    <cellStyle name="Separador de milhares 4 3 2 8 3 2" xfId="39525"/>
    <cellStyle name="Separador de milhares 4 3 2 8 4" xfId="25160"/>
    <cellStyle name="Separador de milhares 4 3 2 8 4 2" xfId="39526"/>
    <cellStyle name="Separador de milhares 4 3 2 8 5" xfId="25161"/>
    <cellStyle name="Separador de milhares 4 3 2 8 5 2" xfId="39527"/>
    <cellStyle name="Separador de milhares 4 3 2 8 6" xfId="39523"/>
    <cellStyle name="Separador de milhares 4 3 2 9" xfId="25162"/>
    <cellStyle name="Separador de milhares 4 3 2 9 2" xfId="25163"/>
    <cellStyle name="Separador de milhares 4 3 2 9 2 2" xfId="39529"/>
    <cellStyle name="Separador de milhares 4 3 2 9 3" xfId="25164"/>
    <cellStyle name="Separador de milhares 4 3 2 9 3 2" xfId="39530"/>
    <cellStyle name="Separador de milhares 4 3 2 9 4" xfId="25165"/>
    <cellStyle name="Separador de milhares 4 3 2 9 4 2" xfId="39531"/>
    <cellStyle name="Separador de milhares 4 3 2 9 5" xfId="25166"/>
    <cellStyle name="Separador de milhares 4 3 2 9 5 2" xfId="39532"/>
    <cellStyle name="Separador de milhares 4 3 2 9 6" xfId="39528"/>
    <cellStyle name="Separador de milhares 4 3 20" xfId="25167"/>
    <cellStyle name="Separador de milhares 4 3 20 2" xfId="39533"/>
    <cellStyle name="Separador de milhares 4 3 21" xfId="25168"/>
    <cellStyle name="Separador de milhares 4 3 21 2" xfId="39534"/>
    <cellStyle name="Separador de milhares 4 3 22" xfId="25169"/>
    <cellStyle name="Separador de milhares 4 3 22 2" xfId="39535"/>
    <cellStyle name="Separador de milhares 4 3 23" xfId="25170"/>
    <cellStyle name="Separador de milhares 4 3 23 2" xfId="39536"/>
    <cellStyle name="Separador de milhares 4 3 24" xfId="25171"/>
    <cellStyle name="Separador de milhares 4 3 24 2" xfId="39537"/>
    <cellStyle name="Separador de milhares 4 3 3" xfId="25172"/>
    <cellStyle name="Separador de milhares 4 3 3 2" xfId="25173"/>
    <cellStyle name="Separador de milhares 4 3 3 3" xfId="25174"/>
    <cellStyle name="Separador de milhares 4 3 3 3 2" xfId="39539"/>
    <cellStyle name="Separador de milhares 4 3 3 4" xfId="25175"/>
    <cellStyle name="Separador de milhares 4 3 3 4 2" xfId="39540"/>
    <cellStyle name="Separador de milhares 4 3 3 5" xfId="25176"/>
    <cellStyle name="Separador de milhares 4 3 3 5 2" xfId="39541"/>
    <cellStyle name="Separador de milhares 4 3 3 6" xfId="25177"/>
    <cellStyle name="Separador de milhares 4 3 3 6 2" xfId="39542"/>
    <cellStyle name="Separador de milhares 4 3 3 7" xfId="39538"/>
    <cellStyle name="Separador de milhares 4 3 4" xfId="25178"/>
    <cellStyle name="Separador de milhares 4 3 4 2" xfId="25179"/>
    <cellStyle name="Separador de milhares 4 3 4 3" xfId="25180"/>
    <cellStyle name="Separador de milhares 4 3 4 3 2" xfId="39544"/>
    <cellStyle name="Separador de milhares 4 3 4 4" xfId="25181"/>
    <cellStyle name="Separador de milhares 4 3 4 4 2" xfId="39545"/>
    <cellStyle name="Separador de milhares 4 3 4 5" xfId="25182"/>
    <cellStyle name="Separador de milhares 4 3 4 5 2" xfId="39546"/>
    <cellStyle name="Separador de milhares 4 3 4 6" xfId="25183"/>
    <cellStyle name="Separador de milhares 4 3 4 6 2" xfId="39547"/>
    <cellStyle name="Separador de milhares 4 3 4 7" xfId="39543"/>
    <cellStyle name="Separador de milhares 4 3 5" xfId="25184"/>
    <cellStyle name="Separador de milhares 4 3 5 2" xfId="25185"/>
    <cellStyle name="Separador de milhares 4 3 5 3" xfId="25186"/>
    <cellStyle name="Separador de milhares 4 3 5 3 2" xfId="39549"/>
    <cellStyle name="Separador de milhares 4 3 5 4" xfId="25187"/>
    <cellStyle name="Separador de milhares 4 3 5 4 2" xfId="39550"/>
    <cellStyle name="Separador de milhares 4 3 5 5" xfId="25188"/>
    <cellStyle name="Separador de milhares 4 3 5 5 2" xfId="39551"/>
    <cellStyle name="Separador de milhares 4 3 5 6" xfId="25189"/>
    <cellStyle name="Separador de milhares 4 3 5 6 2" xfId="39552"/>
    <cellStyle name="Separador de milhares 4 3 5 7" xfId="39548"/>
    <cellStyle name="Separador de milhares 4 3 6" xfId="25190"/>
    <cellStyle name="Separador de milhares 4 3 6 2" xfId="25191"/>
    <cellStyle name="Separador de milhares 4 3 6 2 2" xfId="39554"/>
    <cellStyle name="Separador de milhares 4 3 6 3" xfId="25192"/>
    <cellStyle name="Separador de milhares 4 3 6 3 2" xfId="39555"/>
    <cellStyle name="Separador de milhares 4 3 6 4" xfId="25193"/>
    <cellStyle name="Separador de milhares 4 3 6 4 2" xfId="39556"/>
    <cellStyle name="Separador de milhares 4 3 6 5" xfId="25194"/>
    <cellStyle name="Separador de milhares 4 3 6 5 2" xfId="39557"/>
    <cellStyle name="Separador de milhares 4 3 6 6" xfId="39553"/>
    <cellStyle name="Separador de milhares 4 3 7" xfId="25195"/>
    <cellStyle name="Separador de milhares 4 3 7 2" xfId="25196"/>
    <cellStyle name="Separador de milhares 4 3 7 2 2" xfId="39559"/>
    <cellStyle name="Separador de milhares 4 3 7 3" xfId="25197"/>
    <cellStyle name="Separador de milhares 4 3 7 3 2" xfId="39560"/>
    <cellStyle name="Separador de milhares 4 3 7 4" xfId="25198"/>
    <cellStyle name="Separador de milhares 4 3 7 4 2" xfId="39561"/>
    <cellStyle name="Separador de milhares 4 3 7 5" xfId="25199"/>
    <cellStyle name="Separador de milhares 4 3 7 5 2" xfId="39562"/>
    <cellStyle name="Separador de milhares 4 3 7 6" xfId="39558"/>
    <cellStyle name="Separador de milhares 4 3 8" xfId="25200"/>
    <cellStyle name="Separador de milhares 4 3 8 2" xfId="25201"/>
    <cellStyle name="Separador de milhares 4 3 8 2 2" xfId="39564"/>
    <cellStyle name="Separador de milhares 4 3 8 3" xfId="25202"/>
    <cellStyle name="Separador de milhares 4 3 8 3 2" xfId="39565"/>
    <cellStyle name="Separador de milhares 4 3 8 4" xfId="25203"/>
    <cellStyle name="Separador de milhares 4 3 8 4 2" xfId="39566"/>
    <cellStyle name="Separador de milhares 4 3 8 5" xfId="25204"/>
    <cellStyle name="Separador de milhares 4 3 8 5 2" xfId="39567"/>
    <cellStyle name="Separador de milhares 4 3 8 6" xfId="39563"/>
    <cellStyle name="Separador de milhares 4 3 9" xfId="25205"/>
    <cellStyle name="Separador de milhares 4 3 9 2" xfId="25206"/>
    <cellStyle name="Separador de milhares 4 3 9 2 2" xfId="39569"/>
    <cellStyle name="Separador de milhares 4 3 9 3" xfId="25207"/>
    <cellStyle name="Separador de milhares 4 3 9 3 2" xfId="39570"/>
    <cellStyle name="Separador de milhares 4 3 9 4" xfId="25208"/>
    <cellStyle name="Separador de milhares 4 3 9 4 2" xfId="39571"/>
    <cellStyle name="Separador de milhares 4 3 9 5" xfId="25209"/>
    <cellStyle name="Separador de milhares 4 3 9 5 2" xfId="39572"/>
    <cellStyle name="Separador de milhares 4 3 9 6" xfId="39568"/>
    <cellStyle name="Separador de milhares 4 30" xfId="25210"/>
    <cellStyle name="Separador de milhares 4 30 2" xfId="25211"/>
    <cellStyle name="Separador de milhares 4 30 3" xfId="25212"/>
    <cellStyle name="Separador de milhares 4 30 4" xfId="25213"/>
    <cellStyle name="Separador de milhares 4 30 5" xfId="25214"/>
    <cellStyle name="Separador de milhares 4 30 6" xfId="25215"/>
    <cellStyle name="Separador de milhares 4 30 7" xfId="25216"/>
    <cellStyle name="Separador de milhares 4 31" xfId="25217"/>
    <cellStyle name="Separador de milhares 4 31 2" xfId="25218"/>
    <cellStyle name="Separador de milhares 4 31 3" xfId="25219"/>
    <cellStyle name="Separador de milhares 4 31 4" xfId="25220"/>
    <cellStyle name="Separador de milhares 4 31 5" xfId="25221"/>
    <cellStyle name="Separador de milhares 4 31 6" xfId="25222"/>
    <cellStyle name="Separador de milhares 4 31 7" xfId="25223"/>
    <cellStyle name="Separador de milhares 4 32" xfId="25224"/>
    <cellStyle name="Separador de milhares 4 33" xfId="25225"/>
    <cellStyle name="Separador de milhares 4 34" xfId="25226"/>
    <cellStyle name="Separador de milhares 4 35" xfId="25227"/>
    <cellStyle name="Separador de milhares 4 36" xfId="25228"/>
    <cellStyle name="Separador de milhares 4 37" xfId="25229"/>
    <cellStyle name="Separador de milhares 4 38" xfId="25230"/>
    <cellStyle name="Separador de milhares 4 39" xfId="25231"/>
    <cellStyle name="Separador de milhares 4 4" xfId="25232"/>
    <cellStyle name="Separador de milhares 4 4 10" xfId="25233"/>
    <cellStyle name="Separador de milhares 4 4 11" xfId="25234"/>
    <cellStyle name="Separador de milhares 4 4 12" xfId="25235"/>
    <cellStyle name="Separador de milhares 4 4 13" xfId="25236"/>
    <cellStyle name="Separador de milhares 4 4 14" xfId="25237"/>
    <cellStyle name="Separador de milhares 4 4 15" xfId="25238"/>
    <cellStyle name="Separador de milhares 4 4 16" xfId="25239"/>
    <cellStyle name="Separador de milhares 4 4 17" xfId="25240"/>
    <cellStyle name="Separador de milhares 4 4 18" xfId="25241"/>
    <cellStyle name="Separador de milhares 4 4 19" xfId="25242"/>
    <cellStyle name="Separador de milhares 4 4 2" xfId="25243"/>
    <cellStyle name="Separador de milhares 4 4 2 10" xfId="25244"/>
    <cellStyle name="Separador de milhares 4 4 2 11" xfId="25245"/>
    <cellStyle name="Separador de milhares 4 4 2 12" xfId="25246"/>
    <cellStyle name="Separador de milhares 4 4 2 13" xfId="25247"/>
    <cellStyle name="Separador de milhares 4 4 2 14" xfId="25248"/>
    <cellStyle name="Separador de milhares 4 4 2 15" xfId="25249"/>
    <cellStyle name="Separador de milhares 4 4 2 16" xfId="25250"/>
    <cellStyle name="Separador de milhares 4 4 2 2" xfId="25251"/>
    <cellStyle name="Separador de milhares 4 4 2 3" xfId="25252"/>
    <cellStyle name="Separador de milhares 4 4 2 4" xfId="25253"/>
    <cellStyle name="Separador de milhares 4 4 2 5" xfId="25254"/>
    <cellStyle name="Separador de milhares 4 4 2 6" xfId="25255"/>
    <cellStyle name="Separador de milhares 4 4 2 7" xfId="25256"/>
    <cellStyle name="Separador de milhares 4 4 2 8" xfId="25257"/>
    <cellStyle name="Separador de milhares 4 4 2 9" xfId="25258"/>
    <cellStyle name="Separador de milhares 4 4 3" xfId="25259"/>
    <cellStyle name="Separador de milhares 4 4 4" xfId="25260"/>
    <cellStyle name="Separador de milhares 4 4 5" xfId="25261"/>
    <cellStyle name="Separador de milhares 4 4 6" xfId="25262"/>
    <cellStyle name="Separador de milhares 4 4 7" xfId="25263"/>
    <cellStyle name="Separador de milhares 4 4 8" xfId="25264"/>
    <cellStyle name="Separador de milhares 4 4 9" xfId="25265"/>
    <cellStyle name="Separador de milhares 4 40" xfId="25266"/>
    <cellStyle name="Separador de milhares 4 41" xfId="25267"/>
    <cellStyle name="Separador de milhares 4 42" xfId="25268"/>
    <cellStyle name="Separador de milhares 4 43" xfId="25269"/>
    <cellStyle name="Separador de milhares 4 5" xfId="25270"/>
    <cellStyle name="Separador de milhares 4 5 10" xfId="25271"/>
    <cellStyle name="Separador de milhares 4 5 11" xfId="25272"/>
    <cellStyle name="Separador de milhares 4 5 12" xfId="25273"/>
    <cellStyle name="Separador de milhares 4 5 13" xfId="25274"/>
    <cellStyle name="Separador de milhares 4 5 14" xfId="25275"/>
    <cellStyle name="Separador de milhares 4 5 15" xfId="25276"/>
    <cellStyle name="Separador de milhares 4 5 16" xfId="25277"/>
    <cellStyle name="Separador de milhares 4 5 17" xfId="25278"/>
    <cellStyle name="Separador de milhares 4 5 18" xfId="25279"/>
    <cellStyle name="Separador de milhares 4 5 19" xfId="25280"/>
    <cellStyle name="Separador de milhares 4 5 2" xfId="25281"/>
    <cellStyle name="Separador de milhares 4 5 2 2" xfId="25282"/>
    <cellStyle name="Separador de milhares 4 5 2 3" xfId="25283"/>
    <cellStyle name="Separador de milhares 4 5 2 4" xfId="25284"/>
    <cellStyle name="Separador de milhares 4 5 2 5" xfId="25285"/>
    <cellStyle name="Separador de milhares 4 5 2 6" xfId="25286"/>
    <cellStyle name="Separador de milhares 4 5 2 7" xfId="25287"/>
    <cellStyle name="Separador de milhares 4 5 20" xfId="25288"/>
    <cellStyle name="Separador de milhares 4 5 21" xfId="25289"/>
    <cellStyle name="Separador de milhares 4 5 22" xfId="25290"/>
    <cellStyle name="Separador de milhares 4 5 23" xfId="25291"/>
    <cellStyle name="Separador de milhares 4 5 24" xfId="25292"/>
    <cellStyle name="Separador de milhares 4 5 3" xfId="25293"/>
    <cellStyle name="Separador de milhares 4 5 4" xfId="25294"/>
    <cellStyle name="Separador de milhares 4 5 5" xfId="25295"/>
    <cellStyle name="Separador de milhares 4 5 6" xfId="25296"/>
    <cellStyle name="Separador de milhares 4 5 7" xfId="25297"/>
    <cellStyle name="Separador de milhares 4 5 8" xfId="25298"/>
    <cellStyle name="Separador de milhares 4 5 9" xfId="25299"/>
    <cellStyle name="Separador de milhares 4 6" xfId="25300"/>
    <cellStyle name="Separador de milhares 4 6 2" xfId="25301"/>
    <cellStyle name="Separador de milhares 4 6 2 2" xfId="25302"/>
    <cellStyle name="Separador de milhares 4 6 2 3" xfId="25303"/>
    <cellStyle name="Separador de milhares 4 6 2 4" xfId="25304"/>
    <cellStyle name="Separador de milhares 4 6 2 5" xfId="25305"/>
    <cellStyle name="Separador de milhares 4 6 2 6" xfId="25306"/>
    <cellStyle name="Separador de milhares 4 6 2 7" xfId="25307"/>
    <cellStyle name="Separador de milhares 4 6 3" xfId="25308"/>
    <cellStyle name="Separador de milhares 4 6 4" xfId="25309"/>
    <cellStyle name="Separador de milhares 4 6 5" xfId="25310"/>
    <cellStyle name="Separador de milhares 4 6 6" xfId="25311"/>
    <cellStyle name="Separador de milhares 4 6 7" xfId="25312"/>
    <cellStyle name="Separador de milhares 4 7" xfId="25313"/>
    <cellStyle name="Separador de milhares 4 7 2" xfId="25314"/>
    <cellStyle name="Separador de milhares 4 7 2 2" xfId="25315"/>
    <cellStyle name="Separador de milhares 4 7 2 3" xfId="25316"/>
    <cellStyle name="Separador de milhares 4 7 2 4" xfId="25317"/>
    <cellStyle name="Separador de milhares 4 7 2 5" xfId="25318"/>
    <cellStyle name="Separador de milhares 4 7 2 6" xfId="25319"/>
    <cellStyle name="Separador de milhares 4 7 2 7" xfId="25320"/>
    <cellStyle name="Separador de milhares 4 7 3" xfId="25321"/>
    <cellStyle name="Separador de milhares 4 7 4" xfId="25322"/>
    <cellStyle name="Separador de milhares 4 7 5" xfId="25323"/>
    <cellStyle name="Separador de milhares 4 7 6" xfId="25324"/>
    <cellStyle name="Separador de milhares 4 7 7" xfId="25325"/>
    <cellStyle name="Separador de milhares 4 8" xfId="25326"/>
    <cellStyle name="Separador de milhares 4 8 2" xfId="25327"/>
    <cellStyle name="Separador de milhares 4 8 2 2" xfId="25328"/>
    <cellStyle name="Separador de milhares 4 8 2 3" xfId="25329"/>
    <cellStyle name="Separador de milhares 4 8 2 4" xfId="25330"/>
    <cellStyle name="Separador de milhares 4 8 2 5" xfId="25331"/>
    <cellStyle name="Separador de milhares 4 8 2 6" xfId="25332"/>
    <cellStyle name="Separador de milhares 4 8 2 7" xfId="25333"/>
    <cellStyle name="Separador de milhares 4 8 3" xfId="25334"/>
    <cellStyle name="Separador de milhares 4 8 4" xfId="25335"/>
    <cellStyle name="Separador de milhares 4 8 5" xfId="25336"/>
    <cellStyle name="Separador de milhares 4 8 6" xfId="25337"/>
    <cellStyle name="Separador de milhares 4 8 7" xfId="25338"/>
    <cellStyle name="Separador de milhares 4 9" xfId="25339"/>
    <cellStyle name="Separador de milhares 4 9 2" xfId="25340"/>
    <cellStyle name="Separador de milhares 4 9 2 2" xfId="25341"/>
    <cellStyle name="Separador de milhares 4 9 2 3" xfId="25342"/>
    <cellStyle name="Separador de milhares 4 9 2 4" xfId="25343"/>
    <cellStyle name="Separador de milhares 4 9 2 5" xfId="25344"/>
    <cellStyle name="Separador de milhares 4 9 2 6" xfId="25345"/>
    <cellStyle name="Separador de milhares 4 9 2 7" xfId="25346"/>
    <cellStyle name="Separador de milhares 4 9 2 8" xfId="39573"/>
    <cellStyle name="Separador de milhares 4 9 3" xfId="25347"/>
    <cellStyle name="Separador de milhares 4 9 3 2" xfId="39574"/>
    <cellStyle name="Separador de milhares 4 9 4" xfId="25348"/>
    <cellStyle name="Separador de milhares 4 9 4 2" xfId="39575"/>
    <cellStyle name="Separador de milhares 4 9 5" xfId="25349"/>
    <cellStyle name="Separador de milhares 4 9 5 2" xfId="39576"/>
    <cellStyle name="Separador de milhares 4 9 6" xfId="25350"/>
    <cellStyle name="Separador de milhares 4 9 6 2" xfId="39577"/>
    <cellStyle name="Separador de milhares 4 9 7" xfId="25351"/>
    <cellStyle name="Separador de milhares 4 9 7 2" xfId="39578"/>
    <cellStyle name="Separador de milhares 40" xfId="25352"/>
    <cellStyle name="Separador de milhares 41" xfId="25353"/>
    <cellStyle name="Separador de milhares 42" xfId="25354"/>
    <cellStyle name="Separador de milhares 43" xfId="25355"/>
    <cellStyle name="Separador de milhares 44" xfId="25356"/>
    <cellStyle name="Separador de milhares 45" xfId="25357"/>
    <cellStyle name="Separador de milhares 46" xfId="25358"/>
    <cellStyle name="Separador de milhares 47" xfId="25359"/>
    <cellStyle name="Separador de milhares 47 2" xfId="25360"/>
    <cellStyle name="Separador de milhares 48" xfId="25361"/>
    <cellStyle name="Separador de milhares 49" xfId="25362"/>
    <cellStyle name="Separador de milhares 5" xfId="25363"/>
    <cellStyle name="Separador de milhares 5 10" xfId="25364"/>
    <cellStyle name="Separador de milhares 5 11" xfId="25365"/>
    <cellStyle name="Separador de milhares 5 12" xfId="25366"/>
    <cellStyle name="Separador de milhares 5 13" xfId="25367"/>
    <cellStyle name="Separador de milhares 5 14" xfId="25368"/>
    <cellStyle name="Separador de milhares 5 15" xfId="25369"/>
    <cellStyle name="Separador de milhares 5 16" xfId="25370"/>
    <cellStyle name="Separador de milhares 5 17" xfId="25371"/>
    <cellStyle name="Separador de milhares 5 18" xfId="25372"/>
    <cellStyle name="Separador de milhares 5 19" xfId="25373"/>
    <cellStyle name="Separador de milhares 5 2" xfId="25374"/>
    <cellStyle name="Separador de milhares 5 2 10" xfId="25375"/>
    <cellStyle name="Separador de milhares 5 2 10 2" xfId="25376"/>
    <cellStyle name="Separador de milhares 5 2 10 2 2" xfId="39580"/>
    <cellStyle name="Separador de milhares 5 2 10 3" xfId="25377"/>
    <cellStyle name="Separador de milhares 5 2 10 3 2" xfId="39581"/>
    <cellStyle name="Separador de milhares 5 2 10 4" xfId="25378"/>
    <cellStyle name="Separador de milhares 5 2 10 4 2" xfId="39582"/>
    <cellStyle name="Separador de milhares 5 2 10 5" xfId="25379"/>
    <cellStyle name="Separador de milhares 5 2 10 5 2" xfId="39583"/>
    <cellStyle name="Separador de milhares 5 2 10 6" xfId="39579"/>
    <cellStyle name="Separador de milhares 5 2 11" xfId="25380"/>
    <cellStyle name="Separador de milhares 5 2 11 2" xfId="25381"/>
    <cellStyle name="Separador de milhares 5 2 11 2 2" xfId="39585"/>
    <cellStyle name="Separador de milhares 5 2 11 3" xfId="25382"/>
    <cellStyle name="Separador de milhares 5 2 11 3 2" xfId="39586"/>
    <cellStyle name="Separador de milhares 5 2 11 4" xfId="25383"/>
    <cellStyle name="Separador de milhares 5 2 11 4 2" xfId="39587"/>
    <cellStyle name="Separador de milhares 5 2 11 5" xfId="25384"/>
    <cellStyle name="Separador de milhares 5 2 11 5 2" xfId="39588"/>
    <cellStyle name="Separador de milhares 5 2 11 6" xfId="39584"/>
    <cellStyle name="Separador de milhares 5 2 12" xfId="25385"/>
    <cellStyle name="Separador de milhares 5 2 12 2" xfId="25386"/>
    <cellStyle name="Separador de milhares 5 2 12 2 2" xfId="39590"/>
    <cellStyle name="Separador de milhares 5 2 12 3" xfId="25387"/>
    <cellStyle name="Separador de milhares 5 2 12 3 2" xfId="39591"/>
    <cellStyle name="Separador de milhares 5 2 12 4" xfId="25388"/>
    <cellStyle name="Separador de milhares 5 2 12 4 2" xfId="39592"/>
    <cellStyle name="Separador de milhares 5 2 12 5" xfId="25389"/>
    <cellStyle name="Separador de milhares 5 2 12 5 2" xfId="39593"/>
    <cellStyle name="Separador de milhares 5 2 12 6" xfId="39589"/>
    <cellStyle name="Separador de milhares 5 2 13" xfId="25390"/>
    <cellStyle name="Separador de milhares 5 2 13 2" xfId="25391"/>
    <cellStyle name="Separador de milhares 5 2 13 2 2" xfId="39595"/>
    <cellStyle name="Separador de milhares 5 2 13 3" xfId="25392"/>
    <cellStyle name="Separador de milhares 5 2 13 3 2" xfId="39596"/>
    <cellStyle name="Separador de milhares 5 2 13 4" xfId="25393"/>
    <cellStyle name="Separador de milhares 5 2 13 4 2" xfId="39597"/>
    <cellStyle name="Separador de milhares 5 2 13 5" xfId="25394"/>
    <cellStyle name="Separador de milhares 5 2 13 5 2" xfId="39598"/>
    <cellStyle name="Separador de milhares 5 2 13 6" xfId="39594"/>
    <cellStyle name="Separador de milhares 5 2 14" xfId="25395"/>
    <cellStyle name="Separador de milhares 5 2 14 2" xfId="25396"/>
    <cellStyle name="Separador de milhares 5 2 14 2 2" xfId="39600"/>
    <cellStyle name="Separador de milhares 5 2 14 3" xfId="25397"/>
    <cellStyle name="Separador de milhares 5 2 14 3 2" xfId="39601"/>
    <cellStyle name="Separador de milhares 5 2 14 4" xfId="25398"/>
    <cellStyle name="Separador de milhares 5 2 14 4 2" xfId="39602"/>
    <cellStyle name="Separador de milhares 5 2 14 5" xfId="25399"/>
    <cellStyle name="Separador de milhares 5 2 14 5 2" xfId="39603"/>
    <cellStyle name="Separador de milhares 5 2 14 6" xfId="39599"/>
    <cellStyle name="Separador de milhares 5 2 15" xfId="25400"/>
    <cellStyle name="Separador de milhares 5 2 15 2" xfId="25401"/>
    <cellStyle name="Separador de milhares 5 2 15 2 2" xfId="39605"/>
    <cellStyle name="Separador de milhares 5 2 15 3" xfId="25402"/>
    <cellStyle name="Separador de milhares 5 2 15 3 2" xfId="39606"/>
    <cellStyle name="Separador de milhares 5 2 15 4" xfId="25403"/>
    <cellStyle name="Separador de milhares 5 2 15 4 2" xfId="39607"/>
    <cellStyle name="Separador de milhares 5 2 15 5" xfId="25404"/>
    <cellStyle name="Separador de milhares 5 2 15 5 2" xfId="39608"/>
    <cellStyle name="Separador de milhares 5 2 15 6" xfId="39604"/>
    <cellStyle name="Separador de milhares 5 2 16" xfId="25405"/>
    <cellStyle name="Separador de milhares 5 2 16 2" xfId="25406"/>
    <cellStyle name="Separador de milhares 5 2 16 2 2" xfId="39610"/>
    <cellStyle name="Separador de milhares 5 2 16 3" xfId="25407"/>
    <cellStyle name="Separador de milhares 5 2 16 3 2" xfId="39611"/>
    <cellStyle name="Separador de milhares 5 2 16 4" xfId="25408"/>
    <cellStyle name="Separador de milhares 5 2 16 4 2" xfId="39612"/>
    <cellStyle name="Separador de milhares 5 2 16 5" xfId="25409"/>
    <cellStyle name="Separador de milhares 5 2 16 5 2" xfId="39613"/>
    <cellStyle name="Separador de milhares 5 2 16 6" xfId="39609"/>
    <cellStyle name="Separador de milhares 5 2 17" xfId="25410"/>
    <cellStyle name="Separador de milhares 5 2 17 2" xfId="39614"/>
    <cellStyle name="Separador de milhares 5 2 18" xfId="25411"/>
    <cellStyle name="Separador de milhares 5 2 18 2" xfId="39615"/>
    <cellStyle name="Separador de milhares 5 2 19" xfId="25412"/>
    <cellStyle name="Separador de milhares 5 2 19 2" xfId="39616"/>
    <cellStyle name="Separador de milhares 5 2 2" xfId="25413"/>
    <cellStyle name="Separador de milhares 5 2 2 10" xfId="25414"/>
    <cellStyle name="Separador de milhares 5 2 2 10 2" xfId="39618"/>
    <cellStyle name="Separador de milhares 5 2 2 11" xfId="25415"/>
    <cellStyle name="Separador de milhares 5 2 2 11 2" xfId="39619"/>
    <cellStyle name="Separador de milhares 5 2 2 12" xfId="39617"/>
    <cellStyle name="Separador de milhares 5 2 2 2" xfId="25416"/>
    <cellStyle name="Separador de milhares 5 2 2 2 2" xfId="25417"/>
    <cellStyle name="Separador de milhares 5 2 2 2 2 2" xfId="39621"/>
    <cellStyle name="Separador de milhares 5 2 2 2 3" xfId="25418"/>
    <cellStyle name="Separador de milhares 5 2 2 2 3 2" xfId="39622"/>
    <cellStyle name="Separador de milhares 5 2 2 2 4" xfId="25419"/>
    <cellStyle name="Separador de milhares 5 2 2 2 4 2" xfId="39623"/>
    <cellStyle name="Separador de milhares 5 2 2 2 5" xfId="25420"/>
    <cellStyle name="Separador de milhares 5 2 2 2 5 2" xfId="39624"/>
    <cellStyle name="Separador de milhares 5 2 2 2 6" xfId="39620"/>
    <cellStyle name="Separador de milhares 5 2 2 3" xfId="25421"/>
    <cellStyle name="Separador de milhares 5 2 2 3 2" xfId="25422"/>
    <cellStyle name="Separador de milhares 5 2 2 3 2 2" xfId="39626"/>
    <cellStyle name="Separador de milhares 5 2 2 3 3" xfId="25423"/>
    <cellStyle name="Separador de milhares 5 2 2 3 3 2" xfId="39627"/>
    <cellStyle name="Separador de milhares 5 2 2 3 4" xfId="25424"/>
    <cellStyle name="Separador de milhares 5 2 2 3 4 2" xfId="39628"/>
    <cellStyle name="Separador de milhares 5 2 2 3 5" xfId="25425"/>
    <cellStyle name="Separador de milhares 5 2 2 3 5 2" xfId="39629"/>
    <cellStyle name="Separador de milhares 5 2 2 3 6" xfId="39625"/>
    <cellStyle name="Separador de milhares 5 2 2 4" xfId="25426"/>
    <cellStyle name="Separador de milhares 5 2 2 4 2" xfId="25427"/>
    <cellStyle name="Separador de milhares 5 2 2 4 2 2" xfId="39631"/>
    <cellStyle name="Separador de milhares 5 2 2 4 3" xfId="25428"/>
    <cellStyle name="Separador de milhares 5 2 2 4 3 2" xfId="39632"/>
    <cellStyle name="Separador de milhares 5 2 2 4 4" xfId="25429"/>
    <cellStyle name="Separador de milhares 5 2 2 4 4 2" xfId="39633"/>
    <cellStyle name="Separador de milhares 5 2 2 4 5" xfId="25430"/>
    <cellStyle name="Separador de milhares 5 2 2 4 5 2" xfId="39634"/>
    <cellStyle name="Separador de milhares 5 2 2 4 6" xfId="39630"/>
    <cellStyle name="Separador de milhares 5 2 2 5" xfId="25431"/>
    <cellStyle name="Separador de milhares 5 2 2 5 2" xfId="25432"/>
    <cellStyle name="Separador de milhares 5 2 2 5 2 2" xfId="39636"/>
    <cellStyle name="Separador de milhares 5 2 2 5 3" xfId="25433"/>
    <cellStyle name="Separador de milhares 5 2 2 5 3 2" xfId="39637"/>
    <cellStyle name="Separador de milhares 5 2 2 5 4" xfId="25434"/>
    <cellStyle name="Separador de milhares 5 2 2 5 4 2" xfId="39638"/>
    <cellStyle name="Separador de milhares 5 2 2 5 5" xfId="25435"/>
    <cellStyle name="Separador de milhares 5 2 2 5 5 2" xfId="39639"/>
    <cellStyle name="Separador de milhares 5 2 2 5 6" xfId="39635"/>
    <cellStyle name="Separador de milhares 5 2 2 6" xfId="25436"/>
    <cellStyle name="Separador de milhares 5 2 2 6 2" xfId="25437"/>
    <cellStyle name="Separador de milhares 5 2 2 6 2 2" xfId="39641"/>
    <cellStyle name="Separador de milhares 5 2 2 6 3" xfId="25438"/>
    <cellStyle name="Separador de milhares 5 2 2 6 3 2" xfId="39642"/>
    <cellStyle name="Separador de milhares 5 2 2 6 4" xfId="25439"/>
    <cellStyle name="Separador de milhares 5 2 2 6 4 2" xfId="39643"/>
    <cellStyle name="Separador de milhares 5 2 2 6 5" xfId="25440"/>
    <cellStyle name="Separador de milhares 5 2 2 6 5 2" xfId="39644"/>
    <cellStyle name="Separador de milhares 5 2 2 6 6" xfId="39640"/>
    <cellStyle name="Separador de milhares 5 2 2 7" xfId="25441"/>
    <cellStyle name="Separador de milhares 5 2 2 7 2" xfId="25442"/>
    <cellStyle name="Separador de milhares 5 2 2 7 2 2" xfId="39646"/>
    <cellStyle name="Separador de milhares 5 2 2 7 3" xfId="25443"/>
    <cellStyle name="Separador de milhares 5 2 2 7 3 2" xfId="39647"/>
    <cellStyle name="Separador de milhares 5 2 2 7 4" xfId="25444"/>
    <cellStyle name="Separador de milhares 5 2 2 7 4 2" xfId="39648"/>
    <cellStyle name="Separador de milhares 5 2 2 7 5" xfId="25445"/>
    <cellStyle name="Separador de milhares 5 2 2 7 5 2" xfId="39649"/>
    <cellStyle name="Separador de milhares 5 2 2 7 6" xfId="39645"/>
    <cellStyle name="Separador de milhares 5 2 2 8" xfId="25446"/>
    <cellStyle name="Separador de milhares 5 2 2 8 2" xfId="39650"/>
    <cellStyle name="Separador de milhares 5 2 2 9" xfId="25447"/>
    <cellStyle name="Separador de milhares 5 2 2 9 2" xfId="39651"/>
    <cellStyle name="Separador de milhares 5 2 20" xfId="25448"/>
    <cellStyle name="Separador de milhares 5 2 20 2" xfId="39652"/>
    <cellStyle name="Separador de milhares 5 2 21" xfId="25449"/>
    <cellStyle name="Separador de milhares 5 2 21 2" xfId="39653"/>
    <cellStyle name="Separador de milhares 5 2 3" xfId="25450"/>
    <cellStyle name="Separador de milhares 5 2 3 2" xfId="25451"/>
    <cellStyle name="Separador de milhares 5 2 3 2 2" xfId="25452"/>
    <cellStyle name="Separador de milhares 5 2 3 2 2 2" xfId="39656"/>
    <cellStyle name="Separador de milhares 5 2 3 2 3" xfId="25453"/>
    <cellStyle name="Separador de milhares 5 2 3 2 3 2" xfId="39657"/>
    <cellStyle name="Separador de milhares 5 2 3 2 4" xfId="25454"/>
    <cellStyle name="Separador de milhares 5 2 3 2 4 2" xfId="39658"/>
    <cellStyle name="Separador de milhares 5 2 3 2 5" xfId="25455"/>
    <cellStyle name="Separador de milhares 5 2 3 2 5 2" xfId="39659"/>
    <cellStyle name="Separador de milhares 5 2 3 2 6" xfId="39655"/>
    <cellStyle name="Separador de milhares 5 2 3 3" xfId="25456"/>
    <cellStyle name="Separador de milhares 5 2 3 3 2" xfId="39660"/>
    <cellStyle name="Separador de milhares 5 2 3 4" xfId="25457"/>
    <cellStyle name="Separador de milhares 5 2 3 4 2" xfId="39661"/>
    <cellStyle name="Separador de milhares 5 2 3 5" xfId="25458"/>
    <cellStyle name="Separador de milhares 5 2 3 5 2" xfId="39662"/>
    <cellStyle name="Separador de milhares 5 2 3 6" xfId="25459"/>
    <cellStyle name="Separador de milhares 5 2 3 6 2" xfId="39663"/>
    <cellStyle name="Separador de milhares 5 2 3 7" xfId="39654"/>
    <cellStyle name="Separador de milhares 5 2 4" xfId="25460"/>
    <cellStyle name="Separador de milhares 5 2 4 2" xfId="25461"/>
    <cellStyle name="Separador de milhares 5 2 4 2 2" xfId="25462"/>
    <cellStyle name="Separador de milhares 5 2 4 2 2 2" xfId="39666"/>
    <cellStyle name="Separador de milhares 5 2 4 2 3" xfId="25463"/>
    <cellStyle name="Separador de milhares 5 2 4 2 3 2" xfId="39667"/>
    <cellStyle name="Separador de milhares 5 2 4 2 4" xfId="25464"/>
    <cellStyle name="Separador de milhares 5 2 4 2 4 2" xfId="39668"/>
    <cellStyle name="Separador de milhares 5 2 4 2 5" xfId="25465"/>
    <cellStyle name="Separador de milhares 5 2 4 2 5 2" xfId="39669"/>
    <cellStyle name="Separador de milhares 5 2 4 2 6" xfId="39665"/>
    <cellStyle name="Separador de milhares 5 2 4 3" xfId="25466"/>
    <cellStyle name="Separador de milhares 5 2 4 3 2" xfId="39670"/>
    <cellStyle name="Separador de milhares 5 2 4 4" xfId="25467"/>
    <cellStyle name="Separador de milhares 5 2 4 4 2" xfId="39671"/>
    <cellStyle name="Separador de milhares 5 2 4 5" xfId="25468"/>
    <cellStyle name="Separador de milhares 5 2 4 5 2" xfId="39672"/>
    <cellStyle name="Separador de milhares 5 2 4 6" xfId="25469"/>
    <cellStyle name="Separador de milhares 5 2 4 6 2" xfId="39673"/>
    <cellStyle name="Separador de milhares 5 2 4 7" xfId="39664"/>
    <cellStyle name="Separador de milhares 5 2 5" xfId="25470"/>
    <cellStyle name="Separador de milhares 5 2 5 2" xfId="25471"/>
    <cellStyle name="Separador de milhares 5 2 5 2 2" xfId="39675"/>
    <cellStyle name="Separador de milhares 5 2 5 3" xfId="25472"/>
    <cellStyle name="Separador de milhares 5 2 5 3 2" xfId="39676"/>
    <cellStyle name="Separador de milhares 5 2 5 4" xfId="25473"/>
    <cellStyle name="Separador de milhares 5 2 5 4 2" xfId="39677"/>
    <cellStyle name="Separador de milhares 5 2 5 5" xfId="25474"/>
    <cellStyle name="Separador de milhares 5 2 5 5 2" xfId="39678"/>
    <cellStyle name="Separador de milhares 5 2 5 6" xfId="39674"/>
    <cellStyle name="Separador de milhares 5 2 6" xfId="25475"/>
    <cellStyle name="Separador de milhares 5 2 6 2" xfId="25476"/>
    <cellStyle name="Separador de milhares 5 2 6 2 2" xfId="39680"/>
    <cellStyle name="Separador de milhares 5 2 6 3" xfId="25477"/>
    <cellStyle name="Separador de milhares 5 2 6 3 2" xfId="39681"/>
    <cellStyle name="Separador de milhares 5 2 6 4" xfId="25478"/>
    <cellStyle name="Separador de milhares 5 2 6 4 2" xfId="39682"/>
    <cellStyle name="Separador de milhares 5 2 6 5" xfId="25479"/>
    <cellStyle name="Separador de milhares 5 2 6 5 2" xfId="39683"/>
    <cellStyle name="Separador de milhares 5 2 6 6" xfId="39679"/>
    <cellStyle name="Separador de milhares 5 2 7" xfId="25480"/>
    <cellStyle name="Separador de milhares 5 2 7 2" xfId="25481"/>
    <cellStyle name="Separador de milhares 5 2 7 2 2" xfId="39685"/>
    <cellStyle name="Separador de milhares 5 2 7 3" xfId="25482"/>
    <cellStyle name="Separador de milhares 5 2 7 3 2" xfId="39686"/>
    <cellStyle name="Separador de milhares 5 2 7 4" xfId="25483"/>
    <cellStyle name="Separador de milhares 5 2 7 4 2" xfId="39687"/>
    <cellStyle name="Separador de milhares 5 2 7 5" xfId="25484"/>
    <cellStyle name="Separador de milhares 5 2 7 5 2" xfId="39688"/>
    <cellStyle name="Separador de milhares 5 2 7 6" xfId="39684"/>
    <cellStyle name="Separador de milhares 5 2 8" xfId="25485"/>
    <cellStyle name="Separador de milhares 5 2 8 2" xfId="25486"/>
    <cellStyle name="Separador de milhares 5 2 8 2 2" xfId="39690"/>
    <cellStyle name="Separador de milhares 5 2 8 3" xfId="25487"/>
    <cellStyle name="Separador de milhares 5 2 8 3 2" xfId="39691"/>
    <cellStyle name="Separador de milhares 5 2 8 4" xfId="25488"/>
    <cellStyle name="Separador de milhares 5 2 8 4 2" xfId="39692"/>
    <cellStyle name="Separador de milhares 5 2 8 5" xfId="25489"/>
    <cellStyle name="Separador de milhares 5 2 8 5 2" xfId="39693"/>
    <cellStyle name="Separador de milhares 5 2 8 6" xfId="39689"/>
    <cellStyle name="Separador de milhares 5 2 9" xfId="25490"/>
    <cellStyle name="Separador de milhares 5 2 9 2" xfId="25491"/>
    <cellStyle name="Separador de milhares 5 2 9 2 2" xfId="39695"/>
    <cellStyle name="Separador de milhares 5 2 9 3" xfId="25492"/>
    <cellStyle name="Separador de milhares 5 2 9 3 2" xfId="39696"/>
    <cellStyle name="Separador de milhares 5 2 9 4" xfId="25493"/>
    <cellStyle name="Separador de milhares 5 2 9 4 2" xfId="39697"/>
    <cellStyle name="Separador de milhares 5 2 9 5" xfId="25494"/>
    <cellStyle name="Separador de milhares 5 2 9 5 2" xfId="39698"/>
    <cellStyle name="Separador de milhares 5 2 9 6" xfId="39694"/>
    <cellStyle name="Separador de milhares 5 20" xfId="25495"/>
    <cellStyle name="Separador de milhares 5 21" xfId="25496"/>
    <cellStyle name="Separador de milhares 5 22" xfId="25497"/>
    <cellStyle name="Separador de milhares 5 23" xfId="25498"/>
    <cellStyle name="Separador de milhares 5 3" xfId="25499"/>
    <cellStyle name="Separador de milhares 5 3 10" xfId="25500"/>
    <cellStyle name="Separador de milhares 5 3 10 2" xfId="25501"/>
    <cellStyle name="Separador de milhares 5 3 10 2 2" xfId="39701"/>
    <cellStyle name="Separador de milhares 5 3 10 3" xfId="25502"/>
    <cellStyle name="Separador de milhares 5 3 10 3 2" xfId="39702"/>
    <cellStyle name="Separador de milhares 5 3 10 4" xfId="25503"/>
    <cellStyle name="Separador de milhares 5 3 10 4 2" xfId="39703"/>
    <cellStyle name="Separador de milhares 5 3 10 5" xfId="25504"/>
    <cellStyle name="Separador de milhares 5 3 10 5 2" xfId="39704"/>
    <cellStyle name="Separador de milhares 5 3 10 6" xfId="39700"/>
    <cellStyle name="Separador de milhares 5 3 11" xfId="25505"/>
    <cellStyle name="Separador de milhares 5 3 11 2" xfId="25506"/>
    <cellStyle name="Separador de milhares 5 3 11 2 2" xfId="39706"/>
    <cellStyle name="Separador de milhares 5 3 11 3" xfId="25507"/>
    <cellStyle name="Separador de milhares 5 3 11 3 2" xfId="39707"/>
    <cellStyle name="Separador de milhares 5 3 11 4" xfId="25508"/>
    <cellStyle name="Separador de milhares 5 3 11 4 2" xfId="39708"/>
    <cellStyle name="Separador de milhares 5 3 11 5" xfId="25509"/>
    <cellStyle name="Separador de milhares 5 3 11 5 2" xfId="39709"/>
    <cellStyle name="Separador de milhares 5 3 11 6" xfId="39705"/>
    <cellStyle name="Separador de milhares 5 3 12" xfId="25510"/>
    <cellStyle name="Separador de milhares 5 3 12 2" xfId="25511"/>
    <cellStyle name="Separador de milhares 5 3 12 2 2" xfId="39711"/>
    <cellStyle name="Separador de milhares 5 3 12 3" xfId="25512"/>
    <cellStyle name="Separador de milhares 5 3 12 3 2" xfId="39712"/>
    <cellStyle name="Separador de milhares 5 3 12 4" xfId="25513"/>
    <cellStyle name="Separador de milhares 5 3 12 4 2" xfId="39713"/>
    <cellStyle name="Separador de milhares 5 3 12 5" xfId="25514"/>
    <cellStyle name="Separador de milhares 5 3 12 5 2" xfId="39714"/>
    <cellStyle name="Separador de milhares 5 3 12 6" xfId="39710"/>
    <cellStyle name="Separador de milhares 5 3 13" xfId="25515"/>
    <cellStyle name="Separador de milhares 5 3 13 2" xfId="25516"/>
    <cellStyle name="Separador de milhares 5 3 13 2 2" xfId="39716"/>
    <cellStyle name="Separador de milhares 5 3 13 3" xfId="25517"/>
    <cellStyle name="Separador de milhares 5 3 13 3 2" xfId="39717"/>
    <cellStyle name="Separador de milhares 5 3 13 4" xfId="25518"/>
    <cellStyle name="Separador de milhares 5 3 13 4 2" xfId="39718"/>
    <cellStyle name="Separador de milhares 5 3 13 5" xfId="25519"/>
    <cellStyle name="Separador de milhares 5 3 13 5 2" xfId="39719"/>
    <cellStyle name="Separador de milhares 5 3 13 6" xfId="39715"/>
    <cellStyle name="Separador de milhares 5 3 14" xfId="25520"/>
    <cellStyle name="Separador de milhares 5 3 14 2" xfId="25521"/>
    <cellStyle name="Separador de milhares 5 3 14 2 2" xfId="39721"/>
    <cellStyle name="Separador de milhares 5 3 14 3" xfId="25522"/>
    <cellStyle name="Separador de milhares 5 3 14 3 2" xfId="39722"/>
    <cellStyle name="Separador de milhares 5 3 14 4" xfId="25523"/>
    <cellStyle name="Separador de milhares 5 3 14 4 2" xfId="39723"/>
    <cellStyle name="Separador de milhares 5 3 14 5" xfId="25524"/>
    <cellStyle name="Separador de milhares 5 3 14 5 2" xfId="39724"/>
    <cellStyle name="Separador de milhares 5 3 14 6" xfId="39720"/>
    <cellStyle name="Separador de milhares 5 3 15" xfId="25525"/>
    <cellStyle name="Separador de milhares 5 3 15 2" xfId="25526"/>
    <cellStyle name="Separador de milhares 5 3 15 2 2" xfId="39726"/>
    <cellStyle name="Separador de milhares 5 3 15 3" xfId="25527"/>
    <cellStyle name="Separador de milhares 5 3 15 3 2" xfId="39727"/>
    <cellStyle name="Separador de milhares 5 3 15 4" xfId="25528"/>
    <cellStyle name="Separador de milhares 5 3 15 4 2" xfId="39728"/>
    <cellStyle name="Separador de milhares 5 3 15 5" xfId="25529"/>
    <cellStyle name="Separador de milhares 5 3 15 5 2" xfId="39729"/>
    <cellStyle name="Separador de milhares 5 3 15 6" xfId="39725"/>
    <cellStyle name="Separador de milhares 5 3 16" xfId="25530"/>
    <cellStyle name="Separador de milhares 5 3 16 2" xfId="25531"/>
    <cellStyle name="Separador de milhares 5 3 16 2 2" xfId="39731"/>
    <cellStyle name="Separador de milhares 5 3 16 3" xfId="25532"/>
    <cellStyle name="Separador de milhares 5 3 16 3 2" xfId="39732"/>
    <cellStyle name="Separador de milhares 5 3 16 4" xfId="25533"/>
    <cellStyle name="Separador de milhares 5 3 16 4 2" xfId="39733"/>
    <cellStyle name="Separador de milhares 5 3 16 5" xfId="25534"/>
    <cellStyle name="Separador de milhares 5 3 16 5 2" xfId="39734"/>
    <cellStyle name="Separador de milhares 5 3 16 6" xfId="39730"/>
    <cellStyle name="Separador de milhares 5 3 17" xfId="25535"/>
    <cellStyle name="Separador de milhares 5 3 17 2" xfId="39735"/>
    <cellStyle name="Separador de milhares 5 3 18" xfId="25536"/>
    <cellStyle name="Separador de milhares 5 3 18 2" xfId="39736"/>
    <cellStyle name="Separador de milhares 5 3 19" xfId="25537"/>
    <cellStyle name="Separador de milhares 5 3 19 2" xfId="39737"/>
    <cellStyle name="Separador de milhares 5 3 2" xfId="25538"/>
    <cellStyle name="Separador de milhares 5 3 2 10" xfId="25539"/>
    <cellStyle name="Separador de milhares 5 3 2 10 2" xfId="39739"/>
    <cellStyle name="Separador de milhares 5 3 2 11" xfId="25540"/>
    <cellStyle name="Separador de milhares 5 3 2 11 2" xfId="39740"/>
    <cellStyle name="Separador de milhares 5 3 2 12" xfId="39738"/>
    <cellStyle name="Separador de milhares 5 3 2 2" xfId="25541"/>
    <cellStyle name="Separador de milhares 5 3 2 2 2" xfId="25542"/>
    <cellStyle name="Separador de milhares 5 3 2 2 2 2" xfId="39742"/>
    <cellStyle name="Separador de milhares 5 3 2 2 3" xfId="25543"/>
    <cellStyle name="Separador de milhares 5 3 2 2 3 2" xfId="39743"/>
    <cellStyle name="Separador de milhares 5 3 2 2 4" xfId="25544"/>
    <cellStyle name="Separador de milhares 5 3 2 2 4 2" xfId="39744"/>
    <cellStyle name="Separador de milhares 5 3 2 2 5" xfId="25545"/>
    <cellStyle name="Separador de milhares 5 3 2 2 5 2" xfId="39745"/>
    <cellStyle name="Separador de milhares 5 3 2 2 6" xfId="39741"/>
    <cellStyle name="Separador de milhares 5 3 2 3" xfId="25546"/>
    <cellStyle name="Separador de milhares 5 3 2 3 2" xfId="25547"/>
    <cellStyle name="Separador de milhares 5 3 2 3 2 2" xfId="39747"/>
    <cellStyle name="Separador de milhares 5 3 2 3 3" xfId="25548"/>
    <cellStyle name="Separador de milhares 5 3 2 3 3 2" xfId="39748"/>
    <cellStyle name="Separador de milhares 5 3 2 3 4" xfId="25549"/>
    <cellStyle name="Separador de milhares 5 3 2 3 4 2" xfId="39749"/>
    <cellStyle name="Separador de milhares 5 3 2 3 5" xfId="25550"/>
    <cellStyle name="Separador de milhares 5 3 2 3 5 2" xfId="39750"/>
    <cellStyle name="Separador de milhares 5 3 2 3 6" xfId="39746"/>
    <cellStyle name="Separador de milhares 5 3 2 4" xfId="25551"/>
    <cellStyle name="Separador de milhares 5 3 2 4 2" xfId="25552"/>
    <cellStyle name="Separador de milhares 5 3 2 4 2 2" xfId="39752"/>
    <cellStyle name="Separador de milhares 5 3 2 4 3" xfId="25553"/>
    <cellStyle name="Separador de milhares 5 3 2 4 3 2" xfId="39753"/>
    <cellStyle name="Separador de milhares 5 3 2 4 4" xfId="25554"/>
    <cellStyle name="Separador de milhares 5 3 2 4 4 2" xfId="39754"/>
    <cellStyle name="Separador de milhares 5 3 2 4 5" xfId="25555"/>
    <cellStyle name="Separador de milhares 5 3 2 4 5 2" xfId="39755"/>
    <cellStyle name="Separador de milhares 5 3 2 4 6" xfId="39751"/>
    <cellStyle name="Separador de milhares 5 3 2 5" xfId="25556"/>
    <cellStyle name="Separador de milhares 5 3 2 5 2" xfId="25557"/>
    <cellStyle name="Separador de milhares 5 3 2 5 2 2" xfId="39757"/>
    <cellStyle name="Separador de milhares 5 3 2 5 3" xfId="25558"/>
    <cellStyle name="Separador de milhares 5 3 2 5 3 2" xfId="39758"/>
    <cellStyle name="Separador de milhares 5 3 2 5 4" xfId="25559"/>
    <cellStyle name="Separador de milhares 5 3 2 5 4 2" xfId="39759"/>
    <cellStyle name="Separador de milhares 5 3 2 5 5" xfId="25560"/>
    <cellStyle name="Separador de milhares 5 3 2 5 5 2" xfId="39760"/>
    <cellStyle name="Separador de milhares 5 3 2 5 6" xfId="39756"/>
    <cellStyle name="Separador de milhares 5 3 2 6" xfId="25561"/>
    <cellStyle name="Separador de milhares 5 3 2 6 2" xfId="25562"/>
    <cellStyle name="Separador de milhares 5 3 2 6 2 2" xfId="39762"/>
    <cellStyle name="Separador de milhares 5 3 2 6 3" xfId="25563"/>
    <cellStyle name="Separador de milhares 5 3 2 6 3 2" xfId="39763"/>
    <cellStyle name="Separador de milhares 5 3 2 6 4" xfId="25564"/>
    <cellStyle name="Separador de milhares 5 3 2 6 4 2" xfId="39764"/>
    <cellStyle name="Separador de milhares 5 3 2 6 5" xfId="25565"/>
    <cellStyle name="Separador de milhares 5 3 2 6 5 2" xfId="39765"/>
    <cellStyle name="Separador de milhares 5 3 2 6 6" xfId="39761"/>
    <cellStyle name="Separador de milhares 5 3 2 7" xfId="25566"/>
    <cellStyle name="Separador de milhares 5 3 2 7 2" xfId="25567"/>
    <cellStyle name="Separador de milhares 5 3 2 7 2 2" xfId="39767"/>
    <cellStyle name="Separador de milhares 5 3 2 7 3" xfId="25568"/>
    <cellStyle name="Separador de milhares 5 3 2 7 3 2" xfId="39768"/>
    <cellStyle name="Separador de milhares 5 3 2 7 4" xfId="25569"/>
    <cellStyle name="Separador de milhares 5 3 2 7 4 2" xfId="39769"/>
    <cellStyle name="Separador de milhares 5 3 2 7 5" xfId="25570"/>
    <cellStyle name="Separador de milhares 5 3 2 7 5 2" xfId="39770"/>
    <cellStyle name="Separador de milhares 5 3 2 7 6" xfId="39766"/>
    <cellStyle name="Separador de milhares 5 3 2 8" xfId="25571"/>
    <cellStyle name="Separador de milhares 5 3 2 8 2" xfId="39771"/>
    <cellStyle name="Separador de milhares 5 3 2 9" xfId="25572"/>
    <cellStyle name="Separador de milhares 5 3 2 9 2" xfId="39772"/>
    <cellStyle name="Separador de milhares 5 3 20" xfId="25573"/>
    <cellStyle name="Separador de milhares 5 3 20 2" xfId="39773"/>
    <cellStyle name="Separador de milhares 5 3 21" xfId="39699"/>
    <cellStyle name="Separador de milhares 5 3 3" xfId="25574"/>
    <cellStyle name="Separador de milhares 5 3 3 2" xfId="25575"/>
    <cellStyle name="Separador de milhares 5 3 3 2 2" xfId="25576"/>
    <cellStyle name="Separador de milhares 5 3 3 2 2 2" xfId="39776"/>
    <cellStyle name="Separador de milhares 5 3 3 2 3" xfId="25577"/>
    <cellStyle name="Separador de milhares 5 3 3 2 3 2" xfId="39777"/>
    <cellStyle name="Separador de milhares 5 3 3 2 4" xfId="25578"/>
    <cellStyle name="Separador de milhares 5 3 3 2 4 2" xfId="39778"/>
    <cellStyle name="Separador de milhares 5 3 3 2 5" xfId="25579"/>
    <cellStyle name="Separador de milhares 5 3 3 2 5 2" xfId="39779"/>
    <cellStyle name="Separador de milhares 5 3 3 2 6" xfId="39775"/>
    <cellStyle name="Separador de milhares 5 3 3 3" xfId="25580"/>
    <cellStyle name="Separador de milhares 5 3 3 3 2" xfId="39780"/>
    <cellStyle name="Separador de milhares 5 3 3 4" xfId="25581"/>
    <cellStyle name="Separador de milhares 5 3 3 4 2" xfId="39781"/>
    <cellStyle name="Separador de milhares 5 3 3 5" xfId="25582"/>
    <cellStyle name="Separador de milhares 5 3 3 5 2" xfId="39782"/>
    <cellStyle name="Separador de milhares 5 3 3 6" xfId="25583"/>
    <cellStyle name="Separador de milhares 5 3 3 6 2" xfId="39783"/>
    <cellStyle name="Separador de milhares 5 3 3 7" xfId="39774"/>
    <cellStyle name="Separador de milhares 5 3 4" xfId="25584"/>
    <cellStyle name="Separador de milhares 5 3 4 2" xfId="25585"/>
    <cellStyle name="Separador de milhares 5 3 4 2 2" xfId="25586"/>
    <cellStyle name="Separador de milhares 5 3 4 2 2 2" xfId="39786"/>
    <cellStyle name="Separador de milhares 5 3 4 2 3" xfId="25587"/>
    <cellStyle name="Separador de milhares 5 3 4 2 3 2" xfId="39787"/>
    <cellStyle name="Separador de milhares 5 3 4 2 4" xfId="25588"/>
    <cellStyle name="Separador de milhares 5 3 4 2 4 2" xfId="39788"/>
    <cellStyle name="Separador de milhares 5 3 4 2 5" xfId="25589"/>
    <cellStyle name="Separador de milhares 5 3 4 2 5 2" xfId="39789"/>
    <cellStyle name="Separador de milhares 5 3 4 2 6" xfId="39785"/>
    <cellStyle name="Separador de milhares 5 3 4 3" xfId="25590"/>
    <cellStyle name="Separador de milhares 5 3 4 3 2" xfId="39790"/>
    <cellStyle name="Separador de milhares 5 3 4 4" xfId="25591"/>
    <cellStyle name="Separador de milhares 5 3 4 4 2" xfId="39791"/>
    <cellStyle name="Separador de milhares 5 3 4 5" xfId="25592"/>
    <cellStyle name="Separador de milhares 5 3 4 5 2" xfId="39792"/>
    <cellStyle name="Separador de milhares 5 3 4 6" xfId="25593"/>
    <cellStyle name="Separador de milhares 5 3 4 6 2" xfId="39793"/>
    <cellStyle name="Separador de milhares 5 3 4 7" xfId="39784"/>
    <cellStyle name="Separador de milhares 5 3 5" xfId="25594"/>
    <cellStyle name="Separador de milhares 5 3 5 2" xfId="25595"/>
    <cellStyle name="Separador de milhares 5 3 5 2 2" xfId="39795"/>
    <cellStyle name="Separador de milhares 5 3 5 3" xfId="25596"/>
    <cellStyle name="Separador de milhares 5 3 5 3 2" xfId="39796"/>
    <cellStyle name="Separador de milhares 5 3 5 4" xfId="25597"/>
    <cellStyle name="Separador de milhares 5 3 5 4 2" xfId="39797"/>
    <cellStyle name="Separador de milhares 5 3 5 5" xfId="25598"/>
    <cellStyle name="Separador de milhares 5 3 5 5 2" xfId="39798"/>
    <cellStyle name="Separador de milhares 5 3 5 6" xfId="39794"/>
    <cellStyle name="Separador de milhares 5 3 6" xfId="25599"/>
    <cellStyle name="Separador de milhares 5 3 6 2" xfId="25600"/>
    <cellStyle name="Separador de milhares 5 3 6 2 2" xfId="39800"/>
    <cellStyle name="Separador de milhares 5 3 6 3" xfId="25601"/>
    <cellStyle name="Separador de milhares 5 3 6 3 2" xfId="39801"/>
    <cellStyle name="Separador de milhares 5 3 6 4" xfId="25602"/>
    <cellStyle name="Separador de milhares 5 3 6 4 2" xfId="39802"/>
    <cellStyle name="Separador de milhares 5 3 6 5" xfId="25603"/>
    <cellStyle name="Separador de milhares 5 3 6 5 2" xfId="39803"/>
    <cellStyle name="Separador de milhares 5 3 6 6" xfId="39799"/>
    <cellStyle name="Separador de milhares 5 3 7" xfId="25604"/>
    <cellStyle name="Separador de milhares 5 3 7 2" xfId="25605"/>
    <cellStyle name="Separador de milhares 5 3 7 2 2" xfId="39805"/>
    <cellStyle name="Separador de milhares 5 3 7 3" xfId="25606"/>
    <cellStyle name="Separador de milhares 5 3 7 3 2" xfId="39806"/>
    <cellStyle name="Separador de milhares 5 3 7 4" xfId="25607"/>
    <cellStyle name="Separador de milhares 5 3 7 4 2" xfId="39807"/>
    <cellStyle name="Separador de milhares 5 3 7 5" xfId="25608"/>
    <cellStyle name="Separador de milhares 5 3 7 5 2" xfId="39808"/>
    <cellStyle name="Separador de milhares 5 3 7 6" xfId="39804"/>
    <cellStyle name="Separador de milhares 5 3 8" xfId="25609"/>
    <cellStyle name="Separador de milhares 5 3 8 2" xfId="25610"/>
    <cellStyle name="Separador de milhares 5 3 8 2 2" xfId="39810"/>
    <cellStyle name="Separador de milhares 5 3 8 3" xfId="25611"/>
    <cellStyle name="Separador de milhares 5 3 8 3 2" xfId="39811"/>
    <cellStyle name="Separador de milhares 5 3 8 4" xfId="25612"/>
    <cellStyle name="Separador de milhares 5 3 8 4 2" xfId="39812"/>
    <cellStyle name="Separador de milhares 5 3 8 5" xfId="25613"/>
    <cellStyle name="Separador de milhares 5 3 8 5 2" xfId="39813"/>
    <cellStyle name="Separador de milhares 5 3 8 6" xfId="39809"/>
    <cellStyle name="Separador de milhares 5 3 9" xfId="25614"/>
    <cellStyle name="Separador de milhares 5 3 9 2" xfId="25615"/>
    <cellStyle name="Separador de milhares 5 3 9 2 2" xfId="39815"/>
    <cellStyle name="Separador de milhares 5 3 9 3" xfId="25616"/>
    <cellStyle name="Separador de milhares 5 3 9 3 2" xfId="39816"/>
    <cellStyle name="Separador de milhares 5 3 9 4" xfId="25617"/>
    <cellStyle name="Separador de milhares 5 3 9 4 2" xfId="39817"/>
    <cellStyle name="Separador de milhares 5 3 9 5" xfId="25618"/>
    <cellStyle name="Separador de milhares 5 3 9 5 2" xfId="39818"/>
    <cellStyle name="Separador de milhares 5 3 9 6" xfId="39814"/>
    <cellStyle name="Separador de milhares 5 4" xfId="25619"/>
    <cellStyle name="Separador de milhares 5 4 2" xfId="25620"/>
    <cellStyle name="Separador de milhares 5 5" xfId="25621"/>
    <cellStyle name="Separador de milhares 5 6" xfId="25622"/>
    <cellStyle name="Separador de milhares 5 7" xfId="25623"/>
    <cellStyle name="Separador de milhares 5 8" xfId="25624"/>
    <cellStyle name="Separador de milhares 5 8 2" xfId="25625"/>
    <cellStyle name="Separador de milhares 5 9" xfId="25626"/>
    <cellStyle name="Separador de milhares 50" xfId="25627"/>
    <cellStyle name="Separador de milhares 51" xfId="25628"/>
    <cellStyle name="Separador de milhares 53" xfId="25629"/>
    <cellStyle name="Separador de milhares 54" xfId="25630"/>
    <cellStyle name="Separador de milhares 56" xfId="41046"/>
    <cellStyle name="Separador de milhares 6" xfId="25631"/>
    <cellStyle name="Separador de milhares 6 10" xfId="25632"/>
    <cellStyle name="Separador de milhares 6 10 2" xfId="25633"/>
    <cellStyle name="Separador de milhares 6 10 2 2" xfId="39820"/>
    <cellStyle name="Separador de milhares 6 10 3" xfId="25634"/>
    <cellStyle name="Separador de milhares 6 10 3 2" xfId="39821"/>
    <cellStyle name="Separador de milhares 6 10 4" xfId="25635"/>
    <cellStyle name="Separador de milhares 6 10 4 2" xfId="39822"/>
    <cellStyle name="Separador de milhares 6 10 5" xfId="25636"/>
    <cellStyle name="Separador de milhares 6 10 5 2" xfId="39823"/>
    <cellStyle name="Separador de milhares 6 10 6" xfId="39819"/>
    <cellStyle name="Separador de milhares 6 11" xfId="25637"/>
    <cellStyle name="Separador de milhares 6 11 2" xfId="25638"/>
    <cellStyle name="Separador de milhares 6 11 2 2" xfId="39825"/>
    <cellStyle name="Separador de milhares 6 11 3" xfId="25639"/>
    <cellStyle name="Separador de milhares 6 11 3 2" xfId="39826"/>
    <cellStyle name="Separador de milhares 6 11 4" xfId="25640"/>
    <cellStyle name="Separador de milhares 6 11 4 2" xfId="39827"/>
    <cellStyle name="Separador de milhares 6 11 5" xfId="25641"/>
    <cellStyle name="Separador de milhares 6 11 5 2" xfId="39828"/>
    <cellStyle name="Separador de milhares 6 11 6" xfId="39824"/>
    <cellStyle name="Separador de milhares 6 12" xfId="25642"/>
    <cellStyle name="Separador de milhares 6 12 2" xfId="25643"/>
    <cellStyle name="Separador de milhares 6 12 2 2" xfId="39830"/>
    <cellStyle name="Separador de milhares 6 12 3" xfId="25644"/>
    <cellStyle name="Separador de milhares 6 12 3 2" xfId="39831"/>
    <cellStyle name="Separador de milhares 6 12 4" xfId="25645"/>
    <cellStyle name="Separador de milhares 6 12 4 2" xfId="39832"/>
    <cellStyle name="Separador de milhares 6 12 5" xfId="25646"/>
    <cellStyle name="Separador de milhares 6 12 5 2" xfId="39833"/>
    <cellStyle name="Separador de milhares 6 12 6" xfId="39829"/>
    <cellStyle name="Separador de milhares 6 13" xfId="25647"/>
    <cellStyle name="Separador de milhares 6 13 2" xfId="25648"/>
    <cellStyle name="Separador de milhares 6 13 2 2" xfId="39835"/>
    <cellStyle name="Separador de milhares 6 13 3" xfId="25649"/>
    <cellStyle name="Separador de milhares 6 13 3 2" xfId="39836"/>
    <cellStyle name="Separador de milhares 6 13 4" xfId="25650"/>
    <cellStyle name="Separador de milhares 6 13 4 2" xfId="39837"/>
    <cellStyle name="Separador de milhares 6 13 5" xfId="25651"/>
    <cellStyle name="Separador de milhares 6 13 5 2" xfId="39838"/>
    <cellStyle name="Separador de milhares 6 13 6" xfId="39834"/>
    <cellStyle name="Separador de milhares 6 14" xfId="25652"/>
    <cellStyle name="Separador de milhares 6 14 2" xfId="25653"/>
    <cellStyle name="Separador de milhares 6 14 2 2" xfId="39840"/>
    <cellStyle name="Separador de milhares 6 14 3" xfId="25654"/>
    <cellStyle name="Separador de milhares 6 14 3 2" xfId="39841"/>
    <cellStyle name="Separador de milhares 6 14 4" xfId="25655"/>
    <cellStyle name="Separador de milhares 6 14 4 2" xfId="39842"/>
    <cellStyle name="Separador de milhares 6 14 5" xfId="25656"/>
    <cellStyle name="Separador de milhares 6 14 5 2" xfId="39843"/>
    <cellStyle name="Separador de milhares 6 14 6" xfId="39839"/>
    <cellStyle name="Separador de milhares 6 15" xfId="25657"/>
    <cellStyle name="Separador de milhares 6 15 2" xfId="25658"/>
    <cellStyle name="Separador de milhares 6 15 2 2" xfId="39845"/>
    <cellStyle name="Separador de milhares 6 15 3" xfId="25659"/>
    <cellStyle name="Separador de milhares 6 15 3 2" xfId="39846"/>
    <cellStyle name="Separador de milhares 6 15 4" xfId="25660"/>
    <cellStyle name="Separador de milhares 6 15 4 2" xfId="39847"/>
    <cellStyle name="Separador de milhares 6 15 5" xfId="25661"/>
    <cellStyle name="Separador de milhares 6 15 5 2" xfId="39848"/>
    <cellStyle name="Separador de milhares 6 15 6" xfId="39844"/>
    <cellStyle name="Separador de milhares 6 16" xfId="25662"/>
    <cellStyle name="Separador de milhares 6 16 2" xfId="25663"/>
    <cellStyle name="Separador de milhares 6 16 2 2" xfId="39850"/>
    <cellStyle name="Separador de milhares 6 16 3" xfId="25664"/>
    <cellStyle name="Separador de milhares 6 16 3 2" xfId="39851"/>
    <cellStyle name="Separador de milhares 6 16 4" xfId="25665"/>
    <cellStyle name="Separador de milhares 6 16 4 2" xfId="39852"/>
    <cellStyle name="Separador de milhares 6 16 5" xfId="25666"/>
    <cellStyle name="Separador de milhares 6 16 5 2" xfId="39853"/>
    <cellStyle name="Separador de milhares 6 16 6" xfId="39849"/>
    <cellStyle name="Separador de milhares 6 17" xfId="25667"/>
    <cellStyle name="Separador de milhares 6 17 2" xfId="25668"/>
    <cellStyle name="Separador de milhares 6 17 2 2" xfId="39855"/>
    <cellStyle name="Separador de milhares 6 17 3" xfId="25669"/>
    <cellStyle name="Separador de milhares 6 17 3 2" xfId="39856"/>
    <cellStyle name="Separador de milhares 6 17 4" xfId="25670"/>
    <cellStyle name="Separador de milhares 6 17 4 2" xfId="39857"/>
    <cellStyle name="Separador de milhares 6 17 5" xfId="25671"/>
    <cellStyle name="Separador de milhares 6 17 5 2" xfId="39858"/>
    <cellStyle name="Separador de milhares 6 17 6" xfId="39854"/>
    <cellStyle name="Separador de milhares 6 18" xfId="25672"/>
    <cellStyle name="Separador de milhares 6 18 2" xfId="25673"/>
    <cellStyle name="Separador de milhares 6 18 2 2" xfId="39860"/>
    <cellStyle name="Separador de milhares 6 18 3" xfId="25674"/>
    <cellStyle name="Separador de milhares 6 18 3 2" xfId="39861"/>
    <cellStyle name="Separador de milhares 6 18 4" xfId="25675"/>
    <cellStyle name="Separador de milhares 6 18 4 2" xfId="39862"/>
    <cellStyle name="Separador de milhares 6 18 5" xfId="25676"/>
    <cellStyle name="Separador de milhares 6 18 5 2" xfId="39863"/>
    <cellStyle name="Separador de milhares 6 18 6" xfId="39859"/>
    <cellStyle name="Separador de milhares 6 19" xfId="25677"/>
    <cellStyle name="Separador de milhares 6 19 2" xfId="25678"/>
    <cellStyle name="Separador de milhares 6 19 2 2" xfId="39865"/>
    <cellStyle name="Separador de milhares 6 19 3" xfId="25679"/>
    <cellStyle name="Separador de milhares 6 19 3 2" xfId="39866"/>
    <cellStyle name="Separador de milhares 6 19 4" xfId="25680"/>
    <cellStyle name="Separador de milhares 6 19 4 2" xfId="39867"/>
    <cellStyle name="Separador de milhares 6 19 5" xfId="25681"/>
    <cellStyle name="Separador de milhares 6 19 5 2" xfId="39868"/>
    <cellStyle name="Separador de milhares 6 19 6" xfId="39864"/>
    <cellStyle name="Separador de milhares 6 2" xfId="25682"/>
    <cellStyle name="Separador de milhares 6 2 10" xfId="25683"/>
    <cellStyle name="Separador de milhares 6 2 10 2" xfId="25684"/>
    <cellStyle name="Separador de milhares 6 2 10 2 2" xfId="39871"/>
    <cellStyle name="Separador de milhares 6 2 10 3" xfId="25685"/>
    <cellStyle name="Separador de milhares 6 2 10 3 2" xfId="39872"/>
    <cellStyle name="Separador de milhares 6 2 10 4" xfId="25686"/>
    <cellStyle name="Separador de milhares 6 2 10 4 2" xfId="39873"/>
    <cellStyle name="Separador de milhares 6 2 10 5" xfId="25687"/>
    <cellStyle name="Separador de milhares 6 2 10 5 2" xfId="39874"/>
    <cellStyle name="Separador de milhares 6 2 10 6" xfId="39870"/>
    <cellStyle name="Separador de milhares 6 2 11" xfId="25688"/>
    <cellStyle name="Separador de milhares 6 2 11 2" xfId="25689"/>
    <cellStyle name="Separador de milhares 6 2 11 2 2" xfId="39876"/>
    <cellStyle name="Separador de milhares 6 2 11 3" xfId="25690"/>
    <cellStyle name="Separador de milhares 6 2 11 3 2" xfId="39877"/>
    <cellStyle name="Separador de milhares 6 2 11 4" xfId="25691"/>
    <cellStyle name="Separador de milhares 6 2 11 4 2" xfId="39878"/>
    <cellStyle name="Separador de milhares 6 2 11 5" xfId="25692"/>
    <cellStyle name="Separador de milhares 6 2 11 5 2" xfId="39879"/>
    <cellStyle name="Separador de milhares 6 2 11 6" xfId="39875"/>
    <cellStyle name="Separador de milhares 6 2 12" xfId="25693"/>
    <cellStyle name="Separador de milhares 6 2 12 2" xfId="25694"/>
    <cellStyle name="Separador de milhares 6 2 12 2 2" xfId="39881"/>
    <cellStyle name="Separador de milhares 6 2 12 3" xfId="25695"/>
    <cellStyle name="Separador de milhares 6 2 12 3 2" xfId="39882"/>
    <cellStyle name="Separador de milhares 6 2 12 4" xfId="25696"/>
    <cellStyle name="Separador de milhares 6 2 12 4 2" xfId="39883"/>
    <cellStyle name="Separador de milhares 6 2 12 5" xfId="25697"/>
    <cellStyle name="Separador de milhares 6 2 12 5 2" xfId="39884"/>
    <cellStyle name="Separador de milhares 6 2 12 6" xfId="39880"/>
    <cellStyle name="Separador de milhares 6 2 13" xfId="25698"/>
    <cellStyle name="Separador de milhares 6 2 13 2" xfId="25699"/>
    <cellStyle name="Separador de milhares 6 2 13 2 2" xfId="39886"/>
    <cellStyle name="Separador de milhares 6 2 13 3" xfId="25700"/>
    <cellStyle name="Separador de milhares 6 2 13 3 2" xfId="39887"/>
    <cellStyle name="Separador de milhares 6 2 13 4" xfId="25701"/>
    <cellStyle name="Separador de milhares 6 2 13 4 2" xfId="39888"/>
    <cellStyle name="Separador de milhares 6 2 13 5" xfId="25702"/>
    <cellStyle name="Separador de milhares 6 2 13 5 2" xfId="39889"/>
    <cellStyle name="Separador de milhares 6 2 13 6" xfId="39885"/>
    <cellStyle name="Separador de milhares 6 2 14" xfId="25703"/>
    <cellStyle name="Separador de milhares 6 2 14 2" xfId="25704"/>
    <cellStyle name="Separador de milhares 6 2 14 2 2" xfId="39891"/>
    <cellStyle name="Separador de milhares 6 2 14 3" xfId="25705"/>
    <cellStyle name="Separador de milhares 6 2 14 3 2" xfId="39892"/>
    <cellStyle name="Separador de milhares 6 2 14 4" xfId="25706"/>
    <cellStyle name="Separador de milhares 6 2 14 4 2" xfId="39893"/>
    <cellStyle name="Separador de milhares 6 2 14 5" xfId="25707"/>
    <cellStyle name="Separador de milhares 6 2 14 5 2" xfId="39894"/>
    <cellStyle name="Separador de milhares 6 2 14 6" xfId="39890"/>
    <cellStyle name="Separador de milhares 6 2 15" xfId="25708"/>
    <cellStyle name="Separador de milhares 6 2 15 2" xfId="25709"/>
    <cellStyle name="Separador de milhares 6 2 15 2 2" xfId="39896"/>
    <cellStyle name="Separador de milhares 6 2 15 3" xfId="25710"/>
    <cellStyle name="Separador de milhares 6 2 15 3 2" xfId="39897"/>
    <cellStyle name="Separador de milhares 6 2 15 4" xfId="25711"/>
    <cellStyle name="Separador de milhares 6 2 15 4 2" xfId="39898"/>
    <cellStyle name="Separador de milhares 6 2 15 5" xfId="25712"/>
    <cellStyle name="Separador de milhares 6 2 15 5 2" xfId="39899"/>
    <cellStyle name="Separador de milhares 6 2 15 6" xfId="39895"/>
    <cellStyle name="Separador de milhares 6 2 16" xfId="25713"/>
    <cellStyle name="Separador de milhares 6 2 16 2" xfId="25714"/>
    <cellStyle name="Separador de milhares 6 2 16 2 2" xfId="39901"/>
    <cellStyle name="Separador de milhares 6 2 16 3" xfId="25715"/>
    <cellStyle name="Separador de milhares 6 2 16 3 2" xfId="39902"/>
    <cellStyle name="Separador de milhares 6 2 16 4" xfId="25716"/>
    <cellStyle name="Separador de milhares 6 2 16 4 2" xfId="39903"/>
    <cellStyle name="Separador de milhares 6 2 16 5" xfId="25717"/>
    <cellStyle name="Separador de milhares 6 2 16 5 2" xfId="39904"/>
    <cellStyle name="Separador de milhares 6 2 16 6" xfId="39900"/>
    <cellStyle name="Separador de milhares 6 2 17" xfId="25718"/>
    <cellStyle name="Separador de milhares 6 2 17 2" xfId="39905"/>
    <cellStyle name="Separador de milhares 6 2 18" xfId="25719"/>
    <cellStyle name="Separador de milhares 6 2 18 2" xfId="39906"/>
    <cellStyle name="Separador de milhares 6 2 19" xfId="25720"/>
    <cellStyle name="Separador de milhares 6 2 19 2" xfId="39907"/>
    <cellStyle name="Separador de milhares 6 2 2" xfId="25721"/>
    <cellStyle name="Separador de milhares 6 2 20" xfId="25722"/>
    <cellStyle name="Separador de milhares 6 2 20 2" xfId="39908"/>
    <cellStyle name="Separador de milhares 6 2 21" xfId="39869"/>
    <cellStyle name="Separador de milhares 6 2 3" xfId="25723"/>
    <cellStyle name="Separador de milhares 6 2 3 2" xfId="25724"/>
    <cellStyle name="Separador de milhares 6 2 3 2 2" xfId="39910"/>
    <cellStyle name="Separador de milhares 6 2 3 3" xfId="25725"/>
    <cellStyle name="Separador de milhares 6 2 3 3 2" xfId="39911"/>
    <cellStyle name="Separador de milhares 6 2 3 4" xfId="25726"/>
    <cellStyle name="Separador de milhares 6 2 3 4 2" xfId="39912"/>
    <cellStyle name="Separador de milhares 6 2 3 5" xfId="25727"/>
    <cellStyle name="Separador de milhares 6 2 3 5 2" xfId="39913"/>
    <cellStyle name="Separador de milhares 6 2 3 6" xfId="39909"/>
    <cellStyle name="Separador de milhares 6 2 4" xfId="25728"/>
    <cellStyle name="Separador de milhares 6 2 4 2" xfId="25729"/>
    <cellStyle name="Separador de milhares 6 2 4 2 2" xfId="39915"/>
    <cellStyle name="Separador de milhares 6 2 4 3" xfId="25730"/>
    <cellStyle name="Separador de milhares 6 2 4 3 2" xfId="39916"/>
    <cellStyle name="Separador de milhares 6 2 4 4" xfId="25731"/>
    <cellStyle name="Separador de milhares 6 2 4 4 2" xfId="39917"/>
    <cellStyle name="Separador de milhares 6 2 4 5" xfId="25732"/>
    <cellStyle name="Separador de milhares 6 2 4 5 2" xfId="39918"/>
    <cellStyle name="Separador de milhares 6 2 4 6" xfId="39914"/>
    <cellStyle name="Separador de milhares 6 2 5" xfId="25733"/>
    <cellStyle name="Separador de milhares 6 2 5 2" xfId="25734"/>
    <cellStyle name="Separador de milhares 6 2 5 2 2" xfId="39920"/>
    <cellStyle name="Separador de milhares 6 2 5 3" xfId="25735"/>
    <cellStyle name="Separador de milhares 6 2 5 3 2" xfId="39921"/>
    <cellStyle name="Separador de milhares 6 2 5 4" xfId="25736"/>
    <cellStyle name="Separador de milhares 6 2 5 4 2" xfId="39922"/>
    <cellStyle name="Separador de milhares 6 2 5 5" xfId="25737"/>
    <cellStyle name="Separador de milhares 6 2 5 5 2" xfId="39923"/>
    <cellStyle name="Separador de milhares 6 2 5 6" xfId="39919"/>
    <cellStyle name="Separador de milhares 6 2 6" xfId="25738"/>
    <cellStyle name="Separador de milhares 6 2 6 2" xfId="25739"/>
    <cellStyle name="Separador de milhares 6 2 6 2 2" xfId="39925"/>
    <cellStyle name="Separador de milhares 6 2 6 3" xfId="25740"/>
    <cellStyle name="Separador de milhares 6 2 6 3 2" xfId="39926"/>
    <cellStyle name="Separador de milhares 6 2 6 4" xfId="25741"/>
    <cellStyle name="Separador de milhares 6 2 6 4 2" xfId="39927"/>
    <cellStyle name="Separador de milhares 6 2 6 5" xfId="25742"/>
    <cellStyle name="Separador de milhares 6 2 6 5 2" xfId="39928"/>
    <cellStyle name="Separador de milhares 6 2 6 6" xfId="39924"/>
    <cellStyle name="Separador de milhares 6 2 7" xfId="25743"/>
    <cellStyle name="Separador de milhares 6 2 7 2" xfId="25744"/>
    <cellStyle name="Separador de milhares 6 2 7 2 2" xfId="39930"/>
    <cellStyle name="Separador de milhares 6 2 7 3" xfId="25745"/>
    <cellStyle name="Separador de milhares 6 2 7 3 2" xfId="39931"/>
    <cellStyle name="Separador de milhares 6 2 7 4" xfId="25746"/>
    <cellStyle name="Separador de milhares 6 2 7 4 2" xfId="39932"/>
    <cellStyle name="Separador de milhares 6 2 7 5" xfId="25747"/>
    <cellStyle name="Separador de milhares 6 2 7 5 2" xfId="39933"/>
    <cellStyle name="Separador de milhares 6 2 7 6" xfId="39929"/>
    <cellStyle name="Separador de milhares 6 2 8" xfId="25748"/>
    <cellStyle name="Separador de milhares 6 2 8 2" xfId="25749"/>
    <cellStyle name="Separador de milhares 6 2 8 2 2" xfId="39935"/>
    <cellStyle name="Separador de milhares 6 2 8 3" xfId="25750"/>
    <cellStyle name="Separador de milhares 6 2 8 3 2" xfId="39936"/>
    <cellStyle name="Separador de milhares 6 2 8 4" xfId="25751"/>
    <cellStyle name="Separador de milhares 6 2 8 4 2" xfId="39937"/>
    <cellStyle name="Separador de milhares 6 2 8 5" xfId="25752"/>
    <cellStyle name="Separador de milhares 6 2 8 5 2" xfId="39938"/>
    <cellStyle name="Separador de milhares 6 2 8 6" xfId="39934"/>
    <cellStyle name="Separador de milhares 6 2 9" xfId="25753"/>
    <cellStyle name="Separador de milhares 6 2 9 2" xfId="25754"/>
    <cellStyle name="Separador de milhares 6 2 9 2 2" xfId="39940"/>
    <cellStyle name="Separador de milhares 6 2 9 3" xfId="25755"/>
    <cellStyle name="Separador de milhares 6 2 9 3 2" xfId="39941"/>
    <cellStyle name="Separador de milhares 6 2 9 4" xfId="25756"/>
    <cellStyle name="Separador de milhares 6 2 9 4 2" xfId="39942"/>
    <cellStyle name="Separador de milhares 6 2 9 5" xfId="25757"/>
    <cellStyle name="Separador de milhares 6 2 9 5 2" xfId="39943"/>
    <cellStyle name="Separador de milhares 6 2 9 6" xfId="39939"/>
    <cellStyle name="Separador de milhares 6 20" xfId="25758"/>
    <cellStyle name="Separador de milhares 6 20 2" xfId="39944"/>
    <cellStyle name="Separador de milhares 6 21" xfId="25759"/>
    <cellStyle name="Separador de milhares 6 21 2" xfId="39945"/>
    <cellStyle name="Separador de milhares 6 22" xfId="25760"/>
    <cellStyle name="Separador de milhares 6 22 2" xfId="39946"/>
    <cellStyle name="Separador de milhares 6 23" xfId="25761"/>
    <cellStyle name="Separador de milhares 6 23 2" xfId="39947"/>
    <cellStyle name="Separador de milhares 6 24" xfId="25762"/>
    <cellStyle name="Separador de milhares 6 24 2" xfId="39948"/>
    <cellStyle name="Separador de milhares 6 3" xfId="25763"/>
    <cellStyle name="Separador de milhares 6 3 2" xfId="25764"/>
    <cellStyle name="Separador de milhares 6 3 3" xfId="25765"/>
    <cellStyle name="Separador de milhares 6 3 3 2" xfId="39950"/>
    <cellStyle name="Separador de milhares 6 3 4" xfId="25766"/>
    <cellStyle name="Separador de milhares 6 3 4 2" xfId="39951"/>
    <cellStyle name="Separador de milhares 6 3 5" xfId="25767"/>
    <cellStyle name="Separador de milhares 6 3 5 2" xfId="39952"/>
    <cellStyle name="Separador de milhares 6 3 6" xfId="25768"/>
    <cellStyle name="Separador de milhares 6 3 6 2" xfId="39953"/>
    <cellStyle name="Separador de milhares 6 3 7" xfId="39949"/>
    <cellStyle name="Separador de milhares 6 4" xfId="25769"/>
    <cellStyle name="Separador de milhares 6 4 2" xfId="25770"/>
    <cellStyle name="Separador de milhares 6 4 3" xfId="25771"/>
    <cellStyle name="Separador de milhares 6 4 3 2" xfId="39955"/>
    <cellStyle name="Separador de milhares 6 4 4" xfId="25772"/>
    <cellStyle name="Separador de milhares 6 4 4 2" xfId="39956"/>
    <cellStyle name="Separador de milhares 6 4 5" xfId="25773"/>
    <cellStyle name="Separador de milhares 6 4 5 2" xfId="39957"/>
    <cellStyle name="Separador de milhares 6 4 6" xfId="25774"/>
    <cellStyle name="Separador de milhares 6 4 6 2" xfId="39958"/>
    <cellStyle name="Separador de milhares 6 4 7" xfId="39954"/>
    <cellStyle name="Separador de milhares 6 5" xfId="25775"/>
    <cellStyle name="Separador de milhares 6 5 2" xfId="25776"/>
    <cellStyle name="Separador de milhares 6 5 3" xfId="25777"/>
    <cellStyle name="Separador de milhares 6 5 3 2" xfId="39960"/>
    <cellStyle name="Separador de milhares 6 5 4" xfId="25778"/>
    <cellStyle name="Separador de milhares 6 5 4 2" xfId="39961"/>
    <cellStyle name="Separador de milhares 6 5 5" xfId="25779"/>
    <cellStyle name="Separador de milhares 6 5 5 2" xfId="39962"/>
    <cellStyle name="Separador de milhares 6 5 6" xfId="25780"/>
    <cellStyle name="Separador de milhares 6 5 6 2" xfId="39963"/>
    <cellStyle name="Separador de milhares 6 5 7" xfId="39959"/>
    <cellStyle name="Separador de milhares 6 6" xfId="25781"/>
    <cellStyle name="Separador de milhares 6 6 2" xfId="25782"/>
    <cellStyle name="Separador de milhares 6 6 2 2" xfId="39965"/>
    <cellStyle name="Separador de milhares 6 6 3" xfId="25783"/>
    <cellStyle name="Separador de milhares 6 6 3 2" xfId="39966"/>
    <cellStyle name="Separador de milhares 6 6 4" xfId="25784"/>
    <cellStyle name="Separador de milhares 6 6 4 2" xfId="39967"/>
    <cellStyle name="Separador de milhares 6 6 5" xfId="25785"/>
    <cellStyle name="Separador de milhares 6 6 5 2" xfId="39968"/>
    <cellStyle name="Separador de milhares 6 6 6" xfId="39964"/>
    <cellStyle name="Separador de milhares 6 7" xfId="25786"/>
    <cellStyle name="Separador de milhares 6 7 2" xfId="25787"/>
    <cellStyle name="Separador de milhares 6 7 2 2" xfId="39970"/>
    <cellStyle name="Separador de milhares 6 7 3" xfId="25788"/>
    <cellStyle name="Separador de milhares 6 7 3 2" xfId="39971"/>
    <cellStyle name="Separador de milhares 6 7 4" xfId="25789"/>
    <cellStyle name="Separador de milhares 6 7 4 2" xfId="39972"/>
    <cellStyle name="Separador de milhares 6 7 5" xfId="25790"/>
    <cellStyle name="Separador de milhares 6 7 5 2" xfId="39973"/>
    <cellStyle name="Separador de milhares 6 7 6" xfId="39969"/>
    <cellStyle name="Separador de milhares 6 8" xfId="25791"/>
    <cellStyle name="Separador de milhares 6 8 2" xfId="25792"/>
    <cellStyle name="Separador de milhares 6 8 2 2" xfId="39975"/>
    <cellStyle name="Separador de milhares 6 8 3" xfId="25793"/>
    <cellStyle name="Separador de milhares 6 8 3 2" xfId="39976"/>
    <cellStyle name="Separador de milhares 6 8 4" xfId="25794"/>
    <cellStyle name="Separador de milhares 6 8 4 2" xfId="39977"/>
    <cellStyle name="Separador de milhares 6 8 5" xfId="25795"/>
    <cellStyle name="Separador de milhares 6 8 5 2" xfId="39978"/>
    <cellStyle name="Separador de milhares 6 8 6" xfId="39974"/>
    <cellStyle name="Separador de milhares 6 9" xfId="25796"/>
    <cellStyle name="Separador de milhares 6 9 2" xfId="25797"/>
    <cellStyle name="Separador de milhares 6 9 2 2" xfId="39980"/>
    <cellStyle name="Separador de milhares 6 9 3" xfId="25798"/>
    <cellStyle name="Separador de milhares 6 9 3 2" xfId="39981"/>
    <cellStyle name="Separador de milhares 6 9 4" xfId="25799"/>
    <cellStyle name="Separador de milhares 6 9 4 2" xfId="39982"/>
    <cellStyle name="Separador de milhares 6 9 5" xfId="25800"/>
    <cellStyle name="Separador de milhares 6 9 5 2" xfId="39983"/>
    <cellStyle name="Separador de milhares 6 9 6" xfId="39979"/>
    <cellStyle name="Separador de milhares 7" xfId="25801"/>
    <cellStyle name="Separador de milhares 7 10" xfId="25802"/>
    <cellStyle name="Separador de milhares 7 10 2" xfId="25803"/>
    <cellStyle name="Separador de milhares 7 10 2 2" xfId="39986"/>
    <cellStyle name="Separador de milhares 7 10 3" xfId="25804"/>
    <cellStyle name="Separador de milhares 7 10 3 2" xfId="39987"/>
    <cellStyle name="Separador de milhares 7 10 4" xfId="25805"/>
    <cellStyle name="Separador de milhares 7 10 4 2" xfId="39988"/>
    <cellStyle name="Separador de milhares 7 10 5" xfId="25806"/>
    <cellStyle name="Separador de milhares 7 10 5 2" xfId="39989"/>
    <cellStyle name="Separador de milhares 7 10 6" xfId="39985"/>
    <cellStyle name="Separador de milhares 7 11" xfId="25807"/>
    <cellStyle name="Separador de milhares 7 11 2" xfId="25808"/>
    <cellStyle name="Separador de milhares 7 11 2 2" xfId="39991"/>
    <cellStyle name="Separador de milhares 7 11 3" xfId="25809"/>
    <cellStyle name="Separador de milhares 7 11 3 2" xfId="39992"/>
    <cellStyle name="Separador de milhares 7 11 4" xfId="25810"/>
    <cellStyle name="Separador de milhares 7 11 4 2" xfId="39993"/>
    <cellStyle name="Separador de milhares 7 11 5" xfId="25811"/>
    <cellStyle name="Separador de milhares 7 11 5 2" xfId="39994"/>
    <cellStyle name="Separador de milhares 7 11 6" xfId="39990"/>
    <cellStyle name="Separador de milhares 7 12" xfId="25812"/>
    <cellStyle name="Separador de milhares 7 12 2" xfId="25813"/>
    <cellStyle name="Separador de milhares 7 12 2 2" xfId="39996"/>
    <cellStyle name="Separador de milhares 7 12 3" xfId="25814"/>
    <cellStyle name="Separador de milhares 7 12 3 2" xfId="39997"/>
    <cellStyle name="Separador de milhares 7 12 4" xfId="25815"/>
    <cellStyle name="Separador de milhares 7 12 4 2" xfId="39998"/>
    <cellStyle name="Separador de milhares 7 12 5" xfId="25816"/>
    <cellStyle name="Separador de milhares 7 12 5 2" xfId="39999"/>
    <cellStyle name="Separador de milhares 7 12 6" xfId="39995"/>
    <cellStyle name="Separador de milhares 7 13" xfId="25817"/>
    <cellStyle name="Separador de milhares 7 13 2" xfId="25818"/>
    <cellStyle name="Separador de milhares 7 13 2 2" xfId="40001"/>
    <cellStyle name="Separador de milhares 7 13 3" xfId="25819"/>
    <cellStyle name="Separador de milhares 7 13 3 2" xfId="40002"/>
    <cellStyle name="Separador de milhares 7 13 4" xfId="25820"/>
    <cellStyle name="Separador de milhares 7 13 4 2" xfId="40003"/>
    <cellStyle name="Separador de milhares 7 13 5" xfId="25821"/>
    <cellStyle name="Separador de milhares 7 13 5 2" xfId="40004"/>
    <cellStyle name="Separador de milhares 7 13 6" xfId="40000"/>
    <cellStyle name="Separador de milhares 7 14" xfId="25822"/>
    <cellStyle name="Separador de milhares 7 14 2" xfId="25823"/>
    <cellStyle name="Separador de milhares 7 14 2 2" xfId="40006"/>
    <cellStyle name="Separador de milhares 7 14 3" xfId="25824"/>
    <cellStyle name="Separador de milhares 7 14 3 2" xfId="40007"/>
    <cellStyle name="Separador de milhares 7 14 4" xfId="25825"/>
    <cellStyle name="Separador de milhares 7 14 4 2" xfId="40008"/>
    <cellStyle name="Separador de milhares 7 14 5" xfId="25826"/>
    <cellStyle name="Separador de milhares 7 14 5 2" xfId="40009"/>
    <cellStyle name="Separador de milhares 7 14 6" xfId="40005"/>
    <cellStyle name="Separador de milhares 7 15" xfId="25827"/>
    <cellStyle name="Separador de milhares 7 15 2" xfId="25828"/>
    <cellStyle name="Separador de milhares 7 15 2 2" xfId="40011"/>
    <cellStyle name="Separador de milhares 7 15 3" xfId="25829"/>
    <cellStyle name="Separador de milhares 7 15 3 2" xfId="40012"/>
    <cellStyle name="Separador de milhares 7 15 4" xfId="25830"/>
    <cellStyle name="Separador de milhares 7 15 4 2" xfId="40013"/>
    <cellStyle name="Separador de milhares 7 15 5" xfId="25831"/>
    <cellStyle name="Separador de milhares 7 15 5 2" xfId="40014"/>
    <cellStyle name="Separador de milhares 7 15 6" xfId="40010"/>
    <cellStyle name="Separador de milhares 7 16" xfId="25832"/>
    <cellStyle name="Separador de milhares 7 16 2" xfId="25833"/>
    <cellStyle name="Separador de milhares 7 16 2 2" xfId="40016"/>
    <cellStyle name="Separador de milhares 7 16 3" xfId="25834"/>
    <cellStyle name="Separador de milhares 7 16 3 2" xfId="40017"/>
    <cellStyle name="Separador de milhares 7 16 4" xfId="25835"/>
    <cellStyle name="Separador de milhares 7 16 4 2" xfId="40018"/>
    <cellStyle name="Separador de milhares 7 16 5" xfId="25836"/>
    <cellStyle name="Separador de milhares 7 16 5 2" xfId="40019"/>
    <cellStyle name="Separador de milhares 7 16 6" xfId="40015"/>
    <cellStyle name="Separador de milhares 7 17" xfId="25837"/>
    <cellStyle name="Separador de milhares 7 17 2" xfId="25838"/>
    <cellStyle name="Separador de milhares 7 17 2 2" xfId="40021"/>
    <cellStyle name="Separador de milhares 7 17 3" xfId="25839"/>
    <cellStyle name="Separador de milhares 7 17 3 2" xfId="40022"/>
    <cellStyle name="Separador de milhares 7 17 4" xfId="25840"/>
    <cellStyle name="Separador de milhares 7 17 4 2" xfId="40023"/>
    <cellStyle name="Separador de milhares 7 17 5" xfId="25841"/>
    <cellStyle name="Separador de milhares 7 17 5 2" xfId="40024"/>
    <cellStyle name="Separador de milhares 7 17 6" xfId="40020"/>
    <cellStyle name="Separador de milhares 7 18" xfId="25842"/>
    <cellStyle name="Separador de milhares 7 18 2" xfId="25843"/>
    <cellStyle name="Separador de milhares 7 18 2 2" xfId="40026"/>
    <cellStyle name="Separador de milhares 7 18 3" xfId="25844"/>
    <cellStyle name="Separador de milhares 7 18 3 2" xfId="40027"/>
    <cellStyle name="Separador de milhares 7 18 4" xfId="25845"/>
    <cellStyle name="Separador de milhares 7 18 4 2" xfId="40028"/>
    <cellStyle name="Separador de milhares 7 18 5" xfId="25846"/>
    <cellStyle name="Separador de milhares 7 18 5 2" xfId="40029"/>
    <cellStyle name="Separador de milhares 7 18 6" xfId="40025"/>
    <cellStyle name="Separador de milhares 7 19" xfId="25847"/>
    <cellStyle name="Separador de milhares 7 19 2" xfId="25848"/>
    <cellStyle name="Separador de milhares 7 19 2 2" xfId="40031"/>
    <cellStyle name="Separador de milhares 7 19 3" xfId="25849"/>
    <cellStyle name="Separador de milhares 7 19 3 2" xfId="40032"/>
    <cellStyle name="Separador de milhares 7 19 4" xfId="25850"/>
    <cellStyle name="Separador de milhares 7 19 4 2" xfId="40033"/>
    <cellStyle name="Separador de milhares 7 19 5" xfId="25851"/>
    <cellStyle name="Separador de milhares 7 19 5 2" xfId="40034"/>
    <cellStyle name="Separador de milhares 7 19 6" xfId="40030"/>
    <cellStyle name="Separador de milhares 7 2" xfId="25852"/>
    <cellStyle name="Separador de milhares 7 2 10" xfId="25853"/>
    <cellStyle name="Separador de milhares 7 2 10 2" xfId="25854"/>
    <cellStyle name="Separador de milhares 7 2 10 2 2" xfId="40037"/>
    <cellStyle name="Separador de milhares 7 2 10 3" xfId="25855"/>
    <cellStyle name="Separador de milhares 7 2 10 3 2" xfId="40038"/>
    <cellStyle name="Separador de milhares 7 2 10 4" xfId="25856"/>
    <cellStyle name="Separador de milhares 7 2 10 4 2" xfId="40039"/>
    <cellStyle name="Separador de milhares 7 2 10 5" xfId="25857"/>
    <cellStyle name="Separador de milhares 7 2 10 5 2" xfId="40040"/>
    <cellStyle name="Separador de milhares 7 2 10 6" xfId="40036"/>
    <cellStyle name="Separador de milhares 7 2 11" xfId="25858"/>
    <cellStyle name="Separador de milhares 7 2 11 2" xfId="25859"/>
    <cellStyle name="Separador de milhares 7 2 11 2 2" xfId="40042"/>
    <cellStyle name="Separador de milhares 7 2 11 3" xfId="25860"/>
    <cellStyle name="Separador de milhares 7 2 11 3 2" xfId="40043"/>
    <cellStyle name="Separador de milhares 7 2 11 4" xfId="25861"/>
    <cellStyle name="Separador de milhares 7 2 11 4 2" xfId="40044"/>
    <cellStyle name="Separador de milhares 7 2 11 5" xfId="25862"/>
    <cellStyle name="Separador de milhares 7 2 11 5 2" xfId="40045"/>
    <cellStyle name="Separador de milhares 7 2 11 6" xfId="40041"/>
    <cellStyle name="Separador de milhares 7 2 12" xfId="25863"/>
    <cellStyle name="Separador de milhares 7 2 12 2" xfId="25864"/>
    <cellStyle name="Separador de milhares 7 2 12 2 2" xfId="40047"/>
    <cellStyle name="Separador de milhares 7 2 12 3" xfId="25865"/>
    <cellStyle name="Separador de milhares 7 2 12 3 2" xfId="40048"/>
    <cellStyle name="Separador de milhares 7 2 12 4" xfId="25866"/>
    <cellStyle name="Separador de milhares 7 2 12 4 2" xfId="40049"/>
    <cellStyle name="Separador de milhares 7 2 12 5" xfId="25867"/>
    <cellStyle name="Separador de milhares 7 2 12 5 2" xfId="40050"/>
    <cellStyle name="Separador de milhares 7 2 12 6" xfId="40046"/>
    <cellStyle name="Separador de milhares 7 2 13" xfId="25868"/>
    <cellStyle name="Separador de milhares 7 2 13 2" xfId="25869"/>
    <cellStyle name="Separador de milhares 7 2 13 2 2" xfId="40052"/>
    <cellStyle name="Separador de milhares 7 2 13 3" xfId="25870"/>
    <cellStyle name="Separador de milhares 7 2 13 3 2" xfId="40053"/>
    <cellStyle name="Separador de milhares 7 2 13 4" xfId="25871"/>
    <cellStyle name="Separador de milhares 7 2 13 4 2" xfId="40054"/>
    <cellStyle name="Separador de milhares 7 2 13 5" xfId="25872"/>
    <cellStyle name="Separador de milhares 7 2 13 5 2" xfId="40055"/>
    <cellStyle name="Separador de milhares 7 2 13 6" xfId="40051"/>
    <cellStyle name="Separador de milhares 7 2 14" xfId="25873"/>
    <cellStyle name="Separador de milhares 7 2 14 2" xfId="25874"/>
    <cellStyle name="Separador de milhares 7 2 14 2 2" xfId="40057"/>
    <cellStyle name="Separador de milhares 7 2 14 3" xfId="25875"/>
    <cellStyle name="Separador de milhares 7 2 14 3 2" xfId="40058"/>
    <cellStyle name="Separador de milhares 7 2 14 4" xfId="25876"/>
    <cellStyle name="Separador de milhares 7 2 14 4 2" xfId="40059"/>
    <cellStyle name="Separador de milhares 7 2 14 5" xfId="25877"/>
    <cellStyle name="Separador de milhares 7 2 14 5 2" xfId="40060"/>
    <cellStyle name="Separador de milhares 7 2 14 6" xfId="40056"/>
    <cellStyle name="Separador de milhares 7 2 15" xfId="25878"/>
    <cellStyle name="Separador de milhares 7 2 15 2" xfId="25879"/>
    <cellStyle name="Separador de milhares 7 2 15 2 2" xfId="40062"/>
    <cellStyle name="Separador de milhares 7 2 15 3" xfId="25880"/>
    <cellStyle name="Separador de milhares 7 2 15 3 2" xfId="40063"/>
    <cellStyle name="Separador de milhares 7 2 15 4" xfId="25881"/>
    <cellStyle name="Separador de milhares 7 2 15 4 2" xfId="40064"/>
    <cellStyle name="Separador de milhares 7 2 15 5" xfId="25882"/>
    <cellStyle name="Separador de milhares 7 2 15 5 2" xfId="40065"/>
    <cellStyle name="Separador de milhares 7 2 15 6" xfId="40061"/>
    <cellStyle name="Separador de milhares 7 2 16" xfId="25883"/>
    <cellStyle name="Separador de milhares 7 2 16 2" xfId="25884"/>
    <cellStyle name="Separador de milhares 7 2 16 2 2" xfId="40067"/>
    <cellStyle name="Separador de milhares 7 2 16 3" xfId="25885"/>
    <cellStyle name="Separador de milhares 7 2 16 3 2" xfId="40068"/>
    <cellStyle name="Separador de milhares 7 2 16 4" xfId="25886"/>
    <cellStyle name="Separador de milhares 7 2 16 4 2" xfId="40069"/>
    <cellStyle name="Separador de milhares 7 2 16 5" xfId="25887"/>
    <cellStyle name="Separador de milhares 7 2 16 5 2" xfId="40070"/>
    <cellStyle name="Separador de milhares 7 2 16 6" xfId="40066"/>
    <cellStyle name="Separador de milhares 7 2 17" xfId="25888"/>
    <cellStyle name="Separador de milhares 7 2 17 2" xfId="40071"/>
    <cellStyle name="Separador de milhares 7 2 18" xfId="25889"/>
    <cellStyle name="Separador de milhares 7 2 18 2" xfId="40072"/>
    <cellStyle name="Separador de milhares 7 2 19" xfId="25890"/>
    <cellStyle name="Separador de milhares 7 2 19 2" xfId="40073"/>
    <cellStyle name="Separador de milhares 7 2 2" xfId="25891"/>
    <cellStyle name="Separador de milhares 7 2 20" xfId="25892"/>
    <cellStyle name="Separador de milhares 7 2 20 2" xfId="40074"/>
    <cellStyle name="Separador de milhares 7 2 21" xfId="40035"/>
    <cellStyle name="Separador de milhares 7 2 3" xfId="25893"/>
    <cellStyle name="Separador de milhares 7 2 3 2" xfId="25894"/>
    <cellStyle name="Separador de milhares 7 2 3 2 2" xfId="40076"/>
    <cellStyle name="Separador de milhares 7 2 3 3" xfId="25895"/>
    <cellStyle name="Separador de milhares 7 2 3 3 2" xfId="40077"/>
    <cellStyle name="Separador de milhares 7 2 3 4" xfId="25896"/>
    <cellStyle name="Separador de milhares 7 2 3 4 2" xfId="40078"/>
    <cellStyle name="Separador de milhares 7 2 3 5" xfId="25897"/>
    <cellStyle name="Separador de milhares 7 2 3 5 2" xfId="40079"/>
    <cellStyle name="Separador de milhares 7 2 3 6" xfId="40075"/>
    <cellStyle name="Separador de milhares 7 2 4" xfId="25898"/>
    <cellStyle name="Separador de milhares 7 2 4 2" xfId="25899"/>
    <cellStyle name="Separador de milhares 7 2 4 2 2" xfId="40081"/>
    <cellStyle name="Separador de milhares 7 2 4 3" xfId="25900"/>
    <cellStyle name="Separador de milhares 7 2 4 3 2" xfId="40082"/>
    <cellStyle name="Separador de milhares 7 2 4 4" xfId="25901"/>
    <cellStyle name="Separador de milhares 7 2 4 4 2" xfId="40083"/>
    <cellStyle name="Separador de milhares 7 2 4 5" xfId="25902"/>
    <cellStyle name="Separador de milhares 7 2 4 5 2" xfId="40084"/>
    <cellStyle name="Separador de milhares 7 2 4 6" xfId="40080"/>
    <cellStyle name="Separador de milhares 7 2 5" xfId="25903"/>
    <cellStyle name="Separador de milhares 7 2 5 2" xfId="25904"/>
    <cellStyle name="Separador de milhares 7 2 5 2 2" xfId="40086"/>
    <cellStyle name="Separador de milhares 7 2 5 3" xfId="25905"/>
    <cellStyle name="Separador de milhares 7 2 5 3 2" xfId="40087"/>
    <cellStyle name="Separador de milhares 7 2 5 4" xfId="25906"/>
    <cellStyle name="Separador de milhares 7 2 5 4 2" xfId="40088"/>
    <cellStyle name="Separador de milhares 7 2 5 5" xfId="25907"/>
    <cellStyle name="Separador de milhares 7 2 5 5 2" xfId="40089"/>
    <cellStyle name="Separador de milhares 7 2 5 6" xfId="40085"/>
    <cellStyle name="Separador de milhares 7 2 6" xfId="25908"/>
    <cellStyle name="Separador de milhares 7 2 6 2" xfId="25909"/>
    <cellStyle name="Separador de milhares 7 2 6 2 2" xfId="40091"/>
    <cellStyle name="Separador de milhares 7 2 6 3" xfId="25910"/>
    <cellStyle name="Separador de milhares 7 2 6 3 2" xfId="40092"/>
    <cellStyle name="Separador de milhares 7 2 6 4" xfId="25911"/>
    <cellStyle name="Separador de milhares 7 2 6 4 2" xfId="40093"/>
    <cellStyle name="Separador de milhares 7 2 6 5" xfId="25912"/>
    <cellStyle name="Separador de milhares 7 2 6 5 2" xfId="40094"/>
    <cellStyle name="Separador de milhares 7 2 6 6" xfId="40090"/>
    <cellStyle name="Separador de milhares 7 2 7" xfId="25913"/>
    <cellStyle name="Separador de milhares 7 2 7 2" xfId="25914"/>
    <cellStyle name="Separador de milhares 7 2 7 2 2" xfId="40096"/>
    <cellStyle name="Separador de milhares 7 2 7 3" xfId="25915"/>
    <cellStyle name="Separador de milhares 7 2 7 3 2" xfId="40097"/>
    <cellStyle name="Separador de milhares 7 2 7 4" xfId="25916"/>
    <cellStyle name="Separador de milhares 7 2 7 4 2" xfId="40098"/>
    <cellStyle name="Separador de milhares 7 2 7 5" xfId="25917"/>
    <cellStyle name="Separador de milhares 7 2 7 5 2" xfId="40099"/>
    <cellStyle name="Separador de milhares 7 2 7 6" xfId="40095"/>
    <cellStyle name="Separador de milhares 7 2 8" xfId="25918"/>
    <cellStyle name="Separador de milhares 7 2 8 2" xfId="25919"/>
    <cellStyle name="Separador de milhares 7 2 8 2 2" xfId="40101"/>
    <cellStyle name="Separador de milhares 7 2 8 3" xfId="25920"/>
    <cellStyle name="Separador de milhares 7 2 8 3 2" xfId="40102"/>
    <cellStyle name="Separador de milhares 7 2 8 4" xfId="25921"/>
    <cellStyle name="Separador de milhares 7 2 8 4 2" xfId="40103"/>
    <cellStyle name="Separador de milhares 7 2 8 5" xfId="25922"/>
    <cellStyle name="Separador de milhares 7 2 8 5 2" xfId="40104"/>
    <cellStyle name="Separador de milhares 7 2 8 6" xfId="40100"/>
    <cellStyle name="Separador de milhares 7 2 9" xfId="25923"/>
    <cellStyle name="Separador de milhares 7 2 9 2" xfId="25924"/>
    <cellStyle name="Separador de milhares 7 2 9 2 2" xfId="40106"/>
    <cellStyle name="Separador de milhares 7 2 9 3" xfId="25925"/>
    <cellStyle name="Separador de milhares 7 2 9 3 2" xfId="40107"/>
    <cellStyle name="Separador de milhares 7 2 9 4" xfId="25926"/>
    <cellStyle name="Separador de milhares 7 2 9 4 2" xfId="40108"/>
    <cellStyle name="Separador de milhares 7 2 9 5" xfId="25927"/>
    <cellStyle name="Separador de milhares 7 2 9 5 2" xfId="40109"/>
    <cellStyle name="Separador de milhares 7 2 9 6" xfId="40105"/>
    <cellStyle name="Separador de milhares 7 20" xfId="25928"/>
    <cellStyle name="Separador de milhares 7 20 2" xfId="40110"/>
    <cellStyle name="Separador de milhares 7 21" xfId="25929"/>
    <cellStyle name="Separador de milhares 7 21 2" xfId="40111"/>
    <cellStyle name="Separador de milhares 7 22" xfId="25930"/>
    <cellStyle name="Separador de milhares 7 22 2" xfId="40112"/>
    <cellStyle name="Separador de milhares 7 23" xfId="25931"/>
    <cellStyle name="Separador de milhares 7 23 2" xfId="40113"/>
    <cellStyle name="Separador de milhares 7 24" xfId="25932"/>
    <cellStyle name="Separador de milhares 7 24 2" xfId="40114"/>
    <cellStyle name="Separador de milhares 7 25" xfId="39984"/>
    <cellStyle name="Separador de milhares 7 3" xfId="25933"/>
    <cellStyle name="Separador de milhares 7 3 2" xfId="25934"/>
    <cellStyle name="Separador de milhares 7 3 3" xfId="25935"/>
    <cellStyle name="Separador de milhares 7 3 3 2" xfId="40116"/>
    <cellStyle name="Separador de milhares 7 3 4" xfId="25936"/>
    <cellStyle name="Separador de milhares 7 3 4 2" xfId="40117"/>
    <cellStyle name="Separador de milhares 7 3 5" xfId="25937"/>
    <cellStyle name="Separador de milhares 7 3 5 2" xfId="40118"/>
    <cellStyle name="Separador de milhares 7 3 6" xfId="25938"/>
    <cellStyle name="Separador de milhares 7 3 6 2" xfId="40119"/>
    <cellStyle name="Separador de milhares 7 3 7" xfId="40115"/>
    <cellStyle name="Separador de milhares 7 4" xfId="25939"/>
    <cellStyle name="Separador de milhares 7 4 2" xfId="25940"/>
    <cellStyle name="Separador de milhares 7 4 3" xfId="25941"/>
    <cellStyle name="Separador de milhares 7 4 3 2" xfId="40121"/>
    <cellStyle name="Separador de milhares 7 4 4" xfId="25942"/>
    <cellStyle name="Separador de milhares 7 4 4 2" xfId="40122"/>
    <cellStyle name="Separador de milhares 7 4 5" xfId="25943"/>
    <cellStyle name="Separador de milhares 7 4 5 2" xfId="40123"/>
    <cellStyle name="Separador de milhares 7 4 6" xfId="25944"/>
    <cellStyle name="Separador de milhares 7 4 6 2" xfId="40124"/>
    <cellStyle name="Separador de milhares 7 4 7" xfId="40120"/>
    <cellStyle name="Separador de milhares 7 5" xfId="25945"/>
    <cellStyle name="Separador de milhares 7 5 2" xfId="25946"/>
    <cellStyle name="Separador de milhares 7 5 3" xfId="25947"/>
    <cellStyle name="Separador de milhares 7 5 3 2" xfId="40126"/>
    <cellStyle name="Separador de milhares 7 5 4" xfId="25948"/>
    <cellStyle name="Separador de milhares 7 5 4 2" xfId="40127"/>
    <cellStyle name="Separador de milhares 7 5 5" xfId="25949"/>
    <cellStyle name="Separador de milhares 7 5 5 2" xfId="40128"/>
    <cellStyle name="Separador de milhares 7 5 6" xfId="25950"/>
    <cellStyle name="Separador de milhares 7 5 6 2" xfId="40129"/>
    <cellStyle name="Separador de milhares 7 5 7" xfId="40125"/>
    <cellStyle name="Separador de milhares 7 6" xfId="25951"/>
    <cellStyle name="Separador de milhares 7 6 2" xfId="25952"/>
    <cellStyle name="Separador de milhares 7 6 2 2" xfId="40131"/>
    <cellStyle name="Separador de milhares 7 6 3" xfId="25953"/>
    <cellStyle name="Separador de milhares 7 6 3 2" xfId="40132"/>
    <cellStyle name="Separador de milhares 7 6 4" xfId="25954"/>
    <cellStyle name="Separador de milhares 7 6 4 2" xfId="40133"/>
    <cellStyle name="Separador de milhares 7 6 5" xfId="25955"/>
    <cellStyle name="Separador de milhares 7 6 5 2" xfId="40134"/>
    <cellStyle name="Separador de milhares 7 6 6" xfId="40130"/>
    <cellStyle name="Separador de milhares 7 7" xfId="25956"/>
    <cellStyle name="Separador de milhares 7 7 2" xfId="25957"/>
    <cellStyle name="Separador de milhares 7 7 2 2" xfId="40136"/>
    <cellStyle name="Separador de milhares 7 7 3" xfId="25958"/>
    <cellStyle name="Separador de milhares 7 7 3 2" xfId="40137"/>
    <cellStyle name="Separador de milhares 7 7 4" xfId="25959"/>
    <cellStyle name="Separador de milhares 7 7 4 2" xfId="40138"/>
    <cellStyle name="Separador de milhares 7 7 5" xfId="25960"/>
    <cellStyle name="Separador de milhares 7 7 5 2" xfId="40139"/>
    <cellStyle name="Separador de milhares 7 7 6" xfId="40135"/>
    <cellStyle name="Separador de milhares 7 8" xfId="25961"/>
    <cellStyle name="Separador de milhares 7 8 2" xfId="25962"/>
    <cellStyle name="Separador de milhares 7 8 2 2" xfId="40141"/>
    <cellStyle name="Separador de milhares 7 8 3" xfId="25963"/>
    <cellStyle name="Separador de milhares 7 8 3 2" xfId="40142"/>
    <cellStyle name="Separador de milhares 7 8 4" xfId="25964"/>
    <cellStyle name="Separador de milhares 7 8 4 2" xfId="40143"/>
    <cellStyle name="Separador de milhares 7 8 5" xfId="25965"/>
    <cellStyle name="Separador de milhares 7 8 5 2" xfId="40144"/>
    <cellStyle name="Separador de milhares 7 8 6" xfId="40140"/>
    <cellStyle name="Separador de milhares 7 9" xfId="25966"/>
    <cellStyle name="Separador de milhares 7 9 2" xfId="25967"/>
    <cellStyle name="Separador de milhares 7 9 2 2" xfId="40146"/>
    <cellStyle name="Separador de milhares 7 9 3" xfId="25968"/>
    <cellStyle name="Separador de milhares 7 9 3 2" xfId="40147"/>
    <cellStyle name="Separador de milhares 7 9 4" xfId="25969"/>
    <cellStyle name="Separador de milhares 7 9 4 2" xfId="40148"/>
    <cellStyle name="Separador de milhares 7 9 5" xfId="25970"/>
    <cellStyle name="Separador de milhares 7 9 5 2" xfId="40149"/>
    <cellStyle name="Separador de milhares 7 9 6" xfId="40145"/>
    <cellStyle name="Separador de milhares 8" xfId="25971"/>
    <cellStyle name="Separador de milhares 8 2" xfId="25972"/>
    <cellStyle name="Separador de milhares 9" xfId="25973"/>
    <cellStyle name="Separador de milhares 9 2" xfId="25974"/>
    <cellStyle name="Separador de milhares 9 3" xfId="25975"/>
    <cellStyle name="Texto de Aviso 10" xfId="25976"/>
    <cellStyle name="Texto de Aviso 10 2" xfId="40863"/>
    <cellStyle name="Texto de Aviso 100" xfId="25977"/>
    <cellStyle name="Texto de Aviso 101" xfId="25978"/>
    <cellStyle name="Texto de Aviso 102" xfId="25979"/>
    <cellStyle name="Texto de Aviso 103" xfId="25980"/>
    <cellStyle name="Texto de Aviso 104" xfId="25981"/>
    <cellStyle name="Texto de Aviso 105" xfId="25982"/>
    <cellStyle name="Texto de Aviso 106" xfId="25983"/>
    <cellStyle name="Texto de Aviso 107" xfId="25984"/>
    <cellStyle name="Texto de Aviso 108" xfId="25985"/>
    <cellStyle name="Texto de Aviso 109" xfId="25986"/>
    <cellStyle name="Texto de Aviso 11" xfId="25987"/>
    <cellStyle name="Texto de Aviso 11 2" xfId="40864"/>
    <cellStyle name="Texto de Aviso 110" xfId="25988"/>
    <cellStyle name="Texto de Aviso 111" xfId="25989"/>
    <cellStyle name="Texto de Aviso 112" xfId="25990"/>
    <cellStyle name="Texto de Aviso 113" xfId="25991"/>
    <cellStyle name="Texto de Aviso 114" xfId="25992"/>
    <cellStyle name="Texto de Aviso 115" xfId="25993"/>
    <cellStyle name="Texto de Aviso 116" xfId="25994"/>
    <cellStyle name="Texto de Aviso 117" xfId="25995"/>
    <cellStyle name="Texto de Aviso 118" xfId="25996"/>
    <cellStyle name="Texto de Aviso 119" xfId="25997"/>
    <cellStyle name="Texto de Aviso 12" xfId="25998"/>
    <cellStyle name="Texto de Aviso 12 2" xfId="40865"/>
    <cellStyle name="Texto de Aviso 120" xfId="25999"/>
    <cellStyle name="Texto de Aviso 121" xfId="26000"/>
    <cellStyle name="Texto de Aviso 122" xfId="26001"/>
    <cellStyle name="Texto de Aviso 123" xfId="26002"/>
    <cellStyle name="Texto de Aviso 124" xfId="26003"/>
    <cellStyle name="Texto de Aviso 125" xfId="26004"/>
    <cellStyle name="Texto de Aviso 126" xfId="26005"/>
    <cellStyle name="Texto de Aviso 127" xfId="26006"/>
    <cellStyle name="Texto de Aviso 128" xfId="26007"/>
    <cellStyle name="Texto de Aviso 129" xfId="26008"/>
    <cellStyle name="Texto de Aviso 13" xfId="26009"/>
    <cellStyle name="Texto de Aviso 13 2" xfId="40866"/>
    <cellStyle name="Texto de Aviso 130" xfId="26010"/>
    <cellStyle name="Texto de Aviso 131" xfId="26011"/>
    <cellStyle name="Texto de Aviso 132" xfId="26012"/>
    <cellStyle name="Texto de Aviso 133" xfId="26013"/>
    <cellStyle name="Texto de Aviso 134" xfId="26014"/>
    <cellStyle name="Texto de Aviso 135" xfId="26015"/>
    <cellStyle name="Texto de Aviso 136" xfId="26016"/>
    <cellStyle name="Texto de Aviso 137" xfId="26017"/>
    <cellStyle name="Texto de Aviso 138" xfId="26018"/>
    <cellStyle name="Texto de Aviso 139" xfId="26019"/>
    <cellStyle name="Texto de Aviso 14" xfId="26020"/>
    <cellStyle name="Texto de Aviso 140" xfId="26021"/>
    <cellStyle name="Texto de Aviso 141" xfId="26022"/>
    <cellStyle name="Texto de Aviso 142" xfId="26023"/>
    <cellStyle name="Texto de Aviso 143" xfId="26024"/>
    <cellStyle name="Texto de Aviso 144" xfId="26025"/>
    <cellStyle name="Texto de Aviso 145" xfId="26026"/>
    <cellStyle name="Texto de Aviso 146" xfId="26027"/>
    <cellStyle name="Texto de Aviso 147" xfId="26028"/>
    <cellStyle name="Texto de Aviso 148" xfId="26029"/>
    <cellStyle name="Texto de Aviso 149" xfId="26030"/>
    <cellStyle name="Texto de Aviso 15" xfId="26031"/>
    <cellStyle name="Texto de Aviso 15 2" xfId="26032"/>
    <cellStyle name="Texto de Aviso 15 3" xfId="26033"/>
    <cellStyle name="Texto de Aviso 150" xfId="26034"/>
    <cellStyle name="Texto de Aviso 151" xfId="26035"/>
    <cellStyle name="Texto de Aviso 152" xfId="26036"/>
    <cellStyle name="Texto de Aviso 153" xfId="26037"/>
    <cellStyle name="Texto de Aviso 154" xfId="26038"/>
    <cellStyle name="Texto de Aviso 155" xfId="26039"/>
    <cellStyle name="Texto de Aviso 156" xfId="26040"/>
    <cellStyle name="Texto de Aviso 157" xfId="26041"/>
    <cellStyle name="Texto de Aviso 158" xfId="26042"/>
    <cellStyle name="Texto de Aviso 159" xfId="26043"/>
    <cellStyle name="Texto de Aviso 16" xfId="26044"/>
    <cellStyle name="Texto de Aviso 16 2" xfId="26045"/>
    <cellStyle name="Texto de Aviso 16 3" xfId="26046"/>
    <cellStyle name="Texto de Aviso 160" xfId="26047"/>
    <cellStyle name="Texto de Aviso 161" xfId="26048"/>
    <cellStyle name="Texto de Aviso 162" xfId="26049"/>
    <cellStyle name="Texto de Aviso 163" xfId="26050"/>
    <cellStyle name="Texto de Aviso 164" xfId="26051"/>
    <cellStyle name="Texto de Aviso 165" xfId="26052"/>
    <cellStyle name="Texto de Aviso 166" xfId="26053"/>
    <cellStyle name="Texto de Aviso 167" xfId="26054"/>
    <cellStyle name="Texto de Aviso 168" xfId="26055"/>
    <cellStyle name="Texto de Aviso 169" xfId="26056"/>
    <cellStyle name="Texto de Aviso 17" xfId="26057"/>
    <cellStyle name="Texto de Aviso 17 2" xfId="26058"/>
    <cellStyle name="Texto de Aviso 17 3" xfId="26059"/>
    <cellStyle name="Texto de Aviso 170" xfId="26060"/>
    <cellStyle name="Texto de Aviso 171" xfId="26061"/>
    <cellStyle name="Texto de Aviso 172" xfId="26062"/>
    <cellStyle name="Texto de Aviso 173" xfId="26063"/>
    <cellStyle name="Texto de Aviso 174" xfId="26064"/>
    <cellStyle name="Texto de Aviso 175" xfId="26065"/>
    <cellStyle name="Texto de Aviso 176" xfId="26066"/>
    <cellStyle name="Texto de Aviso 177" xfId="26067"/>
    <cellStyle name="Texto de Aviso 178" xfId="26068"/>
    <cellStyle name="Texto de Aviso 179" xfId="26069"/>
    <cellStyle name="Texto de Aviso 18" xfId="26070"/>
    <cellStyle name="Texto de Aviso 18 2" xfId="26071"/>
    <cellStyle name="Texto de Aviso 18 3" xfId="26072"/>
    <cellStyle name="Texto de Aviso 180" xfId="26073"/>
    <cellStyle name="Texto de Aviso 181" xfId="26074"/>
    <cellStyle name="Texto de Aviso 182" xfId="26075"/>
    <cellStyle name="Texto de Aviso 183" xfId="26076"/>
    <cellStyle name="Texto de Aviso 184" xfId="26077"/>
    <cellStyle name="Texto de Aviso 185" xfId="26078"/>
    <cellStyle name="Texto de Aviso 186" xfId="26079"/>
    <cellStyle name="Texto de Aviso 187" xfId="26080"/>
    <cellStyle name="Texto de Aviso 188" xfId="26081"/>
    <cellStyle name="Texto de Aviso 189" xfId="26082"/>
    <cellStyle name="Texto de Aviso 19" xfId="26083"/>
    <cellStyle name="Texto de Aviso 19 2" xfId="26084"/>
    <cellStyle name="Texto de Aviso 19 3" xfId="26085"/>
    <cellStyle name="Texto de Aviso 190" xfId="26086"/>
    <cellStyle name="Texto de Aviso 2" xfId="26087"/>
    <cellStyle name="Texto de Aviso 2 10" xfId="26088"/>
    <cellStyle name="Texto de Aviso 2 11" xfId="26089"/>
    <cellStyle name="Texto de Aviso 2 12" xfId="26090"/>
    <cellStyle name="Texto de Aviso 2 13" xfId="26091"/>
    <cellStyle name="Texto de Aviso 2 14" xfId="26092"/>
    <cellStyle name="Texto de Aviso 2 15" xfId="26093"/>
    <cellStyle name="Texto de Aviso 2 16" xfId="26094"/>
    <cellStyle name="Texto de Aviso 2 17" xfId="26095"/>
    <cellStyle name="Texto de Aviso 2 18" xfId="26096"/>
    <cellStyle name="Texto de Aviso 2 19" xfId="26097"/>
    <cellStyle name="Texto de Aviso 2 2" xfId="26098"/>
    <cellStyle name="Texto de Aviso 2 20" xfId="26099"/>
    <cellStyle name="Texto de Aviso 2 21" xfId="26100"/>
    <cellStyle name="Texto de Aviso 2 22" xfId="26101"/>
    <cellStyle name="Texto de Aviso 2 23" xfId="26102"/>
    <cellStyle name="Texto de Aviso 2 24" xfId="26103"/>
    <cellStyle name="Texto de Aviso 2 25" xfId="26104"/>
    <cellStyle name="Texto de Aviso 2 26" xfId="26105"/>
    <cellStyle name="Texto de Aviso 2 27" xfId="26106"/>
    <cellStyle name="Texto de Aviso 2 28" xfId="26107"/>
    <cellStyle name="Texto de Aviso 2 29" xfId="26108"/>
    <cellStyle name="Texto de Aviso 2 3" xfId="26109"/>
    <cellStyle name="Texto de Aviso 2 30" xfId="26110"/>
    <cellStyle name="Texto de Aviso 2 31" xfId="26111"/>
    <cellStyle name="Texto de Aviso 2 32" xfId="26112"/>
    <cellStyle name="Texto de Aviso 2 33" xfId="26113"/>
    <cellStyle name="Texto de Aviso 2 34" xfId="26114"/>
    <cellStyle name="Texto de Aviso 2 35" xfId="26115"/>
    <cellStyle name="Texto de Aviso 2 4" xfId="26116"/>
    <cellStyle name="Texto de Aviso 2 5" xfId="26117"/>
    <cellStyle name="Texto de Aviso 2 6" xfId="26118"/>
    <cellStyle name="Texto de Aviso 2 7" xfId="26119"/>
    <cellStyle name="Texto de Aviso 2 8" xfId="26120"/>
    <cellStyle name="Texto de Aviso 2 9" xfId="26121"/>
    <cellStyle name="Texto de Aviso 20" xfId="26122"/>
    <cellStyle name="Texto de Aviso 20 2" xfId="26123"/>
    <cellStyle name="Texto de Aviso 20 3" xfId="26124"/>
    <cellStyle name="Texto de Aviso 21" xfId="26125"/>
    <cellStyle name="Texto de Aviso 22" xfId="26126"/>
    <cellStyle name="Texto de Aviso 23" xfId="26127"/>
    <cellStyle name="Texto de Aviso 24" xfId="26128"/>
    <cellStyle name="Texto de Aviso 25" xfId="26129"/>
    <cellStyle name="Texto de Aviso 26" xfId="26130"/>
    <cellStyle name="Texto de Aviso 27" xfId="26131"/>
    <cellStyle name="Texto de Aviso 28" xfId="26132"/>
    <cellStyle name="Texto de Aviso 29" xfId="26133"/>
    <cellStyle name="Texto de Aviso 3" xfId="26134"/>
    <cellStyle name="Texto de Aviso 3 2" xfId="26135"/>
    <cellStyle name="Texto de Aviso 3 3" xfId="26136"/>
    <cellStyle name="Texto de Aviso 3 4" xfId="26137"/>
    <cellStyle name="Texto de Aviso 3 5" xfId="26138"/>
    <cellStyle name="Texto de Aviso 3 6" xfId="26139"/>
    <cellStyle name="Texto de Aviso 3 7" xfId="26140"/>
    <cellStyle name="Texto de Aviso 30" xfId="26141"/>
    <cellStyle name="Texto de Aviso 31" xfId="26142"/>
    <cellStyle name="Texto de Aviso 32" xfId="26143"/>
    <cellStyle name="Texto de Aviso 33" xfId="26144"/>
    <cellStyle name="Texto de Aviso 34" xfId="26145"/>
    <cellStyle name="Texto de Aviso 35" xfId="26146"/>
    <cellStyle name="Texto de Aviso 36" xfId="26147"/>
    <cellStyle name="Texto de Aviso 37" xfId="26148"/>
    <cellStyle name="Texto de Aviso 38" xfId="26149"/>
    <cellStyle name="Texto de Aviso 39" xfId="26150"/>
    <cellStyle name="Texto de Aviso 4" xfId="26151"/>
    <cellStyle name="Texto de Aviso 4 2" xfId="26152"/>
    <cellStyle name="Texto de Aviso 4 3" xfId="26153"/>
    <cellStyle name="Texto de Aviso 4 4" xfId="26154"/>
    <cellStyle name="Texto de Aviso 4 5" xfId="26155"/>
    <cellStyle name="Texto de Aviso 4 6" xfId="26156"/>
    <cellStyle name="Texto de Aviso 4 7" xfId="26157"/>
    <cellStyle name="Texto de Aviso 40" xfId="26158"/>
    <cellStyle name="Texto de Aviso 41" xfId="26159"/>
    <cellStyle name="Texto de Aviso 42" xfId="26160"/>
    <cellStyle name="Texto de Aviso 43" xfId="26161"/>
    <cellStyle name="Texto de Aviso 44" xfId="26162"/>
    <cellStyle name="Texto de Aviso 45" xfId="26163"/>
    <cellStyle name="Texto de Aviso 46" xfId="26164"/>
    <cellStyle name="Texto de Aviso 47" xfId="26165"/>
    <cellStyle name="Texto de Aviso 48" xfId="26166"/>
    <cellStyle name="Texto de Aviso 49" xfId="26167"/>
    <cellStyle name="Texto de Aviso 5" xfId="26168"/>
    <cellStyle name="Texto de Aviso 5 2" xfId="26169"/>
    <cellStyle name="Texto de Aviso 5 3" xfId="26170"/>
    <cellStyle name="Texto de Aviso 5 4" xfId="26171"/>
    <cellStyle name="Texto de Aviso 50" xfId="26172"/>
    <cellStyle name="Texto de Aviso 51" xfId="26173"/>
    <cellStyle name="Texto de Aviso 52" xfId="26174"/>
    <cellStyle name="Texto de Aviso 53" xfId="26175"/>
    <cellStyle name="Texto de Aviso 54" xfId="26176"/>
    <cellStyle name="Texto de Aviso 55" xfId="26177"/>
    <cellStyle name="Texto de Aviso 56" xfId="26178"/>
    <cellStyle name="Texto de Aviso 57" xfId="26179"/>
    <cellStyle name="Texto de Aviso 58" xfId="26180"/>
    <cellStyle name="Texto de Aviso 59" xfId="26181"/>
    <cellStyle name="Texto de Aviso 6" xfId="26182"/>
    <cellStyle name="Texto de Aviso 6 2" xfId="26183"/>
    <cellStyle name="Texto de Aviso 6 3" xfId="26184"/>
    <cellStyle name="Texto de Aviso 6 4" xfId="26185"/>
    <cellStyle name="Texto de Aviso 60" xfId="26186"/>
    <cellStyle name="Texto de Aviso 61" xfId="26187"/>
    <cellStyle name="Texto de Aviso 62" xfId="26188"/>
    <cellStyle name="Texto de Aviso 63" xfId="26189"/>
    <cellStyle name="Texto de Aviso 64" xfId="26190"/>
    <cellStyle name="Texto de Aviso 65" xfId="26191"/>
    <cellStyle name="Texto de Aviso 66" xfId="26192"/>
    <cellStyle name="Texto de Aviso 67" xfId="26193"/>
    <cellStyle name="Texto de Aviso 68" xfId="26194"/>
    <cellStyle name="Texto de Aviso 69" xfId="26195"/>
    <cellStyle name="Texto de Aviso 7" xfId="26196"/>
    <cellStyle name="Texto de Aviso 7 2" xfId="26197"/>
    <cellStyle name="Texto de Aviso 7 3" xfId="26198"/>
    <cellStyle name="Texto de Aviso 7 4" xfId="26199"/>
    <cellStyle name="Texto de Aviso 70" xfId="26200"/>
    <cellStyle name="Texto de Aviso 71" xfId="26201"/>
    <cellStyle name="Texto de Aviso 72" xfId="26202"/>
    <cellStyle name="Texto de Aviso 73" xfId="26203"/>
    <cellStyle name="Texto de Aviso 74" xfId="26204"/>
    <cellStyle name="Texto de Aviso 75" xfId="26205"/>
    <cellStyle name="Texto de Aviso 76" xfId="26206"/>
    <cellStyle name="Texto de Aviso 77" xfId="26207"/>
    <cellStyle name="Texto de Aviso 78" xfId="26208"/>
    <cellStyle name="Texto de Aviso 79" xfId="26209"/>
    <cellStyle name="Texto de Aviso 8" xfId="26210"/>
    <cellStyle name="Texto de Aviso 8 2" xfId="26211"/>
    <cellStyle name="Texto de Aviso 8 3" xfId="26212"/>
    <cellStyle name="Texto de Aviso 8 4" xfId="26213"/>
    <cellStyle name="Texto de Aviso 80" xfId="26214"/>
    <cellStyle name="Texto de Aviso 81" xfId="26215"/>
    <cellStyle name="Texto de Aviso 82" xfId="26216"/>
    <cellStyle name="Texto de Aviso 83" xfId="26217"/>
    <cellStyle name="Texto de Aviso 84" xfId="26218"/>
    <cellStyle name="Texto de Aviso 85" xfId="26219"/>
    <cellStyle name="Texto de Aviso 86" xfId="26220"/>
    <cellStyle name="Texto de Aviso 87" xfId="26221"/>
    <cellStyle name="Texto de Aviso 88" xfId="26222"/>
    <cellStyle name="Texto de Aviso 89" xfId="26223"/>
    <cellStyle name="Texto de Aviso 9" xfId="26224"/>
    <cellStyle name="Texto de Aviso 90" xfId="26225"/>
    <cellStyle name="Texto de Aviso 91" xfId="26226"/>
    <cellStyle name="Texto de Aviso 92" xfId="26227"/>
    <cellStyle name="Texto de Aviso 93" xfId="26228"/>
    <cellStyle name="Texto de Aviso 94" xfId="26229"/>
    <cellStyle name="Texto de Aviso 95" xfId="26230"/>
    <cellStyle name="Texto de Aviso 96" xfId="26231"/>
    <cellStyle name="Texto de Aviso 97" xfId="26232"/>
    <cellStyle name="Texto de Aviso 98" xfId="26233"/>
    <cellStyle name="Texto de Aviso 99" xfId="26234"/>
    <cellStyle name="Texto Explicativo 10" xfId="26235"/>
    <cellStyle name="Texto Explicativo 10 2" xfId="40867"/>
    <cellStyle name="Texto Explicativo 100" xfId="26236"/>
    <cellStyle name="Texto Explicativo 101" xfId="26237"/>
    <cellStyle name="Texto Explicativo 102" xfId="26238"/>
    <cellStyle name="Texto Explicativo 103" xfId="26239"/>
    <cellStyle name="Texto Explicativo 104" xfId="26240"/>
    <cellStyle name="Texto Explicativo 105" xfId="26241"/>
    <cellStyle name="Texto Explicativo 106" xfId="26242"/>
    <cellStyle name="Texto Explicativo 107" xfId="26243"/>
    <cellStyle name="Texto Explicativo 108" xfId="26244"/>
    <cellStyle name="Texto Explicativo 109" xfId="26245"/>
    <cellStyle name="Texto Explicativo 11" xfId="26246"/>
    <cellStyle name="Texto Explicativo 11 2" xfId="40868"/>
    <cellStyle name="Texto Explicativo 110" xfId="26247"/>
    <cellStyle name="Texto Explicativo 111" xfId="26248"/>
    <cellStyle name="Texto Explicativo 112" xfId="26249"/>
    <cellStyle name="Texto Explicativo 113" xfId="26250"/>
    <cellStyle name="Texto Explicativo 114" xfId="26251"/>
    <cellStyle name="Texto Explicativo 115" xfId="26252"/>
    <cellStyle name="Texto Explicativo 116" xfId="26253"/>
    <cellStyle name="Texto Explicativo 117" xfId="26254"/>
    <cellStyle name="Texto Explicativo 118" xfId="26255"/>
    <cellStyle name="Texto Explicativo 119" xfId="26256"/>
    <cellStyle name="Texto Explicativo 12" xfId="26257"/>
    <cellStyle name="Texto Explicativo 12 2" xfId="40869"/>
    <cellStyle name="Texto Explicativo 120" xfId="26258"/>
    <cellStyle name="Texto Explicativo 121" xfId="26259"/>
    <cellStyle name="Texto Explicativo 122" xfId="26260"/>
    <cellStyle name="Texto Explicativo 123" xfId="26261"/>
    <cellStyle name="Texto Explicativo 124" xfId="26262"/>
    <cellStyle name="Texto Explicativo 125" xfId="26263"/>
    <cellStyle name="Texto Explicativo 126" xfId="26264"/>
    <cellStyle name="Texto Explicativo 127" xfId="26265"/>
    <cellStyle name="Texto Explicativo 128" xfId="26266"/>
    <cellStyle name="Texto Explicativo 129" xfId="26267"/>
    <cellStyle name="Texto Explicativo 13" xfId="26268"/>
    <cellStyle name="Texto Explicativo 13 2" xfId="40870"/>
    <cellStyle name="Texto Explicativo 130" xfId="26269"/>
    <cellStyle name="Texto Explicativo 131" xfId="26270"/>
    <cellStyle name="Texto Explicativo 132" xfId="26271"/>
    <cellStyle name="Texto Explicativo 133" xfId="26272"/>
    <cellStyle name="Texto Explicativo 134" xfId="26273"/>
    <cellStyle name="Texto Explicativo 135" xfId="26274"/>
    <cellStyle name="Texto Explicativo 136" xfId="26275"/>
    <cellStyle name="Texto Explicativo 137" xfId="26276"/>
    <cellStyle name="Texto Explicativo 138" xfId="26277"/>
    <cellStyle name="Texto Explicativo 139" xfId="26278"/>
    <cellStyle name="Texto Explicativo 14" xfId="26279"/>
    <cellStyle name="Texto Explicativo 140" xfId="26280"/>
    <cellStyle name="Texto Explicativo 141" xfId="26281"/>
    <cellStyle name="Texto Explicativo 142" xfId="26282"/>
    <cellStyle name="Texto Explicativo 143" xfId="26283"/>
    <cellStyle name="Texto Explicativo 144" xfId="26284"/>
    <cellStyle name="Texto Explicativo 145" xfId="26285"/>
    <cellStyle name="Texto Explicativo 146" xfId="26286"/>
    <cellStyle name="Texto Explicativo 147" xfId="26287"/>
    <cellStyle name="Texto Explicativo 148" xfId="26288"/>
    <cellStyle name="Texto Explicativo 149" xfId="26289"/>
    <cellStyle name="Texto Explicativo 15" xfId="26290"/>
    <cellStyle name="Texto Explicativo 15 2" xfId="26291"/>
    <cellStyle name="Texto Explicativo 15 3" xfId="26292"/>
    <cellStyle name="Texto Explicativo 150" xfId="26293"/>
    <cellStyle name="Texto Explicativo 151" xfId="26294"/>
    <cellStyle name="Texto Explicativo 152" xfId="26295"/>
    <cellStyle name="Texto Explicativo 153" xfId="26296"/>
    <cellStyle name="Texto Explicativo 154" xfId="26297"/>
    <cellStyle name="Texto Explicativo 155" xfId="26298"/>
    <cellStyle name="Texto Explicativo 156" xfId="26299"/>
    <cellStyle name="Texto Explicativo 157" xfId="26300"/>
    <cellStyle name="Texto Explicativo 158" xfId="26301"/>
    <cellStyle name="Texto Explicativo 159" xfId="26302"/>
    <cellStyle name="Texto Explicativo 16" xfId="26303"/>
    <cellStyle name="Texto Explicativo 16 2" xfId="26304"/>
    <cellStyle name="Texto Explicativo 16 3" xfId="26305"/>
    <cellStyle name="Texto Explicativo 160" xfId="26306"/>
    <cellStyle name="Texto Explicativo 161" xfId="26307"/>
    <cellStyle name="Texto Explicativo 162" xfId="26308"/>
    <cellStyle name="Texto Explicativo 163" xfId="26309"/>
    <cellStyle name="Texto Explicativo 164" xfId="26310"/>
    <cellStyle name="Texto Explicativo 165" xfId="26311"/>
    <cellStyle name="Texto Explicativo 166" xfId="26312"/>
    <cellStyle name="Texto Explicativo 167" xfId="26313"/>
    <cellStyle name="Texto Explicativo 168" xfId="26314"/>
    <cellStyle name="Texto Explicativo 169" xfId="26315"/>
    <cellStyle name="Texto Explicativo 17" xfId="26316"/>
    <cellStyle name="Texto Explicativo 17 2" xfId="26317"/>
    <cellStyle name="Texto Explicativo 17 3" xfId="26318"/>
    <cellStyle name="Texto Explicativo 170" xfId="26319"/>
    <cellStyle name="Texto Explicativo 171" xfId="26320"/>
    <cellStyle name="Texto Explicativo 172" xfId="26321"/>
    <cellStyle name="Texto Explicativo 173" xfId="26322"/>
    <cellStyle name="Texto Explicativo 174" xfId="26323"/>
    <cellStyle name="Texto Explicativo 175" xfId="26324"/>
    <cellStyle name="Texto Explicativo 176" xfId="26325"/>
    <cellStyle name="Texto Explicativo 177" xfId="26326"/>
    <cellStyle name="Texto Explicativo 178" xfId="26327"/>
    <cellStyle name="Texto Explicativo 179" xfId="26328"/>
    <cellStyle name="Texto Explicativo 18" xfId="26329"/>
    <cellStyle name="Texto Explicativo 18 2" xfId="26330"/>
    <cellStyle name="Texto Explicativo 18 3" xfId="26331"/>
    <cellStyle name="Texto Explicativo 180" xfId="26332"/>
    <cellStyle name="Texto Explicativo 181" xfId="26333"/>
    <cellStyle name="Texto Explicativo 182" xfId="26334"/>
    <cellStyle name="Texto Explicativo 183" xfId="26335"/>
    <cellStyle name="Texto Explicativo 184" xfId="26336"/>
    <cellStyle name="Texto Explicativo 185" xfId="26337"/>
    <cellStyle name="Texto Explicativo 186" xfId="26338"/>
    <cellStyle name="Texto Explicativo 187" xfId="26339"/>
    <cellStyle name="Texto Explicativo 188" xfId="26340"/>
    <cellStyle name="Texto Explicativo 189" xfId="26341"/>
    <cellStyle name="Texto Explicativo 19" xfId="26342"/>
    <cellStyle name="Texto Explicativo 19 2" xfId="26343"/>
    <cellStyle name="Texto Explicativo 19 3" xfId="26344"/>
    <cellStyle name="Texto Explicativo 190" xfId="26345"/>
    <cellStyle name="Texto Explicativo 2" xfId="26346"/>
    <cellStyle name="Texto Explicativo 2 10" xfId="26347"/>
    <cellStyle name="Texto Explicativo 2 11" xfId="26348"/>
    <cellStyle name="Texto Explicativo 2 12" xfId="26349"/>
    <cellStyle name="Texto Explicativo 2 13" xfId="26350"/>
    <cellStyle name="Texto Explicativo 2 14" xfId="26351"/>
    <cellStyle name="Texto Explicativo 2 15" xfId="26352"/>
    <cellStyle name="Texto Explicativo 2 16" xfId="26353"/>
    <cellStyle name="Texto Explicativo 2 17" xfId="26354"/>
    <cellStyle name="Texto Explicativo 2 18" xfId="26355"/>
    <cellStyle name="Texto Explicativo 2 19" xfId="26356"/>
    <cellStyle name="Texto Explicativo 2 2" xfId="26357"/>
    <cellStyle name="Texto Explicativo 2 20" xfId="26358"/>
    <cellStyle name="Texto Explicativo 2 21" xfId="26359"/>
    <cellStyle name="Texto Explicativo 2 22" xfId="26360"/>
    <cellStyle name="Texto Explicativo 2 23" xfId="26361"/>
    <cellStyle name="Texto Explicativo 2 24" xfId="26362"/>
    <cellStyle name="Texto Explicativo 2 25" xfId="26363"/>
    <cellStyle name="Texto Explicativo 2 26" xfId="26364"/>
    <cellStyle name="Texto Explicativo 2 27" xfId="26365"/>
    <cellStyle name="Texto Explicativo 2 28" xfId="26366"/>
    <cellStyle name="Texto Explicativo 2 29" xfId="26367"/>
    <cellStyle name="Texto Explicativo 2 3" xfId="26368"/>
    <cellStyle name="Texto Explicativo 2 30" xfId="26369"/>
    <cellStyle name="Texto Explicativo 2 31" xfId="26370"/>
    <cellStyle name="Texto Explicativo 2 32" xfId="26371"/>
    <cellStyle name="Texto Explicativo 2 33" xfId="26372"/>
    <cellStyle name="Texto Explicativo 2 34" xfId="26373"/>
    <cellStyle name="Texto Explicativo 2 35" xfId="26374"/>
    <cellStyle name="Texto Explicativo 2 4" xfId="26375"/>
    <cellStyle name="Texto Explicativo 2 5" xfId="26376"/>
    <cellStyle name="Texto Explicativo 2 6" xfId="26377"/>
    <cellStyle name="Texto Explicativo 2 7" xfId="26378"/>
    <cellStyle name="Texto Explicativo 2 8" xfId="26379"/>
    <cellStyle name="Texto Explicativo 2 9" xfId="26380"/>
    <cellStyle name="Texto Explicativo 20" xfId="26381"/>
    <cellStyle name="Texto Explicativo 20 2" xfId="26382"/>
    <cellStyle name="Texto Explicativo 20 3" xfId="26383"/>
    <cellStyle name="Texto Explicativo 21" xfId="26384"/>
    <cellStyle name="Texto Explicativo 22" xfId="26385"/>
    <cellStyle name="Texto Explicativo 23" xfId="26386"/>
    <cellStyle name="Texto Explicativo 24" xfId="26387"/>
    <cellStyle name="Texto Explicativo 25" xfId="26388"/>
    <cellStyle name="Texto Explicativo 26" xfId="26389"/>
    <cellStyle name="Texto Explicativo 27" xfId="26390"/>
    <cellStyle name="Texto Explicativo 28" xfId="26391"/>
    <cellStyle name="Texto Explicativo 29" xfId="26392"/>
    <cellStyle name="Texto Explicativo 3" xfId="26393"/>
    <cellStyle name="Texto Explicativo 3 2" xfId="26394"/>
    <cellStyle name="Texto Explicativo 3 3" xfId="26395"/>
    <cellStyle name="Texto Explicativo 3 4" xfId="26396"/>
    <cellStyle name="Texto Explicativo 3 5" xfId="26397"/>
    <cellStyle name="Texto Explicativo 3 6" xfId="26398"/>
    <cellStyle name="Texto Explicativo 3 7" xfId="26399"/>
    <cellStyle name="Texto Explicativo 30" xfId="26400"/>
    <cellStyle name="Texto Explicativo 31" xfId="26401"/>
    <cellStyle name="Texto Explicativo 32" xfId="26402"/>
    <cellStyle name="Texto Explicativo 33" xfId="26403"/>
    <cellStyle name="Texto Explicativo 34" xfId="26404"/>
    <cellStyle name="Texto Explicativo 35" xfId="26405"/>
    <cellStyle name="Texto Explicativo 36" xfId="26406"/>
    <cellStyle name="Texto Explicativo 37" xfId="26407"/>
    <cellStyle name="Texto Explicativo 38" xfId="26408"/>
    <cellStyle name="Texto Explicativo 39" xfId="26409"/>
    <cellStyle name="Texto Explicativo 4" xfId="26410"/>
    <cellStyle name="Texto Explicativo 4 2" xfId="26411"/>
    <cellStyle name="Texto Explicativo 4 3" xfId="26412"/>
    <cellStyle name="Texto Explicativo 4 4" xfId="26413"/>
    <cellStyle name="Texto Explicativo 4 5" xfId="26414"/>
    <cellStyle name="Texto Explicativo 4 6" xfId="26415"/>
    <cellStyle name="Texto Explicativo 4 7" xfId="26416"/>
    <cellStyle name="Texto Explicativo 40" xfId="26417"/>
    <cellStyle name="Texto Explicativo 41" xfId="26418"/>
    <cellStyle name="Texto Explicativo 42" xfId="26419"/>
    <cellStyle name="Texto Explicativo 43" xfId="26420"/>
    <cellStyle name="Texto Explicativo 44" xfId="26421"/>
    <cellStyle name="Texto Explicativo 45" xfId="26422"/>
    <cellStyle name="Texto Explicativo 46" xfId="26423"/>
    <cellStyle name="Texto Explicativo 47" xfId="26424"/>
    <cellStyle name="Texto Explicativo 48" xfId="26425"/>
    <cellStyle name="Texto Explicativo 49" xfId="26426"/>
    <cellStyle name="Texto Explicativo 5" xfId="26427"/>
    <cellStyle name="Texto Explicativo 5 2" xfId="26428"/>
    <cellStyle name="Texto Explicativo 5 3" xfId="26429"/>
    <cellStyle name="Texto Explicativo 5 4" xfId="26430"/>
    <cellStyle name="Texto Explicativo 50" xfId="26431"/>
    <cellStyle name="Texto Explicativo 51" xfId="26432"/>
    <cellStyle name="Texto Explicativo 52" xfId="26433"/>
    <cellStyle name="Texto Explicativo 53" xfId="26434"/>
    <cellStyle name="Texto Explicativo 54" xfId="26435"/>
    <cellStyle name="Texto Explicativo 55" xfId="26436"/>
    <cellStyle name="Texto Explicativo 56" xfId="26437"/>
    <cellStyle name="Texto Explicativo 57" xfId="26438"/>
    <cellStyle name="Texto Explicativo 58" xfId="26439"/>
    <cellStyle name="Texto Explicativo 59" xfId="26440"/>
    <cellStyle name="Texto Explicativo 6" xfId="26441"/>
    <cellStyle name="Texto Explicativo 6 2" xfId="26442"/>
    <cellStyle name="Texto Explicativo 6 3" xfId="26443"/>
    <cellStyle name="Texto Explicativo 6 4" xfId="26444"/>
    <cellStyle name="Texto Explicativo 60" xfId="26445"/>
    <cellStyle name="Texto Explicativo 61" xfId="26446"/>
    <cellStyle name="Texto Explicativo 62" xfId="26447"/>
    <cellStyle name="Texto Explicativo 63" xfId="26448"/>
    <cellStyle name="Texto Explicativo 64" xfId="26449"/>
    <cellStyle name="Texto Explicativo 65" xfId="26450"/>
    <cellStyle name="Texto Explicativo 66" xfId="26451"/>
    <cellStyle name="Texto Explicativo 67" xfId="26452"/>
    <cellStyle name="Texto Explicativo 68" xfId="26453"/>
    <cellStyle name="Texto Explicativo 69" xfId="26454"/>
    <cellStyle name="Texto Explicativo 7" xfId="26455"/>
    <cellStyle name="Texto Explicativo 7 2" xfId="26456"/>
    <cellStyle name="Texto Explicativo 7 3" xfId="26457"/>
    <cellStyle name="Texto Explicativo 7 4" xfId="26458"/>
    <cellStyle name="Texto Explicativo 70" xfId="26459"/>
    <cellStyle name="Texto Explicativo 71" xfId="26460"/>
    <cellStyle name="Texto Explicativo 72" xfId="26461"/>
    <cellStyle name="Texto Explicativo 73" xfId="26462"/>
    <cellStyle name="Texto Explicativo 74" xfId="26463"/>
    <cellStyle name="Texto Explicativo 75" xfId="26464"/>
    <cellStyle name="Texto Explicativo 76" xfId="26465"/>
    <cellStyle name="Texto Explicativo 77" xfId="26466"/>
    <cellStyle name="Texto Explicativo 78" xfId="26467"/>
    <cellStyle name="Texto Explicativo 79" xfId="26468"/>
    <cellStyle name="Texto Explicativo 8" xfId="26469"/>
    <cellStyle name="Texto Explicativo 8 2" xfId="26470"/>
    <cellStyle name="Texto Explicativo 8 3" xfId="26471"/>
    <cellStyle name="Texto Explicativo 8 4" xfId="26472"/>
    <cellStyle name="Texto Explicativo 80" xfId="26473"/>
    <cellStyle name="Texto Explicativo 81" xfId="26474"/>
    <cellStyle name="Texto Explicativo 82" xfId="26475"/>
    <cellStyle name="Texto Explicativo 83" xfId="26476"/>
    <cellStyle name="Texto Explicativo 84" xfId="26477"/>
    <cellStyle name="Texto Explicativo 85" xfId="26478"/>
    <cellStyle name="Texto Explicativo 86" xfId="26479"/>
    <cellStyle name="Texto Explicativo 87" xfId="26480"/>
    <cellStyle name="Texto Explicativo 88" xfId="26481"/>
    <cellStyle name="Texto Explicativo 89" xfId="26482"/>
    <cellStyle name="Texto Explicativo 9" xfId="26483"/>
    <cellStyle name="Texto Explicativo 90" xfId="26484"/>
    <cellStyle name="Texto Explicativo 91" xfId="26485"/>
    <cellStyle name="Texto Explicativo 92" xfId="26486"/>
    <cellStyle name="Texto Explicativo 93" xfId="26487"/>
    <cellStyle name="Texto Explicativo 94" xfId="26488"/>
    <cellStyle name="Texto Explicativo 95" xfId="26489"/>
    <cellStyle name="Texto Explicativo 96" xfId="26490"/>
    <cellStyle name="Texto Explicativo 97" xfId="26491"/>
    <cellStyle name="Texto Explicativo 98" xfId="26492"/>
    <cellStyle name="Texto Explicativo 99" xfId="26493"/>
    <cellStyle name="Título 1 10" xfId="26494"/>
    <cellStyle name="Título 1 10 2" xfId="40871"/>
    <cellStyle name="Título 1 100" xfId="26495"/>
    <cellStyle name="Título 1 101" xfId="26496"/>
    <cellStyle name="Título 1 102" xfId="26497"/>
    <cellStyle name="Título 1 103" xfId="26498"/>
    <cellStyle name="Título 1 104" xfId="26499"/>
    <cellStyle name="Título 1 105" xfId="26500"/>
    <cellStyle name="Título 1 106" xfId="26501"/>
    <cellStyle name="Título 1 107" xfId="26502"/>
    <cellStyle name="Título 1 108" xfId="26503"/>
    <cellStyle name="Título 1 109" xfId="26504"/>
    <cellStyle name="Título 1 11" xfId="26505"/>
    <cellStyle name="Título 1 11 2" xfId="40872"/>
    <cellStyle name="Título 1 110" xfId="26506"/>
    <cellStyle name="Título 1 111" xfId="26507"/>
    <cellStyle name="Título 1 112" xfId="26508"/>
    <cellStyle name="Título 1 113" xfId="26509"/>
    <cellStyle name="Título 1 114" xfId="26510"/>
    <cellStyle name="Título 1 115" xfId="26511"/>
    <cellStyle name="Título 1 116" xfId="26512"/>
    <cellStyle name="Título 1 117" xfId="26513"/>
    <cellStyle name="Título 1 118" xfId="26514"/>
    <cellStyle name="Título 1 119" xfId="26515"/>
    <cellStyle name="Título 1 12" xfId="26516"/>
    <cellStyle name="Título 1 12 2" xfId="40873"/>
    <cellStyle name="Título 1 120" xfId="26517"/>
    <cellStyle name="Título 1 121" xfId="26518"/>
    <cellStyle name="Título 1 122" xfId="26519"/>
    <cellStyle name="Título 1 123" xfId="26520"/>
    <cellStyle name="Título 1 124" xfId="26521"/>
    <cellStyle name="Título 1 125" xfId="26522"/>
    <cellStyle name="Título 1 126" xfId="26523"/>
    <cellStyle name="Título 1 127" xfId="26524"/>
    <cellStyle name="Título 1 128" xfId="26525"/>
    <cellStyle name="Título 1 129" xfId="26526"/>
    <cellStyle name="Título 1 13" xfId="26527"/>
    <cellStyle name="Título 1 13 2" xfId="40874"/>
    <cellStyle name="Título 1 130" xfId="26528"/>
    <cellStyle name="Título 1 131" xfId="26529"/>
    <cellStyle name="Título 1 132" xfId="26530"/>
    <cellStyle name="Título 1 133" xfId="26531"/>
    <cellStyle name="Título 1 134" xfId="26532"/>
    <cellStyle name="Título 1 135" xfId="26533"/>
    <cellStyle name="Título 1 136" xfId="26534"/>
    <cellStyle name="Título 1 137" xfId="26535"/>
    <cellStyle name="Título 1 138" xfId="26536"/>
    <cellStyle name="Título 1 139" xfId="26537"/>
    <cellStyle name="Título 1 14" xfId="26538"/>
    <cellStyle name="Título 1 140" xfId="26539"/>
    <cellStyle name="Título 1 141" xfId="26540"/>
    <cellStyle name="Título 1 142" xfId="26541"/>
    <cellStyle name="Título 1 143" xfId="26542"/>
    <cellStyle name="Título 1 144" xfId="26543"/>
    <cellStyle name="Título 1 145" xfId="26544"/>
    <cellStyle name="Título 1 146" xfId="26545"/>
    <cellStyle name="Título 1 147" xfId="26546"/>
    <cellStyle name="Título 1 148" xfId="26547"/>
    <cellStyle name="Título 1 149" xfId="26548"/>
    <cellStyle name="Título 1 15" xfId="26549"/>
    <cellStyle name="Título 1 15 2" xfId="26550"/>
    <cellStyle name="Título 1 15 3" xfId="26551"/>
    <cellStyle name="Título 1 150" xfId="26552"/>
    <cellStyle name="Título 1 151" xfId="26553"/>
    <cellStyle name="Título 1 152" xfId="26554"/>
    <cellStyle name="Título 1 153" xfId="26555"/>
    <cellStyle name="Título 1 154" xfId="26556"/>
    <cellStyle name="Título 1 155" xfId="26557"/>
    <cellStyle name="Título 1 156" xfId="26558"/>
    <cellStyle name="Título 1 157" xfId="26559"/>
    <cellStyle name="Título 1 158" xfId="26560"/>
    <cellStyle name="Título 1 159" xfId="26561"/>
    <cellStyle name="Título 1 16" xfId="26562"/>
    <cellStyle name="Título 1 16 2" xfId="26563"/>
    <cellStyle name="Título 1 16 3" xfId="26564"/>
    <cellStyle name="Título 1 160" xfId="26565"/>
    <cellStyle name="Título 1 161" xfId="26566"/>
    <cellStyle name="Título 1 162" xfId="26567"/>
    <cellStyle name="Título 1 163" xfId="26568"/>
    <cellStyle name="Título 1 164" xfId="26569"/>
    <cellStyle name="Título 1 165" xfId="26570"/>
    <cellStyle name="Título 1 166" xfId="26571"/>
    <cellStyle name="Título 1 167" xfId="26572"/>
    <cellStyle name="Título 1 168" xfId="26573"/>
    <cellStyle name="Título 1 169" xfId="26574"/>
    <cellStyle name="Título 1 17" xfId="26575"/>
    <cellStyle name="Título 1 17 2" xfId="26576"/>
    <cellStyle name="Título 1 17 3" xfId="26577"/>
    <cellStyle name="Título 1 170" xfId="26578"/>
    <cellStyle name="Título 1 171" xfId="26579"/>
    <cellStyle name="Título 1 172" xfId="26580"/>
    <cellStyle name="Título 1 173" xfId="26581"/>
    <cellStyle name="Título 1 174" xfId="26582"/>
    <cellStyle name="Título 1 175" xfId="26583"/>
    <cellStyle name="Título 1 176" xfId="26584"/>
    <cellStyle name="Título 1 177" xfId="26585"/>
    <cellStyle name="Título 1 178" xfId="26586"/>
    <cellStyle name="Título 1 179" xfId="26587"/>
    <cellStyle name="Título 1 18" xfId="26588"/>
    <cellStyle name="Título 1 18 2" xfId="26589"/>
    <cellStyle name="Título 1 18 3" xfId="26590"/>
    <cellStyle name="Título 1 180" xfId="26591"/>
    <cellStyle name="Título 1 181" xfId="26592"/>
    <cellStyle name="Título 1 182" xfId="26593"/>
    <cellStyle name="Título 1 183" xfId="26594"/>
    <cellStyle name="Título 1 184" xfId="26595"/>
    <cellStyle name="Título 1 185" xfId="26596"/>
    <cellStyle name="Título 1 186" xfId="26597"/>
    <cellStyle name="Título 1 187" xfId="26598"/>
    <cellStyle name="Título 1 188" xfId="26599"/>
    <cellStyle name="Título 1 189" xfId="26600"/>
    <cellStyle name="Título 1 19" xfId="26601"/>
    <cellStyle name="Título 1 19 2" xfId="26602"/>
    <cellStyle name="Título 1 19 3" xfId="26603"/>
    <cellStyle name="Título 1 190" xfId="26604"/>
    <cellStyle name="Título 1 2" xfId="26605"/>
    <cellStyle name="Título 1 2 10" xfId="26606"/>
    <cellStyle name="Título 1 2 10 2" xfId="26607"/>
    <cellStyle name="Título 1 2 10 3" xfId="26608"/>
    <cellStyle name="Título 1 2 10 4" xfId="26609"/>
    <cellStyle name="Título 1 2 10 5" xfId="26610"/>
    <cellStyle name="Título 1 2 10 6" xfId="26611"/>
    <cellStyle name="Título 1 2 10 7" xfId="26612"/>
    <cellStyle name="Título 1 2 11" xfId="26613"/>
    <cellStyle name="Título 1 2 11 2" xfId="26614"/>
    <cellStyle name="Título 1 2 11 3" xfId="26615"/>
    <cellStyle name="Título 1 2 11 4" xfId="26616"/>
    <cellStyle name="Título 1 2 11 5" xfId="26617"/>
    <cellStyle name="Título 1 2 11 6" xfId="26618"/>
    <cellStyle name="Título 1 2 11 7" xfId="26619"/>
    <cellStyle name="Título 1 2 12" xfId="26620"/>
    <cellStyle name="Título 1 2 13" xfId="26621"/>
    <cellStyle name="Título 1 2 14" xfId="26622"/>
    <cellStyle name="Título 1 2 15" xfId="26623"/>
    <cellStyle name="Título 1 2 16" xfId="26624"/>
    <cellStyle name="Título 1 2 17" xfId="26625"/>
    <cellStyle name="Título 1 2 18" xfId="26626"/>
    <cellStyle name="Título 1 2 19" xfId="26627"/>
    <cellStyle name="Título 1 2 2" xfId="26628"/>
    <cellStyle name="Título 1 2 20" xfId="26629"/>
    <cellStyle name="Título 1 2 21" xfId="26630"/>
    <cellStyle name="Título 1 2 22" xfId="26631"/>
    <cellStyle name="Título 1 2 23" xfId="26632"/>
    <cellStyle name="Título 1 2 24" xfId="26633"/>
    <cellStyle name="Título 1 2 25" xfId="26634"/>
    <cellStyle name="Título 1 2 26" xfId="26635"/>
    <cellStyle name="Título 1 2 27" xfId="26636"/>
    <cellStyle name="Título 1 2 28" xfId="26637"/>
    <cellStyle name="Título 1 2 29" xfId="26638"/>
    <cellStyle name="Título 1 2 3" xfId="26639"/>
    <cellStyle name="Título 1 2 30" xfId="26640"/>
    <cellStyle name="Título 1 2 31" xfId="26641"/>
    <cellStyle name="Título 1 2 32" xfId="26642"/>
    <cellStyle name="Título 1 2 33" xfId="26643"/>
    <cellStyle name="Título 1 2 34" xfId="26644"/>
    <cellStyle name="Título 1 2 35" xfId="26645"/>
    <cellStyle name="Título 1 2 4" xfId="26646"/>
    <cellStyle name="Título 1 2 5" xfId="26647"/>
    <cellStyle name="Título 1 2 6" xfId="26648"/>
    <cellStyle name="Título 1 2 7" xfId="26649"/>
    <cellStyle name="Título 1 2 8" xfId="26650"/>
    <cellStyle name="Título 1 2 8 2" xfId="26651"/>
    <cellStyle name="Título 1 2 8 3" xfId="26652"/>
    <cellStyle name="Título 1 2 8 4" xfId="26653"/>
    <cellStyle name="Título 1 2 8 5" xfId="26654"/>
    <cellStyle name="Título 1 2 8 6" xfId="26655"/>
    <cellStyle name="Título 1 2 8 7" xfId="26656"/>
    <cellStyle name="Título 1 2 9" xfId="26657"/>
    <cellStyle name="Título 1 2 9 2" xfId="26658"/>
    <cellStyle name="Título 1 2 9 3" xfId="26659"/>
    <cellStyle name="Título 1 2 9 4" xfId="26660"/>
    <cellStyle name="Título 1 2 9 5" xfId="26661"/>
    <cellStyle name="Título 1 2 9 6" xfId="26662"/>
    <cellStyle name="Título 1 2 9 7" xfId="26663"/>
    <cellStyle name="Título 1 20" xfId="26664"/>
    <cellStyle name="Título 1 20 2" xfId="26665"/>
    <cellStyle name="Título 1 20 3" xfId="26666"/>
    <cellStyle name="Título 1 21" xfId="26667"/>
    <cellStyle name="Título 1 22" xfId="26668"/>
    <cellStyle name="Título 1 23" xfId="26669"/>
    <cellStyle name="Título 1 24" xfId="26670"/>
    <cellStyle name="Título 1 24 2" xfId="40959"/>
    <cellStyle name="Título 1 25" xfId="26671"/>
    <cellStyle name="Título 1 25 2" xfId="40994"/>
    <cellStyle name="Título 1 26" xfId="26672"/>
    <cellStyle name="Título 1 26 10" xfId="26673"/>
    <cellStyle name="Título 1 26 11" xfId="26674"/>
    <cellStyle name="Título 1 26 12" xfId="26675"/>
    <cellStyle name="Título 1 26 13" xfId="26676"/>
    <cellStyle name="Título 1 26 14" xfId="26677"/>
    <cellStyle name="Título 1 26 15" xfId="26678"/>
    <cellStyle name="Título 1 26 16" xfId="26679"/>
    <cellStyle name="Título 1 26 2" xfId="26680"/>
    <cellStyle name="Título 1 26 3" xfId="26681"/>
    <cellStyle name="Título 1 26 4" xfId="26682"/>
    <cellStyle name="Título 1 26 5" xfId="26683"/>
    <cellStyle name="Título 1 26 6" xfId="26684"/>
    <cellStyle name="Título 1 26 7" xfId="26685"/>
    <cellStyle name="Título 1 26 8" xfId="26686"/>
    <cellStyle name="Título 1 26 9" xfId="26687"/>
    <cellStyle name="Título 1 27" xfId="26688"/>
    <cellStyle name="Título 1 27 10" xfId="26689"/>
    <cellStyle name="Título 1 27 11" xfId="26690"/>
    <cellStyle name="Título 1 27 12" xfId="26691"/>
    <cellStyle name="Título 1 27 13" xfId="26692"/>
    <cellStyle name="Título 1 27 14" xfId="26693"/>
    <cellStyle name="Título 1 27 15" xfId="26694"/>
    <cellStyle name="Título 1 27 16" xfId="26695"/>
    <cellStyle name="Título 1 27 2" xfId="26696"/>
    <cellStyle name="Título 1 27 3" xfId="26697"/>
    <cellStyle name="Título 1 27 4" xfId="26698"/>
    <cellStyle name="Título 1 27 5" xfId="26699"/>
    <cellStyle name="Título 1 27 6" xfId="26700"/>
    <cellStyle name="Título 1 27 7" xfId="26701"/>
    <cellStyle name="Título 1 27 8" xfId="26702"/>
    <cellStyle name="Título 1 27 9" xfId="26703"/>
    <cellStyle name="Título 1 28" xfId="26704"/>
    <cellStyle name="Título 1 28 10" xfId="26705"/>
    <cellStyle name="Título 1 28 11" xfId="26706"/>
    <cellStyle name="Título 1 28 12" xfId="26707"/>
    <cellStyle name="Título 1 28 13" xfId="26708"/>
    <cellStyle name="Título 1 28 14" xfId="26709"/>
    <cellStyle name="Título 1 28 15" xfId="26710"/>
    <cellStyle name="Título 1 28 16" xfId="26711"/>
    <cellStyle name="Título 1 28 2" xfId="26712"/>
    <cellStyle name="Título 1 28 3" xfId="26713"/>
    <cellStyle name="Título 1 28 4" xfId="26714"/>
    <cellStyle name="Título 1 28 5" xfId="26715"/>
    <cellStyle name="Título 1 28 6" xfId="26716"/>
    <cellStyle name="Título 1 28 7" xfId="26717"/>
    <cellStyle name="Título 1 28 8" xfId="26718"/>
    <cellStyle name="Título 1 28 9" xfId="26719"/>
    <cellStyle name="Título 1 29" xfId="26720"/>
    <cellStyle name="Título 1 29 10" xfId="26721"/>
    <cellStyle name="Título 1 29 11" xfId="26722"/>
    <cellStyle name="Título 1 29 12" xfId="26723"/>
    <cellStyle name="Título 1 29 13" xfId="26724"/>
    <cellStyle name="Título 1 29 14" xfId="26725"/>
    <cellStyle name="Título 1 29 15" xfId="26726"/>
    <cellStyle name="Título 1 29 16" xfId="26727"/>
    <cellStyle name="Título 1 29 2" xfId="26728"/>
    <cellStyle name="Título 1 29 3" xfId="26729"/>
    <cellStyle name="Título 1 29 4" xfId="26730"/>
    <cellStyle name="Título 1 29 5" xfId="26731"/>
    <cellStyle name="Título 1 29 6" xfId="26732"/>
    <cellStyle name="Título 1 29 7" xfId="26733"/>
    <cellStyle name="Título 1 29 8" xfId="26734"/>
    <cellStyle name="Título 1 29 9" xfId="26735"/>
    <cellStyle name="Título 1 3" xfId="26736"/>
    <cellStyle name="Título 1 3 10" xfId="26737"/>
    <cellStyle name="Título 1 3 11" xfId="26738"/>
    <cellStyle name="Título 1 3 2" xfId="26739"/>
    <cellStyle name="Título 1 3 3" xfId="26740"/>
    <cellStyle name="Título 1 3 4" xfId="26741"/>
    <cellStyle name="Título 1 3 5" xfId="26742"/>
    <cellStyle name="Título 1 3 6" xfId="26743"/>
    <cellStyle name="Título 1 3 7" xfId="26744"/>
    <cellStyle name="Título 1 3 8" xfId="26745"/>
    <cellStyle name="Título 1 3 9" xfId="26746"/>
    <cellStyle name="Título 1 30" xfId="26747"/>
    <cellStyle name="Título 1 31" xfId="26748"/>
    <cellStyle name="Título 1 32" xfId="26749"/>
    <cellStyle name="Título 1 33" xfId="26750"/>
    <cellStyle name="Título 1 34" xfId="26751"/>
    <cellStyle name="Título 1 35" xfId="26752"/>
    <cellStyle name="Título 1 36" xfId="26753"/>
    <cellStyle name="Título 1 37" xfId="26754"/>
    <cellStyle name="Título 1 38" xfId="26755"/>
    <cellStyle name="Título 1 39" xfId="26756"/>
    <cellStyle name="Título 1 4" xfId="26757"/>
    <cellStyle name="Título 1 4 10" xfId="26758"/>
    <cellStyle name="Título 1 4 11" xfId="26759"/>
    <cellStyle name="Título 1 4 2" xfId="26760"/>
    <cellStyle name="Título 1 4 3" xfId="26761"/>
    <cellStyle name="Título 1 4 4" xfId="26762"/>
    <cellStyle name="Título 1 4 5" xfId="26763"/>
    <cellStyle name="Título 1 4 6" xfId="26764"/>
    <cellStyle name="Título 1 4 7" xfId="26765"/>
    <cellStyle name="Título 1 4 8" xfId="26766"/>
    <cellStyle name="Título 1 4 9" xfId="26767"/>
    <cellStyle name="Título 1 40" xfId="26768"/>
    <cellStyle name="Título 1 41" xfId="26769"/>
    <cellStyle name="Título 1 42" xfId="26770"/>
    <cellStyle name="Título 1 43" xfId="26771"/>
    <cellStyle name="Título 1 44" xfId="26772"/>
    <cellStyle name="Título 1 45" xfId="26773"/>
    <cellStyle name="Título 1 46" xfId="26774"/>
    <cellStyle name="Título 1 47" xfId="26775"/>
    <cellStyle name="Título 1 48" xfId="26776"/>
    <cellStyle name="Título 1 49" xfId="26777"/>
    <cellStyle name="Título 1 5" xfId="26778"/>
    <cellStyle name="Título 1 5 2" xfId="26779"/>
    <cellStyle name="Título 1 5 3" xfId="26780"/>
    <cellStyle name="Título 1 5 4" xfId="26781"/>
    <cellStyle name="Título 1 50" xfId="26782"/>
    <cellStyle name="Título 1 51" xfId="26783"/>
    <cellStyle name="Título 1 52" xfId="26784"/>
    <cellStyle name="Título 1 53" xfId="26785"/>
    <cellStyle name="Título 1 54" xfId="26786"/>
    <cellStyle name="Título 1 55" xfId="26787"/>
    <cellStyle name="Título 1 56" xfId="26788"/>
    <cellStyle name="Título 1 57" xfId="26789"/>
    <cellStyle name="Título 1 58" xfId="26790"/>
    <cellStyle name="Título 1 59" xfId="26791"/>
    <cellStyle name="Título 1 6" xfId="26792"/>
    <cellStyle name="Título 1 6 2" xfId="26793"/>
    <cellStyle name="Título 1 6 3" xfId="26794"/>
    <cellStyle name="Título 1 6 4" xfId="26795"/>
    <cellStyle name="Título 1 60" xfId="26796"/>
    <cellStyle name="Título 1 61" xfId="26797"/>
    <cellStyle name="Título 1 62" xfId="26798"/>
    <cellStyle name="Título 1 63" xfId="26799"/>
    <cellStyle name="Título 1 64" xfId="26800"/>
    <cellStyle name="Título 1 65" xfId="26801"/>
    <cellStyle name="Título 1 66" xfId="26802"/>
    <cellStyle name="Título 1 67" xfId="26803"/>
    <cellStyle name="Título 1 68" xfId="26804"/>
    <cellStyle name="Título 1 69" xfId="26805"/>
    <cellStyle name="Título 1 7" xfId="26806"/>
    <cellStyle name="Título 1 7 2" xfId="26807"/>
    <cellStyle name="Título 1 7 3" xfId="26808"/>
    <cellStyle name="Título 1 7 4" xfId="26809"/>
    <cellStyle name="Título 1 70" xfId="26810"/>
    <cellStyle name="Título 1 71" xfId="26811"/>
    <cellStyle name="Título 1 72" xfId="26812"/>
    <cellStyle name="Título 1 73" xfId="26813"/>
    <cellStyle name="Título 1 74" xfId="26814"/>
    <cellStyle name="Título 1 75" xfId="26815"/>
    <cellStyle name="Título 1 76" xfId="26816"/>
    <cellStyle name="Título 1 77" xfId="26817"/>
    <cellStyle name="Título 1 78" xfId="26818"/>
    <cellStyle name="Título 1 79" xfId="26819"/>
    <cellStyle name="Título 1 8" xfId="26820"/>
    <cellStyle name="Título 1 8 2" xfId="26821"/>
    <cellStyle name="Título 1 8 3" xfId="26822"/>
    <cellStyle name="Título 1 8 4" xfId="26823"/>
    <cellStyle name="Título 1 80" xfId="26824"/>
    <cellStyle name="Título 1 81" xfId="26825"/>
    <cellStyle name="Título 1 82" xfId="26826"/>
    <cellStyle name="Título 1 83" xfId="26827"/>
    <cellStyle name="Título 1 84" xfId="26828"/>
    <cellStyle name="Título 1 85" xfId="26829"/>
    <cellStyle name="Título 1 86" xfId="26830"/>
    <cellStyle name="Título 1 87" xfId="26831"/>
    <cellStyle name="Título 1 88" xfId="26832"/>
    <cellStyle name="Título 1 89" xfId="26833"/>
    <cellStyle name="Título 1 9" xfId="26834"/>
    <cellStyle name="Título 1 90" xfId="26835"/>
    <cellStyle name="Título 1 91" xfId="26836"/>
    <cellStyle name="Título 1 92" xfId="26837"/>
    <cellStyle name="Título 1 93" xfId="26838"/>
    <cellStyle name="Título 1 94" xfId="26839"/>
    <cellStyle name="Título 1 95" xfId="26840"/>
    <cellStyle name="Título 1 96" xfId="26841"/>
    <cellStyle name="Título 1 97" xfId="26842"/>
    <cellStyle name="Título 1 98" xfId="26843"/>
    <cellStyle name="Título 1 99" xfId="26844"/>
    <cellStyle name="Título 10" xfId="26845"/>
    <cellStyle name="Título 10 2" xfId="26846"/>
    <cellStyle name="Título 10 3" xfId="26847"/>
    <cellStyle name="Título 10 4" xfId="26848"/>
    <cellStyle name="Título 100" xfId="26849"/>
    <cellStyle name="Título 101" xfId="26850"/>
    <cellStyle name="Título 102" xfId="26851"/>
    <cellStyle name="Título 103" xfId="26852"/>
    <cellStyle name="Título 104" xfId="26853"/>
    <cellStyle name="Título 105" xfId="26854"/>
    <cellStyle name="Título 106" xfId="26855"/>
    <cellStyle name="Título 107" xfId="26856"/>
    <cellStyle name="Título 108" xfId="26857"/>
    <cellStyle name="Título 109" xfId="26858"/>
    <cellStyle name="Título 11" xfId="26859"/>
    <cellStyle name="Título 11 2" xfId="26860"/>
    <cellStyle name="Título 11 3" xfId="26861"/>
    <cellStyle name="Título 11 4" xfId="26862"/>
    <cellStyle name="Título 110" xfId="26863"/>
    <cellStyle name="Título 111" xfId="26864"/>
    <cellStyle name="Título 112" xfId="26865"/>
    <cellStyle name="Título 113" xfId="26866"/>
    <cellStyle name="Título 114" xfId="26867"/>
    <cellStyle name="Título 115" xfId="26868"/>
    <cellStyle name="Título 116" xfId="26869"/>
    <cellStyle name="Título 117" xfId="26870"/>
    <cellStyle name="Título 118" xfId="26871"/>
    <cellStyle name="Título 119" xfId="26872"/>
    <cellStyle name="Título 12" xfId="26873"/>
    <cellStyle name="Título 120" xfId="26874"/>
    <cellStyle name="Título 121" xfId="26875"/>
    <cellStyle name="Título 122" xfId="26876"/>
    <cellStyle name="Título 123" xfId="26877"/>
    <cellStyle name="Título 124" xfId="26878"/>
    <cellStyle name="Título 125" xfId="26879"/>
    <cellStyle name="Título 126" xfId="26880"/>
    <cellStyle name="Título 127" xfId="26881"/>
    <cellStyle name="Título 128" xfId="26882"/>
    <cellStyle name="Título 129" xfId="26883"/>
    <cellStyle name="Título 13" xfId="26884"/>
    <cellStyle name="Título 13 2" xfId="40875"/>
    <cellStyle name="Título 130" xfId="26885"/>
    <cellStyle name="Título 131" xfId="26886"/>
    <cellStyle name="Título 132" xfId="26887"/>
    <cellStyle name="Título 133" xfId="26888"/>
    <cellStyle name="Título 134" xfId="26889"/>
    <cellStyle name="Título 135" xfId="26890"/>
    <cellStyle name="Título 136" xfId="26891"/>
    <cellStyle name="Título 137" xfId="26892"/>
    <cellStyle name="Título 138" xfId="26893"/>
    <cellStyle name="Título 139" xfId="26894"/>
    <cellStyle name="Título 14" xfId="26895"/>
    <cellStyle name="Título 14 2" xfId="40876"/>
    <cellStyle name="Título 140" xfId="26896"/>
    <cellStyle name="Título 141" xfId="26897"/>
    <cellStyle name="Título 142" xfId="26898"/>
    <cellStyle name="Título 143" xfId="26899"/>
    <cellStyle name="Título 144" xfId="26900"/>
    <cellStyle name="Título 145" xfId="26901"/>
    <cellStyle name="Título 146" xfId="26902"/>
    <cellStyle name="Título 147" xfId="26903"/>
    <cellStyle name="Título 148" xfId="26904"/>
    <cellStyle name="Título 149" xfId="26905"/>
    <cellStyle name="Título 15" xfId="26906"/>
    <cellStyle name="Título 15 2" xfId="40877"/>
    <cellStyle name="Título 150" xfId="26907"/>
    <cellStyle name="Título 151" xfId="26908"/>
    <cellStyle name="Título 152" xfId="26909"/>
    <cellStyle name="Título 153" xfId="26910"/>
    <cellStyle name="Título 154" xfId="26911"/>
    <cellStyle name="Título 155" xfId="26912"/>
    <cellStyle name="Título 156" xfId="26913"/>
    <cellStyle name="Título 157" xfId="26914"/>
    <cellStyle name="Título 158" xfId="26915"/>
    <cellStyle name="Título 159" xfId="26916"/>
    <cellStyle name="Título 16" xfId="26917"/>
    <cellStyle name="Título 16 2" xfId="40878"/>
    <cellStyle name="Título 160" xfId="26918"/>
    <cellStyle name="Título 161" xfId="26919"/>
    <cellStyle name="Título 162" xfId="26920"/>
    <cellStyle name="Título 163" xfId="26921"/>
    <cellStyle name="Título 164" xfId="26922"/>
    <cellStyle name="Título 165" xfId="26923"/>
    <cellStyle name="Título 166" xfId="26924"/>
    <cellStyle name="Título 167" xfId="26925"/>
    <cellStyle name="Título 168" xfId="26926"/>
    <cellStyle name="Título 169" xfId="26927"/>
    <cellStyle name="Título 17" xfId="26928"/>
    <cellStyle name="Título 170" xfId="26929"/>
    <cellStyle name="Título 171" xfId="26930"/>
    <cellStyle name="Título 172" xfId="26931"/>
    <cellStyle name="Título 173" xfId="26932"/>
    <cellStyle name="Título 174" xfId="26933"/>
    <cellStyle name="Título 175" xfId="26934"/>
    <cellStyle name="Título 176" xfId="26935"/>
    <cellStyle name="Título 177" xfId="26936"/>
    <cellStyle name="Título 178" xfId="26937"/>
    <cellStyle name="Título 179" xfId="26938"/>
    <cellStyle name="Título 18" xfId="26939"/>
    <cellStyle name="Título 18 2" xfId="26940"/>
    <cellStyle name="Título 18 3" xfId="26941"/>
    <cellStyle name="Título 180" xfId="26942"/>
    <cellStyle name="Título 181" xfId="26943"/>
    <cellStyle name="Título 182" xfId="26944"/>
    <cellStyle name="Título 183" xfId="26945"/>
    <cellStyle name="Título 184" xfId="26946"/>
    <cellStyle name="Título 185" xfId="26947"/>
    <cellStyle name="Título 186" xfId="26948"/>
    <cellStyle name="Título 187" xfId="26949"/>
    <cellStyle name="Título 188" xfId="26950"/>
    <cellStyle name="Título 189" xfId="26951"/>
    <cellStyle name="Título 19" xfId="26952"/>
    <cellStyle name="Título 19 2" xfId="26953"/>
    <cellStyle name="Título 19 3" xfId="26954"/>
    <cellStyle name="Título 190" xfId="26955"/>
    <cellStyle name="Título 191" xfId="26956"/>
    <cellStyle name="Título 192" xfId="26957"/>
    <cellStyle name="Título 193" xfId="26958"/>
    <cellStyle name="Título 2 10" xfId="26959"/>
    <cellStyle name="Título 2 10 2" xfId="40879"/>
    <cellStyle name="Título 2 100" xfId="26960"/>
    <cellStyle name="Título 2 101" xfId="26961"/>
    <cellStyle name="Título 2 102" xfId="26962"/>
    <cellStyle name="Título 2 103" xfId="26963"/>
    <cellStyle name="Título 2 104" xfId="26964"/>
    <cellStyle name="Título 2 105" xfId="26965"/>
    <cellStyle name="Título 2 106" xfId="26966"/>
    <cellStyle name="Título 2 107" xfId="26967"/>
    <cellStyle name="Título 2 108" xfId="26968"/>
    <cellStyle name="Título 2 109" xfId="26969"/>
    <cellStyle name="Título 2 11" xfId="26970"/>
    <cellStyle name="Título 2 11 2" xfId="40880"/>
    <cellStyle name="Título 2 110" xfId="26971"/>
    <cellStyle name="Título 2 111" xfId="26972"/>
    <cellStyle name="Título 2 112" xfId="26973"/>
    <cellStyle name="Título 2 113" xfId="26974"/>
    <cellStyle name="Título 2 114" xfId="26975"/>
    <cellStyle name="Título 2 115" xfId="26976"/>
    <cellStyle name="Título 2 116" xfId="26977"/>
    <cellStyle name="Título 2 117" xfId="26978"/>
    <cellStyle name="Título 2 118" xfId="26979"/>
    <cellStyle name="Título 2 119" xfId="26980"/>
    <cellStyle name="Título 2 12" xfId="26981"/>
    <cellStyle name="Título 2 12 2" xfId="40881"/>
    <cellStyle name="Título 2 120" xfId="26982"/>
    <cellStyle name="Título 2 121" xfId="26983"/>
    <cellStyle name="Título 2 122" xfId="26984"/>
    <cellStyle name="Título 2 123" xfId="26985"/>
    <cellStyle name="Título 2 124" xfId="26986"/>
    <cellStyle name="Título 2 125" xfId="26987"/>
    <cellStyle name="Título 2 126" xfId="26988"/>
    <cellStyle name="Título 2 127" xfId="26989"/>
    <cellStyle name="Título 2 128" xfId="26990"/>
    <cellStyle name="Título 2 129" xfId="26991"/>
    <cellStyle name="Título 2 13" xfId="26992"/>
    <cellStyle name="Título 2 13 2" xfId="40882"/>
    <cellStyle name="Título 2 130" xfId="26993"/>
    <cellStyle name="Título 2 131" xfId="26994"/>
    <cellStyle name="Título 2 132" xfId="26995"/>
    <cellStyle name="Título 2 133" xfId="26996"/>
    <cellStyle name="Título 2 134" xfId="26997"/>
    <cellStyle name="Título 2 135" xfId="26998"/>
    <cellStyle name="Título 2 136" xfId="26999"/>
    <cellStyle name="Título 2 137" xfId="27000"/>
    <cellStyle name="Título 2 138" xfId="27001"/>
    <cellStyle name="Título 2 139" xfId="27002"/>
    <cellStyle name="Título 2 14" xfId="27003"/>
    <cellStyle name="Título 2 140" xfId="27004"/>
    <cellStyle name="Título 2 141" xfId="27005"/>
    <cellStyle name="Título 2 142" xfId="27006"/>
    <cellStyle name="Título 2 143" xfId="27007"/>
    <cellStyle name="Título 2 144" xfId="27008"/>
    <cellStyle name="Título 2 145" xfId="27009"/>
    <cellStyle name="Título 2 146" xfId="27010"/>
    <cellStyle name="Título 2 147" xfId="27011"/>
    <cellStyle name="Título 2 148" xfId="27012"/>
    <cellStyle name="Título 2 149" xfId="27013"/>
    <cellStyle name="Título 2 15" xfId="27014"/>
    <cellStyle name="Título 2 15 2" xfId="27015"/>
    <cellStyle name="Título 2 15 3" xfId="27016"/>
    <cellStyle name="Título 2 150" xfId="27017"/>
    <cellStyle name="Título 2 151" xfId="27018"/>
    <cellStyle name="Título 2 152" xfId="27019"/>
    <cellStyle name="Título 2 153" xfId="27020"/>
    <cellStyle name="Título 2 154" xfId="27021"/>
    <cellStyle name="Título 2 155" xfId="27022"/>
    <cellStyle name="Título 2 156" xfId="27023"/>
    <cellStyle name="Título 2 157" xfId="27024"/>
    <cellStyle name="Título 2 158" xfId="27025"/>
    <cellStyle name="Título 2 159" xfId="27026"/>
    <cellStyle name="Título 2 16" xfId="27027"/>
    <cellStyle name="Título 2 16 2" xfId="27028"/>
    <cellStyle name="Título 2 16 3" xfId="27029"/>
    <cellStyle name="Título 2 160" xfId="27030"/>
    <cellStyle name="Título 2 161" xfId="27031"/>
    <cellStyle name="Título 2 162" xfId="27032"/>
    <cellStyle name="Título 2 163" xfId="27033"/>
    <cellStyle name="Título 2 164" xfId="27034"/>
    <cellStyle name="Título 2 165" xfId="27035"/>
    <cellStyle name="Título 2 166" xfId="27036"/>
    <cellStyle name="Título 2 167" xfId="27037"/>
    <cellStyle name="Título 2 168" xfId="27038"/>
    <cellStyle name="Título 2 169" xfId="27039"/>
    <cellStyle name="Título 2 17" xfId="27040"/>
    <cellStyle name="Título 2 17 2" xfId="27041"/>
    <cellStyle name="Título 2 17 3" xfId="27042"/>
    <cellStyle name="Título 2 170" xfId="27043"/>
    <cellStyle name="Título 2 171" xfId="27044"/>
    <cellStyle name="Título 2 172" xfId="27045"/>
    <cellStyle name="Título 2 173" xfId="27046"/>
    <cellStyle name="Título 2 174" xfId="27047"/>
    <cellStyle name="Título 2 175" xfId="27048"/>
    <cellStyle name="Título 2 176" xfId="27049"/>
    <cellStyle name="Título 2 177" xfId="27050"/>
    <cellStyle name="Título 2 178" xfId="27051"/>
    <cellStyle name="Título 2 179" xfId="27052"/>
    <cellStyle name="Título 2 18" xfId="27053"/>
    <cellStyle name="Título 2 18 2" xfId="27054"/>
    <cellStyle name="Título 2 18 3" xfId="27055"/>
    <cellStyle name="Título 2 180" xfId="27056"/>
    <cellStyle name="Título 2 181" xfId="27057"/>
    <cellStyle name="Título 2 182" xfId="27058"/>
    <cellStyle name="Título 2 183" xfId="27059"/>
    <cellStyle name="Título 2 184" xfId="27060"/>
    <cellStyle name="Título 2 185" xfId="27061"/>
    <cellStyle name="Título 2 186" xfId="27062"/>
    <cellStyle name="Título 2 187" xfId="27063"/>
    <cellStyle name="Título 2 188" xfId="27064"/>
    <cellStyle name="Título 2 189" xfId="27065"/>
    <cellStyle name="Título 2 19" xfId="27066"/>
    <cellStyle name="Título 2 19 2" xfId="27067"/>
    <cellStyle name="Título 2 19 3" xfId="27068"/>
    <cellStyle name="Título 2 190" xfId="27069"/>
    <cellStyle name="Título 2 2" xfId="27070"/>
    <cellStyle name="Título 2 2 10" xfId="27071"/>
    <cellStyle name="Título 2 2 10 2" xfId="27072"/>
    <cellStyle name="Título 2 2 10 3" xfId="27073"/>
    <cellStyle name="Título 2 2 10 4" xfId="27074"/>
    <cellStyle name="Título 2 2 10 5" xfId="27075"/>
    <cellStyle name="Título 2 2 10 6" xfId="27076"/>
    <cellStyle name="Título 2 2 10 7" xfId="27077"/>
    <cellStyle name="Título 2 2 11" xfId="27078"/>
    <cellStyle name="Título 2 2 11 2" xfId="27079"/>
    <cellStyle name="Título 2 2 11 3" xfId="27080"/>
    <cellStyle name="Título 2 2 11 4" xfId="27081"/>
    <cellStyle name="Título 2 2 11 5" xfId="27082"/>
    <cellStyle name="Título 2 2 11 6" xfId="27083"/>
    <cellStyle name="Título 2 2 11 7" xfId="27084"/>
    <cellStyle name="Título 2 2 12" xfId="27085"/>
    <cellStyle name="Título 2 2 13" xfId="27086"/>
    <cellStyle name="Título 2 2 14" xfId="27087"/>
    <cellStyle name="Título 2 2 15" xfId="27088"/>
    <cellStyle name="Título 2 2 16" xfId="27089"/>
    <cellStyle name="Título 2 2 17" xfId="27090"/>
    <cellStyle name="Título 2 2 18" xfId="27091"/>
    <cellStyle name="Título 2 2 19" xfId="27092"/>
    <cellStyle name="Título 2 2 2" xfId="27093"/>
    <cellStyle name="Título 2 2 20" xfId="27094"/>
    <cellStyle name="Título 2 2 21" xfId="27095"/>
    <cellStyle name="Título 2 2 22" xfId="27096"/>
    <cellStyle name="Título 2 2 23" xfId="27097"/>
    <cellStyle name="Título 2 2 24" xfId="27098"/>
    <cellStyle name="Título 2 2 25" xfId="27099"/>
    <cellStyle name="Título 2 2 26" xfId="27100"/>
    <cellStyle name="Título 2 2 27" xfId="27101"/>
    <cellStyle name="Título 2 2 28" xfId="27102"/>
    <cellStyle name="Título 2 2 29" xfId="27103"/>
    <cellStyle name="Título 2 2 3" xfId="27104"/>
    <cellStyle name="Título 2 2 30" xfId="27105"/>
    <cellStyle name="Título 2 2 31" xfId="27106"/>
    <cellStyle name="Título 2 2 32" xfId="27107"/>
    <cellStyle name="Título 2 2 33" xfId="27108"/>
    <cellStyle name="Título 2 2 34" xfId="27109"/>
    <cellStyle name="Título 2 2 35" xfId="27110"/>
    <cellStyle name="Título 2 2 4" xfId="27111"/>
    <cellStyle name="Título 2 2 5" xfId="27112"/>
    <cellStyle name="Título 2 2 6" xfId="27113"/>
    <cellStyle name="Título 2 2 7" xfId="27114"/>
    <cellStyle name="Título 2 2 8" xfId="27115"/>
    <cellStyle name="Título 2 2 8 2" xfId="27116"/>
    <cellStyle name="Título 2 2 8 3" xfId="27117"/>
    <cellStyle name="Título 2 2 8 4" xfId="27118"/>
    <cellStyle name="Título 2 2 8 5" xfId="27119"/>
    <cellStyle name="Título 2 2 8 6" xfId="27120"/>
    <cellStyle name="Título 2 2 8 7" xfId="27121"/>
    <cellStyle name="Título 2 2 9" xfId="27122"/>
    <cellStyle name="Título 2 2 9 2" xfId="27123"/>
    <cellStyle name="Título 2 2 9 3" xfId="27124"/>
    <cellStyle name="Título 2 2 9 4" xfId="27125"/>
    <cellStyle name="Título 2 2 9 5" xfId="27126"/>
    <cellStyle name="Título 2 2 9 6" xfId="27127"/>
    <cellStyle name="Título 2 2 9 7" xfId="27128"/>
    <cellStyle name="Título 2 20" xfId="27129"/>
    <cellStyle name="Título 2 20 2" xfId="27130"/>
    <cellStyle name="Título 2 20 3" xfId="27131"/>
    <cellStyle name="Título 2 21" xfId="27132"/>
    <cellStyle name="Título 2 22" xfId="27133"/>
    <cellStyle name="Título 2 23" xfId="27134"/>
    <cellStyle name="Título 2 24" xfId="27135"/>
    <cellStyle name="Título 2 24 2" xfId="40960"/>
    <cellStyle name="Título 2 25" xfId="27136"/>
    <cellStyle name="Título 2 25 2" xfId="40995"/>
    <cellStyle name="Título 2 26" xfId="27137"/>
    <cellStyle name="Título 2 26 10" xfId="27138"/>
    <cellStyle name="Título 2 26 11" xfId="27139"/>
    <cellStyle name="Título 2 26 12" xfId="27140"/>
    <cellStyle name="Título 2 26 13" xfId="27141"/>
    <cellStyle name="Título 2 26 14" xfId="27142"/>
    <cellStyle name="Título 2 26 15" xfId="27143"/>
    <cellStyle name="Título 2 26 16" xfId="27144"/>
    <cellStyle name="Título 2 26 2" xfId="27145"/>
    <cellStyle name="Título 2 26 3" xfId="27146"/>
    <cellStyle name="Título 2 26 4" xfId="27147"/>
    <cellStyle name="Título 2 26 5" xfId="27148"/>
    <cellStyle name="Título 2 26 6" xfId="27149"/>
    <cellStyle name="Título 2 26 7" xfId="27150"/>
    <cellStyle name="Título 2 26 8" xfId="27151"/>
    <cellStyle name="Título 2 26 9" xfId="27152"/>
    <cellStyle name="Título 2 27" xfId="27153"/>
    <cellStyle name="Título 2 27 10" xfId="27154"/>
    <cellStyle name="Título 2 27 11" xfId="27155"/>
    <cellStyle name="Título 2 27 12" xfId="27156"/>
    <cellStyle name="Título 2 27 13" xfId="27157"/>
    <cellStyle name="Título 2 27 14" xfId="27158"/>
    <cellStyle name="Título 2 27 15" xfId="27159"/>
    <cellStyle name="Título 2 27 16" xfId="27160"/>
    <cellStyle name="Título 2 27 2" xfId="27161"/>
    <cellStyle name="Título 2 27 3" xfId="27162"/>
    <cellStyle name="Título 2 27 4" xfId="27163"/>
    <cellStyle name="Título 2 27 5" xfId="27164"/>
    <cellStyle name="Título 2 27 6" xfId="27165"/>
    <cellStyle name="Título 2 27 7" xfId="27166"/>
    <cellStyle name="Título 2 27 8" xfId="27167"/>
    <cellStyle name="Título 2 27 9" xfId="27168"/>
    <cellStyle name="Título 2 28" xfId="27169"/>
    <cellStyle name="Título 2 28 10" xfId="27170"/>
    <cellStyle name="Título 2 28 11" xfId="27171"/>
    <cellStyle name="Título 2 28 12" xfId="27172"/>
    <cellStyle name="Título 2 28 13" xfId="27173"/>
    <cellStyle name="Título 2 28 14" xfId="27174"/>
    <cellStyle name="Título 2 28 15" xfId="27175"/>
    <cellStyle name="Título 2 28 16" xfId="27176"/>
    <cellStyle name="Título 2 28 2" xfId="27177"/>
    <cellStyle name="Título 2 28 3" xfId="27178"/>
    <cellStyle name="Título 2 28 4" xfId="27179"/>
    <cellStyle name="Título 2 28 5" xfId="27180"/>
    <cellStyle name="Título 2 28 6" xfId="27181"/>
    <cellStyle name="Título 2 28 7" xfId="27182"/>
    <cellStyle name="Título 2 28 8" xfId="27183"/>
    <cellStyle name="Título 2 28 9" xfId="27184"/>
    <cellStyle name="Título 2 29" xfId="27185"/>
    <cellStyle name="Título 2 29 10" xfId="27186"/>
    <cellStyle name="Título 2 29 11" xfId="27187"/>
    <cellStyle name="Título 2 29 12" xfId="27188"/>
    <cellStyle name="Título 2 29 13" xfId="27189"/>
    <cellStyle name="Título 2 29 14" xfId="27190"/>
    <cellStyle name="Título 2 29 15" xfId="27191"/>
    <cellStyle name="Título 2 29 16" xfId="27192"/>
    <cellStyle name="Título 2 29 2" xfId="27193"/>
    <cellStyle name="Título 2 29 3" xfId="27194"/>
    <cellStyle name="Título 2 29 4" xfId="27195"/>
    <cellStyle name="Título 2 29 5" xfId="27196"/>
    <cellStyle name="Título 2 29 6" xfId="27197"/>
    <cellStyle name="Título 2 29 7" xfId="27198"/>
    <cellStyle name="Título 2 29 8" xfId="27199"/>
    <cellStyle name="Título 2 29 9" xfId="27200"/>
    <cellStyle name="Título 2 3" xfId="27201"/>
    <cellStyle name="Título 2 3 10" xfId="27202"/>
    <cellStyle name="Título 2 3 11" xfId="27203"/>
    <cellStyle name="Título 2 3 2" xfId="27204"/>
    <cellStyle name="Título 2 3 3" xfId="27205"/>
    <cellStyle name="Título 2 3 4" xfId="27206"/>
    <cellStyle name="Título 2 3 5" xfId="27207"/>
    <cellStyle name="Título 2 3 6" xfId="27208"/>
    <cellStyle name="Título 2 3 7" xfId="27209"/>
    <cellStyle name="Título 2 3 8" xfId="27210"/>
    <cellStyle name="Título 2 3 9" xfId="27211"/>
    <cellStyle name="Título 2 30" xfId="27212"/>
    <cellStyle name="Título 2 31" xfId="27213"/>
    <cellStyle name="Título 2 32" xfId="27214"/>
    <cellStyle name="Título 2 33" xfId="27215"/>
    <cellStyle name="Título 2 34" xfId="27216"/>
    <cellStyle name="Título 2 35" xfId="27217"/>
    <cellStyle name="Título 2 36" xfId="27218"/>
    <cellStyle name="Título 2 37" xfId="27219"/>
    <cellStyle name="Título 2 38" xfId="27220"/>
    <cellStyle name="Título 2 39" xfId="27221"/>
    <cellStyle name="Título 2 4" xfId="27222"/>
    <cellStyle name="Título 2 4 10" xfId="27223"/>
    <cellStyle name="Título 2 4 11" xfId="27224"/>
    <cellStyle name="Título 2 4 2" xfId="27225"/>
    <cellStyle name="Título 2 4 3" xfId="27226"/>
    <cellStyle name="Título 2 4 4" xfId="27227"/>
    <cellStyle name="Título 2 4 5" xfId="27228"/>
    <cellStyle name="Título 2 4 6" xfId="27229"/>
    <cellStyle name="Título 2 4 7" xfId="27230"/>
    <cellStyle name="Título 2 4 8" xfId="27231"/>
    <cellStyle name="Título 2 4 9" xfId="27232"/>
    <cellStyle name="Título 2 40" xfId="27233"/>
    <cellStyle name="Título 2 41" xfId="27234"/>
    <cellStyle name="Título 2 42" xfId="27235"/>
    <cellStyle name="Título 2 43" xfId="27236"/>
    <cellStyle name="Título 2 44" xfId="27237"/>
    <cellStyle name="Título 2 45" xfId="27238"/>
    <cellStyle name="Título 2 46" xfId="27239"/>
    <cellStyle name="Título 2 47" xfId="27240"/>
    <cellStyle name="Título 2 48" xfId="27241"/>
    <cellStyle name="Título 2 49" xfId="27242"/>
    <cellStyle name="Título 2 5" xfId="27243"/>
    <cellStyle name="Título 2 5 2" xfId="27244"/>
    <cellStyle name="Título 2 5 3" xfId="27245"/>
    <cellStyle name="Título 2 5 4" xfId="27246"/>
    <cellStyle name="Título 2 50" xfId="27247"/>
    <cellStyle name="Título 2 51" xfId="27248"/>
    <cellStyle name="Título 2 52" xfId="27249"/>
    <cellStyle name="Título 2 53" xfId="27250"/>
    <cellStyle name="Título 2 54" xfId="27251"/>
    <cellStyle name="Título 2 55" xfId="27252"/>
    <cellStyle name="Título 2 56" xfId="27253"/>
    <cellStyle name="Título 2 57" xfId="27254"/>
    <cellStyle name="Título 2 58" xfId="27255"/>
    <cellStyle name="Título 2 59" xfId="27256"/>
    <cellStyle name="Título 2 6" xfId="27257"/>
    <cellStyle name="Título 2 6 2" xfId="27258"/>
    <cellStyle name="Título 2 6 3" xfId="27259"/>
    <cellStyle name="Título 2 6 4" xfId="27260"/>
    <cellStyle name="Título 2 60" xfId="27261"/>
    <cellStyle name="Título 2 61" xfId="27262"/>
    <cellStyle name="Título 2 62" xfId="27263"/>
    <cellStyle name="Título 2 63" xfId="27264"/>
    <cellStyle name="Título 2 64" xfId="27265"/>
    <cellStyle name="Título 2 65" xfId="27266"/>
    <cellStyle name="Título 2 66" xfId="27267"/>
    <cellStyle name="Título 2 67" xfId="27268"/>
    <cellStyle name="Título 2 68" xfId="27269"/>
    <cellStyle name="Título 2 69" xfId="27270"/>
    <cellStyle name="Título 2 7" xfId="27271"/>
    <cellStyle name="Título 2 7 2" xfId="27272"/>
    <cellStyle name="Título 2 7 3" xfId="27273"/>
    <cellStyle name="Título 2 7 4" xfId="27274"/>
    <cellStyle name="Título 2 70" xfId="27275"/>
    <cellStyle name="Título 2 71" xfId="27276"/>
    <cellStyle name="Título 2 72" xfId="27277"/>
    <cellStyle name="Título 2 73" xfId="27278"/>
    <cellStyle name="Título 2 74" xfId="27279"/>
    <cellStyle name="Título 2 75" xfId="27280"/>
    <cellStyle name="Título 2 76" xfId="27281"/>
    <cellStyle name="Título 2 77" xfId="27282"/>
    <cellStyle name="Título 2 78" xfId="27283"/>
    <cellStyle name="Título 2 79" xfId="27284"/>
    <cellStyle name="Título 2 8" xfId="27285"/>
    <cellStyle name="Título 2 8 2" xfId="27286"/>
    <cellStyle name="Título 2 8 3" xfId="27287"/>
    <cellStyle name="Título 2 8 4" xfId="27288"/>
    <cellStyle name="Título 2 80" xfId="27289"/>
    <cellStyle name="Título 2 81" xfId="27290"/>
    <cellStyle name="Título 2 82" xfId="27291"/>
    <cellStyle name="Título 2 83" xfId="27292"/>
    <cellStyle name="Título 2 84" xfId="27293"/>
    <cellStyle name="Título 2 85" xfId="27294"/>
    <cellStyle name="Título 2 86" xfId="27295"/>
    <cellStyle name="Título 2 87" xfId="27296"/>
    <cellStyle name="Título 2 88" xfId="27297"/>
    <cellStyle name="Título 2 89" xfId="27298"/>
    <cellStyle name="Título 2 9" xfId="27299"/>
    <cellStyle name="Título 2 90" xfId="27300"/>
    <cellStyle name="Título 2 91" xfId="27301"/>
    <cellStyle name="Título 2 92" xfId="27302"/>
    <cellStyle name="Título 2 93" xfId="27303"/>
    <cellStyle name="Título 2 94" xfId="27304"/>
    <cellStyle name="Título 2 95" xfId="27305"/>
    <cellStyle name="Título 2 96" xfId="27306"/>
    <cellStyle name="Título 2 97" xfId="27307"/>
    <cellStyle name="Título 2 98" xfId="27308"/>
    <cellStyle name="Título 2 99" xfId="27309"/>
    <cellStyle name="Título 20" xfId="27310"/>
    <cellStyle name="Título 20 2" xfId="27311"/>
    <cellStyle name="Título 20 3" xfId="27312"/>
    <cellStyle name="Título 21" xfId="27313"/>
    <cellStyle name="Título 21 2" xfId="27314"/>
    <cellStyle name="Título 21 3" xfId="27315"/>
    <cellStyle name="Título 22" xfId="27316"/>
    <cellStyle name="Título 22 2" xfId="27317"/>
    <cellStyle name="Título 22 3" xfId="27318"/>
    <cellStyle name="Título 23" xfId="27319"/>
    <cellStyle name="Título 23 2" xfId="27320"/>
    <cellStyle name="Título 23 3" xfId="27321"/>
    <cellStyle name="Título 24" xfId="27322"/>
    <cellStyle name="Título 25" xfId="27323"/>
    <cellStyle name="Título 26" xfId="27324"/>
    <cellStyle name="Título 27" xfId="27325"/>
    <cellStyle name="Título 27 2" xfId="40958"/>
    <cellStyle name="Título 28" xfId="27326"/>
    <cellStyle name="Título 28 2" xfId="40993"/>
    <cellStyle name="Título 29" xfId="27327"/>
    <cellStyle name="Título 29 10" xfId="27328"/>
    <cellStyle name="Título 29 11" xfId="27329"/>
    <cellStyle name="Título 29 12" xfId="27330"/>
    <cellStyle name="Título 29 13" xfId="27331"/>
    <cellStyle name="Título 29 14" xfId="27332"/>
    <cellStyle name="Título 29 15" xfId="27333"/>
    <cellStyle name="Título 29 16" xfId="27334"/>
    <cellStyle name="Título 29 2" xfId="27335"/>
    <cellStyle name="Título 29 3" xfId="27336"/>
    <cellStyle name="Título 29 4" xfId="27337"/>
    <cellStyle name="Título 29 5" xfId="27338"/>
    <cellStyle name="Título 29 6" xfId="27339"/>
    <cellStyle name="Título 29 7" xfId="27340"/>
    <cellStyle name="Título 29 8" xfId="27341"/>
    <cellStyle name="Título 29 9" xfId="27342"/>
    <cellStyle name="Título 3 10" xfId="27343"/>
    <cellStyle name="Título 3 10 2" xfId="40883"/>
    <cellStyle name="Título 3 100" xfId="27344"/>
    <cellStyle name="Título 3 101" xfId="27345"/>
    <cellStyle name="Título 3 102" xfId="27346"/>
    <cellStyle name="Título 3 103" xfId="27347"/>
    <cellStyle name="Título 3 104" xfId="27348"/>
    <cellStyle name="Título 3 105" xfId="27349"/>
    <cellStyle name="Título 3 106" xfId="27350"/>
    <cellStyle name="Título 3 107" xfId="27351"/>
    <cellStyle name="Título 3 108" xfId="27352"/>
    <cellStyle name="Título 3 109" xfId="27353"/>
    <cellStyle name="Título 3 11" xfId="27354"/>
    <cellStyle name="Título 3 11 2" xfId="40884"/>
    <cellStyle name="Título 3 110" xfId="27355"/>
    <cellStyle name="Título 3 111" xfId="27356"/>
    <cellStyle name="Título 3 112" xfId="27357"/>
    <cellStyle name="Título 3 113" xfId="27358"/>
    <cellStyle name="Título 3 114" xfId="27359"/>
    <cellStyle name="Título 3 115" xfId="27360"/>
    <cellStyle name="Título 3 116" xfId="27361"/>
    <cellStyle name="Título 3 117" xfId="27362"/>
    <cellStyle name="Título 3 118" xfId="27363"/>
    <cellStyle name="Título 3 119" xfId="27364"/>
    <cellStyle name="Título 3 12" xfId="27365"/>
    <cellStyle name="Título 3 12 2" xfId="40885"/>
    <cellStyle name="Título 3 120" xfId="27366"/>
    <cellStyle name="Título 3 121" xfId="27367"/>
    <cellStyle name="Título 3 122" xfId="27368"/>
    <cellStyle name="Título 3 123" xfId="27369"/>
    <cellStyle name="Título 3 124" xfId="27370"/>
    <cellStyle name="Título 3 125" xfId="27371"/>
    <cellStyle name="Título 3 126" xfId="27372"/>
    <cellStyle name="Título 3 127" xfId="27373"/>
    <cellStyle name="Título 3 128" xfId="27374"/>
    <cellStyle name="Título 3 129" xfId="27375"/>
    <cellStyle name="Título 3 13" xfId="27376"/>
    <cellStyle name="Título 3 13 2" xfId="40886"/>
    <cellStyle name="Título 3 130" xfId="27377"/>
    <cellStyle name="Título 3 131" xfId="27378"/>
    <cellStyle name="Título 3 132" xfId="27379"/>
    <cellStyle name="Título 3 133" xfId="27380"/>
    <cellStyle name="Título 3 134" xfId="27381"/>
    <cellStyle name="Título 3 135" xfId="27382"/>
    <cellStyle name="Título 3 136" xfId="27383"/>
    <cellStyle name="Título 3 137" xfId="27384"/>
    <cellStyle name="Título 3 138" xfId="27385"/>
    <cellStyle name="Título 3 139" xfId="27386"/>
    <cellStyle name="Título 3 14" xfId="27387"/>
    <cellStyle name="Título 3 140" xfId="27388"/>
    <cellStyle name="Título 3 141" xfId="27389"/>
    <cellStyle name="Título 3 142" xfId="27390"/>
    <cellStyle name="Título 3 143" xfId="27391"/>
    <cellStyle name="Título 3 144" xfId="27392"/>
    <cellStyle name="Título 3 145" xfId="27393"/>
    <cellStyle name="Título 3 146" xfId="27394"/>
    <cellStyle name="Título 3 147" xfId="27395"/>
    <cellStyle name="Título 3 148" xfId="27396"/>
    <cellStyle name="Título 3 149" xfId="27397"/>
    <cellStyle name="Título 3 15" xfId="27398"/>
    <cellStyle name="Título 3 15 2" xfId="27399"/>
    <cellStyle name="Título 3 15 3" xfId="27400"/>
    <cellStyle name="Título 3 150" xfId="27401"/>
    <cellStyle name="Título 3 151" xfId="27402"/>
    <cellStyle name="Título 3 152" xfId="27403"/>
    <cellStyle name="Título 3 153" xfId="27404"/>
    <cellStyle name="Título 3 154" xfId="27405"/>
    <cellStyle name="Título 3 155" xfId="27406"/>
    <cellStyle name="Título 3 156" xfId="27407"/>
    <cellStyle name="Título 3 157" xfId="27408"/>
    <cellStyle name="Título 3 158" xfId="27409"/>
    <cellStyle name="Título 3 159" xfId="27410"/>
    <cellStyle name="Título 3 16" xfId="27411"/>
    <cellStyle name="Título 3 16 2" xfId="27412"/>
    <cellStyle name="Título 3 16 3" xfId="27413"/>
    <cellStyle name="Título 3 160" xfId="27414"/>
    <cellStyle name="Título 3 161" xfId="27415"/>
    <cellStyle name="Título 3 162" xfId="27416"/>
    <cellStyle name="Título 3 163" xfId="27417"/>
    <cellStyle name="Título 3 164" xfId="27418"/>
    <cellStyle name="Título 3 165" xfId="27419"/>
    <cellStyle name="Título 3 166" xfId="27420"/>
    <cellStyle name="Título 3 167" xfId="27421"/>
    <cellStyle name="Título 3 168" xfId="27422"/>
    <cellStyle name="Título 3 169" xfId="27423"/>
    <cellStyle name="Título 3 17" xfId="27424"/>
    <cellStyle name="Título 3 17 2" xfId="27425"/>
    <cellStyle name="Título 3 17 3" xfId="27426"/>
    <cellStyle name="Título 3 170" xfId="27427"/>
    <cellStyle name="Título 3 171" xfId="27428"/>
    <cellStyle name="Título 3 172" xfId="27429"/>
    <cellStyle name="Título 3 173" xfId="27430"/>
    <cellStyle name="Título 3 174" xfId="27431"/>
    <cellStyle name="Título 3 175" xfId="27432"/>
    <cellStyle name="Título 3 176" xfId="27433"/>
    <cellStyle name="Título 3 177" xfId="27434"/>
    <cellStyle name="Título 3 178" xfId="27435"/>
    <cellStyle name="Título 3 179" xfId="27436"/>
    <cellStyle name="Título 3 18" xfId="27437"/>
    <cellStyle name="Título 3 18 2" xfId="27438"/>
    <cellStyle name="Título 3 18 3" xfId="27439"/>
    <cellStyle name="Título 3 180" xfId="27440"/>
    <cellStyle name="Título 3 181" xfId="27441"/>
    <cellStyle name="Título 3 182" xfId="27442"/>
    <cellStyle name="Título 3 183" xfId="27443"/>
    <cellStyle name="Título 3 184" xfId="27444"/>
    <cellStyle name="Título 3 185" xfId="27445"/>
    <cellStyle name="Título 3 186" xfId="27446"/>
    <cellStyle name="Título 3 187" xfId="27447"/>
    <cellStyle name="Título 3 188" xfId="27448"/>
    <cellStyle name="Título 3 189" xfId="27449"/>
    <cellStyle name="Título 3 19" xfId="27450"/>
    <cellStyle name="Título 3 19 2" xfId="27451"/>
    <cellStyle name="Título 3 19 3" xfId="27452"/>
    <cellStyle name="Título 3 190" xfId="27453"/>
    <cellStyle name="Título 3 2" xfId="27454"/>
    <cellStyle name="Título 3 2 10" xfId="27455"/>
    <cellStyle name="Título 3 2 10 2" xfId="27456"/>
    <cellStyle name="Título 3 2 10 3" xfId="27457"/>
    <cellStyle name="Título 3 2 10 4" xfId="27458"/>
    <cellStyle name="Título 3 2 10 5" xfId="27459"/>
    <cellStyle name="Título 3 2 10 6" xfId="27460"/>
    <cellStyle name="Título 3 2 10 7" xfId="27461"/>
    <cellStyle name="Título 3 2 11" xfId="27462"/>
    <cellStyle name="Título 3 2 11 2" xfId="27463"/>
    <cellStyle name="Título 3 2 11 3" xfId="27464"/>
    <cellStyle name="Título 3 2 11 4" xfId="27465"/>
    <cellStyle name="Título 3 2 11 5" xfId="27466"/>
    <cellStyle name="Título 3 2 11 6" xfId="27467"/>
    <cellStyle name="Título 3 2 11 7" xfId="27468"/>
    <cellStyle name="Título 3 2 12" xfId="27469"/>
    <cellStyle name="Título 3 2 13" xfId="27470"/>
    <cellStyle name="Título 3 2 14" xfId="27471"/>
    <cellStyle name="Título 3 2 15" xfId="27472"/>
    <cellStyle name="Título 3 2 16" xfId="27473"/>
    <cellStyle name="Título 3 2 17" xfId="27474"/>
    <cellStyle name="Título 3 2 18" xfId="27475"/>
    <cellStyle name="Título 3 2 19" xfId="27476"/>
    <cellStyle name="Título 3 2 2" xfId="27477"/>
    <cellStyle name="Título 3 2 20" xfId="27478"/>
    <cellStyle name="Título 3 2 21" xfId="27479"/>
    <cellStyle name="Título 3 2 22" xfId="27480"/>
    <cellStyle name="Título 3 2 23" xfId="27481"/>
    <cellStyle name="Título 3 2 24" xfId="27482"/>
    <cellStyle name="Título 3 2 25" xfId="27483"/>
    <cellStyle name="Título 3 2 26" xfId="27484"/>
    <cellStyle name="Título 3 2 27" xfId="27485"/>
    <cellStyle name="Título 3 2 28" xfId="27486"/>
    <cellStyle name="Título 3 2 29" xfId="27487"/>
    <cellStyle name="Título 3 2 3" xfId="27488"/>
    <cellStyle name="Título 3 2 30" xfId="27489"/>
    <cellStyle name="Título 3 2 31" xfId="27490"/>
    <cellStyle name="Título 3 2 32" xfId="27491"/>
    <cellStyle name="Título 3 2 33" xfId="27492"/>
    <cellStyle name="Título 3 2 34" xfId="27493"/>
    <cellStyle name="Título 3 2 35" xfId="27494"/>
    <cellStyle name="Título 3 2 4" xfId="27495"/>
    <cellStyle name="Título 3 2 5" xfId="27496"/>
    <cellStyle name="Título 3 2 6" xfId="27497"/>
    <cellStyle name="Título 3 2 7" xfId="27498"/>
    <cellStyle name="Título 3 2 8" xfId="27499"/>
    <cellStyle name="Título 3 2 8 2" xfId="27500"/>
    <cellStyle name="Título 3 2 8 3" xfId="27501"/>
    <cellStyle name="Título 3 2 8 4" xfId="27502"/>
    <cellStyle name="Título 3 2 8 5" xfId="27503"/>
    <cellStyle name="Título 3 2 8 6" xfId="27504"/>
    <cellStyle name="Título 3 2 8 7" xfId="27505"/>
    <cellStyle name="Título 3 2 9" xfId="27506"/>
    <cellStyle name="Título 3 2 9 2" xfId="27507"/>
    <cellStyle name="Título 3 2 9 3" xfId="27508"/>
    <cellStyle name="Título 3 2 9 4" xfId="27509"/>
    <cellStyle name="Título 3 2 9 5" xfId="27510"/>
    <cellStyle name="Título 3 2 9 6" xfId="27511"/>
    <cellStyle name="Título 3 2 9 7" xfId="27512"/>
    <cellStyle name="Título 3 20" xfId="27513"/>
    <cellStyle name="Título 3 20 2" xfId="27514"/>
    <cellStyle name="Título 3 20 3" xfId="27515"/>
    <cellStyle name="Título 3 21" xfId="27516"/>
    <cellStyle name="Título 3 22" xfId="27517"/>
    <cellStyle name="Título 3 23" xfId="27518"/>
    <cellStyle name="Título 3 24" xfId="27519"/>
    <cellStyle name="Título 3 24 2" xfId="40961"/>
    <cellStyle name="Título 3 25" xfId="27520"/>
    <cellStyle name="Título 3 25 2" xfId="40996"/>
    <cellStyle name="Título 3 26" xfId="27521"/>
    <cellStyle name="Título 3 26 10" xfId="27522"/>
    <cellStyle name="Título 3 26 11" xfId="27523"/>
    <cellStyle name="Título 3 26 12" xfId="27524"/>
    <cellStyle name="Título 3 26 13" xfId="27525"/>
    <cellStyle name="Título 3 26 14" xfId="27526"/>
    <cellStyle name="Título 3 26 15" xfId="27527"/>
    <cellStyle name="Título 3 26 16" xfId="27528"/>
    <cellStyle name="Título 3 26 2" xfId="27529"/>
    <cellStyle name="Título 3 26 3" xfId="27530"/>
    <cellStyle name="Título 3 26 4" xfId="27531"/>
    <cellStyle name="Título 3 26 5" xfId="27532"/>
    <cellStyle name="Título 3 26 6" xfId="27533"/>
    <cellStyle name="Título 3 26 7" xfId="27534"/>
    <cellStyle name="Título 3 26 8" xfId="27535"/>
    <cellStyle name="Título 3 26 9" xfId="27536"/>
    <cellStyle name="Título 3 27" xfId="27537"/>
    <cellStyle name="Título 3 27 10" xfId="27538"/>
    <cellStyle name="Título 3 27 11" xfId="27539"/>
    <cellStyle name="Título 3 27 12" xfId="27540"/>
    <cellStyle name="Título 3 27 13" xfId="27541"/>
    <cellStyle name="Título 3 27 14" xfId="27542"/>
    <cellStyle name="Título 3 27 15" xfId="27543"/>
    <cellStyle name="Título 3 27 16" xfId="27544"/>
    <cellStyle name="Título 3 27 2" xfId="27545"/>
    <cellStyle name="Título 3 27 3" xfId="27546"/>
    <cellStyle name="Título 3 27 4" xfId="27547"/>
    <cellStyle name="Título 3 27 5" xfId="27548"/>
    <cellStyle name="Título 3 27 6" xfId="27549"/>
    <cellStyle name="Título 3 27 7" xfId="27550"/>
    <cellStyle name="Título 3 27 8" xfId="27551"/>
    <cellStyle name="Título 3 27 9" xfId="27552"/>
    <cellStyle name="Título 3 28" xfId="27553"/>
    <cellStyle name="Título 3 28 10" xfId="27554"/>
    <cellStyle name="Título 3 28 11" xfId="27555"/>
    <cellStyle name="Título 3 28 12" xfId="27556"/>
    <cellStyle name="Título 3 28 13" xfId="27557"/>
    <cellStyle name="Título 3 28 14" xfId="27558"/>
    <cellStyle name="Título 3 28 15" xfId="27559"/>
    <cellStyle name="Título 3 28 16" xfId="27560"/>
    <cellStyle name="Título 3 28 2" xfId="27561"/>
    <cellStyle name="Título 3 28 3" xfId="27562"/>
    <cellStyle name="Título 3 28 4" xfId="27563"/>
    <cellStyle name="Título 3 28 5" xfId="27564"/>
    <cellStyle name="Título 3 28 6" xfId="27565"/>
    <cellStyle name="Título 3 28 7" xfId="27566"/>
    <cellStyle name="Título 3 28 8" xfId="27567"/>
    <cellStyle name="Título 3 28 9" xfId="27568"/>
    <cellStyle name="Título 3 29" xfId="27569"/>
    <cellStyle name="Título 3 29 10" xfId="27570"/>
    <cellStyle name="Título 3 29 11" xfId="27571"/>
    <cellStyle name="Título 3 29 12" xfId="27572"/>
    <cellStyle name="Título 3 29 13" xfId="27573"/>
    <cellStyle name="Título 3 29 14" xfId="27574"/>
    <cellStyle name="Título 3 29 15" xfId="27575"/>
    <cellStyle name="Título 3 29 16" xfId="27576"/>
    <cellStyle name="Título 3 29 2" xfId="27577"/>
    <cellStyle name="Título 3 29 3" xfId="27578"/>
    <cellStyle name="Título 3 29 4" xfId="27579"/>
    <cellStyle name="Título 3 29 5" xfId="27580"/>
    <cellStyle name="Título 3 29 6" xfId="27581"/>
    <cellStyle name="Título 3 29 7" xfId="27582"/>
    <cellStyle name="Título 3 29 8" xfId="27583"/>
    <cellStyle name="Título 3 29 9" xfId="27584"/>
    <cellStyle name="Título 3 3" xfId="27585"/>
    <cellStyle name="Título 3 3 10" xfId="27586"/>
    <cellStyle name="Título 3 3 11" xfId="27587"/>
    <cellStyle name="Título 3 3 2" xfId="27588"/>
    <cellStyle name="Título 3 3 3" xfId="27589"/>
    <cellStyle name="Título 3 3 4" xfId="27590"/>
    <cellStyle name="Título 3 3 5" xfId="27591"/>
    <cellStyle name="Título 3 3 6" xfId="27592"/>
    <cellStyle name="Título 3 3 7" xfId="27593"/>
    <cellStyle name="Título 3 3 8" xfId="27594"/>
    <cellStyle name="Título 3 3 9" xfId="27595"/>
    <cellStyle name="Título 3 30" xfId="27596"/>
    <cellStyle name="Título 3 31" xfId="27597"/>
    <cellStyle name="Título 3 32" xfId="27598"/>
    <cellStyle name="Título 3 33" xfId="27599"/>
    <cellStyle name="Título 3 34" xfId="27600"/>
    <cellStyle name="Título 3 35" xfId="27601"/>
    <cellStyle name="Título 3 36" xfId="27602"/>
    <cellStyle name="Título 3 37" xfId="27603"/>
    <cellStyle name="Título 3 38" xfId="27604"/>
    <cellStyle name="Título 3 39" xfId="27605"/>
    <cellStyle name="Título 3 4" xfId="27606"/>
    <cellStyle name="Título 3 4 10" xfId="27607"/>
    <cellStyle name="Título 3 4 11" xfId="27608"/>
    <cellStyle name="Título 3 4 2" xfId="27609"/>
    <cellStyle name="Título 3 4 3" xfId="27610"/>
    <cellStyle name="Título 3 4 4" xfId="27611"/>
    <cellStyle name="Título 3 4 5" xfId="27612"/>
    <cellStyle name="Título 3 4 6" xfId="27613"/>
    <cellStyle name="Título 3 4 7" xfId="27614"/>
    <cellStyle name="Título 3 4 8" xfId="27615"/>
    <cellStyle name="Título 3 4 9" xfId="27616"/>
    <cellStyle name="Título 3 40" xfId="27617"/>
    <cellStyle name="Título 3 41" xfId="27618"/>
    <cellStyle name="Título 3 42" xfId="27619"/>
    <cellStyle name="Título 3 43" xfId="27620"/>
    <cellStyle name="Título 3 44" xfId="27621"/>
    <cellStyle name="Título 3 45" xfId="27622"/>
    <cellStyle name="Título 3 46" xfId="27623"/>
    <cellStyle name="Título 3 47" xfId="27624"/>
    <cellStyle name="Título 3 48" xfId="27625"/>
    <cellStyle name="Título 3 49" xfId="27626"/>
    <cellStyle name="Título 3 5" xfId="27627"/>
    <cellStyle name="Título 3 5 2" xfId="27628"/>
    <cellStyle name="Título 3 5 3" xfId="27629"/>
    <cellStyle name="Título 3 5 4" xfId="27630"/>
    <cellStyle name="Título 3 50" xfId="27631"/>
    <cellStyle name="Título 3 51" xfId="27632"/>
    <cellStyle name="Título 3 52" xfId="27633"/>
    <cellStyle name="Título 3 53" xfId="27634"/>
    <cellStyle name="Título 3 54" xfId="27635"/>
    <cellStyle name="Título 3 55" xfId="27636"/>
    <cellStyle name="Título 3 56" xfId="27637"/>
    <cellStyle name="Título 3 57" xfId="27638"/>
    <cellStyle name="Título 3 58" xfId="27639"/>
    <cellStyle name="Título 3 59" xfId="27640"/>
    <cellStyle name="Título 3 6" xfId="27641"/>
    <cellStyle name="Título 3 6 2" xfId="27642"/>
    <cellStyle name="Título 3 6 3" xfId="27643"/>
    <cellStyle name="Título 3 6 4" xfId="27644"/>
    <cellStyle name="Título 3 60" xfId="27645"/>
    <cellStyle name="Título 3 61" xfId="27646"/>
    <cellStyle name="Título 3 62" xfId="27647"/>
    <cellStyle name="Título 3 63" xfId="27648"/>
    <cellStyle name="Título 3 64" xfId="27649"/>
    <cellStyle name="Título 3 65" xfId="27650"/>
    <cellStyle name="Título 3 66" xfId="27651"/>
    <cellStyle name="Título 3 67" xfId="27652"/>
    <cellStyle name="Título 3 68" xfId="27653"/>
    <cellStyle name="Título 3 69" xfId="27654"/>
    <cellStyle name="Título 3 7" xfId="27655"/>
    <cellStyle name="Título 3 7 2" xfId="27656"/>
    <cellStyle name="Título 3 7 3" xfId="27657"/>
    <cellStyle name="Título 3 7 4" xfId="27658"/>
    <cellStyle name="Título 3 70" xfId="27659"/>
    <cellStyle name="Título 3 71" xfId="27660"/>
    <cellStyle name="Título 3 72" xfId="27661"/>
    <cellStyle name="Título 3 73" xfId="27662"/>
    <cellStyle name="Título 3 74" xfId="27663"/>
    <cellStyle name="Título 3 75" xfId="27664"/>
    <cellStyle name="Título 3 76" xfId="27665"/>
    <cellStyle name="Título 3 77" xfId="27666"/>
    <cellStyle name="Título 3 78" xfId="27667"/>
    <cellStyle name="Título 3 79" xfId="27668"/>
    <cellStyle name="Título 3 8" xfId="27669"/>
    <cellStyle name="Título 3 8 2" xfId="27670"/>
    <cellStyle name="Título 3 8 3" xfId="27671"/>
    <cellStyle name="Título 3 8 4" xfId="27672"/>
    <cellStyle name="Título 3 80" xfId="27673"/>
    <cellStyle name="Título 3 81" xfId="27674"/>
    <cellStyle name="Título 3 82" xfId="27675"/>
    <cellStyle name="Título 3 83" xfId="27676"/>
    <cellStyle name="Título 3 84" xfId="27677"/>
    <cellStyle name="Título 3 85" xfId="27678"/>
    <cellStyle name="Título 3 86" xfId="27679"/>
    <cellStyle name="Título 3 87" xfId="27680"/>
    <cellStyle name="Título 3 88" xfId="27681"/>
    <cellStyle name="Título 3 89" xfId="27682"/>
    <cellStyle name="Título 3 9" xfId="27683"/>
    <cellStyle name="Título 3 90" xfId="27684"/>
    <cellStyle name="Título 3 91" xfId="27685"/>
    <cellStyle name="Título 3 92" xfId="27686"/>
    <cellStyle name="Título 3 93" xfId="27687"/>
    <cellStyle name="Título 3 94" xfId="27688"/>
    <cellStyle name="Título 3 95" xfId="27689"/>
    <cellStyle name="Título 3 96" xfId="27690"/>
    <cellStyle name="Título 3 97" xfId="27691"/>
    <cellStyle name="Título 3 98" xfId="27692"/>
    <cellStyle name="Título 3 99" xfId="27693"/>
    <cellStyle name="Título 30" xfId="27694"/>
    <cellStyle name="Título 30 10" xfId="27695"/>
    <cellStyle name="Título 30 11" xfId="27696"/>
    <cellStyle name="Título 30 12" xfId="27697"/>
    <cellStyle name="Título 30 13" xfId="27698"/>
    <cellStyle name="Título 30 14" xfId="27699"/>
    <cellStyle name="Título 30 15" xfId="27700"/>
    <cellStyle name="Título 30 16" xfId="27701"/>
    <cellStyle name="Título 30 2" xfId="27702"/>
    <cellStyle name="Título 30 3" xfId="27703"/>
    <cellStyle name="Título 30 4" xfId="27704"/>
    <cellStyle name="Título 30 5" xfId="27705"/>
    <cellStyle name="Título 30 6" xfId="27706"/>
    <cellStyle name="Título 30 7" xfId="27707"/>
    <cellStyle name="Título 30 8" xfId="27708"/>
    <cellStyle name="Título 30 9" xfId="27709"/>
    <cellStyle name="Título 31" xfId="27710"/>
    <cellStyle name="Título 31 10" xfId="27711"/>
    <cellStyle name="Título 31 11" xfId="27712"/>
    <cellStyle name="Título 31 12" xfId="27713"/>
    <cellStyle name="Título 31 13" xfId="27714"/>
    <cellStyle name="Título 31 14" xfId="27715"/>
    <cellStyle name="Título 31 15" xfId="27716"/>
    <cellStyle name="Título 31 16" xfId="27717"/>
    <cellStyle name="Título 31 2" xfId="27718"/>
    <cellStyle name="Título 31 3" xfId="27719"/>
    <cellStyle name="Título 31 4" xfId="27720"/>
    <cellStyle name="Título 31 5" xfId="27721"/>
    <cellStyle name="Título 31 6" xfId="27722"/>
    <cellStyle name="Título 31 7" xfId="27723"/>
    <cellStyle name="Título 31 8" xfId="27724"/>
    <cellStyle name="Título 31 9" xfId="27725"/>
    <cellStyle name="Título 32" xfId="27726"/>
    <cellStyle name="Título 32 10" xfId="27727"/>
    <cellStyle name="Título 32 11" xfId="27728"/>
    <cellStyle name="Título 32 12" xfId="27729"/>
    <cellStyle name="Título 32 13" xfId="27730"/>
    <cellStyle name="Título 32 14" xfId="27731"/>
    <cellStyle name="Título 32 15" xfId="27732"/>
    <cellStyle name="Título 32 16" xfId="27733"/>
    <cellStyle name="Título 32 2" xfId="27734"/>
    <cellStyle name="Título 32 3" xfId="27735"/>
    <cellStyle name="Título 32 4" xfId="27736"/>
    <cellStyle name="Título 32 5" xfId="27737"/>
    <cellStyle name="Título 32 6" xfId="27738"/>
    <cellStyle name="Título 32 7" xfId="27739"/>
    <cellStyle name="Título 32 8" xfId="27740"/>
    <cellStyle name="Título 32 9" xfId="27741"/>
    <cellStyle name="Título 33" xfId="27742"/>
    <cellStyle name="Título 34" xfId="27743"/>
    <cellStyle name="Título 35" xfId="27744"/>
    <cellStyle name="Título 36" xfId="27745"/>
    <cellStyle name="Título 37" xfId="27746"/>
    <cellStyle name="Título 38" xfId="27747"/>
    <cellStyle name="Título 39" xfId="27748"/>
    <cellStyle name="Título 4 10" xfId="27749"/>
    <cellStyle name="Título 4 10 2" xfId="40887"/>
    <cellStyle name="Título 4 100" xfId="27750"/>
    <cellStyle name="Título 4 101" xfId="27751"/>
    <cellStyle name="Título 4 102" xfId="27752"/>
    <cellStyle name="Título 4 103" xfId="27753"/>
    <cellStyle name="Título 4 104" xfId="27754"/>
    <cellStyle name="Título 4 105" xfId="27755"/>
    <cellStyle name="Título 4 106" xfId="27756"/>
    <cellStyle name="Título 4 107" xfId="27757"/>
    <cellStyle name="Título 4 108" xfId="27758"/>
    <cellStyle name="Título 4 109" xfId="27759"/>
    <cellStyle name="Título 4 11" xfId="27760"/>
    <cellStyle name="Título 4 11 2" xfId="40888"/>
    <cellStyle name="Título 4 110" xfId="27761"/>
    <cellStyle name="Título 4 111" xfId="27762"/>
    <cellStyle name="Título 4 112" xfId="27763"/>
    <cellStyle name="Título 4 113" xfId="27764"/>
    <cellStyle name="Título 4 114" xfId="27765"/>
    <cellStyle name="Título 4 115" xfId="27766"/>
    <cellStyle name="Título 4 116" xfId="27767"/>
    <cellStyle name="Título 4 117" xfId="27768"/>
    <cellStyle name="Título 4 118" xfId="27769"/>
    <cellStyle name="Título 4 119" xfId="27770"/>
    <cellStyle name="Título 4 12" xfId="27771"/>
    <cellStyle name="Título 4 12 2" xfId="40889"/>
    <cellStyle name="Título 4 120" xfId="27772"/>
    <cellStyle name="Título 4 121" xfId="27773"/>
    <cellStyle name="Título 4 122" xfId="27774"/>
    <cellStyle name="Título 4 123" xfId="27775"/>
    <cellStyle name="Título 4 124" xfId="27776"/>
    <cellStyle name="Título 4 125" xfId="27777"/>
    <cellStyle name="Título 4 126" xfId="27778"/>
    <cellStyle name="Título 4 127" xfId="27779"/>
    <cellStyle name="Título 4 128" xfId="27780"/>
    <cellStyle name="Título 4 129" xfId="27781"/>
    <cellStyle name="Título 4 13" xfId="27782"/>
    <cellStyle name="Título 4 13 2" xfId="40890"/>
    <cellStyle name="Título 4 130" xfId="27783"/>
    <cellStyle name="Título 4 131" xfId="27784"/>
    <cellStyle name="Título 4 132" xfId="27785"/>
    <cellStyle name="Título 4 133" xfId="27786"/>
    <cellStyle name="Título 4 134" xfId="27787"/>
    <cellStyle name="Título 4 135" xfId="27788"/>
    <cellStyle name="Título 4 136" xfId="27789"/>
    <cellStyle name="Título 4 137" xfId="27790"/>
    <cellStyle name="Título 4 138" xfId="27791"/>
    <cellStyle name="Título 4 139" xfId="27792"/>
    <cellStyle name="Título 4 14" xfId="27793"/>
    <cellStyle name="Título 4 140" xfId="27794"/>
    <cellStyle name="Título 4 141" xfId="27795"/>
    <cellStyle name="Título 4 142" xfId="27796"/>
    <cellStyle name="Título 4 143" xfId="27797"/>
    <cellStyle name="Título 4 144" xfId="27798"/>
    <cellStyle name="Título 4 145" xfId="27799"/>
    <cellStyle name="Título 4 146" xfId="27800"/>
    <cellStyle name="Título 4 147" xfId="27801"/>
    <cellStyle name="Título 4 148" xfId="27802"/>
    <cellStyle name="Título 4 149" xfId="27803"/>
    <cellStyle name="Título 4 15" xfId="27804"/>
    <cellStyle name="Título 4 15 2" xfId="27805"/>
    <cellStyle name="Título 4 15 3" xfId="27806"/>
    <cellStyle name="Título 4 150" xfId="27807"/>
    <cellStyle name="Título 4 151" xfId="27808"/>
    <cellStyle name="Título 4 152" xfId="27809"/>
    <cellStyle name="Título 4 153" xfId="27810"/>
    <cellStyle name="Título 4 154" xfId="27811"/>
    <cellStyle name="Título 4 155" xfId="27812"/>
    <cellStyle name="Título 4 156" xfId="27813"/>
    <cellStyle name="Título 4 157" xfId="27814"/>
    <cellStyle name="Título 4 158" xfId="27815"/>
    <cellStyle name="Título 4 159" xfId="27816"/>
    <cellStyle name="Título 4 16" xfId="27817"/>
    <cellStyle name="Título 4 16 2" xfId="27818"/>
    <cellStyle name="Título 4 16 3" xfId="27819"/>
    <cellStyle name="Título 4 160" xfId="27820"/>
    <cellStyle name="Título 4 161" xfId="27821"/>
    <cellStyle name="Título 4 162" xfId="27822"/>
    <cellStyle name="Título 4 163" xfId="27823"/>
    <cellStyle name="Título 4 164" xfId="27824"/>
    <cellStyle name="Título 4 165" xfId="27825"/>
    <cellStyle name="Título 4 166" xfId="27826"/>
    <cellStyle name="Título 4 167" xfId="27827"/>
    <cellStyle name="Título 4 168" xfId="27828"/>
    <cellStyle name="Título 4 169" xfId="27829"/>
    <cellStyle name="Título 4 17" xfId="27830"/>
    <cellStyle name="Título 4 17 2" xfId="27831"/>
    <cellStyle name="Título 4 17 3" xfId="27832"/>
    <cellStyle name="Título 4 170" xfId="27833"/>
    <cellStyle name="Título 4 171" xfId="27834"/>
    <cellStyle name="Título 4 172" xfId="27835"/>
    <cellStyle name="Título 4 173" xfId="27836"/>
    <cellStyle name="Título 4 174" xfId="27837"/>
    <cellStyle name="Título 4 175" xfId="27838"/>
    <cellStyle name="Título 4 176" xfId="27839"/>
    <cellStyle name="Título 4 177" xfId="27840"/>
    <cellStyle name="Título 4 178" xfId="27841"/>
    <cellStyle name="Título 4 179" xfId="27842"/>
    <cellStyle name="Título 4 18" xfId="27843"/>
    <cellStyle name="Título 4 18 2" xfId="27844"/>
    <cellStyle name="Título 4 18 3" xfId="27845"/>
    <cellStyle name="Título 4 180" xfId="27846"/>
    <cellStyle name="Título 4 181" xfId="27847"/>
    <cellStyle name="Título 4 182" xfId="27848"/>
    <cellStyle name="Título 4 183" xfId="27849"/>
    <cellStyle name="Título 4 184" xfId="27850"/>
    <cellStyle name="Título 4 185" xfId="27851"/>
    <cellStyle name="Título 4 186" xfId="27852"/>
    <cellStyle name="Título 4 187" xfId="27853"/>
    <cellStyle name="Título 4 188" xfId="27854"/>
    <cellStyle name="Título 4 189" xfId="27855"/>
    <cellStyle name="Título 4 19" xfId="27856"/>
    <cellStyle name="Título 4 19 2" xfId="27857"/>
    <cellStyle name="Título 4 19 3" xfId="27858"/>
    <cellStyle name="Título 4 190" xfId="27859"/>
    <cellStyle name="Título 4 2" xfId="27860"/>
    <cellStyle name="Título 4 2 10" xfId="27861"/>
    <cellStyle name="Título 4 2 10 2" xfId="27862"/>
    <cellStyle name="Título 4 2 10 3" xfId="27863"/>
    <cellStyle name="Título 4 2 10 4" xfId="27864"/>
    <cellStyle name="Título 4 2 10 5" xfId="27865"/>
    <cellStyle name="Título 4 2 10 6" xfId="27866"/>
    <cellStyle name="Título 4 2 10 7" xfId="27867"/>
    <cellStyle name="Título 4 2 11" xfId="27868"/>
    <cellStyle name="Título 4 2 11 2" xfId="27869"/>
    <cellStyle name="Título 4 2 11 3" xfId="27870"/>
    <cellStyle name="Título 4 2 11 4" xfId="27871"/>
    <cellStyle name="Título 4 2 11 5" xfId="27872"/>
    <cellStyle name="Título 4 2 11 6" xfId="27873"/>
    <cellStyle name="Título 4 2 11 7" xfId="27874"/>
    <cellStyle name="Título 4 2 12" xfId="27875"/>
    <cellStyle name="Título 4 2 13" xfId="27876"/>
    <cellStyle name="Título 4 2 14" xfId="27877"/>
    <cellStyle name="Título 4 2 15" xfId="27878"/>
    <cellStyle name="Título 4 2 16" xfId="27879"/>
    <cellStyle name="Título 4 2 17" xfId="27880"/>
    <cellStyle name="Título 4 2 18" xfId="27881"/>
    <cellStyle name="Título 4 2 19" xfId="27882"/>
    <cellStyle name="Título 4 2 2" xfId="27883"/>
    <cellStyle name="Título 4 2 20" xfId="27884"/>
    <cellStyle name="Título 4 2 21" xfId="27885"/>
    <cellStyle name="Título 4 2 22" xfId="27886"/>
    <cellStyle name="Título 4 2 23" xfId="27887"/>
    <cellStyle name="Título 4 2 24" xfId="27888"/>
    <cellStyle name="Título 4 2 25" xfId="27889"/>
    <cellStyle name="Título 4 2 26" xfId="27890"/>
    <cellStyle name="Título 4 2 27" xfId="27891"/>
    <cellStyle name="Título 4 2 28" xfId="27892"/>
    <cellStyle name="Título 4 2 29" xfId="27893"/>
    <cellStyle name="Título 4 2 3" xfId="27894"/>
    <cellStyle name="Título 4 2 30" xfId="27895"/>
    <cellStyle name="Título 4 2 31" xfId="27896"/>
    <cellStyle name="Título 4 2 32" xfId="27897"/>
    <cellStyle name="Título 4 2 33" xfId="27898"/>
    <cellStyle name="Título 4 2 34" xfId="27899"/>
    <cellStyle name="Título 4 2 35" xfId="27900"/>
    <cellStyle name="Título 4 2 4" xfId="27901"/>
    <cellStyle name="Título 4 2 5" xfId="27902"/>
    <cellStyle name="Título 4 2 6" xfId="27903"/>
    <cellStyle name="Título 4 2 7" xfId="27904"/>
    <cellStyle name="Título 4 2 8" xfId="27905"/>
    <cellStyle name="Título 4 2 8 2" xfId="27906"/>
    <cellStyle name="Título 4 2 8 3" xfId="27907"/>
    <cellStyle name="Título 4 2 8 4" xfId="27908"/>
    <cellStyle name="Título 4 2 8 5" xfId="27909"/>
    <cellStyle name="Título 4 2 8 6" xfId="27910"/>
    <cellStyle name="Título 4 2 8 7" xfId="27911"/>
    <cellStyle name="Título 4 2 9" xfId="27912"/>
    <cellStyle name="Título 4 2 9 2" xfId="27913"/>
    <cellStyle name="Título 4 2 9 3" xfId="27914"/>
    <cellStyle name="Título 4 2 9 4" xfId="27915"/>
    <cellStyle name="Título 4 2 9 5" xfId="27916"/>
    <cellStyle name="Título 4 2 9 6" xfId="27917"/>
    <cellStyle name="Título 4 2 9 7" xfId="27918"/>
    <cellStyle name="Título 4 20" xfId="27919"/>
    <cellStyle name="Título 4 20 2" xfId="27920"/>
    <cellStyle name="Título 4 20 3" xfId="27921"/>
    <cellStyle name="Título 4 21" xfId="27922"/>
    <cellStyle name="Título 4 22" xfId="27923"/>
    <cellStyle name="Título 4 23" xfId="27924"/>
    <cellStyle name="Título 4 24" xfId="27925"/>
    <cellStyle name="Título 4 24 2" xfId="40962"/>
    <cellStyle name="Título 4 25" xfId="27926"/>
    <cellStyle name="Título 4 25 2" xfId="40997"/>
    <cellStyle name="Título 4 26" xfId="27927"/>
    <cellStyle name="Título 4 26 10" xfId="27928"/>
    <cellStyle name="Título 4 26 11" xfId="27929"/>
    <cellStyle name="Título 4 26 12" xfId="27930"/>
    <cellStyle name="Título 4 26 13" xfId="27931"/>
    <cellStyle name="Título 4 26 14" xfId="27932"/>
    <cellStyle name="Título 4 26 15" xfId="27933"/>
    <cellStyle name="Título 4 26 16" xfId="27934"/>
    <cellStyle name="Título 4 26 2" xfId="27935"/>
    <cellStyle name="Título 4 26 3" xfId="27936"/>
    <cellStyle name="Título 4 26 4" xfId="27937"/>
    <cellStyle name="Título 4 26 5" xfId="27938"/>
    <cellStyle name="Título 4 26 6" xfId="27939"/>
    <cellStyle name="Título 4 26 7" xfId="27940"/>
    <cellStyle name="Título 4 26 8" xfId="27941"/>
    <cellStyle name="Título 4 26 9" xfId="27942"/>
    <cellStyle name="Título 4 27" xfId="27943"/>
    <cellStyle name="Título 4 27 10" xfId="27944"/>
    <cellStyle name="Título 4 27 11" xfId="27945"/>
    <cellStyle name="Título 4 27 12" xfId="27946"/>
    <cellStyle name="Título 4 27 13" xfId="27947"/>
    <cellStyle name="Título 4 27 14" xfId="27948"/>
    <cellStyle name="Título 4 27 15" xfId="27949"/>
    <cellStyle name="Título 4 27 16" xfId="27950"/>
    <cellStyle name="Título 4 27 2" xfId="27951"/>
    <cellStyle name="Título 4 27 3" xfId="27952"/>
    <cellStyle name="Título 4 27 4" xfId="27953"/>
    <cellStyle name="Título 4 27 5" xfId="27954"/>
    <cellStyle name="Título 4 27 6" xfId="27955"/>
    <cellStyle name="Título 4 27 7" xfId="27956"/>
    <cellStyle name="Título 4 27 8" xfId="27957"/>
    <cellStyle name="Título 4 27 9" xfId="27958"/>
    <cellStyle name="Título 4 28" xfId="27959"/>
    <cellStyle name="Título 4 28 10" xfId="27960"/>
    <cellStyle name="Título 4 28 11" xfId="27961"/>
    <cellStyle name="Título 4 28 12" xfId="27962"/>
    <cellStyle name="Título 4 28 13" xfId="27963"/>
    <cellStyle name="Título 4 28 14" xfId="27964"/>
    <cellStyle name="Título 4 28 15" xfId="27965"/>
    <cellStyle name="Título 4 28 16" xfId="27966"/>
    <cellStyle name="Título 4 28 2" xfId="27967"/>
    <cellStyle name="Título 4 28 3" xfId="27968"/>
    <cellStyle name="Título 4 28 4" xfId="27969"/>
    <cellStyle name="Título 4 28 5" xfId="27970"/>
    <cellStyle name="Título 4 28 6" xfId="27971"/>
    <cellStyle name="Título 4 28 7" xfId="27972"/>
    <cellStyle name="Título 4 28 8" xfId="27973"/>
    <cellStyle name="Título 4 28 9" xfId="27974"/>
    <cellStyle name="Título 4 29" xfId="27975"/>
    <cellStyle name="Título 4 29 10" xfId="27976"/>
    <cellStyle name="Título 4 29 11" xfId="27977"/>
    <cellStyle name="Título 4 29 12" xfId="27978"/>
    <cellStyle name="Título 4 29 13" xfId="27979"/>
    <cellStyle name="Título 4 29 14" xfId="27980"/>
    <cellStyle name="Título 4 29 15" xfId="27981"/>
    <cellStyle name="Título 4 29 16" xfId="27982"/>
    <cellStyle name="Título 4 29 2" xfId="27983"/>
    <cellStyle name="Título 4 29 3" xfId="27984"/>
    <cellStyle name="Título 4 29 4" xfId="27985"/>
    <cellStyle name="Título 4 29 5" xfId="27986"/>
    <cellStyle name="Título 4 29 6" xfId="27987"/>
    <cellStyle name="Título 4 29 7" xfId="27988"/>
    <cellStyle name="Título 4 29 8" xfId="27989"/>
    <cellStyle name="Título 4 29 9" xfId="27990"/>
    <cellStyle name="Título 4 3" xfId="27991"/>
    <cellStyle name="Título 4 3 10" xfId="27992"/>
    <cellStyle name="Título 4 3 11" xfId="27993"/>
    <cellStyle name="Título 4 3 2" xfId="27994"/>
    <cellStyle name="Título 4 3 3" xfId="27995"/>
    <cellStyle name="Título 4 3 4" xfId="27996"/>
    <cellStyle name="Título 4 3 5" xfId="27997"/>
    <cellStyle name="Título 4 3 6" xfId="27998"/>
    <cellStyle name="Título 4 3 7" xfId="27999"/>
    <cellStyle name="Título 4 3 8" xfId="28000"/>
    <cellStyle name="Título 4 3 9" xfId="28001"/>
    <cellStyle name="Título 4 30" xfId="28002"/>
    <cellStyle name="Título 4 31" xfId="28003"/>
    <cellStyle name="Título 4 32" xfId="28004"/>
    <cellStyle name="Título 4 33" xfId="28005"/>
    <cellStyle name="Título 4 34" xfId="28006"/>
    <cellStyle name="Título 4 35" xfId="28007"/>
    <cellStyle name="Título 4 36" xfId="28008"/>
    <cellStyle name="Título 4 37" xfId="28009"/>
    <cellStyle name="Título 4 38" xfId="28010"/>
    <cellStyle name="Título 4 39" xfId="28011"/>
    <cellStyle name="Título 4 4" xfId="28012"/>
    <cellStyle name="Título 4 4 10" xfId="28013"/>
    <cellStyle name="Título 4 4 11" xfId="28014"/>
    <cellStyle name="Título 4 4 2" xfId="28015"/>
    <cellStyle name="Título 4 4 3" xfId="28016"/>
    <cellStyle name="Título 4 4 4" xfId="28017"/>
    <cellStyle name="Título 4 4 5" xfId="28018"/>
    <cellStyle name="Título 4 4 6" xfId="28019"/>
    <cellStyle name="Título 4 4 7" xfId="28020"/>
    <cellStyle name="Título 4 4 8" xfId="28021"/>
    <cellStyle name="Título 4 4 9" xfId="28022"/>
    <cellStyle name="Título 4 40" xfId="28023"/>
    <cellStyle name="Título 4 41" xfId="28024"/>
    <cellStyle name="Título 4 42" xfId="28025"/>
    <cellStyle name="Título 4 43" xfId="28026"/>
    <cellStyle name="Título 4 44" xfId="28027"/>
    <cellStyle name="Título 4 45" xfId="28028"/>
    <cellStyle name="Título 4 46" xfId="28029"/>
    <cellStyle name="Título 4 47" xfId="28030"/>
    <cellStyle name="Título 4 48" xfId="28031"/>
    <cellStyle name="Título 4 49" xfId="28032"/>
    <cellStyle name="Título 4 5" xfId="28033"/>
    <cellStyle name="Título 4 5 2" xfId="28034"/>
    <cellStyle name="Título 4 5 3" xfId="28035"/>
    <cellStyle name="Título 4 5 4" xfId="28036"/>
    <cellStyle name="Título 4 50" xfId="28037"/>
    <cellStyle name="Título 4 51" xfId="28038"/>
    <cellStyle name="Título 4 52" xfId="28039"/>
    <cellStyle name="Título 4 53" xfId="28040"/>
    <cellStyle name="Título 4 54" xfId="28041"/>
    <cellStyle name="Título 4 55" xfId="28042"/>
    <cellStyle name="Título 4 56" xfId="28043"/>
    <cellStyle name="Título 4 57" xfId="28044"/>
    <cellStyle name="Título 4 58" xfId="28045"/>
    <cellStyle name="Título 4 59" xfId="28046"/>
    <cellStyle name="Título 4 6" xfId="28047"/>
    <cellStyle name="Título 4 6 2" xfId="28048"/>
    <cellStyle name="Título 4 6 3" xfId="28049"/>
    <cellStyle name="Título 4 6 4" xfId="28050"/>
    <cellStyle name="Título 4 60" xfId="28051"/>
    <cellStyle name="Título 4 61" xfId="28052"/>
    <cellStyle name="Título 4 62" xfId="28053"/>
    <cellStyle name="Título 4 63" xfId="28054"/>
    <cellStyle name="Título 4 64" xfId="28055"/>
    <cellStyle name="Título 4 65" xfId="28056"/>
    <cellStyle name="Título 4 66" xfId="28057"/>
    <cellStyle name="Título 4 67" xfId="28058"/>
    <cellStyle name="Título 4 68" xfId="28059"/>
    <cellStyle name="Título 4 69" xfId="28060"/>
    <cellStyle name="Título 4 7" xfId="28061"/>
    <cellStyle name="Título 4 7 2" xfId="28062"/>
    <cellStyle name="Título 4 7 3" xfId="28063"/>
    <cellStyle name="Título 4 7 4" xfId="28064"/>
    <cellStyle name="Título 4 70" xfId="28065"/>
    <cellStyle name="Título 4 71" xfId="28066"/>
    <cellStyle name="Título 4 72" xfId="28067"/>
    <cellStyle name="Título 4 73" xfId="28068"/>
    <cellStyle name="Título 4 74" xfId="28069"/>
    <cellStyle name="Título 4 75" xfId="28070"/>
    <cellStyle name="Título 4 76" xfId="28071"/>
    <cellStyle name="Título 4 77" xfId="28072"/>
    <cellStyle name="Título 4 78" xfId="28073"/>
    <cellStyle name="Título 4 79" xfId="28074"/>
    <cellStyle name="Título 4 8" xfId="28075"/>
    <cellStyle name="Título 4 8 2" xfId="28076"/>
    <cellStyle name="Título 4 8 3" xfId="28077"/>
    <cellStyle name="Título 4 8 4" xfId="28078"/>
    <cellStyle name="Título 4 80" xfId="28079"/>
    <cellStyle name="Título 4 81" xfId="28080"/>
    <cellStyle name="Título 4 82" xfId="28081"/>
    <cellStyle name="Título 4 83" xfId="28082"/>
    <cellStyle name="Título 4 84" xfId="28083"/>
    <cellStyle name="Título 4 85" xfId="28084"/>
    <cellStyle name="Título 4 86" xfId="28085"/>
    <cellStyle name="Título 4 87" xfId="28086"/>
    <cellStyle name="Título 4 88" xfId="28087"/>
    <cellStyle name="Título 4 89" xfId="28088"/>
    <cellStyle name="Título 4 9" xfId="28089"/>
    <cellStyle name="Título 4 90" xfId="28090"/>
    <cellStyle name="Título 4 91" xfId="28091"/>
    <cellStyle name="Título 4 92" xfId="28092"/>
    <cellStyle name="Título 4 93" xfId="28093"/>
    <cellStyle name="Título 4 94" xfId="28094"/>
    <cellStyle name="Título 4 95" xfId="28095"/>
    <cellStyle name="Título 4 96" xfId="28096"/>
    <cellStyle name="Título 4 97" xfId="28097"/>
    <cellStyle name="Título 4 98" xfId="28098"/>
    <cellStyle name="Título 4 99" xfId="28099"/>
    <cellStyle name="Título 40" xfId="28100"/>
    <cellStyle name="Título 41" xfId="28101"/>
    <cellStyle name="Título 42" xfId="28102"/>
    <cellStyle name="Título 43" xfId="28103"/>
    <cellStyle name="Título 44" xfId="28104"/>
    <cellStyle name="Título 45" xfId="28105"/>
    <cellStyle name="Título 46" xfId="28106"/>
    <cellStyle name="Título 47" xfId="28107"/>
    <cellStyle name="Título 48" xfId="28108"/>
    <cellStyle name="Título 49" xfId="28109"/>
    <cellStyle name="Título 5" xfId="28110"/>
    <cellStyle name="Título 5 10" xfId="28111"/>
    <cellStyle name="Título 5 10 2" xfId="28112"/>
    <cellStyle name="Título 5 10 3" xfId="28113"/>
    <cellStyle name="Título 5 10 4" xfId="28114"/>
    <cellStyle name="Título 5 10 5" xfId="28115"/>
    <cellStyle name="Título 5 10 6" xfId="28116"/>
    <cellStyle name="Título 5 10 7" xfId="28117"/>
    <cellStyle name="Título 5 11" xfId="28118"/>
    <cellStyle name="Título 5 11 2" xfId="28119"/>
    <cellStyle name="Título 5 11 3" xfId="28120"/>
    <cellStyle name="Título 5 11 4" xfId="28121"/>
    <cellStyle name="Título 5 11 5" xfId="28122"/>
    <cellStyle name="Título 5 11 6" xfId="28123"/>
    <cellStyle name="Título 5 11 7" xfId="28124"/>
    <cellStyle name="Título 5 12" xfId="28125"/>
    <cellStyle name="Título 5 13" xfId="28126"/>
    <cellStyle name="Título 5 14" xfId="28127"/>
    <cellStyle name="Título 5 15" xfId="28128"/>
    <cellStyle name="Título 5 16" xfId="28129"/>
    <cellStyle name="Título 5 17" xfId="28130"/>
    <cellStyle name="Título 5 18" xfId="28131"/>
    <cellStyle name="Título 5 19" xfId="28132"/>
    <cellStyle name="Título 5 2" xfId="28133"/>
    <cellStyle name="Título 5 20" xfId="28134"/>
    <cellStyle name="Título 5 21" xfId="28135"/>
    <cellStyle name="Título 5 22" xfId="28136"/>
    <cellStyle name="Título 5 23" xfId="28137"/>
    <cellStyle name="Título 5 24" xfId="28138"/>
    <cellStyle name="Título 5 25" xfId="28139"/>
    <cellStyle name="Título 5 26" xfId="28140"/>
    <cellStyle name="Título 5 27" xfId="28141"/>
    <cellStyle name="Título 5 28" xfId="28142"/>
    <cellStyle name="Título 5 29" xfId="28143"/>
    <cellStyle name="Título 5 3" xfId="28144"/>
    <cellStyle name="Título 5 30" xfId="28145"/>
    <cellStyle name="Título 5 31" xfId="28146"/>
    <cellStyle name="Título 5 32" xfId="28147"/>
    <cellStyle name="Título 5 33" xfId="28148"/>
    <cellStyle name="Título 5 34" xfId="28149"/>
    <cellStyle name="Título 5 35" xfId="28150"/>
    <cellStyle name="Título 5 4" xfId="28151"/>
    <cellStyle name="Título 5 5" xfId="28152"/>
    <cellStyle name="Título 5 6" xfId="28153"/>
    <cellStyle name="Título 5 7" xfId="28154"/>
    <cellStyle name="Título 5 8" xfId="28155"/>
    <cellStyle name="Título 5 8 2" xfId="28156"/>
    <cellStyle name="Título 5 8 3" xfId="28157"/>
    <cellStyle name="Título 5 8 4" xfId="28158"/>
    <cellStyle name="Título 5 8 5" xfId="28159"/>
    <cellStyle name="Título 5 8 6" xfId="28160"/>
    <cellStyle name="Título 5 8 7" xfId="28161"/>
    <cellStyle name="Título 5 9" xfId="28162"/>
    <cellStyle name="Título 5 9 2" xfId="28163"/>
    <cellStyle name="Título 5 9 3" xfId="28164"/>
    <cellStyle name="Título 5 9 4" xfId="28165"/>
    <cellStyle name="Título 5 9 5" xfId="28166"/>
    <cellStyle name="Título 5 9 6" xfId="28167"/>
    <cellStyle name="Título 5 9 7" xfId="28168"/>
    <cellStyle name="Título 50" xfId="28169"/>
    <cellStyle name="Título 51" xfId="28170"/>
    <cellStyle name="Título 52" xfId="28171"/>
    <cellStyle name="Título 53" xfId="28172"/>
    <cellStyle name="Título 54" xfId="28173"/>
    <cellStyle name="Título 55" xfId="28174"/>
    <cellStyle name="Título 56" xfId="28175"/>
    <cellStyle name="Título 57" xfId="28176"/>
    <cellStyle name="Título 58" xfId="28177"/>
    <cellStyle name="Título 59" xfId="28178"/>
    <cellStyle name="Título 6" xfId="28179"/>
    <cellStyle name="Título 6 10" xfId="28180"/>
    <cellStyle name="Título 6 11" xfId="28181"/>
    <cellStyle name="Título 6 2" xfId="28182"/>
    <cellStyle name="Título 6 3" xfId="28183"/>
    <cellStyle name="Título 6 4" xfId="28184"/>
    <cellStyle name="Título 6 5" xfId="28185"/>
    <cellStyle name="Título 6 6" xfId="28186"/>
    <cellStyle name="Título 6 7" xfId="28187"/>
    <cellStyle name="Título 6 8" xfId="28188"/>
    <cellStyle name="Título 6 9" xfId="28189"/>
    <cellStyle name="Título 60" xfId="28190"/>
    <cellStyle name="Título 61" xfId="28191"/>
    <cellStyle name="Título 62" xfId="28192"/>
    <cellStyle name="Título 63" xfId="28193"/>
    <cellStyle name="Título 64" xfId="28194"/>
    <cellStyle name="Título 65" xfId="28195"/>
    <cellStyle name="Título 66" xfId="28196"/>
    <cellStyle name="Título 67" xfId="28197"/>
    <cellStyle name="Título 68" xfId="28198"/>
    <cellStyle name="Título 69" xfId="28199"/>
    <cellStyle name="Título 7" xfId="28200"/>
    <cellStyle name="Título 7 10" xfId="28201"/>
    <cellStyle name="Título 7 11" xfId="28202"/>
    <cellStyle name="Título 7 2" xfId="28203"/>
    <cellStyle name="Título 7 3" xfId="28204"/>
    <cellStyle name="Título 7 4" xfId="28205"/>
    <cellStyle name="Título 7 5" xfId="28206"/>
    <cellStyle name="Título 7 6" xfId="28207"/>
    <cellStyle name="Título 7 7" xfId="28208"/>
    <cellStyle name="Título 7 8" xfId="28209"/>
    <cellStyle name="Título 7 9" xfId="28210"/>
    <cellStyle name="Título 70" xfId="28211"/>
    <cellStyle name="Título 71" xfId="28212"/>
    <cellStyle name="Título 72" xfId="28213"/>
    <cellStyle name="Título 73" xfId="28214"/>
    <cellStyle name="Título 74" xfId="28215"/>
    <cellStyle name="Título 75" xfId="28216"/>
    <cellStyle name="Título 76" xfId="28217"/>
    <cellStyle name="Título 77" xfId="28218"/>
    <cellStyle name="Título 78" xfId="28219"/>
    <cellStyle name="Título 79" xfId="28220"/>
    <cellStyle name="Título 8" xfId="28221"/>
    <cellStyle name="Título 8 2" xfId="28222"/>
    <cellStyle name="Título 8 3" xfId="28223"/>
    <cellStyle name="Título 8 4" xfId="28224"/>
    <cellStyle name="Título 80" xfId="28225"/>
    <cellStyle name="Título 81" xfId="28226"/>
    <cellStyle name="Título 82" xfId="28227"/>
    <cellStyle name="Título 83" xfId="28228"/>
    <cellStyle name="Título 84" xfId="28229"/>
    <cellStyle name="Título 85" xfId="28230"/>
    <cellStyle name="Título 86" xfId="28231"/>
    <cellStyle name="Título 87" xfId="28232"/>
    <cellStyle name="Título 88" xfId="28233"/>
    <cellStyle name="Título 89" xfId="28234"/>
    <cellStyle name="Título 9" xfId="28235"/>
    <cellStyle name="Título 9 2" xfId="28236"/>
    <cellStyle name="Título 9 3" xfId="28237"/>
    <cellStyle name="Título 9 4" xfId="28238"/>
    <cellStyle name="Título 90" xfId="28239"/>
    <cellStyle name="Título 91" xfId="28240"/>
    <cellStyle name="Título 92" xfId="28241"/>
    <cellStyle name="Título 93" xfId="28242"/>
    <cellStyle name="Título 94" xfId="28243"/>
    <cellStyle name="Título 95" xfId="28244"/>
    <cellStyle name="Título 96" xfId="28245"/>
    <cellStyle name="Título 97" xfId="28246"/>
    <cellStyle name="Título 98" xfId="28247"/>
    <cellStyle name="Título 99" xfId="28248"/>
    <cellStyle name="Titulo1" xfId="28249"/>
    <cellStyle name="Titulo2" xfId="28250"/>
    <cellStyle name="Total 10" xfId="28251"/>
    <cellStyle name="Total 10 2" xfId="29306"/>
    <cellStyle name="Total 10 2 2" xfId="40892"/>
    <cellStyle name="Total 10 3" xfId="40891"/>
    <cellStyle name="Total 100" xfId="28252"/>
    <cellStyle name="Total 100 2" xfId="40150"/>
    <cellStyle name="Total 101" xfId="28253"/>
    <cellStyle name="Total 101 2" xfId="40151"/>
    <cellStyle name="Total 102" xfId="28254"/>
    <cellStyle name="Total 102 2" xfId="40152"/>
    <cellStyle name="Total 103" xfId="28255"/>
    <cellStyle name="Total 103 2" xfId="40153"/>
    <cellStyle name="Total 104" xfId="28256"/>
    <cellStyle name="Total 104 2" xfId="40154"/>
    <cellStyle name="Total 105" xfId="28257"/>
    <cellStyle name="Total 105 2" xfId="40155"/>
    <cellStyle name="Total 106" xfId="28258"/>
    <cellStyle name="Total 106 2" xfId="40156"/>
    <cellStyle name="Total 107" xfId="28259"/>
    <cellStyle name="Total 107 2" xfId="40157"/>
    <cellStyle name="Total 108" xfId="28260"/>
    <cellStyle name="Total 108 2" xfId="40158"/>
    <cellStyle name="Total 109" xfId="28261"/>
    <cellStyle name="Total 109 2" xfId="40159"/>
    <cellStyle name="Total 11" xfId="28262"/>
    <cellStyle name="Total 11 2" xfId="29307"/>
    <cellStyle name="Total 11 2 2" xfId="40894"/>
    <cellStyle name="Total 11 3" xfId="40893"/>
    <cellStyle name="Total 110" xfId="28263"/>
    <cellStyle name="Total 110 2" xfId="40160"/>
    <cellStyle name="Total 111" xfId="28264"/>
    <cellStyle name="Total 111 2" xfId="40161"/>
    <cellStyle name="Total 112" xfId="28265"/>
    <cellStyle name="Total 112 2" xfId="40162"/>
    <cellStyle name="Total 113" xfId="28266"/>
    <cellStyle name="Total 113 2" xfId="40163"/>
    <cellStyle name="Total 114" xfId="28267"/>
    <cellStyle name="Total 114 2" xfId="40164"/>
    <cellStyle name="Total 115" xfId="28268"/>
    <cellStyle name="Total 115 2" xfId="40165"/>
    <cellStyle name="Total 116" xfId="28269"/>
    <cellStyle name="Total 116 2" xfId="40166"/>
    <cellStyle name="Total 117" xfId="28270"/>
    <cellStyle name="Total 117 2" xfId="40167"/>
    <cellStyle name="Total 118" xfId="28271"/>
    <cellStyle name="Total 118 2" xfId="40168"/>
    <cellStyle name="Total 119" xfId="28272"/>
    <cellStyle name="Total 119 2" xfId="40169"/>
    <cellStyle name="Total 12" xfId="28273"/>
    <cellStyle name="Total 12 2" xfId="29308"/>
    <cellStyle name="Total 12 2 2" xfId="40896"/>
    <cellStyle name="Total 12 3" xfId="40895"/>
    <cellStyle name="Total 120" xfId="28274"/>
    <cellStyle name="Total 120 2" xfId="40170"/>
    <cellStyle name="Total 121" xfId="28275"/>
    <cellStyle name="Total 121 2" xfId="40171"/>
    <cellStyle name="Total 122" xfId="28276"/>
    <cellStyle name="Total 122 2" xfId="40172"/>
    <cellStyle name="Total 123" xfId="28277"/>
    <cellStyle name="Total 123 2" xfId="40173"/>
    <cellStyle name="Total 124" xfId="28278"/>
    <cellStyle name="Total 124 2" xfId="40174"/>
    <cellStyle name="Total 125" xfId="28279"/>
    <cellStyle name="Total 125 2" xfId="40175"/>
    <cellStyle name="Total 126" xfId="28280"/>
    <cellStyle name="Total 126 2" xfId="40176"/>
    <cellStyle name="Total 127" xfId="28281"/>
    <cellStyle name="Total 127 2" xfId="40177"/>
    <cellStyle name="Total 128" xfId="28282"/>
    <cellStyle name="Total 128 2" xfId="40178"/>
    <cellStyle name="Total 129" xfId="28283"/>
    <cellStyle name="Total 129 2" xfId="40179"/>
    <cellStyle name="Total 13" xfId="28284"/>
    <cellStyle name="Total 13 2" xfId="29309"/>
    <cellStyle name="Total 13 2 2" xfId="40898"/>
    <cellStyle name="Total 13 3" xfId="40897"/>
    <cellStyle name="Total 130" xfId="28285"/>
    <cellStyle name="Total 130 2" xfId="40180"/>
    <cellStyle name="Total 131" xfId="28286"/>
    <cellStyle name="Total 131 2" xfId="40181"/>
    <cellStyle name="Total 132" xfId="28287"/>
    <cellStyle name="Total 132 2" xfId="40182"/>
    <cellStyle name="Total 133" xfId="28288"/>
    <cellStyle name="Total 133 2" xfId="40183"/>
    <cellStyle name="Total 134" xfId="28289"/>
    <cellStyle name="Total 134 2" xfId="40184"/>
    <cellStyle name="Total 135" xfId="28290"/>
    <cellStyle name="Total 135 2" xfId="40185"/>
    <cellStyle name="Total 136" xfId="28291"/>
    <cellStyle name="Total 136 2" xfId="40186"/>
    <cellStyle name="Total 137" xfId="28292"/>
    <cellStyle name="Total 137 2" xfId="40187"/>
    <cellStyle name="Total 138" xfId="28293"/>
    <cellStyle name="Total 138 2" xfId="40188"/>
    <cellStyle name="Total 139" xfId="28294"/>
    <cellStyle name="Total 139 2" xfId="40189"/>
    <cellStyle name="Total 14" xfId="28295"/>
    <cellStyle name="Total 14 2" xfId="29310"/>
    <cellStyle name="Total 14 2 2" xfId="40899"/>
    <cellStyle name="Total 140" xfId="28296"/>
    <cellStyle name="Total 140 2" xfId="40190"/>
    <cellStyle name="Total 141" xfId="28297"/>
    <cellStyle name="Total 141 2" xfId="40191"/>
    <cellStyle name="Total 142" xfId="28298"/>
    <cellStyle name="Total 142 2" xfId="40192"/>
    <cellStyle name="Total 143" xfId="28299"/>
    <cellStyle name="Total 143 2" xfId="40193"/>
    <cellStyle name="Total 144" xfId="28300"/>
    <cellStyle name="Total 144 2" xfId="40194"/>
    <cellStyle name="Total 145" xfId="28301"/>
    <cellStyle name="Total 145 2" xfId="40195"/>
    <cellStyle name="Total 146" xfId="28302"/>
    <cellStyle name="Total 146 2" xfId="40196"/>
    <cellStyle name="Total 147" xfId="28303"/>
    <cellStyle name="Total 147 2" xfId="40197"/>
    <cellStyle name="Total 148" xfId="28304"/>
    <cellStyle name="Total 148 2" xfId="40198"/>
    <cellStyle name="Total 149" xfId="28305"/>
    <cellStyle name="Total 149 2" xfId="40199"/>
    <cellStyle name="Total 15" xfId="28306"/>
    <cellStyle name="Total 15 2" xfId="28307"/>
    <cellStyle name="Total 15 2 2" xfId="40200"/>
    <cellStyle name="Total 15 3" xfId="28308"/>
    <cellStyle name="Total 15 3 2" xfId="40201"/>
    <cellStyle name="Total 15 4" xfId="29311"/>
    <cellStyle name="Total 15 4 2" xfId="40900"/>
    <cellStyle name="Total 150" xfId="28309"/>
    <cellStyle name="Total 150 2" xfId="40202"/>
    <cellStyle name="Total 151" xfId="28310"/>
    <cellStyle name="Total 151 2" xfId="40203"/>
    <cellStyle name="Total 152" xfId="28311"/>
    <cellStyle name="Total 152 2" xfId="40204"/>
    <cellStyle name="Total 153" xfId="28312"/>
    <cellStyle name="Total 153 2" xfId="40205"/>
    <cellStyle name="Total 154" xfId="28313"/>
    <cellStyle name="Total 154 2" xfId="40206"/>
    <cellStyle name="Total 155" xfId="28314"/>
    <cellStyle name="Total 155 2" xfId="40207"/>
    <cellStyle name="Total 156" xfId="28315"/>
    <cellStyle name="Total 156 2" xfId="40208"/>
    <cellStyle name="Total 157" xfId="28316"/>
    <cellStyle name="Total 157 2" xfId="40209"/>
    <cellStyle name="Total 158" xfId="28317"/>
    <cellStyle name="Total 158 2" xfId="40210"/>
    <cellStyle name="Total 159" xfId="28318"/>
    <cellStyle name="Total 159 2" xfId="40211"/>
    <cellStyle name="Total 16" xfId="28319"/>
    <cellStyle name="Total 16 2" xfId="28320"/>
    <cellStyle name="Total 16 2 2" xfId="40212"/>
    <cellStyle name="Total 16 3" xfId="28321"/>
    <cellStyle name="Total 16 3 2" xfId="40213"/>
    <cellStyle name="Total 16 4" xfId="29312"/>
    <cellStyle name="Total 16 4 2" xfId="40901"/>
    <cellStyle name="Total 160" xfId="28322"/>
    <cellStyle name="Total 160 2" xfId="40214"/>
    <cellStyle name="Total 161" xfId="28323"/>
    <cellStyle name="Total 161 2" xfId="40215"/>
    <cellStyle name="Total 162" xfId="28324"/>
    <cellStyle name="Total 162 2" xfId="40216"/>
    <cellStyle name="Total 163" xfId="28325"/>
    <cellStyle name="Total 163 2" xfId="40217"/>
    <cellStyle name="Total 164" xfId="28326"/>
    <cellStyle name="Total 164 2" xfId="40218"/>
    <cellStyle name="Total 165" xfId="28327"/>
    <cellStyle name="Total 165 2" xfId="40219"/>
    <cellStyle name="Total 166" xfId="28328"/>
    <cellStyle name="Total 166 2" xfId="40220"/>
    <cellStyle name="Total 167" xfId="28329"/>
    <cellStyle name="Total 167 2" xfId="40221"/>
    <cellStyle name="Total 168" xfId="28330"/>
    <cellStyle name="Total 168 2" xfId="40222"/>
    <cellStyle name="Total 169" xfId="28331"/>
    <cellStyle name="Total 169 2" xfId="40223"/>
    <cellStyle name="Total 17" xfId="28332"/>
    <cellStyle name="Total 17 2" xfId="28333"/>
    <cellStyle name="Total 17 2 2" xfId="40224"/>
    <cellStyle name="Total 17 3" xfId="28334"/>
    <cellStyle name="Total 17 3 2" xfId="40225"/>
    <cellStyle name="Total 17 4" xfId="29313"/>
    <cellStyle name="Total 17 4 2" xfId="40902"/>
    <cellStyle name="Total 170" xfId="28335"/>
    <cellStyle name="Total 170 2" xfId="40226"/>
    <cellStyle name="Total 171" xfId="28336"/>
    <cellStyle name="Total 171 2" xfId="40227"/>
    <cellStyle name="Total 172" xfId="28337"/>
    <cellStyle name="Total 172 2" xfId="40228"/>
    <cellStyle name="Total 173" xfId="28338"/>
    <cellStyle name="Total 173 2" xfId="40229"/>
    <cellStyle name="Total 174" xfId="28339"/>
    <cellStyle name="Total 174 2" xfId="40230"/>
    <cellStyle name="Total 175" xfId="28340"/>
    <cellStyle name="Total 175 2" xfId="40231"/>
    <cellStyle name="Total 176" xfId="28341"/>
    <cellStyle name="Total 176 2" xfId="40232"/>
    <cellStyle name="Total 177" xfId="28342"/>
    <cellStyle name="Total 177 2" xfId="40233"/>
    <cellStyle name="Total 178" xfId="28343"/>
    <cellStyle name="Total 178 2" xfId="40234"/>
    <cellStyle name="Total 179" xfId="28344"/>
    <cellStyle name="Total 179 2" xfId="40235"/>
    <cellStyle name="Total 18" xfId="28345"/>
    <cellStyle name="Total 18 2" xfId="28346"/>
    <cellStyle name="Total 18 2 2" xfId="40236"/>
    <cellStyle name="Total 18 3" xfId="28347"/>
    <cellStyle name="Total 18 3 2" xfId="40237"/>
    <cellStyle name="Total 18 4" xfId="29314"/>
    <cellStyle name="Total 18 4 2" xfId="40903"/>
    <cellStyle name="Total 180" xfId="28348"/>
    <cellStyle name="Total 180 2" xfId="40238"/>
    <cellStyle name="Total 181" xfId="28349"/>
    <cellStyle name="Total 181 2" xfId="40239"/>
    <cellStyle name="Total 182" xfId="28350"/>
    <cellStyle name="Total 182 2" xfId="40240"/>
    <cellStyle name="Total 183" xfId="28351"/>
    <cellStyle name="Total 183 2" xfId="40241"/>
    <cellStyle name="Total 184" xfId="28352"/>
    <cellStyle name="Total 184 2" xfId="40242"/>
    <cellStyle name="Total 185" xfId="28353"/>
    <cellStyle name="Total 185 2" xfId="40243"/>
    <cellStyle name="Total 186" xfId="28354"/>
    <cellStyle name="Total 186 2" xfId="40244"/>
    <cellStyle name="Total 187" xfId="28355"/>
    <cellStyle name="Total 187 2" xfId="40245"/>
    <cellStyle name="Total 188" xfId="28356"/>
    <cellStyle name="Total 188 2" xfId="40246"/>
    <cellStyle name="Total 189" xfId="28357"/>
    <cellStyle name="Total 189 2" xfId="40247"/>
    <cellStyle name="Total 19" xfId="28358"/>
    <cellStyle name="Total 19 2" xfId="28359"/>
    <cellStyle name="Total 19 2 2" xfId="40248"/>
    <cellStyle name="Total 19 3" xfId="28360"/>
    <cellStyle name="Total 19 3 2" xfId="40249"/>
    <cellStyle name="Total 19 4" xfId="29315"/>
    <cellStyle name="Total 19 4 2" xfId="40904"/>
    <cellStyle name="Total 190" xfId="28361"/>
    <cellStyle name="Total 190 2" xfId="40250"/>
    <cellStyle name="Total 191" xfId="40453"/>
    <cellStyle name="Total 2" xfId="28362"/>
    <cellStyle name="Total 2 10" xfId="28363"/>
    <cellStyle name="Total 2 10 2" xfId="28364"/>
    <cellStyle name="Total 2 10 2 2" xfId="40252"/>
    <cellStyle name="Total 2 10 3" xfId="28365"/>
    <cellStyle name="Total 2 10 3 2" xfId="40253"/>
    <cellStyle name="Total 2 10 4" xfId="28366"/>
    <cellStyle name="Total 2 10 4 2" xfId="40254"/>
    <cellStyle name="Total 2 10 5" xfId="28367"/>
    <cellStyle name="Total 2 10 5 2" xfId="40255"/>
    <cellStyle name="Total 2 10 6" xfId="28368"/>
    <cellStyle name="Total 2 10 6 2" xfId="40256"/>
    <cellStyle name="Total 2 10 7" xfId="28369"/>
    <cellStyle name="Total 2 10 7 2" xfId="40257"/>
    <cellStyle name="Total 2 10 8" xfId="40251"/>
    <cellStyle name="Total 2 11" xfId="28370"/>
    <cellStyle name="Total 2 11 2" xfId="28371"/>
    <cellStyle name="Total 2 11 2 2" xfId="40259"/>
    <cellStyle name="Total 2 11 3" xfId="28372"/>
    <cellStyle name="Total 2 11 3 2" xfId="40260"/>
    <cellStyle name="Total 2 11 4" xfId="28373"/>
    <cellStyle name="Total 2 11 4 2" xfId="40261"/>
    <cellStyle name="Total 2 11 5" xfId="28374"/>
    <cellStyle name="Total 2 11 5 2" xfId="40262"/>
    <cellStyle name="Total 2 11 6" xfId="28375"/>
    <cellStyle name="Total 2 11 6 2" xfId="40263"/>
    <cellStyle name="Total 2 11 7" xfId="28376"/>
    <cellStyle name="Total 2 11 7 2" xfId="40264"/>
    <cellStyle name="Total 2 11 8" xfId="40258"/>
    <cellStyle name="Total 2 12" xfId="28377"/>
    <cellStyle name="Total 2 12 2" xfId="40265"/>
    <cellStyle name="Total 2 13" xfId="28378"/>
    <cellStyle name="Total 2 13 2" xfId="40266"/>
    <cellStyle name="Total 2 14" xfId="28379"/>
    <cellStyle name="Total 2 14 2" xfId="40267"/>
    <cellStyle name="Total 2 15" xfId="28380"/>
    <cellStyle name="Total 2 15 2" xfId="40268"/>
    <cellStyle name="Total 2 16" xfId="28381"/>
    <cellStyle name="Total 2 16 2" xfId="40269"/>
    <cellStyle name="Total 2 17" xfId="28382"/>
    <cellStyle name="Total 2 17 2" xfId="40270"/>
    <cellStyle name="Total 2 18" xfId="28383"/>
    <cellStyle name="Total 2 18 2" xfId="40271"/>
    <cellStyle name="Total 2 19" xfId="28384"/>
    <cellStyle name="Total 2 19 2" xfId="40272"/>
    <cellStyle name="Total 2 2" xfId="28385"/>
    <cellStyle name="Total 2 2 2" xfId="29316"/>
    <cellStyle name="Total 2 2 2 2" xfId="40905"/>
    <cellStyle name="Total 2 20" xfId="28386"/>
    <cellStyle name="Total 2 20 2" xfId="40273"/>
    <cellStyle name="Total 2 21" xfId="28387"/>
    <cellStyle name="Total 2 21 2" xfId="40274"/>
    <cellStyle name="Total 2 22" xfId="28388"/>
    <cellStyle name="Total 2 22 2" xfId="40275"/>
    <cellStyle name="Total 2 23" xfId="28389"/>
    <cellStyle name="Total 2 23 2" xfId="40276"/>
    <cellStyle name="Total 2 24" xfId="28390"/>
    <cellStyle name="Total 2 24 2" xfId="40277"/>
    <cellStyle name="Total 2 25" xfId="28391"/>
    <cellStyle name="Total 2 25 2" xfId="40278"/>
    <cellStyle name="Total 2 26" xfId="28392"/>
    <cellStyle name="Total 2 26 2" xfId="40279"/>
    <cellStyle name="Total 2 27" xfId="28393"/>
    <cellStyle name="Total 2 27 2" xfId="40280"/>
    <cellStyle name="Total 2 28" xfId="28394"/>
    <cellStyle name="Total 2 28 2" xfId="40281"/>
    <cellStyle name="Total 2 29" xfId="28395"/>
    <cellStyle name="Total 2 29 2" xfId="40282"/>
    <cellStyle name="Total 2 3" xfId="28396"/>
    <cellStyle name="Total 2 3 2" xfId="29317"/>
    <cellStyle name="Total 2 3 2 2" xfId="40906"/>
    <cellStyle name="Total 2 30" xfId="28397"/>
    <cellStyle name="Total 2 30 2" xfId="40283"/>
    <cellStyle name="Total 2 31" xfId="28398"/>
    <cellStyle name="Total 2 31 2" xfId="40284"/>
    <cellStyle name="Total 2 32" xfId="28399"/>
    <cellStyle name="Total 2 32 2" xfId="40285"/>
    <cellStyle name="Total 2 33" xfId="28400"/>
    <cellStyle name="Total 2 33 2" xfId="40286"/>
    <cellStyle name="Total 2 34" xfId="28401"/>
    <cellStyle name="Total 2 34 2" xfId="40287"/>
    <cellStyle name="Total 2 35" xfId="28402"/>
    <cellStyle name="Total 2 35 2" xfId="40288"/>
    <cellStyle name="Total 2 36" xfId="29377"/>
    <cellStyle name="Total 2 36 2" xfId="40457"/>
    <cellStyle name="Total 2 4" xfId="28403"/>
    <cellStyle name="Total 2 4 2" xfId="29318"/>
    <cellStyle name="Total 2 4 2 2" xfId="40907"/>
    <cellStyle name="Total 2 5" xfId="28404"/>
    <cellStyle name="Total 2 5 2" xfId="29319"/>
    <cellStyle name="Total 2 5 2 2" xfId="40908"/>
    <cellStyle name="Total 2 6" xfId="28405"/>
    <cellStyle name="Total 2 6 2" xfId="29320"/>
    <cellStyle name="Total 2 6 2 2" xfId="40909"/>
    <cellStyle name="Total 2 7" xfId="28406"/>
    <cellStyle name="Total 2 7 2" xfId="29321"/>
    <cellStyle name="Total 2 7 2 2" xfId="40910"/>
    <cellStyle name="Total 2 8" xfId="28407"/>
    <cellStyle name="Total 2 8 2" xfId="28408"/>
    <cellStyle name="Total 2 8 2 2" xfId="40290"/>
    <cellStyle name="Total 2 8 3" xfId="28409"/>
    <cellStyle name="Total 2 8 3 2" xfId="40291"/>
    <cellStyle name="Total 2 8 4" xfId="28410"/>
    <cellStyle name="Total 2 8 4 2" xfId="40292"/>
    <cellStyle name="Total 2 8 5" xfId="28411"/>
    <cellStyle name="Total 2 8 5 2" xfId="40293"/>
    <cellStyle name="Total 2 8 6" xfId="28412"/>
    <cellStyle name="Total 2 8 6 2" xfId="40294"/>
    <cellStyle name="Total 2 8 7" xfId="28413"/>
    <cellStyle name="Total 2 8 7 2" xfId="40295"/>
    <cellStyle name="Total 2 8 8" xfId="41045"/>
    <cellStyle name="Total 2 8 9" xfId="40289"/>
    <cellStyle name="Total 2 9" xfId="28414"/>
    <cellStyle name="Total 2 9 2" xfId="28415"/>
    <cellStyle name="Total 2 9 2 2" xfId="40297"/>
    <cellStyle name="Total 2 9 3" xfId="28416"/>
    <cellStyle name="Total 2 9 3 2" xfId="40298"/>
    <cellStyle name="Total 2 9 4" xfId="28417"/>
    <cellStyle name="Total 2 9 4 2" xfId="40299"/>
    <cellStyle name="Total 2 9 5" xfId="28418"/>
    <cellStyle name="Total 2 9 5 2" xfId="40300"/>
    <cellStyle name="Total 2 9 6" xfId="28419"/>
    <cellStyle name="Total 2 9 6 2" xfId="40301"/>
    <cellStyle name="Total 2 9 7" xfId="28420"/>
    <cellStyle name="Total 2 9 7 2" xfId="40302"/>
    <cellStyle name="Total 2 9 8" xfId="40296"/>
    <cellStyle name="Total 20" xfId="28421"/>
    <cellStyle name="Total 20 2" xfId="28422"/>
    <cellStyle name="Total 20 2 2" xfId="40303"/>
    <cellStyle name="Total 20 3" xfId="28423"/>
    <cellStyle name="Total 20 3 2" xfId="40304"/>
    <cellStyle name="Total 20 4" xfId="29322"/>
    <cellStyle name="Total 20 4 2" xfId="40911"/>
    <cellStyle name="Total 21" xfId="28424"/>
    <cellStyle name="Total 21 2" xfId="29323"/>
    <cellStyle name="Total 21 2 2" xfId="40912"/>
    <cellStyle name="Total 22" xfId="28425"/>
    <cellStyle name="Total 22 2" xfId="29324"/>
    <cellStyle name="Total 22 2 2" xfId="40913"/>
    <cellStyle name="Total 23" xfId="28426"/>
    <cellStyle name="Total 23 2" xfId="29325"/>
    <cellStyle name="Total 23 2 2" xfId="40914"/>
    <cellStyle name="Total 24" xfId="28427"/>
    <cellStyle name="Total 24 2" xfId="29326"/>
    <cellStyle name="Total 24 2 2" xfId="40963"/>
    <cellStyle name="Total 25" xfId="28428"/>
    <cellStyle name="Total 25 2" xfId="29327"/>
    <cellStyle name="Total 25 2 2" xfId="40998"/>
    <cellStyle name="Total 26" xfId="28429"/>
    <cellStyle name="Total 26 10" xfId="28430"/>
    <cellStyle name="Total 26 10 2" xfId="40306"/>
    <cellStyle name="Total 26 11" xfId="28431"/>
    <cellStyle name="Total 26 11 2" xfId="40307"/>
    <cellStyle name="Total 26 12" xfId="28432"/>
    <cellStyle name="Total 26 12 2" xfId="40308"/>
    <cellStyle name="Total 26 13" xfId="28433"/>
    <cellStyle name="Total 26 13 2" xfId="40309"/>
    <cellStyle name="Total 26 14" xfId="28434"/>
    <cellStyle name="Total 26 14 2" xfId="40310"/>
    <cellStyle name="Total 26 15" xfId="28435"/>
    <cellStyle name="Total 26 15 2" xfId="40311"/>
    <cellStyle name="Total 26 16" xfId="28436"/>
    <cellStyle name="Total 26 16 2" xfId="40312"/>
    <cellStyle name="Total 26 17" xfId="41003"/>
    <cellStyle name="Total 26 18" xfId="40305"/>
    <cellStyle name="Total 26 2" xfId="28437"/>
    <cellStyle name="Total 26 2 2" xfId="40313"/>
    <cellStyle name="Total 26 3" xfId="28438"/>
    <cellStyle name="Total 26 3 2" xfId="40314"/>
    <cellStyle name="Total 26 4" xfId="28439"/>
    <cellStyle name="Total 26 4 2" xfId="40315"/>
    <cellStyle name="Total 26 5" xfId="28440"/>
    <cellStyle name="Total 26 5 2" xfId="40316"/>
    <cellStyle name="Total 26 6" xfId="28441"/>
    <cellStyle name="Total 26 6 2" xfId="40317"/>
    <cellStyle name="Total 26 7" xfId="28442"/>
    <cellStyle name="Total 26 7 2" xfId="40318"/>
    <cellStyle name="Total 26 8" xfId="28443"/>
    <cellStyle name="Total 26 8 2" xfId="40319"/>
    <cellStyle name="Total 26 9" xfId="28444"/>
    <cellStyle name="Total 26 9 2" xfId="40320"/>
    <cellStyle name="Total 27" xfId="28445"/>
    <cellStyle name="Total 27 10" xfId="28446"/>
    <cellStyle name="Total 27 10 2" xfId="40322"/>
    <cellStyle name="Total 27 11" xfId="28447"/>
    <cellStyle name="Total 27 11 2" xfId="40323"/>
    <cellStyle name="Total 27 12" xfId="28448"/>
    <cellStyle name="Total 27 12 2" xfId="40324"/>
    <cellStyle name="Total 27 13" xfId="28449"/>
    <cellStyle name="Total 27 13 2" xfId="40325"/>
    <cellStyle name="Total 27 14" xfId="28450"/>
    <cellStyle name="Total 27 14 2" xfId="40326"/>
    <cellStyle name="Total 27 15" xfId="28451"/>
    <cellStyle name="Total 27 15 2" xfId="40327"/>
    <cellStyle name="Total 27 16" xfId="28452"/>
    <cellStyle name="Total 27 16 2" xfId="40328"/>
    <cellStyle name="Total 27 17" xfId="40321"/>
    <cellStyle name="Total 27 2" xfId="28453"/>
    <cellStyle name="Total 27 2 2" xfId="40329"/>
    <cellStyle name="Total 27 3" xfId="28454"/>
    <cellStyle name="Total 27 3 2" xfId="40330"/>
    <cellStyle name="Total 27 4" xfId="28455"/>
    <cellStyle name="Total 27 4 2" xfId="40331"/>
    <cellStyle name="Total 27 5" xfId="28456"/>
    <cellStyle name="Total 27 5 2" xfId="40332"/>
    <cellStyle name="Total 27 6" xfId="28457"/>
    <cellStyle name="Total 27 6 2" xfId="40333"/>
    <cellStyle name="Total 27 7" xfId="28458"/>
    <cellStyle name="Total 27 7 2" xfId="40334"/>
    <cellStyle name="Total 27 8" xfId="28459"/>
    <cellStyle name="Total 27 8 2" xfId="40335"/>
    <cellStyle name="Total 27 9" xfId="28460"/>
    <cellStyle name="Total 27 9 2" xfId="40336"/>
    <cellStyle name="Total 28" xfId="28461"/>
    <cellStyle name="Total 28 10" xfId="28462"/>
    <cellStyle name="Total 28 10 2" xfId="40338"/>
    <cellStyle name="Total 28 11" xfId="28463"/>
    <cellStyle name="Total 28 11 2" xfId="40339"/>
    <cellStyle name="Total 28 12" xfId="28464"/>
    <cellStyle name="Total 28 12 2" xfId="40340"/>
    <cellStyle name="Total 28 13" xfId="28465"/>
    <cellStyle name="Total 28 13 2" xfId="40341"/>
    <cellStyle name="Total 28 14" xfId="28466"/>
    <cellStyle name="Total 28 14 2" xfId="40342"/>
    <cellStyle name="Total 28 15" xfId="28467"/>
    <cellStyle name="Total 28 15 2" xfId="40343"/>
    <cellStyle name="Total 28 16" xfId="28468"/>
    <cellStyle name="Total 28 16 2" xfId="40344"/>
    <cellStyle name="Total 28 17" xfId="40337"/>
    <cellStyle name="Total 28 2" xfId="28469"/>
    <cellStyle name="Total 28 2 2" xfId="40345"/>
    <cellStyle name="Total 28 3" xfId="28470"/>
    <cellStyle name="Total 28 3 2" xfId="40346"/>
    <cellStyle name="Total 28 4" xfId="28471"/>
    <cellStyle name="Total 28 4 2" xfId="40347"/>
    <cellStyle name="Total 28 5" xfId="28472"/>
    <cellStyle name="Total 28 5 2" xfId="40348"/>
    <cellStyle name="Total 28 6" xfId="28473"/>
    <cellStyle name="Total 28 6 2" xfId="40349"/>
    <cellStyle name="Total 28 7" xfId="28474"/>
    <cellStyle name="Total 28 7 2" xfId="40350"/>
    <cellStyle name="Total 28 8" xfId="28475"/>
    <cellStyle name="Total 28 8 2" xfId="40351"/>
    <cellStyle name="Total 28 9" xfId="28476"/>
    <cellStyle name="Total 28 9 2" xfId="40352"/>
    <cellStyle name="Total 29" xfId="28477"/>
    <cellStyle name="Total 29 10" xfId="28478"/>
    <cellStyle name="Total 29 10 2" xfId="40354"/>
    <cellStyle name="Total 29 11" xfId="28479"/>
    <cellStyle name="Total 29 11 2" xfId="40355"/>
    <cellStyle name="Total 29 12" xfId="28480"/>
    <cellStyle name="Total 29 12 2" xfId="40356"/>
    <cellStyle name="Total 29 13" xfId="28481"/>
    <cellStyle name="Total 29 13 2" xfId="40357"/>
    <cellStyle name="Total 29 14" xfId="28482"/>
    <cellStyle name="Total 29 14 2" xfId="40358"/>
    <cellStyle name="Total 29 15" xfId="28483"/>
    <cellStyle name="Total 29 15 2" xfId="40359"/>
    <cellStyle name="Total 29 16" xfId="28484"/>
    <cellStyle name="Total 29 16 2" xfId="40360"/>
    <cellStyle name="Total 29 17" xfId="40353"/>
    <cellStyle name="Total 29 2" xfId="28485"/>
    <cellStyle name="Total 29 2 2" xfId="40361"/>
    <cellStyle name="Total 29 3" xfId="28486"/>
    <cellStyle name="Total 29 3 2" xfId="40362"/>
    <cellStyle name="Total 29 4" xfId="28487"/>
    <cellStyle name="Total 29 4 2" xfId="40363"/>
    <cellStyle name="Total 29 5" xfId="28488"/>
    <cellStyle name="Total 29 5 2" xfId="40364"/>
    <cellStyle name="Total 29 6" xfId="28489"/>
    <cellStyle name="Total 29 6 2" xfId="40365"/>
    <cellStyle name="Total 29 7" xfId="28490"/>
    <cellStyle name="Total 29 7 2" xfId="40366"/>
    <cellStyle name="Total 29 8" xfId="28491"/>
    <cellStyle name="Total 29 8 2" xfId="40367"/>
    <cellStyle name="Total 29 9" xfId="28492"/>
    <cellStyle name="Total 29 9 2" xfId="40368"/>
    <cellStyle name="Total 3" xfId="28493"/>
    <cellStyle name="Total 3 10" xfId="28494"/>
    <cellStyle name="Total 3 10 2" xfId="40369"/>
    <cellStyle name="Total 3 11" xfId="28495"/>
    <cellStyle name="Total 3 11 2" xfId="40370"/>
    <cellStyle name="Total 3 12" xfId="40915"/>
    <cellStyle name="Total 3 2" xfId="28496"/>
    <cellStyle name="Total 3 2 2" xfId="29328"/>
    <cellStyle name="Total 3 2 2 2" xfId="40916"/>
    <cellStyle name="Total 3 3" xfId="28497"/>
    <cellStyle name="Total 3 3 2" xfId="29329"/>
    <cellStyle name="Total 3 3 2 2" xfId="40917"/>
    <cellStyle name="Total 3 4" xfId="28498"/>
    <cellStyle name="Total 3 4 2" xfId="29330"/>
    <cellStyle name="Total 3 4 2 2" xfId="40918"/>
    <cellStyle name="Total 3 5" xfId="28499"/>
    <cellStyle name="Total 3 5 2" xfId="29331"/>
    <cellStyle name="Total 3 6" xfId="28500"/>
    <cellStyle name="Total 3 6 2" xfId="29332"/>
    <cellStyle name="Total 3 7" xfId="28501"/>
    <cellStyle name="Total 3 7 2" xfId="29333"/>
    <cellStyle name="Total 3 8" xfId="28502"/>
    <cellStyle name="Total 3 8 2" xfId="40371"/>
    <cellStyle name="Total 3 9" xfId="28503"/>
    <cellStyle name="Total 3 9 2" xfId="40372"/>
    <cellStyle name="Total 30" xfId="28504"/>
    <cellStyle name="Total 30 2" xfId="40373"/>
    <cellStyle name="Total 31" xfId="28505"/>
    <cellStyle name="Total 31 2" xfId="40374"/>
    <cellStyle name="Total 32" xfId="28506"/>
    <cellStyle name="Total 32 2" xfId="40375"/>
    <cellStyle name="Total 33" xfId="28507"/>
    <cellStyle name="Total 33 2" xfId="40376"/>
    <cellStyle name="Total 34" xfId="28508"/>
    <cellStyle name="Total 34 2" xfId="40377"/>
    <cellStyle name="Total 35" xfId="28509"/>
    <cellStyle name="Total 35 2" xfId="40378"/>
    <cellStyle name="Total 36" xfId="28510"/>
    <cellStyle name="Total 36 2" xfId="40379"/>
    <cellStyle name="Total 37" xfId="28511"/>
    <cellStyle name="Total 37 2" xfId="40380"/>
    <cellStyle name="Total 38" xfId="28512"/>
    <cellStyle name="Total 38 2" xfId="40381"/>
    <cellStyle name="Total 39" xfId="28513"/>
    <cellStyle name="Total 39 2" xfId="40382"/>
    <cellStyle name="Total 4" xfId="28514"/>
    <cellStyle name="Total 4 10" xfId="28515"/>
    <cellStyle name="Total 4 10 2" xfId="40383"/>
    <cellStyle name="Total 4 11" xfId="28516"/>
    <cellStyle name="Total 4 11 2" xfId="40384"/>
    <cellStyle name="Total 4 12" xfId="40919"/>
    <cellStyle name="Total 4 2" xfId="28517"/>
    <cellStyle name="Total 4 2 2" xfId="29334"/>
    <cellStyle name="Total 4 2 2 2" xfId="40920"/>
    <cellStyle name="Total 4 3" xfId="28518"/>
    <cellStyle name="Total 4 3 2" xfId="29335"/>
    <cellStyle name="Total 4 3 2 2" xfId="40921"/>
    <cellStyle name="Total 4 4" xfId="28519"/>
    <cellStyle name="Total 4 4 2" xfId="29336"/>
    <cellStyle name="Total 4 4 2 2" xfId="40922"/>
    <cellStyle name="Total 4 5" xfId="28520"/>
    <cellStyle name="Total 4 5 2" xfId="29337"/>
    <cellStyle name="Total 4 6" xfId="28521"/>
    <cellStyle name="Total 4 6 2" xfId="29338"/>
    <cellStyle name="Total 4 7" xfId="28522"/>
    <cellStyle name="Total 4 7 2" xfId="29339"/>
    <cellStyle name="Total 4 8" xfId="28523"/>
    <cellStyle name="Total 4 8 2" xfId="40385"/>
    <cellStyle name="Total 4 9" xfId="28524"/>
    <cellStyle name="Total 4 9 2" xfId="40386"/>
    <cellStyle name="Total 40" xfId="28525"/>
    <cellStyle name="Total 40 2" xfId="40387"/>
    <cellStyle name="Total 41" xfId="28526"/>
    <cellStyle name="Total 41 2" xfId="40388"/>
    <cellStyle name="Total 42" xfId="28527"/>
    <cellStyle name="Total 42 2" xfId="40389"/>
    <cellStyle name="Total 43" xfId="28528"/>
    <cellStyle name="Total 43 2" xfId="40390"/>
    <cellStyle name="Total 44" xfId="28529"/>
    <cellStyle name="Total 44 2" xfId="40391"/>
    <cellStyle name="Total 45" xfId="28530"/>
    <cellStyle name="Total 45 2" xfId="40392"/>
    <cellStyle name="Total 46" xfId="28531"/>
    <cellStyle name="Total 46 2" xfId="40393"/>
    <cellStyle name="Total 47" xfId="28532"/>
    <cellStyle name="Total 47 2" xfId="40394"/>
    <cellStyle name="Total 48" xfId="28533"/>
    <cellStyle name="Total 48 2" xfId="40395"/>
    <cellStyle name="Total 49" xfId="28534"/>
    <cellStyle name="Total 49 2" xfId="40396"/>
    <cellStyle name="Total 5" xfId="28535"/>
    <cellStyle name="Total 5 2" xfId="28536"/>
    <cellStyle name="Total 5 2 2" xfId="29341"/>
    <cellStyle name="Total 5 3" xfId="28537"/>
    <cellStyle name="Total 5 3 2" xfId="29342"/>
    <cellStyle name="Total 5 4" xfId="28538"/>
    <cellStyle name="Total 5 4 2" xfId="29343"/>
    <cellStyle name="Total 5 5" xfId="29340"/>
    <cellStyle name="Total 5 5 2" xfId="40923"/>
    <cellStyle name="Total 50" xfId="28539"/>
    <cellStyle name="Total 50 2" xfId="40397"/>
    <cellStyle name="Total 51" xfId="28540"/>
    <cellStyle name="Total 51 2" xfId="40398"/>
    <cellStyle name="Total 52" xfId="28541"/>
    <cellStyle name="Total 52 2" xfId="40399"/>
    <cellStyle name="Total 53" xfId="28542"/>
    <cellStyle name="Total 53 2" xfId="40400"/>
    <cellStyle name="Total 54" xfId="28543"/>
    <cellStyle name="Total 54 2" xfId="40401"/>
    <cellStyle name="Total 55" xfId="28544"/>
    <cellStyle name="Total 55 2" xfId="40402"/>
    <cellStyle name="Total 56" xfId="28545"/>
    <cellStyle name="Total 56 2" xfId="40403"/>
    <cellStyle name="Total 57" xfId="28546"/>
    <cellStyle name="Total 57 2" xfId="40404"/>
    <cellStyle name="Total 58" xfId="28547"/>
    <cellStyle name="Total 58 2" xfId="40405"/>
    <cellStyle name="Total 59" xfId="28548"/>
    <cellStyle name="Total 59 2" xfId="40406"/>
    <cellStyle name="Total 6" xfId="28549"/>
    <cellStyle name="Total 6 2" xfId="28550"/>
    <cellStyle name="Total 6 2 2" xfId="29345"/>
    <cellStyle name="Total 6 3" xfId="28551"/>
    <cellStyle name="Total 6 3 2" xfId="29346"/>
    <cellStyle name="Total 6 4" xfId="28552"/>
    <cellStyle name="Total 6 4 2" xfId="29347"/>
    <cellStyle name="Total 6 5" xfId="29344"/>
    <cellStyle name="Total 6 5 2" xfId="40924"/>
    <cellStyle name="Total 60" xfId="28553"/>
    <cellStyle name="Total 60 2" xfId="40407"/>
    <cellStyle name="Total 61" xfId="28554"/>
    <cellStyle name="Total 61 2" xfId="40408"/>
    <cellStyle name="Total 62" xfId="28555"/>
    <cellStyle name="Total 62 2" xfId="40409"/>
    <cellStyle name="Total 63" xfId="28556"/>
    <cellStyle name="Total 63 2" xfId="40410"/>
    <cellStyle name="Total 64" xfId="28557"/>
    <cellStyle name="Total 64 2" xfId="40411"/>
    <cellStyle name="Total 65" xfId="28558"/>
    <cellStyle name="Total 65 2" xfId="40412"/>
    <cellStyle name="Total 66" xfId="28559"/>
    <cellStyle name="Total 66 2" xfId="40413"/>
    <cellStyle name="Total 67" xfId="28560"/>
    <cellStyle name="Total 67 2" xfId="40414"/>
    <cellStyle name="Total 68" xfId="28561"/>
    <cellStyle name="Total 68 2" xfId="40415"/>
    <cellStyle name="Total 69" xfId="28562"/>
    <cellStyle name="Total 69 2" xfId="40416"/>
    <cellStyle name="Total 7" xfId="28563"/>
    <cellStyle name="Total 7 2" xfId="28564"/>
    <cellStyle name="Total 7 2 2" xfId="29349"/>
    <cellStyle name="Total 7 3" xfId="28565"/>
    <cellStyle name="Total 7 3 2" xfId="29350"/>
    <cellStyle name="Total 7 4" xfId="28566"/>
    <cellStyle name="Total 7 4 2" xfId="29351"/>
    <cellStyle name="Total 7 5" xfId="29348"/>
    <cellStyle name="Total 7 5 2" xfId="40925"/>
    <cellStyle name="Total 70" xfId="28567"/>
    <cellStyle name="Total 70 2" xfId="40417"/>
    <cellStyle name="Total 71" xfId="28568"/>
    <cellStyle name="Total 71 2" xfId="40418"/>
    <cellStyle name="Total 72" xfId="28569"/>
    <cellStyle name="Total 72 2" xfId="40419"/>
    <cellStyle name="Total 73" xfId="28570"/>
    <cellStyle name="Total 73 2" xfId="40420"/>
    <cellStyle name="Total 74" xfId="28571"/>
    <cellStyle name="Total 74 2" xfId="40421"/>
    <cellStyle name="Total 75" xfId="28572"/>
    <cellStyle name="Total 75 2" xfId="40422"/>
    <cellStyle name="Total 76" xfId="28573"/>
    <cellStyle name="Total 76 2" xfId="40423"/>
    <cellStyle name="Total 77" xfId="28574"/>
    <cellStyle name="Total 77 2" xfId="40424"/>
    <cellStyle name="Total 78" xfId="28575"/>
    <cellStyle name="Total 78 2" xfId="40425"/>
    <cellStyle name="Total 79" xfId="28576"/>
    <cellStyle name="Total 79 2" xfId="40426"/>
    <cellStyle name="Total 8" xfId="28577"/>
    <cellStyle name="Total 8 2" xfId="28578"/>
    <cellStyle name="Total 8 2 2" xfId="29353"/>
    <cellStyle name="Total 8 3" xfId="28579"/>
    <cellStyle name="Total 8 3 2" xfId="29354"/>
    <cellStyle name="Total 8 4" xfId="28580"/>
    <cellStyle name="Total 8 4 2" xfId="29355"/>
    <cellStyle name="Total 8 5" xfId="29352"/>
    <cellStyle name="Total 8 5 2" xfId="40926"/>
    <cellStyle name="Total 80" xfId="28581"/>
    <cellStyle name="Total 80 2" xfId="40427"/>
    <cellStyle name="Total 81" xfId="28582"/>
    <cellStyle name="Total 81 2" xfId="40428"/>
    <cellStyle name="Total 82" xfId="28583"/>
    <cellStyle name="Total 82 2" xfId="40429"/>
    <cellStyle name="Total 83" xfId="28584"/>
    <cellStyle name="Total 83 2" xfId="40430"/>
    <cellStyle name="Total 84" xfId="28585"/>
    <cellStyle name="Total 84 2" xfId="40431"/>
    <cellStyle name="Total 85" xfId="28586"/>
    <cellStyle name="Total 85 2" xfId="40432"/>
    <cellStyle name="Total 86" xfId="28587"/>
    <cellStyle name="Total 86 2" xfId="40433"/>
    <cellStyle name="Total 87" xfId="28588"/>
    <cellStyle name="Total 87 2" xfId="40434"/>
    <cellStyle name="Total 88" xfId="28589"/>
    <cellStyle name="Total 88 2" xfId="40435"/>
    <cellStyle name="Total 89" xfId="28590"/>
    <cellStyle name="Total 89 2" xfId="40436"/>
    <cellStyle name="Total 9" xfId="28591"/>
    <cellStyle name="Total 9 2" xfId="29356"/>
    <cellStyle name="Total 9 2 2" xfId="40927"/>
    <cellStyle name="Total 90" xfId="28592"/>
    <cellStyle name="Total 90 2" xfId="40437"/>
    <cellStyle name="Total 91" xfId="28593"/>
    <cellStyle name="Total 91 2" xfId="40438"/>
    <cellStyle name="Total 92" xfId="28594"/>
    <cellStyle name="Total 92 2" xfId="40439"/>
    <cellStyle name="Total 93" xfId="28595"/>
    <cellStyle name="Total 93 2" xfId="40440"/>
    <cellStyle name="Total 94" xfId="28596"/>
    <cellStyle name="Total 94 2" xfId="40441"/>
    <cellStyle name="Total 95" xfId="28597"/>
    <cellStyle name="Total 95 2" xfId="40442"/>
    <cellStyle name="Total 96" xfId="28598"/>
    <cellStyle name="Total 96 2" xfId="40443"/>
    <cellStyle name="Total 97" xfId="28599"/>
    <cellStyle name="Total 97 2" xfId="40444"/>
    <cellStyle name="Total 98" xfId="28600"/>
    <cellStyle name="Total 98 2" xfId="40445"/>
    <cellStyle name="Total 99" xfId="28601"/>
    <cellStyle name="Total 99 2" xfId="40446"/>
    <cellStyle name="Vírgula" xfId="21" builtinId="3"/>
    <cellStyle name="Vírgula 2" xfId="41070"/>
    <cellStyle name="Vírgula 3" xfId="41073"/>
    <cellStyle name="Währung" xfId="28602"/>
    <cellStyle name="Währung 10" xfId="28603"/>
    <cellStyle name="Währung 100" xfId="28604"/>
    <cellStyle name="Währung 101" xfId="28605"/>
    <cellStyle name="Währung 102" xfId="28606"/>
    <cellStyle name="Währung 103" xfId="28607"/>
    <cellStyle name="Währung 104" xfId="28608"/>
    <cellStyle name="Währung 105" xfId="28609"/>
    <cellStyle name="Währung 106" xfId="28610"/>
    <cellStyle name="Währung 107" xfId="28611"/>
    <cellStyle name="Währung 108" xfId="28612"/>
    <cellStyle name="Währung 109" xfId="28613"/>
    <cellStyle name="Währung 11" xfId="28614"/>
    <cellStyle name="Währung 110" xfId="28615"/>
    <cellStyle name="Währung 111" xfId="28616"/>
    <cellStyle name="Währung 112" xfId="28617"/>
    <cellStyle name="Währung 113" xfId="28618"/>
    <cellStyle name="Währung 114" xfId="28619"/>
    <cellStyle name="Währung 115" xfId="28620"/>
    <cellStyle name="Währung 116" xfId="28621"/>
    <cellStyle name="Währung 117" xfId="28622"/>
    <cellStyle name="Währung 118" xfId="28623"/>
    <cellStyle name="Währung 119" xfId="28624"/>
    <cellStyle name="Währung 12" xfId="28625"/>
    <cellStyle name="Währung 120" xfId="28626"/>
    <cellStyle name="Währung 121" xfId="28627"/>
    <cellStyle name="Währung 122" xfId="28628"/>
    <cellStyle name="Währung 123" xfId="28629"/>
    <cellStyle name="Währung 124" xfId="28630"/>
    <cellStyle name="Währung 125" xfId="28631"/>
    <cellStyle name="Währung 126" xfId="28632"/>
    <cellStyle name="Währung 127" xfId="28633"/>
    <cellStyle name="Währung 128" xfId="28634"/>
    <cellStyle name="Währung 129" xfId="28635"/>
    <cellStyle name="Währung 13" xfId="28636"/>
    <cellStyle name="Währung 130" xfId="28637"/>
    <cellStyle name="Währung 131" xfId="28638"/>
    <cellStyle name="Währung 132" xfId="28639"/>
    <cellStyle name="Währung 133" xfId="28640"/>
    <cellStyle name="Währung 134" xfId="28641"/>
    <cellStyle name="Währung 135" xfId="28642"/>
    <cellStyle name="Währung 136" xfId="28643"/>
    <cellStyle name="Währung 137" xfId="28644"/>
    <cellStyle name="Währung 138" xfId="28645"/>
    <cellStyle name="Währung 139" xfId="28646"/>
    <cellStyle name="Währung 14" xfId="28647"/>
    <cellStyle name="Währung 140" xfId="28648"/>
    <cellStyle name="Währung 141" xfId="28649"/>
    <cellStyle name="Währung 142" xfId="28650"/>
    <cellStyle name="Währung 143" xfId="28651"/>
    <cellStyle name="Währung 144" xfId="28652"/>
    <cellStyle name="Währung 145" xfId="28653"/>
    <cellStyle name="Währung 146" xfId="28654"/>
    <cellStyle name="Währung 147" xfId="28655"/>
    <cellStyle name="Währung 148" xfId="28656"/>
    <cellStyle name="Währung 149" xfId="28657"/>
    <cellStyle name="Währung 15" xfId="28658"/>
    <cellStyle name="Währung 150" xfId="28659"/>
    <cellStyle name="Währung 151" xfId="28660"/>
    <cellStyle name="Währung 152" xfId="28661"/>
    <cellStyle name="Währung 153" xfId="28662"/>
    <cellStyle name="Währung 154" xfId="28663"/>
    <cellStyle name="Währung 155" xfId="28664"/>
    <cellStyle name="Währung 156" xfId="28665"/>
    <cellStyle name="Währung 157" xfId="28666"/>
    <cellStyle name="Währung 158" xfId="28667"/>
    <cellStyle name="Währung 159" xfId="28668"/>
    <cellStyle name="Währung 16" xfId="28669"/>
    <cellStyle name="Währung 160" xfId="28670"/>
    <cellStyle name="Währung 161" xfId="28671"/>
    <cellStyle name="Währung 162" xfId="28672"/>
    <cellStyle name="Währung 163" xfId="28673"/>
    <cellStyle name="Währung 164" xfId="28674"/>
    <cellStyle name="Währung 165" xfId="28675"/>
    <cellStyle name="Währung 166" xfId="28676"/>
    <cellStyle name="Währung 167" xfId="28677"/>
    <cellStyle name="Währung 168" xfId="28678"/>
    <cellStyle name="Währung 169" xfId="28679"/>
    <cellStyle name="Währung 17" xfId="28680"/>
    <cellStyle name="Währung 170" xfId="28681"/>
    <cellStyle name="Währung 171" xfId="28682"/>
    <cellStyle name="Währung 172" xfId="28683"/>
    <cellStyle name="Währung 173" xfId="28684"/>
    <cellStyle name="Währung 174" xfId="28685"/>
    <cellStyle name="Währung 175" xfId="28686"/>
    <cellStyle name="Währung 176" xfId="28687"/>
    <cellStyle name="Währung 176 2" xfId="40447"/>
    <cellStyle name="Währung 18" xfId="28688"/>
    <cellStyle name="Währung 19" xfId="28689"/>
    <cellStyle name="Währung 2" xfId="28690"/>
    <cellStyle name="Währung 2 10" xfId="28691"/>
    <cellStyle name="Währung 2 11" xfId="28692"/>
    <cellStyle name="Währung 2 12" xfId="28693"/>
    <cellStyle name="Währung 2 13" xfId="28694"/>
    <cellStyle name="Währung 2 14" xfId="28695"/>
    <cellStyle name="Währung 2 15" xfId="28696"/>
    <cellStyle name="Währung 2 16" xfId="28697"/>
    <cellStyle name="Währung 2 17" xfId="28698"/>
    <cellStyle name="Währung 2 18" xfId="28699"/>
    <cellStyle name="Währung 2 19" xfId="28700"/>
    <cellStyle name="Währung 2 2" xfId="28701"/>
    <cellStyle name="Währung 2 2 2" xfId="28702"/>
    <cellStyle name="Währung 2 2 3" xfId="28703"/>
    <cellStyle name="Währung 2 2 4" xfId="28704"/>
    <cellStyle name="Währung 2 20" xfId="28705"/>
    <cellStyle name="Währung 2 21" xfId="28706"/>
    <cellStyle name="Währung 2 22" xfId="28707"/>
    <cellStyle name="Währung 2 23" xfId="28708"/>
    <cellStyle name="Währung 2 24" xfId="28709"/>
    <cellStyle name="Währung 2 25" xfId="28710"/>
    <cellStyle name="Währung 2 26" xfId="28711"/>
    <cellStyle name="Währung 2 27" xfId="28712"/>
    <cellStyle name="Währung 2 28" xfId="28713"/>
    <cellStyle name="Währung 2 29" xfId="28714"/>
    <cellStyle name="Währung 2 3" xfId="28715"/>
    <cellStyle name="Währung 2 30" xfId="28716"/>
    <cellStyle name="Währung 2 31" xfId="28717"/>
    <cellStyle name="Währung 2 32" xfId="28718"/>
    <cellStyle name="Währung 2 33" xfId="28719"/>
    <cellStyle name="Währung 2 4" xfId="28720"/>
    <cellStyle name="Währung 2 5" xfId="28721"/>
    <cellStyle name="Währung 2 6" xfId="28722"/>
    <cellStyle name="Währung 2 7" xfId="28723"/>
    <cellStyle name="Währung 2 8" xfId="28724"/>
    <cellStyle name="Währung 2 9" xfId="28725"/>
    <cellStyle name="Währung 20" xfId="28726"/>
    <cellStyle name="Währung 21" xfId="28727"/>
    <cellStyle name="Währung 22" xfId="28728"/>
    <cellStyle name="Währung 23" xfId="28729"/>
    <cellStyle name="Währung 24" xfId="28730"/>
    <cellStyle name="Währung 25" xfId="28731"/>
    <cellStyle name="Währung 26" xfId="28732"/>
    <cellStyle name="Währung 27" xfId="28733"/>
    <cellStyle name="Währung 28" xfId="28734"/>
    <cellStyle name="Währung 29" xfId="28735"/>
    <cellStyle name="Währung 3" xfId="28736"/>
    <cellStyle name="Währung 3 10" xfId="28737"/>
    <cellStyle name="Währung 3 11" xfId="28738"/>
    <cellStyle name="Währung 3 12" xfId="28739"/>
    <cellStyle name="Währung 3 13" xfId="28740"/>
    <cellStyle name="Währung 3 14" xfId="28741"/>
    <cellStyle name="Währung 3 15" xfId="28742"/>
    <cellStyle name="Währung 3 16" xfId="28743"/>
    <cellStyle name="Währung 3 17" xfId="28744"/>
    <cellStyle name="Währung 3 18" xfId="28745"/>
    <cellStyle name="Währung 3 19" xfId="28746"/>
    <cellStyle name="Währung 3 2" xfId="28747"/>
    <cellStyle name="Währung 3 20" xfId="28748"/>
    <cellStyle name="Währung 3 21" xfId="28749"/>
    <cellStyle name="Währung 3 22" xfId="28750"/>
    <cellStyle name="Währung 3 23" xfId="28751"/>
    <cellStyle name="Währung 3 24" xfId="28752"/>
    <cellStyle name="Währung 3 25" xfId="28753"/>
    <cellStyle name="Währung 3 26" xfId="28754"/>
    <cellStyle name="Währung 3 27" xfId="28755"/>
    <cellStyle name="Währung 3 28" xfId="28756"/>
    <cellStyle name="Währung 3 29" xfId="28757"/>
    <cellStyle name="Währung 3 3" xfId="28758"/>
    <cellStyle name="Währung 3 30" xfId="28759"/>
    <cellStyle name="Währung 3 31" xfId="28760"/>
    <cellStyle name="Währung 3 32" xfId="28761"/>
    <cellStyle name="Währung 3 4" xfId="28762"/>
    <cellStyle name="Währung 3 5" xfId="28763"/>
    <cellStyle name="Währung 3 6" xfId="28764"/>
    <cellStyle name="Währung 3 7" xfId="28765"/>
    <cellStyle name="Währung 3 8" xfId="28766"/>
    <cellStyle name="Währung 3 9" xfId="28767"/>
    <cellStyle name="Währung 30" xfId="28768"/>
    <cellStyle name="Währung 31" xfId="28769"/>
    <cellStyle name="Währung 31 10" xfId="28770"/>
    <cellStyle name="Währung 31 11" xfId="28771"/>
    <cellStyle name="Währung 31 12" xfId="28772"/>
    <cellStyle name="Währung 31 13" xfId="28773"/>
    <cellStyle name="Währung 31 14" xfId="28774"/>
    <cellStyle name="Währung 31 15" xfId="28775"/>
    <cellStyle name="Währung 31 2" xfId="28776"/>
    <cellStyle name="Währung 31 3" xfId="28777"/>
    <cellStyle name="Währung 31 4" xfId="28778"/>
    <cellStyle name="Währung 31 5" xfId="28779"/>
    <cellStyle name="Währung 31 6" xfId="28780"/>
    <cellStyle name="Währung 31 7" xfId="28781"/>
    <cellStyle name="Währung 31 8" xfId="28782"/>
    <cellStyle name="Währung 31 9" xfId="28783"/>
    <cellStyle name="Währung 32" xfId="28784"/>
    <cellStyle name="Währung 33" xfId="28785"/>
    <cellStyle name="Währung 34" xfId="28786"/>
    <cellStyle name="Währung 35" xfId="28787"/>
    <cellStyle name="Währung 36" xfId="28788"/>
    <cellStyle name="Währung 37" xfId="28789"/>
    <cellStyle name="Währung 38" xfId="28790"/>
    <cellStyle name="Währung 39" xfId="28791"/>
    <cellStyle name="Währung 4" xfId="28792"/>
    <cellStyle name="Währung 4 10" xfId="28793"/>
    <cellStyle name="Währung 4 11" xfId="28794"/>
    <cellStyle name="Währung 4 12" xfId="28795"/>
    <cellStyle name="Währung 4 13" xfId="28796"/>
    <cellStyle name="Währung 4 14" xfId="28797"/>
    <cellStyle name="Währung 4 15" xfId="28798"/>
    <cellStyle name="Währung 4 16" xfId="28799"/>
    <cellStyle name="Währung 4 17" xfId="28800"/>
    <cellStyle name="Währung 4 18" xfId="28801"/>
    <cellStyle name="Währung 4 19" xfId="28802"/>
    <cellStyle name="Währung 4 2" xfId="28803"/>
    <cellStyle name="Währung 4 20" xfId="28804"/>
    <cellStyle name="Währung 4 21" xfId="28805"/>
    <cellStyle name="Währung 4 22" xfId="28806"/>
    <cellStyle name="Währung 4 23" xfId="28807"/>
    <cellStyle name="Währung 4 24" xfId="28808"/>
    <cellStyle name="Währung 4 25" xfId="28809"/>
    <cellStyle name="Währung 4 26" xfId="28810"/>
    <cellStyle name="Währung 4 27" xfId="28811"/>
    <cellStyle name="Währung 4 28" xfId="28812"/>
    <cellStyle name="Währung 4 29" xfId="28813"/>
    <cellStyle name="Währung 4 3" xfId="28814"/>
    <cellStyle name="Währung 4 30" xfId="28815"/>
    <cellStyle name="Währung 4 31" xfId="28816"/>
    <cellStyle name="Währung 4 32" xfId="28817"/>
    <cellStyle name="Währung 4 4" xfId="28818"/>
    <cellStyle name="Währung 4 5" xfId="28819"/>
    <cellStyle name="Währung 4 6" xfId="28820"/>
    <cellStyle name="Währung 4 7" xfId="28821"/>
    <cellStyle name="Währung 4 8" xfId="28822"/>
    <cellStyle name="Währung 4 9" xfId="28823"/>
    <cellStyle name="Währung 40" xfId="28824"/>
    <cellStyle name="Währung 41" xfId="28825"/>
    <cellStyle name="Währung 42" xfId="28826"/>
    <cellStyle name="Währung 43" xfId="28827"/>
    <cellStyle name="Währung 43 2" xfId="28828"/>
    <cellStyle name="Währung 43 3" xfId="28829"/>
    <cellStyle name="Währung 43 4" xfId="28830"/>
    <cellStyle name="Währung 43 5" xfId="28831"/>
    <cellStyle name="Währung 43 6" xfId="28832"/>
    <cellStyle name="Währung 44" xfId="28833"/>
    <cellStyle name="Währung 44 2" xfId="28834"/>
    <cellStyle name="Währung 44 3" xfId="28835"/>
    <cellStyle name="Währung 44 4" xfId="28836"/>
    <cellStyle name="Währung 44 5" xfId="28837"/>
    <cellStyle name="Währung 44 6" xfId="28838"/>
    <cellStyle name="Währung 44 7" xfId="28839"/>
    <cellStyle name="Währung 45" xfId="28840"/>
    <cellStyle name="Währung 45 2" xfId="28841"/>
    <cellStyle name="Währung 45 3" xfId="28842"/>
    <cellStyle name="Währung 45 4" xfId="28843"/>
    <cellStyle name="Währung 45 5" xfId="28844"/>
    <cellStyle name="Währung 45 6" xfId="28845"/>
    <cellStyle name="Währung 45 7" xfId="28846"/>
    <cellStyle name="Währung 46" xfId="28847"/>
    <cellStyle name="Währung 46 2" xfId="28848"/>
    <cellStyle name="Währung 46 3" xfId="28849"/>
    <cellStyle name="Währung 46 4" xfId="28850"/>
    <cellStyle name="Währung 46 5" xfId="28851"/>
    <cellStyle name="Währung 46 6" xfId="28852"/>
    <cellStyle name="Währung 46 7" xfId="28853"/>
    <cellStyle name="Währung 47" xfId="28854"/>
    <cellStyle name="Währung 47 2" xfId="28855"/>
    <cellStyle name="Währung 47 3" xfId="28856"/>
    <cellStyle name="Währung 47 4" xfId="28857"/>
    <cellStyle name="Währung 47 5" xfId="28858"/>
    <cellStyle name="Währung 47 6" xfId="28859"/>
    <cellStyle name="Währung 47 7" xfId="28860"/>
    <cellStyle name="Währung 48" xfId="28861"/>
    <cellStyle name="Währung 48 2" xfId="28862"/>
    <cellStyle name="Währung 48 3" xfId="28863"/>
    <cellStyle name="Währung 48 4" xfId="28864"/>
    <cellStyle name="Währung 48 5" xfId="28865"/>
    <cellStyle name="Währung 48 6" xfId="28866"/>
    <cellStyle name="Währung 48 7" xfId="28867"/>
    <cellStyle name="Währung 49" xfId="28868"/>
    <cellStyle name="Währung 49 2" xfId="28869"/>
    <cellStyle name="Währung 49 3" xfId="28870"/>
    <cellStyle name="Währung 49 4" xfId="28871"/>
    <cellStyle name="Währung 49 5" xfId="28872"/>
    <cellStyle name="Währung 49 6" xfId="28873"/>
    <cellStyle name="Währung 49 7" xfId="28874"/>
    <cellStyle name="Währung 5" xfId="28875"/>
    <cellStyle name="Währung 5 10" xfId="28876"/>
    <cellStyle name="Währung 5 11" xfId="28877"/>
    <cellStyle name="Währung 5 12" xfId="28878"/>
    <cellStyle name="Währung 5 13" xfId="28879"/>
    <cellStyle name="Währung 5 14" xfId="28880"/>
    <cellStyle name="Währung 5 15" xfId="28881"/>
    <cellStyle name="Währung 5 16" xfId="28882"/>
    <cellStyle name="Währung 5 17" xfId="28883"/>
    <cellStyle name="Währung 5 18" xfId="28884"/>
    <cellStyle name="Währung 5 19" xfId="28885"/>
    <cellStyle name="Währung 5 2" xfId="28886"/>
    <cellStyle name="Währung 5 20" xfId="28887"/>
    <cellStyle name="Währung 5 21" xfId="28888"/>
    <cellStyle name="Währung 5 22" xfId="28889"/>
    <cellStyle name="Währung 5 23" xfId="28890"/>
    <cellStyle name="Währung 5 24" xfId="28891"/>
    <cellStyle name="Währung 5 25" xfId="28892"/>
    <cellStyle name="Währung 5 26" xfId="28893"/>
    <cellStyle name="Währung 5 27" xfId="28894"/>
    <cellStyle name="Währung 5 28" xfId="28895"/>
    <cellStyle name="Währung 5 29" xfId="28896"/>
    <cellStyle name="Währung 5 3" xfId="28897"/>
    <cellStyle name="Währung 5 30" xfId="28898"/>
    <cellStyle name="Währung 5 31" xfId="28899"/>
    <cellStyle name="Währung 5 32" xfId="28900"/>
    <cellStyle name="Währung 5 4" xfId="28901"/>
    <cellStyle name="Währung 5 5" xfId="28902"/>
    <cellStyle name="Währung 5 6" xfId="28903"/>
    <cellStyle name="Währung 5 7" xfId="28904"/>
    <cellStyle name="Währung 5 8" xfId="28905"/>
    <cellStyle name="Währung 5 9" xfId="28906"/>
    <cellStyle name="Währung 50" xfId="28907"/>
    <cellStyle name="Währung 50 2" xfId="28908"/>
    <cellStyle name="Währung 50 3" xfId="28909"/>
    <cellStyle name="Währung 50 4" xfId="28910"/>
    <cellStyle name="Währung 50 5" xfId="28911"/>
    <cellStyle name="Währung 50 6" xfId="28912"/>
    <cellStyle name="Währung 50 7" xfId="28913"/>
    <cellStyle name="Währung 51" xfId="28914"/>
    <cellStyle name="Währung 51 2" xfId="28915"/>
    <cellStyle name="Währung 51 3" xfId="28916"/>
    <cellStyle name="Währung 51 4" xfId="28917"/>
    <cellStyle name="Währung 51 5" xfId="28918"/>
    <cellStyle name="Währung 51 6" xfId="28919"/>
    <cellStyle name="Währung 51 7" xfId="28920"/>
    <cellStyle name="Währung 52" xfId="28921"/>
    <cellStyle name="Währung 52 2" xfId="28922"/>
    <cellStyle name="Währung 52 3" xfId="28923"/>
    <cellStyle name="Währung 52 4" xfId="28924"/>
    <cellStyle name="Währung 52 5" xfId="28925"/>
    <cellStyle name="Währung 52 6" xfId="28926"/>
    <cellStyle name="Währung 52 7" xfId="28927"/>
    <cellStyle name="Währung 53" xfId="28928"/>
    <cellStyle name="Währung 53 2" xfId="28929"/>
    <cellStyle name="Währung 53 3" xfId="28930"/>
    <cellStyle name="Währung 53 4" xfId="28931"/>
    <cellStyle name="Währung 53 5" xfId="28932"/>
    <cellStyle name="Währung 53 6" xfId="28933"/>
    <cellStyle name="Währung 53 7" xfId="28934"/>
    <cellStyle name="Währung 54" xfId="28935"/>
    <cellStyle name="Währung 54 2" xfId="28936"/>
    <cellStyle name="Währung 54 3" xfId="28937"/>
    <cellStyle name="Währung 54 4" xfId="28938"/>
    <cellStyle name="Währung 54 5" xfId="28939"/>
    <cellStyle name="Währung 54 6" xfId="28940"/>
    <cellStyle name="Währung 54 7" xfId="28941"/>
    <cellStyle name="Währung 55" xfId="28942"/>
    <cellStyle name="Währung 55 2" xfId="28943"/>
    <cellStyle name="Währung 55 3" xfId="28944"/>
    <cellStyle name="Währung 55 4" xfId="28945"/>
    <cellStyle name="Währung 55 5" xfId="28946"/>
    <cellStyle name="Währung 55 6" xfId="28947"/>
    <cellStyle name="Währung 55 7" xfId="28948"/>
    <cellStyle name="Währung 56" xfId="28949"/>
    <cellStyle name="Währung 56 2" xfId="28950"/>
    <cellStyle name="Währung 56 3" xfId="28951"/>
    <cellStyle name="Währung 56 4" xfId="28952"/>
    <cellStyle name="Währung 56 5" xfId="28953"/>
    <cellStyle name="Währung 56 6" xfId="28954"/>
    <cellStyle name="Währung 56 7" xfId="28955"/>
    <cellStyle name="Währung 57" xfId="28956"/>
    <cellStyle name="Währung 58" xfId="28957"/>
    <cellStyle name="Währung 58 10" xfId="28958"/>
    <cellStyle name="Währung 58 11" xfId="28959"/>
    <cellStyle name="Währung 58 12" xfId="28960"/>
    <cellStyle name="Währung 58 13" xfId="28961"/>
    <cellStyle name="Währung 58 14" xfId="28962"/>
    <cellStyle name="Währung 58 15" xfId="28963"/>
    <cellStyle name="Währung 58 2" xfId="28964"/>
    <cellStyle name="Währung 58 3" xfId="28965"/>
    <cellStyle name="Währung 58 4" xfId="28966"/>
    <cellStyle name="Währung 58 5" xfId="28967"/>
    <cellStyle name="Währung 58 6" xfId="28968"/>
    <cellStyle name="Währung 58 7" xfId="28969"/>
    <cellStyle name="Währung 58 8" xfId="28970"/>
    <cellStyle name="Währung 58 9" xfId="28971"/>
    <cellStyle name="Währung 59" xfId="28972"/>
    <cellStyle name="Währung 59 10" xfId="28973"/>
    <cellStyle name="Währung 59 11" xfId="28974"/>
    <cellStyle name="Währung 59 12" xfId="28975"/>
    <cellStyle name="Währung 59 13" xfId="28976"/>
    <cellStyle name="Währung 59 14" xfId="28977"/>
    <cellStyle name="Währung 59 15" xfId="28978"/>
    <cellStyle name="Währung 59 2" xfId="28979"/>
    <cellStyle name="Währung 59 3" xfId="28980"/>
    <cellStyle name="Währung 59 4" xfId="28981"/>
    <cellStyle name="Währung 59 5" xfId="28982"/>
    <cellStyle name="Währung 59 6" xfId="28983"/>
    <cellStyle name="Währung 59 7" xfId="28984"/>
    <cellStyle name="Währung 59 8" xfId="28985"/>
    <cellStyle name="Währung 59 9" xfId="28986"/>
    <cellStyle name="Währung 6" xfId="28987"/>
    <cellStyle name="Währung 6 2" xfId="41030"/>
    <cellStyle name="Währung 6 3" xfId="41032"/>
    <cellStyle name="Währung 60" xfId="28988"/>
    <cellStyle name="Währung 60 10" xfId="28989"/>
    <cellStyle name="Währung 60 11" xfId="28990"/>
    <cellStyle name="Währung 60 12" xfId="28991"/>
    <cellStyle name="Währung 60 13" xfId="28992"/>
    <cellStyle name="Währung 60 14" xfId="28993"/>
    <cellStyle name="Währung 60 15" xfId="28994"/>
    <cellStyle name="Währung 60 2" xfId="28995"/>
    <cellStyle name="Währung 60 3" xfId="28996"/>
    <cellStyle name="Währung 60 4" xfId="28997"/>
    <cellStyle name="Währung 60 5" xfId="28998"/>
    <cellStyle name="Währung 60 6" xfId="28999"/>
    <cellStyle name="Währung 60 7" xfId="29000"/>
    <cellStyle name="Währung 60 8" xfId="29001"/>
    <cellStyle name="Währung 60 9" xfId="29002"/>
    <cellStyle name="Währung 61" xfId="29003"/>
    <cellStyle name="Währung 61 10" xfId="29004"/>
    <cellStyle name="Währung 61 11" xfId="29005"/>
    <cellStyle name="Währung 61 12" xfId="29006"/>
    <cellStyle name="Währung 61 13" xfId="29007"/>
    <cellStyle name="Währung 61 14" xfId="29008"/>
    <cellStyle name="Währung 61 15" xfId="29009"/>
    <cellStyle name="Währung 61 2" xfId="29010"/>
    <cellStyle name="Währung 61 3" xfId="29011"/>
    <cellStyle name="Währung 61 4" xfId="29012"/>
    <cellStyle name="Währung 61 5" xfId="29013"/>
    <cellStyle name="Währung 61 6" xfId="29014"/>
    <cellStyle name="Währung 61 7" xfId="29015"/>
    <cellStyle name="Währung 61 8" xfId="29016"/>
    <cellStyle name="Währung 61 9" xfId="29017"/>
    <cellStyle name="Währung 62" xfId="29018"/>
    <cellStyle name="Währung 62 10" xfId="29019"/>
    <cellStyle name="Währung 62 11" xfId="29020"/>
    <cellStyle name="Währung 62 12" xfId="29021"/>
    <cellStyle name="Währung 62 13" xfId="29022"/>
    <cellStyle name="Währung 62 14" xfId="29023"/>
    <cellStyle name="Währung 62 15" xfId="29024"/>
    <cellStyle name="Währung 62 2" xfId="29025"/>
    <cellStyle name="Währung 62 3" xfId="29026"/>
    <cellStyle name="Währung 62 4" xfId="29027"/>
    <cellStyle name="Währung 62 5" xfId="29028"/>
    <cellStyle name="Währung 62 6" xfId="29029"/>
    <cellStyle name="Währung 62 7" xfId="29030"/>
    <cellStyle name="Währung 62 8" xfId="29031"/>
    <cellStyle name="Währung 62 9" xfId="29032"/>
    <cellStyle name="Währung 63" xfId="29033"/>
    <cellStyle name="Währung 64" xfId="29034"/>
    <cellStyle name="Währung 65" xfId="29035"/>
    <cellStyle name="Währung 66" xfId="29036"/>
    <cellStyle name="Währung 67" xfId="29037"/>
    <cellStyle name="Währung 68" xfId="29038"/>
    <cellStyle name="Währung 69" xfId="29039"/>
    <cellStyle name="Währung 7" xfId="29040"/>
    <cellStyle name="Währung 7 2" xfId="40928"/>
    <cellStyle name="Währung 7 2 2" xfId="41031"/>
    <cellStyle name="Währung 7 2 3" xfId="41033"/>
    <cellStyle name="Währung 70" xfId="29041"/>
    <cellStyle name="Währung 71" xfId="29042"/>
    <cellStyle name="Währung 72" xfId="29043"/>
    <cellStyle name="Währung 73" xfId="29044"/>
    <cellStyle name="Währung 74" xfId="29045"/>
    <cellStyle name="Währung 75" xfId="29046"/>
    <cellStyle name="Währung 76" xfId="29047"/>
    <cellStyle name="Währung 77" xfId="29048"/>
    <cellStyle name="Währung 78" xfId="29049"/>
    <cellStyle name="Währung 79" xfId="29050"/>
    <cellStyle name="Währung 8" xfId="29051"/>
    <cellStyle name="Währung 80" xfId="29052"/>
    <cellStyle name="Währung 81" xfId="29053"/>
    <cellStyle name="Währung 82" xfId="29054"/>
    <cellStyle name="Währung 83" xfId="29055"/>
    <cellStyle name="Währung 84" xfId="29056"/>
    <cellStyle name="Währung 85" xfId="29057"/>
    <cellStyle name="Währung 86" xfId="29058"/>
    <cellStyle name="Währung 87" xfId="29059"/>
    <cellStyle name="Währung 88" xfId="29060"/>
    <cellStyle name="Währung 89" xfId="29061"/>
    <cellStyle name="Währung 9" xfId="29062"/>
    <cellStyle name="Währung 90" xfId="29063"/>
    <cellStyle name="Währung 91" xfId="29064"/>
    <cellStyle name="Währung 92" xfId="29065"/>
    <cellStyle name="Währung 93" xfId="29066"/>
    <cellStyle name="Währung 94" xfId="29067"/>
    <cellStyle name="Währung 95" xfId="29068"/>
    <cellStyle name="Währung 96" xfId="29069"/>
    <cellStyle name="Währung 97" xfId="29070"/>
    <cellStyle name="Währung 98" xfId="29071"/>
    <cellStyle name="Währung 99" xfId="29072"/>
  </cellStyles>
  <dxfs count="654">
    <dxf>
      <font>
        <b/>
        <i val="0"/>
        <color rgb="FFFF0000"/>
      </font>
    </dxf>
    <dxf>
      <fill>
        <patternFill>
          <bgColor rgb="FFFFCCCC"/>
        </patternFill>
      </fill>
    </dxf>
    <dxf>
      <fill>
        <patternFill>
          <bgColor rgb="FFFFCCCC"/>
        </patternFill>
      </fill>
    </dxf>
    <dxf>
      <fill>
        <patternFill>
          <bgColor rgb="FFFFCCCC"/>
        </patternFill>
      </fill>
    </dxf>
    <dxf>
      <fill>
        <patternFill>
          <bgColor rgb="FFFFCCCC"/>
        </patternFill>
      </fill>
    </dxf>
    <dxf>
      <fill>
        <patternFill>
          <bgColor rgb="FFFFCCCC"/>
        </patternFill>
      </fill>
    </dxf>
    <dxf>
      <fill>
        <patternFill>
          <bgColor rgb="FFFFCCCC"/>
        </patternFill>
      </fill>
    </dxf>
    <dxf>
      <fill>
        <patternFill>
          <bgColor rgb="FFFFCCCC"/>
        </patternFill>
      </fill>
    </dxf>
    <dxf>
      <fill>
        <patternFill>
          <bgColor rgb="FFFFCCCC"/>
        </patternFill>
      </fill>
    </dxf>
    <dxf>
      <fill>
        <patternFill>
          <bgColor rgb="FFFFCCCC"/>
        </patternFill>
      </fill>
    </dxf>
    <dxf>
      <fill>
        <patternFill>
          <bgColor rgb="FFFFCCCC"/>
        </patternFill>
      </fill>
    </dxf>
    <dxf>
      <fill>
        <patternFill>
          <bgColor rgb="FFFFCCCC"/>
        </patternFill>
      </fill>
    </dxf>
    <dxf>
      <fill>
        <patternFill>
          <bgColor rgb="FFFFCCCC"/>
        </patternFill>
      </fill>
    </dxf>
    <dxf>
      <fill>
        <patternFill>
          <bgColor rgb="FFFFCCCC"/>
        </patternFill>
      </fill>
    </dxf>
    <dxf>
      <fill>
        <patternFill>
          <bgColor rgb="FFFFCCCC"/>
        </patternFill>
      </fill>
    </dxf>
    <dxf>
      <fill>
        <patternFill>
          <bgColor rgb="FFFFCCCC"/>
        </patternFill>
      </fill>
    </dxf>
    <dxf>
      <fill>
        <patternFill>
          <bgColor rgb="FFFFCCCC"/>
        </patternFill>
      </fill>
    </dxf>
    <dxf>
      <fill>
        <patternFill>
          <bgColor rgb="FFFFCCCC"/>
        </patternFill>
      </fill>
    </dxf>
    <dxf>
      <fill>
        <patternFill>
          <bgColor rgb="FFFFCCCC"/>
        </patternFill>
      </fill>
    </dxf>
    <dxf>
      <fill>
        <patternFill>
          <bgColor theme="2"/>
        </patternFill>
      </fill>
    </dxf>
    <dxf>
      <fill>
        <patternFill>
          <bgColor rgb="FFFFCCCC"/>
        </patternFill>
      </fill>
    </dxf>
    <dxf>
      <fill>
        <patternFill>
          <bgColor theme="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CCFFCC"/>
        </patternFill>
      </fill>
    </dxf>
    <dxf>
      <fill>
        <patternFill>
          <bgColor rgb="FFFFCCCC"/>
        </patternFill>
      </fill>
    </dxf>
    <dxf>
      <fill>
        <patternFill>
          <bgColor rgb="FFFFCCCC"/>
        </patternFill>
      </fill>
    </dxf>
    <dxf>
      <fill>
        <patternFill>
          <bgColor rgb="FFFFCCCC"/>
        </patternFill>
      </fill>
    </dxf>
    <dxf>
      <fill>
        <patternFill>
          <bgColor rgb="FFFFCCCC"/>
        </patternFill>
      </fill>
    </dxf>
    <dxf>
      <fill>
        <patternFill>
          <bgColor rgb="FFFF99CC"/>
        </patternFill>
      </fill>
    </dxf>
    <dxf>
      <fill>
        <patternFill>
          <bgColor rgb="FFCCFFCC"/>
        </patternFill>
      </fill>
    </dxf>
    <dxf>
      <fill>
        <patternFill>
          <bgColor rgb="FFFF9966"/>
        </patternFill>
      </fill>
    </dxf>
    <dxf>
      <fill>
        <patternFill>
          <bgColor rgb="FFFF99CC"/>
        </patternFill>
      </fill>
    </dxf>
    <dxf>
      <fill>
        <patternFill>
          <bgColor rgb="FFFF9966"/>
        </patternFill>
      </fill>
    </dxf>
    <dxf>
      <fill>
        <patternFill>
          <bgColor rgb="FFFF99CC"/>
        </patternFill>
      </fill>
    </dxf>
    <dxf>
      <fill>
        <patternFill>
          <bgColor rgb="FFCCFFCC"/>
        </patternFill>
      </fill>
    </dxf>
    <dxf>
      <fill>
        <patternFill>
          <bgColor rgb="FFFF9966"/>
        </patternFill>
      </fill>
    </dxf>
    <dxf>
      <fill>
        <patternFill>
          <bgColor rgb="FFFF99CC"/>
        </patternFill>
      </fill>
    </dxf>
    <dxf>
      <fill>
        <patternFill>
          <bgColor rgb="FFCCFFCC"/>
        </patternFill>
      </fill>
    </dxf>
    <dxf>
      <fill>
        <patternFill>
          <bgColor rgb="FFFF99CC"/>
        </patternFill>
      </fill>
    </dxf>
    <dxf>
      <fill>
        <patternFill>
          <bgColor rgb="FFCCFFCC"/>
        </patternFill>
      </fill>
    </dxf>
    <dxf>
      <fill>
        <patternFill>
          <bgColor rgb="FFFF9966"/>
        </patternFill>
      </fill>
    </dxf>
    <dxf>
      <fill>
        <patternFill>
          <bgColor rgb="FFFF99CC"/>
        </patternFill>
      </fill>
    </dxf>
    <dxf>
      <fill>
        <patternFill>
          <bgColor rgb="FFCCFFCC"/>
        </patternFill>
      </fill>
    </dxf>
    <dxf>
      <fill>
        <patternFill>
          <bgColor rgb="FFFF9966"/>
        </patternFill>
      </fill>
    </dxf>
    <dxf>
      <fill>
        <patternFill>
          <bgColor rgb="FFFF99CC"/>
        </patternFill>
      </fill>
    </dxf>
    <dxf>
      <fill>
        <patternFill>
          <bgColor rgb="FFCCFFCC"/>
        </patternFill>
      </fill>
    </dxf>
    <dxf>
      <fill>
        <patternFill>
          <bgColor rgb="FFFF9966"/>
        </patternFill>
      </fill>
    </dxf>
    <dxf>
      <fill>
        <patternFill>
          <bgColor rgb="FFFF99CC"/>
        </patternFill>
      </fill>
    </dxf>
    <dxf>
      <fill>
        <patternFill>
          <bgColor rgb="FFCCFFCC"/>
        </patternFill>
      </fill>
    </dxf>
    <dxf>
      <fill>
        <patternFill>
          <bgColor rgb="FFFF9966"/>
        </patternFill>
      </fill>
    </dxf>
    <dxf>
      <fill>
        <patternFill>
          <bgColor rgb="FFFF99CC"/>
        </patternFill>
      </fill>
    </dxf>
    <dxf>
      <fill>
        <patternFill>
          <bgColor rgb="FFFF9966"/>
        </patternFill>
      </fill>
    </dxf>
    <dxf>
      <fill>
        <patternFill>
          <bgColor rgb="FFFF99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99CC"/>
        </patternFill>
      </fill>
    </dxf>
    <dxf>
      <fill>
        <patternFill>
          <bgColor rgb="FFFF9966"/>
        </patternFill>
      </fill>
    </dxf>
    <dxf>
      <fill>
        <patternFill>
          <bgColor rgb="FFFF99CC"/>
        </patternFill>
      </fill>
    </dxf>
    <dxf>
      <fill>
        <patternFill patternType="none">
          <bgColor auto="1"/>
        </patternFill>
      </fill>
    </dxf>
    <dxf>
      <fill>
        <patternFill>
          <bgColor rgb="FFCCFFCC"/>
        </patternFill>
      </fill>
    </dxf>
    <dxf>
      <fill>
        <patternFill>
          <bgColor rgb="FFFFCCCC"/>
        </patternFill>
      </fill>
    </dxf>
    <dxf>
      <fill>
        <patternFill>
          <bgColor rgb="FFFFFF00"/>
        </patternFill>
      </fill>
    </dxf>
    <dxf>
      <fill>
        <patternFill>
          <bgColor theme="2"/>
        </patternFill>
      </fill>
    </dxf>
    <dxf>
      <fill>
        <patternFill>
          <bgColor rgb="FFCCFFCC"/>
        </patternFill>
      </fill>
    </dxf>
    <dxf>
      <fill>
        <patternFill patternType="none">
          <bgColor auto="1"/>
        </patternFill>
      </fill>
    </dxf>
    <dxf>
      <font>
        <b/>
        <i val="0"/>
        <color rgb="FFFF0000"/>
      </font>
    </dxf>
    <dxf>
      <fill>
        <patternFill>
          <bgColor rgb="FFCCFFCC"/>
        </patternFill>
      </fill>
    </dxf>
    <dxf>
      <fill>
        <patternFill patternType="none">
          <bgColor auto="1"/>
        </patternFill>
      </fill>
    </dxf>
    <dxf>
      <fill>
        <patternFill>
          <bgColor rgb="FFFFCCCC"/>
        </patternFill>
      </fill>
    </dxf>
    <dxf>
      <fill>
        <patternFill>
          <bgColor rgb="FFFFCCCC"/>
        </patternFill>
      </fill>
    </dxf>
    <dxf>
      <fill>
        <patternFill>
          <bgColor rgb="FFFFCC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CCC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CCCC"/>
        </patternFill>
      </fill>
    </dxf>
    <dxf>
      <fill>
        <patternFill patternType="none">
          <bgColor auto="1"/>
        </patternFill>
      </fill>
    </dxf>
    <dxf>
      <fill>
        <patternFill>
          <bgColor rgb="FFFFCCCC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CCC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CC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33CCCC"/>
      <color rgb="FFCCFFFF"/>
      <color rgb="FFCCFFCC"/>
      <color rgb="FFFF33CC"/>
      <color rgb="FFFFFFFF"/>
      <color rgb="FFFF75DB"/>
      <color rgb="FFFFCCCC"/>
      <color rgb="FFFFFFCC"/>
      <color rgb="FFE2E2E2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tyles" Target="styles.xml"/><Relationship Id="rId50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heetMetadata" Target="metadata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1.xml"/><Relationship Id="rId48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microsoft.com/office/2017/10/relationships/person" Target="persons/person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sz="2000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CURVA</a:t>
            </a:r>
            <a:r>
              <a:rPr lang="pt-BR" sz="2000" b="1" baseline="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ABC - DIAGRAMA DE PARETO</a:t>
            </a:r>
            <a:endParaRPr lang="pt-BR" sz="2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36059509718147975"/>
          <c:y val="2.466575212438374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'Curva ABC'!$H$12</c:f>
              <c:strCache>
                <c:ptCount val="1"/>
                <c:pt idx="0">
                  <c:v>PARCIAL (%)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'Curva ABC'!$A$14:$A$89</c:f>
              <c:strCache>
                <c:ptCount val="76"/>
                <c:pt idx="0">
                  <c:v>PA/0040</c:v>
                </c:pt>
                <c:pt idx="1">
                  <c:v>95876</c:v>
                </c:pt>
                <c:pt idx="2">
                  <c:v>4748</c:v>
                </c:pt>
                <c:pt idx="3">
                  <c:v>94991</c:v>
                </c:pt>
                <c:pt idx="4">
                  <c:v>SC/0005</c:v>
                </c:pt>
                <c:pt idx="5">
                  <c:v>CPU Adm Local</c:v>
                </c:pt>
                <c:pt idx="6">
                  <c:v>DR/0275</c:v>
                </c:pt>
                <c:pt idx="7">
                  <c:v>7750</c:v>
                </c:pt>
                <c:pt idx="8">
                  <c:v>DR/0135</c:v>
                </c:pt>
                <c:pt idx="9">
                  <c:v>PA/0025</c:v>
                </c:pt>
                <c:pt idx="10">
                  <c:v>PA/0021</c:v>
                </c:pt>
                <c:pt idx="11">
                  <c:v>100576</c:v>
                </c:pt>
                <c:pt idx="12">
                  <c:v>PA/0005</c:v>
                </c:pt>
                <c:pt idx="13">
                  <c:v>PA/0020</c:v>
                </c:pt>
                <c:pt idx="14">
                  <c:v>PA/0023</c:v>
                </c:pt>
                <c:pt idx="15">
                  <c:v>95879</c:v>
                </c:pt>
                <c:pt idx="16">
                  <c:v>SC/0082</c:v>
                </c:pt>
                <c:pt idx="17">
                  <c:v>101230</c:v>
                </c:pt>
                <c:pt idx="18">
                  <c:v>DR/0265</c:v>
                </c:pt>
                <c:pt idx="19">
                  <c:v>92826</c:v>
                </c:pt>
                <c:pt idx="20">
                  <c:v>SV/0090</c:v>
                </c:pt>
                <c:pt idx="21">
                  <c:v>7762</c:v>
                </c:pt>
                <c:pt idx="22">
                  <c:v>92824</c:v>
                </c:pt>
                <c:pt idx="23">
                  <c:v>SR/0020</c:v>
                </c:pt>
                <c:pt idx="24">
                  <c:v>ES/0015</c:v>
                </c:pt>
                <c:pt idx="25">
                  <c:v>100979</c:v>
                </c:pt>
                <c:pt idx="26">
                  <c:v>101573</c:v>
                </c:pt>
                <c:pt idx="27">
                  <c:v>7781</c:v>
                </c:pt>
                <c:pt idx="28">
                  <c:v>92821</c:v>
                </c:pt>
                <c:pt idx="29">
                  <c:v>SC/0110</c:v>
                </c:pt>
                <c:pt idx="30">
                  <c:v>SC/0068</c:v>
                </c:pt>
                <c:pt idx="31">
                  <c:v>101570</c:v>
                </c:pt>
                <c:pt idx="32">
                  <c:v>DR/0205</c:v>
                </c:pt>
                <c:pt idx="33">
                  <c:v>100952</c:v>
                </c:pt>
                <c:pt idx="34">
                  <c:v>7791</c:v>
                </c:pt>
                <c:pt idx="35">
                  <c:v>90087</c:v>
                </c:pt>
                <c:pt idx="36">
                  <c:v>104732</c:v>
                </c:pt>
                <c:pt idx="37">
                  <c:v>93358</c:v>
                </c:pt>
                <c:pt idx="38">
                  <c:v>DR/0355</c:v>
                </c:pt>
                <c:pt idx="39">
                  <c:v>SP/0005</c:v>
                </c:pt>
                <c:pt idx="40">
                  <c:v>SC/0120</c:v>
                </c:pt>
                <c:pt idx="41">
                  <c:v>100939</c:v>
                </c:pt>
                <c:pt idx="42">
                  <c:v>SV/0105</c:v>
                </c:pt>
                <c:pt idx="43">
                  <c:v>SP/0030</c:v>
                </c:pt>
                <c:pt idx="44">
                  <c:v>10777</c:v>
                </c:pt>
                <c:pt idx="45">
                  <c:v>SP/0001</c:v>
                </c:pt>
                <c:pt idx="46">
                  <c:v>10775</c:v>
                </c:pt>
                <c:pt idx="47">
                  <c:v>DR/0200</c:v>
                </c:pt>
                <c:pt idx="48">
                  <c:v>93585</c:v>
                </c:pt>
                <c:pt idx="49">
                  <c:v>SC/0080</c:v>
                </c:pt>
                <c:pt idx="50">
                  <c:v>ES/0010</c:v>
                </c:pt>
                <c:pt idx="51">
                  <c:v>104730</c:v>
                </c:pt>
                <c:pt idx="52">
                  <c:v>102278</c:v>
                </c:pt>
                <c:pt idx="53">
                  <c:v>SV/0015</c:v>
                </c:pt>
                <c:pt idx="54">
                  <c:v>10776</c:v>
                </c:pt>
                <c:pt idx="55">
                  <c:v>90100</c:v>
                </c:pt>
                <c:pt idx="56">
                  <c:v>98525</c:v>
                </c:pt>
                <c:pt idx="57">
                  <c:v>104734</c:v>
                </c:pt>
                <c:pt idx="58">
                  <c:v>SV/0010</c:v>
                </c:pt>
                <c:pt idx="59">
                  <c:v>97084</c:v>
                </c:pt>
                <c:pt idx="60">
                  <c:v>SR/0100</c:v>
                </c:pt>
                <c:pt idx="61">
                  <c:v>13521</c:v>
                </c:pt>
                <c:pt idx="62">
                  <c:v>SP/0060</c:v>
                </c:pt>
                <c:pt idx="63">
                  <c:v>98051</c:v>
                </c:pt>
                <c:pt idx="64">
                  <c:v>98533</c:v>
                </c:pt>
                <c:pt idx="65">
                  <c:v>101616</c:v>
                </c:pt>
                <c:pt idx="66">
                  <c:v>SV/0005</c:v>
                </c:pt>
                <c:pt idx="67">
                  <c:v>SP/0020</c:v>
                </c:pt>
                <c:pt idx="68">
                  <c:v>90102</c:v>
                </c:pt>
                <c:pt idx="69">
                  <c:v>SP/0050</c:v>
                </c:pt>
                <c:pt idx="70">
                  <c:v>97636</c:v>
                </c:pt>
                <c:pt idx="71">
                  <c:v>13244</c:v>
                </c:pt>
                <c:pt idx="72">
                  <c:v>104736</c:v>
                </c:pt>
                <c:pt idx="73">
                  <c:v>SP/0025</c:v>
                </c:pt>
                <c:pt idx="74">
                  <c:v>100983</c:v>
                </c:pt>
                <c:pt idx="75">
                  <c:v>101617</c:v>
                </c:pt>
              </c:strCache>
            </c:strRef>
          </c:cat>
          <c:val>
            <c:numRef>
              <c:f>'Curva ABC'!$H$14:$H$89</c:f>
              <c:numCache>
                <c:formatCode>0.00%</c:formatCode>
                <c:ptCount val="76"/>
                <c:pt idx="0">
                  <c:v>0.23637386015387482</c:v>
                </c:pt>
                <c:pt idx="1">
                  <c:v>0.12503424982201797</c:v>
                </c:pt>
                <c:pt idx="2">
                  <c:v>0.10273452719711809</c:v>
                </c:pt>
                <c:pt idx="3">
                  <c:v>9.5504207380043588E-2</c:v>
                </c:pt>
                <c:pt idx="4">
                  <c:v>6.0747325404676943E-2</c:v>
                </c:pt>
                <c:pt idx="5">
                  <c:v>4.5440775374432904E-2</c:v>
                </c:pt>
                <c:pt idx="6">
                  <c:v>2.385282313140755E-2</c:v>
                </c:pt>
                <c:pt idx="7">
                  <c:v>2.3334032680475937E-2</c:v>
                </c:pt>
                <c:pt idx="8">
                  <c:v>2.2081689750053087E-2</c:v>
                </c:pt>
                <c:pt idx="9">
                  <c:v>2.1991418195836877E-2</c:v>
                </c:pt>
                <c:pt idx="10">
                  <c:v>1.3734134144083759E-2</c:v>
                </c:pt>
                <c:pt idx="11">
                  <c:v>1.1695323830530572E-2</c:v>
                </c:pt>
                <c:pt idx="12">
                  <c:v>1.1263164623163338E-2</c:v>
                </c:pt>
                <c:pt idx="13">
                  <c:v>1.1011515924431637E-2</c:v>
                </c:pt>
                <c:pt idx="14">
                  <c:v>1.0542953610546083E-2</c:v>
                </c:pt>
                <c:pt idx="15">
                  <c:v>9.8538102043574469E-3</c:v>
                </c:pt>
                <c:pt idx="16">
                  <c:v>9.765834219171687E-3</c:v>
                </c:pt>
                <c:pt idx="17">
                  <c:v>9.64717910847015E-3</c:v>
                </c:pt>
                <c:pt idx="18">
                  <c:v>8.6805109147746664E-3</c:v>
                </c:pt>
                <c:pt idx="19">
                  <c:v>7.6130142659726618E-3</c:v>
                </c:pt>
                <c:pt idx="20">
                  <c:v>7.4399500942749427E-3</c:v>
                </c:pt>
                <c:pt idx="21">
                  <c:v>7.0783123975128584E-3</c:v>
                </c:pt>
                <c:pt idx="22">
                  <c:v>6.5218148481876476E-3</c:v>
                </c:pt>
                <c:pt idx="23">
                  <c:v>6.3567892430711004E-3</c:v>
                </c:pt>
                <c:pt idx="24">
                  <c:v>5.773222995734806E-3</c:v>
                </c:pt>
                <c:pt idx="25">
                  <c:v>5.6394660291276509E-3</c:v>
                </c:pt>
                <c:pt idx="26">
                  <c:v>4.9612815879908718E-3</c:v>
                </c:pt>
                <c:pt idx="27">
                  <c:v>4.7958865185096624E-3</c:v>
                </c:pt>
                <c:pt idx="28">
                  <c:v>4.6838084168290862E-3</c:v>
                </c:pt>
                <c:pt idx="29">
                  <c:v>4.5770114822434064E-3</c:v>
                </c:pt>
                <c:pt idx="30">
                  <c:v>4.5028469443366848E-3</c:v>
                </c:pt>
                <c:pt idx="31">
                  <c:v>4.3303125193383E-3</c:v>
                </c:pt>
                <c:pt idx="32">
                  <c:v>4.1903670246230297E-3</c:v>
                </c:pt>
                <c:pt idx="33">
                  <c:v>4.1212255720858883E-3</c:v>
                </c:pt>
                <c:pt idx="34">
                  <c:v>4.036686148821445E-3</c:v>
                </c:pt>
                <c:pt idx="35">
                  <c:v>3.4976050409804837E-3</c:v>
                </c:pt>
                <c:pt idx="36">
                  <c:v>3.179287040975197E-3</c:v>
                </c:pt>
                <c:pt idx="37">
                  <c:v>2.6423167699823492E-3</c:v>
                </c:pt>
                <c:pt idx="38">
                  <c:v>2.5795404277864325E-3</c:v>
                </c:pt>
                <c:pt idx="39">
                  <c:v>2.3863051317679299E-3</c:v>
                </c:pt>
                <c:pt idx="40">
                  <c:v>2.3848951905527799E-3</c:v>
                </c:pt>
                <c:pt idx="41">
                  <c:v>2.3829446360393359E-3</c:v>
                </c:pt>
                <c:pt idx="42">
                  <c:v>2.3677449807430685E-3</c:v>
                </c:pt>
                <c:pt idx="43">
                  <c:v>2.2010513526860551E-3</c:v>
                </c:pt>
                <c:pt idx="44">
                  <c:v>2.0207799092276579E-3</c:v>
                </c:pt>
                <c:pt idx="45">
                  <c:v>1.9054798609552371E-3</c:v>
                </c:pt>
                <c:pt idx="46">
                  <c:v>1.7797859107769143E-3</c:v>
                </c:pt>
                <c:pt idx="47">
                  <c:v>1.7570855855480291E-3</c:v>
                </c:pt>
                <c:pt idx="48">
                  <c:v>1.7345482593035544E-3</c:v>
                </c:pt>
                <c:pt idx="49">
                  <c:v>1.6842875224606143E-3</c:v>
                </c:pt>
                <c:pt idx="50">
                  <c:v>1.6761891895851588E-3</c:v>
                </c:pt>
                <c:pt idx="51">
                  <c:v>1.5932390064187175E-3</c:v>
                </c:pt>
                <c:pt idx="52">
                  <c:v>1.4521905519089373E-3</c:v>
                </c:pt>
                <c:pt idx="53">
                  <c:v>1.4432201744668861E-3</c:v>
                </c:pt>
                <c:pt idx="54">
                  <c:v>1.3904302367158453E-3</c:v>
                </c:pt>
                <c:pt idx="55">
                  <c:v>1.3369475532810601E-3</c:v>
                </c:pt>
                <c:pt idx="56">
                  <c:v>1.2224923830778331E-3</c:v>
                </c:pt>
                <c:pt idx="57">
                  <c:v>1.1931715824321462E-3</c:v>
                </c:pt>
                <c:pt idx="58">
                  <c:v>1.1334433212447034E-3</c:v>
                </c:pt>
                <c:pt idx="59">
                  <c:v>1.1024979640543932E-3</c:v>
                </c:pt>
                <c:pt idx="60">
                  <c:v>1.0234842063614625E-3</c:v>
                </c:pt>
                <c:pt idx="61">
                  <c:v>9.8435086685427125E-4</c:v>
                </c:pt>
                <c:pt idx="62">
                  <c:v>9.7789610707162003E-4</c:v>
                </c:pt>
                <c:pt idx="63">
                  <c:v>9.670729745067711E-4</c:v>
                </c:pt>
                <c:pt idx="64">
                  <c:v>9.3112354849506226E-4</c:v>
                </c:pt>
                <c:pt idx="65">
                  <c:v>8.2901011806144097E-4</c:v>
                </c:pt>
                <c:pt idx="66">
                  <c:v>7.6166708765229335E-4</c:v>
                </c:pt>
                <c:pt idx="67">
                  <c:v>6.1309351336223412E-4</c:v>
                </c:pt>
                <c:pt idx="68">
                  <c:v>5.862475806298449E-4</c:v>
                </c:pt>
                <c:pt idx="69">
                  <c:v>5.6299849215344473E-4</c:v>
                </c:pt>
                <c:pt idx="70">
                  <c:v>5.3708165363219461E-4</c:v>
                </c:pt>
                <c:pt idx="71">
                  <c:v>4.6437595663594559E-4</c:v>
                </c:pt>
                <c:pt idx="72">
                  <c:v>3.580354192066152E-4</c:v>
                </c:pt>
                <c:pt idx="73">
                  <c:v>3.4258039883477119E-4</c:v>
                </c:pt>
                <c:pt idx="74">
                  <c:v>2.8554705418958005E-4</c:v>
                </c:pt>
                <c:pt idx="75">
                  <c:v>2.7266198447193968E-4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3B8-43C9-A426-78A8A7D2EE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69116256"/>
        <c:axId val="2069120064"/>
      </c:barChart>
      <c:lineChart>
        <c:grouping val="standard"/>
        <c:varyColors val="0"/>
        <c:ser>
          <c:idx val="1"/>
          <c:order val="1"/>
          <c:tx>
            <c:strRef>
              <c:f>'Curva ABC'!$I$12</c:f>
              <c:strCache>
                <c:ptCount val="1"/>
                <c:pt idx="0">
                  <c:v>Σ (%)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'Curva ABC'!$A$14:$A$89</c:f>
              <c:strCache>
                <c:ptCount val="76"/>
                <c:pt idx="0">
                  <c:v>PA/0040</c:v>
                </c:pt>
                <c:pt idx="1">
                  <c:v>95876</c:v>
                </c:pt>
                <c:pt idx="2">
                  <c:v>4748</c:v>
                </c:pt>
                <c:pt idx="3">
                  <c:v>94991</c:v>
                </c:pt>
                <c:pt idx="4">
                  <c:v>SC/0005</c:v>
                </c:pt>
                <c:pt idx="5">
                  <c:v>CPU Adm Local</c:v>
                </c:pt>
                <c:pt idx="6">
                  <c:v>DR/0275</c:v>
                </c:pt>
                <c:pt idx="7">
                  <c:v>7750</c:v>
                </c:pt>
                <c:pt idx="8">
                  <c:v>DR/0135</c:v>
                </c:pt>
                <c:pt idx="9">
                  <c:v>PA/0025</c:v>
                </c:pt>
                <c:pt idx="10">
                  <c:v>PA/0021</c:v>
                </c:pt>
                <c:pt idx="11">
                  <c:v>100576</c:v>
                </c:pt>
                <c:pt idx="12">
                  <c:v>PA/0005</c:v>
                </c:pt>
                <c:pt idx="13">
                  <c:v>PA/0020</c:v>
                </c:pt>
                <c:pt idx="14">
                  <c:v>PA/0023</c:v>
                </c:pt>
                <c:pt idx="15">
                  <c:v>95879</c:v>
                </c:pt>
                <c:pt idx="16">
                  <c:v>SC/0082</c:v>
                </c:pt>
                <c:pt idx="17">
                  <c:v>101230</c:v>
                </c:pt>
                <c:pt idx="18">
                  <c:v>DR/0265</c:v>
                </c:pt>
                <c:pt idx="19">
                  <c:v>92826</c:v>
                </c:pt>
                <c:pt idx="20">
                  <c:v>SV/0090</c:v>
                </c:pt>
                <c:pt idx="21">
                  <c:v>7762</c:v>
                </c:pt>
                <c:pt idx="22">
                  <c:v>92824</c:v>
                </c:pt>
                <c:pt idx="23">
                  <c:v>SR/0020</c:v>
                </c:pt>
                <c:pt idx="24">
                  <c:v>ES/0015</c:v>
                </c:pt>
                <c:pt idx="25">
                  <c:v>100979</c:v>
                </c:pt>
                <c:pt idx="26">
                  <c:v>101573</c:v>
                </c:pt>
                <c:pt idx="27">
                  <c:v>7781</c:v>
                </c:pt>
                <c:pt idx="28">
                  <c:v>92821</c:v>
                </c:pt>
                <c:pt idx="29">
                  <c:v>SC/0110</c:v>
                </c:pt>
                <c:pt idx="30">
                  <c:v>SC/0068</c:v>
                </c:pt>
                <c:pt idx="31">
                  <c:v>101570</c:v>
                </c:pt>
                <c:pt idx="32">
                  <c:v>DR/0205</c:v>
                </c:pt>
                <c:pt idx="33">
                  <c:v>100952</c:v>
                </c:pt>
                <c:pt idx="34">
                  <c:v>7791</c:v>
                </c:pt>
                <c:pt idx="35">
                  <c:v>90087</c:v>
                </c:pt>
                <c:pt idx="36">
                  <c:v>104732</c:v>
                </c:pt>
                <c:pt idx="37">
                  <c:v>93358</c:v>
                </c:pt>
                <c:pt idx="38">
                  <c:v>DR/0355</c:v>
                </c:pt>
                <c:pt idx="39">
                  <c:v>SP/0005</c:v>
                </c:pt>
                <c:pt idx="40">
                  <c:v>SC/0120</c:v>
                </c:pt>
                <c:pt idx="41">
                  <c:v>100939</c:v>
                </c:pt>
                <c:pt idx="42">
                  <c:v>SV/0105</c:v>
                </c:pt>
                <c:pt idx="43">
                  <c:v>SP/0030</c:v>
                </c:pt>
                <c:pt idx="44">
                  <c:v>10777</c:v>
                </c:pt>
                <c:pt idx="45">
                  <c:v>SP/0001</c:v>
                </c:pt>
                <c:pt idx="46">
                  <c:v>10775</c:v>
                </c:pt>
                <c:pt idx="47">
                  <c:v>DR/0200</c:v>
                </c:pt>
                <c:pt idx="48">
                  <c:v>93585</c:v>
                </c:pt>
                <c:pt idx="49">
                  <c:v>SC/0080</c:v>
                </c:pt>
                <c:pt idx="50">
                  <c:v>ES/0010</c:v>
                </c:pt>
                <c:pt idx="51">
                  <c:v>104730</c:v>
                </c:pt>
                <c:pt idx="52">
                  <c:v>102278</c:v>
                </c:pt>
                <c:pt idx="53">
                  <c:v>SV/0015</c:v>
                </c:pt>
                <c:pt idx="54">
                  <c:v>10776</c:v>
                </c:pt>
                <c:pt idx="55">
                  <c:v>90100</c:v>
                </c:pt>
                <c:pt idx="56">
                  <c:v>98525</c:v>
                </c:pt>
                <c:pt idx="57">
                  <c:v>104734</c:v>
                </c:pt>
                <c:pt idx="58">
                  <c:v>SV/0010</c:v>
                </c:pt>
                <c:pt idx="59">
                  <c:v>97084</c:v>
                </c:pt>
                <c:pt idx="60">
                  <c:v>SR/0100</c:v>
                </c:pt>
                <c:pt idx="61">
                  <c:v>13521</c:v>
                </c:pt>
                <c:pt idx="62">
                  <c:v>SP/0060</c:v>
                </c:pt>
                <c:pt idx="63">
                  <c:v>98051</c:v>
                </c:pt>
                <c:pt idx="64">
                  <c:v>98533</c:v>
                </c:pt>
                <c:pt idx="65">
                  <c:v>101616</c:v>
                </c:pt>
                <c:pt idx="66">
                  <c:v>SV/0005</c:v>
                </c:pt>
                <c:pt idx="67">
                  <c:v>SP/0020</c:v>
                </c:pt>
                <c:pt idx="68">
                  <c:v>90102</c:v>
                </c:pt>
                <c:pt idx="69">
                  <c:v>SP/0050</c:v>
                </c:pt>
                <c:pt idx="70">
                  <c:v>97636</c:v>
                </c:pt>
                <c:pt idx="71">
                  <c:v>13244</c:v>
                </c:pt>
                <c:pt idx="72">
                  <c:v>104736</c:v>
                </c:pt>
                <c:pt idx="73">
                  <c:v>SP/0025</c:v>
                </c:pt>
                <c:pt idx="74">
                  <c:v>100983</c:v>
                </c:pt>
                <c:pt idx="75">
                  <c:v>101617</c:v>
                </c:pt>
              </c:strCache>
            </c:strRef>
          </c:cat>
          <c:val>
            <c:numRef>
              <c:f>'Curva ABC'!$I$14:$I$89</c:f>
              <c:numCache>
                <c:formatCode>0.00%</c:formatCode>
                <c:ptCount val="76"/>
                <c:pt idx="0">
                  <c:v>0.23637386015387482</c:v>
                </c:pt>
                <c:pt idx="1">
                  <c:v>0.36140810997589279</c:v>
                </c:pt>
                <c:pt idx="2">
                  <c:v>0.46414263717301085</c:v>
                </c:pt>
                <c:pt idx="3">
                  <c:v>0.55964684455305447</c:v>
                </c:pt>
                <c:pt idx="4">
                  <c:v>0.62039416995773145</c:v>
                </c:pt>
                <c:pt idx="5">
                  <c:v>0.66583494533216436</c:v>
                </c:pt>
                <c:pt idx="6">
                  <c:v>0.68968776846357194</c:v>
                </c:pt>
                <c:pt idx="7">
                  <c:v>0.7130218011440479</c:v>
                </c:pt>
                <c:pt idx="8">
                  <c:v>0.73510349089410099</c:v>
                </c:pt>
                <c:pt idx="9">
                  <c:v>0.75709490908993782</c:v>
                </c:pt>
                <c:pt idx="10">
                  <c:v>0.77082904323402157</c:v>
                </c:pt>
                <c:pt idx="11">
                  <c:v>0.7825243670645522</c:v>
                </c:pt>
                <c:pt idx="12">
                  <c:v>0.79378753168771554</c:v>
                </c:pt>
                <c:pt idx="13">
                  <c:v>0.80479904761214716</c:v>
                </c:pt>
                <c:pt idx="14">
                  <c:v>0.81534200122269329</c:v>
                </c:pt>
                <c:pt idx="15">
                  <c:v>0.82519581142705078</c:v>
                </c:pt>
                <c:pt idx="16">
                  <c:v>0.83496164564622244</c:v>
                </c:pt>
                <c:pt idx="17">
                  <c:v>0.84460882475469257</c:v>
                </c:pt>
                <c:pt idx="18">
                  <c:v>0.85328933566946719</c:v>
                </c:pt>
                <c:pt idx="19">
                  <c:v>0.86090234993543979</c:v>
                </c:pt>
                <c:pt idx="20">
                  <c:v>0.86834230002971469</c:v>
                </c:pt>
                <c:pt idx="21">
                  <c:v>0.87542061242722757</c:v>
                </c:pt>
                <c:pt idx="22">
                  <c:v>0.88194242727541527</c:v>
                </c:pt>
                <c:pt idx="23">
                  <c:v>0.88829921651848642</c:v>
                </c:pt>
                <c:pt idx="24">
                  <c:v>0.89407243951422122</c:v>
                </c:pt>
                <c:pt idx="25">
                  <c:v>0.8997119055433489</c:v>
                </c:pt>
                <c:pt idx="26">
                  <c:v>0.90467318713133982</c:v>
                </c:pt>
                <c:pt idx="27">
                  <c:v>0.90946907364984952</c:v>
                </c:pt>
                <c:pt idx="28">
                  <c:v>0.91415288206667866</c:v>
                </c:pt>
                <c:pt idx="29">
                  <c:v>0.91872989354892209</c:v>
                </c:pt>
                <c:pt idx="30">
                  <c:v>0.92323274049325876</c:v>
                </c:pt>
                <c:pt idx="31">
                  <c:v>0.92756305301259712</c:v>
                </c:pt>
                <c:pt idx="32">
                  <c:v>0.93175342003722017</c:v>
                </c:pt>
                <c:pt idx="33">
                  <c:v>0.93587464560930611</c:v>
                </c:pt>
                <c:pt idx="34">
                  <c:v>0.93991133175812758</c:v>
                </c:pt>
                <c:pt idx="35">
                  <c:v>0.94340893679910809</c:v>
                </c:pt>
                <c:pt idx="36">
                  <c:v>0.94658822384008323</c:v>
                </c:pt>
                <c:pt idx="37">
                  <c:v>0.94923054061006562</c:v>
                </c:pt>
                <c:pt idx="38">
                  <c:v>0.95181008103785203</c:v>
                </c:pt>
                <c:pt idx="39">
                  <c:v>0.95419638616961999</c:v>
                </c:pt>
                <c:pt idx="40">
                  <c:v>0.95658128136017273</c:v>
                </c:pt>
                <c:pt idx="41">
                  <c:v>0.95896422599621212</c:v>
                </c:pt>
                <c:pt idx="42">
                  <c:v>0.96133197097695522</c:v>
                </c:pt>
                <c:pt idx="43">
                  <c:v>0.96353302232964122</c:v>
                </c:pt>
                <c:pt idx="44">
                  <c:v>0.96555380223886889</c:v>
                </c:pt>
                <c:pt idx="45">
                  <c:v>0.96745928209982412</c:v>
                </c:pt>
                <c:pt idx="46">
                  <c:v>0.969239068010601</c:v>
                </c:pt>
                <c:pt idx="47">
                  <c:v>0.97099615359614899</c:v>
                </c:pt>
                <c:pt idx="48">
                  <c:v>0.97273070185545252</c:v>
                </c:pt>
                <c:pt idx="49">
                  <c:v>0.97441498937791315</c:v>
                </c:pt>
                <c:pt idx="50">
                  <c:v>0.97609117856749827</c:v>
                </c:pt>
                <c:pt idx="51">
                  <c:v>0.977684417573917</c:v>
                </c:pt>
                <c:pt idx="52">
                  <c:v>0.97913660812582592</c:v>
                </c:pt>
                <c:pt idx="53">
                  <c:v>0.98057982830029278</c:v>
                </c:pt>
                <c:pt idx="54">
                  <c:v>0.98197025853700859</c:v>
                </c:pt>
                <c:pt idx="55">
                  <c:v>0.98330720609028965</c:v>
                </c:pt>
                <c:pt idx="56">
                  <c:v>0.98452969847336747</c:v>
                </c:pt>
                <c:pt idx="57">
                  <c:v>0.98572287005579962</c:v>
                </c:pt>
                <c:pt idx="58">
                  <c:v>0.98685631337704427</c:v>
                </c:pt>
                <c:pt idx="59">
                  <c:v>0.98795881134109864</c:v>
                </c:pt>
                <c:pt idx="60">
                  <c:v>0.98898229554746009</c:v>
                </c:pt>
                <c:pt idx="61">
                  <c:v>0.98996664641431431</c:v>
                </c:pt>
                <c:pt idx="62">
                  <c:v>0.99094454252138597</c:v>
                </c:pt>
                <c:pt idx="63">
                  <c:v>0.9919116154958928</c:v>
                </c:pt>
                <c:pt idx="64">
                  <c:v>0.99284273904438791</c:v>
                </c:pt>
                <c:pt idx="65">
                  <c:v>0.99367174916244938</c:v>
                </c:pt>
                <c:pt idx="66">
                  <c:v>0.99443341625010162</c:v>
                </c:pt>
                <c:pt idx="67">
                  <c:v>0.99504650976346387</c:v>
                </c:pt>
                <c:pt idx="68">
                  <c:v>0.99563275734409373</c:v>
                </c:pt>
                <c:pt idx="69">
                  <c:v>0.9961957558362472</c:v>
                </c:pt>
                <c:pt idx="70">
                  <c:v>0.9967328374898794</c:v>
                </c:pt>
                <c:pt idx="71">
                  <c:v>0.99719721344651535</c:v>
                </c:pt>
                <c:pt idx="72">
                  <c:v>0.997555248865722</c:v>
                </c:pt>
                <c:pt idx="73">
                  <c:v>0.99789782926455672</c:v>
                </c:pt>
                <c:pt idx="74">
                  <c:v>0.99818337631874632</c:v>
                </c:pt>
                <c:pt idx="75">
                  <c:v>0.99845603830321827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3B8-43C9-A426-78A8A7D2EE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69116256"/>
        <c:axId val="2069120064"/>
      </c:lineChart>
      <c:catAx>
        <c:axId val="20691162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2069120064"/>
        <c:crosses val="autoZero"/>
        <c:auto val="1"/>
        <c:lblAlgn val="ctr"/>
        <c:lblOffset val="100"/>
        <c:noMultiLvlLbl val="0"/>
      </c:catAx>
      <c:valAx>
        <c:axId val="2069120064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shade val="95000"/>
                <a:satMod val="105000"/>
              </a:schemeClr>
            </a:solidFill>
            <a:prstDash val="solid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2069116256"/>
        <c:crosses val="autoZero"/>
        <c:crossBetween val="between"/>
        <c:majorUnit val="5.000000000000001E-2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4417494231463855"/>
          <c:y val="0.9516254562057469"/>
          <c:w val="0.23617682421646535"/>
          <c:h val="3.568620437817645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 orientation="portrait"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'B_Amort_01 -'!$B$43</c:f>
              <c:strCache>
                <c:ptCount val="1"/>
                <c:pt idx="0">
                  <c:v>T. detenção (min)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1"/>
            <c:trendlineLbl>
              <c:layout>
                <c:manualLayout>
                  <c:x val="-0.2358036307673245"/>
                  <c:y val="-0.56821917099415054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>
                  <a:softEdge rad="101600"/>
                </a:effectLst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t-BR"/>
                </a:p>
              </c:txPr>
            </c:trendlineLbl>
          </c:trendline>
          <c:xVal>
            <c:numRef>
              <c:f>'B_Amort_01 -'!$C$38:$L$38</c:f>
              <c:numCache>
                <c:formatCode>#,##0.00</c:formatCode>
                <c:ptCount val="10"/>
                <c:pt idx="0">
                  <c:v>0</c:v>
                </c:pt>
                <c:pt idx="1">
                  <c:v>10</c:v>
                </c:pt>
                <c:pt idx="2">
                  <c:v>16.947001241079278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78.074485983622807</c:v>
                </c:pt>
              </c:numCache>
            </c:numRef>
          </c:xVal>
          <c:yVal>
            <c:numRef>
              <c:f>'B_Amort_01 -'!$C$43:$L$43</c:f>
              <c:numCache>
                <c:formatCode>#,##0.00</c:formatCode>
                <c:ptCount val="1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EA6-458E-8E5E-21BDD61D6E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680816"/>
        <c:axId val="130686800"/>
      </c:scatterChart>
      <c:valAx>
        <c:axId val="1306808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/>
                  <a:t>VAZÃO (m³/s)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30686800"/>
        <c:crosses val="autoZero"/>
        <c:crossBetween val="midCat"/>
      </c:valAx>
      <c:valAx>
        <c:axId val="130686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ALTURA</a:t>
                </a:r>
                <a:r>
                  <a:rPr lang="en-US" baseline="0"/>
                  <a:t> (m)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306808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0.11416382627361127"/>
          <c:y val="6.7646064816587068E-2"/>
          <c:w val="0.84919575183614571"/>
          <c:h val="0.83828977608392097"/>
        </c:manualLayout>
      </c:layout>
      <c:scatterChart>
        <c:scatterStyle val="smoothMarker"/>
        <c:varyColors val="0"/>
        <c:ser>
          <c:idx val="0"/>
          <c:order val="0"/>
          <c:tx>
            <c:v>H=J/Ab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1"/>
            <c:trendlineLbl>
              <c:layout>
                <c:manualLayout>
                  <c:x val="-0.2358036307673245"/>
                  <c:y val="-0.56821917099415054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>
                  <a:softEdge rad="101600"/>
                </a:effectLst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t-BR"/>
                </a:p>
              </c:txPr>
            </c:trendlineLbl>
          </c:trendline>
          <c:xVal>
            <c:numLit>
              <c:formatCode>General</c:formatCode>
              <c:ptCount val="10"/>
              <c:pt idx="0">
                <c:v>2.9706596046997</c:v>
              </c:pt>
              <c:pt idx="1">
                <c:v>2.6735936442297299</c:v>
              </c:pt>
              <c:pt idx="2">
                <c:v>2.4672218846230014</c:v>
              </c:pt>
              <c:pt idx="3">
                <c:v>2.0794617232897901</c:v>
              </c:pt>
              <c:pt idx="4">
                <c:v>1.7823957628198199</c:v>
              </c:pt>
              <c:pt idx="5">
                <c:v>1.48532980234985</c:v>
              </c:pt>
              <c:pt idx="6">
                <c:v>1.1882638418798801</c:v>
              </c:pt>
              <c:pt idx="7">
                <c:v>0.89119788140990996</c:v>
              </c:pt>
              <c:pt idx="8">
                <c:v>0.59413192093994005</c:v>
              </c:pt>
              <c:pt idx="9">
                <c:v>0.29706596046997003</c:v>
              </c:pt>
            </c:numLit>
          </c:xVal>
          <c:yVal>
            <c:numLit>
              <c:formatCode>General</c:formatCode>
              <c:ptCount val="10"/>
              <c:pt idx="0">
                <c:v>0</c:v>
              </c:pt>
              <c:pt idx="1">
                <c:v>1.8910289338970206E-2</c:v>
              </c:pt>
              <c:pt idx="2">
                <c:v>3.3328188509472945E-2</c:v>
              </c:pt>
              <c:pt idx="3">
                <c:v>6.4016641791572251E-2</c:v>
              </c:pt>
              <c:pt idx="4">
                <c:v>9.1683874996840636E-2</c:v>
              </c:pt>
              <c:pt idx="5">
                <c:v>0.12440726639426178</c:v>
              </c:pt>
              <c:pt idx="6">
                <c:v>0.16445746065471104</c:v>
              </c:pt>
              <c:pt idx="7">
                <c:v>0.21609114139110241</c:v>
              </c:pt>
              <c:pt idx="8">
                <c:v>0.28886472704897287</c:v>
              </c:pt>
              <c:pt idx="9">
                <c:v>0.41327199344323462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E9F9-4E1F-A3D3-AD915F7BB0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680816"/>
        <c:axId val="130686800"/>
      </c:scatterChart>
      <c:valAx>
        <c:axId val="1306808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/>
                  <a:t>VAZÃO (m³/s)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30686800"/>
        <c:crosses val="autoZero"/>
        <c:crossBetween val="midCat"/>
      </c:valAx>
      <c:valAx>
        <c:axId val="130686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ALTURA</a:t>
                </a:r>
                <a:r>
                  <a:rPr lang="en-US" baseline="0"/>
                  <a:t> (m)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306808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B_Amort_01!$B$41</c:f>
              <c:strCache>
                <c:ptCount val="1"/>
                <c:pt idx="0">
                  <c:v>H=J/Ab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1"/>
            <c:trendlineLbl>
              <c:layout>
                <c:manualLayout>
                  <c:x val="-0.2358036307673245"/>
                  <c:y val="-0.56821917099415054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>
                  <a:softEdge rad="101600"/>
                </a:effectLst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t-BR"/>
                </a:p>
              </c:txPr>
            </c:trendlineLbl>
          </c:trendline>
          <c:xVal>
            <c:numRef>
              <c:f>B_Amort_01!$C$36:$L$36</c:f>
              <c:numCache>
                <c:formatCode>#,##0.00</c:formatCode>
                <c:ptCount val="1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numCache>
            </c:numRef>
          </c:xVal>
          <c:yVal>
            <c:numRef>
              <c:f>B_Amort_01!$C$41:$L$41</c:f>
              <c:numCache>
                <c:formatCode>#,##0.00</c:formatCode>
                <c:ptCount val="1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29F-4BC6-A641-6DC09F481F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680816"/>
        <c:axId val="130686800"/>
      </c:scatterChart>
      <c:valAx>
        <c:axId val="1306808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/>
                  <a:t>VAZÃO (m³/s)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30686800"/>
        <c:crosses val="autoZero"/>
        <c:crossBetween val="midCat"/>
      </c:valAx>
      <c:valAx>
        <c:axId val="130686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ALTURA</a:t>
                </a:r>
                <a:r>
                  <a:rPr lang="en-US" baseline="0"/>
                  <a:t> (m)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306808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Sinalizacao!A1"/><Relationship Id="rId13" Type="http://schemas.openxmlformats.org/officeDocument/2006/relationships/hyperlink" Target="#Dre_Ser_Prelim!A1"/><Relationship Id="rId18" Type="http://schemas.openxmlformats.org/officeDocument/2006/relationships/hyperlink" Target="#Recap_Previo!A1"/><Relationship Id="rId3" Type="http://schemas.openxmlformats.org/officeDocument/2006/relationships/hyperlink" Target="#S_Preliminares!A1"/><Relationship Id="rId21" Type="http://schemas.openxmlformats.org/officeDocument/2006/relationships/hyperlink" Target="#Dre_Fecha_Vala!A1"/><Relationship Id="rId7" Type="http://schemas.openxmlformats.org/officeDocument/2006/relationships/hyperlink" Target="#Traffic_Calming!A1"/><Relationship Id="rId12" Type="http://schemas.openxmlformats.org/officeDocument/2006/relationships/hyperlink" Target="#Dren_Quantificacao!A1"/><Relationship Id="rId17" Type="http://schemas.openxmlformats.org/officeDocument/2006/relationships/hyperlink" Target="#Pav_Dim!A1"/><Relationship Id="rId25" Type="http://schemas.openxmlformats.org/officeDocument/2006/relationships/hyperlink" Target="#'Bacia deten&#231;&#227;o'!A1"/><Relationship Id="rId2" Type="http://schemas.openxmlformats.org/officeDocument/2006/relationships/hyperlink" Target="#Cronograma!A1"/><Relationship Id="rId16" Type="http://schemas.openxmlformats.org/officeDocument/2006/relationships/hyperlink" Target="#Pav_Estrutura!A1"/><Relationship Id="rId20" Type="http://schemas.openxmlformats.org/officeDocument/2006/relationships/hyperlink" Target="#Dre_Profunda!A1"/><Relationship Id="rId1" Type="http://schemas.openxmlformats.org/officeDocument/2006/relationships/hyperlink" Target="#Or&#231;amento!A1"/><Relationship Id="rId6" Type="http://schemas.openxmlformats.org/officeDocument/2006/relationships/hyperlink" Target="#Acessibilidade!A1"/><Relationship Id="rId11" Type="http://schemas.openxmlformats.org/officeDocument/2006/relationships/hyperlink" Target="#Dren_Dim!A1"/><Relationship Id="rId24" Type="http://schemas.openxmlformats.org/officeDocument/2006/relationships/image" Target="../media/image2.png"/><Relationship Id="rId5" Type="http://schemas.openxmlformats.org/officeDocument/2006/relationships/hyperlink" Target="#Ciclovia!A1"/><Relationship Id="rId15" Type="http://schemas.openxmlformats.org/officeDocument/2006/relationships/hyperlink" Target="#Dre_Disp_Estruturais!A1"/><Relationship Id="rId23" Type="http://schemas.openxmlformats.org/officeDocument/2006/relationships/hyperlink" Target="#'Curva ABC'!A1"/><Relationship Id="rId10" Type="http://schemas.openxmlformats.org/officeDocument/2006/relationships/hyperlink" Target="#Dren_Dados!A1"/><Relationship Id="rId19" Type="http://schemas.openxmlformats.org/officeDocument/2006/relationships/hyperlink" Target="#Recap_Final!A1"/><Relationship Id="rId4" Type="http://schemas.openxmlformats.org/officeDocument/2006/relationships/hyperlink" Target="#Pav_Dados!A1"/><Relationship Id="rId9" Type="http://schemas.openxmlformats.org/officeDocument/2006/relationships/hyperlink" Target="#Pav_Terraplenagem!A1"/><Relationship Id="rId14" Type="http://schemas.openxmlformats.org/officeDocument/2006/relationships/hyperlink" Target="#Dre_Terraplenagem!A1"/><Relationship Id="rId22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emf"/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8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image" Target="../media/image10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jpeg"/><Relationship Id="rId1" Type="http://schemas.openxmlformats.org/officeDocument/2006/relationships/image" Target="../media/image12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8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image" Target="../media/image10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jpeg"/><Relationship Id="rId1" Type="http://schemas.openxmlformats.org/officeDocument/2006/relationships/image" Target="../media/image12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33.jpeg"/><Relationship Id="rId21" Type="http://schemas.openxmlformats.org/officeDocument/2006/relationships/image" Target="../media/image37.jpeg"/><Relationship Id="rId42" Type="http://schemas.openxmlformats.org/officeDocument/2006/relationships/image" Target="../media/image58.jpeg"/><Relationship Id="rId63" Type="http://schemas.openxmlformats.org/officeDocument/2006/relationships/image" Target="../media/image79.jpeg"/><Relationship Id="rId84" Type="http://schemas.openxmlformats.org/officeDocument/2006/relationships/image" Target="../media/image100.jpeg"/><Relationship Id="rId138" Type="http://schemas.openxmlformats.org/officeDocument/2006/relationships/image" Target="../media/image154.jpeg"/><Relationship Id="rId159" Type="http://schemas.openxmlformats.org/officeDocument/2006/relationships/image" Target="../media/image175.jpeg"/><Relationship Id="rId107" Type="http://schemas.openxmlformats.org/officeDocument/2006/relationships/image" Target="../media/image123.jpeg"/><Relationship Id="rId11" Type="http://schemas.openxmlformats.org/officeDocument/2006/relationships/image" Target="../media/image27.jpeg"/><Relationship Id="rId32" Type="http://schemas.openxmlformats.org/officeDocument/2006/relationships/image" Target="../media/image48.jpeg"/><Relationship Id="rId53" Type="http://schemas.openxmlformats.org/officeDocument/2006/relationships/image" Target="../media/image69.jpeg"/><Relationship Id="rId74" Type="http://schemas.openxmlformats.org/officeDocument/2006/relationships/image" Target="../media/image90.jpeg"/><Relationship Id="rId128" Type="http://schemas.openxmlformats.org/officeDocument/2006/relationships/image" Target="../media/image144.jpeg"/><Relationship Id="rId149" Type="http://schemas.openxmlformats.org/officeDocument/2006/relationships/image" Target="../media/image165.jpeg"/><Relationship Id="rId5" Type="http://schemas.openxmlformats.org/officeDocument/2006/relationships/image" Target="../media/image21.jpeg"/><Relationship Id="rId95" Type="http://schemas.openxmlformats.org/officeDocument/2006/relationships/image" Target="../media/image111.jpeg"/><Relationship Id="rId160" Type="http://schemas.openxmlformats.org/officeDocument/2006/relationships/image" Target="../media/image176.jpeg"/><Relationship Id="rId22" Type="http://schemas.openxmlformats.org/officeDocument/2006/relationships/image" Target="../media/image38.jpeg"/><Relationship Id="rId43" Type="http://schemas.openxmlformats.org/officeDocument/2006/relationships/image" Target="../media/image59.jpeg"/><Relationship Id="rId64" Type="http://schemas.openxmlformats.org/officeDocument/2006/relationships/image" Target="../media/image80.jpeg"/><Relationship Id="rId118" Type="http://schemas.openxmlformats.org/officeDocument/2006/relationships/image" Target="../media/image134.jpeg"/><Relationship Id="rId139" Type="http://schemas.openxmlformats.org/officeDocument/2006/relationships/image" Target="../media/image155.jpeg"/><Relationship Id="rId85" Type="http://schemas.openxmlformats.org/officeDocument/2006/relationships/image" Target="../media/image101.jpeg"/><Relationship Id="rId150" Type="http://schemas.openxmlformats.org/officeDocument/2006/relationships/image" Target="../media/image166.jpeg"/><Relationship Id="rId12" Type="http://schemas.openxmlformats.org/officeDocument/2006/relationships/image" Target="../media/image28.jpeg"/><Relationship Id="rId17" Type="http://schemas.openxmlformats.org/officeDocument/2006/relationships/image" Target="../media/image33.jpeg"/><Relationship Id="rId33" Type="http://schemas.openxmlformats.org/officeDocument/2006/relationships/image" Target="../media/image49.jpeg"/><Relationship Id="rId38" Type="http://schemas.openxmlformats.org/officeDocument/2006/relationships/image" Target="../media/image54.jpeg"/><Relationship Id="rId59" Type="http://schemas.openxmlformats.org/officeDocument/2006/relationships/image" Target="../media/image75.jpeg"/><Relationship Id="rId103" Type="http://schemas.openxmlformats.org/officeDocument/2006/relationships/image" Target="../media/image119.jpeg"/><Relationship Id="rId108" Type="http://schemas.openxmlformats.org/officeDocument/2006/relationships/image" Target="../media/image124.jpeg"/><Relationship Id="rId124" Type="http://schemas.openxmlformats.org/officeDocument/2006/relationships/image" Target="../media/image140.jpeg"/><Relationship Id="rId129" Type="http://schemas.openxmlformats.org/officeDocument/2006/relationships/image" Target="../media/image145.jpeg"/><Relationship Id="rId54" Type="http://schemas.openxmlformats.org/officeDocument/2006/relationships/image" Target="../media/image70.jpeg"/><Relationship Id="rId70" Type="http://schemas.openxmlformats.org/officeDocument/2006/relationships/image" Target="../media/image86.jpeg"/><Relationship Id="rId75" Type="http://schemas.openxmlformats.org/officeDocument/2006/relationships/image" Target="../media/image91.jpeg"/><Relationship Id="rId91" Type="http://schemas.openxmlformats.org/officeDocument/2006/relationships/image" Target="../media/image107.jpeg"/><Relationship Id="rId96" Type="http://schemas.openxmlformats.org/officeDocument/2006/relationships/image" Target="../media/image112.jpeg"/><Relationship Id="rId140" Type="http://schemas.openxmlformats.org/officeDocument/2006/relationships/image" Target="../media/image156.jpeg"/><Relationship Id="rId145" Type="http://schemas.openxmlformats.org/officeDocument/2006/relationships/image" Target="../media/image161.jpeg"/><Relationship Id="rId161" Type="http://schemas.openxmlformats.org/officeDocument/2006/relationships/image" Target="../media/image177.jpeg"/><Relationship Id="rId166" Type="http://schemas.openxmlformats.org/officeDocument/2006/relationships/image" Target="../media/image182.jpeg"/><Relationship Id="rId1" Type="http://schemas.openxmlformats.org/officeDocument/2006/relationships/image" Target="../media/image17.jpeg"/><Relationship Id="rId6" Type="http://schemas.openxmlformats.org/officeDocument/2006/relationships/image" Target="../media/image22.jpeg"/><Relationship Id="rId23" Type="http://schemas.openxmlformats.org/officeDocument/2006/relationships/image" Target="../media/image39.jpeg"/><Relationship Id="rId28" Type="http://schemas.openxmlformats.org/officeDocument/2006/relationships/image" Target="../media/image44.jpeg"/><Relationship Id="rId49" Type="http://schemas.openxmlformats.org/officeDocument/2006/relationships/image" Target="../media/image65.jpeg"/><Relationship Id="rId114" Type="http://schemas.openxmlformats.org/officeDocument/2006/relationships/image" Target="../media/image130.jpeg"/><Relationship Id="rId119" Type="http://schemas.openxmlformats.org/officeDocument/2006/relationships/image" Target="../media/image135.jpeg"/><Relationship Id="rId44" Type="http://schemas.openxmlformats.org/officeDocument/2006/relationships/image" Target="../media/image60.jpeg"/><Relationship Id="rId60" Type="http://schemas.openxmlformats.org/officeDocument/2006/relationships/image" Target="../media/image76.jpeg"/><Relationship Id="rId65" Type="http://schemas.openxmlformats.org/officeDocument/2006/relationships/image" Target="../media/image81.jpeg"/><Relationship Id="rId81" Type="http://schemas.openxmlformats.org/officeDocument/2006/relationships/image" Target="../media/image97.jpeg"/><Relationship Id="rId86" Type="http://schemas.openxmlformats.org/officeDocument/2006/relationships/image" Target="../media/image102.jpeg"/><Relationship Id="rId130" Type="http://schemas.openxmlformats.org/officeDocument/2006/relationships/image" Target="../media/image146.jpeg"/><Relationship Id="rId135" Type="http://schemas.openxmlformats.org/officeDocument/2006/relationships/image" Target="../media/image151.jpeg"/><Relationship Id="rId151" Type="http://schemas.openxmlformats.org/officeDocument/2006/relationships/image" Target="../media/image167.jpeg"/><Relationship Id="rId156" Type="http://schemas.openxmlformats.org/officeDocument/2006/relationships/image" Target="../media/image172.jpeg"/><Relationship Id="rId13" Type="http://schemas.openxmlformats.org/officeDocument/2006/relationships/image" Target="../media/image29.jpeg"/><Relationship Id="rId18" Type="http://schemas.openxmlformats.org/officeDocument/2006/relationships/image" Target="../media/image34.jpeg"/><Relationship Id="rId39" Type="http://schemas.openxmlformats.org/officeDocument/2006/relationships/image" Target="../media/image55.jpeg"/><Relationship Id="rId109" Type="http://schemas.openxmlformats.org/officeDocument/2006/relationships/image" Target="../media/image125.jpeg"/><Relationship Id="rId34" Type="http://schemas.openxmlformats.org/officeDocument/2006/relationships/image" Target="../media/image50.jpeg"/><Relationship Id="rId50" Type="http://schemas.openxmlformats.org/officeDocument/2006/relationships/image" Target="../media/image66.jpeg"/><Relationship Id="rId55" Type="http://schemas.openxmlformats.org/officeDocument/2006/relationships/image" Target="../media/image71.jpeg"/><Relationship Id="rId76" Type="http://schemas.openxmlformats.org/officeDocument/2006/relationships/image" Target="../media/image92.jpeg"/><Relationship Id="rId97" Type="http://schemas.openxmlformats.org/officeDocument/2006/relationships/image" Target="../media/image113.jpeg"/><Relationship Id="rId104" Type="http://schemas.openxmlformats.org/officeDocument/2006/relationships/image" Target="../media/image120.jpeg"/><Relationship Id="rId120" Type="http://schemas.openxmlformats.org/officeDocument/2006/relationships/image" Target="../media/image136.jpeg"/><Relationship Id="rId125" Type="http://schemas.openxmlformats.org/officeDocument/2006/relationships/image" Target="../media/image141.jpeg"/><Relationship Id="rId141" Type="http://schemas.openxmlformats.org/officeDocument/2006/relationships/image" Target="../media/image157.jpeg"/><Relationship Id="rId146" Type="http://schemas.openxmlformats.org/officeDocument/2006/relationships/image" Target="../media/image162.jpeg"/><Relationship Id="rId7" Type="http://schemas.openxmlformats.org/officeDocument/2006/relationships/image" Target="../media/image23.jpeg"/><Relationship Id="rId71" Type="http://schemas.openxmlformats.org/officeDocument/2006/relationships/image" Target="../media/image87.jpeg"/><Relationship Id="rId92" Type="http://schemas.openxmlformats.org/officeDocument/2006/relationships/image" Target="../media/image108.jpeg"/><Relationship Id="rId162" Type="http://schemas.openxmlformats.org/officeDocument/2006/relationships/image" Target="../media/image178.jpeg"/><Relationship Id="rId2" Type="http://schemas.openxmlformats.org/officeDocument/2006/relationships/image" Target="../media/image18.PNG"/><Relationship Id="rId29" Type="http://schemas.openxmlformats.org/officeDocument/2006/relationships/image" Target="../media/image45.jpeg"/><Relationship Id="rId24" Type="http://schemas.openxmlformats.org/officeDocument/2006/relationships/image" Target="../media/image40.jpeg"/><Relationship Id="rId40" Type="http://schemas.openxmlformats.org/officeDocument/2006/relationships/image" Target="../media/image56.jpeg"/><Relationship Id="rId45" Type="http://schemas.openxmlformats.org/officeDocument/2006/relationships/image" Target="../media/image61.jpeg"/><Relationship Id="rId66" Type="http://schemas.openxmlformats.org/officeDocument/2006/relationships/image" Target="../media/image82.jpeg"/><Relationship Id="rId87" Type="http://schemas.openxmlformats.org/officeDocument/2006/relationships/image" Target="../media/image103.jpeg"/><Relationship Id="rId110" Type="http://schemas.openxmlformats.org/officeDocument/2006/relationships/image" Target="../media/image126.jpeg"/><Relationship Id="rId115" Type="http://schemas.openxmlformats.org/officeDocument/2006/relationships/image" Target="../media/image131.jpeg"/><Relationship Id="rId131" Type="http://schemas.openxmlformats.org/officeDocument/2006/relationships/image" Target="../media/image147.jpeg"/><Relationship Id="rId136" Type="http://schemas.openxmlformats.org/officeDocument/2006/relationships/image" Target="../media/image152.jpeg"/><Relationship Id="rId157" Type="http://schemas.openxmlformats.org/officeDocument/2006/relationships/image" Target="../media/image173.jpeg"/><Relationship Id="rId61" Type="http://schemas.openxmlformats.org/officeDocument/2006/relationships/image" Target="../media/image77.jpeg"/><Relationship Id="rId82" Type="http://schemas.openxmlformats.org/officeDocument/2006/relationships/image" Target="../media/image98.jpeg"/><Relationship Id="rId152" Type="http://schemas.openxmlformats.org/officeDocument/2006/relationships/image" Target="../media/image168.jpeg"/><Relationship Id="rId19" Type="http://schemas.openxmlformats.org/officeDocument/2006/relationships/image" Target="../media/image35.jpeg"/><Relationship Id="rId14" Type="http://schemas.openxmlformats.org/officeDocument/2006/relationships/image" Target="../media/image30.jpeg"/><Relationship Id="rId30" Type="http://schemas.openxmlformats.org/officeDocument/2006/relationships/image" Target="../media/image46.jpeg"/><Relationship Id="rId35" Type="http://schemas.openxmlformats.org/officeDocument/2006/relationships/image" Target="../media/image51.jpeg"/><Relationship Id="rId56" Type="http://schemas.openxmlformats.org/officeDocument/2006/relationships/image" Target="../media/image72.jpeg"/><Relationship Id="rId77" Type="http://schemas.openxmlformats.org/officeDocument/2006/relationships/image" Target="../media/image93.jpeg"/><Relationship Id="rId100" Type="http://schemas.openxmlformats.org/officeDocument/2006/relationships/image" Target="../media/image116.jpeg"/><Relationship Id="rId105" Type="http://schemas.openxmlformats.org/officeDocument/2006/relationships/image" Target="../media/image121.jpeg"/><Relationship Id="rId126" Type="http://schemas.openxmlformats.org/officeDocument/2006/relationships/image" Target="../media/image142.jpeg"/><Relationship Id="rId147" Type="http://schemas.openxmlformats.org/officeDocument/2006/relationships/image" Target="../media/image163.jpeg"/><Relationship Id="rId8" Type="http://schemas.openxmlformats.org/officeDocument/2006/relationships/image" Target="../media/image24.jpeg"/><Relationship Id="rId51" Type="http://schemas.openxmlformats.org/officeDocument/2006/relationships/image" Target="../media/image67.jpeg"/><Relationship Id="rId72" Type="http://schemas.openxmlformats.org/officeDocument/2006/relationships/image" Target="../media/image88.jpeg"/><Relationship Id="rId93" Type="http://schemas.openxmlformats.org/officeDocument/2006/relationships/image" Target="../media/image109.jpeg"/><Relationship Id="rId98" Type="http://schemas.openxmlformats.org/officeDocument/2006/relationships/image" Target="../media/image114.jpeg"/><Relationship Id="rId121" Type="http://schemas.openxmlformats.org/officeDocument/2006/relationships/image" Target="../media/image137.jpeg"/><Relationship Id="rId142" Type="http://schemas.openxmlformats.org/officeDocument/2006/relationships/image" Target="../media/image158.jpeg"/><Relationship Id="rId163" Type="http://schemas.openxmlformats.org/officeDocument/2006/relationships/image" Target="../media/image179.jpeg"/><Relationship Id="rId3" Type="http://schemas.openxmlformats.org/officeDocument/2006/relationships/image" Target="../media/image19.jpeg"/><Relationship Id="rId25" Type="http://schemas.openxmlformats.org/officeDocument/2006/relationships/image" Target="../media/image41.jpeg"/><Relationship Id="rId46" Type="http://schemas.openxmlformats.org/officeDocument/2006/relationships/image" Target="../media/image62.jpeg"/><Relationship Id="rId67" Type="http://schemas.openxmlformats.org/officeDocument/2006/relationships/image" Target="../media/image83.jpeg"/><Relationship Id="rId116" Type="http://schemas.openxmlformats.org/officeDocument/2006/relationships/image" Target="../media/image132.jpeg"/><Relationship Id="rId137" Type="http://schemas.openxmlformats.org/officeDocument/2006/relationships/image" Target="../media/image153.jpeg"/><Relationship Id="rId158" Type="http://schemas.openxmlformats.org/officeDocument/2006/relationships/image" Target="../media/image174.jpeg"/><Relationship Id="rId20" Type="http://schemas.openxmlformats.org/officeDocument/2006/relationships/image" Target="../media/image36.jpeg"/><Relationship Id="rId41" Type="http://schemas.openxmlformats.org/officeDocument/2006/relationships/image" Target="../media/image57.jpeg"/><Relationship Id="rId62" Type="http://schemas.openxmlformats.org/officeDocument/2006/relationships/image" Target="../media/image78.jpeg"/><Relationship Id="rId83" Type="http://schemas.openxmlformats.org/officeDocument/2006/relationships/image" Target="../media/image99.jpeg"/><Relationship Id="rId88" Type="http://schemas.openxmlformats.org/officeDocument/2006/relationships/image" Target="../media/image104.jpeg"/><Relationship Id="rId111" Type="http://schemas.openxmlformats.org/officeDocument/2006/relationships/image" Target="../media/image127.jpeg"/><Relationship Id="rId132" Type="http://schemas.openxmlformats.org/officeDocument/2006/relationships/image" Target="../media/image148.jpeg"/><Relationship Id="rId153" Type="http://schemas.openxmlformats.org/officeDocument/2006/relationships/image" Target="../media/image169.jpeg"/><Relationship Id="rId15" Type="http://schemas.openxmlformats.org/officeDocument/2006/relationships/image" Target="../media/image31.jpeg"/><Relationship Id="rId36" Type="http://schemas.openxmlformats.org/officeDocument/2006/relationships/image" Target="../media/image52.jpeg"/><Relationship Id="rId57" Type="http://schemas.openxmlformats.org/officeDocument/2006/relationships/image" Target="../media/image73.jpeg"/><Relationship Id="rId106" Type="http://schemas.openxmlformats.org/officeDocument/2006/relationships/image" Target="../media/image122.jpeg"/><Relationship Id="rId127" Type="http://schemas.openxmlformats.org/officeDocument/2006/relationships/image" Target="../media/image143.jpeg"/><Relationship Id="rId10" Type="http://schemas.openxmlformats.org/officeDocument/2006/relationships/image" Target="../media/image26.jpeg"/><Relationship Id="rId31" Type="http://schemas.openxmlformats.org/officeDocument/2006/relationships/image" Target="../media/image47.jpeg"/><Relationship Id="rId52" Type="http://schemas.openxmlformats.org/officeDocument/2006/relationships/image" Target="../media/image68.jpeg"/><Relationship Id="rId73" Type="http://schemas.openxmlformats.org/officeDocument/2006/relationships/image" Target="../media/image89.jpeg"/><Relationship Id="rId78" Type="http://schemas.openxmlformats.org/officeDocument/2006/relationships/image" Target="../media/image94.jpeg"/><Relationship Id="rId94" Type="http://schemas.openxmlformats.org/officeDocument/2006/relationships/image" Target="../media/image110.jpeg"/><Relationship Id="rId99" Type="http://schemas.openxmlformats.org/officeDocument/2006/relationships/image" Target="../media/image115.jpeg"/><Relationship Id="rId101" Type="http://schemas.openxmlformats.org/officeDocument/2006/relationships/image" Target="../media/image117.jpeg"/><Relationship Id="rId122" Type="http://schemas.openxmlformats.org/officeDocument/2006/relationships/image" Target="../media/image138.jpeg"/><Relationship Id="rId143" Type="http://schemas.openxmlformats.org/officeDocument/2006/relationships/image" Target="../media/image159.jpeg"/><Relationship Id="rId148" Type="http://schemas.openxmlformats.org/officeDocument/2006/relationships/image" Target="../media/image164.jpeg"/><Relationship Id="rId164" Type="http://schemas.openxmlformats.org/officeDocument/2006/relationships/image" Target="../media/image180.jpeg"/><Relationship Id="rId4" Type="http://schemas.openxmlformats.org/officeDocument/2006/relationships/image" Target="../media/image20.jpeg"/><Relationship Id="rId9" Type="http://schemas.openxmlformats.org/officeDocument/2006/relationships/image" Target="../media/image25.jpeg"/><Relationship Id="rId26" Type="http://schemas.openxmlformats.org/officeDocument/2006/relationships/image" Target="../media/image42.jpeg"/><Relationship Id="rId47" Type="http://schemas.openxmlformats.org/officeDocument/2006/relationships/image" Target="../media/image63.jpeg"/><Relationship Id="rId68" Type="http://schemas.openxmlformats.org/officeDocument/2006/relationships/image" Target="../media/image84.jpeg"/><Relationship Id="rId89" Type="http://schemas.openxmlformats.org/officeDocument/2006/relationships/image" Target="../media/image105.jpeg"/><Relationship Id="rId112" Type="http://schemas.openxmlformats.org/officeDocument/2006/relationships/image" Target="../media/image128.jpeg"/><Relationship Id="rId133" Type="http://schemas.openxmlformats.org/officeDocument/2006/relationships/image" Target="../media/image149.jpeg"/><Relationship Id="rId154" Type="http://schemas.openxmlformats.org/officeDocument/2006/relationships/image" Target="../media/image170.jpeg"/><Relationship Id="rId16" Type="http://schemas.openxmlformats.org/officeDocument/2006/relationships/image" Target="../media/image32.jpeg"/><Relationship Id="rId37" Type="http://schemas.openxmlformats.org/officeDocument/2006/relationships/image" Target="../media/image53.jpeg"/><Relationship Id="rId58" Type="http://schemas.openxmlformats.org/officeDocument/2006/relationships/image" Target="../media/image74.jpeg"/><Relationship Id="rId79" Type="http://schemas.openxmlformats.org/officeDocument/2006/relationships/image" Target="../media/image95.jpeg"/><Relationship Id="rId102" Type="http://schemas.openxmlformats.org/officeDocument/2006/relationships/image" Target="../media/image118.jpeg"/><Relationship Id="rId123" Type="http://schemas.openxmlformats.org/officeDocument/2006/relationships/image" Target="../media/image139.jpeg"/><Relationship Id="rId144" Type="http://schemas.openxmlformats.org/officeDocument/2006/relationships/image" Target="../media/image160.jpeg"/><Relationship Id="rId90" Type="http://schemas.openxmlformats.org/officeDocument/2006/relationships/image" Target="../media/image106.jpeg"/><Relationship Id="rId165" Type="http://schemas.openxmlformats.org/officeDocument/2006/relationships/image" Target="../media/image181.jpeg"/><Relationship Id="rId27" Type="http://schemas.openxmlformats.org/officeDocument/2006/relationships/image" Target="../media/image43.jpeg"/><Relationship Id="rId48" Type="http://schemas.openxmlformats.org/officeDocument/2006/relationships/image" Target="../media/image64.jpeg"/><Relationship Id="rId69" Type="http://schemas.openxmlformats.org/officeDocument/2006/relationships/image" Target="../media/image85.jpeg"/><Relationship Id="rId113" Type="http://schemas.openxmlformats.org/officeDocument/2006/relationships/image" Target="../media/image129.jpeg"/><Relationship Id="rId134" Type="http://schemas.openxmlformats.org/officeDocument/2006/relationships/image" Target="../media/image150.jpeg"/><Relationship Id="rId80" Type="http://schemas.openxmlformats.org/officeDocument/2006/relationships/image" Target="../media/image96.jpeg"/><Relationship Id="rId155" Type="http://schemas.openxmlformats.org/officeDocument/2006/relationships/image" Target="../media/image171.jpeg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90.png"/><Relationship Id="rId13" Type="http://schemas.openxmlformats.org/officeDocument/2006/relationships/image" Target="../media/image195.png"/><Relationship Id="rId18" Type="http://schemas.openxmlformats.org/officeDocument/2006/relationships/image" Target="../media/image200.png"/><Relationship Id="rId3" Type="http://schemas.openxmlformats.org/officeDocument/2006/relationships/image" Target="../media/image185.png"/><Relationship Id="rId7" Type="http://schemas.openxmlformats.org/officeDocument/2006/relationships/image" Target="../media/image189.png"/><Relationship Id="rId12" Type="http://schemas.openxmlformats.org/officeDocument/2006/relationships/image" Target="../media/image194.png"/><Relationship Id="rId17" Type="http://schemas.openxmlformats.org/officeDocument/2006/relationships/image" Target="../media/image199.png"/><Relationship Id="rId2" Type="http://schemas.openxmlformats.org/officeDocument/2006/relationships/image" Target="../media/image184.png"/><Relationship Id="rId16" Type="http://schemas.openxmlformats.org/officeDocument/2006/relationships/image" Target="../media/image198.png"/><Relationship Id="rId1" Type="http://schemas.openxmlformats.org/officeDocument/2006/relationships/image" Target="../media/image183.png"/><Relationship Id="rId6" Type="http://schemas.openxmlformats.org/officeDocument/2006/relationships/image" Target="../media/image188.png"/><Relationship Id="rId11" Type="http://schemas.openxmlformats.org/officeDocument/2006/relationships/image" Target="../media/image193.png"/><Relationship Id="rId5" Type="http://schemas.openxmlformats.org/officeDocument/2006/relationships/image" Target="../media/image187.png"/><Relationship Id="rId15" Type="http://schemas.openxmlformats.org/officeDocument/2006/relationships/image" Target="../media/image197.jpeg"/><Relationship Id="rId10" Type="http://schemas.openxmlformats.org/officeDocument/2006/relationships/image" Target="../media/image192.png"/><Relationship Id="rId19" Type="http://schemas.openxmlformats.org/officeDocument/2006/relationships/image" Target="../media/image201.png"/><Relationship Id="rId4" Type="http://schemas.openxmlformats.org/officeDocument/2006/relationships/image" Target="../media/image186.png"/><Relationship Id="rId9" Type="http://schemas.openxmlformats.org/officeDocument/2006/relationships/image" Target="../media/image191.png"/><Relationship Id="rId14" Type="http://schemas.openxmlformats.org/officeDocument/2006/relationships/image" Target="../media/image196.png"/></Relationships>
</file>

<file path=xl/drawings/_rels/drawing16.xml.rels><?xml version="1.0" encoding="UTF-8" standalone="yes"?>
<Relationships xmlns="http://schemas.openxmlformats.org/package/2006/relationships"><Relationship Id="rId8" Type="http://schemas.openxmlformats.org/officeDocument/2006/relationships/image" Target="../media/image209.png"/><Relationship Id="rId3" Type="http://schemas.openxmlformats.org/officeDocument/2006/relationships/image" Target="../media/image204.png"/><Relationship Id="rId7" Type="http://schemas.openxmlformats.org/officeDocument/2006/relationships/image" Target="../media/image208.png"/><Relationship Id="rId12" Type="http://schemas.openxmlformats.org/officeDocument/2006/relationships/image" Target="../media/image213.emf"/><Relationship Id="rId2" Type="http://schemas.openxmlformats.org/officeDocument/2006/relationships/image" Target="../media/image203.png"/><Relationship Id="rId1" Type="http://schemas.openxmlformats.org/officeDocument/2006/relationships/image" Target="../media/image202.png"/><Relationship Id="rId6" Type="http://schemas.openxmlformats.org/officeDocument/2006/relationships/image" Target="../media/image207.png"/><Relationship Id="rId11" Type="http://schemas.openxmlformats.org/officeDocument/2006/relationships/image" Target="../media/image212.emf"/><Relationship Id="rId5" Type="http://schemas.openxmlformats.org/officeDocument/2006/relationships/image" Target="../media/image206.png"/><Relationship Id="rId10" Type="http://schemas.openxmlformats.org/officeDocument/2006/relationships/image" Target="../media/image211.png"/><Relationship Id="rId4" Type="http://schemas.openxmlformats.org/officeDocument/2006/relationships/image" Target="../media/image205.jpeg"/><Relationship Id="rId9" Type="http://schemas.openxmlformats.org/officeDocument/2006/relationships/image" Target="../media/image210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14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image" Target="../media/image215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image" Target="../media/image215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674076</xdr:colOff>
      <xdr:row>1</xdr:row>
      <xdr:rowOff>21981</xdr:rowOff>
    </xdr:from>
    <xdr:to>
      <xdr:col>9</xdr:col>
      <xdr:colOff>7326</xdr:colOff>
      <xdr:row>7</xdr:row>
      <xdr:rowOff>123824</xdr:rowOff>
    </xdr:to>
    <xdr:sp macro="" textlink="">
      <xdr:nvSpPr>
        <xdr:cNvPr id="2" name="Retângul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103076" y="193431"/>
          <a:ext cx="2076450" cy="107339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pt-BR" sz="1500"/>
            <a:t>ORÇAMENTO</a:t>
          </a:r>
        </a:p>
      </xdr:txBody>
    </xdr:sp>
    <xdr:clientData/>
  </xdr:twoCellAnchor>
  <xdr:twoCellAnchor>
    <xdr:from>
      <xdr:col>9</xdr:col>
      <xdr:colOff>7581</xdr:colOff>
      <xdr:row>9</xdr:row>
      <xdr:rowOff>139723</xdr:rowOff>
    </xdr:from>
    <xdr:to>
      <xdr:col>11</xdr:col>
      <xdr:colOff>19495</xdr:colOff>
      <xdr:row>13</xdr:row>
      <xdr:rowOff>138258</xdr:rowOff>
    </xdr:to>
    <xdr:sp macro="" textlink="">
      <xdr:nvSpPr>
        <xdr:cNvPr id="3" name="Retângulo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179781" y="1606573"/>
          <a:ext cx="1383514" cy="64623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pt-BR" sz="1100"/>
            <a:t>CRONOGRAMA</a:t>
          </a:r>
        </a:p>
      </xdr:txBody>
    </xdr:sp>
    <xdr:clientData/>
  </xdr:twoCellAnchor>
  <xdr:twoCellAnchor>
    <xdr:from>
      <xdr:col>0</xdr:col>
      <xdr:colOff>688730</xdr:colOff>
      <xdr:row>19</xdr:row>
      <xdr:rowOff>21980</xdr:rowOff>
    </xdr:from>
    <xdr:to>
      <xdr:col>3</xdr:col>
      <xdr:colOff>681403</xdr:colOff>
      <xdr:row>22</xdr:row>
      <xdr:rowOff>153865</xdr:rowOff>
    </xdr:to>
    <xdr:sp macro="" textlink="">
      <xdr:nvSpPr>
        <xdr:cNvPr id="4" name="Retângul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88730" y="3108080"/>
          <a:ext cx="2050073" cy="6176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pt-BR" sz="1100"/>
            <a:t>PAVIMENTAÇÃO</a:t>
          </a:r>
        </a:p>
      </xdr:txBody>
    </xdr:sp>
    <xdr:clientData/>
  </xdr:twoCellAnchor>
  <xdr:twoCellAnchor>
    <xdr:from>
      <xdr:col>11</xdr:col>
      <xdr:colOff>20053</xdr:colOff>
      <xdr:row>19</xdr:row>
      <xdr:rowOff>20053</xdr:rowOff>
    </xdr:from>
    <xdr:to>
      <xdr:col>13</xdr:col>
      <xdr:colOff>674076</xdr:colOff>
      <xdr:row>22</xdr:row>
      <xdr:rowOff>131884</xdr:rowOff>
    </xdr:to>
    <xdr:sp macro="" textlink="">
      <xdr:nvSpPr>
        <xdr:cNvPr id="5" name="Retângul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563853" y="3106153"/>
          <a:ext cx="2025623" cy="59760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pt-BR" sz="1100"/>
            <a:t>DRENAGEM</a:t>
          </a:r>
        </a:p>
      </xdr:txBody>
    </xdr:sp>
    <xdr:clientData/>
  </xdr:twoCellAnchor>
  <xdr:twoCellAnchor>
    <xdr:from>
      <xdr:col>5</xdr:col>
      <xdr:colOff>681404</xdr:colOff>
      <xdr:row>19</xdr:row>
      <xdr:rowOff>14654</xdr:rowOff>
    </xdr:from>
    <xdr:to>
      <xdr:col>8</xdr:col>
      <xdr:colOff>681404</xdr:colOff>
      <xdr:row>23</xdr:row>
      <xdr:rowOff>0</xdr:rowOff>
    </xdr:to>
    <xdr:sp macro="" textlink="">
      <xdr:nvSpPr>
        <xdr:cNvPr id="6" name="Retângulo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4110404" y="3100754"/>
          <a:ext cx="2057400" cy="63304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pt-BR" sz="1100"/>
            <a:t>SERVIÇOS PRELIMINARES</a:t>
          </a:r>
        </a:p>
      </xdr:txBody>
    </xdr:sp>
    <xdr:clientData/>
  </xdr:twoCellAnchor>
  <xdr:twoCellAnchor>
    <xdr:from>
      <xdr:col>1</xdr:col>
      <xdr:colOff>159164</xdr:colOff>
      <xdr:row>27</xdr:row>
      <xdr:rowOff>107961</xdr:rowOff>
    </xdr:from>
    <xdr:to>
      <xdr:col>3</xdr:col>
      <xdr:colOff>534864</xdr:colOff>
      <xdr:row>30</xdr:row>
      <xdr:rowOff>91309</xdr:rowOff>
    </xdr:to>
    <xdr:sp macro="" textlink="">
      <xdr:nvSpPr>
        <xdr:cNvPr id="7" name="Retângulo 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851891" y="4333597"/>
          <a:ext cx="1761155" cy="450939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pt-BR" sz="1100"/>
            <a:t>QUANTIFICAÇÃO</a:t>
          </a:r>
        </a:p>
      </xdr:txBody>
    </xdr:sp>
    <xdr:clientData/>
  </xdr:twoCellAnchor>
  <xdr:twoCellAnchor>
    <xdr:from>
      <xdr:col>6</xdr:col>
      <xdr:colOff>0</xdr:colOff>
      <xdr:row>28</xdr:row>
      <xdr:rowOff>155862</xdr:rowOff>
    </xdr:from>
    <xdr:to>
      <xdr:col>9</xdr:col>
      <xdr:colOff>0</xdr:colOff>
      <xdr:row>32</xdr:row>
      <xdr:rowOff>139210</xdr:rowOff>
    </xdr:to>
    <xdr:sp macro="" textlink="">
      <xdr:nvSpPr>
        <xdr:cNvPr id="8" name="Retângulo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4156364" y="4537362"/>
          <a:ext cx="2078181" cy="60680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pt-BR" sz="1100"/>
            <a:t>CICLOVIA</a:t>
          </a:r>
        </a:p>
      </xdr:txBody>
    </xdr:sp>
    <xdr:clientData/>
  </xdr:twoCellAnchor>
  <xdr:twoCellAnchor>
    <xdr:from>
      <xdr:col>6</xdr:col>
      <xdr:colOff>0</xdr:colOff>
      <xdr:row>39</xdr:row>
      <xdr:rowOff>69278</xdr:rowOff>
    </xdr:from>
    <xdr:to>
      <xdr:col>9</xdr:col>
      <xdr:colOff>0</xdr:colOff>
      <xdr:row>43</xdr:row>
      <xdr:rowOff>52626</xdr:rowOff>
    </xdr:to>
    <xdr:sp macro="" textlink="">
      <xdr:nvSpPr>
        <xdr:cNvPr id="9" name="Retângulo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4156364" y="6165278"/>
          <a:ext cx="2078181" cy="60680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pt-BR" sz="1100"/>
            <a:t>ACESSIBILIDADE</a:t>
          </a:r>
        </a:p>
      </xdr:txBody>
    </xdr:sp>
    <xdr:clientData/>
  </xdr:twoCellAnchor>
  <xdr:twoCellAnchor>
    <xdr:from>
      <xdr:col>6</xdr:col>
      <xdr:colOff>0</xdr:colOff>
      <xdr:row>49</xdr:row>
      <xdr:rowOff>101912</xdr:rowOff>
    </xdr:from>
    <xdr:to>
      <xdr:col>9</xdr:col>
      <xdr:colOff>0</xdr:colOff>
      <xdr:row>53</xdr:row>
      <xdr:rowOff>87257</xdr:rowOff>
    </xdr:to>
    <xdr:sp macro="" textlink="">
      <xdr:nvSpPr>
        <xdr:cNvPr id="10" name="Retângulo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4156364" y="7756548"/>
          <a:ext cx="2078181" cy="608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pt-BR" sz="1100"/>
            <a:t>TRAFFIC CALMING</a:t>
          </a:r>
        </a:p>
      </xdr:txBody>
    </xdr:sp>
    <xdr:clientData/>
  </xdr:twoCellAnchor>
  <xdr:twoCellAnchor>
    <xdr:from>
      <xdr:col>6</xdr:col>
      <xdr:colOff>0</xdr:colOff>
      <xdr:row>58</xdr:row>
      <xdr:rowOff>86590</xdr:rowOff>
    </xdr:from>
    <xdr:to>
      <xdr:col>9</xdr:col>
      <xdr:colOff>0</xdr:colOff>
      <xdr:row>62</xdr:row>
      <xdr:rowOff>69937</xdr:rowOff>
    </xdr:to>
    <xdr:sp macro="" textlink="">
      <xdr:nvSpPr>
        <xdr:cNvPr id="11" name="Retângulo 1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4156364" y="9143999"/>
          <a:ext cx="2078181" cy="60680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pt-BR" sz="1100"/>
            <a:t>SINALIZAÇÃO PERMANENTE</a:t>
          </a:r>
        </a:p>
      </xdr:txBody>
    </xdr:sp>
    <xdr:clientData/>
  </xdr:twoCellAnchor>
  <xdr:twoCellAnchor>
    <xdr:from>
      <xdr:col>1</xdr:col>
      <xdr:colOff>171324</xdr:colOff>
      <xdr:row>36</xdr:row>
      <xdr:rowOff>66650</xdr:rowOff>
    </xdr:from>
    <xdr:to>
      <xdr:col>3</xdr:col>
      <xdr:colOff>527537</xdr:colOff>
      <xdr:row>39</xdr:row>
      <xdr:rowOff>51840</xdr:rowOff>
    </xdr:to>
    <xdr:sp macro="" textlink="">
      <xdr:nvSpPr>
        <xdr:cNvPr id="12" name="Retângulo 11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64051" y="5695059"/>
          <a:ext cx="1741668" cy="452781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pt-BR" sz="1100"/>
            <a:t>TERRAPLENAGEM</a:t>
          </a:r>
        </a:p>
      </xdr:txBody>
    </xdr:sp>
    <xdr:clientData/>
  </xdr:twoCellAnchor>
  <xdr:twoCellAnchor>
    <xdr:from>
      <xdr:col>11</xdr:col>
      <xdr:colOff>195801</xdr:colOff>
      <xdr:row>25</xdr:row>
      <xdr:rowOff>4054</xdr:rowOff>
    </xdr:from>
    <xdr:to>
      <xdr:col>13</xdr:col>
      <xdr:colOff>593482</xdr:colOff>
      <xdr:row>27</xdr:row>
      <xdr:rowOff>143266</xdr:rowOff>
    </xdr:to>
    <xdr:sp macro="" textlink="">
      <xdr:nvSpPr>
        <xdr:cNvPr id="13" name="Retângulo 1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7771839" y="4041189"/>
          <a:ext cx="1775143" cy="461596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pt-BR" sz="1100"/>
            <a:t>DADOS</a:t>
          </a:r>
        </a:p>
      </xdr:txBody>
    </xdr:sp>
    <xdr:clientData/>
  </xdr:twoCellAnchor>
  <xdr:twoCellAnchor>
    <xdr:from>
      <xdr:col>11</xdr:col>
      <xdr:colOff>200633</xdr:colOff>
      <xdr:row>30</xdr:row>
      <xdr:rowOff>154971</xdr:rowOff>
    </xdr:from>
    <xdr:to>
      <xdr:col>13</xdr:col>
      <xdr:colOff>586156</xdr:colOff>
      <xdr:row>33</xdr:row>
      <xdr:rowOff>140161</xdr:rowOff>
    </xdr:to>
    <xdr:sp macro="" textlink="">
      <xdr:nvSpPr>
        <xdr:cNvPr id="14" name="Retângulo 13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7744433" y="5022246"/>
          <a:ext cx="1757123" cy="470965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pt-BR" sz="1100"/>
            <a:t>DIMENSIONAMENTO</a:t>
          </a:r>
          <a:r>
            <a:rPr lang="pt-BR" sz="1100" baseline="0"/>
            <a:t> GAP</a:t>
          </a:r>
          <a:endParaRPr lang="pt-BR" sz="1100"/>
        </a:p>
      </xdr:txBody>
    </xdr:sp>
    <xdr:clientData/>
  </xdr:twoCellAnchor>
  <xdr:twoCellAnchor>
    <xdr:from>
      <xdr:col>11</xdr:col>
      <xdr:colOff>209804</xdr:colOff>
      <xdr:row>43</xdr:row>
      <xdr:rowOff>54864</xdr:rowOff>
    </xdr:from>
    <xdr:to>
      <xdr:col>13</xdr:col>
      <xdr:colOff>602974</xdr:colOff>
      <xdr:row>46</xdr:row>
      <xdr:rowOff>38212</xdr:rowOff>
    </xdr:to>
    <xdr:sp macro="" textlink="">
      <xdr:nvSpPr>
        <xdr:cNvPr id="15" name="Retângulo 14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7753604" y="7027164"/>
          <a:ext cx="1764770" cy="469123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pt-BR" sz="1100"/>
            <a:t>QUANTIFICAÇÃO</a:t>
          </a:r>
        </a:p>
      </xdr:txBody>
    </xdr:sp>
    <xdr:clientData/>
  </xdr:twoCellAnchor>
  <xdr:twoCellAnchor>
    <xdr:from>
      <xdr:col>11</xdr:col>
      <xdr:colOff>179925</xdr:colOff>
      <xdr:row>49</xdr:row>
      <xdr:rowOff>77656</xdr:rowOff>
    </xdr:from>
    <xdr:to>
      <xdr:col>13</xdr:col>
      <xdr:colOff>606494</xdr:colOff>
      <xdr:row>52</xdr:row>
      <xdr:rowOff>61003</xdr:rowOff>
    </xdr:to>
    <xdr:sp macro="" textlink="">
      <xdr:nvSpPr>
        <xdr:cNvPr id="16" name="Retângulo 15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7723725" y="8021506"/>
          <a:ext cx="1798169" cy="469122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pt-BR" sz="1100"/>
            <a:t>SERVIÇOS PRELIMINARES</a:t>
          </a:r>
        </a:p>
      </xdr:txBody>
    </xdr:sp>
    <xdr:clientData/>
  </xdr:twoCellAnchor>
  <xdr:twoCellAnchor>
    <xdr:from>
      <xdr:col>11</xdr:col>
      <xdr:colOff>178652</xdr:colOff>
      <xdr:row>55</xdr:row>
      <xdr:rowOff>152567</xdr:rowOff>
    </xdr:from>
    <xdr:to>
      <xdr:col>13</xdr:col>
      <xdr:colOff>605221</xdr:colOff>
      <xdr:row>58</xdr:row>
      <xdr:rowOff>137757</xdr:rowOff>
    </xdr:to>
    <xdr:sp macro="" textlink="">
      <xdr:nvSpPr>
        <xdr:cNvPr id="17" name="Retângulo 16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7722452" y="9067967"/>
          <a:ext cx="1798169" cy="470965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pt-BR" sz="1100"/>
            <a:t>TERRAPLENAGEM</a:t>
          </a:r>
        </a:p>
      </xdr:txBody>
    </xdr:sp>
    <xdr:clientData/>
  </xdr:twoCellAnchor>
  <xdr:twoCellAnchor>
    <xdr:from>
      <xdr:col>11</xdr:col>
      <xdr:colOff>166492</xdr:colOff>
      <xdr:row>62</xdr:row>
      <xdr:rowOff>50113</xdr:rowOff>
    </xdr:from>
    <xdr:to>
      <xdr:col>13</xdr:col>
      <xdr:colOff>593061</xdr:colOff>
      <xdr:row>65</xdr:row>
      <xdr:rowOff>35303</xdr:rowOff>
    </xdr:to>
    <xdr:sp macro="" textlink="">
      <xdr:nvSpPr>
        <xdr:cNvPr id="18" name="Retângulo 17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7710292" y="10098988"/>
          <a:ext cx="1798169" cy="470965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pt-BR" sz="1100"/>
            <a:t>ESTRUTURA</a:t>
          </a:r>
        </a:p>
      </xdr:txBody>
    </xdr:sp>
    <xdr:clientData/>
  </xdr:twoCellAnchor>
  <xdr:twoCellAnchor>
    <xdr:from>
      <xdr:col>1</xdr:col>
      <xdr:colOff>180495</xdr:colOff>
      <xdr:row>45</xdr:row>
      <xdr:rowOff>8106</xdr:rowOff>
    </xdr:from>
    <xdr:to>
      <xdr:col>3</xdr:col>
      <xdr:colOff>534864</xdr:colOff>
      <xdr:row>47</xdr:row>
      <xdr:rowOff>147318</xdr:rowOff>
    </xdr:to>
    <xdr:sp macro="" textlink="">
      <xdr:nvSpPr>
        <xdr:cNvPr id="19" name="Retângulo 18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873222" y="7039288"/>
          <a:ext cx="1739824" cy="450939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pt-BR" sz="1100"/>
            <a:t>ESTRUTURA</a:t>
          </a:r>
        </a:p>
      </xdr:txBody>
    </xdr:sp>
    <xdr:clientData/>
  </xdr:twoCellAnchor>
  <xdr:twoCellAnchor>
    <xdr:from>
      <xdr:col>1</xdr:col>
      <xdr:colOff>150615</xdr:colOff>
      <xdr:row>53</xdr:row>
      <xdr:rowOff>4055</xdr:rowOff>
    </xdr:from>
    <xdr:to>
      <xdr:col>3</xdr:col>
      <xdr:colOff>534863</xdr:colOff>
      <xdr:row>55</xdr:row>
      <xdr:rowOff>143266</xdr:rowOff>
    </xdr:to>
    <xdr:sp macro="" textlink="">
      <xdr:nvSpPr>
        <xdr:cNvPr id="20" name="Retângulo 19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843342" y="8282146"/>
          <a:ext cx="1769703" cy="450938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pt-BR" sz="1100"/>
            <a:t>DIMENSIONAMENTO</a:t>
          </a:r>
        </a:p>
      </xdr:txBody>
    </xdr:sp>
    <xdr:clientData/>
  </xdr:twoCellAnchor>
  <xdr:twoCellAnchor>
    <xdr:from>
      <xdr:col>1</xdr:col>
      <xdr:colOff>149343</xdr:colOff>
      <xdr:row>60</xdr:row>
      <xdr:rowOff>46058</xdr:rowOff>
    </xdr:from>
    <xdr:to>
      <xdr:col>3</xdr:col>
      <xdr:colOff>534864</xdr:colOff>
      <xdr:row>63</xdr:row>
      <xdr:rowOff>31248</xdr:rowOff>
    </xdr:to>
    <xdr:sp macro="" textlink="">
      <xdr:nvSpPr>
        <xdr:cNvPr id="21" name="Retângulo 20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842070" y="9415194"/>
          <a:ext cx="1770976" cy="452781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pt-BR" sz="1100"/>
            <a:t>RECAPEAMENTO PRÉVIO</a:t>
          </a:r>
        </a:p>
      </xdr:txBody>
    </xdr:sp>
    <xdr:clientData/>
  </xdr:twoCellAnchor>
  <xdr:twoCellAnchor>
    <xdr:from>
      <xdr:col>1</xdr:col>
      <xdr:colOff>137182</xdr:colOff>
      <xdr:row>68</xdr:row>
      <xdr:rowOff>50105</xdr:rowOff>
    </xdr:from>
    <xdr:to>
      <xdr:col>3</xdr:col>
      <xdr:colOff>542190</xdr:colOff>
      <xdr:row>71</xdr:row>
      <xdr:rowOff>35295</xdr:rowOff>
    </xdr:to>
    <xdr:sp macro="" textlink="">
      <xdr:nvSpPr>
        <xdr:cNvPr id="22" name="Retângulo 21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829909" y="10666150"/>
          <a:ext cx="1790463" cy="452781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pt-BR" sz="1100"/>
            <a:t>RECAPEAMENTO FINAL</a:t>
          </a:r>
        </a:p>
      </xdr:txBody>
    </xdr:sp>
    <xdr:clientData/>
  </xdr:twoCellAnchor>
  <xdr:twoCellAnchor>
    <xdr:from>
      <xdr:col>6</xdr:col>
      <xdr:colOff>0</xdr:colOff>
      <xdr:row>67</xdr:row>
      <xdr:rowOff>69270</xdr:rowOff>
    </xdr:from>
    <xdr:to>
      <xdr:col>9</xdr:col>
      <xdr:colOff>0</xdr:colOff>
      <xdr:row>71</xdr:row>
      <xdr:rowOff>52618</xdr:rowOff>
    </xdr:to>
    <xdr:sp macro="" textlink="">
      <xdr:nvSpPr>
        <xdr:cNvPr id="23" name="Retângulo 22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4156364" y="10529452"/>
          <a:ext cx="2078181" cy="60680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pt-BR" sz="1100"/>
            <a:t>DRENAGEM PROFUNDA</a:t>
          </a:r>
        </a:p>
      </xdr:txBody>
    </xdr:sp>
    <xdr:clientData/>
  </xdr:twoCellAnchor>
  <xdr:twoCellAnchor>
    <xdr:from>
      <xdr:col>11</xdr:col>
      <xdr:colOff>166492</xdr:colOff>
      <xdr:row>68</xdr:row>
      <xdr:rowOff>50117</xdr:rowOff>
    </xdr:from>
    <xdr:to>
      <xdr:col>13</xdr:col>
      <xdr:colOff>593061</xdr:colOff>
      <xdr:row>71</xdr:row>
      <xdr:rowOff>35307</xdr:rowOff>
    </xdr:to>
    <xdr:sp macro="" textlink="">
      <xdr:nvSpPr>
        <xdr:cNvPr id="24" name="Retângulo 23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7710292" y="11070542"/>
          <a:ext cx="1798169" cy="470965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pt-BR" sz="1100"/>
            <a:t>FECHAMENTO</a:t>
          </a:r>
          <a:r>
            <a:rPr lang="pt-BR" sz="1100" baseline="0"/>
            <a:t> DE VALA</a:t>
          </a:r>
          <a:endParaRPr lang="pt-BR" sz="1100"/>
        </a:p>
      </xdr:txBody>
    </xdr:sp>
    <xdr:clientData/>
  </xdr:twoCellAnchor>
  <xdr:twoCellAnchor>
    <xdr:from>
      <xdr:col>7</xdr:col>
      <xdr:colOff>338504</xdr:colOff>
      <xdr:row>7</xdr:row>
      <xdr:rowOff>123824</xdr:rowOff>
    </xdr:from>
    <xdr:to>
      <xdr:col>7</xdr:col>
      <xdr:colOff>340701</xdr:colOff>
      <xdr:row>19</xdr:row>
      <xdr:rowOff>14654</xdr:rowOff>
    </xdr:to>
    <xdr:cxnSp macro="">
      <xdr:nvCxnSpPr>
        <xdr:cNvPr id="25" name="Conector reto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>
          <a:stCxn id="2" idx="2"/>
          <a:endCxn id="6" idx="0"/>
        </xdr:cNvCxnSpPr>
      </xdr:nvCxnSpPr>
      <xdr:spPr>
        <a:xfrm flipH="1">
          <a:off x="5139104" y="1266824"/>
          <a:ext cx="2197" cy="1833930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664005</xdr:colOff>
      <xdr:row>11</xdr:row>
      <xdr:rowOff>138991</xdr:rowOff>
    </xdr:from>
    <xdr:to>
      <xdr:col>9</xdr:col>
      <xdr:colOff>7581</xdr:colOff>
      <xdr:row>11</xdr:row>
      <xdr:rowOff>145807</xdr:rowOff>
    </xdr:to>
    <xdr:cxnSp macro="">
      <xdr:nvCxnSpPr>
        <xdr:cNvPr id="26" name="Conector reto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CxnSpPr>
          <a:stCxn id="32" idx="3"/>
          <a:endCxn id="3" idx="1"/>
        </xdr:cNvCxnSpPr>
      </xdr:nvCxnSpPr>
      <xdr:spPr>
        <a:xfrm flipV="1">
          <a:off x="4107659" y="1919433"/>
          <a:ext cx="2098499" cy="6816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342167</xdr:colOff>
      <xdr:row>16</xdr:row>
      <xdr:rowOff>9525</xdr:rowOff>
    </xdr:from>
    <xdr:to>
      <xdr:col>2</xdr:col>
      <xdr:colOff>342900</xdr:colOff>
      <xdr:row>19</xdr:row>
      <xdr:rowOff>21980</xdr:rowOff>
    </xdr:to>
    <xdr:cxnSp macro="">
      <xdr:nvCxnSpPr>
        <xdr:cNvPr id="27" name="Conector reto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CxnSpPr>
          <a:stCxn id="4" idx="0"/>
        </xdr:cNvCxnSpPr>
      </xdr:nvCxnSpPr>
      <xdr:spPr>
        <a:xfrm flipV="1">
          <a:off x="1713767" y="2609850"/>
          <a:ext cx="733" cy="498230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333375</xdr:colOff>
      <xdr:row>16</xdr:row>
      <xdr:rowOff>0</xdr:rowOff>
    </xdr:from>
    <xdr:to>
      <xdr:col>12</xdr:col>
      <xdr:colOff>353786</xdr:colOff>
      <xdr:row>16</xdr:row>
      <xdr:rowOff>10886</xdr:rowOff>
    </xdr:to>
    <xdr:cxnSp macro="">
      <xdr:nvCxnSpPr>
        <xdr:cNvPr id="28" name="Conector reto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CxnSpPr/>
      </xdr:nvCxnSpPr>
      <xdr:spPr>
        <a:xfrm>
          <a:off x="1704975" y="2600325"/>
          <a:ext cx="6878411" cy="10886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347065</xdr:colOff>
      <xdr:row>16</xdr:row>
      <xdr:rowOff>5443</xdr:rowOff>
    </xdr:from>
    <xdr:to>
      <xdr:col>12</xdr:col>
      <xdr:colOff>353786</xdr:colOff>
      <xdr:row>19</xdr:row>
      <xdr:rowOff>20053</xdr:rowOff>
    </xdr:to>
    <xdr:cxnSp macro="">
      <xdr:nvCxnSpPr>
        <xdr:cNvPr id="29" name="Conector reto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CxnSpPr>
          <a:endCxn id="5" idx="0"/>
        </xdr:cNvCxnSpPr>
      </xdr:nvCxnSpPr>
      <xdr:spPr>
        <a:xfrm flipH="1">
          <a:off x="8576665" y="2605768"/>
          <a:ext cx="6721" cy="500385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672353</xdr:colOff>
      <xdr:row>1</xdr:row>
      <xdr:rowOff>112059</xdr:rowOff>
    </xdr:from>
    <xdr:to>
      <xdr:col>1</xdr:col>
      <xdr:colOff>672353</xdr:colOff>
      <xdr:row>6</xdr:row>
      <xdr:rowOff>562</xdr:rowOff>
    </xdr:to>
    <xdr:pic>
      <xdr:nvPicPr>
        <xdr:cNvPr id="30" name="Imagem 29" descr="Schettini capa.jpg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1358153" y="283509"/>
          <a:ext cx="1701385" cy="650503"/>
        </a:xfrm>
        <a:prstGeom prst="rect">
          <a:avLst/>
        </a:prstGeom>
      </xdr:spPr>
    </xdr:pic>
    <xdr:clientData/>
  </xdr:twoCellAnchor>
  <xdr:twoCellAnchor>
    <xdr:from>
      <xdr:col>3</xdr:col>
      <xdr:colOff>652092</xdr:colOff>
      <xdr:row>9</xdr:row>
      <xdr:rowOff>146539</xdr:rowOff>
    </xdr:from>
    <xdr:to>
      <xdr:col>5</xdr:col>
      <xdr:colOff>664005</xdr:colOff>
      <xdr:row>13</xdr:row>
      <xdr:rowOff>145074</xdr:rowOff>
    </xdr:to>
    <xdr:sp macro="" textlink="">
      <xdr:nvSpPr>
        <xdr:cNvPr id="32" name="Retângulo 31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2718284" y="1604597"/>
          <a:ext cx="1389375" cy="64330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pt-BR" sz="1100"/>
            <a:t>CURVA</a:t>
          </a:r>
          <a:r>
            <a:rPr lang="pt-BR" sz="1100" baseline="0"/>
            <a:t> ABC</a:t>
          </a:r>
          <a:endParaRPr lang="pt-BR" sz="1100"/>
        </a:p>
      </xdr:txBody>
    </xdr:sp>
    <xdr:clientData/>
  </xdr:twoCellAnchor>
  <xdr:twoCellAnchor editAs="oneCell">
    <xdr:from>
      <xdr:col>6</xdr:col>
      <xdr:colOff>431223</xdr:colOff>
      <xdr:row>5</xdr:row>
      <xdr:rowOff>65810</xdr:rowOff>
    </xdr:from>
    <xdr:to>
      <xdr:col>8</xdr:col>
      <xdr:colOff>247650</xdr:colOff>
      <xdr:row>7</xdr:row>
      <xdr:rowOff>65243</xdr:rowOff>
    </xdr:to>
    <xdr:pic>
      <xdr:nvPicPr>
        <xdr:cNvPr id="33" name="Imagem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6023" y="884960"/>
          <a:ext cx="1188027" cy="323283"/>
        </a:xfrm>
        <a:prstGeom prst="rect">
          <a:avLst/>
        </a:prstGeom>
      </xdr:spPr>
    </xdr:pic>
    <xdr:clientData/>
  </xdr:twoCellAnchor>
  <xdr:twoCellAnchor>
    <xdr:from>
      <xdr:col>11</xdr:col>
      <xdr:colOff>161925</xdr:colOff>
      <xdr:row>37</xdr:row>
      <xdr:rowOff>0</xdr:rowOff>
    </xdr:from>
    <xdr:to>
      <xdr:col>13</xdr:col>
      <xdr:colOff>588494</xdr:colOff>
      <xdr:row>39</xdr:row>
      <xdr:rowOff>147115</xdr:rowOff>
    </xdr:to>
    <xdr:sp macro="" textlink="">
      <xdr:nvSpPr>
        <xdr:cNvPr id="34" name="Retângulo 33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89707B7F-406D-4D02-99B9-E605D0B414C0}"/>
            </a:ext>
          </a:extLst>
        </xdr:cNvPr>
        <xdr:cNvSpPr/>
      </xdr:nvSpPr>
      <xdr:spPr>
        <a:xfrm>
          <a:off x="7705725" y="6000750"/>
          <a:ext cx="1798169" cy="470965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pt-BR" sz="1100"/>
            <a:t>BACIA</a:t>
          </a:r>
          <a:r>
            <a:rPr lang="pt-BR" sz="1100" baseline="0"/>
            <a:t> DE AMORTECIMENTO</a:t>
          </a:r>
          <a:endParaRPr lang="pt-B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624606</xdr:colOff>
      <xdr:row>4</xdr:row>
      <xdr:rowOff>134471</xdr:rowOff>
    </xdr:from>
    <xdr:to>
      <xdr:col>9</xdr:col>
      <xdr:colOff>626487</xdr:colOff>
      <xdr:row>5</xdr:row>
      <xdr:rowOff>250116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34753" y="1389530"/>
          <a:ext cx="1604098" cy="437030"/>
        </a:xfrm>
        <a:prstGeom prst="rect">
          <a:avLst/>
        </a:prstGeom>
      </xdr:spPr>
    </xdr:pic>
    <xdr:clientData/>
  </xdr:twoCellAnchor>
  <xdr:twoCellAnchor editAs="oneCell">
    <xdr:from>
      <xdr:col>11</xdr:col>
      <xdr:colOff>314324</xdr:colOff>
      <xdr:row>3</xdr:row>
      <xdr:rowOff>254692</xdr:rowOff>
    </xdr:from>
    <xdr:to>
      <xdr:col>18</xdr:col>
      <xdr:colOff>853440</xdr:colOff>
      <xdr:row>4</xdr:row>
      <xdr:rowOff>96240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2637C201-EB14-4FB8-A9E0-84C91935CC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01849" y="1111942"/>
          <a:ext cx="566737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11</xdr:col>
      <xdr:colOff>314324</xdr:colOff>
      <xdr:row>3</xdr:row>
      <xdr:rowOff>254692</xdr:rowOff>
    </xdr:from>
    <xdr:ext cx="5667375" cy="161925"/>
    <xdr:pic>
      <xdr:nvPicPr>
        <xdr:cNvPr id="6" name="Imagem 5">
          <a:extLst>
            <a:ext uri="{FF2B5EF4-FFF2-40B4-BE49-F238E27FC236}">
              <a16:creationId xmlns:a16="http://schemas.microsoft.com/office/drawing/2014/main" id="{7E236B2D-B2A5-4C1C-86F3-2662FE9B55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49474" y="950017"/>
          <a:ext cx="566737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17</xdr:col>
      <xdr:colOff>0</xdr:colOff>
      <xdr:row>40</xdr:row>
      <xdr:rowOff>17034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F0D19C9A-8346-4F56-A2FD-67B754C67BA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685799</xdr:colOff>
          <xdr:row>10</xdr:row>
          <xdr:rowOff>9524</xdr:rowOff>
        </xdr:from>
        <xdr:to>
          <xdr:col>16</xdr:col>
          <xdr:colOff>495300</xdr:colOff>
          <xdr:row>15</xdr:row>
          <xdr:rowOff>142874</xdr:rowOff>
        </xdr:to>
        <xdr:pic>
          <xdr:nvPicPr>
            <xdr:cNvPr id="11" name="Imagem 10">
              <a:extLst>
                <a:ext uri="{FF2B5EF4-FFF2-40B4-BE49-F238E27FC236}">
                  <a16:creationId xmlns:a16="http://schemas.microsoft.com/office/drawing/2014/main" id="{375B023D-2519-40E1-BA7A-6976C646594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S$4:$AB$7" spid="_x0000_s1314997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tretch>
              <a:fillRect/>
            </a:stretch>
          </xdr:blipFill>
          <xdr:spPr bwMode="auto">
            <a:xfrm>
              <a:off x="5486399" y="1904999"/>
              <a:ext cx="5981701" cy="94297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13</xdr:col>
      <xdr:colOff>254186</xdr:colOff>
      <xdr:row>29</xdr:row>
      <xdr:rowOff>33337</xdr:rowOff>
    </xdr:from>
    <xdr:to>
      <xdr:col>15</xdr:col>
      <xdr:colOff>562678</xdr:colOff>
      <xdr:row>31</xdr:row>
      <xdr:rowOff>128633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EEBC5B0D-E1DF-4D90-BBA3-5622E4B4E4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69586" y="5005387"/>
          <a:ext cx="1680092" cy="419146"/>
        </a:xfrm>
        <a:prstGeom prst="rect">
          <a:avLst/>
        </a:prstGeom>
      </xdr:spPr>
    </xdr:pic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0.03942</cdr:x>
      <cdr:y>0.11735</cdr:y>
    </cdr:from>
    <cdr:to>
      <cdr:x>0.51064</cdr:x>
      <cdr:y>0.11844</cdr:y>
    </cdr:to>
    <cdr:cxnSp macro="">
      <cdr:nvCxnSpPr>
        <cdr:cNvPr id="4" name="Conector de Seta Reta 3">
          <a:extLst xmlns:a="http://schemas.openxmlformats.org/drawingml/2006/main">
            <a:ext uri="{FF2B5EF4-FFF2-40B4-BE49-F238E27FC236}">
              <a16:creationId xmlns:a16="http://schemas.microsoft.com/office/drawing/2014/main" id="{D8D01968-9FBB-448F-AB7E-99560E8034BE}"/>
            </a:ext>
          </a:extLst>
        </cdr:cNvPr>
        <cdr:cNvCxnSpPr/>
      </cdr:nvCxnSpPr>
      <cdr:spPr>
        <a:xfrm xmlns:a="http://schemas.openxmlformats.org/drawingml/2006/main" flipV="1">
          <a:off x="461546" y="791308"/>
          <a:ext cx="5517223" cy="7351"/>
        </a:xfrm>
        <a:prstGeom xmlns:a="http://schemas.openxmlformats.org/drawingml/2006/main" prst="straightConnector1">
          <a:avLst/>
        </a:prstGeom>
        <a:ln xmlns:a="http://schemas.openxmlformats.org/drawingml/2006/main" w="28575">
          <a:tailEnd type="triangle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0.21082</cdr:x>
      <cdr:y>0.23294</cdr:y>
    </cdr:from>
    <cdr:to>
      <cdr:x>0.21326</cdr:x>
      <cdr:y>0.82032</cdr:y>
    </cdr:to>
    <cdr:cxnSp macro="">
      <cdr:nvCxnSpPr>
        <cdr:cNvPr id="6" name="Conector de Seta Reta 5">
          <a:extLst xmlns:a="http://schemas.openxmlformats.org/drawingml/2006/main">
            <a:ext uri="{FF2B5EF4-FFF2-40B4-BE49-F238E27FC236}">
              <a16:creationId xmlns:a16="http://schemas.microsoft.com/office/drawing/2014/main" id="{D8D01968-9FBB-448F-AB7E-99560E8034BE}"/>
            </a:ext>
          </a:extLst>
        </cdr:cNvPr>
        <cdr:cNvCxnSpPr/>
      </cdr:nvCxnSpPr>
      <cdr:spPr>
        <a:xfrm xmlns:a="http://schemas.openxmlformats.org/drawingml/2006/main">
          <a:off x="2461461" y="1564105"/>
          <a:ext cx="28494" cy="3944019"/>
        </a:xfrm>
        <a:prstGeom xmlns:a="http://schemas.openxmlformats.org/drawingml/2006/main" prst="straightConnector1">
          <a:avLst/>
        </a:prstGeom>
        <a:ln xmlns:a="http://schemas.openxmlformats.org/drawingml/2006/main" w="28575">
          <a:tailEnd type="triangle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0.51341</cdr:x>
      <cdr:y>0.11985</cdr:y>
    </cdr:from>
    <cdr:to>
      <cdr:x>0.51411</cdr:x>
      <cdr:y>0.82267</cdr:y>
    </cdr:to>
    <cdr:cxnSp macro="">
      <cdr:nvCxnSpPr>
        <cdr:cNvPr id="13" name="Conector de Seta Reta 12">
          <a:extLst xmlns:a="http://schemas.openxmlformats.org/drawingml/2006/main">
            <a:ext uri="{FF2B5EF4-FFF2-40B4-BE49-F238E27FC236}">
              <a16:creationId xmlns:a16="http://schemas.microsoft.com/office/drawing/2014/main" id="{EB61151D-669B-44E4-A41A-DAAEA20F5DB6}"/>
            </a:ext>
          </a:extLst>
        </cdr:cNvPr>
        <cdr:cNvCxnSpPr/>
      </cdr:nvCxnSpPr>
      <cdr:spPr>
        <a:xfrm xmlns:a="http://schemas.openxmlformats.org/drawingml/2006/main">
          <a:off x="5985585" y="811394"/>
          <a:ext cx="8161" cy="4758274"/>
        </a:xfrm>
        <a:prstGeom xmlns:a="http://schemas.openxmlformats.org/drawingml/2006/main" prst="straightConnector1">
          <a:avLst/>
        </a:prstGeom>
        <a:ln xmlns:a="http://schemas.openxmlformats.org/drawingml/2006/main" w="28575">
          <a:tailEnd type="triangle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0.03864</cdr:x>
      <cdr:y>0.23209</cdr:y>
    </cdr:from>
    <cdr:to>
      <cdr:x>0.2091</cdr:x>
      <cdr:y>0.23294</cdr:y>
    </cdr:to>
    <cdr:cxnSp macro="">
      <cdr:nvCxnSpPr>
        <cdr:cNvPr id="7" name="Conector de Seta Reta 6">
          <a:extLst xmlns:a="http://schemas.openxmlformats.org/drawingml/2006/main">
            <a:ext uri="{FF2B5EF4-FFF2-40B4-BE49-F238E27FC236}">
              <a16:creationId xmlns:a16="http://schemas.microsoft.com/office/drawing/2014/main" id="{4B932907-348D-4CFE-950E-CCDDA35C5112}"/>
            </a:ext>
          </a:extLst>
        </cdr:cNvPr>
        <cdr:cNvCxnSpPr/>
      </cdr:nvCxnSpPr>
      <cdr:spPr>
        <a:xfrm xmlns:a="http://schemas.openxmlformats.org/drawingml/2006/main">
          <a:off x="451147" y="1558394"/>
          <a:ext cx="1990261" cy="5711"/>
        </a:xfrm>
        <a:prstGeom xmlns:a="http://schemas.openxmlformats.org/drawingml/2006/main" prst="straightConnector1">
          <a:avLst/>
        </a:prstGeom>
        <a:ln xmlns:a="http://schemas.openxmlformats.org/drawingml/2006/main" w="28575">
          <a:tailEnd type="triangle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0.1683</cdr:x>
      <cdr:y>0.41925</cdr:y>
    </cdr:from>
    <cdr:to>
      <cdr:x>0.20752</cdr:x>
      <cdr:y>0.53602</cdr:y>
    </cdr:to>
    <cdr:sp macro="" textlink="">
      <cdr:nvSpPr>
        <cdr:cNvPr id="23" name="CaixaDeTexto 22">
          <a:extLst xmlns:a="http://schemas.openxmlformats.org/drawingml/2006/main">
            <a:ext uri="{FF2B5EF4-FFF2-40B4-BE49-F238E27FC236}">
              <a16:creationId xmlns:a16="http://schemas.microsoft.com/office/drawing/2014/main" id="{9DC73EE8-C4AA-4BF6-8E09-7F5CE0853B56}"/>
            </a:ext>
          </a:extLst>
        </cdr:cNvPr>
        <cdr:cNvSpPr txBox="1"/>
      </cdr:nvSpPr>
      <cdr:spPr>
        <a:xfrm xmlns:a="http://schemas.openxmlformats.org/drawingml/2006/main">
          <a:off x="1962150" y="2838450"/>
          <a:ext cx="457200" cy="7905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pt-BR" sz="4000"/>
            <a:t>A</a:t>
          </a:r>
        </a:p>
      </cdr:txBody>
    </cdr:sp>
  </cdr:relSizeAnchor>
  <cdr:relSizeAnchor xmlns:cdr="http://schemas.openxmlformats.org/drawingml/2006/chartDrawing">
    <cdr:from>
      <cdr:x>0.40114</cdr:x>
      <cdr:y>0.41785</cdr:y>
    </cdr:from>
    <cdr:to>
      <cdr:x>0.44771</cdr:x>
      <cdr:y>0.50085</cdr:y>
    </cdr:to>
    <cdr:sp macro="" textlink="">
      <cdr:nvSpPr>
        <cdr:cNvPr id="24" name="CaixaDeTexto 23">
          <a:extLst xmlns:a="http://schemas.openxmlformats.org/drawingml/2006/main">
            <a:ext uri="{FF2B5EF4-FFF2-40B4-BE49-F238E27FC236}">
              <a16:creationId xmlns:a16="http://schemas.microsoft.com/office/drawing/2014/main" id="{7508A606-63EF-41FF-8F20-41E36B7C67EB}"/>
            </a:ext>
          </a:extLst>
        </cdr:cNvPr>
        <cdr:cNvSpPr txBox="1"/>
      </cdr:nvSpPr>
      <cdr:spPr>
        <a:xfrm xmlns:a="http://schemas.openxmlformats.org/drawingml/2006/main">
          <a:off x="4676775" y="2828925"/>
          <a:ext cx="542925" cy="561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pt-BR" sz="4000"/>
            <a:t>B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212914</xdr:colOff>
      <xdr:row>2</xdr:row>
      <xdr:rowOff>291353</xdr:rowOff>
    </xdr:from>
    <xdr:to>
      <xdr:col>12</xdr:col>
      <xdr:colOff>219075</xdr:colOff>
      <xdr:row>5</xdr:row>
      <xdr:rowOff>280150</xdr:rowOff>
    </xdr:to>
    <xdr:sp macro="" textlink="">
      <xdr:nvSpPr>
        <xdr:cNvPr id="7" name="Seta para a Esquerda 1">
          <a:extLst>
            <a:ext uri="{FF2B5EF4-FFF2-40B4-BE49-F238E27FC236}">
              <a16:creationId xmlns:a16="http://schemas.microsoft.com/office/drawing/2014/main" id="{6583FB42-69CC-46C6-8689-342E5A323755}"/>
            </a:ext>
          </a:extLst>
        </xdr:cNvPr>
        <xdr:cNvSpPr/>
      </xdr:nvSpPr>
      <xdr:spPr>
        <a:xfrm>
          <a:off x="14262289" y="920003"/>
          <a:ext cx="958661" cy="931772"/>
        </a:xfrm>
        <a:prstGeom prst="leftArrow">
          <a:avLst>
            <a:gd name="adj1" fmla="val 32038"/>
            <a:gd name="adj2" fmla="val 1821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t-BR" sz="1100"/>
            <a:t>Atenção BDI</a:t>
          </a:r>
        </a:p>
      </xdr:txBody>
    </xdr:sp>
    <xdr:clientData/>
  </xdr:twoCellAnchor>
  <xdr:twoCellAnchor editAs="absolute">
    <xdr:from>
      <xdr:col>19</xdr:col>
      <xdr:colOff>5715</xdr:colOff>
      <xdr:row>2042</xdr:row>
      <xdr:rowOff>39733</xdr:rowOff>
    </xdr:from>
    <xdr:to>
      <xdr:col>20</xdr:col>
      <xdr:colOff>807720</xdr:colOff>
      <xdr:row>2045</xdr:row>
      <xdr:rowOff>123280</xdr:rowOff>
    </xdr:to>
    <xdr:sp macro="" textlink="">
      <xdr:nvSpPr>
        <xdr:cNvPr id="153486" name="Text Box 910" hidden="1">
          <a:extLst>
            <a:ext uri="{FF2B5EF4-FFF2-40B4-BE49-F238E27FC236}">
              <a16:creationId xmlns:a16="http://schemas.microsoft.com/office/drawing/2014/main" id="{75175089-7166-09DF-40D7-9A4BA29AB301}"/>
            </a:ext>
          </a:extLst>
        </xdr:cNvPr>
        <xdr:cNvSpPr txBox="1">
          <a:spLocks noChangeArrowheads="1"/>
        </xdr:cNvSpPr>
      </xdr:nvSpPr>
      <xdr:spPr bwMode="auto">
        <a:xfrm>
          <a:off x="16059150" y="438731025"/>
          <a:ext cx="1219200" cy="1114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E1" mc:Ignorable="a14" a14:legacySpreadsheetColorIndex="80"/>
        </a:solidFill>
        <a:ln w="9525">
          <a:solidFill>
            <a:srgbClr val="51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51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oneCell">
    <xdr:from>
      <xdr:col>7</xdr:col>
      <xdr:colOff>161925</xdr:colOff>
      <xdr:row>7</xdr:row>
      <xdr:rowOff>238125</xdr:rowOff>
    </xdr:from>
    <xdr:to>
      <xdr:col>8</xdr:col>
      <xdr:colOff>891600</xdr:colOff>
      <xdr:row>9</xdr:row>
      <xdr:rowOff>95250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BA92A9BA-3371-4AD9-A01B-D2BACF6F43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96600" y="2628900"/>
          <a:ext cx="1691700" cy="485775"/>
        </a:xfrm>
        <a:prstGeom prst="rect">
          <a:avLst/>
        </a:prstGeom>
      </xdr:spPr>
    </xdr:pic>
    <xdr:clientData/>
  </xdr:twoCellAnchor>
  <xdr:twoCellAnchor>
    <xdr:from>
      <xdr:col>8</xdr:col>
      <xdr:colOff>1045845</xdr:colOff>
      <xdr:row>7</xdr:row>
      <xdr:rowOff>295275</xdr:rowOff>
    </xdr:from>
    <xdr:to>
      <xdr:col>10</xdr:col>
      <xdr:colOff>325040</xdr:colOff>
      <xdr:row>9</xdr:row>
      <xdr:rowOff>34123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D3932BF5-E574-464F-9B26-177B9CB455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2742545" y="2686050"/>
          <a:ext cx="1717595" cy="3674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86</xdr:row>
      <xdr:rowOff>0</xdr:rowOff>
    </xdr:from>
    <xdr:to>
      <xdr:col>24</xdr:col>
      <xdr:colOff>0</xdr:colOff>
      <xdr:row>86</xdr:row>
      <xdr:rowOff>0</xdr:rowOff>
    </xdr:to>
    <xdr:sp macro="" textlink="">
      <xdr:nvSpPr>
        <xdr:cNvPr id="2" name="Seta: Curva para Cima 1">
          <a:extLst>
            <a:ext uri="{FF2B5EF4-FFF2-40B4-BE49-F238E27FC236}">
              <a16:creationId xmlns:a16="http://schemas.microsoft.com/office/drawing/2014/main" id="{6C04FDAC-D5A0-4A97-AF6C-CAB69B632C6A}"/>
            </a:ext>
          </a:extLst>
        </xdr:cNvPr>
        <xdr:cNvSpPr/>
      </xdr:nvSpPr>
      <xdr:spPr>
        <a:xfrm>
          <a:off x="17202150" y="20735925"/>
          <a:ext cx="0" cy="0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chemeClr val="tx1"/>
            </a:solidFill>
          </a:endParaRPr>
        </a:p>
      </xdr:txBody>
    </xdr:sp>
    <xdr:clientData/>
  </xdr:twoCellAnchor>
  <xdr:twoCellAnchor>
    <xdr:from>
      <xdr:col>24</xdr:col>
      <xdr:colOff>0</xdr:colOff>
      <xdr:row>84</xdr:row>
      <xdr:rowOff>123824</xdr:rowOff>
    </xdr:from>
    <xdr:to>
      <xdr:col>24</xdr:col>
      <xdr:colOff>0</xdr:colOff>
      <xdr:row>86</xdr:row>
      <xdr:rowOff>0</xdr:rowOff>
    </xdr:to>
    <xdr:sp macro="" textlink="">
      <xdr:nvSpPr>
        <xdr:cNvPr id="3" name="Texto Explicativo: Seta para a Esquerda 2">
          <a:extLst>
            <a:ext uri="{FF2B5EF4-FFF2-40B4-BE49-F238E27FC236}">
              <a16:creationId xmlns:a16="http://schemas.microsoft.com/office/drawing/2014/main" id="{7FE756B4-7573-4500-94C1-62FFE6161361}"/>
            </a:ext>
          </a:extLst>
        </xdr:cNvPr>
        <xdr:cNvSpPr/>
      </xdr:nvSpPr>
      <xdr:spPr>
        <a:xfrm>
          <a:off x="17202150" y="20402549"/>
          <a:ext cx="0" cy="333376"/>
        </a:xfrm>
        <a:prstGeom prst="leftArrowCallou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t-BR" sz="1100"/>
            <a:t>valor digitado</a:t>
          </a:r>
          <a:r>
            <a:rPr lang="pt-BR" sz="1100" baseline="0"/>
            <a:t> para distribuir erro de aproximação calculado na célula S76</a:t>
          </a:r>
          <a:endParaRPr lang="pt-BR" sz="1100"/>
        </a:p>
      </xdr:txBody>
    </xdr:sp>
    <xdr:clientData/>
  </xdr:twoCellAnchor>
  <xdr:twoCellAnchor>
    <xdr:from>
      <xdr:col>27</xdr:col>
      <xdr:colOff>66674</xdr:colOff>
      <xdr:row>11</xdr:row>
      <xdr:rowOff>66676</xdr:rowOff>
    </xdr:from>
    <xdr:to>
      <xdr:col>29</xdr:col>
      <xdr:colOff>400050</xdr:colOff>
      <xdr:row>15</xdr:row>
      <xdr:rowOff>171450</xdr:rowOff>
    </xdr:to>
    <xdr:sp macro="" textlink="">
      <xdr:nvSpPr>
        <xdr:cNvPr id="7" name="Texto Explicativo: Seta para a Esquerda 6">
          <a:extLst>
            <a:ext uri="{FF2B5EF4-FFF2-40B4-BE49-F238E27FC236}">
              <a16:creationId xmlns:a16="http://schemas.microsoft.com/office/drawing/2014/main" id="{847FB0DE-1CF1-42CC-B9F5-7C42ED921D84}"/>
            </a:ext>
          </a:extLst>
        </xdr:cNvPr>
        <xdr:cNvSpPr/>
      </xdr:nvSpPr>
      <xdr:spPr>
        <a:xfrm>
          <a:off x="22088474" y="2790826"/>
          <a:ext cx="1704976" cy="1019174"/>
        </a:xfrm>
        <a:prstGeom prst="leftArrowCallou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t-BR" sz="1100"/>
            <a:t>contagem da amostragem</a:t>
          </a:r>
          <a:r>
            <a:rPr lang="pt-BR" sz="1100" baseline="0"/>
            <a:t> para distribuir o erro de aproximação</a:t>
          </a:r>
          <a:endParaRPr lang="pt-BR" sz="1100"/>
        </a:p>
      </xdr:txBody>
    </xdr:sp>
    <xdr:clientData/>
  </xdr:twoCellAnchor>
  <xdr:twoCellAnchor editAs="oneCell">
    <xdr:from>
      <xdr:col>10</xdr:col>
      <xdr:colOff>867833</xdr:colOff>
      <xdr:row>3</xdr:row>
      <xdr:rowOff>95250</xdr:rowOff>
    </xdr:from>
    <xdr:to>
      <xdr:col>23</xdr:col>
      <xdr:colOff>1032932</xdr:colOff>
      <xdr:row>4</xdr:row>
      <xdr:rowOff>227906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BEC6CAED-C57E-41B2-91B9-21322DA6EB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98916" y="963083"/>
          <a:ext cx="1276349" cy="365490"/>
        </a:xfrm>
        <a:prstGeom prst="rect">
          <a:avLst/>
        </a:prstGeom>
      </xdr:spPr>
    </xdr:pic>
    <xdr:clientData/>
  </xdr:twoCellAnchor>
  <xdr:twoCellAnchor>
    <xdr:from>
      <xdr:col>12</xdr:col>
      <xdr:colOff>62652</xdr:colOff>
      <xdr:row>3</xdr:row>
      <xdr:rowOff>133349</xdr:rowOff>
    </xdr:from>
    <xdr:to>
      <xdr:col>13</xdr:col>
      <xdr:colOff>343957</xdr:colOff>
      <xdr:row>4</xdr:row>
      <xdr:rowOff>198467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BDBB6624-8296-4AA9-83A1-A3178E3D90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3916235" y="1001182"/>
          <a:ext cx="1392555" cy="2979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152400</xdr:colOff>
      <xdr:row>4</xdr:row>
      <xdr:rowOff>123825</xdr:rowOff>
    </xdr:from>
    <xdr:to>
      <xdr:col>14</xdr:col>
      <xdr:colOff>364712</xdr:colOff>
      <xdr:row>13</xdr:row>
      <xdr:rowOff>93526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24850" y="876300"/>
          <a:ext cx="4784312" cy="1566091"/>
        </a:xfrm>
        <a:prstGeom prst="rect">
          <a:avLst/>
        </a:prstGeom>
      </xdr:spPr>
    </xdr:pic>
    <xdr:clientData/>
  </xdr:twoCellAnchor>
  <xdr:twoCellAnchor editAs="oneCell">
    <xdr:from>
      <xdr:col>5</xdr:col>
      <xdr:colOff>609600</xdr:colOff>
      <xdr:row>2</xdr:row>
      <xdr:rowOff>0</xdr:rowOff>
    </xdr:from>
    <xdr:to>
      <xdr:col>7</xdr:col>
      <xdr:colOff>510540</xdr:colOff>
      <xdr:row>3</xdr:row>
      <xdr:rowOff>173265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B59F3F59-7AA3-482A-8FF6-384AE5FF6B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19850" y="504825"/>
          <a:ext cx="1400175" cy="39043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89648</xdr:colOff>
      <xdr:row>2</xdr:row>
      <xdr:rowOff>156879</xdr:rowOff>
    </xdr:from>
    <xdr:to>
      <xdr:col>11</xdr:col>
      <xdr:colOff>1143000</xdr:colOff>
      <xdr:row>5</xdr:row>
      <xdr:rowOff>145676</xdr:rowOff>
    </xdr:to>
    <xdr:sp macro="" textlink="">
      <xdr:nvSpPr>
        <xdr:cNvPr id="8" name="Seta para a Esquerda 1">
          <a:extLst>
            <a:ext uri="{FF2B5EF4-FFF2-40B4-BE49-F238E27FC236}">
              <a16:creationId xmlns:a16="http://schemas.microsoft.com/office/drawing/2014/main" id="{0076FFF8-C783-4427-9630-53C1BDCD5B20}"/>
            </a:ext>
          </a:extLst>
        </xdr:cNvPr>
        <xdr:cNvSpPr/>
      </xdr:nvSpPr>
      <xdr:spPr>
        <a:xfrm>
          <a:off x="16259736" y="806820"/>
          <a:ext cx="1053352" cy="963709"/>
        </a:xfrm>
        <a:prstGeom prst="leftArrow">
          <a:avLst>
            <a:gd name="adj1" fmla="val 32038"/>
            <a:gd name="adj2" fmla="val 1821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t-BR" sz="1100"/>
            <a:t>Atenção BDI</a:t>
          </a:r>
        </a:p>
      </xdr:txBody>
    </xdr:sp>
    <xdr:clientData/>
  </xdr:twoCellAnchor>
  <xdr:twoCellAnchor editAs="oneCell">
    <xdr:from>
      <xdr:col>7</xdr:col>
      <xdr:colOff>66675</xdr:colOff>
      <xdr:row>7</xdr:row>
      <xdr:rowOff>266700</xdr:rowOff>
    </xdr:from>
    <xdr:to>
      <xdr:col>8</xdr:col>
      <xdr:colOff>796350</xdr:colOff>
      <xdr:row>9</xdr:row>
      <xdr:rowOff>123825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7916ED1-D286-4081-81B2-A1DCF82218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01350" y="2657475"/>
          <a:ext cx="1691700" cy="485775"/>
        </a:xfrm>
        <a:prstGeom prst="rect">
          <a:avLst/>
        </a:prstGeom>
      </xdr:spPr>
    </xdr:pic>
    <xdr:clientData/>
  </xdr:twoCellAnchor>
  <xdr:twoCellAnchor>
    <xdr:from>
      <xdr:col>8</xdr:col>
      <xdr:colOff>950595</xdr:colOff>
      <xdr:row>8</xdr:row>
      <xdr:rowOff>9525</xdr:rowOff>
    </xdr:from>
    <xdr:to>
      <xdr:col>10</xdr:col>
      <xdr:colOff>229790</xdr:colOff>
      <xdr:row>9</xdr:row>
      <xdr:rowOff>62698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C307A85-43A6-4975-AC3C-ED18FA9298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2647295" y="2714625"/>
          <a:ext cx="1717595" cy="3674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88</xdr:row>
      <xdr:rowOff>19050</xdr:rowOff>
    </xdr:from>
    <xdr:to>
      <xdr:col>24</xdr:col>
      <xdr:colOff>0</xdr:colOff>
      <xdr:row>89</xdr:row>
      <xdr:rowOff>0</xdr:rowOff>
    </xdr:to>
    <xdr:sp macro="" textlink="">
      <xdr:nvSpPr>
        <xdr:cNvPr id="2" name="Seta: Curva para Cima 1">
          <a:extLst>
            <a:ext uri="{FF2B5EF4-FFF2-40B4-BE49-F238E27FC236}">
              <a16:creationId xmlns:a16="http://schemas.microsoft.com/office/drawing/2014/main" id="{D600CB05-6D9F-4DD3-81AC-391ED4B0036D}"/>
            </a:ext>
          </a:extLst>
        </xdr:cNvPr>
        <xdr:cNvSpPr/>
      </xdr:nvSpPr>
      <xdr:spPr>
        <a:xfrm>
          <a:off x="27689175" y="20297775"/>
          <a:ext cx="0" cy="209550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chemeClr val="tx1"/>
            </a:solidFill>
          </a:endParaRPr>
        </a:p>
      </xdr:txBody>
    </xdr:sp>
    <xdr:clientData/>
  </xdr:twoCellAnchor>
  <xdr:twoCellAnchor>
    <xdr:from>
      <xdr:col>24</xdr:col>
      <xdr:colOff>0</xdr:colOff>
      <xdr:row>84</xdr:row>
      <xdr:rowOff>123824</xdr:rowOff>
    </xdr:from>
    <xdr:to>
      <xdr:col>24</xdr:col>
      <xdr:colOff>0</xdr:colOff>
      <xdr:row>89</xdr:row>
      <xdr:rowOff>219074</xdr:rowOff>
    </xdr:to>
    <xdr:sp macro="" textlink="">
      <xdr:nvSpPr>
        <xdr:cNvPr id="3" name="Texto Explicativo: Seta para a Esquerda 2">
          <a:extLst>
            <a:ext uri="{FF2B5EF4-FFF2-40B4-BE49-F238E27FC236}">
              <a16:creationId xmlns:a16="http://schemas.microsoft.com/office/drawing/2014/main" id="{C850D614-0187-4CFE-9850-BAEAB9317D01}"/>
            </a:ext>
          </a:extLst>
        </xdr:cNvPr>
        <xdr:cNvSpPr/>
      </xdr:nvSpPr>
      <xdr:spPr>
        <a:xfrm>
          <a:off x="27689175" y="19488149"/>
          <a:ext cx="0" cy="1238250"/>
        </a:xfrm>
        <a:prstGeom prst="leftArrowCallou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t-BR" sz="1100"/>
            <a:t>valor digitado</a:t>
          </a:r>
          <a:r>
            <a:rPr lang="pt-BR" sz="1100" baseline="0"/>
            <a:t> para distribuir erro de aproximação calculado na célula S76</a:t>
          </a:r>
          <a:endParaRPr lang="pt-BR" sz="1100"/>
        </a:p>
      </xdr:txBody>
    </xdr:sp>
    <xdr:clientData/>
  </xdr:twoCellAnchor>
  <xdr:twoCellAnchor>
    <xdr:from>
      <xdr:col>27</xdr:col>
      <xdr:colOff>66674</xdr:colOff>
      <xdr:row>11</xdr:row>
      <xdr:rowOff>66676</xdr:rowOff>
    </xdr:from>
    <xdr:to>
      <xdr:col>29</xdr:col>
      <xdr:colOff>400050</xdr:colOff>
      <xdr:row>15</xdr:row>
      <xdr:rowOff>171450</xdr:rowOff>
    </xdr:to>
    <xdr:sp macro="" textlink="">
      <xdr:nvSpPr>
        <xdr:cNvPr id="4" name="Texto Explicativo: Seta para a Esquerda 3">
          <a:extLst>
            <a:ext uri="{FF2B5EF4-FFF2-40B4-BE49-F238E27FC236}">
              <a16:creationId xmlns:a16="http://schemas.microsoft.com/office/drawing/2014/main" id="{CA6D4F04-3B1E-44AE-91DC-DCC62DFC4FA5}"/>
            </a:ext>
          </a:extLst>
        </xdr:cNvPr>
        <xdr:cNvSpPr/>
      </xdr:nvSpPr>
      <xdr:spPr>
        <a:xfrm>
          <a:off x="29175074" y="2867026"/>
          <a:ext cx="1704976" cy="1019174"/>
        </a:xfrm>
        <a:prstGeom prst="leftArrowCallou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t-BR" sz="1100"/>
            <a:t>contagem da amostragem</a:t>
          </a:r>
          <a:r>
            <a:rPr lang="pt-BR" sz="1100" baseline="0"/>
            <a:t> para distribuir o erro de aproximação</a:t>
          </a:r>
          <a:endParaRPr lang="pt-BR" sz="1100"/>
        </a:p>
      </xdr:txBody>
    </xdr:sp>
    <xdr:clientData/>
  </xdr:twoCellAnchor>
  <xdr:twoCellAnchor editAs="oneCell">
    <xdr:from>
      <xdr:col>11</xdr:col>
      <xdr:colOff>11206</xdr:colOff>
      <xdr:row>3</xdr:row>
      <xdr:rowOff>78441</xdr:rowOff>
    </xdr:from>
    <xdr:to>
      <xdr:col>31</xdr:col>
      <xdr:colOff>14567</xdr:colOff>
      <xdr:row>4</xdr:row>
      <xdr:rowOff>219814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F700F6F-0B67-4A36-9823-4B92A1D79F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66912" y="1064559"/>
          <a:ext cx="1276349" cy="365490"/>
        </a:xfrm>
        <a:prstGeom prst="rect">
          <a:avLst/>
        </a:prstGeom>
      </xdr:spPr>
    </xdr:pic>
    <xdr:clientData/>
  </xdr:twoCellAnchor>
  <xdr:twoCellAnchor>
    <xdr:from>
      <xdr:col>12</xdr:col>
      <xdr:colOff>319143</xdr:colOff>
      <xdr:row>3</xdr:row>
      <xdr:rowOff>116540</xdr:rowOff>
    </xdr:from>
    <xdr:to>
      <xdr:col>13</xdr:col>
      <xdr:colOff>602315</xdr:colOff>
      <xdr:row>4</xdr:row>
      <xdr:rowOff>190375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FC5C39C1-CB75-477C-A813-FC3DB2A65A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4584231" y="1102658"/>
          <a:ext cx="1392555" cy="2979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466725</xdr:colOff>
      <xdr:row>2</xdr:row>
      <xdr:rowOff>219075</xdr:rowOff>
    </xdr:from>
    <xdr:to>
      <xdr:col>15</xdr:col>
      <xdr:colOff>450437</xdr:colOff>
      <xdr:row>16</xdr:row>
      <xdr:rowOff>114481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7CC8CB4-8F13-4339-BDCE-539F93AD46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82075" y="723900"/>
          <a:ext cx="5317712" cy="2895781"/>
        </a:xfrm>
        <a:prstGeom prst="rect">
          <a:avLst/>
        </a:prstGeom>
      </xdr:spPr>
    </xdr:pic>
    <xdr:clientData/>
  </xdr:twoCellAnchor>
  <xdr:twoCellAnchor editAs="oneCell">
    <xdr:from>
      <xdr:col>5</xdr:col>
      <xdr:colOff>695325</xdr:colOff>
      <xdr:row>2</xdr:row>
      <xdr:rowOff>9525</xdr:rowOff>
    </xdr:from>
    <xdr:to>
      <xdr:col>7</xdr:col>
      <xdr:colOff>586740</xdr:colOff>
      <xdr:row>3</xdr:row>
      <xdr:rowOff>175170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B7697BCC-84BA-416F-9640-398AB3C9B7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05575" y="514350"/>
          <a:ext cx="1400175" cy="39043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169688</xdr:colOff>
      <xdr:row>23</xdr:row>
      <xdr:rowOff>387654</xdr:rowOff>
    </xdr:from>
    <xdr:to>
      <xdr:col>15</xdr:col>
      <xdr:colOff>122465</xdr:colOff>
      <xdr:row>29</xdr:row>
      <xdr:rowOff>179293</xdr:rowOff>
    </xdr:to>
    <xdr:sp macro="" textlink="">
      <xdr:nvSpPr>
        <xdr:cNvPr id="2" name="Seta para a Esquerda 1">
          <a:extLst>
            <a:ext uri="{FF2B5EF4-FFF2-40B4-BE49-F238E27FC236}">
              <a16:creationId xmlns:a16="http://schemas.microsoft.com/office/drawing/2014/main" id="{97C12EAB-AD70-49E3-ACD6-B14D2E311898}"/>
            </a:ext>
          </a:extLst>
        </xdr:cNvPr>
        <xdr:cNvSpPr/>
      </xdr:nvSpPr>
      <xdr:spPr>
        <a:xfrm>
          <a:off x="12462541" y="8287801"/>
          <a:ext cx="1319895" cy="2413816"/>
        </a:xfrm>
        <a:prstGeom prst="leftArrow">
          <a:avLst>
            <a:gd name="adj1" fmla="val 20410"/>
            <a:gd name="adj2" fmla="val 1821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t-BR" sz="1100"/>
            <a:t>Campo Grande = 0 km</a:t>
          </a:r>
        </a:p>
      </xdr:txBody>
    </xdr:sp>
    <xdr:clientData/>
  </xdr:twoCellAnchor>
  <xdr:twoCellAnchor editAs="oneCell">
    <xdr:from>
      <xdr:col>8</xdr:col>
      <xdr:colOff>953433</xdr:colOff>
      <xdr:row>0</xdr:row>
      <xdr:rowOff>267075</xdr:rowOff>
    </xdr:from>
    <xdr:to>
      <xdr:col>11</xdr:col>
      <xdr:colOff>211879</xdr:colOff>
      <xdr:row>2</xdr:row>
      <xdr:rowOff>135375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F355AE15-1BDE-4951-87E2-27F1C07E53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05308" y="267075"/>
          <a:ext cx="1740221" cy="503317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762000</xdr:colOff>
      <xdr:row>6</xdr:row>
      <xdr:rowOff>28575</xdr:rowOff>
    </xdr:from>
    <xdr:to>
      <xdr:col>8</xdr:col>
      <xdr:colOff>1071465</xdr:colOff>
      <xdr:row>7</xdr:row>
      <xdr:rowOff>152399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87150" y="1743075"/>
          <a:ext cx="1585815" cy="409574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95249</xdr:colOff>
      <xdr:row>0</xdr:row>
      <xdr:rowOff>123826</xdr:rowOff>
    </xdr:from>
    <xdr:to>
      <xdr:col>18</xdr:col>
      <xdr:colOff>1695450</xdr:colOff>
      <xdr:row>2</xdr:row>
      <xdr:rowOff>104775</xdr:rowOff>
    </xdr:to>
    <xdr:sp macro="" textlink="">
      <xdr:nvSpPr>
        <xdr:cNvPr id="4" name="Texto explicativo em seta para a esquerda e para a direita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/>
      </xdr:nvSpPr>
      <xdr:spPr>
        <a:xfrm>
          <a:off x="16230599" y="123826"/>
          <a:ext cx="3657601" cy="1066799"/>
        </a:xfrm>
        <a:prstGeom prst="leftRightArrowCallout">
          <a:avLst>
            <a:gd name="adj1" fmla="val 25000"/>
            <a:gd name="adj2" fmla="val 25000"/>
            <a:gd name="adj3" fmla="val 25000"/>
            <a:gd name="adj4" fmla="val 7312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pt-BR" sz="1100"/>
            <a:t>Barraco proporcional a dimensão da</a:t>
          </a:r>
          <a:r>
            <a:rPr lang="pt-BR" sz="1100" baseline="0"/>
            <a:t> obra:</a:t>
          </a:r>
        </a:p>
        <a:p>
          <a:pPr algn="ctr"/>
          <a:r>
            <a:rPr lang="pt-BR" sz="1100" baseline="0"/>
            <a:t>L </a:t>
          </a:r>
          <a:r>
            <a:rPr lang="pt-BR" sz="1100" baseline="0">
              <a:latin typeface="Calibri" panose="020F0502020204030204" pitchFamily="34" charset="0"/>
              <a:cs typeface="Calibri" panose="020F0502020204030204" pitchFamily="34" charset="0"/>
            </a:rPr>
            <a:t>≤ </a:t>
          </a:r>
          <a:r>
            <a:rPr lang="pt-BR" sz="1100" baseline="0"/>
            <a:t>5 km = 1 un</a:t>
          </a:r>
        </a:p>
        <a:p>
          <a:pPr algn="ctr"/>
          <a:r>
            <a:rPr lang="pt-BR" sz="1100" baseline="0"/>
            <a:t>5 km &lt; L </a:t>
          </a:r>
          <a:r>
            <a:rPr lang="pt-BR" sz="1100" baseline="0">
              <a:latin typeface="Calibri" panose="020F0502020204030204" pitchFamily="34" charset="0"/>
              <a:cs typeface="Calibri" panose="020F0502020204030204" pitchFamily="34" charset="0"/>
            </a:rPr>
            <a:t>≤ </a:t>
          </a:r>
          <a:r>
            <a:rPr lang="pt-BR" sz="1100" baseline="0"/>
            <a:t>10 km = 2un</a:t>
          </a:r>
        </a:p>
        <a:p>
          <a:pPr algn="ctr"/>
          <a:r>
            <a:rPr lang="pt-BR" sz="1100"/>
            <a:t>L &gt; 10 km = 3 un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785905</xdr:colOff>
      <xdr:row>316</xdr:row>
      <xdr:rowOff>66674</xdr:rowOff>
    </xdr:from>
    <xdr:to>
      <xdr:col>3</xdr:col>
      <xdr:colOff>1422420</xdr:colOff>
      <xdr:row>316</xdr:row>
      <xdr:rowOff>533400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502405A4-5A43-466C-9D97-6F62903878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976905" y="6924674"/>
          <a:ext cx="636515" cy="466726"/>
        </a:xfrm>
        <a:prstGeom prst="rect">
          <a:avLst/>
        </a:prstGeom>
      </xdr:spPr>
    </xdr:pic>
    <xdr:clientData/>
  </xdr:twoCellAnchor>
  <xdr:twoCellAnchor>
    <xdr:from>
      <xdr:col>3</xdr:col>
      <xdr:colOff>530181</xdr:colOff>
      <xdr:row>384</xdr:row>
      <xdr:rowOff>107576</xdr:rowOff>
    </xdr:from>
    <xdr:to>
      <xdr:col>3</xdr:col>
      <xdr:colOff>1632900</xdr:colOff>
      <xdr:row>384</xdr:row>
      <xdr:rowOff>437265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8D6BB736-217B-439B-B2E4-193F5A01EB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3381" y="62286776"/>
          <a:ext cx="159744" cy="53464"/>
        </a:xfrm>
        <a:prstGeom prst="rect">
          <a:avLst/>
        </a:prstGeom>
      </xdr:spPr>
    </xdr:pic>
    <xdr:clientData/>
  </xdr:twoCellAnchor>
  <xdr:twoCellAnchor>
    <xdr:from>
      <xdr:col>3</xdr:col>
      <xdr:colOff>1629883</xdr:colOff>
      <xdr:row>259</xdr:row>
      <xdr:rowOff>61281</xdr:rowOff>
    </xdr:from>
    <xdr:to>
      <xdr:col>3</xdr:col>
      <xdr:colOff>1936268</xdr:colOff>
      <xdr:row>260</xdr:row>
      <xdr:rowOff>561975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BDE381E9-9138-4FED-82B8-14A9C5D5F7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056978" y="113288221"/>
          <a:ext cx="745623" cy="306385"/>
        </a:xfrm>
        <a:prstGeom prst="rect">
          <a:avLst/>
        </a:prstGeom>
      </xdr:spPr>
    </xdr:pic>
    <xdr:clientData/>
  </xdr:twoCellAnchor>
  <xdr:twoCellAnchor>
    <xdr:from>
      <xdr:col>3</xdr:col>
      <xdr:colOff>1645011</xdr:colOff>
      <xdr:row>261</xdr:row>
      <xdr:rowOff>81972</xdr:rowOff>
    </xdr:from>
    <xdr:to>
      <xdr:col>3</xdr:col>
      <xdr:colOff>1929491</xdr:colOff>
      <xdr:row>262</xdr:row>
      <xdr:rowOff>592533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F2503791-A8FB-49C2-ADF5-780132242D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056220" y="114195656"/>
          <a:ext cx="755489" cy="284480"/>
        </a:xfrm>
        <a:prstGeom prst="rect">
          <a:avLst/>
        </a:prstGeom>
      </xdr:spPr>
    </xdr:pic>
    <xdr:clientData/>
  </xdr:twoCellAnchor>
  <xdr:twoCellAnchor>
    <xdr:from>
      <xdr:col>3</xdr:col>
      <xdr:colOff>1419617</xdr:colOff>
      <xdr:row>5</xdr:row>
      <xdr:rowOff>233837</xdr:rowOff>
    </xdr:from>
    <xdr:to>
      <xdr:col>3</xdr:col>
      <xdr:colOff>1933873</xdr:colOff>
      <xdr:row>6</xdr:row>
      <xdr:rowOff>521288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id="{0B3A78F4-5FDE-450F-99E1-CFE723E13E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6331" y="2642301"/>
          <a:ext cx="514256" cy="532380"/>
        </a:xfrm>
        <a:prstGeom prst="rect">
          <a:avLst/>
        </a:prstGeom>
      </xdr:spPr>
    </xdr:pic>
    <xdr:clientData/>
  </xdr:twoCellAnchor>
  <xdr:twoCellAnchor>
    <xdr:from>
      <xdr:col>3</xdr:col>
      <xdr:colOff>1295028</xdr:colOff>
      <xdr:row>1</xdr:row>
      <xdr:rowOff>199671</xdr:rowOff>
    </xdr:from>
    <xdr:to>
      <xdr:col>3</xdr:col>
      <xdr:colOff>2058463</xdr:colOff>
      <xdr:row>2</xdr:row>
      <xdr:rowOff>496647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id="{78BB5ED1-6AA2-4E92-AA28-4CF01D9D11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41742" y="866421"/>
          <a:ext cx="763435" cy="541905"/>
        </a:xfrm>
        <a:prstGeom prst="rect">
          <a:avLst/>
        </a:prstGeom>
      </xdr:spPr>
    </xdr:pic>
    <xdr:clientData/>
  </xdr:twoCellAnchor>
  <xdr:twoCellAnchor>
    <xdr:from>
      <xdr:col>3</xdr:col>
      <xdr:colOff>1300845</xdr:colOff>
      <xdr:row>3</xdr:row>
      <xdr:rowOff>180621</xdr:rowOff>
    </xdr:from>
    <xdr:to>
      <xdr:col>3</xdr:col>
      <xdr:colOff>2052646</xdr:colOff>
      <xdr:row>4</xdr:row>
      <xdr:rowOff>498552</xdr:rowOff>
    </xdr:to>
    <xdr:pic>
      <xdr:nvPicPr>
        <xdr:cNvPr id="10" name="Imagem 9">
          <a:extLst>
            <a:ext uri="{FF2B5EF4-FFF2-40B4-BE49-F238E27FC236}">
              <a16:creationId xmlns:a16="http://schemas.microsoft.com/office/drawing/2014/main" id="{7793D7ED-800A-43BB-A440-CCF911847C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1845" y="1818921"/>
          <a:ext cx="751801" cy="556056"/>
        </a:xfrm>
        <a:prstGeom prst="rect">
          <a:avLst/>
        </a:prstGeom>
      </xdr:spPr>
    </xdr:pic>
    <xdr:clientData/>
  </xdr:twoCellAnchor>
  <xdr:twoCellAnchor>
    <xdr:from>
      <xdr:col>3</xdr:col>
      <xdr:colOff>705259</xdr:colOff>
      <xdr:row>19</xdr:row>
      <xdr:rowOff>0</xdr:rowOff>
    </xdr:from>
    <xdr:to>
      <xdr:col>3</xdr:col>
      <xdr:colOff>1478015</xdr:colOff>
      <xdr:row>19</xdr:row>
      <xdr:rowOff>0</xdr:rowOff>
    </xdr:to>
    <xdr:pic>
      <xdr:nvPicPr>
        <xdr:cNvPr id="11" name="Imagem 10">
          <a:extLst>
            <a:ext uri="{FF2B5EF4-FFF2-40B4-BE49-F238E27FC236}">
              <a16:creationId xmlns:a16="http://schemas.microsoft.com/office/drawing/2014/main" id="{0A8F9F99-ED36-461A-9A53-A99A0ECE26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409" y="3076575"/>
          <a:ext cx="1231" cy="0"/>
        </a:xfrm>
        <a:prstGeom prst="rect">
          <a:avLst/>
        </a:prstGeom>
      </xdr:spPr>
    </xdr:pic>
    <xdr:clientData/>
  </xdr:twoCellAnchor>
  <xdr:twoCellAnchor>
    <xdr:from>
      <xdr:col>3</xdr:col>
      <xdr:colOff>1301623</xdr:colOff>
      <xdr:row>17</xdr:row>
      <xdr:rowOff>220794</xdr:rowOff>
    </xdr:from>
    <xdr:to>
      <xdr:col>3</xdr:col>
      <xdr:colOff>2051868</xdr:colOff>
      <xdr:row>18</xdr:row>
      <xdr:rowOff>534915</xdr:rowOff>
    </xdr:to>
    <xdr:pic>
      <xdr:nvPicPr>
        <xdr:cNvPr id="12" name="Imagem 11">
          <a:extLst>
            <a:ext uri="{FF2B5EF4-FFF2-40B4-BE49-F238E27FC236}">
              <a16:creationId xmlns:a16="http://schemas.microsoft.com/office/drawing/2014/main" id="{B416CAF5-8FA0-442D-99E4-58B04B416B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48337" y="7854401"/>
          <a:ext cx="750245" cy="559050"/>
        </a:xfrm>
        <a:prstGeom prst="rect">
          <a:avLst/>
        </a:prstGeom>
      </xdr:spPr>
    </xdr:pic>
    <xdr:clientData/>
  </xdr:twoCellAnchor>
  <xdr:twoCellAnchor>
    <xdr:from>
      <xdr:col>3</xdr:col>
      <xdr:colOff>1290265</xdr:colOff>
      <xdr:row>19</xdr:row>
      <xdr:rowOff>225762</xdr:rowOff>
    </xdr:from>
    <xdr:to>
      <xdr:col>3</xdr:col>
      <xdr:colOff>2063225</xdr:colOff>
      <xdr:row>20</xdr:row>
      <xdr:rowOff>526548</xdr:rowOff>
    </xdr:to>
    <xdr:pic>
      <xdr:nvPicPr>
        <xdr:cNvPr id="13" name="Imagem 12">
          <a:extLst>
            <a:ext uri="{FF2B5EF4-FFF2-40B4-BE49-F238E27FC236}">
              <a16:creationId xmlns:a16="http://schemas.microsoft.com/office/drawing/2014/main" id="{1A10F0E8-2708-48F9-8D84-B173A959B7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36979" y="8730226"/>
          <a:ext cx="772960" cy="545715"/>
        </a:xfrm>
        <a:prstGeom prst="rect">
          <a:avLst/>
        </a:prstGeom>
      </xdr:spPr>
    </xdr:pic>
    <xdr:clientData/>
  </xdr:twoCellAnchor>
  <xdr:twoCellAnchor>
    <xdr:from>
      <xdr:col>3</xdr:col>
      <xdr:colOff>1301793</xdr:colOff>
      <xdr:row>21</xdr:row>
      <xdr:rowOff>207103</xdr:rowOff>
    </xdr:from>
    <xdr:to>
      <xdr:col>3</xdr:col>
      <xdr:colOff>2078912</xdr:colOff>
      <xdr:row>22</xdr:row>
      <xdr:rowOff>507889</xdr:rowOff>
    </xdr:to>
    <xdr:pic>
      <xdr:nvPicPr>
        <xdr:cNvPr id="14" name="Imagem 13">
          <a:extLst>
            <a:ext uri="{FF2B5EF4-FFF2-40B4-BE49-F238E27FC236}">
              <a16:creationId xmlns:a16="http://schemas.microsoft.com/office/drawing/2014/main" id="{3E0F07E5-45D7-48FE-997C-D226932196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48507" y="9582424"/>
          <a:ext cx="777119" cy="545715"/>
        </a:xfrm>
        <a:prstGeom prst="rect">
          <a:avLst/>
        </a:prstGeom>
      </xdr:spPr>
    </xdr:pic>
    <xdr:clientData/>
  </xdr:twoCellAnchor>
  <xdr:twoCellAnchor>
    <xdr:from>
      <xdr:col>3</xdr:col>
      <xdr:colOff>1297783</xdr:colOff>
      <xdr:row>7</xdr:row>
      <xdr:rowOff>223278</xdr:rowOff>
    </xdr:from>
    <xdr:to>
      <xdr:col>3</xdr:col>
      <xdr:colOff>2055708</xdr:colOff>
      <xdr:row>8</xdr:row>
      <xdr:rowOff>527874</xdr:rowOff>
    </xdr:to>
    <xdr:pic>
      <xdr:nvPicPr>
        <xdr:cNvPr id="15" name="Imagem 14">
          <a:extLst>
            <a:ext uri="{FF2B5EF4-FFF2-40B4-BE49-F238E27FC236}">
              <a16:creationId xmlns:a16="http://schemas.microsoft.com/office/drawing/2014/main" id="{5255F807-72DA-442B-9422-9440007C43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44497" y="3502599"/>
          <a:ext cx="757925" cy="549525"/>
        </a:xfrm>
        <a:prstGeom prst="rect">
          <a:avLst/>
        </a:prstGeom>
      </xdr:spPr>
    </xdr:pic>
    <xdr:clientData/>
  </xdr:twoCellAnchor>
  <xdr:twoCellAnchor>
    <xdr:from>
      <xdr:col>3</xdr:col>
      <xdr:colOff>1288053</xdr:colOff>
      <xdr:row>9</xdr:row>
      <xdr:rowOff>223277</xdr:rowOff>
    </xdr:from>
    <xdr:to>
      <xdr:col>3</xdr:col>
      <xdr:colOff>2065437</xdr:colOff>
      <xdr:row>10</xdr:row>
      <xdr:rowOff>531684</xdr:rowOff>
    </xdr:to>
    <xdr:pic>
      <xdr:nvPicPr>
        <xdr:cNvPr id="16" name="Imagem 15">
          <a:extLst>
            <a:ext uri="{FF2B5EF4-FFF2-40B4-BE49-F238E27FC236}">
              <a16:creationId xmlns:a16="http://schemas.microsoft.com/office/drawing/2014/main" id="{5B690628-AD88-4FFB-BDEC-B1DB9BD040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34767" y="4373456"/>
          <a:ext cx="777384" cy="553335"/>
        </a:xfrm>
        <a:prstGeom prst="rect">
          <a:avLst/>
        </a:prstGeom>
      </xdr:spPr>
    </xdr:pic>
    <xdr:clientData/>
  </xdr:twoCellAnchor>
  <xdr:twoCellAnchor>
    <xdr:from>
      <xdr:col>3</xdr:col>
      <xdr:colOff>1289313</xdr:colOff>
      <xdr:row>11</xdr:row>
      <xdr:rowOff>214910</xdr:rowOff>
    </xdr:from>
    <xdr:to>
      <xdr:col>3</xdr:col>
      <xdr:colOff>2064178</xdr:colOff>
      <xdr:row>12</xdr:row>
      <xdr:rowOff>504267</xdr:rowOff>
    </xdr:to>
    <xdr:pic>
      <xdr:nvPicPr>
        <xdr:cNvPr id="17" name="Imagem 16">
          <a:extLst>
            <a:ext uri="{FF2B5EF4-FFF2-40B4-BE49-F238E27FC236}">
              <a16:creationId xmlns:a16="http://schemas.microsoft.com/office/drawing/2014/main" id="{2C77E080-2A09-4E06-B774-C7498CEF94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36027" y="5235946"/>
          <a:ext cx="774865" cy="534285"/>
        </a:xfrm>
        <a:prstGeom prst="rect">
          <a:avLst/>
        </a:prstGeom>
      </xdr:spPr>
    </xdr:pic>
    <xdr:clientData/>
  </xdr:twoCellAnchor>
  <xdr:twoCellAnchor>
    <xdr:from>
      <xdr:col>3</xdr:col>
      <xdr:colOff>1300363</xdr:colOff>
      <xdr:row>13</xdr:row>
      <xdr:rowOff>209195</xdr:rowOff>
    </xdr:from>
    <xdr:to>
      <xdr:col>3</xdr:col>
      <xdr:colOff>2053127</xdr:colOff>
      <xdr:row>14</xdr:row>
      <xdr:rowOff>506172</xdr:rowOff>
    </xdr:to>
    <xdr:pic>
      <xdr:nvPicPr>
        <xdr:cNvPr id="18" name="Imagem 17">
          <a:extLst>
            <a:ext uri="{FF2B5EF4-FFF2-40B4-BE49-F238E27FC236}">
              <a16:creationId xmlns:a16="http://schemas.microsoft.com/office/drawing/2014/main" id="{327FDD04-F7D2-407D-94AE-69BD4F13E2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47077" y="6101088"/>
          <a:ext cx="752764" cy="541905"/>
        </a:xfrm>
        <a:prstGeom prst="rect">
          <a:avLst/>
        </a:prstGeom>
      </xdr:spPr>
    </xdr:pic>
    <xdr:clientData/>
  </xdr:twoCellAnchor>
  <xdr:twoCellAnchor>
    <xdr:from>
      <xdr:col>3</xdr:col>
      <xdr:colOff>705935</xdr:colOff>
      <xdr:row>27</xdr:row>
      <xdr:rowOff>0</xdr:rowOff>
    </xdr:from>
    <xdr:to>
      <xdr:col>3</xdr:col>
      <xdr:colOff>1477339</xdr:colOff>
      <xdr:row>27</xdr:row>
      <xdr:rowOff>0</xdr:rowOff>
    </xdr:to>
    <xdr:pic>
      <xdr:nvPicPr>
        <xdr:cNvPr id="19" name="Imagem 18">
          <a:extLst>
            <a:ext uri="{FF2B5EF4-FFF2-40B4-BE49-F238E27FC236}">
              <a16:creationId xmlns:a16="http://schemas.microsoft.com/office/drawing/2014/main" id="{2B7DC6D0-FA9E-4E7A-9115-2269A757EE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0085" y="4371975"/>
          <a:ext cx="0" cy="0"/>
        </a:xfrm>
        <a:prstGeom prst="rect">
          <a:avLst/>
        </a:prstGeom>
      </xdr:spPr>
    </xdr:pic>
    <xdr:clientData/>
  </xdr:twoCellAnchor>
  <xdr:twoCellAnchor>
    <xdr:from>
      <xdr:col>3</xdr:col>
      <xdr:colOff>1303698</xdr:colOff>
      <xdr:row>25</xdr:row>
      <xdr:rowOff>210912</xdr:rowOff>
    </xdr:from>
    <xdr:to>
      <xdr:col>3</xdr:col>
      <xdr:colOff>2077007</xdr:colOff>
      <xdr:row>26</xdr:row>
      <xdr:rowOff>507889</xdr:rowOff>
    </xdr:to>
    <xdr:pic>
      <xdr:nvPicPr>
        <xdr:cNvPr id="20" name="Imagem 19">
          <a:extLst>
            <a:ext uri="{FF2B5EF4-FFF2-40B4-BE49-F238E27FC236}">
              <a16:creationId xmlns:a16="http://schemas.microsoft.com/office/drawing/2014/main" id="{5D3EB95F-8678-4175-A5DE-5F8C6078E0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0412" y="11327948"/>
          <a:ext cx="773309" cy="541905"/>
        </a:xfrm>
        <a:prstGeom prst="rect">
          <a:avLst/>
        </a:prstGeom>
      </xdr:spPr>
    </xdr:pic>
    <xdr:clientData/>
  </xdr:twoCellAnchor>
  <xdr:twoCellAnchor>
    <xdr:from>
      <xdr:col>3</xdr:col>
      <xdr:colOff>1303842</xdr:colOff>
      <xdr:row>27</xdr:row>
      <xdr:rowOff>204702</xdr:rowOff>
    </xdr:from>
    <xdr:to>
      <xdr:col>3</xdr:col>
      <xdr:colOff>2076862</xdr:colOff>
      <xdr:row>28</xdr:row>
      <xdr:rowOff>513109</xdr:rowOff>
    </xdr:to>
    <xdr:pic>
      <xdr:nvPicPr>
        <xdr:cNvPr id="21" name="Imagem 20">
          <a:extLst>
            <a:ext uri="{FF2B5EF4-FFF2-40B4-BE49-F238E27FC236}">
              <a16:creationId xmlns:a16="http://schemas.microsoft.com/office/drawing/2014/main" id="{FCF00299-F179-4A7C-84F1-99A01DC549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0556" y="12192595"/>
          <a:ext cx="773020" cy="553335"/>
        </a:xfrm>
        <a:prstGeom prst="rect">
          <a:avLst/>
        </a:prstGeom>
      </xdr:spPr>
    </xdr:pic>
    <xdr:clientData/>
  </xdr:twoCellAnchor>
  <xdr:twoCellAnchor>
    <xdr:from>
      <xdr:col>3</xdr:col>
      <xdr:colOff>1308562</xdr:colOff>
      <xdr:row>29</xdr:row>
      <xdr:rowOff>222511</xdr:rowOff>
    </xdr:from>
    <xdr:to>
      <xdr:col>3</xdr:col>
      <xdr:colOff>2072142</xdr:colOff>
      <xdr:row>30</xdr:row>
      <xdr:rowOff>523297</xdr:rowOff>
    </xdr:to>
    <xdr:pic>
      <xdr:nvPicPr>
        <xdr:cNvPr id="22" name="Imagem 21">
          <a:extLst>
            <a:ext uri="{FF2B5EF4-FFF2-40B4-BE49-F238E27FC236}">
              <a16:creationId xmlns:a16="http://schemas.microsoft.com/office/drawing/2014/main" id="{77C536A6-81F8-4A08-9F93-2553894534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5276" y="13081261"/>
          <a:ext cx="763580" cy="545715"/>
        </a:xfrm>
        <a:prstGeom prst="rect">
          <a:avLst/>
        </a:prstGeom>
      </xdr:spPr>
    </xdr:pic>
    <xdr:clientData/>
  </xdr:twoCellAnchor>
  <xdr:twoCellAnchor>
    <xdr:from>
      <xdr:col>3</xdr:col>
      <xdr:colOff>1308605</xdr:colOff>
      <xdr:row>31</xdr:row>
      <xdr:rowOff>221269</xdr:rowOff>
    </xdr:from>
    <xdr:to>
      <xdr:col>3</xdr:col>
      <xdr:colOff>2072100</xdr:colOff>
      <xdr:row>32</xdr:row>
      <xdr:rowOff>529675</xdr:rowOff>
    </xdr:to>
    <xdr:pic>
      <xdr:nvPicPr>
        <xdr:cNvPr id="23" name="Imagem 22">
          <a:extLst>
            <a:ext uri="{FF2B5EF4-FFF2-40B4-BE49-F238E27FC236}">
              <a16:creationId xmlns:a16="http://schemas.microsoft.com/office/drawing/2014/main" id="{34BF9CAD-D6C3-4601-98D8-208A30224A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5319" y="13950876"/>
          <a:ext cx="763495" cy="553335"/>
        </a:xfrm>
        <a:prstGeom prst="rect">
          <a:avLst/>
        </a:prstGeom>
      </xdr:spPr>
    </xdr:pic>
    <xdr:clientData/>
  </xdr:twoCellAnchor>
  <xdr:twoCellAnchor>
    <xdr:from>
      <xdr:col>3</xdr:col>
      <xdr:colOff>1312445</xdr:colOff>
      <xdr:row>33</xdr:row>
      <xdr:rowOff>226240</xdr:rowOff>
    </xdr:from>
    <xdr:to>
      <xdr:col>3</xdr:col>
      <xdr:colOff>2058735</xdr:colOff>
      <xdr:row>34</xdr:row>
      <xdr:rowOff>523381</xdr:rowOff>
    </xdr:to>
    <xdr:pic>
      <xdr:nvPicPr>
        <xdr:cNvPr id="24" name="Imagem 23">
          <a:extLst>
            <a:ext uri="{FF2B5EF4-FFF2-40B4-BE49-F238E27FC236}">
              <a16:creationId xmlns:a16="http://schemas.microsoft.com/office/drawing/2014/main" id="{EEFCDC6C-AAF3-4D6E-A51C-3173F59AB3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9159" y="14826704"/>
          <a:ext cx="746290" cy="542070"/>
        </a:xfrm>
        <a:prstGeom prst="rect">
          <a:avLst/>
        </a:prstGeom>
      </xdr:spPr>
    </xdr:pic>
    <xdr:clientData/>
  </xdr:twoCellAnchor>
  <xdr:twoCellAnchor>
    <xdr:from>
      <xdr:col>3</xdr:col>
      <xdr:colOff>1304445</xdr:colOff>
      <xdr:row>35</xdr:row>
      <xdr:rowOff>214228</xdr:rowOff>
    </xdr:from>
    <xdr:to>
      <xdr:col>3</xdr:col>
      <xdr:colOff>2076259</xdr:colOff>
      <xdr:row>36</xdr:row>
      <xdr:rowOff>511204</xdr:rowOff>
    </xdr:to>
    <xdr:pic>
      <xdr:nvPicPr>
        <xdr:cNvPr id="25" name="Imagem 24">
          <a:extLst>
            <a:ext uri="{FF2B5EF4-FFF2-40B4-BE49-F238E27FC236}">
              <a16:creationId xmlns:a16="http://schemas.microsoft.com/office/drawing/2014/main" id="{A4D5503E-C158-4CDA-B211-F256B9B754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1159" y="15685549"/>
          <a:ext cx="771814" cy="541905"/>
        </a:xfrm>
        <a:prstGeom prst="rect">
          <a:avLst/>
        </a:prstGeom>
      </xdr:spPr>
    </xdr:pic>
    <xdr:clientData/>
  </xdr:twoCellAnchor>
  <xdr:twoCellAnchor>
    <xdr:from>
      <xdr:col>3</xdr:col>
      <xdr:colOff>1306201</xdr:colOff>
      <xdr:row>37</xdr:row>
      <xdr:rowOff>224415</xdr:rowOff>
    </xdr:from>
    <xdr:to>
      <xdr:col>3</xdr:col>
      <xdr:colOff>2074503</xdr:colOff>
      <xdr:row>38</xdr:row>
      <xdr:rowOff>518857</xdr:rowOff>
    </xdr:to>
    <xdr:pic>
      <xdr:nvPicPr>
        <xdr:cNvPr id="26" name="Imagem 25">
          <a:extLst>
            <a:ext uri="{FF2B5EF4-FFF2-40B4-BE49-F238E27FC236}">
              <a16:creationId xmlns:a16="http://schemas.microsoft.com/office/drawing/2014/main" id="{347E20AA-FFA7-4E06-8ACD-4FB895EB64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2915" y="16566594"/>
          <a:ext cx="768302" cy="539370"/>
        </a:xfrm>
        <a:prstGeom prst="rect">
          <a:avLst/>
        </a:prstGeom>
      </xdr:spPr>
    </xdr:pic>
    <xdr:clientData/>
  </xdr:twoCellAnchor>
  <xdr:twoCellAnchor>
    <xdr:from>
      <xdr:col>3</xdr:col>
      <xdr:colOff>1308328</xdr:colOff>
      <xdr:row>39</xdr:row>
      <xdr:rowOff>214227</xdr:rowOff>
    </xdr:from>
    <xdr:to>
      <xdr:col>3</xdr:col>
      <xdr:colOff>2072377</xdr:colOff>
      <xdr:row>40</xdr:row>
      <xdr:rowOff>511204</xdr:rowOff>
    </xdr:to>
    <xdr:pic>
      <xdr:nvPicPr>
        <xdr:cNvPr id="27" name="Imagem 26">
          <a:extLst>
            <a:ext uri="{FF2B5EF4-FFF2-40B4-BE49-F238E27FC236}">
              <a16:creationId xmlns:a16="http://schemas.microsoft.com/office/drawing/2014/main" id="{C5A39604-9082-4D47-A479-05A5D82C01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5042" y="17427263"/>
          <a:ext cx="764049" cy="541905"/>
        </a:xfrm>
        <a:prstGeom prst="rect">
          <a:avLst/>
        </a:prstGeom>
      </xdr:spPr>
    </xdr:pic>
    <xdr:clientData/>
  </xdr:twoCellAnchor>
  <xdr:twoCellAnchor>
    <xdr:from>
      <xdr:col>3</xdr:col>
      <xdr:colOff>1308255</xdr:colOff>
      <xdr:row>41</xdr:row>
      <xdr:rowOff>224994</xdr:rowOff>
    </xdr:from>
    <xdr:to>
      <xdr:col>3</xdr:col>
      <xdr:colOff>2072449</xdr:colOff>
      <xdr:row>42</xdr:row>
      <xdr:rowOff>533401</xdr:rowOff>
    </xdr:to>
    <xdr:pic>
      <xdr:nvPicPr>
        <xdr:cNvPr id="28" name="Imagem 27">
          <a:extLst>
            <a:ext uri="{FF2B5EF4-FFF2-40B4-BE49-F238E27FC236}">
              <a16:creationId xmlns:a16="http://schemas.microsoft.com/office/drawing/2014/main" id="{6CD1D26F-2DBB-4DBC-AED7-B0C2820B2B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4969" y="18308887"/>
          <a:ext cx="764194" cy="553335"/>
        </a:xfrm>
        <a:prstGeom prst="rect">
          <a:avLst/>
        </a:prstGeom>
      </xdr:spPr>
    </xdr:pic>
    <xdr:clientData/>
  </xdr:twoCellAnchor>
  <xdr:twoCellAnchor>
    <xdr:from>
      <xdr:col>3</xdr:col>
      <xdr:colOff>1308460</xdr:colOff>
      <xdr:row>43</xdr:row>
      <xdr:rowOff>226239</xdr:rowOff>
    </xdr:from>
    <xdr:to>
      <xdr:col>3</xdr:col>
      <xdr:colOff>2072244</xdr:colOff>
      <xdr:row>44</xdr:row>
      <xdr:rowOff>525286</xdr:rowOff>
    </xdr:to>
    <xdr:pic>
      <xdr:nvPicPr>
        <xdr:cNvPr id="29" name="Imagem 28">
          <a:extLst>
            <a:ext uri="{FF2B5EF4-FFF2-40B4-BE49-F238E27FC236}">
              <a16:creationId xmlns:a16="http://schemas.microsoft.com/office/drawing/2014/main" id="{CDCEAC0E-E381-474D-9C40-B7EAC525A9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5174" y="19180989"/>
          <a:ext cx="763784" cy="543976"/>
        </a:xfrm>
        <a:prstGeom prst="rect">
          <a:avLst/>
        </a:prstGeom>
      </xdr:spPr>
    </xdr:pic>
    <xdr:clientData/>
  </xdr:twoCellAnchor>
  <xdr:twoCellAnchor>
    <xdr:from>
      <xdr:col>3</xdr:col>
      <xdr:colOff>1308677</xdr:colOff>
      <xdr:row>45</xdr:row>
      <xdr:rowOff>208431</xdr:rowOff>
    </xdr:from>
    <xdr:to>
      <xdr:col>3</xdr:col>
      <xdr:colOff>2072028</xdr:colOff>
      <xdr:row>46</xdr:row>
      <xdr:rowOff>501763</xdr:rowOff>
    </xdr:to>
    <xdr:pic>
      <xdr:nvPicPr>
        <xdr:cNvPr id="30" name="Imagem 29">
          <a:extLst>
            <a:ext uri="{FF2B5EF4-FFF2-40B4-BE49-F238E27FC236}">
              <a16:creationId xmlns:a16="http://schemas.microsoft.com/office/drawing/2014/main" id="{451730CE-CD63-4F59-93B1-A504F659DC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5391" y="20034038"/>
          <a:ext cx="763351" cy="538261"/>
        </a:xfrm>
        <a:prstGeom prst="rect">
          <a:avLst/>
        </a:prstGeom>
      </xdr:spPr>
    </xdr:pic>
    <xdr:clientData/>
  </xdr:twoCellAnchor>
  <xdr:twoCellAnchor>
    <xdr:from>
      <xdr:col>3</xdr:col>
      <xdr:colOff>1398879</xdr:colOff>
      <xdr:row>47</xdr:row>
      <xdr:rowOff>217956</xdr:rowOff>
    </xdr:from>
    <xdr:to>
      <xdr:col>3</xdr:col>
      <xdr:colOff>1981826</xdr:colOff>
      <xdr:row>48</xdr:row>
      <xdr:rowOff>517003</xdr:rowOff>
    </xdr:to>
    <xdr:pic>
      <xdr:nvPicPr>
        <xdr:cNvPr id="31" name="Imagem 30">
          <a:extLst>
            <a:ext uri="{FF2B5EF4-FFF2-40B4-BE49-F238E27FC236}">
              <a16:creationId xmlns:a16="http://schemas.microsoft.com/office/drawing/2014/main" id="{269CDE83-C4C2-42A3-9D1F-806954EF7A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5593" y="20914420"/>
          <a:ext cx="582947" cy="543976"/>
        </a:xfrm>
        <a:prstGeom prst="rect">
          <a:avLst/>
        </a:prstGeom>
      </xdr:spPr>
    </xdr:pic>
    <xdr:clientData/>
  </xdr:twoCellAnchor>
  <xdr:twoCellAnchor>
    <xdr:from>
      <xdr:col>3</xdr:col>
      <xdr:colOff>1393250</xdr:colOff>
      <xdr:row>49</xdr:row>
      <xdr:rowOff>204699</xdr:rowOff>
    </xdr:from>
    <xdr:to>
      <xdr:col>3</xdr:col>
      <xdr:colOff>1987455</xdr:colOff>
      <xdr:row>50</xdr:row>
      <xdr:rowOff>513105</xdr:rowOff>
    </xdr:to>
    <xdr:pic>
      <xdr:nvPicPr>
        <xdr:cNvPr id="32" name="Imagem 31">
          <a:extLst>
            <a:ext uri="{FF2B5EF4-FFF2-40B4-BE49-F238E27FC236}">
              <a16:creationId xmlns:a16="http://schemas.microsoft.com/office/drawing/2014/main" id="{46FA6661-D3D5-42E5-86C9-0550E92962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39964" y="21772020"/>
          <a:ext cx="594205" cy="553335"/>
        </a:xfrm>
        <a:prstGeom prst="rect">
          <a:avLst/>
        </a:prstGeom>
      </xdr:spPr>
    </xdr:pic>
    <xdr:clientData/>
  </xdr:twoCellAnchor>
  <xdr:twoCellAnchor>
    <xdr:from>
      <xdr:col>3</xdr:col>
      <xdr:colOff>1414370</xdr:colOff>
      <xdr:row>51</xdr:row>
      <xdr:rowOff>214223</xdr:rowOff>
    </xdr:from>
    <xdr:to>
      <xdr:col>3</xdr:col>
      <xdr:colOff>1966334</xdr:colOff>
      <xdr:row>52</xdr:row>
      <xdr:rowOff>511200</xdr:rowOff>
    </xdr:to>
    <xdr:pic>
      <xdr:nvPicPr>
        <xdr:cNvPr id="33" name="Imagem 32">
          <a:extLst>
            <a:ext uri="{FF2B5EF4-FFF2-40B4-BE49-F238E27FC236}">
              <a16:creationId xmlns:a16="http://schemas.microsoft.com/office/drawing/2014/main" id="{2F3EA907-0875-4C49-9EEB-76995B2E5B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1084" y="22652402"/>
          <a:ext cx="551964" cy="541905"/>
        </a:xfrm>
        <a:prstGeom prst="rect">
          <a:avLst/>
        </a:prstGeom>
      </xdr:spPr>
    </xdr:pic>
    <xdr:clientData/>
  </xdr:twoCellAnchor>
  <xdr:twoCellAnchor>
    <xdr:from>
      <xdr:col>3</xdr:col>
      <xdr:colOff>1408882</xdr:colOff>
      <xdr:row>53</xdr:row>
      <xdr:rowOff>204698</xdr:rowOff>
    </xdr:from>
    <xdr:to>
      <xdr:col>3</xdr:col>
      <xdr:colOff>1971823</xdr:colOff>
      <xdr:row>54</xdr:row>
      <xdr:rowOff>513105</xdr:rowOff>
    </xdr:to>
    <xdr:pic>
      <xdr:nvPicPr>
        <xdr:cNvPr id="34" name="Imagem 33">
          <a:extLst>
            <a:ext uri="{FF2B5EF4-FFF2-40B4-BE49-F238E27FC236}">
              <a16:creationId xmlns:a16="http://schemas.microsoft.com/office/drawing/2014/main" id="{9FF85724-6044-436D-927F-F8E918A866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55596" y="23513734"/>
          <a:ext cx="562941" cy="553335"/>
        </a:xfrm>
        <a:prstGeom prst="rect">
          <a:avLst/>
        </a:prstGeom>
      </xdr:spPr>
    </xdr:pic>
    <xdr:clientData/>
  </xdr:twoCellAnchor>
  <xdr:twoCellAnchor>
    <xdr:from>
      <xdr:col>3</xdr:col>
      <xdr:colOff>1414354</xdr:colOff>
      <xdr:row>55</xdr:row>
      <xdr:rowOff>209670</xdr:rowOff>
    </xdr:from>
    <xdr:to>
      <xdr:col>3</xdr:col>
      <xdr:colOff>1966350</xdr:colOff>
      <xdr:row>56</xdr:row>
      <xdr:rowOff>518077</xdr:rowOff>
    </xdr:to>
    <xdr:pic>
      <xdr:nvPicPr>
        <xdr:cNvPr id="35" name="Imagem 34">
          <a:extLst>
            <a:ext uri="{FF2B5EF4-FFF2-40B4-BE49-F238E27FC236}">
              <a16:creationId xmlns:a16="http://schemas.microsoft.com/office/drawing/2014/main" id="{258D7443-3348-46AC-B6BD-84DA533A5A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1068" y="24389563"/>
          <a:ext cx="551996" cy="553335"/>
        </a:xfrm>
        <a:prstGeom prst="rect">
          <a:avLst/>
        </a:prstGeom>
      </xdr:spPr>
    </xdr:pic>
    <xdr:clientData/>
  </xdr:twoCellAnchor>
  <xdr:twoCellAnchor>
    <xdr:from>
      <xdr:col>3</xdr:col>
      <xdr:colOff>1305705</xdr:colOff>
      <xdr:row>57</xdr:row>
      <xdr:rowOff>217954</xdr:rowOff>
    </xdr:from>
    <xdr:to>
      <xdr:col>3</xdr:col>
      <xdr:colOff>2075000</xdr:colOff>
      <xdr:row>58</xdr:row>
      <xdr:rowOff>526360</xdr:rowOff>
    </xdr:to>
    <xdr:pic>
      <xdr:nvPicPr>
        <xdr:cNvPr id="36" name="Imagem 35">
          <a:extLst>
            <a:ext uri="{FF2B5EF4-FFF2-40B4-BE49-F238E27FC236}">
              <a16:creationId xmlns:a16="http://schemas.microsoft.com/office/drawing/2014/main" id="{C33B6906-47EB-4E4D-A4E4-3FD12F47D5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2419" y="25268704"/>
          <a:ext cx="769295" cy="553335"/>
        </a:xfrm>
        <a:prstGeom prst="rect">
          <a:avLst/>
        </a:prstGeom>
      </xdr:spPr>
    </xdr:pic>
    <xdr:clientData/>
  </xdr:twoCellAnchor>
  <xdr:twoCellAnchor>
    <xdr:from>
      <xdr:col>3</xdr:col>
      <xdr:colOff>1305705</xdr:colOff>
      <xdr:row>59</xdr:row>
      <xdr:rowOff>217954</xdr:rowOff>
    </xdr:from>
    <xdr:to>
      <xdr:col>3</xdr:col>
      <xdr:colOff>2075000</xdr:colOff>
      <xdr:row>60</xdr:row>
      <xdr:rowOff>526360</xdr:rowOff>
    </xdr:to>
    <xdr:pic>
      <xdr:nvPicPr>
        <xdr:cNvPr id="37" name="Imagem 36">
          <a:extLst>
            <a:ext uri="{FF2B5EF4-FFF2-40B4-BE49-F238E27FC236}">
              <a16:creationId xmlns:a16="http://schemas.microsoft.com/office/drawing/2014/main" id="{C21A661F-5500-4B6E-957E-9DF8A3746B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2419" y="26139561"/>
          <a:ext cx="769295" cy="553335"/>
        </a:xfrm>
        <a:prstGeom prst="rect">
          <a:avLst/>
        </a:prstGeom>
      </xdr:spPr>
    </xdr:pic>
    <xdr:clientData/>
  </xdr:twoCellAnchor>
  <xdr:twoCellAnchor>
    <xdr:from>
      <xdr:col>3</xdr:col>
      <xdr:colOff>1308532</xdr:colOff>
      <xdr:row>61</xdr:row>
      <xdr:rowOff>221101</xdr:rowOff>
    </xdr:from>
    <xdr:to>
      <xdr:col>3</xdr:col>
      <xdr:colOff>2072172</xdr:colOff>
      <xdr:row>62</xdr:row>
      <xdr:rowOff>519982</xdr:rowOff>
    </xdr:to>
    <xdr:pic>
      <xdr:nvPicPr>
        <xdr:cNvPr id="38" name="Imagem 37">
          <a:extLst>
            <a:ext uri="{FF2B5EF4-FFF2-40B4-BE49-F238E27FC236}">
              <a16:creationId xmlns:a16="http://schemas.microsoft.com/office/drawing/2014/main" id="{CF82369B-277C-4F3A-8D0F-F26078A036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5246" y="27013565"/>
          <a:ext cx="763640" cy="543810"/>
        </a:xfrm>
        <a:prstGeom prst="rect">
          <a:avLst/>
        </a:prstGeom>
      </xdr:spPr>
    </xdr:pic>
    <xdr:clientData/>
  </xdr:twoCellAnchor>
  <xdr:twoCellAnchor>
    <xdr:from>
      <xdr:col>3</xdr:col>
      <xdr:colOff>1322235</xdr:colOff>
      <xdr:row>63</xdr:row>
      <xdr:rowOff>201779</xdr:rowOff>
    </xdr:from>
    <xdr:to>
      <xdr:col>3</xdr:col>
      <xdr:colOff>2085670</xdr:colOff>
      <xdr:row>64</xdr:row>
      <xdr:rowOff>500660</xdr:rowOff>
    </xdr:to>
    <xdr:pic>
      <xdr:nvPicPr>
        <xdr:cNvPr id="39" name="Imagem 38">
          <a:extLst>
            <a:ext uri="{FF2B5EF4-FFF2-40B4-BE49-F238E27FC236}">
              <a16:creationId xmlns:a16="http://schemas.microsoft.com/office/drawing/2014/main" id="{3B530582-E8A9-4275-B4E9-05CC8E86AD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8949" y="27865100"/>
          <a:ext cx="763435" cy="543810"/>
        </a:xfrm>
        <a:prstGeom prst="rect">
          <a:avLst/>
        </a:prstGeom>
      </xdr:spPr>
    </xdr:pic>
    <xdr:clientData/>
  </xdr:twoCellAnchor>
  <xdr:twoCellAnchor>
    <xdr:from>
      <xdr:col>3</xdr:col>
      <xdr:colOff>1429383</xdr:colOff>
      <xdr:row>65</xdr:row>
      <xdr:rowOff>208735</xdr:rowOff>
    </xdr:from>
    <xdr:to>
      <xdr:col>3</xdr:col>
      <xdr:colOff>1978521</xdr:colOff>
      <xdr:row>66</xdr:row>
      <xdr:rowOff>498092</xdr:rowOff>
    </xdr:to>
    <xdr:pic>
      <xdr:nvPicPr>
        <xdr:cNvPr id="40" name="Imagem 39">
          <a:extLst>
            <a:ext uri="{FF2B5EF4-FFF2-40B4-BE49-F238E27FC236}">
              <a16:creationId xmlns:a16="http://schemas.microsoft.com/office/drawing/2014/main" id="{065EB5AC-8DFF-4D16-A11F-42FDEB1690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6097" y="28742914"/>
          <a:ext cx="549138" cy="534285"/>
        </a:xfrm>
        <a:prstGeom prst="rect">
          <a:avLst/>
        </a:prstGeom>
      </xdr:spPr>
    </xdr:pic>
    <xdr:clientData/>
  </xdr:twoCellAnchor>
  <xdr:twoCellAnchor>
    <xdr:from>
      <xdr:col>3</xdr:col>
      <xdr:colOff>1325972</xdr:colOff>
      <xdr:row>67</xdr:row>
      <xdr:rowOff>191506</xdr:rowOff>
    </xdr:from>
    <xdr:to>
      <xdr:col>3</xdr:col>
      <xdr:colOff>2081932</xdr:colOff>
      <xdr:row>68</xdr:row>
      <xdr:rowOff>488483</xdr:rowOff>
    </xdr:to>
    <xdr:pic>
      <xdr:nvPicPr>
        <xdr:cNvPr id="41" name="Imagem 40">
          <a:extLst>
            <a:ext uri="{FF2B5EF4-FFF2-40B4-BE49-F238E27FC236}">
              <a16:creationId xmlns:a16="http://schemas.microsoft.com/office/drawing/2014/main" id="{BBA69734-A5FB-4789-BB87-954FB8EB51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72686" y="29596542"/>
          <a:ext cx="755960" cy="541905"/>
        </a:xfrm>
        <a:prstGeom prst="rect">
          <a:avLst/>
        </a:prstGeom>
      </xdr:spPr>
    </xdr:pic>
    <xdr:clientData/>
  </xdr:twoCellAnchor>
  <xdr:twoCellAnchor>
    <xdr:from>
      <xdr:col>3</xdr:col>
      <xdr:colOff>1327877</xdr:colOff>
      <xdr:row>69</xdr:row>
      <xdr:rowOff>205588</xdr:rowOff>
    </xdr:from>
    <xdr:to>
      <xdr:col>3</xdr:col>
      <xdr:colOff>2080027</xdr:colOff>
      <xdr:row>70</xdr:row>
      <xdr:rowOff>502565</xdr:rowOff>
    </xdr:to>
    <xdr:pic>
      <xdr:nvPicPr>
        <xdr:cNvPr id="42" name="Imagem 41">
          <a:extLst>
            <a:ext uri="{FF2B5EF4-FFF2-40B4-BE49-F238E27FC236}">
              <a16:creationId xmlns:a16="http://schemas.microsoft.com/office/drawing/2014/main" id="{9FDA5E1A-19A3-4F80-8457-378F1C2302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74591" y="30481481"/>
          <a:ext cx="752150" cy="541905"/>
        </a:xfrm>
        <a:prstGeom prst="rect">
          <a:avLst/>
        </a:prstGeom>
      </xdr:spPr>
    </xdr:pic>
    <xdr:clientData/>
  </xdr:twoCellAnchor>
  <xdr:twoCellAnchor>
    <xdr:from>
      <xdr:col>3</xdr:col>
      <xdr:colOff>1322379</xdr:colOff>
      <xdr:row>71</xdr:row>
      <xdr:rowOff>219671</xdr:rowOff>
    </xdr:from>
    <xdr:to>
      <xdr:col>3</xdr:col>
      <xdr:colOff>2085525</xdr:colOff>
      <xdr:row>72</xdr:row>
      <xdr:rowOff>516647</xdr:rowOff>
    </xdr:to>
    <xdr:pic>
      <xdr:nvPicPr>
        <xdr:cNvPr id="43" name="Imagem 42">
          <a:extLst>
            <a:ext uri="{FF2B5EF4-FFF2-40B4-BE49-F238E27FC236}">
              <a16:creationId xmlns:a16="http://schemas.microsoft.com/office/drawing/2014/main" id="{7C24327B-8EA0-4D81-AF41-E60C45D327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9093" y="31366421"/>
          <a:ext cx="763146" cy="541905"/>
        </a:xfrm>
        <a:prstGeom prst="rect">
          <a:avLst/>
        </a:prstGeom>
      </xdr:spPr>
    </xdr:pic>
    <xdr:clientData/>
  </xdr:twoCellAnchor>
  <xdr:twoCellAnchor>
    <xdr:from>
      <xdr:col>3</xdr:col>
      <xdr:colOff>1328052</xdr:colOff>
      <xdr:row>73</xdr:row>
      <xdr:rowOff>206831</xdr:rowOff>
    </xdr:from>
    <xdr:to>
      <xdr:col>3</xdr:col>
      <xdr:colOff>2079853</xdr:colOff>
      <xdr:row>74</xdr:row>
      <xdr:rowOff>513332</xdr:rowOff>
    </xdr:to>
    <xdr:pic>
      <xdr:nvPicPr>
        <xdr:cNvPr id="44" name="Imagem 43">
          <a:extLst>
            <a:ext uri="{FF2B5EF4-FFF2-40B4-BE49-F238E27FC236}">
              <a16:creationId xmlns:a16="http://schemas.microsoft.com/office/drawing/2014/main" id="{6DB44148-924A-4F4C-B4F7-CB5C855071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74766" y="32224438"/>
          <a:ext cx="751801" cy="551430"/>
        </a:xfrm>
        <a:prstGeom prst="rect">
          <a:avLst/>
        </a:prstGeom>
      </xdr:spPr>
    </xdr:pic>
    <xdr:clientData/>
  </xdr:twoCellAnchor>
  <xdr:twoCellAnchor>
    <xdr:from>
      <xdr:col>3</xdr:col>
      <xdr:colOff>1324284</xdr:colOff>
      <xdr:row>75</xdr:row>
      <xdr:rowOff>215114</xdr:rowOff>
    </xdr:from>
    <xdr:to>
      <xdr:col>3</xdr:col>
      <xdr:colOff>2083620</xdr:colOff>
      <xdr:row>76</xdr:row>
      <xdr:rowOff>502565</xdr:rowOff>
    </xdr:to>
    <xdr:pic>
      <xdr:nvPicPr>
        <xdr:cNvPr id="45" name="Imagem 44">
          <a:extLst>
            <a:ext uri="{FF2B5EF4-FFF2-40B4-BE49-F238E27FC236}">
              <a16:creationId xmlns:a16="http://schemas.microsoft.com/office/drawing/2014/main" id="{6982D446-4F3B-4CD3-A947-03389C04E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70998" y="33103578"/>
          <a:ext cx="759336" cy="532380"/>
        </a:xfrm>
        <a:prstGeom prst="rect">
          <a:avLst/>
        </a:prstGeom>
      </xdr:spPr>
    </xdr:pic>
    <xdr:clientData/>
  </xdr:twoCellAnchor>
  <xdr:twoCellAnchor>
    <xdr:from>
      <xdr:col>3</xdr:col>
      <xdr:colOff>1327877</xdr:colOff>
      <xdr:row>77</xdr:row>
      <xdr:rowOff>206831</xdr:rowOff>
    </xdr:from>
    <xdr:to>
      <xdr:col>3</xdr:col>
      <xdr:colOff>2080027</xdr:colOff>
      <xdr:row>78</xdr:row>
      <xdr:rowOff>513332</xdr:rowOff>
    </xdr:to>
    <xdr:pic>
      <xdr:nvPicPr>
        <xdr:cNvPr id="46" name="Imagem 45">
          <a:extLst>
            <a:ext uri="{FF2B5EF4-FFF2-40B4-BE49-F238E27FC236}">
              <a16:creationId xmlns:a16="http://schemas.microsoft.com/office/drawing/2014/main" id="{DEF1700A-D4CF-402A-A99A-15D0DA4DE9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74591" y="33966152"/>
          <a:ext cx="752150" cy="551430"/>
        </a:xfrm>
        <a:prstGeom prst="rect">
          <a:avLst/>
        </a:prstGeom>
      </xdr:spPr>
    </xdr:pic>
    <xdr:clientData/>
  </xdr:twoCellAnchor>
  <xdr:twoCellAnchor>
    <xdr:from>
      <xdr:col>3</xdr:col>
      <xdr:colOff>1323965</xdr:colOff>
      <xdr:row>79</xdr:row>
      <xdr:rowOff>197305</xdr:rowOff>
    </xdr:from>
    <xdr:to>
      <xdr:col>3</xdr:col>
      <xdr:colOff>2083939</xdr:colOff>
      <xdr:row>80</xdr:row>
      <xdr:rowOff>498092</xdr:rowOff>
    </xdr:to>
    <xdr:pic>
      <xdr:nvPicPr>
        <xdr:cNvPr id="47" name="Imagem 46">
          <a:extLst>
            <a:ext uri="{FF2B5EF4-FFF2-40B4-BE49-F238E27FC236}">
              <a16:creationId xmlns:a16="http://schemas.microsoft.com/office/drawing/2014/main" id="{B8584FDD-D0E1-4FA8-BC30-8D99AA5AC0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70679" y="34827484"/>
          <a:ext cx="759974" cy="545715"/>
        </a:xfrm>
        <a:prstGeom prst="rect">
          <a:avLst/>
        </a:prstGeom>
      </xdr:spPr>
    </xdr:pic>
    <xdr:clientData/>
  </xdr:twoCellAnchor>
  <xdr:twoCellAnchor>
    <xdr:from>
      <xdr:col>3</xdr:col>
      <xdr:colOff>1435858</xdr:colOff>
      <xdr:row>81</xdr:row>
      <xdr:rowOff>206520</xdr:rowOff>
    </xdr:from>
    <xdr:to>
      <xdr:col>3</xdr:col>
      <xdr:colOff>1972048</xdr:colOff>
      <xdr:row>82</xdr:row>
      <xdr:rowOff>481835</xdr:rowOff>
    </xdr:to>
    <xdr:pic>
      <xdr:nvPicPr>
        <xdr:cNvPr id="48" name="Imagem 47">
          <a:extLst>
            <a:ext uri="{FF2B5EF4-FFF2-40B4-BE49-F238E27FC236}">
              <a16:creationId xmlns:a16="http://schemas.microsoft.com/office/drawing/2014/main" id="{DD42ECC5-4D2E-4B1B-A4AA-EC19E9BAD6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5090545" y="35699583"/>
          <a:ext cx="520243" cy="536190"/>
        </a:xfrm>
        <a:prstGeom prst="rect">
          <a:avLst/>
        </a:prstGeom>
      </xdr:spPr>
    </xdr:pic>
    <xdr:clientData/>
  </xdr:twoCellAnchor>
  <xdr:twoCellAnchor>
    <xdr:from>
      <xdr:col>3</xdr:col>
      <xdr:colOff>1319950</xdr:colOff>
      <xdr:row>83</xdr:row>
      <xdr:rowOff>204346</xdr:rowOff>
    </xdr:from>
    <xdr:to>
      <xdr:col>3</xdr:col>
      <xdr:colOff>2087954</xdr:colOff>
      <xdr:row>84</xdr:row>
      <xdr:rowOff>508943</xdr:rowOff>
    </xdr:to>
    <xdr:pic>
      <xdr:nvPicPr>
        <xdr:cNvPr id="49" name="Imagem 48">
          <a:extLst>
            <a:ext uri="{FF2B5EF4-FFF2-40B4-BE49-F238E27FC236}">
              <a16:creationId xmlns:a16="http://schemas.microsoft.com/office/drawing/2014/main" id="{1E86EED5-AD29-4664-85F5-4DB60AFFC0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6664" y="36576239"/>
          <a:ext cx="768004" cy="549525"/>
        </a:xfrm>
        <a:prstGeom prst="rect">
          <a:avLst/>
        </a:prstGeom>
      </xdr:spPr>
    </xdr:pic>
    <xdr:clientData/>
  </xdr:twoCellAnchor>
  <xdr:twoCellAnchor>
    <xdr:from>
      <xdr:col>3</xdr:col>
      <xdr:colOff>1323965</xdr:colOff>
      <xdr:row>85</xdr:row>
      <xdr:rowOff>211388</xdr:rowOff>
    </xdr:from>
    <xdr:to>
      <xdr:col>3</xdr:col>
      <xdr:colOff>2083939</xdr:colOff>
      <xdr:row>86</xdr:row>
      <xdr:rowOff>508364</xdr:rowOff>
    </xdr:to>
    <xdr:pic>
      <xdr:nvPicPr>
        <xdr:cNvPr id="50" name="Imagem 49">
          <a:extLst>
            <a:ext uri="{FF2B5EF4-FFF2-40B4-BE49-F238E27FC236}">
              <a16:creationId xmlns:a16="http://schemas.microsoft.com/office/drawing/2014/main" id="{A19AC631-D481-4DFB-9D73-CBE9A03C93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70679" y="37454138"/>
          <a:ext cx="759974" cy="541905"/>
        </a:xfrm>
        <a:prstGeom prst="rect">
          <a:avLst/>
        </a:prstGeom>
      </xdr:spPr>
    </xdr:pic>
    <xdr:clientData/>
  </xdr:twoCellAnchor>
  <xdr:twoCellAnchor>
    <xdr:from>
      <xdr:col>3</xdr:col>
      <xdr:colOff>1321855</xdr:colOff>
      <xdr:row>87</xdr:row>
      <xdr:rowOff>196064</xdr:rowOff>
    </xdr:from>
    <xdr:to>
      <xdr:col>3</xdr:col>
      <xdr:colOff>2086049</xdr:colOff>
      <xdr:row>88</xdr:row>
      <xdr:rowOff>504470</xdr:rowOff>
    </xdr:to>
    <xdr:pic>
      <xdr:nvPicPr>
        <xdr:cNvPr id="51" name="Imagem 50">
          <a:extLst>
            <a:ext uri="{FF2B5EF4-FFF2-40B4-BE49-F238E27FC236}">
              <a16:creationId xmlns:a16="http://schemas.microsoft.com/office/drawing/2014/main" id="{01266110-5615-4D50-8514-E9F10F2BF8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8569" y="38309671"/>
          <a:ext cx="764194" cy="553335"/>
        </a:xfrm>
        <a:prstGeom prst="rect">
          <a:avLst/>
        </a:prstGeom>
      </xdr:spPr>
    </xdr:pic>
    <xdr:clientData/>
  </xdr:twoCellAnchor>
  <xdr:twoCellAnchor>
    <xdr:from>
      <xdr:col>3</xdr:col>
      <xdr:colOff>1326618</xdr:colOff>
      <xdr:row>89</xdr:row>
      <xdr:rowOff>222155</xdr:rowOff>
    </xdr:from>
    <xdr:to>
      <xdr:col>3</xdr:col>
      <xdr:colOff>2081287</xdr:colOff>
      <xdr:row>90</xdr:row>
      <xdr:rowOff>519131</xdr:rowOff>
    </xdr:to>
    <xdr:pic>
      <xdr:nvPicPr>
        <xdr:cNvPr id="52" name="Imagem 51">
          <a:extLst>
            <a:ext uri="{FF2B5EF4-FFF2-40B4-BE49-F238E27FC236}">
              <a16:creationId xmlns:a16="http://schemas.microsoft.com/office/drawing/2014/main" id="{FED519CA-27BA-4CC8-AF20-C169CC17FF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73332" y="39206619"/>
          <a:ext cx="754669" cy="541905"/>
        </a:xfrm>
        <a:prstGeom prst="rect">
          <a:avLst/>
        </a:prstGeom>
      </xdr:spPr>
    </xdr:pic>
    <xdr:clientData/>
  </xdr:twoCellAnchor>
  <xdr:twoCellAnchor>
    <xdr:from>
      <xdr:col>3</xdr:col>
      <xdr:colOff>1326618</xdr:colOff>
      <xdr:row>91</xdr:row>
      <xdr:rowOff>222155</xdr:rowOff>
    </xdr:from>
    <xdr:to>
      <xdr:col>3</xdr:col>
      <xdr:colOff>2081287</xdr:colOff>
      <xdr:row>92</xdr:row>
      <xdr:rowOff>519131</xdr:rowOff>
    </xdr:to>
    <xdr:pic>
      <xdr:nvPicPr>
        <xdr:cNvPr id="53" name="Imagem 52">
          <a:extLst>
            <a:ext uri="{FF2B5EF4-FFF2-40B4-BE49-F238E27FC236}">
              <a16:creationId xmlns:a16="http://schemas.microsoft.com/office/drawing/2014/main" id="{56C9AC73-284F-409E-9997-576C8D74C7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73332" y="40077476"/>
          <a:ext cx="754669" cy="541905"/>
        </a:xfrm>
        <a:prstGeom prst="rect">
          <a:avLst/>
        </a:prstGeom>
      </xdr:spPr>
    </xdr:pic>
    <xdr:clientData/>
  </xdr:twoCellAnchor>
  <xdr:twoCellAnchor>
    <xdr:from>
      <xdr:col>3</xdr:col>
      <xdr:colOff>1349148</xdr:colOff>
      <xdr:row>93</xdr:row>
      <xdr:rowOff>206830</xdr:rowOff>
    </xdr:from>
    <xdr:to>
      <xdr:col>3</xdr:col>
      <xdr:colOff>2113197</xdr:colOff>
      <xdr:row>94</xdr:row>
      <xdr:rowOff>498092</xdr:rowOff>
    </xdr:to>
    <xdr:pic>
      <xdr:nvPicPr>
        <xdr:cNvPr id="54" name="Imagem 53">
          <a:extLst>
            <a:ext uri="{FF2B5EF4-FFF2-40B4-BE49-F238E27FC236}">
              <a16:creationId xmlns:a16="http://schemas.microsoft.com/office/drawing/2014/main" id="{099BC3D6-F996-4BC1-B18B-491B5AC38B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95862" y="40933009"/>
          <a:ext cx="764049" cy="536190"/>
        </a:xfrm>
        <a:prstGeom prst="rect">
          <a:avLst/>
        </a:prstGeom>
      </xdr:spPr>
    </xdr:pic>
    <xdr:clientData/>
  </xdr:twoCellAnchor>
  <xdr:twoCellAnchor>
    <xdr:from>
      <xdr:col>3</xdr:col>
      <xdr:colOff>1346218</xdr:colOff>
      <xdr:row>95</xdr:row>
      <xdr:rowOff>210145</xdr:rowOff>
    </xdr:from>
    <xdr:to>
      <xdr:col>3</xdr:col>
      <xdr:colOff>2116127</xdr:colOff>
      <xdr:row>96</xdr:row>
      <xdr:rowOff>505217</xdr:rowOff>
    </xdr:to>
    <xdr:pic>
      <xdr:nvPicPr>
        <xdr:cNvPr id="55" name="Imagem 54">
          <a:extLst>
            <a:ext uri="{FF2B5EF4-FFF2-40B4-BE49-F238E27FC236}">
              <a16:creationId xmlns:a16="http://schemas.microsoft.com/office/drawing/2014/main" id="{B731ED4B-6029-4773-B0DD-01D9AEDD44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92932" y="41807181"/>
          <a:ext cx="769909" cy="540000"/>
        </a:xfrm>
        <a:prstGeom prst="rect">
          <a:avLst/>
        </a:prstGeom>
      </xdr:spPr>
    </xdr:pic>
    <xdr:clientData/>
  </xdr:twoCellAnchor>
  <xdr:twoCellAnchor>
    <xdr:from>
      <xdr:col>3</xdr:col>
      <xdr:colOff>1351197</xdr:colOff>
      <xdr:row>97</xdr:row>
      <xdr:rowOff>213871</xdr:rowOff>
    </xdr:from>
    <xdr:to>
      <xdr:col>3</xdr:col>
      <xdr:colOff>2111147</xdr:colOff>
      <xdr:row>98</xdr:row>
      <xdr:rowOff>510848</xdr:rowOff>
    </xdr:to>
    <xdr:pic>
      <xdr:nvPicPr>
        <xdr:cNvPr id="56" name="Imagem 55">
          <a:extLst>
            <a:ext uri="{FF2B5EF4-FFF2-40B4-BE49-F238E27FC236}">
              <a16:creationId xmlns:a16="http://schemas.microsoft.com/office/drawing/2014/main" id="{E8A3F68B-D9A9-4FC3-838F-D80C5BC9F4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97911" y="42681764"/>
          <a:ext cx="759950" cy="541905"/>
        </a:xfrm>
        <a:prstGeom prst="rect">
          <a:avLst/>
        </a:prstGeom>
      </xdr:spPr>
    </xdr:pic>
    <xdr:clientData/>
  </xdr:twoCellAnchor>
  <xdr:twoCellAnchor>
    <xdr:from>
      <xdr:col>3</xdr:col>
      <xdr:colOff>1346290</xdr:colOff>
      <xdr:row>99</xdr:row>
      <xdr:rowOff>180160</xdr:rowOff>
    </xdr:from>
    <xdr:to>
      <xdr:col>3</xdr:col>
      <xdr:colOff>2116054</xdr:colOff>
      <xdr:row>100</xdr:row>
      <xdr:rowOff>484756</xdr:rowOff>
    </xdr:to>
    <xdr:pic>
      <xdr:nvPicPr>
        <xdr:cNvPr id="57" name="Imagem 56">
          <a:extLst>
            <a:ext uri="{FF2B5EF4-FFF2-40B4-BE49-F238E27FC236}">
              <a16:creationId xmlns:a16="http://schemas.microsoft.com/office/drawing/2014/main" id="{2156FE5C-6756-44DF-B457-334492127A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93004" y="43518910"/>
          <a:ext cx="769764" cy="549525"/>
        </a:xfrm>
        <a:prstGeom prst="rect">
          <a:avLst/>
        </a:prstGeom>
      </xdr:spPr>
    </xdr:pic>
    <xdr:clientData/>
  </xdr:twoCellAnchor>
  <xdr:twoCellAnchor>
    <xdr:from>
      <xdr:col>3</xdr:col>
      <xdr:colOff>1349075</xdr:colOff>
      <xdr:row>105</xdr:row>
      <xdr:rowOff>205589</xdr:rowOff>
    </xdr:from>
    <xdr:to>
      <xdr:col>3</xdr:col>
      <xdr:colOff>2113269</xdr:colOff>
      <xdr:row>106</xdr:row>
      <xdr:rowOff>502565</xdr:rowOff>
    </xdr:to>
    <xdr:pic>
      <xdr:nvPicPr>
        <xdr:cNvPr id="58" name="Imagem 57">
          <a:extLst>
            <a:ext uri="{FF2B5EF4-FFF2-40B4-BE49-F238E27FC236}">
              <a16:creationId xmlns:a16="http://schemas.microsoft.com/office/drawing/2014/main" id="{018BA40B-2705-4237-899B-7F5B88D912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95789" y="46156910"/>
          <a:ext cx="764194" cy="541905"/>
        </a:xfrm>
        <a:prstGeom prst="rect">
          <a:avLst/>
        </a:prstGeom>
      </xdr:spPr>
    </xdr:pic>
    <xdr:clientData/>
  </xdr:twoCellAnchor>
  <xdr:twoCellAnchor>
    <xdr:from>
      <xdr:col>3</xdr:col>
      <xdr:colOff>1349148</xdr:colOff>
      <xdr:row>107</xdr:row>
      <xdr:rowOff>204346</xdr:rowOff>
    </xdr:from>
    <xdr:to>
      <xdr:col>3</xdr:col>
      <xdr:colOff>2113197</xdr:colOff>
      <xdr:row>108</xdr:row>
      <xdr:rowOff>501323</xdr:rowOff>
    </xdr:to>
    <xdr:pic>
      <xdr:nvPicPr>
        <xdr:cNvPr id="59" name="Imagem 58">
          <a:extLst>
            <a:ext uri="{FF2B5EF4-FFF2-40B4-BE49-F238E27FC236}">
              <a16:creationId xmlns:a16="http://schemas.microsoft.com/office/drawing/2014/main" id="{00FFD0E2-A685-407B-A411-EA5F25A23E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95862" y="47026525"/>
          <a:ext cx="764049" cy="541905"/>
        </a:xfrm>
        <a:prstGeom prst="rect">
          <a:avLst/>
        </a:prstGeom>
      </xdr:spPr>
    </xdr:pic>
    <xdr:clientData/>
  </xdr:twoCellAnchor>
  <xdr:twoCellAnchor>
    <xdr:from>
      <xdr:col>3</xdr:col>
      <xdr:colOff>1349148</xdr:colOff>
      <xdr:row>109</xdr:row>
      <xdr:rowOff>213871</xdr:rowOff>
    </xdr:from>
    <xdr:to>
      <xdr:col>3</xdr:col>
      <xdr:colOff>2113197</xdr:colOff>
      <xdr:row>110</xdr:row>
      <xdr:rowOff>510848</xdr:rowOff>
    </xdr:to>
    <xdr:pic>
      <xdr:nvPicPr>
        <xdr:cNvPr id="60" name="Imagem 59">
          <a:extLst>
            <a:ext uri="{FF2B5EF4-FFF2-40B4-BE49-F238E27FC236}">
              <a16:creationId xmlns:a16="http://schemas.microsoft.com/office/drawing/2014/main" id="{9DA5A5AC-DA74-42DC-A85A-EC6CDDE172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95862" y="47906907"/>
          <a:ext cx="764049" cy="541905"/>
        </a:xfrm>
        <a:prstGeom prst="rect">
          <a:avLst/>
        </a:prstGeom>
      </xdr:spPr>
    </xdr:pic>
    <xdr:clientData/>
  </xdr:twoCellAnchor>
  <xdr:twoCellAnchor>
    <xdr:from>
      <xdr:col>3</xdr:col>
      <xdr:colOff>1349148</xdr:colOff>
      <xdr:row>111</xdr:row>
      <xdr:rowOff>213871</xdr:rowOff>
    </xdr:from>
    <xdr:to>
      <xdr:col>3</xdr:col>
      <xdr:colOff>2113197</xdr:colOff>
      <xdr:row>112</xdr:row>
      <xdr:rowOff>510848</xdr:rowOff>
    </xdr:to>
    <xdr:pic>
      <xdr:nvPicPr>
        <xdr:cNvPr id="61" name="Imagem 60">
          <a:extLst>
            <a:ext uri="{FF2B5EF4-FFF2-40B4-BE49-F238E27FC236}">
              <a16:creationId xmlns:a16="http://schemas.microsoft.com/office/drawing/2014/main" id="{5C9F1BF9-8511-4D57-ABDC-6DC79A69F3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95862" y="48777764"/>
          <a:ext cx="764049" cy="541905"/>
        </a:xfrm>
        <a:prstGeom prst="rect">
          <a:avLst/>
        </a:prstGeom>
      </xdr:spPr>
    </xdr:pic>
    <xdr:clientData/>
  </xdr:twoCellAnchor>
  <xdr:twoCellAnchor>
    <xdr:from>
      <xdr:col>3</xdr:col>
      <xdr:colOff>1344385</xdr:colOff>
      <xdr:row>113</xdr:row>
      <xdr:rowOff>223397</xdr:rowOff>
    </xdr:from>
    <xdr:to>
      <xdr:col>3</xdr:col>
      <xdr:colOff>2108025</xdr:colOff>
      <xdr:row>114</xdr:row>
      <xdr:rowOff>518468</xdr:rowOff>
    </xdr:to>
    <xdr:pic>
      <xdr:nvPicPr>
        <xdr:cNvPr id="62" name="Imagem 61">
          <a:extLst>
            <a:ext uri="{FF2B5EF4-FFF2-40B4-BE49-F238E27FC236}">
              <a16:creationId xmlns:a16="http://schemas.microsoft.com/office/drawing/2014/main" id="{FAE0D054-4AA3-463E-B3B1-37C66B216E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91099" y="49658147"/>
          <a:ext cx="763640" cy="540000"/>
        </a:xfrm>
        <a:prstGeom prst="rect">
          <a:avLst/>
        </a:prstGeom>
      </xdr:spPr>
    </xdr:pic>
    <xdr:clientData/>
  </xdr:twoCellAnchor>
  <xdr:twoCellAnchor>
    <xdr:from>
      <xdr:col>3</xdr:col>
      <xdr:colOff>1344380</xdr:colOff>
      <xdr:row>115</xdr:row>
      <xdr:rowOff>209790</xdr:rowOff>
    </xdr:from>
    <xdr:to>
      <xdr:col>3</xdr:col>
      <xdr:colOff>2108019</xdr:colOff>
      <xdr:row>116</xdr:row>
      <xdr:rowOff>504861</xdr:rowOff>
    </xdr:to>
    <xdr:pic>
      <xdr:nvPicPr>
        <xdr:cNvPr id="63" name="Imagem 62">
          <a:extLst>
            <a:ext uri="{FF2B5EF4-FFF2-40B4-BE49-F238E27FC236}">
              <a16:creationId xmlns:a16="http://schemas.microsoft.com/office/drawing/2014/main" id="{B54349F1-BAD2-4278-9E96-0DD61A42AA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991094" y="50515397"/>
          <a:ext cx="763639" cy="540000"/>
        </a:xfrm>
        <a:prstGeom prst="rect">
          <a:avLst/>
        </a:prstGeom>
      </xdr:spPr>
    </xdr:pic>
    <xdr:clientData/>
  </xdr:twoCellAnchor>
  <xdr:twoCellAnchor>
    <xdr:from>
      <xdr:col>3</xdr:col>
      <xdr:colOff>1344387</xdr:colOff>
      <xdr:row>117</xdr:row>
      <xdr:rowOff>196183</xdr:rowOff>
    </xdr:from>
    <xdr:to>
      <xdr:col>3</xdr:col>
      <xdr:colOff>2108026</xdr:colOff>
      <xdr:row>118</xdr:row>
      <xdr:rowOff>491254</xdr:rowOff>
    </xdr:to>
    <xdr:pic>
      <xdr:nvPicPr>
        <xdr:cNvPr id="64" name="Imagem 63">
          <a:extLst>
            <a:ext uri="{FF2B5EF4-FFF2-40B4-BE49-F238E27FC236}">
              <a16:creationId xmlns:a16="http://schemas.microsoft.com/office/drawing/2014/main" id="{FA5BAD2F-7D42-49BF-B57F-D0A08E2C4A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991101" y="51372647"/>
          <a:ext cx="763639" cy="540000"/>
        </a:xfrm>
        <a:prstGeom prst="rect">
          <a:avLst/>
        </a:prstGeom>
      </xdr:spPr>
    </xdr:pic>
    <xdr:clientData/>
  </xdr:twoCellAnchor>
  <xdr:twoCellAnchor>
    <xdr:from>
      <xdr:col>3</xdr:col>
      <xdr:colOff>1344387</xdr:colOff>
      <xdr:row>119</xdr:row>
      <xdr:rowOff>196183</xdr:rowOff>
    </xdr:from>
    <xdr:to>
      <xdr:col>3</xdr:col>
      <xdr:colOff>2108026</xdr:colOff>
      <xdr:row>120</xdr:row>
      <xdr:rowOff>491254</xdr:rowOff>
    </xdr:to>
    <xdr:pic>
      <xdr:nvPicPr>
        <xdr:cNvPr id="65" name="Imagem 64">
          <a:extLst>
            <a:ext uri="{FF2B5EF4-FFF2-40B4-BE49-F238E27FC236}">
              <a16:creationId xmlns:a16="http://schemas.microsoft.com/office/drawing/2014/main" id="{788D0718-3E3D-46D2-9110-D18599D7DA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991101" y="52243504"/>
          <a:ext cx="763639" cy="540000"/>
        </a:xfrm>
        <a:prstGeom prst="rect">
          <a:avLst/>
        </a:prstGeom>
      </xdr:spPr>
    </xdr:pic>
    <xdr:clientData/>
  </xdr:twoCellAnchor>
  <xdr:twoCellAnchor>
    <xdr:from>
      <xdr:col>3</xdr:col>
      <xdr:colOff>1344387</xdr:colOff>
      <xdr:row>121</xdr:row>
      <xdr:rowOff>196182</xdr:rowOff>
    </xdr:from>
    <xdr:to>
      <xdr:col>3</xdr:col>
      <xdr:colOff>2108026</xdr:colOff>
      <xdr:row>122</xdr:row>
      <xdr:rowOff>491253</xdr:rowOff>
    </xdr:to>
    <xdr:pic>
      <xdr:nvPicPr>
        <xdr:cNvPr id="66" name="Imagem 65">
          <a:extLst>
            <a:ext uri="{FF2B5EF4-FFF2-40B4-BE49-F238E27FC236}">
              <a16:creationId xmlns:a16="http://schemas.microsoft.com/office/drawing/2014/main" id="{5117410B-42D6-4BC7-9020-186381FF1A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991101" y="53114361"/>
          <a:ext cx="763639" cy="539999"/>
        </a:xfrm>
        <a:prstGeom prst="rect">
          <a:avLst/>
        </a:prstGeom>
      </xdr:spPr>
    </xdr:pic>
    <xdr:clientData/>
  </xdr:twoCellAnchor>
  <xdr:twoCellAnchor>
    <xdr:from>
      <xdr:col>3</xdr:col>
      <xdr:colOff>1344387</xdr:colOff>
      <xdr:row>123</xdr:row>
      <xdr:rowOff>196182</xdr:rowOff>
    </xdr:from>
    <xdr:to>
      <xdr:col>3</xdr:col>
      <xdr:colOff>2108026</xdr:colOff>
      <xdr:row>124</xdr:row>
      <xdr:rowOff>491253</xdr:rowOff>
    </xdr:to>
    <xdr:pic>
      <xdr:nvPicPr>
        <xdr:cNvPr id="67" name="Imagem 66">
          <a:extLst>
            <a:ext uri="{FF2B5EF4-FFF2-40B4-BE49-F238E27FC236}">
              <a16:creationId xmlns:a16="http://schemas.microsoft.com/office/drawing/2014/main" id="{6F0C31AD-8B64-46C4-814A-28BDDADD62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991101" y="53985218"/>
          <a:ext cx="763639" cy="539999"/>
        </a:xfrm>
        <a:prstGeom prst="rect">
          <a:avLst/>
        </a:prstGeom>
      </xdr:spPr>
    </xdr:pic>
    <xdr:clientData/>
  </xdr:twoCellAnchor>
  <xdr:twoCellAnchor>
    <xdr:from>
      <xdr:col>3</xdr:col>
      <xdr:colOff>1344387</xdr:colOff>
      <xdr:row>125</xdr:row>
      <xdr:rowOff>196182</xdr:rowOff>
    </xdr:from>
    <xdr:to>
      <xdr:col>3</xdr:col>
      <xdr:colOff>2108025</xdr:colOff>
      <xdr:row>126</xdr:row>
      <xdr:rowOff>491253</xdr:rowOff>
    </xdr:to>
    <xdr:pic>
      <xdr:nvPicPr>
        <xdr:cNvPr id="68" name="Imagem 67">
          <a:extLst>
            <a:ext uri="{FF2B5EF4-FFF2-40B4-BE49-F238E27FC236}">
              <a16:creationId xmlns:a16="http://schemas.microsoft.com/office/drawing/2014/main" id="{0D78FBAE-5609-4773-BACE-065EF75DFF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991101" y="54856075"/>
          <a:ext cx="763638" cy="539999"/>
        </a:xfrm>
        <a:prstGeom prst="rect">
          <a:avLst/>
        </a:prstGeom>
      </xdr:spPr>
    </xdr:pic>
    <xdr:clientData/>
  </xdr:twoCellAnchor>
  <xdr:twoCellAnchor>
    <xdr:from>
      <xdr:col>3</xdr:col>
      <xdr:colOff>1344387</xdr:colOff>
      <xdr:row>127</xdr:row>
      <xdr:rowOff>196183</xdr:rowOff>
    </xdr:from>
    <xdr:to>
      <xdr:col>3</xdr:col>
      <xdr:colOff>2108025</xdr:colOff>
      <xdr:row>128</xdr:row>
      <xdr:rowOff>491253</xdr:rowOff>
    </xdr:to>
    <xdr:pic>
      <xdr:nvPicPr>
        <xdr:cNvPr id="69" name="Imagem 68">
          <a:extLst>
            <a:ext uri="{FF2B5EF4-FFF2-40B4-BE49-F238E27FC236}">
              <a16:creationId xmlns:a16="http://schemas.microsoft.com/office/drawing/2014/main" id="{F442978E-DD00-4BC9-A5E1-4880BC66FE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991101" y="55726933"/>
          <a:ext cx="763638" cy="539999"/>
        </a:xfrm>
        <a:prstGeom prst="rect">
          <a:avLst/>
        </a:prstGeom>
      </xdr:spPr>
    </xdr:pic>
    <xdr:clientData/>
  </xdr:twoCellAnchor>
  <xdr:twoCellAnchor>
    <xdr:from>
      <xdr:col>3</xdr:col>
      <xdr:colOff>1344387</xdr:colOff>
      <xdr:row>133</xdr:row>
      <xdr:rowOff>196183</xdr:rowOff>
    </xdr:from>
    <xdr:to>
      <xdr:col>3</xdr:col>
      <xdr:colOff>2108025</xdr:colOff>
      <xdr:row>134</xdr:row>
      <xdr:rowOff>491252</xdr:rowOff>
    </xdr:to>
    <xdr:pic>
      <xdr:nvPicPr>
        <xdr:cNvPr id="70" name="Imagem 69">
          <a:extLst>
            <a:ext uri="{FF2B5EF4-FFF2-40B4-BE49-F238E27FC236}">
              <a16:creationId xmlns:a16="http://schemas.microsoft.com/office/drawing/2014/main" id="{568EBA87-0388-443C-A377-2F30BE5BDA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991101" y="58339504"/>
          <a:ext cx="763638" cy="539998"/>
        </a:xfrm>
        <a:prstGeom prst="rect">
          <a:avLst/>
        </a:prstGeom>
      </xdr:spPr>
    </xdr:pic>
    <xdr:clientData/>
  </xdr:twoCellAnchor>
  <xdr:twoCellAnchor>
    <xdr:from>
      <xdr:col>3</xdr:col>
      <xdr:colOff>1344387</xdr:colOff>
      <xdr:row>135</xdr:row>
      <xdr:rowOff>196182</xdr:rowOff>
    </xdr:from>
    <xdr:to>
      <xdr:col>3</xdr:col>
      <xdr:colOff>2108025</xdr:colOff>
      <xdr:row>136</xdr:row>
      <xdr:rowOff>491252</xdr:rowOff>
    </xdr:to>
    <xdr:pic>
      <xdr:nvPicPr>
        <xdr:cNvPr id="71" name="Imagem 70">
          <a:extLst>
            <a:ext uri="{FF2B5EF4-FFF2-40B4-BE49-F238E27FC236}">
              <a16:creationId xmlns:a16="http://schemas.microsoft.com/office/drawing/2014/main" id="{0F0BBEE7-3A1E-4C35-9C11-4299AB3ED7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991101" y="59210361"/>
          <a:ext cx="763638" cy="539998"/>
        </a:xfrm>
        <a:prstGeom prst="rect">
          <a:avLst/>
        </a:prstGeom>
      </xdr:spPr>
    </xdr:pic>
    <xdr:clientData/>
  </xdr:twoCellAnchor>
  <xdr:twoCellAnchor>
    <xdr:from>
      <xdr:col>3</xdr:col>
      <xdr:colOff>1344388</xdr:colOff>
      <xdr:row>137</xdr:row>
      <xdr:rowOff>196182</xdr:rowOff>
    </xdr:from>
    <xdr:to>
      <xdr:col>3</xdr:col>
      <xdr:colOff>2108024</xdr:colOff>
      <xdr:row>138</xdr:row>
      <xdr:rowOff>491252</xdr:rowOff>
    </xdr:to>
    <xdr:pic>
      <xdr:nvPicPr>
        <xdr:cNvPr id="72" name="Imagem 71">
          <a:extLst>
            <a:ext uri="{FF2B5EF4-FFF2-40B4-BE49-F238E27FC236}">
              <a16:creationId xmlns:a16="http://schemas.microsoft.com/office/drawing/2014/main" id="{61DF8037-C6E8-4F21-A667-2A6E573E9C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991102" y="60081218"/>
          <a:ext cx="763636" cy="539998"/>
        </a:xfrm>
        <a:prstGeom prst="rect">
          <a:avLst/>
        </a:prstGeom>
      </xdr:spPr>
    </xdr:pic>
    <xdr:clientData/>
  </xdr:twoCellAnchor>
  <xdr:twoCellAnchor>
    <xdr:from>
      <xdr:col>3</xdr:col>
      <xdr:colOff>1344388</xdr:colOff>
      <xdr:row>139</xdr:row>
      <xdr:rowOff>196182</xdr:rowOff>
    </xdr:from>
    <xdr:to>
      <xdr:col>3</xdr:col>
      <xdr:colOff>2108024</xdr:colOff>
      <xdr:row>140</xdr:row>
      <xdr:rowOff>491252</xdr:rowOff>
    </xdr:to>
    <xdr:pic>
      <xdr:nvPicPr>
        <xdr:cNvPr id="73" name="Imagem 72">
          <a:extLst>
            <a:ext uri="{FF2B5EF4-FFF2-40B4-BE49-F238E27FC236}">
              <a16:creationId xmlns:a16="http://schemas.microsoft.com/office/drawing/2014/main" id="{F64A52B4-E9A7-4067-BF21-26CBD0AB17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991102" y="60952075"/>
          <a:ext cx="763636" cy="539998"/>
        </a:xfrm>
        <a:prstGeom prst="rect">
          <a:avLst/>
        </a:prstGeom>
      </xdr:spPr>
    </xdr:pic>
    <xdr:clientData/>
  </xdr:twoCellAnchor>
  <xdr:twoCellAnchor>
    <xdr:from>
      <xdr:col>3</xdr:col>
      <xdr:colOff>1357994</xdr:colOff>
      <xdr:row>141</xdr:row>
      <xdr:rowOff>209790</xdr:rowOff>
    </xdr:from>
    <xdr:to>
      <xdr:col>3</xdr:col>
      <xdr:colOff>2121630</xdr:colOff>
      <xdr:row>142</xdr:row>
      <xdr:rowOff>504858</xdr:rowOff>
    </xdr:to>
    <xdr:pic>
      <xdr:nvPicPr>
        <xdr:cNvPr id="74" name="Imagem 73">
          <a:extLst>
            <a:ext uri="{FF2B5EF4-FFF2-40B4-BE49-F238E27FC236}">
              <a16:creationId xmlns:a16="http://schemas.microsoft.com/office/drawing/2014/main" id="{26EA96B5-C85A-411F-906D-64F6DFADC1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04708" y="61836540"/>
          <a:ext cx="763636" cy="539997"/>
        </a:xfrm>
        <a:prstGeom prst="rect">
          <a:avLst/>
        </a:prstGeom>
      </xdr:spPr>
    </xdr:pic>
    <xdr:clientData/>
  </xdr:twoCellAnchor>
  <xdr:twoCellAnchor>
    <xdr:from>
      <xdr:col>3</xdr:col>
      <xdr:colOff>1357994</xdr:colOff>
      <xdr:row>143</xdr:row>
      <xdr:rowOff>209790</xdr:rowOff>
    </xdr:from>
    <xdr:to>
      <xdr:col>3</xdr:col>
      <xdr:colOff>2121629</xdr:colOff>
      <xdr:row>144</xdr:row>
      <xdr:rowOff>504858</xdr:rowOff>
    </xdr:to>
    <xdr:pic>
      <xdr:nvPicPr>
        <xdr:cNvPr id="75" name="Imagem 74">
          <a:extLst>
            <a:ext uri="{FF2B5EF4-FFF2-40B4-BE49-F238E27FC236}">
              <a16:creationId xmlns:a16="http://schemas.microsoft.com/office/drawing/2014/main" id="{68C1113D-99B6-419C-AD52-C8D343ADAC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04708" y="62707397"/>
          <a:ext cx="763635" cy="539997"/>
        </a:xfrm>
        <a:prstGeom prst="rect">
          <a:avLst/>
        </a:prstGeom>
      </xdr:spPr>
    </xdr:pic>
    <xdr:clientData/>
  </xdr:twoCellAnchor>
  <xdr:twoCellAnchor>
    <xdr:from>
      <xdr:col>3</xdr:col>
      <xdr:colOff>1357994</xdr:colOff>
      <xdr:row>145</xdr:row>
      <xdr:rowOff>209790</xdr:rowOff>
    </xdr:from>
    <xdr:to>
      <xdr:col>3</xdr:col>
      <xdr:colOff>2121629</xdr:colOff>
      <xdr:row>146</xdr:row>
      <xdr:rowOff>504857</xdr:rowOff>
    </xdr:to>
    <xdr:pic>
      <xdr:nvPicPr>
        <xdr:cNvPr id="76" name="Imagem 75">
          <a:extLst>
            <a:ext uri="{FF2B5EF4-FFF2-40B4-BE49-F238E27FC236}">
              <a16:creationId xmlns:a16="http://schemas.microsoft.com/office/drawing/2014/main" id="{A65F4B18-ABFF-42A0-8533-4E7E2DAB22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04708" y="63578254"/>
          <a:ext cx="763635" cy="539996"/>
        </a:xfrm>
        <a:prstGeom prst="rect">
          <a:avLst/>
        </a:prstGeom>
      </xdr:spPr>
    </xdr:pic>
    <xdr:clientData/>
  </xdr:twoCellAnchor>
  <xdr:twoCellAnchor>
    <xdr:from>
      <xdr:col>3</xdr:col>
      <xdr:colOff>1357994</xdr:colOff>
      <xdr:row>147</xdr:row>
      <xdr:rowOff>209790</xdr:rowOff>
    </xdr:from>
    <xdr:to>
      <xdr:col>3</xdr:col>
      <xdr:colOff>2121629</xdr:colOff>
      <xdr:row>148</xdr:row>
      <xdr:rowOff>504857</xdr:rowOff>
    </xdr:to>
    <xdr:pic>
      <xdr:nvPicPr>
        <xdr:cNvPr id="77" name="Imagem 76">
          <a:extLst>
            <a:ext uri="{FF2B5EF4-FFF2-40B4-BE49-F238E27FC236}">
              <a16:creationId xmlns:a16="http://schemas.microsoft.com/office/drawing/2014/main" id="{9ED2A019-4B10-4DC7-81D3-6043F637C0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04708" y="64449111"/>
          <a:ext cx="763635" cy="539996"/>
        </a:xfrm>
        <a:prstGeom prst="rect">
          <a:avLst/>
        </a:prstGeom>
      </xdr:spPr>
    </xdr:pic>
    <xdr:clientData/>
  </xdr:twoCellAnchor>
  <xdr:twoCellAnchor>
    <xdr:from>
      <xdr:col>3</xdr:col>
      <xdr:colOff>1357994</xdr:colOff>
      <xdr:row>149</xdr:row>
      <xdr:rowOff>209789</xdr:rowOff>
    </xdr:from>
    <xdr:to>
      <xdr:col>3</xdr:col>
      <xdr:colOff>2121628</xdr:colOff>
      <xdr:row>150</xdr:row>
      <xdr:rowOff>504857</xdr:rowOff>
    </xdr:to>
    <xdr:pic>
      <xdr:nvPicPr>
        <xdr:cNvPr id="78" name="Imagem 77">
          <a:extLst>
            <a:ext uri="{FF2B5EF4-FFF2-40B4-BE49-F238E27FC236}">
              <a16:creationId xmlns:a16="http://schemas.microsoft.com/office/drawing/2014/main" id="{8F94C38F-7435-46BB-A23B-9C047BD688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04708" y="65319968"/>
          <a:ext cx="763634" cy="539996"/>
        </a:xfrm>
        <a:prstGeom prst="rect">
          <a:avLst/>
        </a:prstGeom>
      </xdr:spPr>
    </xdr:pic>
    <xdr:clientData/>
  </xdr:twoCellAnchor>
  <xdr:twoCellAnchor>
    <xdr:from>
      <xdr:col>3</xdr:col>
      <xdr:colOff>1357994</xdr:colOff>
      <xdr:row>151</xdr:row>
      <xdr:rowOff>209789</xdr:rowOff>
    </xdr:from>
    <xdr:to>
      <xdr:col>3</xdr:col>
      <xdr:colOff>2121628</xdr:colOff>
      <xdr:row>152</xdr:row>
      <xdr:rowOff>504856</xdr:rowOff>
    </xdr:to>
    <xdr:pic>
      <xdr:nvPicPr>
        <xdr:cNvPr id="79" name="Imagem 78">
          <a:extLst>
            <a:ext uri="{FF2B5EF4-FFF2-40B4-BE49-F238E27FC236}">
              <a16:creationId xmlns:a16="http://schemas.microsoft.com/office/drawing/2014/main" id="{376D2538-0BB5-46C0-9E12-81FA30A690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04708" y="66190825"/>
          <a:ext cx="763634" cy="539995"/>
        </a:xfrm>
        <a:prstGeom prst="rect">
          <a:avLst/>
        </a:prstGeom>
      </xdr:spPr>
    </xdr:pic>
    <xdr:clientData/>
  </xdr:twoCellAnchor>
  <xdr:twoCellAnchor>
    <xdr:from>
      <xdr:col>3</xdr:col>
      <xdr:colOff>1357995</xdr:colOff>
      <xdr:row>153</xdr:row>
      <xdr:rowOff>209789</xdr:rowOff>
    </xdr:from>
    <xdr:to>
      <xdr:col>3</xdr:col>
      <xdr:colOff>2121627</xdr:colOff>
      <xdr:row>154</xdr:row>
      <xdr:rowOff>504856</xdr:rowOff>
    </xdr:to>
    <xdr:pic>
      <xdr:nvPicPr>
        <xdr:cNvPr id="80" name="Imagem 79">
          <a:extLst>
            <a:ext uri="{FF2B5EF4-FFF2-40B4-BE49-F238E27FC236}">
              <a16:creationId xmlns:a16="http://schemas.microsoft.com/office/drawing/2014/main" id="{EB6D7AE9-C335-4DB4-86D2-F2FE5FB222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04709" y="67061682"/>
          <a:ext cx="763632" cy="539995"/>
        </a:xfrm>
        <a:prstGeom prst="rect">
          <a:avLst/>
        </a:prstGeom>
      </xdr:spPr>
    </xdr:pic>
    <xdr:clientData/>
  </xdr:twoCellAnchor>
  <xdr:twoCellAnchor>
    <xdr:from>
      <xdr:col>3</xdr:col>
      <xdr:colOff>1357995</xdr:colOff>
      <xdr:row>155</xdr:row>
      <xdr:rowOff>209790</xdr:rowOff>
    </xdr:from>
    <xdr:to>
      <xdr:col>3</xdr:col>
      <xdr:colOff>2121627</xdr:colOff>
      <xdr:row>156</xdr:row>
      <xdr:rowOff>504855</xdr:rowOff>
    </xdr:to>
    <xdr:pic>
      <xdr:nvPicPr>
        <xdr:cNvPr id="81" name="Imagem 80">
          <a:extLst>
            <a:ext uri="{FF2B5EF4-FFF2-40B4-BE49-F238E27FC236}">
              <a16:creationId xmlns:a16="http://schemas.microsoft.com/office/drawing/2014/main" id="{16F93522-6CDC-4F16-BA54-25F6698F1A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04709" y="67932540"/>
          <a:ext cx="763632" cy="539994"/>
        </a:xfrm>
        <a:prstGeom prst="rect">
          <a:avLst/>
        </a:prstGeom>
      </xdr:spPr>
    </xdr:pic>
    <xdr:clientData/>
  </xdr:twoCellAnchor>
  <xdr:twoCellAnchor>
    <xdr:from>
      <xdr:col>3</xdr:col>
      <xdr:colOff>1357995</xdr:colOff>
      <xdr:row>157</xdr:row>
      <xdr:rowOff>209790</xdr:rowOff>
    </xdr:from>
    <xdr:to>
      <xdr:col>3</xdr:col>
      <xdr:colOff>2121626</xdr:colOff>
      <xdr:row>158</xdr:row>
      <xdr:rowOff>504855</xdr:rowOff>
    </xdr:to>
    <xdr:pic>
      <xdr:nvPicPr>
        <xdr:cNvPr id="82" name="Imagem 81">
          <a:extLst>
            <a:ext uri="{FF2B5EF4-FFF2-40B4-BE49-F238E27FC236}">
              <a16:creationId xmlns:a16="http://schemas.microsoft.com/office/drawing/2014/main" id="{8A1A3873-A53F-445D-BDE9-9E0E032526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04709" y="68803397"/>
          <a:ext cx="763631" cy="539994"/>
        </a:xfrm>
        <a:prstGeom prst="rect">
          <a:avLst/>
        </a:prstGeom>
      </xdr:spPr>
    </xdr:pic>
    <xdr:clientData/>
  </xdr:twoCellAnchor>
  <xdr:twoCellAnchor>
    <xdr:from>
      <xdr:col>3</xdr:col>
      <xdr:colOff>1371601</xdr:colOff>
      <xdr:row>159</xdr:row>
      <xdr:rowOff>155362</xdr:rowOff>
    </xdr:from>
    <xdr:to>
      <xdr:col>3</xdr:col>
      <xdr:colOff>2135232</xdr:colOff>
      <xdr:row>160</xdr:row>
      <xdr:rowOff>450426</xdr:rowOff>
    </xdr:to>
    <xdr:pic>
      <xdr:nvPicPr>
        <xdr:cNvPr id="83" name="Imagem 82">
          <a:extLst>
            <a:ext uri="{FF2B5EF4-FFF2-40B4-BE49-F238E27FC236}">
              <a16:creationId xmlns:a16="http://schemas.microsoft.com/office/drawing/2014/main" id="{716A2166-26BD-4EFA-8177-B28CB30F27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18315" y="69619826"/>
          <a:ext cx="763631" cy="539993"/>
        </a:xfrm>
        <a:prstGeom prst="rect">
          <a:avLst/>
        </a:prstGeom>
      </xdr:spPr>
    </xdr:pic>
    <xdr:clientData/>
  </xdr:twoCellAnchor>
  <xdr:twoCellAnchor>
    <xdr:from>
      <xdr:col>3</xdr:col>
      <xdr:colOff>1371602</xdr:colOff>
      <xdr:row>161</xdr:row>
      <xdr:rowOff>155362</xdr:rowOff>
    </xdr:from>
    <xdr:to>
      <xdr:col>3</xdr:col>
      <xdr:colOff>2135231</xdr:colOff>
      <xdr:row>162</xdr:row>
      <xdr:rowOff>450426</xdr:rowOff>
    </xdr:to>
    <xdr:pic>
      <xdr:nvPicPr>
        <xdr:cNvPr id="84" name="Imagem 83">
          <a:extLst>
            <a:ext uri="{FF2B5EF4-FFF2-40B4-BE49-F238E27FC236}">
              <a16:creationId xmlns:a16="http://schemas.microsoft.com/office/drawing/2014/main" id="{420FF315-E4F2-4361-8357-7D4D1AED3B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18316" y="70490683"/>
          <a:ext cx="763629" cy="539993"/>
        </a:xfrm>
        <a:prstGeom prst="rect">
          <a:avLst/>
        </a:prstGeom>
      </xdr:spPr>
    </xdr:pic>
    <xdr:clientData/>
  </xdr:twoCellAnchor>
  <xdr:twoCellAnchor>
    <xdr:from>
      <xdr:col>3</xdr:col>
      <xdr:colOff>1371602</xdr:colOff>
      <xdr:row>163</xdr:row>
      <xdr:rowOff>155361</xdr:rowOff>
    </xdr:from>
    <xdr:to>
      <xdr:col>3</xdr:col>
      <xdr:colOff>2135231</xdr:colOff>
      <xdr:row>164</xdr:row>
      <xdr:rowOff>450425</xdr:rowOff>
    </xdr:to>
    <xdr:pic>
      <xdr:nvPicPr>
        <xdr:cNvPr id="85" name="Imagem 84">
          <a:extLst>
            <a:ext uri="{FF2B5EF4-FFF2-40B4-BE49-F238E27FC236}">
              <a16:creationId xmlns:a16="http://schemas.microsoft.com/office/drawing/2014/main" id="{E27DF526-83A6-4CBA-992B-4B9BDE974E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18316" y="71361540"/>
          <a:ext cx="763629" cy="539992"/>
        </a:xfrm>
        <a:prstGeom prst="rect">
          <a:avLst/>
        </a:prstGeom>
      </xdr:spPr>
    </xdr:pic>
    <xdr:clientData/>
  </xdr:twoCellAnchor>
  <xdr:twoCellAnchor>
    <xdr:from>
      <xdr:col>3</xdr:col>
      <xdr:colOff>1371602</xdr:colOff>
      <xdr:row>169</xdr:row>
      <xdr:rowOff>155362</xdr:rowOff>
    </xdr:from>
    <xdr:to>
      <xdr:col>3</xdr:col>
      <xdr:colOff>2135230</xdr:colOff>
      <xdr:row>170</xdr:row>
      <xdr:rowOff>450424</xdr:rowOff>
    </xdr:to>
    <xdr:pic>
      <xdr:nvPicPr>
        <xdr:cNvPr id="86" name="Imagem 85">
          <a:extLst>
            <a:ext uri="{FF2B5EF4-FFF2-40B4-BE49-F238E27FC236}">
              <a16:creationId xmlns:a16="http://schemas.microsoft.com/office/drawing/2014/main" id="{29B5C728-95DD-4740-9ECA-6C436B0EFB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18316" y="73974112"/>
          <a:ext cx="763628" cy="539991"/>
        </a:xfrm>
        <a:prstGeom prst="rect">
          <a:avLst/>
        </a:prstGeom>
      </xdr:spPr>
    </xdr:pic>
    <xdr:clientData/>
  </xdr:twoCellAnchor>
  <xdr:twoCellAnchor>
    <xdr:from>
      <xdr:col>3</xdr:col>
      <xdr:colOff>1371603</xdr:colOff>
      <xdr:row>171</xdr:row>
      <xdr:rowOff>155362</xdr:rowOff>
    </xdr:from>
    <xdr:to>
      <xdr:col>3</xdr:col>
      <xdr:colOff>2135229</xdr:colOff>
      <xdr:row>172</xdr:row>
      <xdr:rowOff>450424</xdr:rowOff>
    </xdr:to>
    <xdr:pic>
      <xdr:nvPicPr>
        <xdr:cNvPr id="87" name="Imagem 86">
          <a:extLst>
            <a:ext uri="{FF2B5EF4-FFF2-40B4-BE49-F238E27FC236}">
              <a16:creationId xmlns:a16="http://schemas.microsoft.com/office/drawing/2014/main" id="{CEE66B79-DD2B-4164-92E4-3D463E9B06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18317" y="74844969"/>
          <a:ext cx="763626" cy="539991"/>
        </a:xfrm>
        <a:prstGeom prst="rect">
          <a:avLst/>
        </a:prstGeom>
      </xdr:spPr>
    </xdr:pic>
    <xdr:clientData/>
  </xdr:twoCellAnchor>
  <xdr:twoCellAnchor>
    <xdr:from>
      <xdr:col>3</xdr:col>
      <xdr:colOff>1371603</xdr:colOff>
      <xdr:row>173</xdr:row>
      <xdr:rowOff>155362</xdr:rowOff>
    </xdr:from>
    <xdr:to>
      <xdr:col>3</xdr:col>
      <xdr:colOff>2135229</xdr:colOff>
      <xdr:row>174</xdr:row>
      <xdr:rowOff>450423</xdr:rowOff>
    </xdr:to>
    <xdr:pic>
      <xdr:nvPicPr>
        <xdr:cNvPr id="88" name="Imagem 87">
          <a:extLst>
            <a:ext uri="{FF2B5EF4-FFF2-40B4-BE49-F238E27FC236}">
              <a16:creationId xmlns:a16="http://schemas.microsoft.com/office/drawing/2014/main" id="{9065192A-4DF2-4D91-8066-D60181DCCD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18317" y="75715826"/>
          <a:ext cx="763626" cy="539990"/>
        </a:xfrm>
        <a:prstGeom prst="rect">
          <a:avLst/>
        </a:prstGeom>
      </xdr:spPr>
    </xdr:pic>
    <xdr:clientData/>
  </xdr:twoCellAnchor>
  <xdr:twoCellAnchor>
    <xdr:from>
      <xdr:col>3</xdr:col>
      <xdr:colOff>1371603</xdr:colOff>
      <xdr:row>175</xdr:row>
      <xdr:rowOff>155362</xdr:rowOff>
    </xdr:from>
    <xdr:to>
      <xdr:col>3</xdr:col>
      <xdr:colOff>2135228</xdr:colOff>
      <xdr:row>176</xdr:row>
      <xdr:rowOff>450423</xdr:rowOff>
    </xdr:to>
    <xdr:pic>
      <xdr:nvPicPr>
        <xdr:cNvPr id="89" name="Imagem 88">
          <a:extLst>
            <a:ext uri="{FF2B5EF4-FFF2-40B4-BE49-F238E27FC236}">
              <a16:creationId xmlns:a16="http://schemas.microsoft.com/office/drawing/2014/main" id="{D436CB17-EDA7-402C-900E-9976B67105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18317" y="76586683"/>
          <a:ext cx="763625" cy="539990"/>
        </a:xfrm>
        <a:prstGeom prst="rect">
          <a:avLst/>
        </a:prstGeom>
      </xdr:spPr>
    </xdr:pic>
    <xdr:clientData/>
  </xdr:twoCellAnchor>
  <xdr:twoCellAnchor>
    <xdr:from>
      <xdr:col>3</xdr:col>
      <xdr:colOff>1371603</xdr:colOff>
      <xdr:row>177</xdr:row>
      <xdr:rowOff>117261</xdr:rowOff>
    </xdr:from>
    <xdr:to>
      <xdr:col>3</xdr:col>
      <xdr:colOff>2135228</xdr:colOff>
      <xdr:row>178</xdr:row>
      <xdr:rowOff>412322</xdr:rowOff>
    </xdr:to>
    <xdr:pic>
      <xdr:nvPicPr>
        <xdr:cNvPr id="90" name="Imagem 89">
          <a:extLst>
            <a:ext uri="{FF2B5EF4-FFF2-40B4-BE49-F238E27FC236}">
              <a16:creationId xmlns:a16="http://schemas.microsoft.com/office/drawing/2014/main" id="{A570B97E-2DA0-47A9-BF6B-2C984ED6F4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18317" y="77419440"/>
          <a:ext cx="763625" cy="539989"/>
        </a:xfrm>
        <a:prstGeom prst="rect">
          <a:avLst/>
        </a:prstGeom>
      </xdr:spPr>
    </xdr:pic>
    <xdr:clientData/>
  </xdr:twoCellAnchor>
  <xdr:twoCellAnchor>
    <xdr:from>
      <xdr:col>3</xdr:col>
      <xdr:colOff>1371603</xdr:colOff>
      <xdr:row>179</xdr:row>
      <xdr:rowOff>155361</xdr:rowOff>
    </xdr:from>
    <xdr:to>
      <xdr:col>3</xdr:col>
      <xdr:colOff>2135227</xdr:colOff>
      <xdr:row>180</xdr:row>
      <xdr:rowOff>450422</xdr:rowOff>
    </xdr:to>
    <xdr:pic>
      <xdr:nvPicPr>
        <xdr:cNvPr id="91" name="Imagem 90">
          <a:extLst>
            <a:ext uri="{FF2B5EF4-FFF2-40B4-BE49-F238E27FC236}">
              <a16:creationId xmlns:a16="http://schemas.microsoft.com/office/drawing/2014/main" id="{38E6FABF-6A6E-4433-AE05-3C5419DAF6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18317" y="78328397"/>
          <a:ext cx="763624" cy="539989"/>
        </a:xfrm>
        <a:prstGeom prst="rect">
          <a:avLst/>
        </a:prstGeom>
      </xdr:spPr>
    </xdr:pic>
    <xdr:clientData/>
  </xdr:twoCellAnchor>
  <xdr:twoCellAnchor>
    <xdr:from>
      <xdr:col>3</xdr:col>
      <xdr:colOff>1371604</xdr:colOff>
      <xdr:row>181</xdr:row>
      <xdr:rowOff>182575</xdr:rowOff>
    </xdr:from>
    <xdr:to>
      <xdr:col>3</xdr:col>
      <xdr:colOff>2135228</xdr:colOff>
      <xdr:row>182</xdr:row>
      <xdr:rowOff>477635</xdr:rowOff>
    </xdr:to>
    <xdr:pic>
      <xdr:nvPicPr>
        <xdr:cNvPr id="92" name="Imagem 91">
          <a:extLst>
            <a:ext uri="{FF2B5EF4-FFF2-40B4-BE49-F238E27FC236}">
              <a16:creationId xmlns:a16="http://schemas.microsoft.com/office/drawing/2014/main" id="{C3F5C8DB-24D8-48E9-B4B7-6EFA5F0904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18318" y="79226468"/>
          <a:ext cx="763624" cy="539988"/>
        </a:xfrm>
        <a:prstGeom prst="rect">
          <a:avLst/>
        </a:prstGeom>
      </xdr:spPr>
    </xdr:pic>
    <xdr:clientData/>
  </xdr:twoCellAnchor>
  <xdr:twoCellAnchor>
    <xdr:from>
      <xdr:col>3</xdr:col>
      <xdr:colOff>1371605</xdr:colOff>
      <xdr:row>183</xdr:row>
      <xdr:rowOff>182576</xdr:rowOff>
    </xdr:from>
    <xdr:to>
      <xdr:col>3</xdr:col>
      <xdr:colOff>2135227</xdr:colOff>
      <xdr:row>184</xdr:row>
      <xdr:rowOff>477635</xdr:rowOff>
    </xdr:to>
    <xdr:pic>
      <xdr:nvPicPr>
        <xdr:cNvPr id="93" name="Imagem 92">
          <a:extLst>
            <a:ext uri="{FF2B5EF4-FFF2-40B4-BE49-F238E27FC236}">
              <a16:creationId xmlns:a16="http://schemas.microsoft.com/office/drawing/2014/main" id="{1C7153D2-15FC-4136-85E9-E8D7390C61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18319" y="80097326"/>
          <a:ext cx="763622" cy="539988"/>
        </a:xfrm>
        <a:prstGeom prst="rect">
          <a:avLst/>
        </a:prstGeom>
      </xdr:spPr>
    </xdr:pic>
    <xdr:clientData/>
  </xdr:twoCellAnchor>
  <xdr:twoCellAnchor>
    <xdr:from>
      <xdr:col>3</xdr:col>
      <xdr:colOff>1371605</xdr:colOff>
      <xdr:row>185</xdr:row>
      <xdr:rowOff>182576</xdr:rowOff>
    </xdr:from>
    <xdr:to>
      <xdr:col>3</xdr:col>
      <xdr:colOff>2135227</xdr:colOff>
      <xdr:row>186</xdr:row>
      <xdr:rowOff>477634</xdr:rowOff>
    </xdr:to>
    <xdr:pic>
      <xdr:nvPicPr>
        <xdr:cNvPr id="94" name="Imagem 93">
          <a:extLst>
            <a:ext uri="{FF2B5EF4-FFF2-40B4-BE49-F238E27FC236}">
              <a16:creationId xmlns:a16="http://schemas.microsoft.com/office/drawing/2014/main" id="{E2C09A03-7102-4AF0-A79F-F193A4903F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18319" y="80968183"/>
          <a:ext cx="763622" cy="539987"/>
        </a:xfrm>
        <a:prstGeom prst="rect">
          <a:avLst/>
        </a:prstGeom>
      </xdr:spPr>
    </xdr:pic>
    <xdr:clientData/>
  </xdr:twoCellAnchor>
  <xdr:twoCellAnchor>
    <xdr:from>
      <xdr:col>3</xdr:col>
      <xdr:colOff>1371605</xdr:colOff>
      <xdr:row>187</xdr:row>
      <xdr:rowOff>182576</xdr:rowOff>
    </xdr:from>
    <xdr:to>
      <xdr:col>3</xdr:col>
      <xdr:colOff>2135226</xdr:colOff>
      <xdr:row>188</xdr:row>
      <xdr:rowOff>477634</xdr:rowOff>
    </xdr:to>
    <xdr:pic>
      <xdr:nvPicPr>
        <xdr:cNvPr id="95" name="Imagem 94">
          <a:extLst>
            <a:ext uri="{FF2B5EF4-FFF2-40B4-BE49-F238E27FC236}">
              <a16:creationId xmlns:a16="http://schemas.microsoft.com/office/drawing/2014/main" id="{9506406E-B88B-44A6-AF0A-2883581679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18319" y="81839040"/>
          <a:ext cx="763621" cy="539987"/>
        </a:xfrm>
        <a:prstGeom prst="rect">
          <a:avLst/>
        </a:prstGeom>
      </xdr:spPr>
    </xdr:pic>
    <xdr:clientData/>
  </xdr:twoCellAnchor>
  <xdr:twoCellAnchor>
    <xdr:from>
      <xdr:col>3</xdr:col>
      <xdr:colOff>1371605</xdr:colOff>
      <xdr:row>189</xdr:row>
      <xdr:rowOff>182576</xdr:rowOff>
    </xdr:from>
    <xdr:to>
      <xdr:col>3</xdr:col>
      <xdr:colOff>2135226</xdr:colOff>
      <xdr:row>190</xdr:row>
      <xdr:rowOff>477633</xdr:rowOff>
    </xdr:to>
    <xdr:pic>
      <xdr:nvPicPr>
        <xdr:cNvPr id="96" name="Imagem 95">
          <a:extLst>
            <a:ext uri="{FF2B5EF4-FFF2-40B4-BE49-F238E27FC236}">
              <a16:creationId xmlns:a16="http://schemas.microsoft.com/office/drawing/2014/main" id="{B920BAE3-70C0-45DD-BB89-521DBB779B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18319" y="82709897"/>
          <a:ext cx="763621" cy="539986"/>
        </a:xfrm>
        <a:prstGeom prst="rect">
          <a:avLst/>
        </a:prstGeom>
      </xdr:spPr>
    </xdr:pic>
    <xdr:clientData/>
  </xdr:twoCellAnchor>
  <xdr:twoCellAnchor>
    <xdr:from>
      <xdr:col>3</xdr:col>
      <xdr:colOff>1371606</xdr:colOff>
      <xdr:row>191</xdr:row>
      <xdr:rowOff>182575</xdr:rowOff>
    </xdr:from>
    <xdr:to>
      <xdr:col>3</xdr:col>
      <xdr:colOff>2135225</xdr:colOff>
      <xdr:row>192</xdr:row>
      <xdr:rowOff>477633</xdr:rowOff>
    </xdr:to>
    <xdr:pic>
      <xdr:nvPicPr>
        <xdr:cNvPr id="97" name="Imagem 96">
          <a:extLst>
            <a:ext uri="{FF2B5EF4-FFF2-40B4-BE49-F238E27FC236}">
              <a16:creationId xmlns:a16="http://schemas.microsoft.com/office/drawing/2014/main" id="{381717F1-6C42-4543-BF19-4D4A97EB48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18320" y="83580754"/>
          <a:ext cx="763619" cy="539986"/>
        </a:xfrm>
        <a:prstGeom prst="rect">
          <a:avLst/>
        </a:prstGeom>
      </xdr:spPr>
    </xdr:pic>
    <xdr:clientData/>
  </xdr:twoCellAnchor>
  <xdr:twoCellAnchor>
    <xdr:from>
      <xdr:col>3</xdr:col>
      <xdr:colOff>1357993</xdr:colOff>
      <xdr:row>193</xdr:row>
      <xdr:rowOff>181214</xdr:rowOff>
    </xdr:from>
    <xdr:to>
      <xdr:col>3</xdr:col>
      <xdr:colOff>2121612</xdr:colOff>
      <xdr:row>194</xdr:row>
      <xdr:rowOff>476271</xdr:rowOff>
    </xdr:to>
    <xdr:pic>
      <xdr:nvPicPr>
        <xdr:cNvPr id="98" name="Imagem 97">
          <a:extLst>
            <a:ext uri="{FF2B5EF4-FFF2-40B4-BE49-F238E27FC236}">
              <a16:creationId xmlns:a16="http://schemas.microsoft.com/office/drawing/2014/main" id="{8934F491-F2C3-4278-89C6-1DD7887F72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04707" y="84450250"/>
          <a:ext cx="763619" cy="539985"/>
        </a:xfrm>
        <a:prstGeom prst="rect">
          <a:avLst/>
        </a:prstGeom>
      </xdr:spPr>
    </xdr:pic>
    <xdr:clientData/>
  </xdr:twoCellAnchor>
  <xdr:twoCellAnchor>
    <xdr:from>
      <xdr:col>3</xdr:col>
      <xdr:colOff>1357993</xdr:colOff>
      <xdr:row>195</xdr:row>
      <xdr:rowOff>209789</xdr:rowOff>
    </xdr:from>
    <xdr:to>
      <xdr:col>3</xdr:col>
      <xdr:colOff>2121611</xdr:colOff>
      <xdr:row>196</xdr:row>
      <xdr:rowOff>504846</xdr:rowOff>
    </xdr:to>
    <xdr:pic>
      <xdr:nvPicPr>
        <xdr:cNvPr id="99" name="Imagem 98">
          <a:extLst>
            <a:ext uri="{FF2B5EF4-FFF2-40B4-BE49-F238E27FC236}">
              <a16:creationId xmlns:a16="http://schemas.microsoft.com/office/drawing/2014/main" id="{A52D52FF-744C-49BB-A706-5D28B62B34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04707" y="85349682"/>
          <a:ext cx="763618" cy="539985"/>
        </a:xfrm>
        <a:prstGeom prst="rect">
          <a:avLst/>
        </a:prstGeom>
      </xdr:spPr>
    </xdr:pic>
    <xdr:clientData/>
  </xdr:twoCellAnchor>
  <xdr:twoCellAnchor>
    <xdr:from>
      <xdr:col>3</xdr:col>
      <xdr:colOff>1371606</xdr:colOff>
      <xdr:row>197</xdr:row>
      <xdr:rowOff>182576</xdr:rowOff>
    </xdr:from>
    <xdr:to>
      <xdr:col>3</xdr:col>
      <xdr:colOff>2135225</xdr:colOff>
      <xdr:row>198</xdr:row>
      <xdr:rowOff>477632</xdr:rowOff>
    </xdr:to>
    <xdr:pic>
      <xdr:nvPicPr>
        <xdr:cNvPr id="100" name="Imagem 99">
          <a:extLst>
            <a:ext uri="{FF2B5EF4-FFF2-40B4-BE49-F238E27FC236}">
              <a16:creationId xmlns:a16="http://schemas.microsoft.com/office/drawing/2014/main" id="{682B7B2E-58A4-4936-BC05-92CD9EFAC0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18320" y="86193326"/>
          <a:ext cx="763619" cy="539985"/>
        </a:xfrm>
        <a:prstGeom prst="rect">
          <a:avLst/>
        </a:prstGeom>
      </xdr:spPr>
    </xdr:pic>
    <xdr:clientData/>
  </xdr:twoCellAnchor>
  <xdr:twoCellAnchor>
    <xdr:from>
      <xdr:col>3</xdr:col>
      <xdr:colOff>1385212</xdr:colOff>
      <xdr:row>199</xdr:row>
      <xdr:rowOff>182576</xdr:rowOff>
    </xdr:from>
    <xdr:to>
      <xdr:col>3</xdr:col>
      <xdr:colOff>2148830</xdr:colOff>
      <xdr:row>200</xdr:row>
      <xdr:rowOff>477632</xdr:rowOff>
    </xdr:to>
    <xdr:pic>
      <xdr:nvPicPr>
        <xdr:cNvPr id="101" name="Imagem 100">
          <a:extLst>
            <a:ext uri="{FF2B5EF4-FFF2-40B4-BE49-F238E27FC236}">
              <a16:creationId xmlns:a16="http://schemas.microsoft.com/office/drawing/2014/main" id="{21D10844-2F8B-4B7E-9386-C83A20F540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31926" y="87064183"/>
          <a:ext cx="763618" cy="539985"/>
        </a:xfrm>
        <a:prstGeom prst="rect">
          <a:avLst/>
        </a:prstGeom>
      </xdr:spPr>
    </xdr:pic>
    <xdr:clientData/>
  </xdr:twoCellAnchor>
  <xdr:twoCellAnchor>
    <xdr:from>
      <xdr:col>3</xdr:col>
      <xdr:colOff>1385212</xdr:colOff>
      <xdr:row>201</xdr:row>
      <xdr:rowOff>182576</xdr:rowOff>
    </xdr:from>
    <xdr:to>
      <xdr:col>3</xdr:col>
      <xdr:colOff>2148830</xdr:colOff>
      <xdr:row>202</xdr:row>
      <xdr:rowOff>477631</xdr:rowOff>
    </xdr:to>
    <xdr:pic>
      <xdr:nvPicPr>
        <xdr:cNvPr id="102" name="Imagem 101">
          <a:extLst>
            <a:ext uri="{FF2B5EF4-FFF2-40B4-BE49-F238E27FC236}">
              <a16:creationId xmlns:a16="http://schemas.microsoft.com/office/drawing/2014/main" id="{FD82253D-C7FD-442D-9D8D-6CD61B8C70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31926" y="87935040"/>
          <a:ext cx="763618" cy="539984"/>
        </a:xfrm>
        <a:prstGeom prst="rect">
          <a:avLst/>
        </a:prstGeom>
      </xdr:spPr>
    </xdr:pic>
    <xdr:clientData/>
  </xdr:twoCellAnchor>
  <xdr:twoCellAnchor>
    <xdr:from>
      <xdr:col>3</xdr:col>
      <xdr:colOff>1385212</xdr:colOff>
      <xdr:row>203</xdr:row>
      <xdr:rowOff>182576</xdr:rowOff>
    </xdr:from>
    <xdr:to>
      <xdr:col>3</xdr:col>
      <xdr:colOff>2148829</xdr:colOff>
      <xdr:row>204</xdr:row>
      <xdr:rowOff>477631</xdr:rowOff>
    </xdr:to>
    <xdr:pic>
      <xdr:nvPicPr>
        <xdr:cNvPr id="103" name="Imagem 102">
          <a:extLst>
            <a:ext uri="{FF2B5EF4-FFF2-40B4-BE49-F238E27FC236}">
              <a16:creationId xmlns:a16="http://schemas.microsoft.com/office/drawing/2014/main" id="{70947BEF-E47A-48E4-92B2-7C646C6D3B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31926" y="88805897"/>
          <a:ext cx="763617" cy="539984"/>
        </a:xfrm>
        <a:prstGeom prst="rect">
          <a:avLst/>
        </a:prstGeom>
      </xdr:spPr>
    </xdr:pic>
    <xdr:clientData/>
  </xdr:twoCellAnchor>
  <xdr:twoCellAnchor>
    <xdr:from>
      <xdr:col>3</xdr:col>
      <xdr:colOff>1385212</xdr:colOff>
      <xdr:row>205</xdr:row>
      <xdr:rowOff>182575</xdr:rowOff>
    </xdr:from>
    <xdr:to>
      <xdr:col>3</xdr:col>
      <xdr:colOff>2148829</xdr:colOff>
      <xdr:row>206</xdr:row>
      <xdr:rowOff>477630</xdr:rowOff>
    </xdr:to>
    <xdr:pic>
      <xdr:nvPicPr>
        <xdr:cNvPr id="104" name="Imagem 103">
          <a:extLst>
            <a:ext uri="{FF2B5EF4-FFF2-40B4-BE49-F238E27FC236}">
              <a16:creationId xmlns:a16="http://schemas.microsoft.com/office/drawing/2014/main" id="{4D9D4942-08A6-4AF1-A760-624E17A20B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31926" y="89676754"/>
          <a:ext cx="763617" cy="539983"/>
        </a:xfrm>
        <a:prstGeom prst="rect">
          <a:avLst/>
        </a:prstGeom>
      </xdr:spPr>
    </xdr:pic>
    <xdr:clientData/>
  </xdr:twoCellAnchor>
  <xdr:twoCellAnchor>
    <xdr:from>
      <xdr:col>3</xdr:col>
      <xdr:colOff>1385212</xdr:colOff>
      <xdr:row>207</xdr:row>
      <xdr:rowOff>182575</xdr:rowOff>
    </xdr:from>
    <xdr:to>
      <xdr:col>3</xdr:col>
      <xdr:colOff>2148829</xdr:colOff>
      <xdr:row>208</xdr:row>
      <xdr:rowOff>477630</xdr:rowOff>
    </xdr:to>
    <xdr:pic>
      <xdr:nvPicPr>
        <xdr:cNvPr id="105" name="Imagem 104">
          <a:extLst>
            <a:ext uri="{FF2B5EF4-FFF2-40B4-BE49-F238E27FC236}">
              <a16:creationId xmlns:a16="http://schemas.microsoft.com/office/drawing/2014/main" id="{49357C36-C2CF-4B54-B347-E36D3D5AB1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31926" y="90547611"/>
          <a:ext cx="763617" cy="539983"/>
        </a:xfrm>
        <a:prstGeom prst="rect">
          <a:avLst/>
        </a:prstGeom>
      </xdr:spPr>
    </xdr:pic>
    <xdr:clientData/>
  </xdr:twoCellAnchor>
  <xdr:twoCellAnchor>
    <xdr:from>
      <xdr:col>3</xdr:col>
      <xdr:colOff>1385213</xdr:colOff>
      <xdr:row>209</xdr:row>
      <xdr:rowOff>182575</xdr:rowOff>
    </xdr:from>
    <xdr:to>
      <xdr:col>3</xdr:col>
      <xdr:colOff>2148828</xdr:colOff>
      <xdr:row>210</xdr:row>
      <xdr:rowOff>477630</xdr:rowOff>
    </xdr:to>
    <xdr:pic>
      <xdr:nvPicPr>
        <xdr:cNvPr id="106" name="Imagem 105">
          <a:extLst>
            <a:ext uri="{FF2B5EF4-FFF2-40B4-BE49-F238E27FC236}">
              <a16:creationId xmlns:a16="http://schemas.microsoft.com/office/drawing/2014/main" id="{F2571B53-58B7-4746-B34A-8A47387061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31927" y="91418468"/>
          <a:ext cx="763615" cy="539983"/>
        </a:xfrm>
        <a:prstGeom prst="rect">
          <a:avLst/>
        </a:prstGeom>
      </xdr:spPr>
    </xdr:pic>
    <xdr:clientData/>
  </xdr:twoCellAnchor>
  <xdr:twoCellAnchor>
    <xdr:from>
      <xdr:col>3</xdr:col>
      <xdr:colOff>1385213</xdr:colOff>
      <xdr:row>211</xdr:row>
      <xdr:rowOff>182576</xdr:rowOff>
    </xdr:from>
    <xdr:to>
      <xdr:col>3</xdr:col>
      <xdr:colOff>2148828</xdr:colOff>
      <xdr:row>212</xdr:row>
      <xdr:rowOff>477629</xdr:rowOff>
    </xdr:to>
    <xdr:pic>
      <xdr:nvPicPr>
        <xdr:cNvPr id="107" name="Imagem 106">
          <a:extLst>
            <a:ext uri="{FF2B5EF4-FFF2-40B4-BE49-F238E27FC236}">
              <a16:creationId xmlns:a16="http://schemas.microsoft.com/office/drawing/2014/main" id="{9DC0BC3A-80F6-43B0-A24D-065B2A4497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31927" y="92289326"/>
          <a:ext cx="763615" cy="539982"/>
        </a:xfrm>
        <a:prstGeom prst="rect">
          <a:avLst/>
        </a:prstGeom>
      </xdr:spPr>
    </xdr:pic>
    <xdr:clientData/>
  </xdr:twoCellAnchor>
  <xdr:twoCellAnchor>
    <xdr:from>
      <xdr:col>3</xdr:col>
      <xdr:colOff>1385213</xdr:colOff>
      <xdr:row>213</xdr:row>
      <xdr:rowOff>182576</xdr:rowOff>
    </xdr:from>
    <xdr:to>
      <xdr:col>3</xdr:col>
      <xdr:colOff>2148828</xdr:colOff>
      <xdr:row>214</xdr:row>
      <xdr:rowOff>477629</xdr:rowOff>
    </xdr:to>
    <xdr:pic>
      <xdr:nvPicPr>
        <xdr:cNvPr id="108" name="Imagem 107">
          <a:extLst>
            <a:ext uri="{FF2B5EF4-FFF2-40B4-BE49-F238E27FC236}">
              <a16:creationId xmlns:a16="http://schemas.microsoft.com/office/drawing/2014/main" id="{DF958503-50BB-4E16-A586-46330D6135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31927" y="93160183"/>
          <a:ext cx="763615" cy="539982"/>
        </a:xfrm>
        <a:prstGeom prst="rect">
          <a:avLst/>
        </a:prstGeom>
      </xdr:spPr>
    </xdr:pic>
    <xdr:clientData/>
  </xdr:twoCellAnchor>
  <xdr:twoCellAnchor>
    <xdr:from>
      <xdr:col>3</xdr:col>
      <xdr:colOff>1465547</xdr:colOff>
      <xdr:row>215</xdr:row>
      <xdr:rowOff>22209</xdr:rowOff>
    </xdr:from>
    <xdr:to>
      <xdr:col>3</xdr:col>
      <xdr:colOff>2062653</xdr:colOff>
      <xdr:row>217</xdr:row>
      <xdr:rowOff>2532</xdr:rowOff>
    </xdr:to>
    <xdr:pic>
      <xdr:nvPicPr>
        <xdr:cNvPr id="109" name="Imagem 108">
          <a:extLst>
            <a:ext uri="{FF2B5EF4-FFF2-40B4-BE49-F238E27FC236}">
              <a16:creationId xmlns:a16="http://schemas.microsoft.com/office/drawing/2014/main" id="{FB5BB1DB-191E-4155-AB5E-D83DADF803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112261" y="93870673"/>
          <a:ext cx="597106" cy="851180"/>
        </a:xfrm>
        <a:prstGeom prst="rect">
          <a:avLst/>
        </a:prstGeom>
      </xdr:spPr>
    </xdr:pic>
    <xdr:clientData/>
  </xdr:twoCellAnchor>
  <xdr:twoCellAnchor>
    <xdr:from>
      <xdr:col>3</xdr:col>
      <xdr:colOff>1398819</xdr:colOff>
      <xdr:row>217</xdr:row>
      <xdr:rowOff>196183</xdr:rowOff>
    </xdr:from>
    <xdr:to>
      <xdr:col>3</xdr:col>
      <xdr:colOff>2162433</xdr:colOff>
      <xdr:row>218</xdr:row>
      <xdr:rowOff>491236</xdr:rowOff>
    </xdr:to>
    <xdr:pic>
      <xdr:nvPicPr>
        <xdr:cNvPr id="110" name="Imagem 109">
          <a:extLst>
            <a:ext uri="{FF2B5EF4-FFF2-40B4-BE49-F238E27FC236}">
              <a16:creationId xmlns:a16="http://schemas.microsoft.com/office/drawing/2014/main" id="{EA336EDF-F61A-4072-A29D-E709C3E7F9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45533" y="94915504"/>
          <a:ext cx="763614" cy="539982"/>
        </a:xfrm>
        <a:prstGeom prst="rect">
          <a:avLst/>
        </a:prstGeom>
      </xdr:spPr>
    </xdr:pic>
    <xdr:clientData/>
  </xdr:twoCellAnchor>
  <xdr:twoCellAnchor>
    <xdr:from>
      <xdr:col>3</xdr:col>
      <xdr:colOff>1398819</xdr:colOff>
      <xdr:row>219</xdr:row>
      <xdr:rowOff>196182</xdr:rowOff>
    </xdr:from>
    <xdr:to>
      <xdr:col>3</xdr:col>
      <xdr:colOff>2162433</xdr:colOff>
      <xdr:row>220</xdr:row>
      <xdr:rowOff>491236</xdr:rowOff>
    </xdr:to>
    <xdr:pic>
      <xdr:nvPicPr>
        <xdr:cNvPr id="111" name="Imagem 110">
          <a:extLst>
            <a:ext uri="{FF2B5EF4-FFF2-40B4-BE49-F238E27FC236}">
              <a16:creationId xmlns:a16="http://schemas.microsoft.com/office/drawing/2014/main" id="{66C68F2A-FA4C-4791-B293-6E8B22BA0D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45533" y="95786361"/>
          <a:ext cx="763614" cy="539982"/>
        </a:xfrm>
        <a:prstGeom prst="rect">
          <a:avLst/>
        </a:prstGeom>
      </xdr:spPr>
    </xdr:pic>
    <xdr:clientData/>
  </xdr:twoCellAnchor>
  <xdr:twoCellAnchor>
    <xdr:from>
      <xdr:col>3</xdr:col>
      <xdr:colOff>1398819</xdr:colOff>
      <xdr:row>221</xdr:row>
      <xdr:rowOff>196182</xdr:rowOff>
    </xdr:from>
    <xdr:to>
      <xdr:col>3</xdr:col>
      <xdr:colOff>2162433</xdr:colOff>
      <xdr:row>222</xdr:row>
      <xdr:rowOff>491235</xdr:rowOff>
    </xdr:to>
    <xdr:pic>
      <xdr:nvPicPr>
        <xdr:cNvPr id="112" name="Imagem 111">
          <a:extLst>
            <a:ext uri="{FF2B5EF4-FFF2-40B4-BE49-F238E27FC236}">
              <a16:creationId xmlns:a16="http://schemas.microsoft.com/office/drawing/2014/main" id="{2EEE0070-8311-4D87-9DD4-EEB3028105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45533" y="96657218"/>
          <a:ext cx="763614" cy="539981"/>
        </a:xfrm>
        <a:prstGeom prst="rect">
          <a:avLst/>
        </a:prstGeom>
      </xdr:spPr>
    </xdr:pic>
    <xdr:clientData/>
  </xdr:twoCellAnchor>
  <xdr:twoCellAnchor>
    <xdr:from>
      <xdr:col>3</xdr:col>
      <xdr:colOff>1398820</xdr:colOff>
      <xdr:row>223</xdr:row>
      <xdr:rowOff>196182</xdr:rowOff>
    </xdr:from>
    <xdr:to>
      <xdr:col>3</xdr:col>
      <xdr:colOff>2162432</xdr:colOff>
      <xdr:row>224</xdr:row>
      <xdr:rowOff>491235</xdr:rowOff>
    </xdr:to>
    <xdr:pic>
      <xdr:nvPicPr>
        <xdr:cNvPr id="113" name="Imagem 112">
          <a:extLst>
            <a:ext uri="{FF2B5EF4-FFF2-40B4-BE49-F238E27FC236}">
              <a16:creationId xmlns:a16="http://schemas.microsoft.com/office/drawing/2014/main" id="{A129C1C7-9BA9-4022-AAC8-7B15C27F96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45534" y="97528075"/>
          <a:ext cx="763612" cy="539981"/>
        </a:xfrm>
        <a:prstGeom prst="rect">
          <a:avLst/>
        </a:prstGeom>
      </xdr:spPr>
    </xdr:pic>
    <xdr:clientData/>
  </xdr:twoCellAnchor>
  <xdr:twoCellAnchor>
    <xdr:from>
      <xdr:col>3</xdr:col>
      <xdr:colOff>1398820</xdr:colOff>
      <xdr:row>225</xdr:row>
      <xdr:rowOff>196183</xdr:rowOff>
    </xdr:from>
    <xdr:to>
      <xdr:col>3</xdr:col>
      <xdr:colOff>2162432</xdr:colOff>
      <xdr:row>226</xdr:row>
      <xdr:rowOff>491234</xdr:rowOff>
    </xdr:to>
    <xdr:pic>
      <xdr:nvPicPr>
        <xdr:cNvPr id="114" name="Imagem 113">
          <a:extLst>
            <a:ext uri="{FF2B5EF4-FFF2-40B4-BE49-F238E27FC236}">
              <a16:creationId xmlns:a16="http://schemas.microsoft.com/office/drawing/2014/main" id="{C1463A1A-5E93-40D4-AB6B-FA0ADF4BCF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45534" y="98398933"/>
          <a:ext cx="763612" cy="539980"/>
        </a:xfrm>
        <a:prstGeom prst="rect">
          <a:avLst/>
        </a:prstGeom>
      </xdr:spPr>
    </xdr:pic>
    <xdr:clientData/>
  </xdr:twoCellAnchor>
  <xdr:twoCellAnchor>
    <xdr:from>
      <xdr:col>3</xdr:col>
      <xdr:colOff>1398820</xdr:colOff>
      <xdr:row>227</xdr:row>
      <xdr:rowOff>196183</xdr:rowOff>
    </xdr:from>
    <xdr:to>
      <xdr:col>3</xdr:col>
      <xdr:colOff>2162431</xdr:colOff>
      <xdr:row>228</xdr:row>
      <xdr:rowOff>491234</xdr:rowOff>
    </xdr:to>
    <xdr:pic>
      <xdr:nvPicPr>
        <xdr:cNvPr id="115" name="Imagem 114">
          <a:extLst>
            <a:ext uri="{FF2B5EF4-FFF2-40B4-BE49-F238E27FC236}">
              <a16:creationId xmlns:a16="http://schemas.microsoft.com/office/drawing/2014/main" id="{D071D249-FBA2-4035-BB41-2F0D357C9A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45534" y="99269790"/>
          <a:ext cx="763611" cy="539980"/>
        </a:xfrm>
        <a:prstGeom prst="rect">
          <a:avLst/>
        </a:prstGeom>
      </xdr:spPr>
    </xdr:pic>
    <xdr:clientData/>
  </xdr:twoCellAnchor>
  <xdr:twoCellAnchor>
    <xdr:from>
      <xdr:col>3</xdr:col>
      <xdr:colOff>1398820</xdr:colOff>
      <xdr:row>229</xdr:row>
      <xdr:rowOff>196183</xdr:rowOff>
    </xdr:from>
    <xdr:to>
      <xdr:col>3</xdr:col>
      <xdr:colOff>2162431</xdr:colOff>
      <xdr:row>230</xdr:row>
      <xdr:rowOff>491233</xdr:rowOff>
    </xdr:to>
    <xdr:pic>
      <xdr:nvPicPr>
        <xdr:cNvPr id="116" name="Imagem 115">
          <a:extLst>
            <a:ext uri="{FF2B5EF4-FFF2-40B4-BE49-F238E27FC236}">
              <a16:creationId xmlns:a16="http://schemas.microsoft.com/office/drawing/2014/main" id="{5603D7C4-861E-4621-82F5-DC0E5F07B3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45534" y="100140647"/>
          <a:ext cx="763611" cy="539979"/>
        </a:xfrm>
        <a:prstGeom prst="rect">
          <a:avLst/>
        </a:prstGeom>
      </xdr:spPr>
    </xdr:pic>
    <xdr:clientData/>
  </xdr:twoCellAnchor>
  <xdr:twoCellAnchor>
    <xdr:from>
      <xdr:col>3</xdr:col>
      <xdr:colOff>1398821</xdr:colOff>
      <xdr:row>231</xdr:row>
      <xdr:rowOff>196183</xdr:rowOff>
    </xdr:from>
    <xdr:to>
      <xdr:col>3</xdr:col>
      <xdr:colOff>2162430</xdr:colOff>
      <xdr:row>232</xdr:row>
      <xdr:rowOff>491233</xdr:rowOff>
    </xdr:to>
    <xdr:pic>
      <xdr:nvPicPr>
        <xdr:cNvPr id="117" name="Imagem 116">
          <a:extLst>
            <a:ext uri="{FF2B5EF4-FFF2-40B4-BE49-F238E27FC236}">
              <a16:creationId xmlns:a16="http://schemas.microsoft.com/office/drawing/2014/main" id="{F37D6F8E-0F31-4DC1-9290-A5137F5CAE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45535" y="101011504"/>
          <a:ext cx="763609" cy="539979"/>
        </a:xfrm>
        <a:prstGeom prst="rect">
          <a:avLst/>
        </a:prstGeom>
      </xdr:spPr>
    </xdr:pic>
    <xdr:clientData/>
  </xdr:twoCellAnchor>
  <xdr:twoCellAnchor>
    <xdr:from>
      <xdr:col>3</xdr:col>
      <xdr:colOff>1398821</xdr:colOff>
      <xdr:row>233</xdr:row>
      <xdr:rowOff>196182</xdr:rowOff>
    </xdr:from>
    <xdr:to>
      <xdr:col>3</xdr:col>
      <xdr:colOff>2162430</xdr:colOff>
      <xdr:row>234</xdr:row>
      <xdr:rowOff>491232</xdr:rowOff>
    </xdr:to>
    <xdr:pic>
      <xdr:nvPicPr>
        <xdr:cNvPr id="118" name="Imagem 117">
          <a:extLst>
            <a:ext uri="{FF2B5EF4-FFF2-40B4-BE49-F238E27FC236}">
              <a16:creationId xmlns:a16="http://schemas.microsoft.com/office/drawing/2014/main" id="{BCE15965-4409-47D9-8747-54091F066F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45535" y="101882361"/>
          <a:ext cx="763609" cy="539978"/>
        </a:xfrm>
        <a:prstGeom prst="rect">
          <a:avLst/>
        </a:prstGeom>
      </xdr:spPr>
    </xdr:pic>
    <xdr:clientData/>
  </xdr:twoCellAnchor>
  <xdr:twoCellAnchor>
    <xdr:from>
      <xdr:col>3</xdr:col>
      <xdr:colOff>1357996</xdr:colOff>
      <xdr:row>235</xdr:row>
      <xdr:rowOff>223396</xdr:rowOff>
    </xdr:from>
    <xdr:to>
      <xdr:col>3</xdr:col>
      <xdr:colOff>2121604</xdr:colOff>
      <xdr:row>236</xdr:row>
      <xdr:rowOff>518446</xdr:rowOff>
    </xdr:to>
    <xdr:pic>
      <xdr:nvPicPr>
        <xdr:cNvPr id="119" name="Imagem 118">
          <a:extLst>
            <a:ext uri="{FF2B5EF4-FFF2-40B4-BE49-F238E27FC236}">
              <a16:creationId xmlns:a16="http://schemas.microsoft.com/office/drawing/2014/main" id="{1A5DE5E9-33E0-4822-9FF1-AC189F2412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04710" y="102780432"/>
          <a:ext cx="763608" cy="539978"/>
        </a:xfrm>
        <a:prstGeom prst="rect">
          <a:avLst/>
        </a:prstGeom>
      </xdr:spPr>
    </xdr:pic>
    <xdr:clientData/>
  </xdr:twoCellAnchor>
  <xdr:twoCellAnchor>
    <xdr:from>
      <xdr:col>3</xdr:col>
      <xdr:colOff>1398817</xdr:colOff>
      <xdr:row>237</xdr:row>
      <xdr:rowOff>223396</xdr:rowOff>
    </xdr:from>
    <xdr:to>
      <xdr:col>3</xdr:col>
      <xdr:colOff>2162425</xdr:colOff>
      <xdr:row>238</xdr:row>
      <xdr:rowOff>518445</xdr:rowOff>
    </xdr:to>
    <xdr:pic>
      <xdr:nvPicPr>
        <xdr:cNvPr id="120" name="Imagem 119">
          <a:extLst>
            <a:ext uri="{FF2B5EF4-FFF2-40B4-BE49-F238E27FC236}">
              <a16:creationId xmlns:a16="http://schemas.microsoft.com/office/drawing/2014/main" id="{ECF406AE-05E1-4846-A7C4-2150BC2765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45531" y="103651289"/>
          <a:ext cx="763608" cy="539977"/>
        </a:xfrm>
        <a:prstGeom prst="rect">
          <a:avLst/>
        </a:prstGeom>
      </xdr:spPr>
    </xdr:pic>
    <xdr:clientData/>
  </xdr:twoCellAnchor>
  <xdr:twoCellAnchor>
    <xdr:from>
      <xdr:col>3</xdr:col>
      <xdr:colOff>1398817</xdr:colOff>
      <xdr:row>239</xdr:row>
      <xdr:rowOff>182576</xdr:rowOff>
    </xdr:from>
    <xdr:to>
      <xdr:col>3</xdr:col>
      <xdr:colOff>2162425</xdr:colOff>
      <xdr:row>240</xdr:row>
      <xdr:rowOff>477624</xdr:rowOff>
    </xdr:to>
    <xdr:pic>
      <xdr:nvPicPr>
        <xdr:cNvPr id="121" name="Imagem 120">
          <a:extLst>
            <a:ext uri="{FF2B5EF4-FFF2-40B4-BE49-F238E27FC236}">
              <a16:creationId xmlns:a16="http://schemas.microsoft.com/office/drawing/2014/main" id="{8E736DC8-A781-4943-96A9-DC9C36746B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45531" y="104481326"/>
          <a:ext cx="763608" cy="539977"/>
        </a:xfrm>
        <a:prstGeom prst="rect">
          <a:avLst/>
        </a:prstGeom>
      </xdr:spPr>
    </xdr:pic>
    <xdr:clientData/>
  </xdr:twoCellAnchor>
  <xdr:twoCellAnchor>
    <xdr:from>
      <xdr:col>3</xdr:col>
      <xdr:colOff>1398817</xdr:colOff>
      <xdr:row>242</xdr:row>
      <xdr:rowOff>5682</xdr:rowOff>
    </xdr:from>
    <xdr:to>
      <xdr:col>3</xdr:col>
      <xdr:colOff>2162425</xdr:colOff>
      <xdr:row>242</xdr:row>
      <xdr:rowOff>545659</xdr:rowOff>
    </xdr:to>
    <xdr:pic>
      <xdr:nvPicPr>
        <xdr:cNvPr id="122" name="Imagem 121">
          <a:extLst>
            <a:ext uri="{FF2B5EF4-FFF2-40B4-BE49-F238E27FC236}">
              <a16:creationId xmlns:a16="http://schemas.microsoft.com/office/drawing/2014/main" id="{207FFBEE-8A22-47E3-80DB-A917E58139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45531" y="105420218"/>
          <a:ext cx="763608" cy="539977"/>
        </a:xfrm>
        <a:prstGeom prst="rect">
          <a:avLst/>
        </a:prstGeom>
      </xdr:spPr>
    </xdr:pic>
    <xdr:clientData/>
  </xdr:twoCellAnchor>
  <xdr:twoCellAnchor>
    <xdr:from>
      <xdr:col>3</xdr:col>
      <xdr:colOff>1398817</xdr:colOff>
      <xdr:row>245</xdr:row>
      <xdr:rowOff>196183</xdr:rowOff>
    </xdr:from>
    <xdr:to>
      <xdr:col>3</xdr:col>
      <xdr:colOff>2162425</xdr:colOff>
      <xdr:row>246</xdr:row>
      <xdr:rowOff>491231</xdr:rowOff>
    </xdr:to>
    <xdr:pic>
      <xdr:nvPicPr>
        <xdr:cNvPr id="123" name="Imagem 122">
          <a:extLst>
            <a:ext uri="{FF2B5EF4-FFF2-40B4-BE49-F238E27FC236}">
              <a16:creationId xmlns:a16="http://schemas.microsoft.com/office/drawing/2014/main" id="{71AF9330-4FE4-46CA-93ED-CF52371C35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45531" y="107107504"/>
          <a:ext cx="763608" cy="539977"/>
        </a:xfrm>
        <a:prstGeom prst="rect">
          <a:avLst/>
        </a:prstGeom>
      </xdr:spPr>
    </xdr:pic>
    <xdr:clientData/>
  </xdr:twoCellAnchor>
  <xdr:twoCellAnchor>
    <xdr:from>
      <xdr:col>3</xdr:col>
      <xdr:colOff>1398817</xdr:colOff>
      <xdr:row>243</xdr:row>
      <xdr:rowOff>196176</xdr:rowOff>
    </xdr:from>
    <xdr:to>
      <xdr:col>3</xdr:col>
      <xdr:colOff>2162425</xdr:colOff>
      <xdr:row>244</xdr:row>
      <xdr:rowOff>491224</xdr:rowOff>
    </xdr:to>
    <xdr:pic>
      <xdr:nvPicPr>
        <xdr:cNvPr id="124" name="Imagem 123">
          <a:extLst>
            <a:ext uri="{FF2B5EF4-FFF2-40B4-BE49-F238E27FC236}">
              <a16:creationId xmlns:a16="http://schemas.microsoft.com/office/drawing/2014/main" id="{3305717C-BFB3-40C5-9B35-B1DBEA5041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45531" y="106236640"/>
          <a:ext cx="763608" cy="539977"/>
        </a:xfrm>
        <a:prstGeom prst="rect">
          <a:avLst/>
        </a:prstGeom>
      </xdr:spPr>
    </xdr:pic>
    <xdr:clientData/>
  </xdr:twoCellAnchor>
  <xdr:twoCellAnchor>
    <xdr:from>
      <xdr:col>3</xdr:col>
      <xdr:colOff>1398817</xdr:colOff>
      <xdr:row>249</xdr:row>
      <xdr:rowOff>182575</xdr:rowOff>
    </xdr:from>
    <xdr:to>
      <xdr:col>3</xdr:col>
      <xdr:colOff>2162425</xdr:colOff>
      <xdr:row>250</xdr:row>
      <xdr:rowOff>477624</xdr:rowOff>
    </xdr:to>
    <xdr:pic>
      <xdr:nvPicPr>
        <xdr:cNvPr id="125" name="Imagem 124">
          <a:extLst>
            <a:ext uri="{FF2B5EF4-FFF2-40B4-BE49-F238E27FC236}">
              <a16:creationId xmlns:a16="http://schemas.microsoft.com/office/drawing/2014/main" id="{E77AE848-B3C1-4A1B-BAD7-B8B15097F7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45531" y="108835611"/>
          <a:ext cx="763608" cy="539977"/>
        </a:xfrm>
        <a:prstGeom prst="rect">
          <a:avLst/>
        </a:prstGeom>
      </xdr:spPr>
    </xdr:pic>
    <xdr:clientData/>
  </xdr:twoCellAnchor>
  <xdr:twoCellAnchor>
    <xdr:from>
      <xdr:col>3</xdr:col>
      <xdr:colOff>1398817</xdr:colOff>
      <xdr:row>251</xdr:row>
      <xdr:rowOff>196182</xdr:rowOff>
    </xdr:from>
    <xdr:to>
      <xdr:col>3</xdr:col>
      <xdr:colOff>2162425</xdr:colOff>
      <xdr:row>252</xdr:row>
      <xdr:rowOff>491231</xdr:rowOff>
    </xdr:to>
    <xdr:pic>
      <xdr:nvPicPr>
        <xdr:cNvPr id="126" name="Imagem 125">
          <a:extLst>
            <a:ext uri="{FF2B5EF4-FFF2-40B4-BE49-F238E27FC236}">
              <a16:creationId xmlns:a16="http://schemas.microsoft.com/office/drawing/2014/main" id="{5BE5FBD3-8B1D-4966-A5DA-0F071270E5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45531" y="109720075"/>
          <a:ext cx="763608" cy="539977"/>
        </a:xfrm>
        <a:prstGeom prst="rect">
          <a:avLst/>
        </a:prstGeom>
      </xdr:spPr>
    </xdr:pic>
    <xdr:clientData/>
  </xdr:twoCellAnchor>
  <xdr:twoCellAnchor>
    <xdr:from>
      <xdr:col>3</xdr:col>
      <xdr:colOff>1398822</xdr:colOff>
      <xdr:row>253</xdr:row>
      <xdr:rowOff>196183</xdr:rowOff>
    </xdr:from>
    <xdr:to>
      <xdr:col>3</xdr:col>
      <xdr:colOff>2162430</xdr:colOff>
      <xdr:row>254</xdr:row>
      <xdr:rowOff>491231</xdr:rowOff>
    </xdr:to>
    <xdr:pic>
      <xdr:nvPicPr>
        <xdr:cNvPr id="127" name="Imagem 126">
          <a:extLst>
            <a:ext uri="{FF2B5EF4-FFF2-40B4-BE49-F238E27FC236}">
              <a16:creationId xmlns:a16="http://schemas.microsoft.com/office/drawing/2014/main" id="{ECC47DB6-6643-4A6B-8D6D-E038FA682F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45536" y="110590933"/>
          <a:ext cx="763608" cy="539977"/>
        </a:xfrm>
        <a:prstGeom prst="rect">
          <a:avLst/>
        </a:prstGeom>
      </xdr:spPr>
    </xdr:pic>
    <xdr:clientData/>
  </xdr:twoCellAnchor>
  <xdr:twoCellAnchor>
    <xdr:from>
      <xdr:col>3</xdr:col>
      <xdr:colOff>1344396</xdr:colOff>
      <xdr:row>256</xdr:row>
      <xdr:rowOff>173270</xdr:rowOff>
    </xdr:from>
    <xdr:to>
      <xdr:col>3</xdr:col>
      <xdr:colOff>2108000</xdr:colOff>
      <xdr:row>256</xdr:row>
      <xdr:rowOff>486924</xdr:rowOff>
    </xdr:to>
    <xdr:pic>
      <xdr:nvPicPr>
        <xdr:cNvPr id="128" name="Imagem 127">
          <a:extLst>
            <a:ext uri="{FF2B5EF4-FFF2-40B4-BE49-F238E27FC236}">
              <a16:creationId xmlns:a16="http://schemas.microsoft.com/office/drawing/2014/main" id="{D1A07ED8-915E-4F16-B730-3F8FB5F188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991110" y="111683806"/>
          <a:ext cx="763604" cy="313654"/>
        </a:xfrm>
        <a:prstGeom prst="rect">
          <a:avLst/>
        </a:prstGeom>
      </xdr:spPr>
    </xdr:pic>
    <xdr:clientData/>
  </xdr:twoCellAnchor>
  <xdr:twoCellAnchor>
    <xdr:from>
      <xdr:col>3</xdr:col>
      <xdr:colOff>1589644</xdr:colOff>
      <xdr:row>258</xdr:row>
      <xdr:rowOff>73717</xdr:rowOff>
    </xdr:from>
    <xdr:to>
      <xdr:col>3</xdr:col>
      <xdr:colOff>1971598</xdr:colOff>
      <xdr:row>258</xdr:row>
      <xdr:rowOff>613694</xdr:rowOff>
    </xdr:to>
    <xdr:pic>
      <xdr:nvPicPr>
        <xdr:cNvPr id="129" name="Imagem 128">
          <a:extLst>
            <a:ext uri="{FF2B5EF4-FFF2-40B4-BE49-F238E27FC236}">
              <a16:creationId xmlns:a16="http://schemas.microsoft.com/office/drawing/2014/main" id="{E23CB05C-20C1-4B71-B396-557C9AB3E2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236358" y="112455110"/>
          <a:ext cx="381954" cy="539977"/>
        </a:xfrm>
        <a:prstGeom prst="rect">
          <a:avLst/>
        </a:prstGeom>
      </xdr:spPr>
    </xdr:pic>
    <xdr:clientData/>
  </xdr:twoCellAnchor>
  <xdr:twoCellAnchor>
    <xdr:from>
      <xdr:col>3</xdr:col>
      <xdr:colOff>1290367</xdr:colOff>
      <xdr:row>15</xdr:row>
      <xdr:rowOff>214332</xdr:rowOff>
    </xdr:from>
    <xdr:to>
      <xdr:col>3</xdr:col>
      <xdr:colOff>2063123</xdr:colOff>
      <xdr:row>16</xdr:row>
      <xdr:rowOff>524643</xdr:rowOff>
    </xdr:to>
    <xdr:pic>
      <xdr:nvPicPr>
        <xdr:cNvPr id="130" name="Imagem 129">
          <a:extLst>
            <a:ext uri="{FF2B5EF4-FFF2-40B4-BE49-F238E27FC236}">
              <a16:creationId xmlns:a16="http://schemas.microsoft.com/office/drawing/2014/main" id="{8890D3B6-8B2E-449B-AA46-FF086B91B2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37081" y="6977082"/>
          <a:ext cx="772756" cy="555240"/>
        </a:xfrm>
        <a:prstGeom prst="rect">
          <a:avLst/>
        </a:prstGeom>
      </xdr:spPr>
    </xdr:pic>
    <xdr:clientData/>
  </xdr:twoCellAnchor>
  <xdr:twoCellAnchor>
    <xdr:from>
      <xdr:col>3</xdr:col>
      <xdr:colOff>1304650</xdr:colOff>
      <xdr:row>23</xdr:row>
      <xdr:rowOff>214227</xdr:rowOff>
    </xdr:from>
    <xdr:to>
      <xdr:col>3</xdr:col>
      <xdr:colOff>2076054</xdr:colOff>
      <xdr:row>24</xdr:row>
      <xdr:rowOff>513109</xdr:rowOff>
    </xdr:to>
    <xdr:pic>
      <xdr:nvPicPr>
        <xdr:cNvPr id="131" name="Imagem 130">
          <a:extLst>
            <a:ext uri="{FF2B5EF4-FFF2-40B4-BE49-F238E27FC236}">
              <a16:creationId xmlns:a16="http://schemas.microsoft.com/office/drawing/2014/main" id="{A380764C-7E88-446D-AE1A-0E16D8C7DD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1364" y="10460406"/>
          <a:ext cx="771404" cy="543810"/>
        </a:xfrm>
        <a:prstGeom prst="rect">
          <a:avLst/>
        </a:prstGeom>
      </xdr:spPr>
    </xdr:pic>
    <xdr:clientData/>
  </xdr:twoCellAnchor>
  <xdr:twoCellAnchor>
    <xdr:from>
      <xdr:col>3</xdr:col>
      <xdr:colOff>1344387</xdr:colOff>
      <xdr:row>129</xdr:row>
      <xdr:rowOff>196183</xdr:rowOff>
    </xdr:from>
    <xdr:to>
      <xdr:col>3</xdr:col>
      <xdr:colOff>2108025</xdr:colOff>
      <xdr:row>130</xdr:row>
      <xdr:rowOff>491252</xdr:rowOff>
    </xdr:to>
    <xdr:pic>
      <xdr:nvPicPr>
        <xdr:cNvPr id="132" name="Imagem 131">
          <a:extLst>
            <a:ext uri="{FF2B5EF4-FFF2-40B4-BE49-F238E27FC236}">
              <a16:creationId xmlns:a16="http://schemas.microsoft.com/office/drawing/2014/main" id="{1D205B83-728D-44D6-B077-4B95905BB2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991101" y="56597790"/>
          <a:ext cx="763638" cy="539998"/>
        </a:xfrm>
        <a:prstGeom prst="rect">
          <a:avLst/>
        </a:prstGeom>
      </xdr:spPr>
    </xdr:pic>
    <xdr:clientData/>
  </xdr:twoCellAnchor>
  <xdr:twoCellAnchor>
    <xdr:from>
      <xdr:col>3</xdr:col>
      <xdr:colOff>1344387</xdr:colOff>
      <xdr:row>131</xdr:row>
      <xdr:rowOff>196183</xdr:rowOff>
    </xdr:from>
    <xdr:to>
      <xdr:col>3</xdr:col>
      <xdr:colOff>2108025</xdr:colOff>
      <xdr:row>132</xdr:row>
      <xdr:rowOff>491252</xdr:rowOff>
    </xdr:to>
    <xdr:pic>
      <xdr:nvPicPr>
        <xdr:cNvPr id="133" name="Imagem 132">
          <a:extLst>
            <a:ext uri="{FF2B5EF4-FFF2-40B4-BE49-F238E27FC236}">
              <a16:creationId xmlns:a16="http://schemas.microsoft.com/office/drawing/2014/main" id="{E34B78A4-4748-44D3-9A80-6F398C971D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991101" y="57468647"/>
          <a:ext cx="763638" cy="539998"/>
        </a:xfrm>
        <a:prstGeom prst="rect">
          <a:avLst/>
        </a:prstGeom>
      </xdr:spPr>
    </xdr:pic>
    <xdr:clientData/>
  </xdr:twoCellAnchor>
  <xdr:twoCellAnchor>
    <xdr:from>
      <xdr:col>3</xdr:col>
      <xdr:colOff>1238250</xdr:colOff>
      <xdr:row>285</xdr:row>
      <xdr:rowOff>133883</xdr:rowOff>
    </xdr:from>
    <xdr:to>
      <xdr:col>3</xdr:col>
      <xdr:colOff>2038350</xdr:colOff>
      <xdr:row>285</xdr:row>
      <xdr:rowOff>601094</xdr:rowOff>
    </xdr:to>
    <xdr:pic>
      <xdr:nvPicPr>
        <xdr:cNvPr id="134" name="Imagem 133">
          <a:extLst>
            <a:ext uri="{FF2B5EF4-FFF2-40B4-BE49-F238E27FC236}">
              <a16:creationId xmlns:a16="http://schemas.microsoft.com/office/drawing/2014/main" id="{04539CE6-55B7-4E2B-BE13-B218FECE32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00" y="46282508"/>
          <a:ext cx="0" cy="29061"/>
        </a:xfrm>
        <a:prstGeom prst="rect">
          <a:avLst/>
        </a:prstGeom>
      </xdr:spPr>
    </xdr:pic>
    <xdr:clientData/>
  </xdr:twoCellAnchor>
  <xdr:twoCellAnchor>
    <xdr:from>
      <xdr:col>3</xdr:col>
      <xdr:colOff>158419</xdr:colOff>
      <xdr:row>285</xdr:row>
      <xdr:rowOff>146601</xdr:rowOff>
    </xdr:from>
    <xdr:to>
      <xdr:col>3</xdr:col>
      <xdr:colOff>965532</xdr:colOff>
      <xdr:row>285</xdr:row>
      <xdr:rowOff>591568</xdr:rowOff>
    </xdr:to>
    <xdr:pic>
      <xdr:nvPicPr>
        <xdr:cNvPr id="135" name="Imagem 134">
          <a:extLst>
            <a:ext uri="{FF2B5EF4-FFF2-40B4-BE49-F238E27FC236}">
              <a16:creationId xmlns:a16="http://schemas.microsoft.com/office/drawing/2014/main" id="{D99B7C30-4784-464A-8FD9-E7D824BDD3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01619" y="46295226"/>
          <a:ext cx="530888" cy="16342"/>
        </a:xfrm>
        <a:prstGeom prst="rect">
          <a:avLst/>
        </a:prstGeom>
      </xdr:spPr>
    </xdr:pic>
    <xdr:clientData/>
  </xdr:twoCellAnchor>
  <xdr:twoCellAnchor>
    <xdr:from>
      <xdr:col>3</xdr:col>
      <xdr:colOff>1238250</xdr:colOff>
      <xdr:row>286</xdr:row>
      <xdr:rowOff>133883</xdr:rowOff>
    </xdr:from>
    <xdr:to>
      <xdr:col>3</xdr:col>
      <xdr:colOff>2038350</xdr:colOff>
      <xdr:row>286</xdr:row>
      <xdr:rowOff>601094</xdr:rowOff>
    </xdr:to>
    <xdr:pic>
      <xdr:nvPicPr>
        <xdr:cNvPr id="136" name="Imagem 135">
          <a:extLst>
            <a:ext uri="{FF2B5EF4-FFF2-40B4-BE49-F238E27FC236}">
              <a16:creationId xmlns:a16="http://schemas.microsoft.com/office/drawing/2014/main" id="{B7DE03CF-F25A-455A-AFA0-511FBD83A9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00" y="46444433"/>
          <a:ext cx="0" cy="29061"/>
        </a:xfrm>
        <a:prstGeom prst="rect">
          <a:avLst/>
        </a:prstGeom>
      </xdr:spPr>
    </xdr:pic>
    <xdr:clientData/>
  </xdr:twoCellAnchor>
  <xdr:twoCellAnchor>
    <xdr:from>
      <xdr:col>3</xdr:col>
      <xdr:colOff>158419</xdr:colOff>
      <xdr:row>286</xdr:row>
      <xdr:rowOff>146601</xdr:rowOff>
    </xdr:from>
    <xdr:to>
      <xdr:col>3</xdr:col>
      <xdr:colOff>965532</xdr:colOff>
      <xdr:row>286</xdr:row>
      <xdr:rowOff>591568</xdr:rowOff>
    </xdr:to>
    <xdr:pic>
      <xdr:nvPicPr>
        <xdr:cNvPr id="137" name="Imagem 136">
          <a:extLst>
            <a:ext uri="{FF2B5EF4-FFF2-40B4-BE49-F238E27FC236}">
              <a16:creationId xmlns:a16="http://schemas.microsoft.com/office/drawing/2014/main" id="{DA309C67-89AB-4675-B619-58FA246F10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01619" y="46457151"/>
          <a:ext cx="530888" cy="16342"/>
        </a:xfrm>
        <a:prstGeom prst="rect">
          <a:avLst/>
        </a:prstGeom>
      </xdr:spPr>
    </xdr:pic>
    <xdr:clientData/>
  </xdr:twoCellAnchor>
  <xdr:twoCellAnchor>
    <xdr:from>
      <xdr:col>3</xdr:col>
      <xdr:colOff>1238250</xdr:colOff>
      <xdr:row>287</xdr:row>
      <xdr:rowOff>133883</xdr:rowOff>
    </xdr:from>
    <xdr:to>
      <xdr:col>3</xdr:col>
      <xdr:colOff>2038350</xdr:colOff>
      <xdr:row>287</xdr:row>
      <xdr:rowOff>601094</xdr:rowOff>
    </xdr:to>
    <xdr:pic>
      <xdr:nvPicPr>
        <xdr:cNvPr id="138" name="Imagem 137">
          <a:extLst>
            <a:ext uri="{FF2B5EF4-FFF2-40B4-BE49-F238E27FC236}">
              <a16:creationId xmlns:a16="http://schemas.microsoft.com/office/drawing/2014/main" id="{A4640ABC-317E-4F42-BE76-97B3FEA5C6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00" y="46606358"/>
          <a:ext cx="0" cy="29061"/>
        </a:xfrm>
        <a:prstGeom prst="rect">
          <a:avLst/>
        </a:prstGeom>
      </xdr:spPr>
    </xdr:pic>
    <xdr:clientData/>
  </xdr:twoCellAnchor>
  <xdr:twoCellAnchor>
    <xdr:from>
      <xdr:col>3</xdr:col>
      <xdr:colOff>158419</xdr:colOff>
      <xdr:row>287</xdr:row>
      <xdr:rowOff>146601</xdr:rowOff>
    </xdr:from>
    <xdr:to>
      <xdr:col>3</xdr:col>
      <xdr:colOff>965532</xdr:colOff>
      <xdr:row>287</xdr:row>
      <xdr:rowOff>591568</xdr:rowOff>
    </xdr:to>
    <xdr:pic>
      <xdr:nvPicPr>
        <xdr:cNvPr id="139" name="Imagem 138">
          <a:extLst>
            <a:ext uri="{FF2B5EF4-FFF2-40B4-BE49-F238E27FC236}">
              <a16:creationId xmlns:a16="http://schemas.microsoft.com/office/drawing/2014/main" id="{1E098512-3193-4C49-8D2C-57D87226E4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01619" y="46619076"/>
          <a:ext cx="530888" cy="16342"/>
        </a:xfrm>
        <a:prstGeom prst="rect">
          <a:avLst/>
        </a:prstGeom>
      </xdr:spPr>
    </xdr:pic>
    <xdr:clientData/>
  </xdr:twoCellAnchor>
  <xdr:twoCellAnchor>
    <xdr:from>
      <xdr:col>3</xdr:col>
      <xdr:colOff>1238250</xdr:colOff>
      <xdr:row>281</xdr:row>
      <xdr:rowOff>133883</xdr:rowOff>
    </xdr:from>
    <xdr:to>
      <xdr:col>3</xdr:col>
      <xdr:colOff>2038350</xdr:colOff>
      <xdr:row>281</xdr:row>
      <xdr:rowOff>601094</xdr:rowOff>
    </xdr:to>
    <xdr:pic>
      <xdr:nvPicPr>
        <xdr:cNvPr id="140" name="Imagem 139">
          <a:extLst>
            <a:ext uri="{FF2B5EF4-FFF2-40B4-BE49-F238E27FC236}">
              <a16:creationId xmlns:a16="http://schemas.microsoft.com/office/drawing/2014/main" id="{DCA149A6-37B2-4971-940C-F90FA3546B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00" y="45634808"/>
          <a:ext cx="0" cy="29061"/>
        </a:xfrm>
        <a:prstGeom prst="rect">
          <a:avLst/>
        </a:prstGeom>
      </xdr:spPr>
    </xdr:pic>
    <xdr:clientData/>
  </xdr:twoCellAnchor>
  <xdr:twoCellAnchor>
    <xdr:from>
      <xdr:col>3</xdr:col>
      <xdr:colOff>158419</xdr:colOff>
      <xdr:row>281</xdr:row>
      <xdr:rowOff>146601</xdr:rowOff>
    </xdr:from>
    <xdr:to>
      <xdr:col>3</xdr:col>
      <xdr:colOff>965532</xdr:colOff>
      <xdr:row>281</xdr:row>
      <xdr:rowOff>591568</xdr:rowOff>
    </xdr:to>
    <xdr:pic>
      <xdr:nvPicPr>
        <xdr:cNvPr id="141" name="Imagem 140">
          <a:extLst>
            <a:ext uri="{FF2B5EF4-FFF2-40B4-BE49-F238E27FC236}">
              <a16:creationId xmlns:a16="http://schemas.microsoft.com/office/drawing/2014/main" id="{AD44D49D-D763-45AA-8178-9D00DB563B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01619" y="45647526"/>
          <a:ext cx="530888" cy="16342"/>
        </a:xfrm>
        <a:prstGeom prst="rect">
          <a:avLst/>
        </a:prstGeom>
      </xdr:spPr>
    </xdr:pic>
    <xdr:clientData/>
  </xdr:twoCellAnchor>
  <xdr:twoCellAnchor>
    <xdr:from>
      <xdr:col>3</xdr:col>
      <xdr:colOff>1238250</xdr:colOff>
      <xdr:row>282</xdr:row>
      <xdr:rowOff>133883</xdr:rowOff>
    </xdr:from>
    <xdr:to>
      <xdr:col>3</xdr:col>
      <xdr:colOff>2038350</xdr:colOff>
      <xdr:row>282</xdr:row>
      <xdr:rowOff>601094</xdr:rowOff>
    </xdr:to>
    <xdr:pic>
      <xdr:nvPicPr>
        <xdr:cNvPr id="142" name="Imagem 141">
          <a:extLst>
            <a:ext uri="{FF2B5EF4-FFF2-40B4-BE49-F238E27FC236}">
              <a16:creationId xmlns:a16="http://schemas.microsoft.com/office/drawing/2014/main" id="{1783E443-C106-49F8-BE2A-D0D6F6C5B5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00" y="45796733"/>
          <a:ext cx="0" cy="29061"/>
        </a:xfrm>
        <a:prstGeom prst="rect">
          <a:avLst/>
        </a:prstGeom>
      </xdr:spPr>
    </xdr:pic>
    <xdr:clientData/>
  </xdr:twoCellAnchor>
  <xdr:twoCellAnchor>
    <xdr:from>
      <xdr:col>3</xdr:col>
      <xdr:colOff>158419</xdr:colOff>
      <xdr:row>282</xdr:row>
      <xdr:rowOff>146601</xdr:rowOff>
    </xdr:from>
    <xdr:to>
      <xdr:col>3</xdr:col>
      <xdr:colOff>965532</xdr:colOff>
      <xdr:row>282</xdr:row>
      <xdr:rowOff>591568</xdr:rowOff>
    </xdr:to>
    <xdr:pic>
      <xdr:nvPicPr>
        <xdr:cNvPr id="143" name="Imagem 142">
          <a:extLst>
            <a:ext uri="{FF2B5EF4-FFF2-40B4-BE49-F238E27FC236}">
              <a16:creationId xmlns:a16="http://schemas.microsoft.com/office/drawing/2014/main" id="{09A3FDDF-CA2A-4A9A-826E-81DFA24578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01619" y="45809451"/>
          <a:ext cx="530888" cy="16342"/>
        </a:xfrm>
        <a:prstGeom prst="rect">
          <a:avLst/>
        </a:prstGeom>
      </xdr:spPr>
    </xdr:pic>
    <xdr:clientData/>
  </xdr:twoCellAnchor>
  <xdr:twoCellAnchor>
    <xdr:from>
      <xdr:col>3</xdr:col>
      <xdr:colOff>1238250</xdr:colOff>
      <xdr:row>283</xdr:row>
      <xdr:rowOff>133883</xdr:rowOff>
    </xdr:from>
    <xdr:to>
      <xdr:col>3</xdr:col>
      <xdr:colOff>2038350</xdr:colOff>
      <xdr:row>283</xdr:row>
      <xdr:rowOff>601094</xdr:rowOff>
    </xdr:to>
    <xdr:pic>
      <xdr:nvPicPr>
        <xdr:cNvPr id="144" name="Imagem 143">
          <a:extLst>
            <a:ext uri="{FF2B5EF4-FFF2-40B4-BE49-F238E27FC236}">
              <a16:creationId xmlns:a16="http://schemas.microsoft.com/office/drawing/2014/main" id="{F7D75832-1F34-4273-A92A-1BB9ED6CFB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00" y="45958658"/>
          <a:ext cx="0" cy="29061"/>
        </a:xfrm>
        <a:prstGeom prst="rect">
          <a:avLst/>
        </a:prstGeom>
      </xdr:spPr>
    </xdr:pic>
    <xdr:clientData/>
  </xdr:twoCellAnchor>
  <xdr:twoCellAnchor>
    <xdr:from>
      <xdr:col>3</xdr:col>
      <xdr:colOff>158419</xdr:colOff>
      <xdr:row>283</xdr:row>
      <xdr:rowOff>146601</xdr:rowOff>
    </xdr:from>
    <xdr:to>
      <xdr:col>3</xdr:col>
      <xdr:colOff>965532</xdr:colOff>
      <xdr:row>283</xdr:row>
      <xdr:rowOff>591568</xdr:rowOff>
    </xdr:to>
    <xdr:pic>
      <xdr:nvPicPr>
        <xdr:cNvPr id="145" name="Imagem 144">
          <a:extLst>
            <a:ext uri="{FF2B5EF4-FFF2-40B4-BE49-F238E27FC236}">
              <a16:creationId xmlns:a16="http://schemas.microsoft.com/office/drawing/2014/main" id="{4818078E-3FE5-4085-9CFF-44E21D0A61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01619" y="45971376"/>
          <a:ext cx="530888" cy="16342"/>
        </a:xfrm>
        <a:prstGeom prst="rect">
          <a:avLst/>
        </a:prstGeom>
      </xdr:spPr>
    </xdr:pic>
    <xdr:clientData/>
  </xdr:twoCellAnchor>
  <xdr:twoCellAnchor>
    <xdr:from>
      <xdr:col>3</xdr:col>
      <xdr:colOff>679685</xdr:colOff>
      <xdr:row>318</xdr:row>
      <xdr:rowOff>85726</xdr:rowOff>
    </xdr:from>
    <xdr:to>
      <xdr:col>3</xdr:col>
      <xdr:colOff>1528640</xdr:colOff>
      <xdr:row>318</xdr:row>
      <xdr:rowOff>542926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id="{3F62A33C-5310-4B81-8512-5981A8F0F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870685" y="137350501"/>
          <a:ext cx="848955" cy="457200"/>
        </a:xfrm>
        <a:prstGeom prst="rect">
          <a:avLst/>
        </a:prstGeom>
      </xdr:spPr>
    </xdr:pic>
    <xdr:clientData/>
  </xdr:twoCellAnchor>
  <xdr:twoCellAnchor>
    <xdr:from>
      <xdr:col>3</xdr:col>
      <xdr:colOff>679685</xdr:colOff>
      <xdr:row>320</xdr:row>
      <xdr:rowOff>66675</xdr:rowOff>
    </xdr:from>
    <xdr:to>
      <xdr:col>3</xdr:col>
      <xdr:colOff>1528639</xdr:colOff>
      <xdr:row>320</xdr:row>
      <xdr:rowOff>552450</xdr:rowOff>
    </xdr:to>
    <xdr:pic>
      <xdr:nvPicPr>
        <xdr:cNvPr id="148" name="Imagem 147">
          <a:extLst>
            <a:ext uri="{FF2B5EF4-FFF2-40B4-BE49-F238E27FC236}">
              <a16:creationId xmlns:a16="http://schemas.microsoft.com/office/drawing/2014/main" id="{23176CB5-4A16-4AD0-9276-B0374ECDCD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870685" y="138198225"/>
          <a:ext cx="848954" cy="485775"/>
        </a:xfrm>
        <a:prstGeom prst="rect">
          <a:avLst/>
        </a:prstGeom>
      </xdr:spPr>
    </xdr:pic>
    <xdr:clientData/>
  </xdr:twoCellAnchor>
  <xdr:twoCellAnchor>
    <xdr:from>
      <xdr:col>3</xdr:col>
      <xdr:colOff>679685</xdr:colOff>
      <xdr:row>322</xdr:row>
      <xdr:rowOff>85725</xdr:rowOff>
    </xdr:from>
    <xdr:to>
      <xdr:col>3</xdr:col>
      <xdr:colOff>1528639</xdr:colOff>
      <xdr:row>322</xdr:row>
      <xdr:rowOff>523875</xdr:rowOff>
    </xdr:to>
    <xdr:pic>
      <xdr:nvPicPr>
        <xdr:cNvPr id="149" name="Imagem 148">
          <a:extLst>
            <a:ext uri="{FF2B5EF4-FFF2-40B4-BE49-F238E27FC236}">
              <a16:creationId xmlns:a16="http://schemas.microsoft.com/office/drawing/2014/main" id="{94093B45-0F7F-47D8-959D-A3B7A977DB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870685" y="139084050"/>
          <a:ext cx="848954" cy="438150"/>
        </a:xfrm>
        <a:prstGeom prst="rect">
          <a:avLst/>
        </a:prstGeom>
      </xdr:spPr>
    </xdr:pic>
    <xdr:clientData/>
  </xdr:twoCellAnchor>
  <xdr:twoCellAnchor>
    <xdr:from>
      <xdr:col>3</xdr:col>
      <xdr:colOff>747705</xdr:colOff>
      <xdr:row>324</xdr:row>
      <xdr:rowOff>114300</xdr:rowOff>
    </xdr:from>
    <xdr:to>
      <xdr:col>3</xdr:col>
      <xdr:colOff>1460620</xdr:colOff>
      <xdr:row>324</xdr:row>
      <xdr:rowOff>495300</xdr:rowOff>
    </xdr:to>
    <xdr:pic>
      <xdr:nvPicPr>
        <xdr:cNvPr id="150" name="Imagem 149">
          <a:extLst>
            <a:ext uri="{FF2B5EF4-FFF2-40B4-BE49-F238E27FC236}">
              <a16:creationId xmlns:a16="http://schemas.microsoft.com/office/drawing/2014/main" id="{FDB3F4A8-7293-4C4B-869F-70C0E07D06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938705" y="139979400"/>
          <a:ext cx="712915" cy="381000"/>
        </a:xfrm>
        <a:prstGeom prst="rect">
          <a:avLst/>
        </a:prstGeom>
      </xdr:spPr>
    </xdr:pic>
    <xdr:clientData/>
  </xdr:twoCellAnchor>
  <xdr:twoCellAnchor>
    <xdr:from>
      <xdr:col>3</xdr:col>
      <xdr:colOff>726610</xdr:colOff>
      <xdr:row>326</xdr:row>
      <xdr:rowOff>85725</xdr:rowOff>
    </xdr:from>
    <xdr:to>
      <xdr:col>3</xdr:col>
      <xdr:colOff>1481715</xdr:colOff>
      <xdr:row>326</xdr:row>
      <xdr:rowOff>523875</xdr:rowOff>
    </xdr:to>
    <xdr:pic>
      <xdr:nvPicPr>
        <xdr:cNvPr id="151" name="Imagem 150">
          <a:extLst>
            <a:ext uri="{FF2B5EF4-FFF2-40B4-BE49-F238E27FC236}">
              <a16:creationId xmlns:a16="http://schemas.microsoft.com/office/drawing/2014/main" id="{0AACE188-DBD2-4F12-B268-80886E97A1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917610" y="140817600"/>
          <a:ext cx="755105" cy="438150"/>
        </a:xfrm>
        <a:prstGeom prst="rect">
          <a:avLst/>
        </a:prstGeom>
      </xdr:spPr>
    </xdr:pic>
    <xdr:clientData/>
  </xdr:twoCellAnchor>
  <xdr:twoCellAnchor>
    <xdr:from>
      <xdr:col>3</xdr:col>
      <xdr:colOff>726610</xdr:colOff>
      <xdr:row>328</xdr:row>
      <xdr:rowOff>76200</xdr:rowOff>
    </xdr:from>
    <xdr:to>
      <xdr:col>3</xdr:col>
      <xdr:colOff>1481715</xdr:colOff>
      <xdr:row>328</xdr:row>
      <xdr:rowOff>542925</xdr:rowOff>
    </xdr:to>
    <xdr:pic>
      <xdr:nvPicPr>
        <xdr:cNvPr id="152" name="Imagem 151">
          <a:extLst>
            <a:ext uri="{FF2B5EF4-FFF2-40B4-BE49-F238E27FC236}">
              <a16:creationId xmlns:a16="http://schemas.microsoft.com/office/drawing/2014/main" id="{944699C8-53FF-45AC-91AB-17E1DF1EC5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917610" y="141674850"/>
          <a:ext cx="755105" cy="466725"/>
        </a:xfrm>
        <a:prstGeom prst="rect">
          <a:avLst/>
        </a:prstGeom>
      </xdr:spPr>
    </xdr:pic>
    <xdr:clientData/>
  </xdr:twoCellAnchor>
  <xdr:twoCellAnchor>
    <xdr:from>
      <xdr:col>3</xdr:col>
      <xdr:colOff>726610</xdr:colOff>
      <xdr:row>330</xdr:row>
      <xdr:rowOff>76200</xdr:rowOff>
    </xdr:from>
    <xdr:to>
      <xdr:col>3</xdr:col>
      <xdr:colOff>1481715</xdr:colOff>
      <xdr:row>330</xdr:row>
      <xdr:rowOff>542925</xdr:rowOff>
    </xdr:to>
    <xdr:pic>
      <xdr:nvPicPr>
        <xdr:cNvPr id="153" name="Imagem 152">
          <a:extLst>
            <a:ext uri="{FF2B5EF4-FFF2-40B4-BE49-F238E27FC236}">
              <a16:creationId xmlns:a16="http://schemas.microsoft.com/office/drawing/2014/main" id="{AA30062A-FD7A-49D9-BCC5-5277A3A9ED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917610" y="142541625"/>
          <a:ext cx="755105" cy="466725"/>
        </a:xfrm>
        <a:prstGeom prst="rect">
          <a:avLst/>
        </a:prstGeom>
      </xdr:spPr>
    </xdr:pic>
    <xdr:clientData/>
  </xdr:twoCellAnchor>
  <xdr:twoCellAnchor>
    <xdr:from>
      <xdr:col>3</xdr:col>
      <xdr:colOff>713836</xdr:colOff>
      <xdr:row>332</xdr:row>
      <xdr:rowOff>58492</xdr:rowOff>
    </xdr:from>
    <xdr:to>
      <xdr:col>3</xdr:col>
      <xdr:colOff>1560755</xdr:colOff>
      <xdr:row>332</xdr:row>
      <xdr:rowOff>514350</xdr:rowOff>
    </xdr:to>
    <xdr:pic>
      <xdr:nvPicPr>
        <xdr:cNvPr id="154" name="Imagem 153">
          <a:extLst>
            <a:ext uri="{FF2B5EF4-FFF2-40B4-BE49-F238E27FC236}">
              <a16:creationId xmlns:a16="http://schemas.microsoft.com/office/drawing/2014/main" id="{1ADCF04F-9DBF-4D97-AA36-3F2801C5A1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 rot="16200000">
          <a:off x="5100367" y="143195161"/>
          <a:ext cx="455858" cy="8469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708670</xdr:colOff>
      <xdr:row>334</xdr:row>
      <xdr:rowOff>75346</xdr:rowOff>
    </xdr:from>
    <xdr:to>
      <xdr:col>3</xdr:col>
      <xdr:colOff>1565920</xdr:colOff>
      <xdr:row>334</xdr:row>
      <xdr:rowOff>523875</xdr:rowOff>
    </xdr:to>
    <xdr:pic>
      <xdr:nvPicPr>
        <xdr:cNvPr id="155" name="Imagem 154">
          <a:extLst>
            <a:ext uri="{FF2B5EF4-FFF2-40B4-BE49-F238E27FC236}">
              <a16:creationId xmlns:a16="http://schemas.microsoft.com/office/drawing/2014/main" id="{534F4006-D0CF-42CD-9276-132BEE157B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899670" y="144274321"/>
          <a:ext cx="857250" cy="4485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708671</xdr:colOff>
      <xdr:row>336</xdr:row>
      <xdr:rowOff>75346</xdr:rowOff>
    </xdr:from>
    <xdr:to>
      <xdr:col>3</xdr:col>
      <xdr:colOff>1565920</xdr:colOff>
      <xdr:row>336</xdr:row>
      <xdr:rowOff>523875</xdr:rowOff>
    </xdr:to>
    <xdr:pic>
      <xdr:nvPicPr>
        <xdr:cNvPr id="156" name="Imagem 155">
          <a:extLst>
            <a:ext uri="{FF2B5EF4-FFF2-40B4-BE49-F238E27FC236}">
              <a16:creationId xmlns:a16="http://schemas.microsoft.com/office/drawing/2014/main" id="{0C313327-8432-4DE4-8EBF-1066282EC9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899671" y="145141096"/>
          <a:ext cx="857249" cy="4485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708671</xdr:colOff>
      <xdr:row>338</xdr:row>
      <xdr:rowOff>75347</xdr:rowOff>
    </xdr:from>
    <xdr:to>
      <xdr:col>3</xdr:col>
      <xdr:colOff>1565920</xdr:colOff>
      <xdr:row>338</xdr:row>
      <xdr:rowOff>533401</xdr:rowOff>
    </xdr:to>
    <xdr:pic>
      <xdr:nvPicPr>
        <xdr:cNvPr id="157" name="Imagem 156">
          <a:extLst>
            <a:ext uri="{FF2B5EF4-FFF2-40B4-BE49-F238E27FC236}">
              <a16:creationId xmlns:a16="http://schemas.microsoft.com/office/drawing/2014/main" id="{C46EE878-AC27-4B0F-A0B8-F669497FCF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899671" y="146007872"/>
          <a:ext cx="857249" cy="4580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777377</xdr:colOff>
      <xdr:row>340</xdr:row>
      <xdr:rowOff>67064</xdr:rowOff>
    </xdr:from>
    <xdr:to>
      <xdr:col>3</xdr:col>
      <xdr:colOff>1634626</xdr:colOff>
      <xdr:row>340</xdr:row>
      <xdr:rowOff>542925</xdr:rowOff>
    </xdr:to>
    <xdr:pic>
      <xdr:nvPicPr>
        <xdr:cNvPr id="158" name="Imagem 157">
          <a:extLst>
            <a:ext uri="{FF2B5EF4-FFF2-40B4-BE49-F238E27FC236}">
              <a16:creationId xmlns:a16="http://schemas.microsoft.com/office/drawing/2014/main" id="{128D64AD-19C7-4C0E-8B18-0228038F5F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968377" y="146866364"/>
          <a:ext cx="857249" cy="4758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793566</xdr:colOff>
      <xdr:row>342</xdr:row>
      <xdr:rowOff>16954</xdr:rowOff>
    </xdr:from>
    <xdr:to>
      <xdr:col>3</xdr:col>
      <xdr:colOff>1650815</xdr:colOff>
      <xdr:row>342</xdr:row>
      <xdr:rowOff>622162</xdr:rowOff>
    </xdr:to>
    <xdr:pic>
      <xdr:nvPicPr>
        <xdr:cNvPr id="159" name="Imagem 158">
          <a:extLst>
            <a:ext uri="{FF2B5EF4-FFF2-40B4-BE49-F238E27FC236}">
              <a16:creationId xmlns:a16="http://schemas.microsoft.com/office/drawing/2014/main" id="{19DEDEE7-3259-4BDA-9502-973D793542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984566" y="15609379"/>
          <a:ext cx="857249" cy="6052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720850</xdr:colOff>
      <xdr:row>344</xdr:row>
      <xdr:rowOff>80950</xdr:rowOff>
    </xdr:from>
    <xdr:to>
      <xdr:col>3</xdr:col>
      <xdr:colOff>1578097</xdr:colOff>
      <xdr:row>344</xdr:row>
      <xdr:rowOff>542926</xdr:rowOff>
    </xdr:to>
    <xdr:pic>
      <xdr:nvPicPr>
        <xdr:cNvPr id="160" name="Imagem 159">
          <a:extLst>
            <a:ext uri="{FF2B5EF4-FFF2-40B4-BE49-F238E27FC236}">
              <a16:creationId xmlns:a16="http://schemas.microsoft.com/office/drawing/2014/main" id="{4CCB19AC-04AF-48F9-8443-8041BC81E5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911850" y="148613800"/>
          <a:ext cx="857247" cy="461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887681</xdr:colOff>
      <xdr:row>346</xdr:row>
      <xdr:rowOff>92583</xdr:rowOff>
    </xdr:from>
    <xdr:to>
      <xdr:col>3</xdr:col>
      <xdr:colOff>1337208</xdr:colOff>
      <xdr:row>346</xdr:row>
      <xdr:rowOff>549847</xdr:rowOff>
    </xdr:to>
    <xdr:pic>
      <xdr:nvPicPr>
        <xdr:cNvPr id="161" name="Imagem 160">
          <a:extLst>
            <a:ext uri="{FF2B5EF4-FFF2-40B4-BE49-F238E27FC236}">
              <a16:creationId xmlns:a16="http://schemas.microsoft.com/office/drawing/2014/main" id="{573FA884-35BA-4C5C-9DAE-6DB144ACE3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3430856" y="56118633"/>
          <a:ext cx="1852" cy="667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671817</xdr:colOff>
      <xdr:row>369</xdr:row>
      <xdr:rowOff>60024</xdr:rowOff>
    </xdr:from>
    <xdr:to>
      <xdr:col>3</xdr:col>
      <xdr:colOff>1440667</xdr:colOff>
      <xdr:row>369</xdr:row>
      <xdr:rowOff>564024</xdr:rowOff>
    </xdr:to>
    <xdr:pic>
      <xdr:nvPicPr>
        <xdr:cNvPr id="162" name="Imagem 161">
          <a:extLst>
            <a:ext uri="{FF2B5EF4-FFF2-40B4-BE49-F238E27FC236}">
              <a16:creationId xmlns:a16="http://schemas.microsoft.com/office/drawing/2014/main" id="{58D4FDAE-7A02-47E5-A10E-0CCCE5491D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415017" y="59810349"/>
          <a:ext cx="16375" cy="103950"/>
        </a:xfrm>
        <a:prstGeom prst="rect">
          <a:avLst/>
        </a:prstGeom>
      </xdr:spPr>
    </xdr:pic>
    <xdr:clientData/>
  </xdr:twoCellAnchor>
  <xdr:twoCellAnchor>
    <xdr:from>
      <xdr:col>3</xdr:col>
      <xdr:colOff>816663</xdr:colOff>
      <xdr:row>377</xdr:row>
      <xdr:rowOff>69988</xdr:rowOff>
    </xdr:from>
    <xdr:to>
      <xdr:col>3</xdr:col>
      <xdr:colOff>1327283</xdr:colOff>
      <xdr:row>377</xdr:row>
      <xdr:rowOff>573988</xdr:rowOff>
    </xdr:to>
    <xdr:pic>
      <xdr:nvPicPr>
        <xdr:cNvPr id="163" name="Imagem 162">
          <a:extLst>
            <a:ext uri="{FF2B5EF4-FFF2-40B4-BE49-F238E27FC236}">
              <a16:creationId xmlns:a16="http://schemas.microsoft.com/office/drawing/2014/main" id="{32D3FF08-36D0-4E9F-B1FD-5ADC121EC5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07663" y="162604588"/>
          <a:ext cx="510620" cy="504000"/>
        </a:xfrm>
        <a:prstGeom prst="rect">
          <a:avLst/>
        </a:prstGeom>
      </xdr:spPr>
    </xdr:pic>
    <xdr:clientData/>
  </xdr:twoCellAnchor>
  <xdr:twoCellAnchor>
    <xdr:from>
      <xdr:col>3</xdr:col>
      <xdr:colOff>826188</xdr:colOff>
      <xdr:row>379</xdr:row>
      <xdr:rowOff>69988</xdr:rowOff>
    </xdr:from>
    <xdr:to>
      <xdr:col>3</xdr:col>
      <xdr:colOff>1336808</xdr:colOff>
      <xdr:row>379</xdr:row>
      <xdr:rowOff>573988</xdr:rowOff>
    </xdr:to>
    <xdr:pic>
      <xdr:nvPicPr>
        <xdr:cNvPr id="164" name="Imagem 163">
          <a:extLst>
            <a:ext uri="{FF2B5EF4-FFF2-40B4-BE49-F238E27FC236}">
              <a16:creationId xmlns:a16="http://schemas.microsoft.com/office/drawing/2014/main" id="{C8570E1B-38DF-4992-BAAA-6816983245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17188" y="163471363"/>
          <a:ext cx="510620" cy="504000"/>
        </a:xfrm>
        <a:prstGeom prst="rect">
          <a:avLst/>
        </a:prstGeom>
      </xdr:spPr>
    </xdr:pic>
    <xdr:clientData/>
  </xdr:twoCellAnchor>
  <xdr:twoCellAnchor>
    <xdr:from>
      <xdr:col>3</xdr:col>
      <xdr:colOff>912530</xdr:colOff>
      <xdr:row>349</xdr:row>
      <xdr:rowOff>75346</xdr:rowOff>
    </xdr:from>
    <xdr:to>
      <xdr:col>3</xdr:col>
      <xdr:colOff>1326426</xdr:colOff>
      <xdr:row>349</xdr:row>
      <xdr:rowOff>533400</xdr:rowOff>
    </xdr:to>
    <xdr:pic>
      <xdr:nvPicPr>
        <xdr:cNvPr id="166" name="Imagem 165">
          <a:extLst>
            <a:ext uri="{FF2B5EF4-FFF2-40B4-BE49-F238E27FC236}">
              <a16:creationId xmlns:a16="http://schemas.microsoft.com/office/drawing/2014/main" id="{13D36F44-6444-420A-9528-32B2C5F0DF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5103530" y="150675121"/>
          <a:ext cx="413896" cy="4580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811696</xdr:colOff>
      <xdr:row>353</xdr:row>
      <xdr:rowOff>46557</xdr:rowOff>
    </xdr:from>
    <xdr:to>
      <xdr:col>3</xdr:col>
      <xdr:colOff>1345096</xdr:colOff>
      <xdr:row>353</xdr:row>
      <xdr:rowOff>568220</xdr:rowOff>
    </xdr:to>
    <xdr:pic>
      <xdr:nvPicPr>
        <xdr:cNvPr id="168" name="Imagem 167">
          <a:extLst>
            <a:ext uri="{FF2B5EF4-FFF2-40B4-BE49-F238E27FC236}">
              <a16:creationId xmlns:a16="http://schemas.microsoft.com/office/drawing/2014/main" id="{CF05F07B-B8B2-4DC4-B762-E3846FDE46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1071" y="57206082"/>
          <a:ext cx="0" cy="112088"/>
        </a:xfrm>
        <a:prstGeom prst="rect">
          <a:avLst/>
        </a:prstGeom>
      </xdr:spPr>
    </xdr:pic>
    <xdr:clientData/>
  </xdr:twoCellAnchor>
  <xdr:twoCellAnchor>
    <xdr:from>
      <xdr:col>3</xdr:col>
      <xdr:colOff>1372609</xdr:colOff>
      <xdr:row>165</xdr:row>
      <xdr:rowOff>113948</xdr:rowOff>
    </xdr:from>
    <xdr:to>
      <xdr:col>3</xdr:col>
      <xdr:colOff>2136237</xdr:colOff>
      <xdr:row>166</xdr:row>
      <xdr:rowOff>409012</xdr:rowOff>
    </xdr:to>
    <xdr:pic>
      <xdr:nvPicPr>
        <xdr:cNvPr id="169" name="Imagem 168">
          <a:extLst>
            <a:ext uri="{FF2B5EF4-FFF2-40B4-BE49-F238E27FC236}">
              <a16:creationId xmlns:a16="http://schemas.microsoft.com/office/drawing/2014/main" id="{105EF234-F4DC-451F-AEE9-3FAB834A55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19323" y="72190984"/>
          <a:ext cx="763628" cy="539992"/>
        </a:xfrm>
        <a:prstGeom prst="rect">
          <a:avLst/>
        </a:prstGeom>
      </xdr:spPr>
    </xdr:pic>
    <xdr:clientData/>
  </xdr:twoCellAnchor>
  <xdr:twoCellAnchor>
    <xdr:from>
      <xdr:col>3</xdr:col>
      <xdr:colOff>1493491</xdr:colOff>
      <xdr:row>167</xdr:row>
      <xdr:rowOff>73411</xdr:rowOff>
    </xdr:from>
    <xdr:to>
      <xdr:col>3</xdr:col>
      <xdr:colOff>2004237</xdr:colOff>
      <xdr:row>168</xdr:row>
      <xdr:rowOff>560341</xdr:rowOff>
    </xdr:to>
    <xdr:pic>
      <xdr:nvPicPr>
        <xdr:cNvPr id="170" name="Imagem 169">
          <a:extLst>
            <a:ext uri="{FF2B5EF4-FFF2-40B4-BE49-F238E27FC236}">
              <a16:creationId xmlns:a16="http://schemas.microsoft.com/office/drawing/2014/main" id="{9A309705-17B4-456E-92D4-63554E3A14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0205" y="73021304"/>
          <a:ext cx="510746" cy="731858"/>
        </a:xfrm>
        <a:prstGeom prst="rect">
          <a:avLst/>
        </a:prstGeom>
      </xdr:spPr>
    </xdr:pic>
    <xdr:clientData/>
  </xdr:twoCellAnchor>
  <xdr:twoCellAnchor>
    <xdr:from>
      <xdr:col>3</xdr:col>
      <xdr:colOff>1503559</xdr:colOff>
      <xdr:row>247</xdr:row>
      <xdr:rowOff>196456</xdr:rowOff>
    </xdr:from>
    <xdr:to>
      <xdr:col>3</xdr:col>
      <xdr:colOff>2060592</xdr:colOff>
      <xdr:row>248</xdr:row>
      <xdr:rowOff>524711</xdr:rowOff>
    </xdr:to>
    <xdr:pic>
      <xdr:nvPicPr>
        <xdr:cNvPr id="171" name="Imagem 170" descr="Rua sem Saída.jpg">
          <a:extLst>
            <a:ext uri="{FF2B5EF4-FFF2-40B4-BE49-F238E27FC236}">
              <a16:creationId xmlns:a16="http://schemas.microsoft.com/office/drawing/2014/main" id="{03871958-D506-4211-90A0-E6FFFE78D3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 cstate="print"/>
        <a:stretch>
          <a:fillRect/>
        </a:stretch>
      </xdr:blipFill>
      <xdr:spPr>
        <a:xfrm>
          <a:off x="5150273" y="107978635"/>
          <a:ext cx="557033" cy="573183"/>
        </a:xfrm>
        <a:prstGeom prst="rect">
          <a:avLst/>
        </a:prstGeom>
      </xdr:spPr>
    </xdr:pic>
    <xdr:clientData/>
  </xdr:twoCellAnchor>
  <xdr:twoCellAnchor>
    <xdr:from>
      <xdr:col>3</xdr:col>
      <xdr:colOff>1521699</xdr:colOff>
      <xdr:row>269</xdr:row>
      <xdr:rowOff>28039</xdr:rowOff>
    </xdr:from>
    <xdr:to>
      <xdr:col>3</xdr:col>
      <xdr:colOff>2032614</xdr:colOff>
      <xdr:row>270</xdr:row>
      <xdr:rowOff>619956</xdr:rowOff>
    </xdr:to>
    <xdr:pic>
      <xdr:nvPicPr>
        <xdr:cNvPr id="173" name="Imagem 172">
          <a:extLst>
            <a:ext uri="{FF2B5EF4-FFF2-40B4-BE49-F238E27FC236}">
              <a16:creationId xmlns:a16="http://schemas.microsoft.com/office/drawing/2014/main" id="{52B363D3-0E33-4FCC-A38C-40D8E556A7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68413" y="117389646"/>
          <a:ext cx="510915" cy="836846"/>
        </a:xfrm>
        <a:prstGeom prst="rect">
          <a:avLst/>
        </a:prstGeom>
      </xdr:spPr>
    </xdr:pic>
    <xdr:clientData/>
  </xdr:twoCellAnchor>
  <xdr:twoCellAnchor>
    <xdr:from>
      <xdr:col>3</xdr:col>
      <xdr:colOff>1528314</xdr:colOff>
      <xdr:row>275</xdr:row>
      <xdr:rowOff>84742</xdr:rowOff>
    </xdr:from>
    <xdr:to>
      <xdr:col>3</xdr:col>
      <xdr:colOff>2053217</xdr:colOff>
      <xdr:row>276</xdr:row>
      <xdr:rowOff>616363</xdr:rowOff>
    </xdr:to>
    <xdr:pic>
      <xdr:nvPicPr>
        <xdr:cNvPr id="174" name="Imagem 173">
          <a:extLst>
            <a:ext uri="{FF2B5EF4-FFF2-40B4-BE49-F238E27FC236}">
              <a16:creationId xmlns:a16="http://schemas.microsoft.com/office/drawing/2014/main" id="{F6C2AC10-F0A9-4BBA-BF5A-38AC0A09C3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75028" y="120058921"/>
          <a:ext cx="524903" cy="776549"/>
        </a:xfrm>
        <a:prstGeom prst="rect">
          <a:avLst/>
        </a:prstGeom>
      </xdr:spPr>
    </xdr:pic>
    <xdr:clientData/>
  </xdr:twoCellAnchor>
  <xdr:twoCellAnchor>
    <xdr:from>
      <xdr:col>3</xdr:col>
      <xdr:colOff>1527154</xdr:colOff>
      <xdr:row>271</xdr:row>
      <xdr:rowOff>51447</xdr:rowOff>
    </xdr:from>
    <xdr:to>
      <xdr:col>3</xdr:col>
      <xdr:colOff>2054372</xdr:colOff>
      <xdr:row>272</xdr:row>
      <xdr:rowOff>582244</xdr:rowOff>
    </xdr:to>
    <xdr:pic>
      <xdr:nvPicPr>
        <xdr:cNvPr id="175" name="Imagem 174">
          <a:extLst>
            <a:ext uri="{FF2B5EF4-FFF2-40B4-BE49-F238E27FC236}">
              <a16:creationId xmlns:a16="http://schemas.microsoft.com/office/drawing/2014/main" id="{4DD039CB-AE66-455A-8D9E-B5937E952F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73868" y="118283911"/>
          <a:ext cx="527218" cy="775726"/>
        </a:xfrm>
        <a:prstGeom prst="rect">
          <a:avLst/>
        </a:prstGeom>
      </xdr:spPr>
    </xdr:pic>
    <xdr:clientData/>
  </xdr:twoCellAnchor>
  <xdr:twoCellAnchor>
    <xdr:from>
      <xdr:col>3</xdr:col>
      <xdr:colOff>1532751</xdr:colOff>
      <xdr:row>273</xdr:row>
      <xdr:rowOff>30074</xdr:rowOff>
    </xdr:from>
    <xdr:to>
      <xdr:col>3</xdr:col>
      <xdr:colOff>2046384</xdr:colOff>
      <xdr:row>274</xdr:row>
      <xdr:rowOff>614909</xdr:rowOff>
    </xdr:to>
    <xdr:pic>
      <xdr:nvPicPr>
        <xdr:cNvPr id="176" name="Imagem 175">
          <a:extLst>
            <a:ext uri="{FF2B5EF4-FFF2-40B4-BE49-F238E27FC236}">
              <a16:creationId xmlns:a16="http://schemas.microsoft.com/office/drawing/2014/main" id="{D49FDAAB-4AF2-46D7-A0E1-9B427D3D86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179465" y="119133395"/>
          <a:ext cx="513633" cy="829764"/>
        </a:xfrm>
        <a:prstGeom prst="rect">
          <a:avLst/>
        </a:prstGeom>
      </xdr:spPr>
    </xdr:pic>
    <xdr:clientData/>
  </xdr:twoCellAnchor>
  <xdr:twoCellAnchor>
    <xdr:from>
      <xdr:col>3</xdr:col>
      <xdr:colOff>438150</xdr:colOff>
      <xdr:row>296</xdr:row>
      <xdr:rowOff>257175</xdr:rowOff>
    </xdr:from>
    <xdr:to>
      <xdr:col>3</xdr:col>
      <xdr:colOff>1733550</xdr:colOff>
      <xdr:row>296</xdr:row>
      <xdr:rowOff>302894</xdr:rowOff>
    </xdr:to>
    <xdr:sp macro="" textlink="">
      <xdr:nvSpPr>
        <xdr:cNvPr id="177" name="Retângulo 176">
          <a:extLst>
            <a:ext uri="{FF2B5EF4-FFF2-40B4-BE49-F238E27FC236}">
              <a16:creationId xmlns:a16="http://schemas.microsoft.com/office/drawing/2014/main" id="{42F109EA-20D2-4F13-970D-42F16E679633}"/>
            </a:ext>
          </a:extLst>
        </xdr:cNvPr>
        <xdr:cNvSpPr/>
      </xdr:nvSpPr>
      <xdr:spPr>
        <a:xfrm>
          <a:off x="3181350" y="48091725"/>
          <a:ext cx="247650" cy="0"/>
        </a:xfrm>
        <a:prstGeom prst="rect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146585</xdr:colOff>
      <xdr:row>299</xdr:row>
      <xdr:rowOff>311305</xdr:rowOff>
    </xdr:from>
    <xdr:to>
      <xdr:col>3</xdr:col>
      <xdr:colOff>478577</xdr:colOff>
      <xdr:row>299</xdr:row>
      <xdr:rowOff>357024</xdr:rowOff>
    </xdr:to>
    <xdr:sp macro="" textlink="">
      <xdr:nvSpPr>
        <xdr:cNvPr id="178" name="Retângulo 177">
          <a:extLst>
            <a:ext uri="{FF2B5EF4-FFF2-40B4-BE49-F238E27FC236}">
              <a16:creationId xmlns:a16="http://schemas.microsoft.com/office/drawing/2014/main" id="{6BF87B2E-DCE0-4C6C-8FB9-5453A5F57487}"/>
            </a:ext>
          </a:extLst>
        </xdr:cNvPr>
        <xdr:cNvSpPr/>
      </xdr:nvSpPr>
      <xdr:spPr>
        <a:xfrm>
          <a:off x="2889785" y="48574480"/>
          <a:ext cx="331992" cy="7619"/>
        </a:xfrm>
        <a:prstGeom prst="rect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917878</xdr:colOff>
      <xdr:row>299</xdr:row>
      <xdr:rowOff>311305</xdr:rowOff>
    </xdr:from>
    <xdr:to>
      <xdr:col>3</xdr:col>
      <xdr:colOff>1249870</xdr:colOff>
      <xdr:row>299</xdr:row>
      <xdr:rowOff>357024</xdr:rowOff>
    </xdr:to>
    <xdr:sp macro="" textlink="">
      <xdr:nvSpPr>
        <xdr:cNvPr id="179" name="Retângulo 178">
          <a:extLst>
            <a:ext uri="{FF2B5EF4-FFF2-40B4-BE49-F238E27FC236}">
              <a16:creationId xmlns:a16="http://schemas.microsoft.com/office/drawing/2014/main" id="{8FC5AE8A-7445-4D17-97B9-7E35B54822CF}"/>
            </a:ext>
          </a:extLst>
        </xdr:cNvPr>
        <xdr:cNvSpPr/>
      </xdr:nvSpPr>
      <xdr:spPr>
        <a:xfrm>
          <a:off x="3432478" y="48574480"/>
          <a:ext cx="0" cy="7619"/>
        </a:xfrm>
        <a:prstGeom prst="rect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1675231</xdr:colOff>
      <xdr:row>299</xdr:row>
      <xdr:rowOff>311305</xdr:rowOff>
    </xdr:from>
    <xdr:to>
      <xdr:col>3</xdr:col>
      <xdr:colOff>2007223</xdr:colOff>
      <xdr:row>299</xdr:row>
      <xdr:rowOff>357024</xdr:rowOff>
    </xdr:to>
    <xdr:sp macro="" textlink="">
      <xdr:nvSpPr>
        <xdr:cNvPr id="180" name="Retângulo 179">
          <a:extLst>
            <a:ext uri="{FF2B5EF4-FFF2-40B4-BE49-F238E27FC236}">
              <a16:creationId xmlns:a16="http://schemas.microsoft.com/office/drawing/2014/main" id="{53817C51-F0EA-4A64-A48C-D9C269627DFB}"/>
            </a:ext>
          </a:extLst>
        </xdr:cNvPr>
        <xdr:cNvSpPr/>
      </xdr:nvSpPr>
      <xdr:spPr>
        <a:xfrm>
          <a:off x="3427831" y="48574480"/>
          <a:ext cx="0" cy="7619"/>
        </a:xfrm>
        <a:prstGeom prst="rect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374252</xdr:colOff>
      <xdr:row>302</xdr:row>
      <xdr:rowOff>302012</xdr:rowOff>
    </xdr:from>
    <xdr:to>
      <xdr:col>3</xdr:col>
      <xdr:colOff>706244</xdr:colOff>
      <xdr:row>302</xdr:row>
      <xdr:rowOff>347731</xdr:rowOff>
    </xdr:to>
    <xdr:sp macro="" textlink="">
      <xdr:nvSpPr>
        <xdr:cNvPr id="181" name="Retângulo 180">
          <a:extLst>
            <a:ext uri="{FF2B5EF4-FFF2-40B4-BE49-F238E27FC236}">
              <a16:creationId xmlns:a16="http://schemas.microsoft.com/office/drawing/2014/main" id="{16DF5933-B2B0-4539-9DA1-CC92635F6548}"/>
            </a:ext>
          </a:extLst>
        </xdr:cNvPr>
        <xdr:cNvSpPr/>
      </xdr:nvSpPr>
      <xdr:spPr>
        <a:xfrm>
          <a:off x="3117452" y="49060487"/>
          <a:ext cx="312942" cy="0"/>
        </a:xfrm>
        <a:prstGeom prst="rect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955047</xdr:colOff>
      <xdr:row>302</xdr:row>
      <xdr:rowOff>302012</xdr:rowOff>
    </xdr:from>
    <xdr:to>
      <xdr:col>3</xdr:col>
      <xdr:colOff>1287039</xdr:colOff>
      <xdr:row>302</xdr:row>
      <xdr:rowOff>347731</xdr:rowOff>
    </xdr:to>
    <xdr:sp macro="" textlink="">
      <xdr:nvSpPr>
        <xdr:cNvPr id="182" name="Retângulo 181">
          <a:extLst>
            <a:ext uri="{FF2B5EF4-FFF2-40B4-BE49-F238E27FC236}">
              <a16:creationId xmlns:a16="http://schemas.microsoft.com/office/drawing/2014/main" id="{7F09B56F-DD4D-4E06-8993-563177B25C4E}"/>
            </a:ext>
          </a:extLst>
        </xdr:cNvPr>
        <xdr:cNvSpPr/>
      </xdr:nvSpPr>
      <xdr:spPr>
        <a:xfrm>
          <a:off x="3431547" y="49060487"/>
          <a:ext cx="0" cy="0"/>
        </a:xfrm>
        <a:prstGeom prst="rect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1526551</xdr:colOff>
      <xdr:row>302</xdr:row>
      <xdr:rowOff>302012</xdr:rowOff>
    </xdr:from>
    <xdr:to>
      <xdr:col>3</xdr:col>
      <xdr:colOff>1858543</xdr:colOff>
      <xdr:row>302</xdr:row>
      <xdr:rowOff>347731</xdr:rowOff>
    </xdr:to>
    <xdr:sp macro="" textlink="">
      <xdr:nvSpPr>
        <xdr:cNvPr id="183" name="Retângulo 182">
          <a:extLst>
            <a:ext uri="{FF2B5EF4-FFF2-40B4-BE49-F238E27FC236}">
              <a16:creationId xmlns:a16="http://schemas.microsoft.com/office/drawing/2014/main" id="{2BA3D7B8-DBBB-4C01-810F-2F9A929477E6}"/>
            </a:ext>
          </a:extLst>
        </xdr:cNvPr>
        <xdr:cNvSpPr/>
      </xdr:nvSpPr>
      <xdr:spPr>
        <a:xfrm>
          <a:off x="3431551" y="49060487"/>
          <a:ext cx="0" cy="0"/>
        </a:xfrm>
        <a:prstGeom prst="rect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374252</xdr:colOff>
      <xdr:row>306</xdr:row>
      <xdr:rowOff>302012</xdr:rowOff>
    </xdr:from>
    <xdr:to>
      <xdr:col>3</xdr:col>
      <xdr:colOff>706244</xdr:colOff>
      <xdr:row>306</xdr:row>
      <xdr:rowOff>347731</xdr:rowOff>
    </xdr:to>
    <xdr:sp macro="" textlink="">
      <xdr:nvSpPr>
        <xdr:cNvPr id="184" name="Retângulo 183">
          <a:extLst>
            <a:ext uri="{FF2B5EF4-FFF2-40B4-BE49-F238E27FC236}">
              <a16:creationId xmlns:a16="http://schemas.microsoft.com/office/drawing/2014/main" id="{9780DB94-7D54-4BEE-A8BA-8A1701B851D6}"/>
            </a:ext>
          </a:extLst>
        </xdr:cNvPr>
        <xdr:cNvSpPr/>
      </xdr:nvSpPr>
      <xdr:spPr>
        <a:xfrm>
          <a:off x="3117452" y="49708187"/>
          <a:ext cx="312942" cy="0"/>
        </a:xfrm>
        <a:prstGeom prst="rect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955047</xdr:colOff>
      <xdr:row>306</xdr:row>
      <xdr:rowOff>302012</xdr:rowOff>
    </xdr:from>
    <xdr:to>
      <xdr:col>3</xdr:col>
      <xdr:colOff>1287039</xdr:colOff>
      <xdr:row>306</xdr:row>
      <xdr:rowOff>347731</xdr:rowOff>
    </xdr:to>
    <xdr:sp macro="" textlink="">
      <xdr:nvSpPr>
        <xdr:cNvPr id="185" name="Retângulo 184">
          <a:extLst>
            <a:ext uri="{FF2B5EF4-FFF2-40B4-BE49-F238E27FC236}">
              <a16:creationId xmlns:a16="http://schemas.microsoft.com/office/drawing/2014/main" id="{4BBAC67E-B296-49EB-87F6-E8A59D9DED95}"/>
            </a:ext>
          </a:extLst>
        </xdr:cNvPr>
        <xdr:cNvSpPr/>
      </xdr:nvSpPr>
      <xdr:spPr>
        <a:xfrm>
          <a:off x="3431547" y="49708187"/>
          <a:ext cx="0" cy="0"/>
        </a:xfrm>
        <a:prstGeom prst="rect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1526551</xdr:colOff>
      <xdr:row>306</xdr:row>
      <xdr:rowOff>302012</xdr:rowOff>
    </xdr:from>
    <xdr:to>
      <xdr:col>3</xdr:col>
      <xdr:colOff>1858543</xdr:colOff>
      <xdr:row>306</xdr:row>
      <xdr:rowOff>347731</xdr:rowOff>
    </xdr:to>
    <xdr:sp macro="" textlink="">
      <xdr:nvSpPr>
        <xdr:cNvPr id="186" name="Retângulo 185">
          <a:extLst>
            <a:ext uri="{FF2B5EF4-FFF2-40B4-BE49-F238E27FC236}">
              <a16:creationId xmlns:a16="http://schemas.microsoft.com/office/drawing/2014/main" id="{38F24CA2-F814-43B6-BE52-1CF07B69F31F}"/>
            </a:ext>
          </a:extLst>
        </xdr:cNvPr>
        <xdr:cNvSpPr/>
      </xdr:nvSpPr>
      <xdr:spPr>
        <a:xfrm>
          <a:off x="3431551" y="49708187"/>
          <a:ext cx="0" cy="0"/>
        </a:xfrm>
        <a:prstGeom prst="rect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440512</xdr:colOff>
      <xdr:row>308</xdr:row>
      <xdr:rowOff>277164</xdr:rowOff>
    </xdr:from>
    <xdr:to>
      <xdr:col>3</xdr:col>
      <xdr:colOff>1689652</xdr:colOff>
      <xdr:row>308</xdr:row>
      <xdr:rowOff>322883</xdr:rowOff>
    </xdr:to>
    <xdr:sp macro="" textlink="">
      <xdr:nvSpPr>
        <xdr:cNvPr id="187" name="Retângulo 186">
          <a:extLst>
            <a:ext uri="{FF2B5EF4-FFF2-40B4-BE49-F238E27FC236}">
              <a16:creationId xmlns:a16="http://schemas.microsoft.com/office/drawing/2014/main" id="{D179836C-9A61-4FE7-9083-978358EEAAAD}"/>
            </a:ext>
          </a:extLst>
        </xdr:cNvPr>
        <xdr:cNvSpPr/>
      </xdr:nvSpPr>
      <xdr:spPr>
        <a:xfrm>
          <a:off x="3183712" y="50035764"/>
          <a:ext cx="249015" cy="0"/>
        </a:xfrm>
        <a:prstGeom prst="rect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440512</xdr:colOff>
      <xdr:row>310</xdr:row>
      <xdr:rowOff>256762</xdr:rowOff>
    </xdr:from>
    <xdr:to>
      <xdr:col>3</xdr:col>
      <xdr:colOff>1689652</xdr:colOff>
      <xdr:row>310</xdr:row>
      <xdr:rowOff>339450</xdr:rowOff>
    </xdr:to>
    <xdr:sp macro="" textlink="">
      <xdr:nvSpPr>
        <xdr:cNvPr id="188" name="Retângulo 187">
          <a:extLst>
            <a:ext uri="{FF2B5EF4-FFF2-40B4-BE49-F238E27FC236}">
              <a16:creationId xmlns:a16="http://schemas.microsoft.com/office/drawing/2014/main" id="{3776ACD1-0056-4DD9-AA38-740DECED232C}"/>
            </a:ext>
          </a:extLst>
        </xdr:cNvPr>
        <xdr:cNvSpPr/>
      </xdr:nvSpPr>
      <xdr:spPr>
        <a:xfrm>
          <a:off x="3183712" y="50358262"/>
          <a:ext cx="249015" cy="0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430697</xdr:colOff>
      <xdr:row>313</xdr:row>
      <xdr:rowOff>223630</xdr:rowOff>
    </xdr:from>
    <xdr:to>
      <xdr:col>3</xdr:col>
      <xdr:colOff>1679837</xdr:colOff>
      <xdr:row>313</xdr:row>
      <xdr:rowOff>339448</xdr:rowOff>
    </xdr:to>
    <xdr:sp macro="" textlink="">
      <xdr:nvSpPr>
        <xdr:cNvPr id="189" name="Retângulo 188">
          <a:extLst>
            <a:ext uri="{FF2B5EF4-FFF2-40B4-BE49-F238E27FC236}">
              <a16:creationId xmlns:a16="http://schemas.microsoft.com/office/drawing/2014/main" id="{71E492E5-511D-41EB-8CEA-2FA69D060402}"/>
            </a:ext>
          </a:extLst>
        </xdr:cNvPr>
        <xdr:cNvSpPr/>
      </xdr:nvSpPr>
      <xdr:spPr>
        <a:xfrm>
          <a:off x="3173897" y="50849005"/>
          <a:ext cx="258540" cy="0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430697</xdr:colOff>
      <xdr:row>363</xdr:row>
      <xdr:rowOff>273331</xdr:rowOff>
    </xdr:from>
    <xdr:to>
      <xdr:col>3</xdr:col>
      <xdr:colOff>1679837</xdr:colOff>
      <xdr:row>363</xdr:row>
      <xdr:rowOff>389149</xdr:rowOff>
    </xdr:to>
    <xdr:sp macro="" textlink="">
      <xdr:nvSpPr>
        <xdr:cNvPr id="190" name="Retângulo 189">
          <a:extLst>
            <a:ext uri="{FF2B5EF4-FFF2-40B4-BE49-F238E27FC236}">
              <a16:creationId xmlns:a16="http://schemas.microsoft.com/office/drawing/2014/main" id="{ADBC204C-D476-422E-B3D6-FFF181A3F00B}"/>
            </a:ext>
          </a:extLst>
        </xdr:cNvPr>
        <xdr:cNvSpPr/>
      </xdr:nvSpPr>
      <xdr:spPr>
        <a:xfrm>
          <a:off x="3173897" y="58937806"/>
          <a:ext cx="258540" cy="1518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419337</xdr:colOff>
      <xdr:row>365</xdr:row>
      <xdr:rowOff>259126</xdr:rowOff>
    </xdr:from>
    <xdr:to>
      <xdr:col>3</xdr:col>
      <xdr:colOff>510444</xdr:colOff>
      <xdr:row>365</xdr:row>
      <xdr:rowOff>358383</xdr:rowOff>
    </xdr:to>
    <xdr:sp macro="" textlink="">
      <xdr:nvSpPr>
        <xdr:cNvPr id="191" name="Retângulo 190">
          <a:extLst>
            <a:ext uri="{FF2B5EF4-FFF2-40B4-BE49-F238E27FC236}">
              <a16:creationId xmlns:a16="http://schemas.microsoft.com/office/drawing/2014/main" id="{51BBD62F-22F5-4300-8115-23445203FB4E}"/>
            </a:ext>
          </a:extLst>
        </xdr:cNvPr>
        <xdr:cNvSpPr/>
      </xdr:nvSpPr>
      <xdr:spPr>
        <a:xfrm>
          <a:off x="3162537" y="59266501"/>
          <a:ext cx="91107" cy="0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653380</xdr:colOff>
      <xdr:row>365</xdr:row>
      <xdr:rowOff>259126</xdr:rowOff>
    </xdr:from>
    <xdr:to>
      <xdr:col>3</xdr:col>
      <xdr:colOff>744487</xdr:colOff>
      <xdr:row>365</xdr:row>
      <xdr:rowOff>358383</xdr:rowOff>
    </xdr:to>
    <xdr:sp macro="" textlink="">
      <xdr:nvSpPr>
        <xdr:cNvPr id="192" name="Retângulo 191">
          <a:extLst>
            <a:ext uri="{FF2B5EF4-FFF2-40B4-BE49-F238E27FC236}">
              <a16:creationId xmlns:a16="http://schemas.microsoft.com/office/drawing/2014/main" id="{D926A6CD-F4A9-4F35-9DC3-96EB1C2BF517}"/>
            </a:ext>
          </a:extLst>
        </xdr:cNvPr>
        <xdr:cNvSpPr/>
      </xdr:nvSpPr>
      <xdr:spPr>
        <a:xfrm>
          <a:off x="3396580" y="59266501"/>
          <a:ext cx="33957" cy="0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887423</xdr:colOff>
      <xdr:row>365</xdr:row>
      <xdr:rowOff>259126</xdr:rowOff>
    </xdr:from>
    <xdr:to>
      <xdr:col>3</xdr:col>
      <xdr:colOff>978530</xdr:colOff>
      <xdr:row>365</xdr:row>
      <xdr:rowOff>358383</xdr:rowOff>
    </xdr:to>
    <xdr:sp macro="" textlink="">
      <xdr:nvSpPr>
        <xdr:cNvPr id="193" name="Retângulo 192">
          <a:extLst>
            <a:ext uri="{FF2B5EF4-FFF2-40B4-BE49-F238E27FC236}">
              <a16:creationId xmlns:a16="http://schemas.microsoft.com/office/drawing/2014/main" id="{BE15E24D-550E-46D8-85FE-4A8E69F31BCD}"/>
            </a:ext>
          </a:extLst>
        </xdr:cNvPr>
        <xdr:cNvSpPr/>
      </xdr:nvSpPr>
      <xdr:spPr>
        <a:xfrm>
          <a:off x="3430598" y="59266501"/>
          <a:ext cx="0" cy="0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1126909</xdr:colOff>
      <xdr:row>365</xdr:row>
      <xdr:rowOff>259126</xdr:rowOff>
    </xdr:from>
    <xdr:to>
      <xdr:col>3</xdr:col>
      <xdr:colOff>1218016</xdr:colOff>
      <xdr:row>365</xdr:row>
      <xdr:rowOff>358383</xdr:rowOff>
    </xdr:to>
    <xdr:sp macro="" textlink="">
      <xdr:nvSpPr>
        <xdr:cNvPr id="194" name="Retângulo 193">
          <a:extLst>
            <a:ext uri="{FF2B5EF4-FFF2-40B4-BE49-F238E27FC236}">
              <a16:creationId xmlns:a16="http://schemas.microsoft.com/office/drawing/2014/main" id="{6434E6D7-6290-4994-B3AB-66BDCC472835}"/>
            </a:ext>
          </a:extLst>
        </xdr:cNvPr>
        <xdr:cNvSpPr/>
      </xdr:nvSpPr>
      <xdr:spPr>
        <a:xfrm>
          <a:off x="3431959" y="59266501"/>
          <a:ext cx="0" cy="0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1366395</xdr:colOff>
      <xdr:row>365</xdr:row>
      <xdr:rowOff>259126</xdr:rowOff>
    </xdr:from>
    <xdr:to>
      <xdr:col>3</xdr:col>
      <xdr:colOff>1457502</xdr:colOff>
      <xdr:row>365</xdr:row>
      <xdr:rowOff>358383</xdr:rowOff>
    </xdr:to>
    <xdr:sp macro="" textlink="">
      <xdr:nvSpPr>
        <xdr:cNvPr id="195" name="Retângulo 194">
          <a:extLst>
            <a:ext uri="{FF2B5EF4-FFF2-40B4-BE49-F238E27FC236}">
              <a16:creationId xmlns:a16="http://schemas.microsoft.com/office/drawing/2014/main" id="{85882718-9F08-4FC1-8FC7-28E6DBD96D13}"/>
            </a:ext>
          </a:extLst>
        </xdr:cNvPr>
        <xdr:cNvSpPr/>
      </xdr:nvSpPr>
      <xdr:spPr>
        <a:xfrm>
          <a:off x="3433320" y="59266501"/>
          <a:ext cx="0" cy="0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1605881</xdr:colOff>
      <xdr:row>365</xdr:row>
      <xdr:rowOff>259126</xdr:rowOff>
    </xdr:from>
    <xdr:to>
      <xdr:col>3</xdr:col>
      <xdr:colOff>1696988</xdr:colOff>
      <xdr:row>365</xdr:row>
      <xdr:rowOff>358383</xdr:rowOff>
    </xdr:to>
    <xdr:sp macro="" textlink="">
      <xdr:nvSpPr>
        <xdr:cNvPr id="196" name="Retângulo 195">
          <a:extLst>
            <a:ext uri="{FF2B5EF4-FFF2-40B4-BE49-F238E27FC236}">
              <a16:creationId xmlns:a16="http://schemas.microsoft.com/office/drawing/2014/main" id="{E684BE4C-AB62-4459-ACE3-49AB129AEE8A}"/>
            </a:ext>
          </a:extLst>
        </xdr:cNvPr>
        <xdr:cNvSpPr/>
      </xdr:nvSpPr>
      <xdr:spPr>
        <a:xfrm>
          <a:off x="3425156" y="59266501"/>
          <a:ext cx="5382" cy="0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419337</xdr:colOff>
      <xdr:row>381</xdr:row>
      <xdr:rowOff>259126</xdr:rowOff>
    </xdr:from>
    <xdr:to>
      <xdr:col>3</xdr:col>
      <xdr:colOff>510444</xdr:colOff>
      <xdr:row>381</xdr:row>
      <xdr:rowOff>358383</xdr:rowOff>
    </xdr:to>
    <xdr:sp macro="" textlink="">
      <xdr:nvSpPr>
        <xdr:cNvPr id="197" name="Retângulo 196">
          <a:extLst>
            <a:ext uri="{FF2B5EF4-FFF2-40B4-BE49-F238E27FC236}">
              <a16:creationId xmlns:a16="http://schemas.microsoft.com/office/drawing/2014/main" id="{020105FA-1E29-48FC-AB6C-25AA4B963C77}"/>
            </a:ext>
          </a:extLst>
        </xdr:cNvPr>
        <xdr:cNvSpPr/>
      </xdr:nvSpPr>
      <xdr:spPr>
        <a:xfrm>
          <a:off x="3162537" y="61857301"/>
          <a:ext cx="91107" cy="0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653380</xdr:colOff>
      <xdr:row>381</xdr:row>
      <xdr:rowOff>259126</xdr:rowOff>
    </xdr:from>
    <xdr:to>
      <xdr:col>3</xdr:col>
      <xdr:colOff>744487</xdr:colOff>
      <xdr:row>381</xdr:row>
      <xdr:rowOff>358383</xdr:rowOff>
    </xdr:to>
    <xdr:sp macro="" textlink="">
      <xdr:nvSpPr>
        <xdr:cNvPr id="198" name="Retângulo 197">
          <a:extLst>
            <a:ext uri="{FF2B5EF4-FFF2-40B4-BE49-F238E27FC236}">
              <a16:creationId xmlns:a16="http://schemas.microsoft.com/office/drawing/2014/main" id="{6A35BDF5-3DBA-4459-9958-7188D0B79743}"/>
            </a:ext>
          </a:extLst>
        </xdr:cNvPr>
        <xdr:cNvSpPr/>
      </xdr:nvSpPr>
      <xdr:spPr>
        <a:xfrm>
          <a:off x="3396580" y="61857301"/>
          <a:ext cx="33957" cy="0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887423</xdr:colOff>
      <xdr:row>381</xdr:row>
      <xdr:rowOff>259126</xdr:rowOff>
    </xdr:from>
    <xdr:to>
      <xdr:col>3</xdr:col>
      <xdr:colOff>978530</xdr:colOff>
      <xdr:row>381</xdr:row>
      <xdr:rowOff>358383</xdr:rowOff>
    </xdr:to>
    <xdr:sp macro="" textlink="">
      <xdr:nvSpPr>
        <xdr:cNvPr id="199" name="Retângulo 198">
          <a:extLst>
            <a:ext uri="{FF2B5EF4-FFF2-40B4-BE49-F238E27FC236}">
              <a16:creationId xmlns:a16="http://schemas.microsoft.com/office/drawing/2014/main" id="{DE5C5C08-F343-455C-B25E-B58BB4367569}"/>
            </a:ext>
          </a:extLst>
        </xdr:cNvPr>
        <xdr:cNvSpPr/>
      </xdr:nvSpPr>
      <xdr:spPr>
        <a:xfrm>
          <a:off x="3430598" y="61857301"/>
          <a:ext cx="0" cy="0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1126909</xdr:colOff>
      <xdr:row>381</xdr:row>
      <xdr:rowOff>259126</xdr:rowOff>
    </xdr:from>
    <xdr:to>
      <xdr:col>3</xdr:col>
      <xdr:colOff>1218016</xdr:colOff>
      <xdr:row>381</xdr:row>
      <xdr:rowOff>358383</xdr:rowOff>
    </xdr:to>
    <xdr:sp macro="" textlink="">
      <xdr:nvSpPr>
        <xdr:cNvPr id="200" name="Retângulo 199">
          <a:extLst>
            <a:ext uri="{FF2B5EF4-FFF2-40B4-BE49-F238E27FC236}">
              <a16:creationId xmlns:a16="http://schemas.microsoft.com/office/drawing/2014/main" id="{DB3BF466-79F5-457F-8AA9-89D1FB7B2316}"/>
            </a:ext>
          </a:extLst>
        </xdr:cNvPr>
        <xdr:cNvSpPr/>
      </xdr:nvSpPr>
      <xdr:spPr>
        <a:xfrm>
          <a:off x="3431959" y="61857301"/>
          <a:ext cx="0" cy="0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1366395</xdr:colOff>
      <xdr:row>381</xdr:row>
      <xdr:rowOff>259126</xdr:rowOff>
    </xdr:from>
    <xdr:to>
      <xdr:col>3</xdr:col>
      <xdr:colOff>1457502</xdr:colOff>
      <xdr:row>381</xdr:row>
      <xdr:rowOff>358383</xdr:rowOff>
    </xdr:to>
    <xdr:sp macro="" textlink="">
      <xdr:nvSpPr>
        <xdr:cNvPr id="201" name="Retângulo 200">
          <a:extLst>
            <a:ext uri="{FF2B5EF4-FFF2-40B4-BE49-F238E27FC236}">
              <a16:creationId xmlns:a16="http://schemas.microsoft.com/office/drawing/2014/main" id="{F1FA3A70-6151-41A4-A588-72D28CEE731B}"/>
            </a:ext>
          </a:extLst>
        </xdr:cNvPr>
        <xdr:cNvSpPr/>
      </xdr:nvSpPr>
      <xdr:spPr>
        <a:xfrm>
          <a:off x="3433320" y="61857301"/>
          <a:ext cx="0" cy="0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1605881</xdr:colOff>
      <xdr:row>381</xdr:row>
      <xdr:rowOff>259126</xdr:rowOff>
    </xdr:from>
    <xdr:to>
      <xdr:col>3</xdr:col>
      <xdr:colOff>1696988</xdr:colOff>
      <xdr:row>381</xdr:row>
      <xdr:rowOff>358383</xdr:rowOff>
    </xdr:to>
    <xdr:sp macro="" textlink="">
      <xdr:nvSpPr>
        <xdr:cNvPr id="202" name="Retângulo 201">
          <a:extLst>
            <a:ext uri="{FF2B5EF4-FFF2-40B4-BE49-F238E27FC236}">
              <a16:creationId xmlns:a16="http://schemas.microsoft.com/office/drawing/2014/main" id="{1E32FBEE-F246-4DC7-AEA5-2CCFC84DEB4D}"/>
            </a:ext>
          </a:extLst>
        </xdr:cNvPr>
        <xdr:cNvSpPr/>
      </xdr:nvSpPr>
      <xdr:spPr>
        <a:xfrm>
          <a:off x="3425156" y="61857301"/>
          <a:ext cx="5382" cy="0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419101</xdr:colOff>
      <xdr:row>367</xdr:row>
      <xdr:rowOff>52304</xdr:rowOff>
    </xdr:from>
    <xdr:to>
      <xdr:col>3</xdr:col>
      <xdr:colOff>510445</xdr:colOff>
      <xdr:row>367</xdr:row>
      <xdr:rowOff>555171</xdr:rowOff>
    </xdr:to>
    <xdr:sp macro="" textlink="">
      <xdr:nvSpPr>
        <xdr:cNvPr id="203" name="Retângulo 202">
          <a:extLst>
            <a:ext uri="{FF2B5EF4-FFF2-40B4-BE49-F238E27FC236}">
              <a16:creationId xmlns:a16="http://schemas.microsoft.com/office/drawing/2014/main" id="{E2F51FF4-6602-4DC3-A94B-4CF99AA1F2C3}"/>
            </a:ext>
          </a:extLst>
        </xdr:cNvPr>
        <xdr:cNvSpPr/>
      </xdr:nvSpPr>
      <xdr:spPr>
        <a:xfrm>
          <a:off x="3162301" y="59478779"/>
          <a:ext cx="91344" cy="112342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653144</xdr:colOff>
      <xdr:row>367</xdr:row>
      <xdr:rowOff>52304</xdr:rowOff>
    </xdr:from>
    <xdr:to>
      <xdr:col>3</xdr:col>
      <xdr:colOff>744488</xdr:colOff>
      <xdr:row>367</xdr:row>
      <xdr:rowOff>555171</xdr:rowOff>
    </xdr:to>
    <xdr:sp macro="" textlink="">
      <xdr:nvSpPr>
        <xdr:cNvPr id="204" name="Retângulo 203">
          <a:extLst>
            <a:ext uri="{FF2B5EF4-FFF2-40B4-BE49-F238E27FC236}">
              <a16:creationId xmlns:a16="http://schemas.microsoft.com/office/drawing/2014/main" id="{C4AE4EA0-25E8-484E-8080-AA37E757DDCF}"/>
            </a:ext>
          </a:extLst>
        </xdr:cNvPr>
        <xdr:cNvSpPr/>
      </xdr:nvSpPr>
      <xdr:spPr>
        <a:xfrm>
          <a:off x="3396344" y="59478779"/>
          <a:ext cx="34194" cy="112342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887187</xdr:colOff>
      <xdr:row>367</xdr:row>
      <xdr:rowOff>52304</xdr:rowOff>
    </xdr:from>
    <xdr:to>
      <xdr:col>3</xdr:col>
      <xdr:colOff>978531</xdr:colOff>
      <xdr:row>367</xdr:row>
      <xdr:rowOff>555171</xdr:rowOff>
    </xdr:to>
    <xdr:sp macro="" textlink="">
      <xdr:nvSpPr>
        <xdr:cNvPr id="205" name="Retângulo 204">
          <a:extLst>
            <a:ext uri="{FF2B5EF4-FFF2-40B4-BE49-F238E27FC236}">
              <a16:creationId xmlns:a16="http://schemas.microsoft.com/office/drawing/2014/main" id="{0879753F-068D-46BC-A591-2C3BF6C6F7E4}"/>
            </a:ext>
          </a:extLst>
        </xdr:cNvPr>
        <xdr:cNvSpPr/>
      </xdr:nvSpPr>
      <xdr:spPr>
        <a:xfrm>
          <a:off x="3430362" y="59478779"/>
          <a:ext cx="0" cy="112342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1126673</xdr:colOff>
      <xdr:row>367</xdr:row>
      <xdr:rowOff>52304</xdr:rowOff>
    </xdr:from>
    <xdr:to>
      <xdr:col>3</xdr:col>
      <xdr:colOff>1218017</xdr:colOff>
      <xdr:row>367</xdr:row>
      <xdr:rowOff>555171</xdr:rowOff>
    </xdr:to>
    <xdr:sp macro="" textlink="">
      <xdr:nvSpPr>
        <xdr:cNvPr id="206" name="Retângulo 205">
          <a:extLst>
            <a:ext uri="{FF2B5EF4-FFF2-40B4-BE49-F238E27FC236}">
              <a16:creationId xmlns:a16="http://schemas.microsoft.com/office/drawing/2014/main" id="{60D3883F-F735-4457-9CDA-7280177BFC87}"/>
            </a:ext>
          </a:extLst>
        </xdr:cNvPr>
        <xdr:cNvSpPr/>
      </xdr:nvSpPr>
      <xdr:spPr>
        <a:xfrm>
          <a:off x="3431723" y="59478779"/>
          <a:ext cx="0" cy="112342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1366159</xdr:colOff>
      <xdr:row>367</xdr:row>
      <xdr:rowOff>52304</xdr:rowOff>
    </xdr:from>
    <xdr:to>
      <xdr:col>3</xdr:col>
      <xdr:colOff>1457503</xdr:colOff>
      <xdr:row>367</xdr:row>
      <xdr:rowOff>555171</xdr:rowOff>
    </xdr:to>
    <xdr:sp macro="" textlink="">
      <xdr:nvSpPr>
        <xdr:cNvPr id="207" name="Retângulo 206">
          <a:extLst>
            <a:ext uri="{FF2B5EF4-FFF2-40B4-BE49-F238E27FC236}">
              <a16:creationId xmlns:a16="http://schemas.microsoft.com/office/drawing/2014/main" id="{F34606B2-EB7A-417E-A590-8BCDC92097F6}"/>
            </a:ext>
          </a:extLst>
        </xdr:cNvPr>
        <xdr:cNvSpPr/>
      </xdr:nvSpPr>
      <xdr:spPr>
        <a:xfrm>
          <a:off x="3433084" y="59478779"/>
          <a:ext cx="0" cy="112342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1605645</xdr:colOff>
      <xdr:row>367</xdr:row>
      <xdr:rowOff>52304</xdr:rowOff>
    </xdr:from>
    <xdr:to>
      <xdr:col>3</xdr:col>
      <xdr:colOff>1696989</xdr:colOff>
      <xdr:row>367</xdr:row>
      <xdr:rowOff>555171</xdr:rowOff>
    </xdr:to>
    <xdr:sp macro="" textlink="">
      <xdr:nvSpPr>
        <xdr:cNvPr id="208" name="Retângulo 207">
          <a:extLst>
            <a:ext uri="{FF2B5EF4-FFF2-40B4-BE49-F238E27FC236}">
              <a16:creationId xmlns:a16="http://schemas.microsoft.com/office/drawing/2014/main" id="{A6B2FD71-FEE3-489C-93F0-74DE389306EE}"/>
            </a:ext>
          </a:extLst>
        </xdr:cNvPr>
        <xdr:cNvSpPr/>
      </xdr:nvSpPr>
      <xdr:spPr>
        <a:xfrm>
          <a:off x="3424920" y="59478779"/>
          <a:ext cx="5619" cy="112342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675622</xdr:colOff>
      <xdr:row>371</xdr:row>
      <xdr:rowOff>60024</xdr:rowOff>
    </xdr:from>
    <xdr:to>
      <xdr:col>3</xdr:col>
      <xdr:colOff>1437652</xdr:colOff>
      <xdr:row>371</xdr:row>
      <xdr:rowOff>564024</xdr:rowOff>
    </xdr:to>
    <xdr:pic>
      <xdr:nvPicPr>
        <xdr:cNvPr id="209" name="Imagem 208">
          <a:extLst>
            <a:ext uri="{FF2B5EF4-FFF2-40B4-BE49-F238E27FC236}">
              <a16:creationId xmlns:a16="http://schemas.microsoft.com/office/drawing/2014/main" id="{B87FF3D3-6832-4A28-9353-494B3C697F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418822" y="60134199"/>
          <a:ext cx="9555" cy="103950"/>
        </a:xfrm>
        <a:prstGeom prst="rect">
          <a:avLst/>
        </a:prstGeom>
      </xdr:spPr>
    </xdr:pic>
    <xdr:clientData/>
  </xdr:twoCellAnchor>
  <xdr:twoCellAnchor>
    <xdr:from>
      <xdr:col>3</xdr:col>
      <xdr:colOff>672955</xdr:colOff>
      <xdr:row>373</xdr:row>
      <xdr:rowOff>60024</xdr:rowOff>
    </xdr:from>
    <xdr:to>
      <xdr:col>3</xdr:col>
      <xdr:colOff>1439764</xdr:colOff>
      <xdr:row>373</xdr:row>
      <xdr:rowOff>564024</xdr:rowOff>
    </xdr:to>
    <xdr:pic>
      <xdr:nvPicPr>
        <xdr:cNvPr id="210" name="Imagem 209">
          <a:extLst>
            <a:ext uri="{FF2B5EF4-FFF2-40B4-BE49-F238E27FC236}">
              <a16:creationId xmlns:a16="http://schemas.microsoft.com/office/drawing/2014/main" id="{EE5A9D18-5C58-495D-9E07-FF74AFBEC8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863955" y="160861074"/>
          <a:ext cx="766809" cy="504000"/>
        </a:xfrm>
        <a:prstGeom prst="rect">
          <a:avLst/>
        </a:prstGeom>
      </xdr:spPr>
    </xdr:pic>
    <xdr:clientData/>
  </xdr:twoCellAnchor>
  <xdr:twoCellAnchor>
    <xdr:from>
      <xdr:col>3</xdr:col>
      <xdr:colOff>680154</xdr:colOff>
      <xdr:row>375</xdr:row>
      <xdr:rowOff>60024</xdr:rowOff>
    </xdr:from>
    <xdr:to>
      <xdr:col>3</xdr:col>
      <xdr:colOff>1434061</xdr:colOff>
      <xdr:row>375</xdr:row>
      <xdr:rowOff>564024</xdr:rowOff>
    </xdr:to>
    <xdr:pic>
      <xdr:nvPicPr>
        <xdr:cNvPr id="211" name="Imagem 210">
          <a:extLst>
            <a:ext uri="{FF2B5EF4-FFF2-40B4-BE49-F238E27FC236}">
              <a16:creationId xmlns:a16="http://schemas.microsoft.com/office/drawing/2014/main" id="{169FD8C5-99AD-4334-A1C9-A247943D9D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871154" y="161727849"/>
          <a:ext cx="753907" cy="504000"/>
        </a:xfrm>
        <a:prstGeom prst="rect">
          <a:avLst/>
        </a:prstGeom>
      </xdr:spPr>
    </xdr:pic>
    <xdr:clientData/>
  </xdr:twoCellAnchor>
  <xdr:twoCellAnchor>
    <xdr:from>
      <xdr:col>3</xdr:col>
      <xdr:colOff>530181</xdr:colOff>
      <xdr:row>387</xdr:row>
      <xdr:rowOff>107576</xdr:rowOff>
    </xdr:from>
    <xdr:to>
      <xdr:col>3</xdr:col>
      <xdr:colOff>1632900</xdr:colOff>
      <xdr:row>387</xdr:row>
      <xdr:rowOff>437265</xdr:rowOff>
    </xdr:to>
    <xdr:pic>
      <xdr:nvPicPr>
        <xdr:cNvPr id="212" name="Imagem 211">
          <a:extLst>
            <a:ext uri="{FF2B5EF4-FFF2-40B4-BE49-F238E27FC236}">
              <a16:creationId xmlns:a16="http://schemas.microsoft.com/office/drawing/2014/main" id="{3AA91DBD-6F71-4150-BFE6-C79D697CD3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3381" y="62772551"/>
          <a:ext cx="159744" cy="53464"/>
        </a:xfrm>
        <a:prstGeom prst="rect">
          <a:avLst/>
        </a:prstGeom>
      </xdr:spPr>
    </xdr:pic>
    <xdr:clientData/>
  </xdr:twoCellAnchor>
  <xdr:twoCellAnchor>
    <xdr:from>
      <xdr:col>3</xdr:col>
      <xdr:colOff>835602</xdr:colOff>
      <xdr:row>356</xdr:row>
      <xdr:rowOff>86552</xdr:rowOff>
    </xdr:from>
    <xdr:to>
      <xdr:col>3</xdr:col>
      <xdr:colOff>1293203</xdr:colOff>
      <xdr:row>356</xdr:row>
      <xdr:rowOff>518552</xdr:rowOff>
    </xdr:to>
    <xdr:pic>
      <xdr:nvPicPr>
        <xdr:cNvPr id="213" name="Imagem 212">
          <a:extLst>
            <a:ext uri="{FF2B5EF4-FFF2-40B4-BE49-F238E27FC236}">
              <a16:creationId xmlns:a16="http://schemas.microsoft.com/office/drawing/2014/main" id="{9049DB13-704B-4C87-9D84-7252C80A6F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426402" y="57731852"/>
          <a:ext cx="401" cy="79575"/>
        </a:xfrm>
        <a:prstGeom prst="rect">
          <a:avLst/>
        </a:prstGeom>
      </xdr:spPr>
    </xdr:pic>
    <xdr:clientData/>
  </xdr:twoCellAnchor>
  <xdr:twoCellAnchor>
    <xdr:from>
      <xdr:col>3</xdr:col>
      <xdr:colOff>853204</xdr:colOff>
      <xdr:row>360</xdr:row>
      <xdr:rowOff>117588</xdr:rowOff>
    </xdr:from>
    <xdr:to>
      <xdr:col>3</xdr:col>
      <xdr:colOff>1298958</xdr:colOff>
      <xdr:row>360</xdr:row>
      <xdr:rowOff>477588</xdr:rowOff>
    </xdr:to>
    <xdr:pic>
      <xdr:nvPicPr>
        <xdr:cNvPr id="214" name="Imagem 213">
          <a:extLst>
            <a:ext uri="{FF2B5EF4-FFF2-40B4-BE49-F238E27FC236}">
              <a16:creationId xmlns:a16="http://schemas.microsoft.com/office/drawing/2014/main" id="{448BAFE9-303E-4A35-8407-0251DB4AAC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3424954" y="58410588"/>
          <a:ext cx="7604" cy="45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861392</xdr:colOff>
      <xdr:row>358</xdr:row>
      <xdr:rowOff>182217</xdr:rowOff>
    </xdr:from>
    <xdr:to>
      <xdr:col>3</xdr:col>
      <xdr:colOff>1329448</xdr:colOff>
      <xdr:row>358</xdr:row>
      <xdr:rowOff>417444</xdr:rowOff>
    </xdr:to>
    <xdr:pic>
      <xdr:nvPicPr>
        <xdr:cNvPr id="215" name="Imagem 214" descr="Sentido Obrigatório.jpg">
          <a:extLst>
            <a:ext uri="{FF2B5EF4-FFF2-40B4-BE49-F238E27FC236}">
              <a16:creationId xmlns:a16="http://schemas.microsoft.com/office/drawing/2014/main" id="{7FBF09F9-2F10-4638-89B6-73A8CDAB3E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 cstate="print"/>
        <a:stretch>
          <a:fillRect/>
        </a:stretch>
      </xdr:blipFill>
      <xdr:spPr>
        <a:xfrm>
          <a:off x="3433142" y="58132317"/>
          <a:ext cx="0" cy="0"/>
        </a:xfrm>
        <a:prstGeom prst="rect">
          <a:avLst/>
        </a:prstGeom>
      </xdr:spPr>
    </xdr:pic>
    <xdr:clientData/>
  </xdr:twoCellAnchor>
  <xdr:twoCellAnchor>
    <xdr:from>
      <xdr:col>3</xdr:col>
      <xdr:colOff>1349148</xdr:colOff>
      <xdr:row>101</xdr:row>
      <xdr:rowOff>199211</xdr:rowOff>
    </xdr:from>
    <xdr:to>
      <xdr:col>3</xdr:col>
      <xdr:colOff>2113197</xdr:colOff>
      <xdr:row>102</xdr:row>
      <xdr:rowOff>498092</xdr:rowOff>
    </xdr:to>
    <xdr:pic>
      <xdr:nvPicPr>
        <xdr:cNvPr id="216" name="Imagem 215">
          <a:extLst>
            <a:ext uri="{FF2B5EF4-FFF2-40B4-BE49-F238E27FC236}">
              <a16:creationId xmlns:a16="http://schemas.microsoft.com/office/drawing/2014/main" id="{343C74AC-A0A6-44D9-BD2D-593FC2323C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95862" y="44408818"/>
          <a:ext cx="764049" cy="543810"/>
        </a:xfrm>
        <a:prstGeom prst="rect">
          <a:avLst/>
        </a:prstGeom>
      </xdr:spPr>
    </xdr:pic>
    <xdr:clientData/>
  </xdr:twoCellAnchor>
  <xdr:twoCellAnchor>
    <xdr:from>
      <xdr:col>3</xdr:col>
      <xdr:colOff>1311888</xdr:colOff>
      <xdr:row>103</xdr:row>
      <xdr:rowOff>172092</xdr:rowOff>
    </xdr:from>
    <xdr:to>
      <xdr:col>3</xdr:col>
      <xdr:colOff>2159612</xdr:colOff>
      <xdr:row>104</xdr:row>
      <xdr:rowOff>526466</xdr:rowOff>
    </xdr:to>
    <xdr:pic>
      <xdr:nvPicPr>
        <xdr:cNvPr id="217" name="Imagem 216">
          <a:extLst>
            <a:ext uri="{FF2B5EF4-FFF2-40B4-BE49-F238E27FC236}">
              <a16:creationId xmlns:a16="http://schemas.microsoft.com/office/drawing/2014/main" id="{68BC7594-291A-4A1F-BB19-ABA01B4E78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958602" y="45252556"/>
          <a:ext cx="847724" cy="599303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390525</xdr:colOff>
      <xdr:row>8</xdr:row>
      <xdr:rowOff>152400</xdr:rowOff>
    </xdr:from>
    <xdr:ext cx="5133884" cy="4036967"/>
    <xdr:pic>
      <xdr:nvPicPr>
        <xdr:cNvPr id="2" name="image3.png">
          <a:extLst>
            <a:ext uri="{FF2B5EF4-FFF2-40B4-BE49-F238E27FC236}">
              <a16:creationId xmlns:a16="http://schemas.microsoft.com/office/drawing/2014/main" id="{5A017223-BD7C-465B-B53B-433D66F049F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91886" y="1458686"/>
          <a:ext cx="5133884" cy="4036967"/>
        </a:xfrm>
        <a:prstGeom prst="rect">
          <a:avLst/>
        </a:prstGeom>
      </xdr:spPr>
    </xdr:pic>
    <xdr:clientData/>
  </xdr:oneCellAnchor>
  <xdr:oneCellAnchor>
    <xdr:from>
      <xdr:col>0</xdr:col>
      <xdr:colOff>403225</xdr:colOff>
      <xdr:row>51</xdr:row>
      <xdr:rowOff>6350</xdr:rowOff>
    </xdr:from>
    <xdr:ext cx="4867185" cy="4261393"/>
    <xdr:pic>
      <xdr:nvPicPr>
        <xdr:cNvPr id="3" name="image4.png">
          <a:extLst>
            <a:ext uri="{FF2B5EF4-FFF2-40B4-BE49-F238E27FC236}">
              <a16:creationId xmlns:a16="http://schemas.microsoft.com/office/drawing/2014/main" id="{B2BEC21B-E967-438D-9FBE-CBE862088445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05946" y="8335282"/>
          <a:ext cx="4867185" cy="4261393"/>
        </a:xfrm>
        <a:prstGeom prst="rect">
          <a:avLst/>
        </a:prstGeom>
      </xdr:spPr>
    </xdr:pic>
    <xdr:clientData/>
  </xdr:oneCellAnchor>
  <xdr:oneCellAnchor>
    <xdr:from>
      <xdr:col>0</xdr:col>
      <xdr:colOff>285750</xdr:colOff>
      <xdr:row>99</xdr:row>
      <xdr:rowOff>142875</xdr:rowOff>
    </xdr:from>
    <xdr:ext cx="5853975" cy="2867388"/>
    <xdr:pic>
      <xdr:nvPicPr>
        <xdr:cNvPr id="4" name="image5.png">
          <a:extLst>
            <a:ext uri="{FF2B5EF4-FFF2-40B4-BE49-F238E27FC236}">
              <a16:creationId xmlns:a16="http://schemas.microsoft.com/office/drawing/2014/main" id="{6BDE5520-5699-4C3E-9FF0-3D0DABDF0139}"/>
            </a:ext>
          </a:extLst>
        </xdr:cNvPr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88471" y="16306800"/>
          <a:ext cx="5853975" cy="2867388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5685881" cy="2921181"/>
    <xdr:pic>
      <xdr:nvPicPr>
        <xdr:cNvPr id="5" name="image6.png">
          <a:extLst>
            <a:ext uri="{FF2B5EF4-FFF2-40B4-BE49-F238E27FC236}">
              <a16:creationId xmlns:a16="http://schemas.microsoft.com/office/drawing/2014/main" id="{D3BDAFCD-B849-44ED-BD42-F53E2250D185}"/>
            </a:ext>
          </a:extLst>
        </xdr:cNvPr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22860000"/>
          <a:ext cx="5685881" cy="2921181"/>
        </a:xfrm>
        <a:prstGeom prst="rect">
          <a:avLst/>
        </a:prstGeom>
      </xdr:spPr>
    </xdr:pic>
    <xdr:clientData/>
  </xdr:oneCellAnchor>
  <xdr:oneCellAnchor>
    <xdr:from>
      <xdr:col>0</xdr:col>
      <xdr:colOff>247650</xdr:colOff>
      <xdr:row>186</xdr:row>
      <xdr:rowOff>142875</xdr:rowOff>
    </xdr:from>
    <xdr:ext cx="5737770" cy="2640784"/>
    <xdr:pic>
      <xdr:nvPicPr>
        <xdr:cNvPr id="6" name="image7.png">
          <a:extLst>
            <a:ext uri="{FF2B5EF4-FFF2-40B4-BE49-F238E27FC236}">
              <a16:creationId xmlns:a16="http://schemas.microsoft.com/office/drawing/2014/main" id="{4721FFAA-E591-41CC-9A72-B122EE6B2F38}"/>
            </a:ext>
          </a:extLst>
        </xdr:cNvPr>
        <xdr:cNvPicPr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250371" y="30512657"/>
          <a:ext cx="5737770" cy="2640784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5744482" cy="2635340"/>
    <xdr:pic>
      <xdr:nvPicPr>
        <xdr:cNvPr id="7" name="image7.png">
          <a:extLst>
            <a:ext uri="{FF2B5EF4-FFF2-40B4-BE49-F238E27FC236}">
              <a16:creationId xmlns:a16="http://schemas.microsoft.com/office/drawing/2014/main" id="{1473712A-CF8E-49EA-A44D-8381B49B6F9F}"/>
            </a:ext>
          </a:extLst>
        </xdr:cNvPr>
        <xdr:cNvPicPr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0" y="35106429"/>
          <a:ext cx="5744482" cy="2635340"/>
        </a:xfrm>
        <a:prstGeom prst="rect">
          <a:avLst/>
        </a:prstGeom>
      </xdr:spPr>
    </xdr:pic>
    <xdr:clientData/>
  </xdr:oneCellAnchor>
  <xdr:twoCellAnchor>
    <xdr:from>
      <xdr:col>0</xdr:col>
      <xdr:colOff>723900</xdr:colOff>
      <xdr:row>242</xdr:row>
      <xdr:rowOff>9525</xdr:rowOff>
    </xdr:from>
    <xdr:to>
      <xdr:col>3</xdr:col>
      <xdr:colOff>838200</xdr:colOff>
      <xdr:row>258</xdr:row>
      <xdr:rowOff>85725</xdr:rowOff>
    </xdr:to>
    <xdr:pic>
      <xdr:nvPicPr>
        <xdr:cNvPr id="8" name="image8.png">
          <a:extLst>
            <a:ext uri="{FF2B5EF4-FFF2-40B4-BE49-F238E27FC236}">
              <a16:creationId xmlns:a16="http://schemas.microsoft.com/office/drawing/2014/main" id="{3ED9A545-ED0A-4E6C-A351-93E497A115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39526029"/>
          <a:ext cx="2057400" cy="26887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504825</xdr:colOff>
      <xdr:row>265</xdr:row>
      <xdr:rowOff>57806</xdr:rowOff>
    </xdr:from>
    <xdr:to>
      <xdr:col>5</xdr:col>
      <xdr:colOff>723900</xdr:colOff>
      <xdr:row>275</xdr:row>
      <xdr:rowOff>190499</xdr:rowOff>
    </xdr:to>
    <xdr:pic>
      <xdr:nvPicPr>
        <xdr:cNvPr id="9" name="image9.png">
          <a:extLst>
            <a:ext uri="{FF2B5EF4-FFF2-40B4-BE49-F238E27FC236}">
              <a16:creationId xmlns:a16="http://schemas.microsoft.com/office/drawing/2014/main" id="{1FE8BDAF-21F1-4B86-978E-A00C4C120C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186" y="43331241"/>
          <a:ext cx="3608614" cy="1735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23812</xdr:colOff>
      <xdr:row>287</xdr:row>
      <xdr:rowOff>150812</xdr:rowOff>
    </xdr:from>
    <xdr:ext cx="5627915" cy="1273901"/>
    <xdr:pic>
      <xdr:nvPicPr>
        <xdr:cNvPr id="10" name="image10.png">
          <a:extLst>
            <a:ext uri="{FF2B5EF4-FFF2-40B4-BE49-F238E27FC236}">
              <a16:creationId xmlns:a16="http://schemas.microsoft.com/office/drawing/2014/main" id="{BA48769F-41F1-49F9-93A2-537F58C01D6D}"/>
            </a:ext>
          </a:extLst>
        </xdr:cNvPr>
        <xdr:cNvPicPr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26533" y="47013812"/>
          <a:ext cx="5627915" cy="1273901"/>
        </a:xfrm>
        <a:prstGeom prst="rect">
          <a:avLst/>
        </a:prstGeom>
      </xdr:spPr>
    </xdr:pic>
    <xdr:clientData/>
  </xdr:oneCellAnchor>
  <xdr:oneCellAnchor>
    <xdr:from>
      <xdr:col>0</xdr:col>
      <xdr:colOff>114300</xdr:colOff>
      <xdr:row>303</xdr:row>
      <xdr:rowOff>28575</xdr:rowOff>
    </xdr:from>
    <xdr:ext cx="5632087" cy="1270726"/>
    <xdr:pic>
      <xdr:nvPicPr>
        <xdr:cNvPr id="11" name="image10.png">
          <a:extLst>
            <a:ext uri="{FF2B5EF4-FFF2-40B4-BE49-F238E27FC236}">
              <a16:creationId xmlns:a16="http://schemas.microsoft.com/office/drawing/2014/main" id="{38774EDF-2D3E-4F59-8B13-DB0B3D65870C}"/>
            </a:ext>
          </a:extLst>
        </xdr:cNvPr>
        <xdr:cNvPicPr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114300" y="49502785"/>
          <a:ext cx="5632087" cy="1270726"/>
        </a:xfrm>
        <a:prstGeom prst="rect">
          <a:avLst/>
        </a:prstGeom>
      </xdr:spPr>
    </xdr:pic>
    <xdr:clientData/>
  </xdr:oneCellAnchor>
  <xdr:oneCellAnchor>
    <xdr:from>
      <xdr:col>0</xdr:col>
      <xdr:colOff>47625</xdr:colOff>
      <xdr:row>323</xdr:row>
      <xdr:rowOff>114300</xdr:rowOff>
    </xdr:from>
    <xdr:ext cx="5624739" cy="1625146"/>
    <xdr:pic>
      <xdr:nvPicPr>
        <xdr:cNvPr id="12" name="image11.png">
          <a:extLst>
            <a:ext uri="{FF2B5EF4-FFF2-40B4-BE49-F238E27FC236}">
              <a16:creationId xmlns:a16="http://schemas.microsoft.com/office/drawing/2014/main" id="{302D6904-D9B0-4A76-A9A1-471C65A8B1A0}"/>
            </a:ext>
          </a:extLst>
        </xdr:cNvPr>
        <xdr:cNvPicPr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48986" y="52855586"/>
          <a:ext cx="5624739" cy="1625146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5630182" cy="1625782"/>
    <xdr:pic>
      <xdr:nvPicPr>
        <xdr:cNvPr id="13" name="image11.png">
          <a:extLst>
            <a:ext uri="{FF2B5EF4-FFF2-40B4-BE49-F238E27FC236}">
              <a16:creationId xmlns:a16="http://schemas.microsoft.com/office/drawing/2014/main" id="{218231F1-AFCF-4B1D-9A8A-6147715C99AA}"/>
            </a:ext>
          </a:extLst>
        </xdr:cNvPr>
        <xdr:cNvPicPr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0" y="56333571"/>
          <a:ext cx="5630182" cy="1625782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19050</xdr:rowOff>
    </xdr:from>
    <xdr:ext cx="5492841" cy="3407864"/>
    <xdr:pic>
      <xdr:nvPicPr>
        <xdr:cNvPr id="14" name="image12.png">
          <a:extLst>
            <a:ext uri="{FF2B5EF4-FFF2-40B4-BE49-F238E27FC236}">
              <a16:creationId xmlns:a16="http://schemas.microsoft.com/office/drawing/2014/main" id="{7EC4712A-C773-474B-BCF7-40D19A782128}"/>
            </a:ext>
          </a:extLst>
        </xdr:cNvPr>
        <xdr:cNvPicPr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0" y="59947628"/>
          <a:ext cx="5492841" cy="3407864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399</xdr:row>
      <xdr:rowOff>9525</xdr:rowOff>
    </xdr:from>
    <xdr:ext cx="5687151" cy="1677397"/>
    <xdr:pic>
      <xdr:nvPicPr>
        <xdr:cNvPr id="15" name="image13.png">
          <a:extLst>
            <a:ext uri="{FF2B5EF4-FFF2-40B4-BE49-F238E27FC236}">
              <a16:creationId xmlns:a16="http://schemas.microsoft.com/office/drawing/2014/main" id="{1E33A6AD-7441-42DB-8113-63A287F0AD8B}"/>
            </a:ext>
          </a:extLst>
        </xdr:cNvPr>
        <xdr:cNvPicPr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27214" y="65161886"/>
          <a:ext cx="5687151" cy="1677397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5172982" cy="1615530"/>
    <xdr:pic>
      <xdr:nvPicPr>
        <xdr:cNvPr id="16" name="image14.png">
          <a:extLst>
            <a:ext uri="{FF2B5EF4-FFF2-40B4-BE49-F238E27FC236}">
              <a16:creationId xmlns:a16="http://schemas.microsoft.com/office/drawing/2014/main" id="{F8AB6B6A-51A2-47C8-9453-9AC4EAC7147B}"/>
            </a:ext>
          </a:extLst>
        </xdr:cNvPr>
        <xdr:cNvPicPr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0" y="68580000"/>
          <a:ext cx="5172982" cy="1615530"/>
        </a:xfrm>
        <a:prstGeom prst="rect">
          <a:avLst/>
        </a:prstGeom>
      </xdr:spPr>
    </xdr:pic>
    <xdr:clientData/>
  </xdr:oneCellAnchor>
  <xdr:oneCellAnchor>
    <xdr:from>
      <xdr:col>0</xdr:col>
      <xdr:colOff>698500</xdr:colOff>
      <xdr:row>437</xdr:row>
      <xdr:rowOff>7938</xdr:rowOff>
    </xdr:from>
    <xdr:ext cx="4140109" cy="2219053"/>
    <xdr:pic>
      <xdr:nvPicPr>
        <xdr:cNvPr id="17" name="image15.png">
          <a:extLst>
            <a:ext uri="{FF2B5EF4-FFF2-40B4-BE49-F238E27FC236}">
              <a16:creationId xmlns:a16="http://schemas.microsoft.com/office/drawing/2014/main" id="{2466DFFC-F292-4233-ADC0-81E10027A70B}"/>
            </a:ext>
          </a:extLst>
        </xdr:cNvPr>
        <xdr:cNvPicPr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688975" y="71365156"/>
          <a:ext cx="4140109" cy="2219053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5680710" cy="1531983"/>
    <xdr:pic>
      <xdr:nvPicPr>
        <xdr:cNvPr id="18" name="image16.png">
          <a:extLst>
            <a:ext uri="{FF2B5EF4-FFF2-40B4-BE49-F238E27FC236}">
              <a16:creationId xmlns:a16="http://schemas.microsoft.com/office/drawing/2014/main" id="{B97E2F59-9C38-4A74-9C15-887F309622F2}"/>
            </a:ext>
          </a:extLst>
        </xdr:cNvPr>
        <xdr:cNvPicPr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0" y="75438000"/>
          <a:ext cx="5680710" cy="1531983"/>
        </a:xfrm>
        <a:prstGeom prst="rect">
          <a:avLst/>
        </a:prstGeom>
      </xdr:spPr>
    </xdr:pic>
    <xdr:clientData/>
  </xdr:oneCellAnchor>
  <xdr:oneCellAnchor>
    <xdr:from>
      <xdr:col>0</xdr:col>
      <xdr:colOff>103187</xdr:colOff>
      <xdr:row>478</xdr:row>
      <xdr:rowOff>134937</xdr:rowOff>
    </xdr:from>
    <xdr:ext cx="5807166" cy="2378529"/>
    <xdr:pic>
      <xdr:nvPicPr>
        <xdr:cNvPr id="19" name="image17.jpeg">
          <a:extLst>
            <a:ext uri="{FF2B5EF4-FFF2-40B4-BE49-F238E27FC236}">
              <a16:creationId xmlns:a16="http://schemas.microsoft.com/office/drawing/2014/main" id="{FB167DF4-8D28-418D-8257-C3B088127348}"/>
            </a:ext>
          </a:extLst>
        </xdr:cNvPr>
        <xdr:cNvPicPr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01826" y="78188229"/>
          <a:ext cx="5807166" cy="2378529"/>
        </a:xfrm>
        <a:prstGeom prst="rect">
          <a:avLst/>
        </a:prstGeom>
      </xdr:spPr>
    </xdr:pic>
    <xdr:clientData/>
  </xdr:oneCellAnchor>
  <xdr:oneCellAnchor>
    <xdr:from>
      <xdr:col>1</xdr:col>
      <xdr:colOff>77787</xdr:colOff>
      <xdr:row>504</xdr:row>
      <xdr:rowOff>150812</xdr:rowOff>
    </xdr:from>
    <xdr:ext cx="3905432" cy="2872559"/>
    <xdr:pic>
      <xdr:nvPicPr>
        <xdr:cNvPr id="20" name="image18.png">
          <a:extLst>
            <a:ext uri="{FF2B5EF4-FFF2-40B4-BE49-F238E27FC236}">
              <a16:creationId xmlns:a16="http://schemas.microsoft.com/office/drawing/2014/main" id="{86F4A731-F778-4AEF-BD9E-000813FFE931}"/>
            </a:ext>
          </a:extLst>
        </xdr:cNvPr>
        <xdr:cNvPicPr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763587" y="82446812"/>
          <a:ext cx="3905432" cy="2872559"/>
        </a:xfrm>
        <a:prstGeom prst="rect">
          <a:avLst/>
        </a:prstGeom>
      </xdr:spPr>
    </xdr:pic>
    <xdr:clientData/>
  </xdr:oneCellAnchor>
  <xdr:twoCellAnchor>
    <xdr:from>
      <xdr:col>1</xdr:col>
      <xdr:colOff>171450</xdr:colOff>
      <xdr:row>536</xdr:row>
      <xdr:rowOff>133350</xdr:rowOff>
    </xdr:from>
    <xdr:to>
      <xdr:col>6</xdr:col>
      <xdr:colOff>85725</xdr:colOff>
      <xdr:row>564</xdr:row>
      <xdr:rowOff>47625</xdr:rowOff>
    </xdr:to>
    <xdr:pic>
      <xdr:nvPicPr>
        <xdr:cNvPr id="21" name="image19.png">
          <a:extLst>
            <a:ext uri="{FF2B5EF4-FFF2-40B4-BE49-F238E27FC236}">
              <a16:creationId xmlns:a16="http://schemas.microsoft.com/office/drawing/2014/main" id="{3D37CC33-56E8-4716-B58D-8BA0DC9A8C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9971" y="87657214"/>
          <a:ext cx="3341915" cy="44849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742950</xdr:colOff>
      <xdr:row>583</xdr:row>
      <xdr:rowOff>66675</xdr:rowOff>
    </xdr:from>
    <xdr:ext cx="4432119" cy="4556307"/>
    <xdr:pic>
      <xdr:nvPicPr>
        <xdr:cNvPr id="22" name="image20.png">
          <a:extLst>
            <a:ext uri="{FF2B5EF4-FFF2-40B4-BE49-F238E27FC236}">
              <a16:creationId xmlns:a16="http://schemas.microsoft.com/office/drawing/2014/main" id="{C545D72C-406E-4579-95EE-6FBF47D3AB20}"/>
            </a:ext>
          </a:extLst>
        </xdr:cNvPr>
        <xdr:cNvPicPr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685800" y="95260885"/>
          <a:ext cx="4432119" cy="4556307"/>
        </a:xfrm>
        <a:prstGeom prst="rect">
          <a:avLst/>
        </a:prstGeom>
      </xdr:spPr>
    </xdr:pic>
    <xdr:clientData/>
  </xdr:oneCellAnchor>
  <xdr:twoCellAnchor>
    <xdr:from>
      <xdr:col>1</xdr:col>
      <xdr:colOff>28575</xdr:colOff>
      <xdr:row>637</xdr:row>
      <xdr:rowOff>0</xdr:rowOff>
    </xdr:from>
    <xdr:to>
      <xdr:col>6</xdr:col>
      <xdr:colOff>514350</xdr:colOff>
      <xdr:row>653</xdr:row>
      <xdr:rowOff>85725</xdr:rowOff>
    </xdr:to>
    <xdr:pic>
      <xdr:nvPicPr>
        <xdr:cNvPr id="23" name="image21.png">
          <a:extLst>
            <a:ext uri="{FF2B5EF4-FFF2-40B4-BE49-F238E27FC236}">
              <a16:creationId xmlns:a16="http://schemas.microsoft.com/office/drawing/2014/main" id="{7A27A6A2-17FA-4590-87FF-A2B4857105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3014" y="104013000"/>
          <a:ext cx="3918857" cy="2699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17</xdr:row>
      <xdr:rowOff>72259</xdr:rowOff>
    </xdr:from>
    <xdr:to>
      <xdr:col>4</xdr:col>
      <xdr:colOff>376402</xdr:colOff>
      <xdr:row>22</xdr:row>
      <xdr:rowOff>28718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24984"/>
          <a:ext cx="3126828" cy="766084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45982</xdr:colOff>
      <xdr:row>22</xdr:row>
      <xdr:rowOff>124811</xdr:rowOff>
    </xdr:from>
    <xdr:to>
      <xdr:col>4</xdr:col>
      <xdr:colOff>479518</xdr:colOff>
      <xdr:row>27</xdr:row>
      <xdr:rowOff>45983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982" y="3687161"/>
          <a:ext cx="3183962" cy="730796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147610</xdr:colOff>
      <xdr:row>31</xdr:row>
      <xdr:rowOff>132107</xdr:rowOff>
    </xdr:from>
    <xdr:to>
      <xdr:col>14</xdr:col>
      <xdr:colOff>637455</xdr:colOff>
      <xdr:row>39</xdr:row>
      <xdr:rowOff>114301</xdr:rowOff>
    </xdr:to>
    <xdr:pic>
      <xdr:nvPicPr>
        <xdr:cNvPr id="4" name="Imagem 3" descr="Sem título2.png">
          <a:extLst>
            <a:ext uri="{FF2B5EF4-FFF2-40B4-BE49-F238E27FC236}">
              <a16:creationId xmlns:a16="http://schemas.microsoft.com/office/drawing/2014/main" id="{7568F962-2722-4A58-AF23-C95BAC9125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rcRect r="35988" b="66472"/>
        <a:stretch>
          <a:fillRect/>
        </a:stretch>
      </xdr:blipFill>
      <xdr:spPr>
        <a:xfrm>
          <a:off x="7472335" y="6923432"/>
          <a:ext cx="4433195" cy="1277594"/>
        </a:xfrm>
        <a:prstGeom prst="rect">
          <a:avLst/>
        </a:prstGeom>
      </xdr:spPr>
    </xdr:pic>
    <xdr:clientData/>
  </xdr:twoCellAnchor>
  <xdr:twoCellAnchor editAs="oneCell">
    <xdr:from>
      <xdr:col>8</xdr:col>
      <xdr:colOff>84063</xdr:colOff>
      <xdr:row>40</xdr:row>
      <xdr:rowOff>81536</xdr:rowOff>
    </xdr:from>
    <xdr:to>
      <xdr:col>14</xdr:col>
      <xdr:colOff>544462</xdr:colOff>
      <xdr:row>62</xdr:row>
      <xdr:rowOff>122352</xdr:rowOff>
    </xdr:to>
    <xdr:pic>
      <xdr:nvPicPr>
        <xdr:cNvPr id="5" name="Imagem 4" descr="Sem título.jpg">
          <a:extLst>
            <a:ext uri="{FF2B5EF4-FFF2-40B4-BE49-F238E27FC236}">
              <a16:creationId xmlns:a16="http://schemas.microsoft.com/office/drawing/2014/main" id="{5493BB70-607E-43FF-9861-65164CEC21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rcRect r="31250" b="1010"/>
        <a:stretch>
          <a:fillRect/>
        </a:stretch>
      </xdr:blipFill>
      <xdr:spPr>
        <a:xfrm>
          <a:off x="7408788" y="8330186"/>
          <a:ext cx="4403749" cy="3669841"/>
        </a:xfrm>
        <a:prstGeom prst="rect">
          <a:avLst/>
        </a:prstGeom>
      </xdr:spPr>
    </xdr:pic>
    <xdr:clientData/>
  </xdr:twoCellAnchor>
  <xdr:twoCellAnchor editAs="oneCell">
    <xdr:from>
      <xdr:col>15</xdr:col>
      <xdr:colOff>151452</xdr:colOff>
      <xdr:row>31</xdr:row>
      <xdr:rowOff>94600</xdr:rowOff>
    </xdr:from>
    <xdr:to>
      <xdr:col>21</xdr:col>
      <xdr:colOff>553041</xdr:colOff>
      <xdr:row>47</xdr:row>
      <xdr:rowOff>73065</xdr:rowOff>
    </xdr:to>
    <xdr:pic>
      <xdr:nvPicPr>
        <xdr:cNvPr id="6" name="Picture 3">
          <a:extLst>
            <a:ext uri="{FF2B5EF4-FFF2-40B4-BE49-F238E27FC236}">
              <a16:creationId xmlns:a16="http://schemas.microsoft.com/office/drawing/2014/main" id="{E2AF35AC-E473-46A0-A1E4-55400AE51E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2105327" y="6885925"/>
          <a:ext cx="4516389" cy="2569265"/>
        </a:xfrm>
        <a:prstGeom prst="rect">
          <a:avLst/>
        </a:prstGeom>
        <a:noFill/>
      </xdr:spPr>
    </xdr:pic>
    <xdr:clientData/>
  </xdr:twoCellAnchor>
  <xdr:twoCellAnchor editAs="oneCell">
    <xdr:from>
      <xdr:col>15</xdr:col>
      <xdr:colOff>266166</xdr:colOff>
      <xdr:row>48</xdr:row>
      <xdr:rowOff>593</xdr:rowOff>
    </xdr:from>
    <xdr:to>
      <xdr:col>22</xdr:col>
      <xdr:colOff>16566</xdr:colOff>
      <xdr:row>55</xdr:row>
      <xdr:rowOff>49604</xdr:rowOff>
    </xdr:to>
    <xdr:pic>
      <xdr:nvPicPr>
        <xdr:cNvPr id="7" name="Picture 13">
          <a:extLst>
            <a:ext uri="{FF2B5EF4-FFF2-40B4-BE49-F238E27FC236}">
              <a16:creationId xmlns:a16="http://schemas.microsoft.com/office/drawing/2014/main" id="{4263B9F1-0625-4161-AEE6-1BB5F75A39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2220041" y="9544643"/>
          <a:ext cx="4551000" cy="1249161"/>
        </a:xfrm>
        <a:prstGeom prst="rect">
          <a:avLst/>
        </a:prstGeom>
        <a:noFill/>
      </xdr:spPr>
    </xdr:pic>
    <xdr:clientData/>
  </xdr:twoCellAnchor>
  <xdr:twoCellAnchor editAs="oneCell">
    <xdr:from>
      <xdr:col>15</xdr:col>
      <xdr:colOff>208308</xdr:colOff>
      <xdr:row>56</xdr:row>
      <xdr:rowOff>65020</xdr:rowOff>
    </xdr:from>
    <xdr:to>
      <xdr:col>21</xdr:col>
      <xdr:colOff>591793</xdr:colOff>
      <xdr:row>65</xdr:row>
      <xdr:rowOff>57796</xdr:rowOff>
    </xdr:to>
    <xdr:pic>
      <xdr:nvPicPr>
        <xdr:cNvPr id="8" name="Picture 114">
          <a:extLst>
            <a:ext uri="{FF2B5EF4-FFF2-40B4-BE49-F238E27FC236}">
              <a16:creationId xmlns:a16="http://schemas.microsoft.com/office/drawing/2014/main" id="{B54AF55F-6C10-42D5-A84D-F1D79780C1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2162183" y="10971145"/>
          <a:ext cx="4498285" cy="145010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57979</xdr:colOff>
      <xdr:row>56</xdr:row>
      <xdr:rowOff>149087</xdr:rowOff>
    </xdr:from>
    <xdr:to>
      <xdr:col>4</xdr:col>
      <xdr:colOff>682353</xdr:colOff>
      <xdr:row>65</xdr:row>
      <xdr:rowOff>74544</xdr:rowOff>
    </xdr:to>
    <xdr:pic>
      <xdr:nvPicPr>
        <xdr:cNvPr id="9" name="Picture 116">
          <a:extLst>
            <a:ext uri="{FF2B5EF4-FFF2-40B4-BE49-F238E27FC236}">
              <a16:creationId xmlns:a16="http://schemas.microsoft.com/office/drawing/2014/main" id="{6B0A7FF4-FA7F-4A16-8A86-2C86890328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57979" y="23475812"/>
          <a:ext cx="4929674" cy="1382782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500651</xdr:colOff>
      <xdr:row>0</xdr:row>
      <xdr:rowOff>0</xdr:rowOff>
    </xdr:from>
    <xdr:to>
      <xdr:col>26</xdr:col>
      <xdr:colOff>352424</xdr:colOff>
      <xdr:row>27</xdr:row>
      <xdr:rowOff>135742</xdr:rowOff>
    </xdr:to>
    <xdr:pic>
      <xdr:nvPicPr>
        <xdr:cNvPr id="10" name="Picture 104">
          <a:extLst>
            <a:ext uri="{FF2B5EF4-FFF2-40B4-BE49-F238E27FC236}">
              <a16:creationId xmlns:a16="http://schemas.microsoft.com/office/drawing/2014/main" id="{0C970101-A92F-43BB-B04D-D457EE7AD9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0397126" y="0"/>
          <a:ext cx="9452973" cy="6136492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67</xdr:row>
      <xdr:rowOff>67236</xdr:rowOff>
    </xdr:from>
    <xdr:to>
      <xdr:col>5</xdr:col>
      <xdr:colOff>75356</xdr:colOff>
      <xdr:row>75</xdr:row>
      <xdr:rowOff>56029</xdr:rowOff>
    </xdr:to>
    <xdr:pic>
      <xdr:nvPicPr>
        <xdr:cNvPr id="11" name="Picture 106">
          <a:extLst>
            <a:ext uri="{FF2B5EF4-FFF2-40B4-BE49-F238E27FC236}">
              <a16:creationId xmlns:a16="http://schemas.microsoft.com/office/drawing/2014/main" id="{2FA811E4-3B72-4185-8A75-8EC176FEBE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0" y="25175136"/>
          <a:ext cx="5066456" cy="1284193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38101</xdr:colOff>
      <xdr:row>46</xdr:row>
      <xdr:rowOff>19050</xdr:rowOff>
    </xdr:from>
    <xdr:to>
      <xdr:col>5</xdr:col>
      <xdr:colOff>446903</xdr:colOff>
      <xdr:row>50</xdr:row>
      <xdr:rowOff>133350</xdr:rowOff>
    </xdr:to>
    <xdr:pic>
      <xdr:nvPicPr>
        <xdr:cNvPr id="12" name="Picture 107">
          <a:extLst>
            <a:ext uri="{FF2B5EF4-FFF2-40B4-BE49-F238E27FC236}">
              <a16:creationId xmlns:a16="http://schemas.microsoft.com/office/drawing/2014/main" id="{4E7DC90A-2814-4DB3-B557-D49315DE0B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38101" y="21659850"/>
          <a:ext cx="5399902" cy="76200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865909</xdr:colOff>
      <xdr:row>71</xdr:row>
      <xdr:rowOff>247</xdr:rowOff>
    </xdr:from>
    <xdr:to>
      <xdr:col>19</xdr:col>
      <xdr:colOff>431717</xdr:colOff>
      <xdr:row>97</xdr:row>
      <xdr:rowOff>55551</xdr:rowOff>
    </xdr:to>
    <xdr:pic>
      <xdr:nvPicPr>
        <xdr:cNvPr id="13" name="Imagem 12">
          <a:extLst>
            <a:ext uri="{FF2B5EF4-FFF2-40B4-BE49-F238E27FC236}">
              <a16:creationId xmlns:a16="http://schemas.microsoft.com/office/drawing/2014/main" id="{E14AD1E9-AE8C-4EAE-9E5A-B62A9C881ED2}"/>
            </a:ext>
          </a:extLst>
        </xdr:cNvPr>
        <xdr:cNvPicPr/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7308273" y="12833020"/>
          <a:ext cx="7913171" cy="410775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142875</xdr:colOff>
      <xdr:row>0</xdr:row>
      <xdr:rowOff>533400</xdr:rowOff>
    </xdr:from>
    <xdr:to>
      <xdr:col>8</xdr:col>
      <xdr:colOff>1257300</xdr:colOff>
      <xdr:row>1</xdr:row>
      <xdr:rowOff>132745</xdr:rowOff>
    </xdr:to>
    <xdr:sp macro="" textlink="">
      <xdr:nvSpPr>
        <xdr:cNvPr id="92240" name="Caixa de Texto 80" hidden="1">
          <a:extLst>
            <a:ext uri="{FF2B5EF4-FFF2-40B4-BE49-F238E27FC236}">
              <a16:creationId xmlns:a16="http://schemas.microsoft.com/office/drawing/2014/main" id="{CF9CEFC5-C6EA-4E6D-9B47-85F7F90E5AC9}"/>
            </a:ext>
          </a:extLst>
        </xdr:cNvPr>
        <xdr:cNvSpPr txBox="1">
          <a:spLocks noChangeArrowheads="1"/>
        </xdr:cNvSpPr>
      </xdr:nvSpPr>
      <xdr:spPr bwMode="auto">
        <a:xfrm>
          <a:off x="5286375" y="533400"/>
          <a:ext cx="1114425" cy="81915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8</xdr:col>
      <xdr:colOff>142875</xdr:colOff>
      <xdr:row>55</xdr:row>
      <xdr:rowOff>174767</xdr:rowOff>
    </xdr:from>
    <xdr:to>
      <xdr:col>9</xdr:col>
      <xdr:colOff>114300</xdr:colOff>
      <xdr:row>57</xdr:row>
      <xdr:rowOff>222392</xdr:rowOff>
    </xdr:to>
    <xdr:sp macro="" textlink="">
      <xdr:nvSpPr>
        <xdr:cNvPr id="92241" name="Caixa de Texto 81" hidden="1">
          <a:extLst>
            <a:ext uri="{FF2B5EF4-FFF2-40B4-BE49-F238E27FC236}">
              <a16:creationId xmlns:a16="http://schemas.microsoft.com/office/drawing/2014/main" id="{8FB2C507-A865-4B4A-B1A5-2637DA1A920D}"/>
            </a:ext>
          </a:extLst>
        </xdr:cNvPr>
        <xdr:cNvSpPr txBox="1">
          <a:spLocks noChangeArrowheads="1"/>
        </xdr:cNvSpPr>
      </xdr:nvSpPr>
      <xdr:spPr bwMode="auto">
        <a:xfrm>
          <a:off x="5286375" y="13639800"/>
          <a:ext cx="1257300" cy="695325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8</xdr:col>
      <xdr:colOff>142875</xdr:colOff>
      <xdr:row>58</xdr:row>
      <xdr:rowOff>151235</xdr:rowOff>
    </xdr:from>
    <xdr:to>
      <xdr:col>9</xdr:col>
      <xdr:colOff>114300</xdr:colOff>
      <xdr:row>61</xdr:row>
      <xdr:rowOff>142</xdr:rowOff>
    </xdr:to>
    <xdr:sp macro="" textlink="">
      <xdr:nvSpPr>
        <xdr:cNvPr id="92242" name="Caixa de Texto 82" hidden="1">
          <a:extLst>
            <a:ext uri="{FF2B5EF4-FFF2-40B4-BE49-F238E27FC236}">
              <a16:creationId xmlns:a16="http://schemas.microsoft.com/office/drawing/2014/main" id="{3C0E297B-B1B4-4A34-B15B-7B2AA90B5A1F}"/>
            </a:ext>
          </a:extLst>
        </xdr:cNvPr>
        <xdr:cNvSpPr txBox="1">
          <a:spLocks noChangeArrowheads="1"/>
        </xdr:cNvSpPr>
      </xdr:nvSpPr>
      <xdr:spPr bwMode="auto">
        <a:xfrm>
          <a:off x="5286375" y="14582775"/>
          <a:ext cx="1257300" cy="81915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8</xdr:col>
      <xdr:colOff>142875</xdr:colOff>
      <xdr:row>60</xdr:row>
      <xdr:rowOff>132185</xdr:rowOff>
    </xdr:from>
    <xdr:to>
      <xdr:col>8</xdr:col>
      <xdr:colOff>866775</xdr:colOff>
      <xdr:row>61</xdr:row>
      <xdr:rowOff>165242</xdr:rowOff>
    </xdr:to>
    <xdr:sp macro="" textlink="">
      <xdr:nvSpPr>
        <xdr:cNvPr id="92243" name="Caixa de Texto 83" hidden="1">
          <a:extLst>
            <a:ext uri="{FF2B5EF4-FFF2-40B4-BE49-F238E27FC236}">
              <a16:creationId xmlns:a16="http://schemas.microsoft.com/office/drawing/2014/main" id="{E006E7A8-6252-4474-AD0C-797008BBCD39}"/>
            </a:ext>
          </a:extLst>
        </xdr:cNvPr>
        <xdr:cNvSpPr txBox="1">
          <a:spLocks noChangeArrowheads="1"/>
        </xdr:cNvSpPr>
      </xdr:nvSpPr>
      <xdr:spPr bwMode="auto">
        <a:xfrm>
          <a:off x="5286375" y="15211425"/>
          <a:ext cx="723900" cy="36195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8</xdr:col>
      <xdr:colOff>142875</xdr:colOff>
      <xdr:row>62</xdr:row>
      <xdr:rowOff>222392</xdr:rowOff>
    </xdr:from>
    <xdr:to>
      <xdr:col>9</xdr:col>
      <xdr:colOff>409575</xdr:colOff>
      <xdr:row>64</xdr:row>
      <xdr:rowOff>328475</xdr:rowOff>
    </xdr:to>
    <xdr:sp macro="" textlink="">
      <xdr:nvSpPr>
        <xdr:cNvPr id="92244" name="Caixa de Texto 84" hidden="1">
          <a:extLst>
            <a:ext uri="{FF2B5EF4-FFF2-40B4-BE49-F238E27FC236}">
              <a16:creationId xmlns:a16="http://schemas.microsoft.com/office/drawing/2014/main" id="{CD305272-C047-433E-9597-853E4D10EA96}"/>
            </a:ext>
          </a:extLst>
        </xdr:cNvPr>
        <xdr:cNvSpPr txBox="1">
          <a:spLocks noChangeArrowheads="1"/>
        </xdr:cNvSpPr>
      </xdr:nvSpPr>
      <xdr:spPr bwMode="auto">
        <a:xfrm>
          <a:off x="5286375" y="15954375"/>
          <a:ext cx="1552575" cy="7620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8</xdr:col>
      <xdr:colOff>142875</xdr:colOff>
      <xdr:row>64</xdr:row>
      <xdr:rowOff>94085</xdr:rowOff>
    </xdr:from>
    <xdr:to>
      <xdr:col>8</xdr:col>
      <xdr:colOff>714375</xdr:colOff>
      <xdr:row>65</xdr:row>
      <xdr:rowOff>33199</xdr:rowOff>
    </xdr:to>
    <xdr:sp macro="" textlink="">
      <xdr:nvSpPr>
        <xdr:cNvPr id="92245" name="Caixa de Texto 85" hidden="1">
          <a:extLst>
            <a:ext uri="{FF2B5EF4-FFF2-40B4-BE49-F238E27FC236}">
              <a16:creationId xmlns:a16="http://schemas.microsoft.com/office/drawing/2014/main" id="{4CF26AF0-F61D-429A-9AB5-0C3B72208758}"/>
            </a:ext>
          </a:extLst>
        </xdr:cNvPr>
        <xdr:cNvSpPr txBox="1">
          <a:spLocks noChangeArrowheads="1"/>
        </xdr:cNvSpPr>
      </xdr:nvSpPr>
      <xdr:spPr bwMode="auto">
        <a:xfrm>
          <a:off x="5286375" y="16468725"/>
          <a:ext cx="571500" cy="59055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8</xdr:col>
      <xdr:colOff>142875</xdr:colOff>
      <xdr:row>64</xdr:row>
      <xdr:rowOff>398885</xdr:rowOff>
    </xdr:from>
    <xdr:to>
      <xdr:col>8</xdr:col>
      <xdr:colOff>333375</xdr:colOff>
      <xdr:row>66</xdr:row>
      <xdr:rowOff>23674</xdr:rowOff>
    </xdr:to>
    <xdr:sp macro="" textlink="">
      <xdr:nvSpPr>
        <xdr:cNvPr id="92246" name="Caixa de Texto 86" hidden="1">
          <a:extLst>
            <a:ext uri="{FF2B5EF4-FFF2-40B4-BE49-F238E27FC236}">
              <a16:creationId xmlns:a16="http://schemas.microsoft.com/office/drawing/2014/main" id="{5C3A25C4-F7C5-4A82-8580-AEB1C14DBCD2}"/>
            </a:ext>
          </a:extLst>
        </xdr:cNvPr>
        <xdr:cNvSpPr txBox="1">
          <a:spLocks noChangeArrowheads="1"/>
        </xdr:cNvSpPr>
      </xdr:nvSpPr>
      <xdr:spPr bwMode="auto">
        <a:xfrm>
          <a:off x="5286375" y="16783050"/>
          <a:ext cx="190500" cy="59055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8</xdr:col>
      <xdr:colOff>142875</xdr:colOff>
      <xdr:row>67</xdr:row>
      <xdr:rowOff>52250</xdr:rowOff>
    </xdr:from>
    <xdr:to>
      <xdr:col>9</xdr:col>
      <xdr:colOff>114300</xdr:colOff>
      <xdr:row>72</xdr:row>
      <xdr:rowOff>41417</xdr:rowOff>
    </xdr:to>
    <xdr:sp macro="" textlink="">
      <xdr:nvSpPr>
        <xdr:cNvPr id="92247" name="Caixa de Texto 87" hidden="1">
          <a:extLst>
            <a:ext uri="{FF2B5EF4-FFF2-40B4-BE49-F238E27FC236}">
              <a16:creationId xmlns:a16="http://schemas.microsoft.com/office/drawing/2014/main" id="{B3B32FBF-F959-4F6C-AAE1-6966D5B578F0}"/>
            </a:ext>
          </a:extLst>
        </xdr:cNvPr>
        <xdr:cNvSpPr txBox="1">
          <a:spLocks noChangeArrowheads="1"/>
        </xdr:cNvSpPr>
      </xdr:nvSpPr>
      <xdr:spPr bwMode="auto">
        <a:xfrm>
          <a:off x="5286375" y="17726025"/>
          <a:ext cx="1257300" cy="81915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8</xdr:col>
      <xdr:colOff>142875</xdr:colOff>
      <xdr:row>69</xdr:row>
      <xdr:rowOff>33199</xdr:rowOff>
    </xdr:from>
    <xdr:to>
      <xdr:col>8</xdr:col>
      <xdr:colOff>828675</xdr:colOff>
      <xdr:row>70</xdr:row>
      <xdr:rowOff>69992</xdr:rowOff>
    </xdr:to>
    <xdr:sp macro="" textlink="">
      <xdr:nvSpPr>
        <xdr:cNvPr id="92248" name="Caixa de Texto 88" hidden="1">
          <a:extLst>
            <a:ext uri="{FF2B5EF4-FFF2-40B4-BE49-F238E27FC236}">
              <a16:creationId xmlns:a16="http://schemas.microsoft.com/office/drawing/2014/main" id="{BFD18E07-6043-48E0-823A-8688D1D0AE67}"/>
            </a:ext>
          </a:extLst>
        </xdr:cNvPr>
        <xdr:cNvSpPr txBox="1">
          <a:spLocks noChangeArrowheads="1"/>
        </xdr:cNvSpPr>
      </xdr:nvSpPr>
      <xdr:spPr bwMode="auto">
        <a:xfrm>
          <a:off x="5286375" y="18040350"/>
          <a:ext cx="685800" cy="200025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8</xdr:col>
      <xdr:colOff>142875</xdr:colOff>
      <xdr:row>74</xdr:row>
      <xdr:rowOff>137975</xdr:rowOff>
    </xdr:from>
    <xdr:to>
      <xdr:col>8</xdr:col>
      <xdr:colOff>895350</xdr:colOff>
      <xdr:row>76</xdr:row>
      <xdr:rowOff>41417</xdr:rowOff>
    </xdr:to>
    <xdr:sp macro="" textlink="">
      <xdr:nvSpPr>
        <xdr:cNvPr id="92249" name="Caixa de Texto 89" hidden="1">
          <a:extLst>
            <a:ext uri="{FF2B5EF4-FFF2-40B4-BE49-F238E27FC236}">
              <a16:creationId xmlns:a16="http://schemas.microsoft.com/office/drawing/2014/main" id="{8572C2BD-98D9-42F2-92D7-E5C1A8A74CBA}"/>
            </a:ext>
          </a:extLst>
        </xdr:cNvPr>
        <xdr:cNvSpPr txBox="1">
          <a:spLocks noChangeArrowheads="1"/>
        </xdr:cNvSpPr>
      </xdr:nvSpPr>
      <xdr:spPr bwMode="auto">
        <a:xfrm>
          <a:off x="5286375" y="18983325"/>
          <a:ext cx="752475" cy="2286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oneCell">
    <xdr:from>
      <xdr:col>22</xdr:col>
      <xdr:colOff>2955</xdr:colOff>
      <xdr:row>49</xdr:row>
      <xdr:rowOff>144356</xdr:rowOff>
    </xdr:from>
    <xdr:to>
      <xdr:col>29</xdr:col>
      <xdr:colOff>305476</xdr:colOff>
      <xdr:row>58</xdr:row>
      <xdr:rowOff>248889</xdr:rowOff>
    </xdr:to>
    <xdr:pic>
      <xdr:nvPicPr>
        <xdr:cNvPr id="14" name="Imagem 13">
          <a:extLst>
            <a:ext uri="{FF2B5EF4-FFF2-40B4-BE49-F238E27FC236}">
              <a16:creationId xmlns:a16="http://schemas.microsoft.com/office/drawing/2014/main" id="{34E143F2-FF99-490A-9169-53F2A59B70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49526" y="17888070"/>
          <a:ext cx="5065021" cy="18123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282329</xdr:colOff>
      <xdr:row>1</xdr:row>
      <xdr:rowOff>76201</xdr:rowOff>
    </xdr:from>
    <xdr:ext cx="2023930" cy="481195"/>
    <xdr:pic>
      <xdr:nvPicPr>
        <xdr:cNvPr id="2" name="Imagem 1">
          <a:extLst>
            <a:ext uri="{FF2B5EF4-FFF2-40B4-BE49-F238E27FC236}">
              <a16:creationId xmlns:a16="http://schemas.microsoft.com/office/drawing/2014/main" id="{A0D04C72-8A22-4F06-8675-64B765B309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49904" y="266701"/>
          <a:ext cx="2023930" cy="481195"/>
        </a:xfrm>
        <a:prstGeom prst="rect">
          <a:avLst/>
        </a:prstGeom>
      </xdr:spPr>
    </xdr:pic>
    <xdr:clientData/>
  </xdr:oneCellAnchor>
  <xdr:twoCellAnchor>
    <xdr:from>
      <xdr:col>12</xdr:col>
      <xdr:colOff>600754</xdr:colOff>
      <xdr:row>1</xdr:row>
      <xdr:rowOff>178933</xdr:rowOff>
    </xdr:from>
    <xdr:to>
      <xdr:col>20</xdr:col>
      <xdr:colOff>115661</xdr:colOff>
      <xdr:row>36</xdr:row>
      <xdr:rowOff>168729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43816F2F-2A3C-4622-94D9-B5E43D0B8A0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9</xdr:col>
      <xdr:colOff>282329</xdr:colOff>
      <xdr:row>1</xdr:row>
      <xdr:rowOff>76201</xdr:rowOff>
    </xdr:from>
    <xdr:ext cx="2023930" cy="481195"/>
    <xdr:pic>
      <xdr:nvPicPr>
        <xdr:cNvPr id="4" name="Imagem 3">
          <a:extLst>
            <a:ext uri="{FF2B5EF4-FFF2-40B4-BE49-F238E27FC236}">
              <a16:creationId xmlns:a16="http://schemas.microsoft.com/office/drawing/2014/main" id="{409D04CC-F2F8-405A-ACB8-ADF48D83D1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02254" y="266701"/>
          <a:ext cx="2023930" cy="481195"/>
        </a:xfrm>
        <a:prstGeom prst="rect">
          <a:avLst/>
        </a:prstGeom>
      </xdr:spPr>
    </xdr:pic>
    <xdr:clientData/>
  </xdr:oneCellAnchor>
  <xdr:twoCellAnchor>
    <xdr:from>
      <xdr:col>12</xdr:col>
      <xdr:colOff>553129</xdr:colOff>
      <xdr:row>2</xdr:row>
      <xdr:rowOff>74158</xdr:rowOff>
    </xdr:from>
    <xdr:to>
      <xdr:col>20</xdr:col>
      <xdr:colOff>68036</xdr:colOff>
      <xdr:row>36</xdr:row>
      <xdr:rowOff>63954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25F7A2AD-1191-462A-B6D2-B11D1151F16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282329</xdr:colOff>
      <xdr:row>1</xdr:row>
      <xdr:rowOff>76201</xdr:rowOff>
    </xdr:from>
    <xdr:ext cx="2023930" cy="481195"/>
    <xdr:pic>
      <xdr:nvPicPr>
        <xdr:cNvPr id="2" name="Imagem 1">
          <a:extLst>
            <a:ext uri="{FF2B5EF4-FFF2-40B4-BE49-F238E27FC236}">
              <a16:creationId xmlns:a16="http://schemas.microsoft.com/office/drawing/2014/main" id="{964EED74-247B-4EDB-BA0D-4AF4F28AB7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050" y="239487"/>
          <a:ext cx="2023930" cy="481195"/>
        </a:xfrm>
        <a:prstGeom prst="rect">
          <a:avLst/>
        </a:prstGeom>
      </xdr:spPr>
    </xdr:pic>
    <xdr:clientData/>
  </xdr:oneCellAnchor>
  <xdr:twoCellAnchor>
    <xdr:from>
      <xdr:col>12</xdr:col>
      <xdr:colOff>385761</xdr:colOff>
      <xdr:row>0</xdr:row>
      <xdr:rowOff>157162</xdr:rowOff>
    </xdr:from>
    <xdr:to>
      <xdr:col>19</xdr:col>
      <xdr:colOff>561975</xdr:colOff>
      <xdr:row>33</xdr:row>
      <xdr:rowOff>152400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99B92CF5-8DF9-47A5-BCC2-BEE7C85FB44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COMPOSI&#199;&#195;O\Boletim%202023\2023-08\N&#195;O%20DESONERADO\SCH_BOLETIM_N&#195;O%20DESONERADO_2023_08_Rev_0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COMPOSI&#199;&#195;O\Boletim%202023\2023-08\DESONERADO\SCH_BOLETIM_DESONERADO_2023_08_Rev_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LETIM_SEL"/>
      <sheetName val="BOLETIM_COTACAO"/>
      <sheetName val="BINÔMIO BETUMINOSO"/>
      <sheetName val="MAPA_DE_COTAÇÃO"/>
      <sheetName val="SINAPI"/>
      <sheetName val="SICRO_Densidades"/>
      <sheetName val="SINAPI_Escavacao_Vala"/>
      <sheetName val="SINAPI_Reaterro_Vala"/>
      <sheetName val="prod_equi_RE-0060"/>
      <sheetName val="prod_equi_RE-0065"/>
      <sheetName val="prod_equi_RE-0070"/>
      <sheetName val="AD-0002"/>
      <sheetName val="AD-0003"/>
      <sheetName val="AD-0004"/>
      <sheetName val="AD-0005"/>
      <sheetName val="AD-0006"/>
      <sheetName val="AD-0007"/>
      <sheetName val="EC-0010"/>
      <sheetName val="EC-0015"/>
      <sheetName val="EC-0020"/>
      <sheetName val="EC-0025"/>
      <sheetName val="EC-0030"/>
      <sheetName val="EC-0031"/>
      <sheetName val="EC-0032"/>
      <sheetName val="EC-0033"/>
      <sheetName val="EC-0035"/>
      <sheetName val="EC-0036"/>
      <sheetName val="EC-0037"/>
      <sheetName val="EC-0038"/>
      <sheetName val="EC-0039"/>
      <sheetName val="EC-0040"/>
      <sheetName val="EC-0041"/>
      <sheetName val="EC-0043"/>
      <sheetName val="EC-0044"/>
      <sheetName val="EC-0045"/>
      <sheetName val="EC-0050"/>
      <sheetName val="EC-0051"/>
      <sheetName val="EC-0052"/>
      <sheetName val="EC-0053"/>
      <sheetName val="EC-0055"/>
      <sheetName val="EC-0060"/>
      <sheetName val="EC-0065"/>
      <sheetName val="EC-0070"/>
      <sheetName val="EC-0085"/>
      <sheetName val="EC-0090"/>
      <sheetName val="EC-0100"/>
      <sheetName val="EC-0110"/>
      <sheetName val="EC-0120"/>
      <sheetName val="EC-0130"/>
      <sheetName val="EC-0135"/>
      <sheetName val="EC-0136"/>
      <sheetName val="EC-0145"/>
      <sheetName val="EC-0150"/>
      <sheetName val="EC-0155"/>
      <sheetName val="EC-0165"/>
      <sheetName val="EC-0170"/>
      <sheetName val="EC-0180"/>
      <sheetName val="EC-0190"/>
      <sheetName val="EC-0200"/>
      <sheetName val="EC-0210"/>
      <sheetName val="EC-0220"/>
      <sheetName val="EC-0230"/>
      <sheetName val="EC-0240"/>
      <sheetName val="ES-0010"/>
      <sheetName val="ES-0015"/>
      <sheetName val="ES-0020"/>
      <sheetName val="ES-0025"/>
      <sheetName val="ES-0030"/>
      <sheetName val="ES-0035"/>
      <sheetName val="ES-0040"/>
      <sheetName val="ES-0045"/>
      <sheetName val="ES-0050"/>
      <sheetName val="ES-0055"/>
      <sheetName val="ES-0060"/>
      <sheetName val="ES-0065"/>
      <sheetName val="ES-0070"/>
      <sheetName val="ES-0075"/>
      <sheetName val="ES-0080"/>
      <sheetName val="ES-0085"/>
      <sheetName val="ES-0090"/>
      <sheetName val="ES-0095"/>
      <sheetName val="ES-0100"/>
      <sheetName val="ES-0105"/>
      <sheetName val="DR-0005"/>
      <sheetName val="DR-0007"/>
      <sheetName val="DR-0008"/>
      <sheetName val="DR-0010"/>
      <sheetName val="DR-0015"/>
      <sheetName val="DR-0020"/>
      <sheetName val="DR-0021"/>
      <sheetName val="DR-0024"/>
      <sheetName val="DR-0025"/>
      <sheetName val="DR-0026"/>
      <sheetName val="DR-0027"/>
      <sheetName val="DR-0028"/>
      <sheetName val="DR-0030"/>
      <sheetName val="DR-0032"/>
      <sheetName val="DR-0033"/>
      <sheetName val="DR-0035"/>
      <sheetName val="DR-0036"/>
      <sheetName val="DR-0037"/>
      <sheetName val="DR-0038"/>
      <sheetName val="DR-0040"/>
      <sheetName val="DR-0045"/>
      <sheetName val="DR-0050"/>
      <sheetName val="DR-0055"/>
      <sheetName val="DR-0060"/>
      <sheetName val="DR-0065"/>
      <sheetName val="DR-0070"/>
      <sheetName val="DR-0075"/>
      <sheetName val="DR-0080"/>
      <sheetName val="DR-0085"/>
      <sheetName val="DR-0090"/>
      <sheetName val="DR-0095"/>
      <sheetName val="DR-0100"/>
      <sheetName val="DR-0105"/>
      <sheetName val="DR-0091"/>
      <sheetName val="DR-0096"/>
      <sheetName val="DR-0101"/>
      <sheetName val="DR-0106"/>
      <sheetName val="DR-0110"/>
      <sheetName val="DR-0115"/>
      <sheetName val="DR-0120"/>
      <sheetName val="DR-0125"/>
      <sheetName val="DR-0130"/>
      <sheetName val="DR-0135"/>
      <sheetName val="DR-0140"/>
      <sheetName val="DR-0145"/>
      <sheetName val="DR-0150"/>
      <sheetName val="DR-0155"/>
      <sheetName val="DR-0160"/>
      <sheetName val="DR-0165"/>
      <sheetName val="DR-0170"/>
      <sheetName val="DR-0175"/>
      <sheetName val="DR-0180"/>
      <sheetName val="DR-0185"/>
      <sheetName val="DR-0190"/>
      <sheetName val="DR-0195"/>
      <sheetName val="DR-0200"/>
      <sheetName val="DR-0205"/>
      <sheetName val="DR-0210"/>
      <sheetName val="DR-0215"/>
      <sheetName val="DR-0220"/>
      <sheetName val="DR-0225"/>
      <sheetName val="DR-0230"/>
      <sheetName val="DR-0235"/>
      <sheetName val="DR-0236"/>
      <sheetName val="DR-0237"/>
      <sheetName val="DR-0240"/>
      <sheetName val="DR-0245"/>
      <sheetName val="DR-0250"/>
      <sheetName val="DR-0255"/>
      <sheetName val="DR-0260"/>
      <sheetName val="DR-0265"/>
      <sheetName val="DR-0267"/>
      <sheetName val="DR-0270"/>
      <sheetName val="DR-0275"/>
      <sheetName val="DR-0280"/>
      <sheetName val="DR-0285"/>
      <sheetName val="DR-0290"/>
      <sheetName val="DR-0292"/>
      <sheetName val="DR-0295"/>
      <sheetName val="DR-0296"/>
      <sheetName val="DR-0300"/>
      <sheetName val="DR-0305"/>
      <sheetName val="DR-0310"/>
      <sheetName val="DR-0315"/>
      <sheetName val="DR-0320"/>
      <sheetName val="DR-0325"/>
      <sheetName val="DR-0330"/>
      <sheetName val="DR-0335"/>
      <sheetName val="DR-0340"/>
      <sheetName val="DR-0341"/>
      <sheetName val="DR-0345"/>
      <sheetName val="DR-0350"/>
      <sheetName val="DR-0355"/>
      <sheetName val="DR-0365"/>
      <sheetName val="DR-0370"/>
      <sheetName val="DR-0375"/>
      <sheetName val="DR-0385"/>
      <sheetName val="DR-0390"/>
      <sheetName val="DR-0395"/>
      <sheetName val="DR-0400"/>
      <sheetName val="DR-0410"/>
      <sheetName val="DR-0411"/>
      <sheetName val="DR-0415"/>
      <sheetName val="DR-0420"/>
      <sheetName val="DR-0421"/>
      <sheetName val="DR-0430"/>
      <sheetName val="DR-0440"/>
      <sheetName val="DR-0450"/>
      <sheetName val="DR-0470"/>
      <sheetName val="LF-0005"/>
      <sheetName val="LF-0007"/>
      <sheetName val="LF-0008"/>
      <sheetName val="LF-0010"/>
      <sheetName val="LF-0015"/>
      <sheetName val="LF-0020"/>
      <sheetName val="LF-0025"/>
      <sheetName val="LF-0030"/>
      <sheetName val="LF-0035"/>
      <sheetName val="LF-0040"/>
      <sheetName val="LF-0045"/>
      <sheetName val="PA-0005"/>
      <sheetName val="PA-0006"/>
      <sheetName val="PA-0007"/>
      <sheetName val="PA-0008"/>
      <sheetName val="PA-0010"/>
      <sheetName val="PA-0015"/>
      <sheetName val="PA-0018"/>
      <sheetName val="PA-0019"/>
      <sheetName val="PA-0020"/>
      <sheetName val="PA-0021"/>
      <sheetName val="PA-0022"/>
      <sheetName val="PA-0023"/>
      <sheetName val="PA-0025"/>
      <sheetName val="PA-0030"/>
      <sheetName val="PA-0035"/>
      <sheetName val="PA-0036"/>
      <sheetName val="PA-0037"/>
      <sheetName val="PA-0040"/>
      <sheetName val="PA-0041"/>
      <sheetName val="PA-0042"/>
      <sheetName val="PA-0045"/>
      <sheetName val="PA-0050"/>
      <sheetName val="PA-0055"/>
      <sheetName val="PA-0060"/>
      <sheetName val="PA-0070"/>
      <sheetName val="PA-0080"/>
      <sheetName val="PA-0090"/>
      <sheetName val="PA-0100"/>
      <sheetName val="PA-0110"/>
      <sheetName val="PA-0120"/>
      <sheetName val="PA-0130"/>
      <sheetName val="PA-0140"/>
      <sheetName val="PA-0150"/>
      <sheetName val="PA-0160"/>
      <sheetName val="RE-0005"/>
      <sheetName val="RE-0010"/>
      <sheetName val="RE-0015"/>
      <sheetName val="RE-0020"/>
      <sheetName val="RE-0025"/>
      <sheetName val="RE-0030"/>
      <sheetName val="RE-0035"/>
      <sheetName val="RE-0040"/>
      <sheetName val="RE-0045"/>
      <sheetName val="RE-0050"/>
      <sheetName val="RE-0051"/>
      <sheetName val="RE-0052"/>
      <sheetName val="RE-0053"/>
      <sheetName val="RE-0055"/>
      <sheetName val="RE-0056"/>
      <sheetName val="RE-0057"/>
      <sheetName val="RE-0058"/>
      <sheetName val="RE-0060"/>
      <sheetName val="RE-0065"/>
      <sheetName val="RE-0070"/>
      <sheetName val="RE-0075"/>
      <sheetName val="RE-0080"/>
      <sheetName val="RE-0085"/>
      <sheetName val="RE-0090"/>
      <sheetName val="SC-0005"/>
      <sheetName val="SC-0006"/>
      <sheetName val="SC-0010"/>
      <sheetName val="SC-0015"/>
      <sheetName val="SC-0020"/>
      <sheetName val="SC-0025"/>
      <sheetName val="SC-0030"/>
      <sheetName val="SC-0035"/>
      <sheetName val="SC-0040"/>
      <sheetName val="SC-0007"/>
      <sheetName val="SC-0008"/>
      <sheetName val="SC-0011"/>
      <sheetName val="SC-0016"/>
      <sheetName val="SC-0021"/>
      <sheetName val="SC-0026"/>
      <sheetName val="SC-0031"/>
      <sheetName val="SC-0036"/>
      <sheetName val="SC-0041"/>
      <sheetName val="SC-0045"/>
      <sheetName val="SC-0050"/>
      <sheetName val="SC-0055"/>
      <sheetName val="SC-0060"/>
      <sheetName val="SC-0065"/>
      <sheetName val="SC-0067"/>
      <sheetName val="SC-0068"/>
      <sheetName val="SC-0069"/>
      <sheetName val="SC-0070"/>
      <sheetName val="SC-0075"/>
      <sheetName val="SC-0080"/>
      <sheetName val="SC-0082"/>
      <sheetName val="SC-0085"/>
      <sheetName val="SC-0090"/>
      <sheetName val="SC-0091"/>
      <sheetName val="SC-0092"/>
      <sheetName val="SC-0095"/>
      <sheetName val="SC-0096"/>
      <sheetName val="SC-0097"/>
      <sheetName val="SC-0100"/>
      <sheetName val="SC-0105"/>
      <sheetName val="SC-0110"/>
      <sheetName val="SC-0115"/>
      <sheetName val="SC-0120"/>
      <sheetName val="SC-0125"/>
      <sheetName val="SC-0130"/>
      <sheetName val="SC-0135"/>
      <sheetName val="SC-0140"/>
      <sheetName val="SC-0145"/>
      <sheetName val="SC-0150"/>
      <sheetName val="SC-0155"/>
      <sheetName val="SC-0160"/>
      <sheetName val="SC-0200"/>
      <sheetName val="SC-0205"/>
      <sheetName val="SC-0210"/>
      <sheetName val="SC-0220"/>
      <sheetName val="SC-0230"/>
      <sheetName val="SC-0240"/>
      <sheetName val="SC-0250"/>
      <sheetName val="SC-0260"/>
      <sheetName val="SC-0270"/>
      <sheetName val="SP-0001"/>
      <sheetName val="SP-0004"/>
      <sheetName val="SP-0005"/>
      <sheetName val="SP-0006"/>
      <sheetName val="SP-0007"/>
      <sheetName val="SP-0008"/>
      <sheetName val="SP-0009"/>
      <sheetName val="SP-0010"/>
      <sheetName val="SP-0020"/>
      <sheetName val="SP-0025"/>
      <sheetName val="SP-0030"/>
      <sheetName val="SP-0050"/>
      <sheetName val="SP-0060"/>
      <sheetName val="SP-0077"/>
      <sheetName val="SP-0078"/>
      <sheetName val="SP-0079"/>
      <sheetName val="SP-0080"/>
      <sheetName val="SP-0100"/>
      <sheetName val="SP-0105"/>
      <sheetName val="SP-0110"/>
      <sheetName val="SP-0115"/>
      <sheetName val="SP-0120"/>
      <sheetName val="SP-0125"/>
      <sheetName val="SP-0130"/>
      <sheetName val="SP-0140"/>
      <sheetName val="SP-0150"/>
      <sheetName val="SP-0160"/>
      <sheetName val="SP-0170"/>
      <sheetName val="SP-0180"/>
      <sheetName val="SP-0190"/>
      <sheetName val="SP-0200"/>
      <sheetName val="SP-0210"/>
      <sheetName val="SP-0220"/>
      <sheetName val="SR-0010"/>
      <sheetName val="SR-0020"/>
      <sheetName val="SR-0030"/>
      <sheetName val="SR-0040"/>
      <sheetName val="SR-0050"/>
      <sheetName val="SR-0060"/>
      <sheetName val="SR-0061"/>
      <sheetName val="SR-0070"/>
      <sheetName val="SR-0080"/>
      <sheetName val="SR-0090"/>
      <sheetName val="SR-0100"/>
      <sheetName val="SR-0110"/>
      <sheetName val="SR-0120"/>
      <sheetName val="ST-0020"/>
      <sheetName val="ST-0065"/>
      <sheetName val="ST-0070"/>
      <sheetName val="SV-0005"/>
      <sheetName val="SV-0010"/>
      <sheetName val="SV-0012"/>
      <sheetName val="SV-0015"/>
      <sheetName val="SV-0020"/>
      <sheetName val="SV-0025"/>
      <sheetName val="SV-0030"/>
      <sheetName val="SV-0035"/>
      <sheetName val="SV-0037"/>
      <sheetName val="SV-0040"/>
      <sheetName val="SV-0045"/>
      <sheetName val="SV-0050"/>
      <sheetName val="SV-0055"/>
      <sheetName val="SV-0060"/>
      <sheetName val="SV-0065"/>
      <sheetName val="SV-0070"/>
      <sheetName val="SV-0075"/>
      <sheetName val="SV-0080"/>
      <sheetName val="SV-0085"/>
      <sheetName val="SV-0090"/>
      <sheetName val="SV-0091"/>
      <sheetName val="SV-0095"/>
      <sheetName val="SV-0100"/>
      <sheetName val="SV-0105"/>
      <sheetName val="SV-0106"/>
      <sheetName val="SV-0107"/>
      <sheetName val="SV-0110"/>
      <sheetName val="SV-0115"/>
      <sheetName val="SV-0120"/>
      <sheetName val="SV-0125"/>
      <sheetName val="SV-0130"/>
      <sheetName val="SV-0140"/>
      <sheetName val="SV-0150"/>
      <sheetName val="SV-0160"/>
      <sheetName val="SV-0170"/>
      <sheetName val="SV-0180"/>
    </sheetNames>
    <sheetDataSet>
      <sheetData sheetId="0">
        <row r="1">
          <cell r="A1" t="str">
            <v>SINAPI:</v>
          </cell>
          <cell r="B1" t="str">
            <v>Agosto/2023</v>
          </cell>
          <cell r="C1"/>
          <cell r="D1" t="str">
            <v>LISTA SINTÉTICA SIMPLES DE PREÇOS UNITÁRIOS</v>
          </cell>
          <cell r="E1" t="str">
            <v>REVISÃO:</v>
          </cell>
          <cell r="F1"/>
          <cell r="G1">
            <v>1</v>
          </cell>
          <cell r="H1"/>
        </row>
        <row r="2">
          <cell r="A2" t="str">
            <v>SICRO:</v>
          </cell>
          <cell r="B2">
            <v>45017</v>
          </cell>
          <cell r="C2"/>
          <cell r="D2" t="str">
            <v>NÃO DESONERADA</v>
          </cell>
          <cell r="E2"/>
          <cell r="F2"/>
          <cell r="G2"/>
          <cell r="H2"/>
        </row>
        <row r="3">
          <cell r="A3" t="str">
            <v>PRAÇA:</v>
          </cell>
          <cell r="B3" t="str">
            <v>Campo Grande/MS</v>
          </cell>
          <cell r="C3"/>
          <cell r="D3"/>
          <cell r="E3"/>
          <cell r="F3" t="str">
            <v>HORISTA:</v>
          </cell>
          <cell r="G3">
            <v>1.1544000000000001</v>
          </cell>
          <cell r="H3"/>
        </row>
        <row r="4">
          <cell r="A4" t="str">
            <v>DATA BASE:</v>
          </cell>
          <cell r="B4" t="str">
            <v>Agosto/2023</v>
          </cell>
          <cell r="C4"/>
          <cell r="D4"/>
          <cell r="E4"/>
          <cell r="F4" t="str">
            <v>MENSALISTA:</v>
          </cell>
          <cell r="G4">
            <v>0.71260000000000001</v>
          </cell>
          <cell r="H4"/>
        </row>
        <row r="5">
          <cell r="A5"/>
          <cell r="B5"/>
          <cell r="C5"/>
          <cell r="D5"/>
          <cell r="E5"/>
          <cell r="F5"/>
          <cell r="G5"/>
          <cell r="H5"/>
        </row>
        <row r="6">
          <cell r="A6" t="str">
            <v>1.0</v>
          </cell>
          <cell r="B6" t="str">
            <v>SERVIÇOS PRELIMINARES</v>
          </cell>
          <cell r="C6"/>
          <cell r="D6"/>
          <cell r="E6" t="str">
            <v>SP</v>
          </cell>
          <cell r="F6"/>
          <cell r="G6"/>
          <cell r="H6"/>
        </row>
        <row r="7">
          <cell r="A7" t="str">
            <v>2.0</v>
          </cell>
          <cell r="B7" t="str">
            <v>REMOÇÕES, DEMOLIÇÕES E SUPRESSÕES</v>
          </cell>
          <cell r="E7" t="str">
            <v>SR</v>
          </cell>
          <cell r="F7"/>
          <cell r="G7"/>
          <cell r="H7"/>
        </row>
        <row r="8">
          <cell r="A8" t="str">
            <v>3.0</v>
          </cell>
          <cell r="B8" t="str">
            <v>CARGAS, TEMPO FIXO E TRANSPORTES</v>
          </cell>
          <cell r="C8"/>
          <cell r="D8"/>
          <cell r="E8" t="str">
            <v>TR</v>
          </cell>
          <cell r="F8"/>
          <cell r="G8"/>
          <cell r="H8"/>
        </row>
        <row r="9">
          <cell r="A9" t="str">
            <v>4.0</v>
          </cell>
          <cell r="B9" t="str">
            <v>MICRO E MACRODRENAGEM - ESCORAMENTO E CONTENÇÃO</v>
          </cell>
          <cell r="E9" t="str">
            <v>ES</v>
          </cell>
          <cell r="F9"/>
          <cell r="G9"/>
          <cell r="H9"/>
        </row>
        <row r="10">
          <cell r="A10" t="str">
            <v>5.0</v>
          </cell>
          <cell r="B10" t="str">
            <v>MICRO E MACRODRENAGEM - TERRAPLENAGEM</v>
          </cell>
          <cell r="C10"/>
          <cell r="D10"/>
          <cell r="E10" t="str">
            <v>DR</v>
          </cell>
          <cell r="F10"/>
          <cell r="G10"/>
          <cell r="H10"/>
        </row>
        <row r="11">
          <cell r="A11" t="str">
            <v>6.0</v>
          </cell>
          <cell r="B11" t="str">
            <v>MICRO E MACRODRENAGEM - DISPOSITIVOS AUXILIARES</v>
          </cell>
          <cell r="E11" t="str">
            <v>DR</v>
          </cell>
          <cell r="F11"/>
          <cell r="G11"/>
          <cell r="H11"/>
        </row>
        <row r="12">
          <cell r="A12" t="str">
            <v>7.0</v>
          </cell>
          <cell r="B12" t="str">
            <v>SERVIÇOS DE ESTRUTURAS E CONTENÇÕES</v>
          </cell>
          <cell r="C12"/>
          <cell r="D12"/>
          <cell r="E12" t="str">
            <v>EC</v>
          </cell>
          <cell r="F12"/>
          <cell r="G12"/>
          <cell r="H12"/>
        </row>
        <row r="13">
          <cell r="A13" t="str">
            <v>8.0</v>
          </cell>
          <cell r="B13" t="str">
            <v>PAVIMENTAÇÃO - RESTAURAÇÃO, REMENDO E FRESAGEM</v>
          </cell>
          <cell r="E13" t="str">
            <v>RE</v>
          </cell>
          <cell r="F13"/>
          <cell r="G13"/>
          <cell r="H13"/>
        </row>
        <row r="14">
          <cell r="A14" t="str">
            <v>9.0</v>
          </cell>
          <cell r="B14" t="str">
            <v>IMPLANTAÇÃO ASFÁLTICA - TERRAPLENAGEM</v>
          </cell>
          <cell r="C14"/>
          <cell r="D14"/>
          <cell r="E14" t="str">
            <v>PA</v>
          </cell>
          <cell r="F14"/>
          <cell r="G14"/>
          <cell r="H14"/>
        </row>
        <row r="15">
          <cell r="A15" t="str">
            <v>10.0</v>
          </cell>
          <cell r="B15" t="str">
            <v>IMPLANTAÇÃO ASFÁLTICA - PAVIMENTAÇÃO</v>
          </cell>
          <cell r="E15" t="str">
            <v>PA</v>
          </cell>
          <cell r="F15"/>
          <cell r="G15"/>
          <cell r="H15"/>
        </row>
        <row r="16">
          <cell r="A16" t="str">
            <v>11.0</v>
          </cell>
          <cell r="B16" t="str">
            <v>SERVIÇOS COMPLEMENTARES, PASSEIOS E ACESSIBILIDADE</v>
          </cell>
          <cell r="C16"/>
          <cell r="D16"/>
          <cell r="E16" t="str">
            <v>SC</v>
          </cell>
          <cell r="F16"/>
          <cell r="G16"/>
          <cell r="H16"/>
        </row>
        <row r="17">
          <cell r="A17" t="str">
            <v>12.0</v>
          </cell>
          <cell r="B17" t="str">
            <v>DRENAGEM DE LENÇOL FREÁTICO</v>
          </cell>
          <cell r="E17" t="str">
            <v>LF</v>
          </cell>
          <cell r="F17"/>
          <cell r="G17"/>
          <cell r="H17"/>
        </row>
        <row r="18">
          <cell r="A18" t="str">
            <v>13.0</v>
          </cell>
          <cell r="B18" t="str">
            <v>SINALIZAÇÃO VIÁRIA DEFINITIVA</v>
          </cell>
          <cell r="C18"/>
          <cell r="D18"/>
          <cell r="E18" t="str">
            <v>SV</v>
          </cell>
          <cell r="F18"/>
          <cell r="G18"/>
          <cell r="H18"/>
        </row>
        <row r="19">
          <cell r="A19" t="str">
            <v>14.0</v>
          </cell>
          <cell r="B19" t="str">
            <v>ADMINISTRAÇÃO LOCAL</v>
          </cell>
          <cell r="E19"/>
          <cell r="F19"/>
          <cell r="G19"/>
          <cell r="H19"/>
        </row>
        <row r="20">
          <cell r="A20" t="str">
            <v>15.0</v>
          </cell>
          <cell r="B20" t="str">
            <v>SERVIÇOS DE ENGENHARIA DE PROJETOS DE INFRAESTRUTURA URBANA</v>
          </cell>
          <cell r="C20"/>
          <cell r="D20"/>
          <cell r="E20"/>
          <cell r="F20"/>
          <cell r="G20"/>
          <cell r="H20"/>
        </row>
        <row r="21">
          <cell r="A21"/>
          <cell r="B21"/>
          <cell r="C21"/>
          <cell r="D21"/>
          <cell r="E21"/>
          <cell r="F21"/>
          <cell r="G21"/>
          <cell r="H21"/>
        </row>
        <row r="22">
          <cell r="A22" t="str">
            <v xml:space="preserve">CÓDIGO                  </v>
          </cell>
          <cell r="B22" t="str">
            <v>CPU</v>
          </cell>
          <cell r="C22" t="str">
            <v>PRODUTIVIDADE
OU 
COD SINAPI</v>
          </cell>
          <cell r="D22" t="str">
            <v>DESCRIÇÃO DOS SERVIÇOS COM ADEQUAÇÕES</v>
          </cell>
          <cell r="E22" t="str">
            <v>OBS.</v>
          </cell>
          <cell r="F22" t="str">
            <v>UNIDADE</v>
          </cell>
          <cell r="G22" t="str">
            <v>PREÇO UNITÁRIO (S/BDI) (R$)</v>
          </cell>
          <cell r="H22" t="str">
            <v>conferência da existência de preços</v>
          </cell>
        </row>
        <row r="23">
          <cell r="A23"/>
          <cell r="B23"/>
          <cell r="C23" t="str">
            <v>1.0</v>
          </cell>
          <cell r="D23" t="str">
            <v>SERVIÇOS PRELIMINARES</v>
          </cell>
          <cell r="E23"/>
          <cell r="F23"/>
          <cell r="G23"/>
          <cell r="H23" t="str">
            <v/>
          </cell>
        </row>
        <row r="24">
          <cell r="A24" t="str">
            <v>SP/0001</v>
          </cell>
          <cell r="B24" t="str">
            <v>COMPOSIÇÃO</v>
          </cell>
          <cell r="C24" t="str">
            <v>74209/1</v>
          </cell>
          <cell r="D24" t="str">
            <v>Placa de identificação de obra pública, inclusive pintura e adesivos, estrutura e suporte de madeira. Incluso fornecimento de material e instalação. Ref SINAPI, CÓD 74209/001, DB 01/2020</v>
          </cell>
          <cell r="E24"/>
          <cell r="F24" t="str">
            <v>M2</v>
          </cell>
          <cell r="G24">
            <v>359.33</v>
          </cell>
          <cell r="H24" t="str">
            <v>-</v>
          </cell>
        </row>
        <row r="25">
          <cell r="A25">
            <v>93207</v>
          </cell>
          <cell r="B25" t="str">
            <v>SINAPI</v>
          </cell>
          <cell r="C25"/>
          <cell r="D25" t="str">
            <v>Barracão de obra - Execução de escritório em canteiro de obra em chapa de madeira compensada, não incluso mobiliário e equipamentos. AF_02/2016</v>
          </cell>
          <cell r="E25"/>
          <cell r="F25" t="str">
            <v>M2</v>
          </cell>
          <cell r="G25">
            <v>1193.24</v>
          </cell>
          <cell r="H25" t="str">
            <v>-</v>
          </cell>
        </row>
        <row r="26">
          <cell r="A26">
            <v>93212</v>
          </cell>
          <cell r="B26" t="str">
            <v>SINAPI</v>
          </cell>
          <cell r="C26"/>
          <cell r="D26" t="str">
            <v>Barracão de obra - Execução de sanitário e vestiário em canteiro de obra em chapa de madeira compensada, não incluso mobiliário. AF_02/2016</v>
          </cell>
          <cell r="E26"/>
          <cell r="F26" t="str">
            <v>M2</v>
          </cell>
          <cell r="G26">
            <v>1033.9000000000001</v>
          </cell>
          <cell r="H26" t="str">
            <v>-</v>
          </cell>
        </row>
        <row r="27">
          <cell r="A27">
            <v>93584</v>
          </cell>
          <cell r="B27" t="str">
            <v>SINAPI</v>
          </cell>
          <cell r="C27"/>
          <cell r="D27" t="str">
            <v>Barracão de obra - Execução de depósito em canteiro de obra em chapa de madeira compensada, não incluso mobiliário. AF_04/2016</v>
          </cell>
          <cell r="E27"/>
          <cell r="F27" t="str">
            <v>M2</v>
          </cell>
          <cell r="G27">
            <v>936.19</v>
          </cell>
          <cell r="H27" t="str">
            <v>-</v>
          </cell>
        </row>
        <row r="28">
          <cell r="A28">
            <v>93585</v>
          </cell>
          <cell r="B28" t="str">
            <v>SINAPI</v>
          </cell>
          <cell r="C28"/>
          <cell r="D28" t="str">
            <v>Execução de guarita em canteiro de obra em chapa de madeira compensada, não incluso mobiliário. AF_04/2016</v>
          </cell>
          <cell r="E28"/>
          <cell r="F28" t="str">
            <v>M2</v>
          </cell>
          <cell r="G28">
            <v>1308.3800000000001</v>
          </cell>
          <cell r="H28" t="str">
            <v>-</v>
          </cell>
        </row>
        <row r="29">
          <cell r="A29">
            <v>10775</v>
          </cell>
          <cell r="B29" t="str">
            <v>SINAPI</v>
          </cell>
          <cell r="C29"/>
          <cell r="D29" t="str">
            <v>Locação de container 2,30  x  6,00 m, alt. 2,50 m, com 1 sanitário, para escritório, completo, sem divisórias internas</v>
          </cell>
          <cell r="E29"/>
          <cell r="F29" t="str">
            <v xml:space="preserve">MES   </v>
          </cell>
          <cell r="G29">
            <v>895</v>
          </cell>
          <cell r="H29" t="str">
            <v>-</v>
          </cell>
        </row>
        <row r="30">
          <cell r="A30">
            <v>10776</v>
          </cell>
          <cell r="B30" t="str">
            <v>SINAPI</v>
          </cell>
          <cell r="C30"/>
          <cell r="D30" t="str">
            <v>Locação de container 2,30  x  6,00 m, alt. 2,50 m, para escritório, sem divisórias internas e sem sanitário</v>
          </cell>
          <cell r="E30"/>
          <cell r="F30" t="str">
            <v xml:space="preserve">MES   </v>
          </cell>
          <cell r="G30">
            <v>699.21</v>
          </cell>
          <cell r="H30" t="str">
            <v>-</v>
          </cell>
        </row>
        <row r="31">
          <cell r="A31">
            <v>10777</v>
          </cell>
          <cell r="B31" t="str">
            <v>SINAPI</v>
          </cell>
          <cell r="C31"/>
          <cell r="D31" t="str">
            <v>Locação de container 2,30 x 4,30 m, alt. 2,50 m, para sanitário, com 3 bacias, 4 chuveiros, 1 lavatório e 1 mictório</v>
          </cell>
          <cell r="E31"/>
          <cell r="F31" t="str">
            <v xml:space="preserve">MES   </v>
          </cell>
          <cell r="G31">
            <v>1016.19</v>
          </cell>
          <cell r="H31" t="str">
            <v>-</v>
          </cell>
        </row>
        <row r="32">
          <cell r="A32">
            <v>10778</v>
          </cell>
          <cell r="B32" t="str">
            <v>SINAPI</v>
          </cell>
          <cell r="C32"/>
          <cell r="D32" t="str">
            <v>Locação de container 2,30 x 6,00 m, alt. 2,50 m,  para sanitário,  com 4 bacias, 8 chuveiros,1 lavatório e 1 mictório</v>
          </cell>
          <cell r="E32"/>
          <cell r="F32" t="str">
            <v xml:space="preserve">MES   </v>
          </cell>
          <cell r="G32">
            <v>1118.75</v>
          </cell>
          <cell r="H32" t="str">
            <v>-</v>
          </cell>
        </row>
        <row r="33">
          <cell r="A33" t="str">
            <v>SP/0004</v>
          </cell>
          <cell r="B33" t="str">
            <v>COMPOSIÇÃO</v>
          </cell>
          <cell r="C33"/>
          <cell r="D33" t="str">
            <v>Aluguel de banheiro quimico, incluindo transporte de ida e volta, manutencao e higienizacao 3 vezes por semana. Modelo Luxo, dimensões 2,31 x 1,15 x 1,15m. Cidade: Campo Grande/MS</v>
          </cell>
          <cell r="E33"/>
          <cell r="F33" t="str">
            <v>UN.MÊS</v>
          </cell>
          <cell r="G33">
            <v>2000</v>
          </cell>
          <cell r="H33" t="str">
            <v>-</v>
          </cell>
        </row>
        <row r="34">
          <cell r="A34" t="str">
            <v>SP/0005</v>
          </cell>
          <cell r="B34" t="str">
            <v>COMPOSIÇÃO</v>
          </cell>
          <cell r="C34"/>
          <cell r="D34" t="str">
            <v>Aluguel de banheiro quimico, incluindo transporte de ida e volta, manutencao e higienizacao 3 vezes por semana. Modelo Luxo, dimensões 2,31 x 1,15 x 1,15m</v>
          </cell>
          <cell r="E34"/>
          <cell r="F34" t="str">
            <v>UN.MÊS</v>
          </cell>
          <cell r="G34">
            <v>1200</v>
          </cell>
          <cell r="H34" t="str">
            <v>-</v>
          </cell>
        </row>
        <row r="35">
          <cell r="A35" t="str">
            <v>SP/0008</v>
          </cell>
          <cell r="B35" t="str">
            <v>COMPOSIÇÃO</v>
          </cell>
          <cell r="C35"/>
          <cell r="D35" t="str">
            <v>Aluguel de banheiro quimico, incluindo transporte de ida e volta, manutencao e higienizacao 3 vezes por semana. Dimensões 2,31 x 1,15 x 1,15m. Cidade: Três Lagoas/MS</v>
          </cell>
          <cell r="E35"/>
          <cell r="F35" t="str">
            <v>UN.MÊS</v>
          </cell>
          <cell r="G35">
            <v>600</v>
          </cell>
          <cell r="H35" t="str">
            <v>-</v>
          </cell>
        </row>
        <row r="36">
          <cell r="A36" t="str">
            <v>SP/0006</v>
          </cell>
          <cell r="B36" t="str">
            <v>COMPOSIÇÃO</v>
          </cell>
          <cell r="C36"/>
          <cell r="D36" t="str">
            <v>Usina de Asfalto completa - Instalação</v>
          </cell>
          <cell r="E36"/>
          <cell r="F36" t="str">
            <v xml:space="preserve">UN </v>
          </cell>
          <cell r="G36">
            <v>383808.97</v>
          </cell>
          <cell r="H36" t="str">
            <v>-</v>
          </cell>
        </row>
        <row r="37">
          <cell r="A37" t="str">
            <v>SP/0009</v>
          </cell>
          <cell r="B37" t="str">
            <v>COMPOSIÇÃO</v>
          </cell>
          <cell r="C37"/>
          <cell r="D37" t="str">
            <v>Instalação da usina de asfalto a quente capacidade de 120 t/h. Ref SICRO CÓD. 0903810, DB 01-23</v>
          </cell>
          <cell r="E37"/>
          <cell r="F37" t="str">
            <v xml:space="preserve">UN </v>
          </cell>
          <cell r="G37">
            <v>216346.38</v>
          </cell>
          <cell r="H37" t="str">
            <v>-</v>
          </cell>
        </row>
        <row r="38">
          <cell r="A38" t="str">
            <v>SP/0220</v>
          </cell>
          <cell r="B38" t="str">
            <v>COMPOSIÇÃO</v>
          </cell>
          <cell r="C38"/>
          <cell r="D38" t="str">
            <v>Instalação da usina móvel de asfalto a quente capacidade de 40 T/H a 80 T/H. Ref SICRO CÓD. 0903810 e 0903809, DB 01-23</v>
          </cell>
          <cell r="E38"/>
          <cell r="F38" t="str">
            <v xml:space="preserve">UN </v>
          </cell>
          <cell r="G38">
            <v>50113.51</v>
          </cell>
          <cell r="H38" t="str">
            <v>-</v>
          </cell>
        </row>
        <row r="39">
          <cell r="A39" t="str">
            <v>SP/0007</v>
          </cell>
          <cell r="B39" t="str">
            <v>COMPOSIÇÃO</v>
          </cell>
          <cell r="C39"/>
          <cell r="D39" t="str">
            <v>Usina de Asfalto completa  - Mobilização e Desmobilização. Exclusive instalação</v>
          </cell>
          <cell r="E39" t="str">
            <v>ATENÇÃO
digitar na CCU o DMT para acrescentar o custo dos motoristas</v>
          </cell>
          <cell r="F39" t="str">
            <v>KM</v>
          </cell>
          <cell r="G39">
            <v>66.98</v>
          </cell>
          <cell r="H39" t="str">
            <v>-</v>
          </cell>
        </row>
        <row r="40">
          <cell r="A40" t="str">
            <v>SP/0010</v>
          </cell>
          <cell r="B40" t="str">
            <v>COMPOSIÇÃO</v>
          </cell>
          <cell r="C40"/>
          <cell r="D40" t="str">
            <v>Iluminação e ventilação para execução de tunnel liner. Ref SICRO, CÓD 4816003 e 4816004. DB 07-2021</v>
          </cell>
          <cell r="E40"/>
          <cell r="F40" t="str">
            <v>M</v>
          </cell>
          <cell r="G40">
            <v>89.05</v>
          </cell>
          <cell r="H40" t="str">
            <v>-</v>
          </cell>
        </row>
        <row r="41">
          <cell r="A41" t="str">
            <v>SP/0020</v>
          </cell>
          <cell r="B41" t="str">
            <v>COMPOSIÇÃO</v>
          </cell>
          <cell r="C41"/>
          <cell r="D41" t="str">
            <v>Segurança de trânsito - sinalização de advertência de obra com placa (fundo laranja) sobre cavalete, conforme ABNT - NBR-7678 Segurança na execução de obras e serviços de construção Ministério do Trabalho e da Previdência Social - NB-26 - Sinalização De Segurança CONTRAN - Manual De Noções De Normas De Trânsito</v>
          </cell>
          <cell r="E41"/>
          <cell r="F41" t="str">
            <v>M2</v>
          </cell>
          <cell r="G41">
            <v>142.30000000000001</v>
          </cell>
          <cell r="H41" t="str">
            <v>-</v>
          </cell>
        </row>
        <row r="42">
          <cell r="A42" t="str">
            <v>SP/0025</v>
          </cell>
          <cell r="B42" t="str">
            <v>COMPOSIÇÃO</v>
          </cell>
          <cell r="C42" t="str">
            <v>74221/1</v>
          </cell>
          <cell r="D42" t="str">
            <v>Segurança de trânsito - sinalização de advertência de obra com elemento luminoso (balde vermelho)</v>
          </cell>
          <cell r="E42"/>
          <cell r="F42" t="str">
            <v>M</v>
          </cell>
          <cell r="G42">
            <v>3.42</v>
          </cell>
          <cell r="H42" t="str">
            <v>-</v>
          </cell>
        </row>
        <row r="43">
          <cell r="A43">
            <v>98458</v>
          </cell>
          <cell r="B43" t="str">
            <v>SINAPI</v>
          </cell>
          <cell r="C43"/>
          <cell r="D43" t="str">
            <v>Segurança de trânsito - tapume baixo removível de proteção para valas com chapas compensadas (6 mm). Exclusive pintura de sinalização de advertência</v>
          </cell>
          <cell r="E43"/>
          <cell r="F43" t="str">
            <v>M2</v>
          </cell>
          <cell r="G43">
            <v>155.34</v>
          </cell>
          <cell r="H43" t="str">
            <v>-</v>
          </cell>
        </row>
        <row r="44">
          <cell r="A44">
            <v>98459</v>
          </cell>
          <cell r="B44" t="str">
            <v>SINAPI</v>
          </cell>
          <cell r="C44"/>
          <cell r="D44" t="str">
            <v>Tapume com telha metálica, sem pintura, trapezoidal espessura 0,5 mm, colunas, bases e parafusos</v>
          </cell>
          <cell r="E44"/>
          <cell r="F44" t="str">
            <v>M2</v>
          </cell>
          <cell r="G44">
            <v>121.83</v>
          </cell>
          <cell r="H44" t="str">
            <v>-</v>
          </cell>
        </row>
        <row r="45">
          <cell r="A45" t="str">
            <v>SP/0030</v>
          </cell>
          <cell r="B45" t="str">
            <v>COMPOSIÇÃO</v>
          </cell>
          <cell r="C45">
            <v>85423</v>
          </cell>
          <cell r="D45" t="str">
            <v>Segurança de trânsito - isolamento de obra com tela cerquite plática laranja conforme ABNT - NBR-7678 Segurança na execução de obras e serviços de construção Ministério do Trabalho e da Previdência Social - NB-26 - Sinalização De Segurança CONTRAN - Manual De Noções De Normas De Trânsito</v>
          </cell>
          <cell r="E45"/>
          <cell r="F45" t="str">
            <v>M</v>
          </cell>
          <cell r="G45">
            <v>10.210000000000001</v>
          </cell>
          <cell r="H45" t="str">
            <v>-</v>
          </cell>
        </row>
        <row r="46">
          <cell r="A46">
            <v>13244</v>
          </cell>
          <cell r="B46" t="str">
            <v>SINAPI</v>
          </cell>
          <cell r="C46"/>
          <cell r="D46" t="str">
            <v>Segurança de trânsito - cone de sinalização em pvc rígido com faixa refletiva, h = 70 / 76 cm</v>
          </cell>
          <cell r="E46"/>
          <cell r="F46" t="str">
            <v xml:space="preserve">UN    </v>
          </cell>
          <cell r="G46">
            <v>51.9</v>
          </cell>
          <cell r="H46" t="str">
            <v>-</v>
          </cell>
        </row>
        <row r="47">
          <cell r="A47" t="str">
            <v>SP/0050</v>
          </cell>
          <cell r="B47" t="str">
            <v>COMPOSIÇÃO</v>
          </cell>
          <cell r="C47"/>
          <cell r="D47" t="str">
            <v>Sondagem de investigação de interferências subterrâneas, incluindo escavações mecânica e manual e reaterro</v>
          </cell>
          <cell r="E47"/>
          <cell r="F47" t="str">
            <v xml:space="preserve">UN </v>
          </cell>
          <cell r="G47">
            <v>283.12</v>
          </cell>
          <cell r="H47" t="str">
            <v>-</v>
          </cell>
        </row>
        <row r="48">
          <cell r="A48" t="str">
            <v>SP/0060</v>
          </cell>
          <cell r="B48" t="str">
            <v>COMPOSIÇÃO</v>
          </cell>
          <cell r="C48"/>
          <cell r="D48" t="str">
            <v>Reparo em ramal de ligação predial de água</v>
          </cell>
          <cell r="E48"/>
          <cell r="F48" t="str">
            <v xml:space="preserve">UN </v>
          </cell>
          <cell r="G48">
            <v>245.88</v>
          </cell>
          <cell r="H48" t="str">
            <v>-</v>
          </cell>
        </row>
        <row r="49">
          <cell r="A49" t="str">
            <v>SP/0074</v>
          </cell>
          <cell r="B49" t="str">
            <v>COMPOSIÇÃO</v>
          </cell>
          <cell r="C49" t="str">
            <v>DESATIVADA</v>
          </cell>
          <cell r="D49" t="e">
            <v>#REF!</v>
          </cell>
          <cell r="E49"/>
          <cell r="F49" t="e">
            <v>#REF!</v>
          </cell>
          <cell r="G49" t="e">
            <v>#REF!</v>
          </cell>
          <cell r="H49" t="str">
            <v>VER COMP</v>
          </cell>
        </row>
        <row r="50">
          <cell r="A50" t="str">
            <v>SP/0076</v>
          </cell>
          <cell r="B50" t="str">
            <v>COMPOSIÇÃO</v>
          </cell>
          <cell r="C50" t="str">
            <v>DESATIVADA</v>
          </cell>
          <cell r="D50" t="e">
            <v>#REF!</v>
          </cell>
          <cell r="E50"/>
          <cell r="F50" t="e">
            <v>#REF!</v>
          </cell>
          <cell r="G50" t="e">
            <v>#REF!</v>
          </cell>
          <cell r="H50" t="str">
            <v>VER COMP</v>
          </cell>
        </row>
        <row r="51">
          <cell r="A51" t="str">
            <v>SP/0077</v>
          </cell>
          <cell r="B51" t="str">
            <v>COMPOSIÇÃO</v>
          </cell>
          <cell r="C51"/>
          <cell r="D51" t="str">
            <v>Limpeza e desobstrução mecanizada de tubulações com diâmetro acima de 1,00 até 1,50 m, inclusive carga. REF SICRO 4915634, db 04-2023</v>
          </cell>
          <cell r="E51"/>
          <cell r="F51" t="str">
            <v>M</v>
          </cell>
          <cell r="G51">
            <v>63.08</v>
          </cell>
          <cell r="H51" t="str">
            <v>-</v>
          </cell>
        </row>
        <row r="52">
          <cell r="A52" t="str">
            <v>SP/0078</v>
          </cell>
          <cell r="B52" t="str">
            <v>COMPOSIÇÃO</v>
          </cell>
          <cell r="C52"/>
          <cell r="D52" t="str">
            <v>Limpeza e desobstrução mecanizada de tubulações com diâmetro de até 1,00 m, inclusive carga. REF SICRO 4915633, db 04-2023</v>
          </cell>
          <cell r="E52"/>
          <cell r="F52" t="str">
            <v>M</v>
          </cell>
          <cell r="G52">
            <v>20.8</v>
          </cell>
          <cell r="H52" t="str">
            <v>-</v>
          </cell>
        </row>
        <row r="53">
          <cell r="A53" t="str">
            <v>SP/0079</v>
          </cell>
          <cell r="B53" t="str">
            <v>COMPOSIÇÃO</v>
          </cell>
          <cell r="C53"/>
          <cell r="D53" t="str">
            <v>Desobstrução manual de PV e BL. REF SICRO 4915713</v>
          </cell>
          <cell r="E53"/>
          <cell r="F53" t="str">
            <v>M³</v>
          </cell>
          <cell r="G53">
            <v>59.25</v>
          </cell>
          <cell r="H53" t="str">
            <v>-</v>
          </cell>
        </row>
        <row r="54">
          <cell r="A54" t="str">
            <v>SP/0080</v>
          </cell>
          <cell r="B54" t="str">
            <v>COMPOSIÇÃO</v>
          </cell>
          <cell r="C54"/>
          <cell r="D54" t="str">
            <v>Limpeza mecanizada de camada vegetal tipo gramínea, com miniescavadeira sobre esteira</v>
          </cell>
          <cell r="E54"/>
          <cell r="F54" t="str">
            <v>M2</v>
          </cell>
          <cell r="G54">
            <v>2.76</v>
          </cell>
          <cell r="H54" t="str">
            <v>-</v>
          </cell>
        </row>
        <row r="55">
          <cell r="A55">
            <v>99814</v>
          </cell>
          <cell r="B55" t="str">
            <v>SINAPI</v>
          </cell>
          <cell r="C55"/>
          <cell r="D55" t="str">
            <v>Limpeza de superfície com jato de alta pressão. AF_04/2019</v>
          </cell>
          <cell r="E55"/>
          <cell r="F55" t="str">
            <v>M2</v>
          </cell>
          <cell r="G55">
            <v>1.78</v>
          </cell>
          <cell r="H55" t="str">
            <v>-</v>
          </cell>
        </row>
        <row r="56">
          <cell r="A56">
            <v>98519</v>
          </cell>
          <cell r="B56" t="str">
            <v>SINAPI</v>
          </cell>
          <cell r="C56"/>
          <cell r="D56" t="str">
            <v>Revolvimento e limpeza manual de solo. AF_05/2018</v>
          </cell>
          <cell r="E56"/>
          <cell r="F56" t="str">
            <v>M2</v>
          </cell>
          <cell r="G56">
            <v>1.89</v>
          </cell>
          <cell r="H56" t="str">
            <v>-</v>
          </cell>
        </row>
        <row r="57">
          <cell r="A57">
            <v>98525</v>
          </cell>
          <cell r="B57" t="str">
            <v>SINAPI</v>
          </cell>
          <cell r="C57">
            <v>333.33</v>
          </cell>
          <cell r="D57" t="str">
            <v>Limpeza mecanizada de camada vegetal, vegetação e pequenas árvores (diâmetro nominal de tronco menor que 0,20 m), com trator de esteiras. AF_05/2018</v>
          </cell>
          <cell r="E57"/>
          <cell r="F57" t="str">
            <v>M2</v>
          </cell>
          <cell r="G57">
            <v>0.37</v>
          </cell>
          <cell r="H57" t="str">
            <v>-</v>
          </cell>
        </row>
        <row r="58">
          <cell r="A58">
            <v>98524</v>
          </cell>
          <cell r="B58" t="str">
            <v>SINAPI</v>
          </cell>
          <cell r="C58" t="str">
            <v>73859/2</v>
          </cell>
          <cell r="D58" t="str">
            <v>Limpeza manual de vegetação em terreno com enxada. AF_05/2018</v>
          </cell>
          <cell r="E58"/>
          <cell r="F58" t="str">
            <v>M2</v>
          </cell>
          <cell r="G58">
            <v>2.94</v>
          </cell>
          <cell r="H58" t="str">
            <v>-</v>
          </cell>
        </row>
        <row r="59">
          <cell r="A59">
            <v>93210</v>
          </cell>
          <cell r="B59" t="str">
            <v>SINAPI</v>
          </cell>
          <cell r="C59"/>
          <cell r="D59" t="str">
            <v>Execução de refeitório em canteiro de obra em chapa de madeira compensada, não incluso mobiliário e equipamentos. af_02/2016</v>
          </cell>
          <cell r="E59"/>
          <cell r="F59" t="str">
            <v>M2</v>
          </cell>
          <cell r="G59">
            <v>620.87</v>
          </cell>
          <cell r="H59" t="str">
            <v>-</v>
          </cell>
        </row>
        <row r="60">
          <cell r="A60">
            <v>93582</v>
          </cell>
          <cell r="B60" t="str">
            <v>SINAPI</v>
          </cell>
          <cell r="C60"/>
          <cell r="D60" t="str">
            <v>Execução de central de armadura em canteiro de obra, não incluso mobiliário e equipamentos. af_04/2016</v>
          </cell>
          <cell r="E60"/>
          <cell r="F60" t="str">
            <v>M2</v>
          </cell>
          <cell r="G60">
            <v>287.06</v>
          </cell>
          <cell r="H60" t="str">
            <v>-</v>
          </cell>
        </row>
        <row r="61">
          <cell r="A61">
            <v>93583</v>
          </cell>
          <cell r="B61" t="str">
            <v>SINAPI</v>
          </cell>
          <cell r="C61"/>
          <cell r="D61" t="str">
            <v>Execução de central de fôrmas, produção de argamassa ou concreto em canteiro de obra, não incluso mobiliário e equipamentos. af_04/2016</v>
          </cell>
          <cell r="E61"/>
          <cell r="F61" t="str">
            <v>M2</v>
          </cell>
          <cell r="G61">
            <v>466.08</v>
          </cell>
          <cell r="H61" t="str">
            <v>-</v>
          </cell>
        </row>
        <row r="62">
          <cell r="A62" t="str">
            <v>SP/0100</v>
          </cell>
          <cell r="B62" t="str">
            <v>COMPOSIÇÃO</v>
          </cell>
          <cell r="C62"/>
          <cell r="D62" t="str">
            <v>Barreira de sinalização tipo I de direcionamento ou bloqueio - utilização de 10 vezes. Ref SICRO CÓD  5213385, DB 07-2021</v>
          </cell>
          <cell r="E62"/>
          <cell r="F62" t="str">
            <v>UN</v>
          </cell>
          <cell r="G62">
            <v>281.56</v>
          </cell>
          <cell r="H62" t="str">
            <v>-</v>
          </cell>
        </row>
        <row r="63">
          <cell r="A63" t="str">
            <v>SP/0105</v>
          </cell>
          <cell r="B63" t="str">
            <v>COMPOSIÇÃO</v>
          </cell>
          <cell r="C63"/>
          <cell r="D63" t="str">
            <v>Operação de sinalização por bandeirola de tecido ou com placa metálica. Ref SICRO CÓD  5213850, DB 07-2021</v>
          </cell>
          <cell r="E63"/>
          <cell r="F63" t="str">
            <v>H</v>
          </cell>
          <cell r="G63">
            <v>19.75</v>
          </cell>
          <cell r="H63" t="str">
            <v>-</v>
          </cell>
        </row>
        <row r="64">
          <cell r="A64" t="str">
            <v>SP/0110</v>
          </cell>
          <cell r="B64" t="str">
            <v>COMPOSIÇÃO</v>
          </cell>
          <cell r="C64"/>
          <cell r="D64" t="str">
            <v>Confecção de cavalete em perfil metálico para placa de sinalização - 1,00 m x 1,00 m. Ref SICRO CÓD  5219544, DB 07-2021</v>
          </cell>
          <cell r="E64"/>
          <cell r="F64" t="str">
            <v>UN</v>
          </cell>
          <cell r="G64">
            <v>240.5</v>
          </cell>
          <cell r="H64" t="str">
            <v>-</v>
          </cell>
        </row>
        <row r="65">
          <cell r="A65" t="str">
            <v>SP/0115</v>
          </cell>
          <cell r="B65" t="str">
            <v>COMPOSIÇÃO</v>
          </cell>
          <cell r="C65"/>
          <cell r="D65" t="str">
            <v>Corte de perfil metálico com máquina policorte com espessura de até 1/8". Ref SICRO CÓD  1419543, DB 07-2021</v>
          </cell>
          <cell r="E65"/>
          <cell r="F65" t="str">
            <v>UN</v>
          </cell>
          <cell r="G65">
            <v>0.3</v>
          </cell>
          <cell r="H65" t="str">
            <v>-</v>
          </cell>
        </row>
        <row r="66">
          <cell r="A66" t="str">
            <v>SP/0120</v>
          </cell>
          <cell r="B66" t="str">
            <v>COMPOSIÇÃO</v>
          </cell>
          <cell r="C66"/>
          <cell r="D66" t="str">
            <v>Solda elétrica de perfis metálicos e chapas de aço com eletrodo E60XX. Ref SICRO CÓD  2408057, DB 07-2021</v>
          </cell>
          <cell r="E66"/>
          <cell r="F66" t="str">
            <v>KG</v>
          </cell>
          <cell r="G66">
            <v>141.16999999999999</v>
          </cell>
          <cell r="H66" t="str">
            <v>-</v>
          </cell>
        </row>
        <row r="67">
          <cell r="A67" t="str">
            <v>SP/0125</v>
          </cell>
          <cell r="B67" t="str">
            <v>COMPOSIÇÃO</v>
          </cell>
          <cell r="C67"/>
          <cell r="D67" t="str">
            <v>Fornecimento e implantação de placa em aço - película I + I. Ref SICRO CÓD  5213570, DB 07-2021</v>
          </cell>
          <cell r="E67"/>
          <cell r="F67" t="str">
            <v>m2</v>
          </cell>
          <cell r="G67">
            <v>633.66</v>
          </cell>
          <cell r="H67" t="str">
            <v>-</v>
          </cell>
        </row>
        <row r="68">
          <cell r="A68" t="str">
            <v>SP/0130</v>
          </cell>
          <cell r="B68" t="str">
            <v>COMPOSIÇÃO</v>
          </cell>
          <cell r="C68"/>
          <cell r="D68" t="str">
            <v>Fornecimento e implantação de suporte e travessa para placa de sinalização em madeira de lei tratada 8 x 8 cm. Ref SICRO CÓD  5216111, DB 07-2021</v>
          </cell>
          <cell r="E68"/>
          <cell r="F68" t="str">
            <v>UN</v>
          </cell>
          <cell r="G68">
            <v>165.3</v>
          </cell>
          <cell r="H68" t="str">
            <v>-</v>
          </cell>
        </row>
        <row r="69">
          <cell r="A69" t="str">
            <v>SP/0140</v>
          </cell>
          <cell r="B69" t="str">
            <v>COMPOSIÇÃO</v>
          </cell>
          <cell r="C69"/>
          <cell r="D69" t="str">
            <v>Limpeza em superficie de concreto com jateamento d'água sob pressão. Ref SICRO CÓD  3806402, DB 01-2021</v>
          </cell>
          <cell r="E69"/>
          <cell r="F69" t="str">
            <v>M2</v>
          </cell>
          <cell r="G69">
            <v>3.31</v>
          </cell>
          <cell r="H69" t="str">
            <v>-</v>
          </cell>
        </row>
        <row r="70">
          <cell r="A70" t="str">
            <v>SP/0150</v>
          </cell>
          <cell r="B70" t="str">
            <v>COMPOSIÇÃO</v>
          </cell>
          <cell r="C70"/>
          <cell r="D70" t="str">
            <v>Montagem e desmontagem da usina de asfalto a quente com capacidade de 120 t/h - inclusive construção e demolição de bases, rampas, depósitos de agregados e dique de contenção. Ref SICRO CÓD  0919013, DB 01-2023</v>
          </cell>
          <cell r="E70"/>
          <cell r="F70" t="str">
            <v>UN</v>
          </cell>
          <cell r="G70">
            <v>152107.39000000001</v>
          </cell>
          <cell r="H70" t="str">
            <v>-</v>
          </cell>
        </row>
        <row r="71">
          <cell r="A71" t="str">
            <v>SP/0160</v>
          </cell>
          <cell r="B71" t="str">
            <v>COMPOSIÇÃO</v>
          </cell>
          <cell r="C71"/>
          <cell r="D71" t="str">
            <v>Chumbador de expansão controlada por torque para concreto D = 16 mm - fornecimento e instalação. Ref SICRO CÓD  3807864, DB 01-2023</v>
          </cell>
          <cell r="E71"/>
          <cell r="F71" t="str">
            <v>UN</v>
          </cell>
          <cell r="G71">
            <v>21</v>
          </cell>
          <cell r="H71" t="str">
            <v>-</v>
          </cell>
        </row>
        <row r="72">
          <cell r="A72" t="str">
            <v>SP/0170</v>
          </cell>
          <cell r="B72" t="str">
            <v>COMPOSIÇÃO</v>
          </cell>
          <cell r="C72"/>
          <cell r="D72" t="str">
            <v>Demolição mecânica de concreto armado, com escavadeira hidráulica com martelo hidráulico - sem reaproveitamento, inclusive carga. Ref SICRO CÓD  1619003, DB 01-2023</v>
          </cell>
          <cell r="E72"/>
          <cell r="F72" t="str">
            <v>M³</v>
          </cell>
          <cell r="G72">
            <v>87.56</v>
          </cell>
          <cell r="H72" t="str">
            <v>-</v>
          </cell>
        </row>
        <row r="73">
          <cell r="A73" t="str">
            <v>SP/0180</v>
          </cell>
          <cell r="B73" t="str">
            <v>COMPOSIÇÃO</v>
          </cell>
          <cell r="C73"/>
          <cell r="D73" t="str">
            <v>Dique de contenção para usina de asfalto a quente - inclusive demolição. Ref SICRO CÓD  0919079, DB 01-2023</v>
          </cell>
          <cell r="E73"/>
          <cell r="F73" t="str">
            <v>M²</v>
          </cell>
          <cell r="G73">
            <v>150.31</v>
          </cell>
          <cell r="H73" t="str">
            <v>-</v>
          </cell>
        </row>
        <row r="74">
          <cell r="A74" t="str">
            <v>SP/0190</v>
          </cell>
          <cell r="B74" t="str">
            <v>COMPOSIÇÃO</v>
          </cell>
          <cell r="C74"/>
          <cell r="D74" t="str">
            <v>Muro em alvenaria de blocos de concreto com espessura de 0,20 m h = 1,0 m. Ref SICRO CÓD 0903848, DB 01-2023</v>
          </cell>
          <cell r="E74"/>
          <cell r="F74" t="str">
            <v>M</v>
          </cell>
          <cell r="G74">
            <v>181.83</v>
          </cell>
          <cell r="H74" t="str">
            <v>-</v>
          </cell>
        </row>
        <row r="75">
          <cell r="A75" t="str">
            <v>SP/0200</v>
          </cell>
          <cell r="B75" t="str">
            <v>COMPOSIÇÃO</v>
          </cell>
          <cell r="C75"/>
          <cell r="D75" t="str">
            <v>Rampa para acesso do misturador de agregados para usina de asfalto a quente - inclusive demolição. Ref SICRO CÓD 0909617, DB 01-2023</v>
          </cell>
          <cell r="E75"/>
          <cell r="F75" t="str">
            <v>UN</v>
          </cell>
          <cell r="G75">
            <v>24365.17</v>
          </cell>
          <cell r="H75" t="str">
            <v>-</v>
          </cell>
        </row>
        <row r="76">
          <cell r="A76" t="str">
            <v>SP/0210</v>
          </cell>
          <cell r="B76" t="str">
            <v>COMPOSIÇÃO</v>
          </cell>
          <cell r="C76"/>
          <cell r="D76" t="str">
            <v>Compactação manual com soquete vibratório. Ref SICRO CÓD 4805754, DB 01-2023</v>
          </cell>
          <cell r="E76"/>
          <cell r="F76" t="str">
            <v>M³</v>
          </cell>
          <cell r="G76">
            <v>5.74</v>
          </cell>
          <cell r="H76" t="str">
            <v>-</v>
          </cell>
        </row>
        <row r="77">
          <cell r="A77"/>
          <cell r="B77"/>
          <cell r="C77"/>
          <cell r="D77"/>
          <cell r="E77"/>
          <cell r="F77"/>
          <cell r="G77"/>
          <cell r="H77"/>
        </row>
        <row r="78">
          <cell r="A78"/>
          <cell r="B78"/>
          <cell r="C78" t="str">
            <v>2.0</v>
          </cell>
          <cell r="D78" t="str">
            <v>REMOÇÕES, DEMOLIÇÕES E SUPRESSÕES</v>
          </cell>
          <cell r="E78"/>
          <cell r="F78"/>
          <cell r="G78"/>
          <cell r="H78" t="str">
            <v/>
          </cell>
        </row>
        <row r="79">
          <cell r="A79">
            <v>98526</v>
          </cell>
          <cell r="B79" t="str">
            <v>SINAPI</v>
          </cell>
          <cell r="C79"/>
          <cell r="D79" t="str">
            <v>Remoção de raízes remanescentes de tronco de árvore com diâmetro maior ou igual a 0,20 m e menor que 0,40 m. AF_05/2018</v>
          </cell>
          <cell r="E79"/>
          <cell r="F79" t="str">
            <v>UN</v>
          </cell>
          <cell r="G79">
            <v>81.430000000000007</v>
          </cell>
          <cell r="H79" t="str">
            <v>-</v>
          </cell>
        </row>
        <row r="80">
          <cell r="A80">
            <v>98527</v>
          </cell>
          <cell r="B80" t="str">
            <v>SINAPI</v>
          </cell>
          <cell r="C80"/>
          <cell r="D80" t="str">
            <v>Remoção de raízes remanescentes de tronco de árvore com diâmetro maior ou igual a 0,40 m e menor que 0,60 m. AF_05/2018</v>
          </cell>
          <cell r="E80"/>
          <cell r="F80" t="str">
            <v>UN</v>
          </cell>
          <cell r="G80">
            <v>175.3</v>
          </cell>
          <cell r="H80" t="str">
            <v>-</v>
          </cell>
        </row>
        <row r="81">
          <cell r="A81">
            <v>98528</v>
          </cell>
          <cell r="B81" t="str">
            <v>SINAPI</v>
          </cell>
          <cell r="C81"/>
          <cell r="D81" t="str">
            <v>Remoção de raízes remanescentes de tronco de árvore com diâmetro maior ou igual a 0,60 m. AF_05/2018</v>
          </cell>
          <cell r="E81"/>
          <cell r="F81" t="str">
            <v>UN</v>
          </cell>
          <cell r="G81">
            <v>256.33999999999997</v>
          </cell>
          <cell r="H81" t="str">
            <v>-</v>
          </cell>
        </row>
        <row r="82">
          <cell r="A82">
            <v>98529</v>
          </cell>
          <cell r="B82" t="str">
            <v>SINAPI</v>
          </cell>
          <cell r="C82"/>
          <cell r="D82" t="str">
            <v>Corte raso e recorte de árvore com diâmetro nominal de tronco maior ou igual a 0,20 m e menor que 0,40 m. AF_05/2018</v>
          </cell>
          <cell r="E82"/>
          <cell r="F82" t="str">
            <v>UN</v>
          </cell>
          <cell r="G82">
            <v>63.53</v>
          </cell>
          <cell r="H82" t="str">
            <v>-</v>
          </cell>
        </row>
        <row r="83">
          <cell r="A83">
            <v>98530</v>
          </cell>
          <cell r="B83" t="str">
            <v>SINAPI</v>
          </cell>
          <cell r="C83"/>
          <cell r="D83" t="str">
            <v>Corte raso e recorte de árvore com diâmetro nominal de tronco maior ou igual a 0,40 m e menor que 0,60 m. AF_05/2018</v>
          </cell>
          <cell r="E83"/>
          <cell r="F83" t="str">
            <v>UN</v>
          </cell>
          <cell r="G83">
            <v>113.17</v>
          </cell>
          <cell r="H83" t="str">
            <v>-</v>
          </cell>
        </row>
        <row r="84">
          <cell r="A84">
            <v>98531</v>
          </cell>
          <cell r="B84" t="str">
            <v>SINAPI</v>
          </cell>
          <cell r="C84"/>
          <cell r="D84" t="str">
            <v>Corte raso e recorte de árvore com diâmetro nominal de tronco maior ou igual a 0,60 m. AF_05/2018</v>
          </cell>
          <cell r="E84"/>
          <cell r="F84" t="str">
            <v>UN</v>
          </cell>
          <cell r="G84">
            <v>270.52999999999997</v>
          </cell>
          <cell r="H84" t="str">
            <v>-</v>
          </cell>
        </row>
        <row r="85">
          <cell r="A85">
            <v>98532</v>
          </cell>
          <cell r="B85" t="str">
            <v>SINAPI</v>
          </cell>
          <cell r="C85"/>
          <cell r="D85" t="str">
            <v>Poda em altura de árvore com diâmetro nominal de tronco menor que 0,20 m. AF_05/2018</v>
          </cell>
          <cell r="E85"/>
          <cell r="F85" t="str">
            <v>UN</v>
          </cell>
          <cell r="G85">
            <v>114.22</v>
          </cell>
          <cell r="H85" t="str">
            <v>-</v>
          </cell>
        </row>
        <row r="86">
          <cell r="A86">
            <v>98533</v>
          </cell>
          <cell r="B86" t="str">
            <v>SINAPI</v>
          </cell>
          <cell r="C86"/>
          <cell r="D86" t="str">
            <v>Poda em altura de árvore com diâmetro nominal de tronco maior ou igual a 0,20 m e menor que 0,40 m. AF_05/2018</v>
          </cell>
          <cell r="E86"/>
          <cell r="F86" t="str">
            <v>UN</v>
          </cell>
          <cell r="G86">
            <v>312.16000000000003</v>
          </cell>
          <cell r="H86" t="str">
            <v>-</v>
          </cell>
        </row>
        <row r="87">
          <cell r="A87">
            <v>98534</v>
          </cell>
          <cell r="B87" t="str">
            <v>SINAPI</v>
          </cell>
          <cell r="C87"/>
          <cell r="D87" t="str">
            <v>Poda em altura de árvore com diâmetro nominal de tronco maior ou igual a 0,40 m e menor que 0,60 m. AF_05/2018</v>
          </cell>
          <cell r="E87"/>
          <cell r="F87" t="str">
            <v>UN</v>
          </cell>
          <cell r="G87">
            <v>800.51</v>
          </cell>
          <cell r="H87" t="str">
            <v>-</v>
          </cell>
        </row>
        <row r="88">
          <cell r="A88">
            <v>98535</v>
          </cell>
          <cell r="B88" t="str">
            <v>SINAPI</v>
          </cell>
          <cell r="C88"/>
          <cell r="D88" t="str">
            <v>Poda em altura de árvore com diâmetro nominal de tronco maior ou igual a 0,60 m. AF_05/2018</v>
          </cell>
          <cell r="E88"/>
          <cell r="F88" t="str">
            <v>UN</v>
          </cell>
          <cell r="G88">
            <v>1265.69</v>
          </cell>
          <cell r="H88" t="str">
            <v>-</v>
          </cell>
        </row>
        <row r="89">
          <cell r="A89" t="str">
            <v>SR/0010</v>
          </cell>
          <cell r="B89" t="str">
            <v>COMPOSIÇÃO</v>
          </cell>
          <cell r="C89">
            <v>0.08</v>
          </cell>
          <cell r="D89" t="str">
            <v>Demolição de concreto simples, de forma manual, sem reaproveitamento (REF. SICRO COD. 1600436)</v>
          </cell>
          <cell r="E89"/>
          <cell r="F89" t="str">
            <v>M3</v>
          </cell>
          <cell r="G89">
            <v>277.85000000000002</v>
          </cell>
          <cell r="H89" t="str">
            <v>-</v>
          </cell>
        </row>
        <row r="90">
          <cell r="A90" t="str">
            <v>SR/0020</v>
          </cell>
          <cell r="B90" t="str">
            <v>COMPOSIÇÃO</v>
          </cell>
          <cell r="C90">
            <v>0.6</v>
          </cell>
          <cell r="D90" t="str">
            <v>Demolição de concreto simples, de forma mecanizada, sem reaproveitamento (REF. SICRO COD. 1600989, db 01-2023)</v>
          </cell>
          <cell r="E90"/>
          <cell r="F90" t="str">
            <v>M3</v>
          </cell>
          <cell r="G90">
            <v>251.87</v>
          </cell>
          <cell r="H90" t="str">
            <v>-</v>
          </cell>
        </row>
        <row r="91">
          <cell r="A91" t="str">
            <v>SR/0030</v>
          </cell>
          <cell r="B91" t="str">
            <v>COMPOSIÇÃO</v>
          </cell>
          <cell r="C91">
            <v>0.05</v>
          </cell>
          <cell r="D91" t="str">
            <v>Demolição de concreto armado, de forma manual, sem reaproveitamento (REF. SICRO COD. 1600438)</v>
          </cell>
          <cell r="E91"/>
          <cell r="F91" t="str">
            <v>M3</v>
          </cell>
          <cell r="G91">
            <v>444.56</v>
          </cell>
          <cell r="H91" t="str">
            <v>-</v>
          </cell>
        </row>
        <row r="92">
          <cell r="A92" t="str">
            <v>SR/0040</v>
          </cell>
          <cell r="B92" t="str">
            <v>COMPOSIÇÃO</v>
          </cell>
          <cell r="C92">
            <v>4.7699999999999996</v>
          </cell>
          <cell r="D92" t="str">
            <v>Demolição de concreto armado, de forma mecanizada, sem reaproveitamento (REF. SICRO COD. 1619003)</v>
          </cell>
          <cell r="E92"/>
          <cell r="F92" t="str">
            <v>M3</v>
          </cell>
          <cell r="G92">
            <v>160.36000000000001</v>
          </cell>
          <cell r="H92" t="str">
            <v>-</v>
          </cell>
        </row>
        <row r="93">
          <cell r="A93">
            <v>97624</v>
          </cell>
          <cell r="B93" t="str">
            <v>SINAPI</v>
          </cell>
          <cell r="C93">
            <v>2.36</v>
          </cell>
          <cell r="D93" t="str">
            <v>Demolição de alvenaria de tijolo maciço, de forma manual, sem reaproveitamento. AF_12/2017</v>
          </cell>
          <cell r="E93"/>
          <cell r="F93" t="str">
            <v>M3</v>
          </cell>
          <cell r="G93">
            <v>96.79</v>
          </cell>
          <cell r="H93" t="str">
            <v>-</v>
          </cell>
        </row>
        <row r="94">
          <cell r="A94">
            <v>97622</v>
          </cell>
          <cell r="B94" t="str">
            <v>SINAPI</v>
          </cell>
          <cell r="C94">
            <v>4.4400000000000004</v>
          </cell>
          <cell r="D94" t="str">
            <v>Demolição de alvenaria de bloco furado, de forma manual, sem reaproveitamento. AF_12/2017</v>
          </cell>
          <cell r="E94"/>
          <cell r="F94" t="str">
            <v>M3</v>
          </cell>
          <cell r="G94">
            <v>51.48</v>
          </cell>
          <cell r="H94" t="str">
            <v>-</v>
          </cell>
        </row>
        <row r="95">
          <cell r="A95">
            <v>97625</v>
          </cell>
          <cell r="B95" t="str">
            <v>SINAPI</v>
          </cell>
          <cell r="C95"/>
          <cell r="D95" t="str">
            <v>Demolição de alvenaria para qualquer tipo de bloco, de forma mecanizada, sem reaproveitamento. AF_12/2017</v>
          </cell>
          <cell r="E95"/>
          <cell r="F95" t="str">
            <v>M3</v>
          </cell>
          <cell r="G95">
            <v>53.38</v>
          </cell>
          <cell r="H95" t="str">
            <v>-</v>
          </cell>
        </row>
        <row r="96">
          <cell r="A96">
            <v>97633</v>
          </cell>
          <cell r="B96" t="str">
            <v>SINAPI</v>
          </cell>
          <cell r="C96"/>
          <cell r="D96" t="str">
            <v>Demolição de revestimento cerâmico, de forma manual, sem reaproveitamento. AF_12/2017</v>
          </cell>
          <cell r="E96"/>
          <cell r="F96" t="str">
            <v>M2</v>
          </cell>
          <cell r="G96">
            <v>20.5</v>
          </cell>
          <cell r="H96" t="str">
            <v>-</v>
          </cell>
        </row>
        <row r="97">
          <cell r="A97">
            <v>97639</v>
          </cell>
          <cell r="B97" t="str">
            <v>SINAPI</v>
          </cell>
          <cell r="C97"/>
          <cell r="D97" t="str">
            <v>Demolição de revestimento cerâmico, de forma manual, remoção de placas e pilaretes de concreto, de forma manual, sem reaproveitamento. AF_12/2017</v>
          </cell>
          <cell r="E97"/>
          <cell r="F97" t="str">
            <v>M2</v>
          </cell>
          <cell r="G97">
            <v>18.07</v>
          </cell>
          <cell r="H97" t="str">
            <v>-</v>
          </cell>
        </row>
        <row r="98">
          <cell r="A98" t="str">
            <v>SR/0050</v>
          </cell>
          <cell r="B98" t="str">
            <v>COMPOSIÇÃO</v>
          </cell>
          <cell r="C98">
            <v>7.15</v>
          </cell>
          <cell r="D98" t="str">
            <v>Demolição de piso em ladrilho, de forma mecanizada, sem reaproveitamento (REF. SINAPI COD. 97634)</v>
          </cell>
          <cell r="E98"/>
          <cell r="F98" t="str">
            <v>M2</v>
          </cell>
          <cell r="G98">
            <v>12.23</v>
          </cell>
          <cell r="H98" t="str">
            <v>-</v>
          </cell>
        </row>
        <row r="99">
          <cell r="A99" t="str">
            <v>SR/0060</v>
          </cell>
          <cell r="B99" t="str">
            <v>COMPOSIÇÃO</v>
          </cell>
          <cell r="C99">
            <v>21.78</v>
          </cell>
          <cell r="D99" t="str">
            <v>Remoção de piso em bloco de concreto, de forma mecanizada, sem reaproveitamento</v>
          </cell>
          <cell r="E99"/>
          <cell r="F99" t="str">
            <v>M2</v>
          </cell>
          <cell r="G99">
            <v>12.93</v>
          </cell>
          <cell r="H99" t="str">
            <v>-</v>
          </cell>
        </row>
        <row r="100">
          <cell r="A100" t="str">
            <v>SR/0061</v>
          </cell>
          <cell r="B100" t="str">
            <v>COMPOSIÇÃO</v>
          </cell>
          <cell r="C100">
            <v>21.78</v>
          </cell>
          <cell r="D100" t="str">
            <v>Remoção de paralelepípedos, inclusive carga (Ref SICRO 1600441, DB 01-2023)</v>
          </cell>
          <cell r="E100"/>
          <cell r="F100" t="str">
            <v>M2</v>
          </cell>
          <cell r="G100">
            <v>4.45</v>
          </cell>
          <cell r="H100" t="str">
            <v>-</v>
          </cell>
        </row>
        <row r="101">
          <cell r="A101" t="str">
            <v>SR/0070</v>
          </cell>
          <cell r="B101" t="str">
            <v>COMPOSIÇÃO</v>
          </cell>
          <cell r="C101">
            <v>2.5</v>
          </cell>
          <cell r="D101" t="str">
            <v>Demolição de alvenaria de pedra, de forma manual, com reaproveitamento</v>
          </cell>
          <cell r="E101"/>
          <cell r="F101" t="str">
            <v>M3</v>
          </cell>
          <cell r="G101">
            <v>88.91</v>
          </cell>
          <cell r="H101" t="str">
            <v>-</v>
          </cell>
        </row>
        <row r="102">
          <cell r="A102" t="str">
            <v>SR/0080</v>
          </cell>
          <cell r="B102" t="str">
            <v>COMPOSIÇÃO</v>
          </cell>
          <cell r="C102"/>
          <cell r="D102" t="str">
            <v>Demolição de boca de lobo, incluindo carga e bota-fora do entulho e reaterro da cava</v>
          </cell>
          <cell r="E102"/>
          <cell r="F102" t="str">
            <v xml:space="preserve">UN </v>
          </cell>
          <cell r="G102">
            <v>466.51</v>
          </cell>
          <cell r="H102" t="str">
            <v>-</v>
          </cell>
        </row>
        <row r="103">
          <cell r="A103" t="str">
            <v>SR/0090</v>
          </cell>
          <cell r="B103" t="str">
            <v>COMPOSIÇÃO</v>
          </cell>
          <cell r="C103"/>
          <cell r="D103" t="str">
            <v>Demolição de poço de visita, inclusive carga e bota-fora do entulho</v>
          </cell>
          <cell r="E103"/>
          <cell r="F103" t="str">
            <v xml:space="preserve">UN </v>
          </cell>
          <cell r="G103">
            <v>989.87</v>
          </cell>
          <cell r="H103" t="str">
            <v>-</v>
          </cell>
        </row>
        <row r="104">
          <cell r="A104" t="str">
            <v>SR/0100</v>
          </cell>
          <cell r="B104" t="str">
            <v>COMPOSIÇÃO</v>
          </cell>
          <cell r="C104">
            <v>12</v>
          </cell>
          <cell r="D104" t="str">
            <v>Recorte mecânico de pavimento asfáltico ou piso de concreto, com serra de disco diamantado para piso/asfalto. REF SICRO 4011537, DB 04-2023</v>
          </cell>
          <cell r="E104"/>
          <cell r="F104" t="str">
            <v>M</v>
          </cell>
          <cell r="G104">
            <v>3.6</v>
          </cell>
          <cell r="H104" t="str">
            <v>-</v>
          </cell>
        </row>
        <row r="105">
          <cell r="A105" t="str">
            <v>SR/0110</v>
          </cell>
          <cell r="B105" t="str">
            <v>COMPOSIÇÃO</v>
          </cell>
          <cell r="C105"/>
          <cell r="D105" t="str">
            <v>Remoção de cerca com mourões de madeira, espaçamento de 2,5 m, altura livre de 2 m, cravados de 0,5 m, sem reaproveitamento. (REF SINAPI CÓD 101200, DB 10-2022)</v>
          </cell>
          <cell r="E105"/>
          <cell r="F105" t="str">
            <v>M</v>
          </cell>
          <cell r="G105">
            <v>22.33</v>
          </cell>
          <cell r="H105" t="str">
            <v>-</v>
          </cell>
        </row>
        <row r="106">
          <cell r="A106" t="str">
            <v>SR/0120</v>
          </cell>
          <cell r="B106" t="str">
            <v>COMPOSIÇÃO</v>
          </cell>
          <cell r="C106"/>
          <cell r="D106" t="str">
            <v>Remoção de alambrado com tela de arame galvanizado (inclusive mureta em concreto). (REF SINAPI CÓD 98522, DB 11-2022)</v>
          </cell>
          <cell r="E106"/>
          <cell r="F106" t="str">
            <v>M</v>
          </cell>
          <cell r="G106">
            <v>50</v>
          </cell>
          <cell r="H106" t="str">
            <v>-</v>
          </cell>
        </row>
        <row r="107">
          <cell r="A107">
            <v>97635</v>
          </cell>
          <cell r="B107" t="str">
            <v>SINAPI</v>
          </cell>
          <cell r="C107"/>
          <cell r="D107" t="str">
            <v>Demolição de pavimento intertravado, de forma manual, com reaproveitamento. AF_12/2017</v>
          </cell>
          <cell r="E107"/>
          <cell r="F107" t="str">
            <v>M2</v>
          </cell>
          <cell r="G107">
            <v>13.57</v>
          </cell>
          <cell r="H107" t="str">
            <v>-</v>
          </cell>
        </row>
        <row r="108">
          <cell r="A108">
            <v>97636</v>
          </cell>
          <cell r="B108" t="str">
            <v>SINAPI</v>
          </cell>
          <cell r="C108">
            <v>8.18</v>
          </cell>
          <cell r="D108" t="str">
            <v>Demolição parcial de pavimento asfáltico, de forma mecanizada, sem reaproveitamento. AF_12/2017</v>
          </cell>
          <cell r="E108"/>
          <cell r="F108" t="str">
            <v>M2</v>
          </cell>
          <cell r="G108">
            <v>19.100000000000001</v>
          </cell>
          <cell r="H108" t="str">
            <v>-</v>
          </cell>
        </row>
        <row r="109">
          <cell r="A109"/>
          <cell r="B109"/>
          <cell r="C109"/>
          <cell r="D109"/>
          <cell r="E109"/>
          <cell r="F109"/>
          <cell r="G109"/>
          <cell r="H109"/>
        </row>
        <row r="110">
          <cell r="A110"/>
          <cell r="B110"/>
          <cell r="C110" t="str">
            <v>3.0</v>
          </cell>
          <cell r="D110" t="str">
            <v>CARGAS, TEMPO FIXO E TRANSPORTES</v>
          </cell>
          <cell r="E110"/>
          <cell r="F110"/>
          <cell r="G110"/>
          <cell r="H110" t="str">
            <v/>
          </cell>
        </row>
        <row r="111">
          <cell r="A111">
            <v>101007</v>
          </cell>
          <cell r="B111" t="str">
            <v>SINAPI</v>
          </cell>
          <cell r="C111"/>
          <cell r="D111" t="str">
            <v>Carga de água em caminhão pipa 6 m³. AF_07/2020</v>
          </cell>
          <cell r="E111"/>
          <cell r="F111" t="str">
            <v>M3</v>
          </cell>
          <cell r="G111">
            <v>5.0999999999999996</v>
          </cell>
          <cell r="H111" t="str">
            <v>-</v>
          </cell>
        </row>
        <row r="112">
          <cell r="A112">
            <v>101008</v>
          </cell>
          <cell r="B112" t="str">
            <v>SINAPI</v>
          </cell>
          <cell r="C112"/>
          <cell r="D112" t="str">
            <v>Carga de água em caminhão pipa 10 m³. AF_07/2020</v>
          </cell>
          <cell r="E112"/>
          <cell r="F112" t="str">
            <v>M3</v>
          </cell>
          <cell r="G112">
            <v>5.21</v>
          </cell>
          <cell r="H112" t="str">
            <v>-</v>
          </cell>
        </row>
        <row r="113">
          <cell r="A113">
            <v>101005</v>
          </cell>
          <cell r="B113" t="str">
            <v>SINAPI</v>
          </cell>
          <cell r="C113"/>
          <cell r="D113" t="str">
            <v>Carga, manobra e descarga de água em caminhão pipa 6 m³. AF_07/2020</v>
          </cell>
          <cell r="E113"/>
          <cell r="F113" t="str">
            <v>M3</v>
          </cell>
          <cell r="G113">
            <v>17.600000000000001</v>
          </cell>
          <cell r="H113" t="str">
            <v>-</v>
          </cell>
        </row>
        <row r="114">
          <cell r="A114">
            <v>101006</v>
          </cell>
          <cell r="B114" t="str">
            <v>SINAPI</v>
          </cell>
          <cell r="C114"/>
          <cell r="D114" t="str">
            <v>Carga, manobra e descarga de água em caminhão pipa 10 m³. AF_07/2020</v>
          </cell>
          <cell r="E114"/>
          <cell r="F114" t="str">
            <v>M3</v>
          </cell>
          <cell r="G114">
            <v>19.72</v>
          </cell>
          <cell r="H114" t="str">
            <v>-</v>
          </cell>
        </row>
        <row r="115">
          <cell r="A115">
            <v>100973</v>
          </cell>
          <cell r="B115" t="str">
            <v>SINAPI</v>
          </cell>
          <cell r="C115" t="str">
            <v>72888
74010/1
ST/0005</v>
          </cell>
          <cell r="D115" t="str">
            <v>Carga, manobra e descarga de solos e materiais granulares em caminhão basculante 6 m3 - carga com pá carregadeira (capacidade da caçamba: 1,70 a 2,80 m3 / potência: 128 HP) e descarga livre (unidade: m3). AF_07/2020</v>
          </cell>
          <cell r="E115" t="str">
            <v>MATERIAL GRANULAR
PÁ CARREGADEIRA</v>
          </cell>
          <cell r="F115" t="str">
            <v>M3</v>
          </cell>
          <cell r="G115">
            <v>8.5500000000000007</v>
          </cell>
          <cell r="H115" t="str">
            <v>-</v>
          </cell>
        </row>
        <row r="116">
          <cell r="A116">
            <v>100974</v>
          </cell>
          <cell r="B116" t="str">
            <v>SINAPI</v>
          </cell>
          <cell r="C116" t="str">
            <v>ST/0010</v>
          </cell>
          <cell r="D116" t="str">
            <v>Carga, manobra e descarga de solos e materiais granulares em caminhão basculante 10 m3 - carga com pá carregadeira (capacidade da caçamba: 1,70 a 2,80 m3 / potência: 128 HP) e descarga livre (unidade: m3). AF_07/2020</v>
          </cell>
          <cell r="E116"/>
          <cell r="F116" t="str">
            <v>M3</v>
          </cell>
          <cell r="G116">
            <v>8.25</v>
          </cell>
          <cell r="H116" t="str">
            <v>-</v>
          </cell>
        </row>
        <row r="117">
          <cell r="A117">
            <v>100975</v>
          </cell>
          <cell r="B117" t="str">
            <v>SINAPI</v>
          </cell>
          <cell r="C117" t="str">
            <v>ST/0015</v>
          </cell>
          <cell r="D117" t="str">
            <v>Carga, manobra e descarga de solos e materiais granulares em caminhão basculante 14 m3 - carga com pá carregadeira (capacidade da caçamba: 1,70 a 2,80 m3 / potência: 128 HP) e descarga livre (unidade: m3). AF_07/2020</v>
          </cell>
          <cell r="E117"/>
          <cell r="F117" t="str">
            <v>M3</v>
          </cell>
          <cell r="G117">
            <v>8.36</v>
          </cell>
          <cell r="H117" t="str">
            <v>-</v>
          </cell>
        </row>
        <row r="118">
          <cell r="A118">
            <v>100976</v>
          </cell>
          <cell r="B118" t="str">
            <v>SINAPI</v>
          </cell>
          <cell r="C118" t="str">
            <v>ST/0020</v>
          </cell>
          <cell r="D118" t="str">
            <v>Carga, manobra e descarga de solos e materiais granulares em caminhão basculante 18 m3 - carga com pá carregadeira (capacidade da caçamba: 1,70 a 2,80 m3 / potência: 128 HP) e descarga livre (unidade: m3). AF_07/2020</v>
          </cell>
          <cell r="E118"/>
          <cell r="F118" t="str">
            <v>M3</v>
          </cell>
          <cell r="G118">
            <v>8.18</v>
          </cell>
          <cell r="H118" t="str">
            <v>-</v>
          </cell>
        </row>
        <row r="119">
          <cell r="A119">
            <v>100977</v>
          </cell>
          <cell r="B119" t="str">
            <v>SINAPI</v>
          </cell>
          <cell r="C119" t="str">
            <v>ST/0005</v>
          </cell>
          <cell r="D119" t="str">
            <v>Carga, manobra e descarga de solos e materiais granulares em caminhão basculante 6 m3 - carga com escavadeira hidráulica (capacidade da caçamba: 1,20 m3 / potência: 155 HP) e descarga livre (unidade: m3). AF_07/2020</v>
          </cell>
          <cell r="E119" t="str">
            <v>MATERIAL GRANULAR 
ESCAVADEIRA
HIDRÁULICA</v>
          </cell>
          <cell r="F119" t="str">
            <v>M3</v>
          </cell>
          <cell r="G119">
            <v>7.42</v>
          </cell>
          <cell r="H119" t="str">
            <v>-</v>
          </cell>
        </row>
        <row r="120">
          <cell r="A120">
            <v>100978</v>
          </cell>
          <cell r="B120" t="str">
            <v>SINAPI</v>
          </cell>
          <cell r="C120" t="str">
            <v>ST/0010</v>
          </cell>
          <cell r="D120" t="str">
            <v>Carga, manobra e descarga de solos e materiais granulares em caminhão basculante 10 m3 - carga com escavadeira hidráulica (capacidade da caçamba: 1,20 m3 / potência: 155 HP) e descarga livre (unidade: m3). AF_07/2020</v>
          </cell>
          <cell r="E120"/>
          <cell r="F120" t="str">
            <v>M3</v>
          </cell>
          <cell r="G120">
            <v>6.71</v>
          </cell>
          <cell r="H120" t="str">
            <v>-</v>
          </cell>
        </row>
        <row r="121">
          <cell r="A121">
            <v>100979</v>
          </cell>
          <cell r="B121" t="str">
            <v>SINAPI</v>
          </cell>
          <cell r="C121" t="str">
            <v>ST/0015</v>
          </cell>
          <cell r="D121" t="str">
            <v>Carga, manobra e descarga de solos e materiais granulares em caminhão basculante 14 m3 - carga com escavadeira hidráulica (capacidade da caçamba: 1,20 m3 / potência: 155 HP) e descarga livre (unidade: m3). AF_07/2020</v>
          </cell>
          <cell r="E121"/>
          <cell r="F121" t="str">
            <v>M3</v>
          </cell>
          <cell r="G121">
            <v>6.46</v>
          </cell>
          <cell r="H121" t="str">
            <v>-</v>
          </cell>
        </row>
        <row r="122">
          <cell r="A122">
            <v>100980</v>
          </cell>
          <cell r="B122" t="str">
            <v>SINAPI</v>
          </cell>
          <cell r="C122" t="str">
            <v>ST/0020</v>
          </cell>
          <cell r="D122" t="str">
            <v>Carga, manobra e descarga de solos e materiais granulares em caminhão basculante 18 m3 - carga com escavadeira hidráulica (capacidade da caçamba: 1,20 m3 / potência: 155 HP) e descarga livre (unidade: m3). AF_07/2020</v>
          </cell>
          <cell r="E122"/>
          <cell r="F122" t="str">
            <v>M3</v>
          </cell>
          <cell r="G122">
            <v>6.1</v>
          </cell>
          <cell r="H122" t="str">
            <v>-</v>
          </cell>
        </row>
        <row r="123">
          <cell r="A123" t="str">
            <v>ST/0020</v>
          </cell>
          <cell r="B123" t="str">
            <v>COMPOSIÇÃO</v>
          </cell>
          <cell r="C123">
            <v>72897</v>
          </cell>
          <cell r="D123" t="str">
            <v>Carga manual, manobra e descarga de entulho em caminhão basculante 6m3 (REF. SICRO COD. 72897)</v>
          </cell>
          <cell r="E123" t="str">
            <v>ENTULHO
ESCAVADEIRA
HIDRÁULICA</v>
          </cell>
          <cell r="F123" t="str">
            <v>M3</v>
          </cell>
          <cell r="G123">
            <v>28.57</v>
          </cell>
          <cell r="H123" t="str">
            <v>-</v>
          </cell>
        </row>
        <row r="124">
          <cell r="A124">
            <v>100981</v>
          </cell>
          <cell r="B124" t="str">
            <v>SINAPI</v>
          </cell>
          <cell r="C124" t="str">
            <v>ST/0025</v>
          </cell>
          <cell r="D124" t="str">
            <v>Carga, manobra e descarga de entulho em caminhão basculante 6 m3 - carga com escavadeira hidráulica  (capacidade da caçamba: 0,80 m3 / potência: 111 HP) e descarga livre (unidade: m3). AF_07/2020</v>
          </cell>
          <cell r="E124"/>
          <cell r="F124" t="str">
            <v>M3</v>
          </cell>
          <cell r="G124">
            <v>9.0500000000000007</v>
          </cell>
          <cell r="H124" t="str">
            <v>-</v>
          </cell>
        </row>
        <row r="125">
          <cell r="A125">
            <v>100982</v>
          </cell>
          <cell r="B125" t="str">
            <v>SINAPI</v>
          </cell>
          <cell r="C125" t="str">
            <v>ST/0030</v>
          </cell>
          <cell r="D125" t="str">
            <v>Carga, manobra e descarga de entulho em caminhão basculante 10 m3 - carga com escavadeira hidráulica  (capacidade da caçamba: 0,80 m3 / potência: 111 HP) e descarga livre (unidade: m3). AF_07/2020</v>
          </cell>
          <cell r="E125"/>
          <cell r="F125" t="str">
            <v>M3</v>
          </cell>
          <cell r="G125">
            <v>8.67</v>
          </cell>
          <cell r="H125" t="str">
            <v>-</v>
          </cell>
        </row>
        <row r="126">
          <cell r="A126">
            <v>100983</v>
          </cell>
          <cell r="B126" t="str">
            <v>SINAPI</v>
          </cell>
          <cell r="C126" t="str">
            <v>ST/0032</v>
          </cell>
          <cell r="D126" t="str">
            <v>Carga, manobra e descarga de entulho em caminhão basculante 14 m3 - carga com escavadeira hidráulica  (capacidade da caçamba: 0,80 m3 / potência: 111 HP) e descarga livre (unidade: m3). AF_07/2020</v>
          </cell>
          <cell r="E126"/>
          <cell r="F126" t="str">
            <v>M3</v>
          </cell>
          <cell r="G126">
            <v>8.75</v>
          </cell>
          <cell r="H126" t="str">
            <v>-</v>
          </cell>
        </row>
        <row r="127">
          <cell r="A127">
            <v>100984</v>
          </cell>
          <cell r="B127" t="str">
            <v>SINAPI</v>
          </cell>
          <cell r="C127" t="str">
            <v>ST/0032</v>
          </cell>
          <cell r="D127" t="str">
            <v>Carga, manobra e descarga de entulho em caminhão basculante 18 m3 - carga com escavadeira hidráulica  (capacidade da caçamba: 0,80 m3 / potência: 111 HP) e descarga livre (unidade: m3). AF_07/2020</v>
          </cell>
          <cell r="E127"/>
          <cell r="F127" t="str">
            <v>M3</v>
          </cell>
          <cell r="G127">
            <v>8.5500000000000007</v>
          </cell>
          <cell r="H127" t="str">
            <v>-</v>
          </cell>
        </row>
        <row r="128">
          <cell r="A128">
            <v>100985</v>
          </cell>
          <cell r="B128" t="str">
            <v>SINAPI</v>
          </cell>
          <cell r="C128" t="str">
            <v>ST/0035</v>
          </cell>
          <cell r="D128" t="str">
            <v>Carga de mistura asfáltica em caminhão basculante 6 m3 (unidade: m3). AF_07/2020</v>
          </cell>
          <cell r="E128"/>
          <cell r="F128" t="str">
            <v>M3</v>
          </cell>
          <cell r="G128">
            <v>7.15</v>
          </cell>
          <cell r="H128" t="str">
            <v>-</v>
          </cell>
        </row>
        <row r="129">
          <cell r="A129">
            <v>101001</v>
          </cell>
          <cell r="B129" t="str">
            <v>SINAPI</v>
          </cell>
          <cell r="C129"/>
          <cell r="D129" t="str">
            <v>Carga de mistura asfáltica em caminhão basculante 6 m3 (unidade: t). AF_07/2020</v>
          </cell>
          <cell r="E129"/>
          <cell r="F129" t="str">
            <v>T</v>
          </cell>
          <cell r="G129">
            <v>4.7699999999999996</v>
          </cell>
          <cell r="H129" t="str">
            <v>-</v>
          </cell>
        </row>
        <row r="130">
          <cell r="A130">
            <v>100986</v>
          </cell>
          <cell r="B130" t="str">
            <v>SINAPI</v>
          </cell>
          <cell r="C130" t="str">
            <v>ST/0040</v>
          </cell>
          <cell r="D130" t="str">
            <v>Carga de mistura asfáltica em caminhão basculante 10 m3 (unidade: m3). AF_07/2020</v>
          </cell>
          <cell r="E130"/>
          <cell r="F130" t="str">
            <v>M3</v>
          </cell>
          <cell r="G130">
            <v>8.61</v>
          </cell>
          <cell r="H130" t="str">
            <v>-</v>
          </cell>
        </row>
        <row r="131">
          <cell r="A131">
            <v>101002</v>
          </cell>
          <cell r="B131" t="str">
            <v>SINAPI</v>
          </cell>
          <cell r="C131"/>
          <cell r="D131" t="str">
            <v>Carga de mistura asfáltica em caminhão basculante 10 m3 (unidade: t). AF_07/2020</v>
          </cell>
          <cell r="E131"/>
          <cell r="F131" t="str">
            <v>T</v>
          </cell>
          <cell r="G131">
            <v>5.73</v>
          </cell>
          <cell r="H131" t="str">
            <v>-</v>
          </cell>
        </row>
        <row r="132">
          <cell r="A132">
            <v>100987</v>
          </cell>
          <cell r="B132" t="str">
            <v>SINAPI</v>
          </cell>
          <cell r="C132" t="str">
            <v>ST/0042</v>
          </cell>
          <cell r="D132" t="str">
            <v>Carga de mistura asfáltica em caminhão basculante 14 m3 (unidade: m3). AF_07/2020</v>
          </cell>
          <cell r="E132"/>
          <cell r="F132" t="str">
            <v>M3</v>
          </cell>
          <cell r="G132">
            <v>9.99</v>
          </cell>
          <cell r="H132" t="str">
            <v>-</v>
          </cell>
        </row>
        <row r="133">
          <cell r="A133">
            <v>101003</v>
          </cell>
          <cell r="B133" t="str">
            <v>SINAPI</v>
          </cell>
          <cell r="C133"/>
          <cell r="D133" t="str">
            <v>Carga de mistura asfáltica em caminhão basculante 14 m3 (unidade: t). AF_07/2020</v>
          </cell>
          <cell r="E133"/>
          <cell r="F133" t="str">
            <v>T</v>
          </cell>
          <cell r="G133">
            <v>6.65</v>
          </cell>
          <cell r="H133" t="str">
            <v>-</v>
          </cell>
        </row>
        <row r="134">
          <cell r="A134">
            <v>100988</v>
          </cell>
          <cell r="B134" t="str">
            <v>SINAPI</v>
          </cell>
          <cell r="C134"/>
          <cell r="D134" t="str">
            <v>Carga de mistura asfáltica em caminhão basculante 18 m3 (unidade: m3). AF_07/2020</v>
          </cell>
          <cell r="E134"/>
          <cell r="F134" t="str">
            <v>M3</v>
          </cell>
          <cell r="G134">
            <v>10.56</v>
          </cell>
          <cell r="H134" t="str">
            <v>-</v>
          </cell>
        </row>
        <row r="135">
          <cell r="A135">
            <v>101004</v>
          </cell>
          <cell r="B135" t="str">
            <v>SINAPI</v>
          </cell>
          <cell r="C135"/>
          <cell r="D135" t="str">
            <v>Carga de mistura asfáltica em caminhão basculante 18 m3 (unidade: t). AF_07/2020</v>
          </cell>
          <cell r="E135"/>
          <cell r="F135" t="str">
            <v>T</v>
          </cell>
          <cell r="G135">
            <v>7.04</v>
          </cell>
          <cell r="H135" t="str">
            <v>-</v>
          </cell>
        </row>
        <row r="136">
          <cell r="A136" t="str">
            <v>ST/0065</v>
          </cell>
          <cell r="B136" t="str">
            <v>COMPOSIÇÃO</v>
          </cell>
          <cell r="C136"/>
          <cell r="D136" t="str">
            <v>Carga, manobra e descarga de materiais diversos em caminhão carroceria com guindauto (REF. SICRO COD. 5915373)</v>
          </cell>
          <cell r="E136"/>
          <cell r="F136" t="str">
            <v>T</v>
          </cell>
          <cell r="G136">
            <v>12.73</v>
          </cell>
          <cell r="H136" t="str">
            <v>-</v>
          </cell>
        </row>
        <row r="137">
          <cell r="A137">
            <v>101009</v>
          </cell>
          <cell r="B137" t="str">
            <v>SINAPI</v>
          </cell>
          <cell r="C137"/>
          <cell r="D137" t="str">
            <v>Carga, manobra e descarga de poste de concreto em caminhão carroceria com guindauto (munck) 11,7 tm. AF_07/2020</v>
          </cell>
          <cell r="E137"/>
          <cell r="F137" t="str">
            <v>T</v>
          </cell>
          <cell r="G137">
            <v>40.58</v>
          </cell>
          <cell r="H137" t="str">
            <v>-</v>
          </cell>
        </row>
        <row r="138">
          <cell r="A138">
            <v>101010</v>
          </cell>
          <cell r="B138" t="str">
            <v>SINAPI</v>
          </cell>
          <cell r="C138" t="str">
            <v>ST/0045</v>
          </cell>
          <cell r="D138" t="str">
            <v>Carga, manobra e descarga de perfil metálico em caminhão carroceria com guindauto (munck) 11,7 tm. AF_07/2020</v>
          </cell>
          <cell r="E138"/>
          <cell r="F138" t="str">
            <v>T</v>
          </cell>
          <cell r="G138">
            <v>25.55</v>
          </cell>
          <cell r="H138" t="str">
            <v>-</v>
          </cell>
        </row>
        <row r="139">
          <cell r="A139">
            <v>101013</v>
          </cell>
          <cell r="B139" t="str">
            <v>SINAPI</v>
          </cell>
          <cell r="C139" t="str">
            <v>ST/0050</v>
          </cell>
          <cell r="D139" t="str">
            <v>Carga, manobra e descarga de tubos de concreto, diâmetro nominal de menor ou igual a 0,30 m, em caminhão carroceria com guindauto (munck) 11,7 tm. AF_07/2020</v>
          </cell>
          <cell r="E139"/>
          <cell r="F139" t="str">
            <v>T</v>
          </cell>
          <cell r="G139">
            <v>42.38</v>
          </cell>
          <cell r="H139" t="str">
            <v>-</v>
          </cell>
        </row>
        <row r="140">
          <cell r="A140">
            <v>101014</v>
          </cell>
          <cell r="B140" t="str">
            <v>SINAPI</v>
          </cell>
          <cell r="C140" t="str">
            <v>ST/0050</v>
          </cell>
          <cell r="D140" t="str">
            <v>Carga, manobra e descarga de tubos de concreto, diâmetro nominal de 0,40 m, em caminhão carroceria com guindauto (munck) 11,7 tm. AF_07/2020</v>
          </cell>
          <cell r="E140"/>
          <cell r="F140" t="str">
            <v>T</v>
          </cell>
          <cell r="G140">
            <v>38.83</v>
          </cell>
          <cell r="H140" t="str">
            <v>-</v>
          </cell>
        </row>
        <row r="141">
          <cell r="A141">
            <v>101015</v>
          </cell>
          <cell r="B141" t="str">
            <v>SINAPI</v>
          </cell>
          <cell r="C141" t="str">
            <v>ST/0050</v>
          </cell>
          <cell r="D141" t="str">
            <v>Carga, manobra e descarga de tubos de concreto, diâmetro nominal de 0,50 m, em caminhão carroceria com guindauto (munck) 11,7 tm. AF_07/2020</v>
          </cell>
          <cell r="E141"/>
          <cell r="F141" t="str">
            <v>T</v>
          </cell>
          <cell r="G141">
            <v>31.9</v>
          </cell>
          <cell r="H141" t="str">
            <v>-</v>
          </cell>
        </row>
        <row r="142">
          <cell r="A142">
            <v>101463</v>
          </cell>
          <cell r="B142" t="str">
            <v>SINAPI</v>
          </cell>
          <cell r="C142" t="str">
            <v>ST/0055</v>
          </cell>
          <cell r="D142" t="str">
            <v>Carga, manobra e descarga de tubos de concreto, diâmetro nominal de 0,60 m, em caminhão carroceria com guindauto (munck) 11,7 tm. AF_07/2020</v>
          </cell>
          <cell r="E142"/>
          <cell r="F142" t="str">
            <v>T</v>
          </cell>
          <cell r="G142">
            <v>42.51</v>
          </cell>
          <cell r="H142" t="str">
            <v>-</v>
          </cell>
        </row>
        <row r="143">
          <cell r="A143">
            <v>101464</v>
          </cell>
          <cell r="B143" t="str">
            <v>SINAPI</v>
          </cell>
          <cell r="C143" t="str">
            <v>ST/0055</v>
          </cell>
          <cell r="D143" t="str">
            <v>Carga, manobra e descarga de tubos de concreto, diâmetro nominal de 0,70 m, em caminhão carroceria com guindauto (munck) 11,7 tm. AF_07/2020</v>
          </cell>
          <cell r="E143"/>
          <cell r="F143" t="str">
            <v>T</v>
          </cell>
          <cell r="G143">
            <v>32.659999999999997</v>
          </cell>
          <cell r="H143" t="str">
            <v>-</v>
          </cell>
        </row>
        <row r="144">
          <cell r="A144">
            <v>101465</v>
          </cell>
          <cell r="B144" t="str">
            <v>SINAPI</v>
          </cell>
          <cell r="C144" t="str">
            <v>ST/0055</v>
          </cell>
          <cell r="D144" t="str">
            <v>Carga, manobra e descarga de tubos de concreto, diâmetro nominal de 0,80 m, em caminhão carroceria com guindauto (munck) 11,7 tm. AF_07/2020</v>
          </cell>
          <cell r="E144"/>
          <cell r="F144" t="str">
            <v>T</v>
          </cell>
          <cell r="G144">
            <v>24.96</v>
          </cell>
          <cell r="H144" t="str">
            <v>-</v>
          </cell>
        </row>
        <row r="145">
          <cell r="A145">
            <v>101466</v>
          </cell>
          <cell r="B145" t="str">
            <v>SINAPI</v>
          </cell>
          <cell r="C145" t="str">
            <v>ST/0055</v>
          </cell>
          <cell r="D145" t="str">
            <v>Carga, manobra e descarga de tubos de concreto, diâmetro nominal de 0,90 m, em caminhão carroceria com guindauto (munck) 11,7 tm. AF_07/2020</v>
          </cell>
          <cell r="E145"/>
          <cell r="F145" t="str">
            <v>T</v>
          </cell>
          <cell r="G145">
            <v>20.3</v>
          </cell>
          <cell r="H145" t="str">
            <v>-</v>
          </cell>
        </row>
        <row r="146">
          <cell r="A146">
            <v>101467</v>
          </cell>
          <cell r="B146" t="str">
            <v>SINAPI</v>
          </cell>
          <cell r="C146" t="str">
            <v>ST/0060</v>
          </cell>
          <cell r="D146" t="str">
            <v>Carga, manobra e descarga de tubos de concreto, diâmetro nominal de 1,00 m, em caminhão carroceria com guindauto (munck) 11,7 tm. AF_07/2020</v>
          </cell>
          <cell r="E146"/>
          <cell r="F146" t="str">
            <v>T</v>
          </cell>
          <cell r="G146">
            <v>16.989999999999998</v>
          </cell>
          <cell r="H146" t="str">
            <v>-</v>
          </cell>
        </row>
        <row r="147">
          <cell r="A147">
            <v>101468</v>
          </cell>
          <cell r="B147" t="str">
            <v>SINAPI</v>
          </cell>
          <cell r="C147" t="str">
            <v>ST/0060</v>
          </cell>
          <cell r="D147" t="str">
            <v>Carga, manobra e descarga de tubos de concreto, diâmetro nominal de 1,20 m, em caminhão carroceria com guindauto (munck) 11,7 tm. AF_07/2020</v>
          </cell>
          <cell r="E147"/>
          <cell r="F147" t="str">
            <v>T</v>
          </cell>
          <cell r="G147">
            <v>15.54</v>
          </cell>
          <cell r="H147" t="str">
            <v>-</v>
          </cell>
        </row>
        <row r="148">
          <cell r="A148">
            <v>101480</v>
          </cell>
          <cell r="B148" t="str">
            <v>SINAPI</v>
          </cell>
          <cell r="C148"/>
          <cell r="D148" t="str">
            <v>Carga, manobra e descarga de tubos plásticos, diâmetro nominal de 0,25 m, em caminhão carroceria com guindauto (munck) 11,7 tm. AF_07/2020</v>
          </cell>
          <cell r="E148"/>
          <cell r="F148" t="str">
            <v>T</v>
          </cell>
          <cell r="G148">
            <v>62.22</v>
          </cell>
          <cell r="H148" t="str">
            <v>-</v>
          </cell>
        </row>
        <row r="149">
          <cell r="A149">
            <v>101481</v>
          </cell>
          <cell r="B149" t="str">
            <v>SINAPI</v>
          </cell>
          <cell r="C149"/>
          <cell r="D149" t="str">
            <v>Carga, manobra e descarga de tubos plásticos, diâmetro nominal de 0,30 m, em caminhão carroceria com guindauto (munck) 11,7 tm. AF_07/2020</v>
          </cell>
          <cell r="E149"/>
          <cell r="F149" t="str">
            <v>T</v>
          </cell>
          <cell r="G149">
            <v>44.94</v>
          </cell>
          <cell r="H149" t="str">
            <v>-</v>
          </cell>
        </row>
        <row r="150">
          <cell r="A150">
            <v>101482</v>
          </cell>
          <cell r="B150" t="str">
            <v>SINAPI</v>
          </cell>
          <cell r="C150"/>
          <cell r="D150" t="str">
            <v>Carga, manobra e descarga de tubos plásticos, diâmetro nominal de 0,40 m, em caminhão carroceria com guindauto (munck) 11,7 tm. AF_07/2020</v>
          </cell>
          <cell r="E150"/>
          <cell r="F150" t="str">
            <v>T</v>
          </cell>
          <cell r="G150">
            <v>33.590000000000003</v>
          </cell>
          <cell r="H150" t="str">
            <v>-</v>
          </cell>
        </row>
        <row r="151">
          <cell r="A151">
            <v>101483</v>
          </cell>
          <cell r="B151" t="str">
            <v>SINAPI</v>
          </cell>
          <cell r="C151"/>
          <cell r="D151" t="str">
            <v>Carga, manobra e descarga de tubos plásticos, diâmetro nominal de 0,50 m, em caminhão carroceria com guindauto (munck) 11,7 tm. AF_07/2020</v>
          </cell>
          <cell r="E151"/>
          <cell r="F151" t="str">
            <v>T</v>
          </cell>
          <cell r="G151">
            <v>34.86</v>
          </cell>
          <cell r="H151" t="str">
            <v>-</v>
          </cell>
        </row>
        <row r="152">
          <cell r="A152">
            <v>101484</v>
          </cell>
          <cell r="B152" t="str">
            <v>SINAPI</v>
          </cell>
          <cell r="C152"/>
          <cell r="D152" t="str">
            <v>Carga, manobra e descarga de tubos plásticos, diâmetro nominal de 0,60 m, em caminhão carroceria com guindauto (munck) 11,7 tm. AF_07/2020</v>
          </cell>
          <cell r="E152"/>
          <cell r="F152" t="str">
            <v>T</v>
          </cell>
          <cell r="G152">
            <v>180.67</v>
          </cell>
          <cell r="H152" t="str">
            <v>-</v>
          </cell>
        </row>
        <row r="153">
          <cell r="A153">
            <v>101485</v>
          </cell>
          <cell r="B153" t="str">
            <v>SINAPI</v>
          </cell>
          <cell r="C153"/>
          <cell r="D153" t="str">
            <v>Carga, manobra e descarga de tubos plásticos, diâmetro nominal de 0,75 m, em caminhão carroceria com guindauto (munck) 11,7 tm. AF_07/2020</v>
          </cell>
          <cell r="E153"/>
          <cell r="F153" t="str">
            <v>T</v>
          </cell>
          <cell r="G153">
            <v>138.68</v>
          </cell>
          <cell r="H153" t="str">
            <v>-</v>
          </cell>
        </row>
        <row r="154">
          <cell r="A154">
            <v>101486</v>
          </cell>
          <cell r="B154" t="str">
            <v>SINAPI</v>
          </cell>
          <cell r="C154"/>
          <cell r="D154" t="str">
            <v>Carga, manobra e descarga de tubos plásticos, diâmetro nominal de 0,90 m, em caminhão carroceria com guindauto (munck) 11,7 tm. AF_07/2020</v>
          </cell>
          <cell r="E154"/>
          <cell r="F154" t="str">
            <v>T</v>
          </cell>
          <cell r="G154">
            <v>124.92</v>
          </cell>
          <cell r="H154" t="str">
            <v>-</v>
          </cell>
        </row>
        <row r="155">
          <cell r="A155">
            <v>101487</v>
          </cell>
          <cell r="B155" t="str">
            <v>SINAPI</v>
          </cell>
          <cell r="C155"/>
          <cell r="D155" t="str">
            <v>Carga, manobra e descarga de tubos plásticos, diâmetro nominal de 1,00 m, em caminhão carroceria com guindauto (munck) 11,7 tm. AF_07/2020</v>
          </cell>
          <cell r="E155"/>
          <cell r="F155" t="str">
            <v>T</v>
          </cell>
          <cell r="G155">
            <v>91.47</v>
          </cell>
          <cell r="H155" t="str">
            <v>-</v>
          </cell>
        </row>
        <row r="156">
          <cell r="A156">
            <v>101488</v>
          </cell>
          <cell r="B156" t="str">
            <v>SINAPI</v>
          </cell>
          <cell r="C156"/>
          <cell r="D156" t="str">
            <v>Carga, manobra e descarga de tubos plásticos, diâmetro nominal de 1,20 m, em caminhão carroceria com guindauto (munck) 11,7 tm. AF_07/2020</v>
          </cell>
          <cell r="E156"/>
          <cell r="F156" t="str">
            <v>T</v>
          </cell>
          <cell r="G156">
            <v>79.14</v>
          </cell>
          <cell r="H156" t="str">
            <v>-</v>
          </cell>
        </row>
        <row r="157">
          <cell r="A157"/>
          <cell r="B157" t="str">
            <v>CRIAR COMPOSIÇÃO</v>
          </cell>
          <cell r="C157">
            <v>72897</v>
          </cell>
          <cell r="D157" t="str">
            <v>Carga manual de entulho em caminhão basculante</v>
          </cell>
          <cell r="E157"/>
          <cell r="F157" t="str">
            <v>-</v>
          </cell>
          <cell r="G157" t="str">
            <v>-</v>
          </cell>
          <cell r="H157" t="str">
            <v/>
          </cell>
        </row>
        <row r="158">
          <cell r="A158" t="str">
            <v>ST/0070</v>
          </cell>
          <cell r="B158" t="str">
            <v>COMPOSIÇÃO</v>
          </cell>
          <cell r="C158">
            <v>72850</v>
          </cell>
          <cell r="D158" t="str">
            <v>Carga, manobra e descarga de materiais diversos em caminhão carroceria - carga e descaga manuais (REF. SICRO COD. 5915474)</v>
          </cell>
          <cell r="E158"/>
          <cell r="F158" t="str">
            <v>T</v>
          </cell>
          <cell r="G158">
            <v>30.39</v>
          </cell>
          <cell r="H158" t="str">
            <v>-</v>
          </cell>
        </row>
        <row r="159">
          <cell r="A159">
            <v>100205</v>
          </cell>
          <cell r="B159" t="str">
            <v>SINAPI</v>
          </cell>
          <cell r="C159"/>
          <cell r="D159" t="str">
            <v>Transporte horizontal com jerica de 60 l, de massa/ granel (unidade: m3xkm). AF_07/2019</v>
          </cell>
          <cell r="E159"/>
          <cell r="F159" t="str">
            <v>M3XKM</v>
          </cell>
          <cell r="G159">
            <v>1349.05</v>
          </cell>
          <cell r="H159" t="str">
            <v>-</v>
          </cell>
        </row>
        <row r="160">
          <cell r="A160">
            <v>100206</v>
          </cell>
          <cell r="B160" t="str">
            <v>SINAPI</v>
          </cell>
          <cell r="C160"/>
          <cell r="D160" t="str">
            <v>Transporte horizontal com jerica de 90 l, de massa/ granel (unidade: m3xkm). AF_07/2019</v>
          </cell>
          <cell r="E160"/>
          <cell r="F160" t="str">
            <v>M3XKM</v>
          </cell>
          <cell r="G160">
            <v>975.13</v>
          </cell>
          <cell r="H160" t="str">
            <v>-</v>
          </cell>
        </row>
        <row r="161">
          <cell r="A161">
            <v>97912</v>
          </cell>
          <cell r="B161" t="str">
            <v>SINAPI</v>
          </cell>
          <cell r="C161"/>
          <cell r="D161" t="str">
            <v>Transporte com caminhão basculante de 6 m3, em via urbana em leito natural (unidade: m3xkm). AF_07/2020</v>
          </cell>
          <cell r="E161" t="str">
            <v>CAMINHÃO
CAÇAMBA
OU
BASCULANTE
6 M3</v>
          </cell>
          <cell r="F161" t="str">
            <v>M3XKM</v>
          </cell>
          <cell r="G161">
            <v>3.56</v>
          </cell>
          <cell r="H161" t="str">
            <v>-</v>
          </cell>
        </row>
        <row r="162">
          <cell r="A162">
            <v>97913</v>
          </cell>
          <cell r="B162" t="str">
            <v>SINAPI</v>
          </cell>
          <cell r="C162"/>
          <cell r="D162" t="str">
            <v>Transporte com caminhão basculante de 6 m3, em via urbana em revestimento primário (unidade: m3xkm). AF_07/2020</v>
          </cell>
          <cell r="E162"/>
          <cell r="F162" t="str">
            <v>M3XKM</v>
          </cell>
          <cell r="G162">
            <v>3.09</v>
          </cell>
          <cell r="H162" t="str">
            <v>-</v>
          </cell>
        </row>
        <row r="163">
          <cell r="A163">
            <v>97914</v>
          </cell>
          <cell r="B163" t="str">
            <v>SINAPI</v>
          </cell>
          <cell r="C163" t="str">
            <v>ST/0075</v>
          </cell>
          <cell r="D163" t="str">
            <v>Transporte com caminhão basculante de 6 m3, em via urbana pavimentada, DMT até 30,00 km (unidade: m3xkm). AF_07/2020</v>
          </cell>
          <cell r="E163"/>
          <cell r="F163" t="str">
            <v>M3XKM</v>
          </cell>
          <cell r="G163">
            <v>2.83</v>
          </cell>
          <cell r="H163" t="str">
            <v>-</v>
          </cell>
        </row>
        <row r="164">
          <cell r="A164">
            <v>97915</v>
          </cell>
          <cell r="B164" t="str">
            <v>SINAPI</v>
          </cell>
          <cell r="C164" t="str">
            <v>ST/0080</v>
          </cell>
          <cell r="D164" t="str">
            <v>Transporte com caminhão basculante de 6 m3, em via urbana pavimentada, adicional para DMT excedente a 30,00 km (unidade: m3xkm). AF_07/2020</v>
          </cell>
          <cell r="E164"/>
          <cell r="F164" t="str">
            <v>M3XKM</v>
          </cell>
          <cell r="G164">
            <v>1.1299999999999999</v>
          </cell>
          <cell r="H164" t="str">
            <v>-</v>
          </cell>
        </row>
        <row r="165">
          <cell r="A165">
            <v>100937</v>
          </cell>
          <cell r="B165" t="str">
            <v>SINAPI</v>
          </cell>
          <cell r="C165" t="str">
            <v>ST/0085</v>
          </cell>
          <cell r="D165" t="str">
            <v>Transporte com caminhão basculante de 6 m3, em via interna (dentro do canteiro - unidade: m3xkm). AF_07/2020</v>
          </cell>
          <cell r="E165"/>
          <cell r="F165" t="str">
            <v>M3XKM</v>
          </cell>
          <cell r="G165">
            <v>8.49</v>
          </cell>
          <cell r="H165" t="str">
            <v>-</v>
          </cell>
        </row>
        <row r="166">
          <cell r="A166">
            <v>97918</v>
          </cell>
          <cell r="B166" t="str">
            <v>SINAPI</v>
          </cell>
          <cell r="C166" t="str">
            <v>ST/0090</v>
          </cell>
          <cell r="D166" t="str">
            <v>Transporte com caminhão basculante de 6 m3, em via urbana pavimentada, DMT até 30,00 km (unidade: txkm). AF_07/2020</v>
          </cell>
          <cell r="E166"/>
          <cell r="F166" t="str">
            <v>TXKM</v>
          </cell>
          <cell r="G166">
            <v>1.89</v>
          </cell>
          <cell r="H166" t="str">
            <v>-</v>
          </cell>
        </row>
        <row r="167">
          <cell r="A167">
            <v>97919</v>
          </cell>
          <cell r="B167" t="str">
            <v>SINAPI</v>
          </cell>
          <cell r="C167" t="str">
            <v>ST/0095</v>
          </cell>
          <cell r="D167" t="str">
            <v>Transporte com caminhão basculante de 6 m3, em via urbana pavimentada, adicional para DMT excedente a 30,00 km (unidade: txkm). AF_07/2020</v>
          </cell>
          <cell r="E167"/>
          <cell r="F167" t="str">
            <v>TXKM</v>
          </cell>
          <cell r="G167">
            <v>0.74</v>
          </cell>
          <cell r="H167" t="str">
            <v>-</v>
          </cell>
        </row>
        <row r="168">
          <cell r="A168">
            <v>100941</v>
          </cell>
          <cell r="B168" t="str">
            <v>SINAPI</v>
          </cell>
          <cell r="C168" t="str">
            <v>ST/0100</v>
          </cell>
          <cell r="D168" t="str">
            <v>Transporte com caminhão basculante de 6 m3, em via interna (dentro do canteiro - unidade: txkm). AF_07/2020</v>
          </cell>
          <cell r="E168"/>
          <cell r="F168" t="str">
            <v>TXKM</v>
          </cell>
          <cell r="G168">
            <v>5.65</v>
          </cell>
          <cell r="H168" t="str">
            <v>-</v>
          </cell>
        </row>
        <row r="169">
          <cell r="A169">
            <v>93588</v>
          </cell>
          <cell r="B169" t="str">
            <v>SINAPI</v>
          </cell>
          <cell r="C169"/>
          <cell r="D169" t="str">
            <v>Transporte com caminhão basculante de 10 m3, em via urbana em leito natural (unidade: m3xkm). AF_07/2020</v>
          </cell>
          <cell r="E169" t="str">
            <v>CAMINHÃO
CAÇAMBA
OU
BASCULANTE
10 M3</v>
          </cell>
          <cell r="F169" t="str">
            <v>M3XKM</v>
          </cell>
          <cell r="G169">
            <v>2.98</v>
          </cell>
          <cell r="H169" t="str">
            <v>-</v>
          </cell>
        </row>
        <row r="170">
          <cell r="A170">
            <v>93589</v>
          </cell>
          <cell r="B170" t="str">
            <v>SINAPI</v>
          </cell>
          <cell r="C170"/>
          <cell r="D170" t="str">
            <v>Transporte com caminhão basculante de 10 m3, em via urbana em revestimento primário (unidade: m3xkm). AF_07/2020</v>
          </cell>
          <cell r="E170"/>
          <cell r="F170" t="str">
            <v>M3XKM</v>
          </cell>
          <cell r="G170">
            <v>2.56</v>
          </cell>
          <cell r="H170" t="str">
            <v>-</v>
          </cell>
        </row>
        <row r="171">
          <cell r="A171">
            <v>95875</v>
          </cell>
          <cell r="B171" t="str">
            <v>SINAPI</v>
          </cell>
          <cell r="C171" t="str">
            <v>ST/0105</v>
          </cell>
          <cell r="D171" t="str">
            <v>Transporte com caminhão basculante de 10 m3, em via urbana pavimentada, DMT até 30,00 km (unidade: m3xkm). AF_07/2020</v>
          </cell>
          <cell r="E171"/>
          <cell r="F171" t="str">
            <v>M3XKM</v>
          </cell>
          <cell r="G171">
            <v>2.36</v>
          </cell>
          <cell r="H171" t="str">
            <v>-</v>
          </cell>
        </row>
        <row r="172">
          <cell r="A172">
            <v>93590</v>
          </cell>
          <cell r="B172" t="str">
            <v>SINAPI</v>
          </cell>
          <cell r="C172" t="str">
            <v>ST/0110</v>
          </cell>
          <cell r="D172" t="str">
            <v>Transporte com caminhão basculante de 10 m3, em via urbana pavimentada, adicional para DMT excedente a 30,00 km (unidade: m3xkm). AF_07/2020</v>
          </cell>
          <cell r="E172"/>
          <cell r="F172" t="str">
            <v>M3XKM</v>
          </cell>
          <cell r="G172">
            <v>0.93</v>
          </cell>
          <cell r="H172" t="str">
            <v>-</v>
          </cell>
        </row>
        <row r="173">
          <cell r="A173">
            <v>100938</v>
          </cell>
          <cell r="B173" t="str">
            <v>SINAPI</v>
          </cell>
          <cell r="C173"/>
          <cell r="D173" t="str">
            <v>Transporte com caminhão basculante de 10 m3, em via interna (dentro do canteiro - unidade: m3xkm). AF_07/2020</v>
          </cell>
          <cell r="E173"/>
          <cell r="F173" t="str">
            <v>M3XKM</v>
          </cell>
          <cell r="G173">
            <v>7.11</v>
          </cell>
          <cell r="H173" t="str">
            <v>-</v>
          </cell>
        </row>
        <row r="174">
          <cell r="A174">
            <v>95878</v>
          </cell>
          <cell r="B174" t="str">
            <v>SINAPI</v>
          </cell>
          <cell r="C174" t="str">
            <v>ST/0120</v>
          </cell>
          <cell r="D174" t="str">
            <v>Transporte com caminhão basculante de 10 m3, em via urbana pavimentada, DMT até 30,00 km (unidade: txkm). AF_07/2020</v>
          </cell>
          <cell r="E174"/>
          <cell r="F174" t="str">
            <v>TXKM</v>
          </cell>
          <cell r="G174">
            <v>1.58</v>
          </cell>
          <cell r="H174" t="str">
            <v>-</v>
          </cell>
        </row>
        <row r="175">
          <cell r="A175">
            <v>93596</v>
          </cell>
          <cell r="B175" t="str">
            <v>SINAPI</v>
          </cell>
          <cell r="C175" t="str">
            <v>ST/0125</v>
          </cell>
          <cell r="D175" t="str">
            <v>Transporte com caminhão basculante de 10 m3, em via urbana pavimentada, adicional para DMT excedente a 30,00 km (unidade: txkm). AF_07/2020</v>
          </cell>
          <cell r="E175"/>
          <cell r="F175" t="str">
            <v>TXKM</v>
          </cell>
          <cell r="G175">
            <v>0.63</v>
          </cell>
          <cell r="H175" t="str">
            <v>-</v>
          </cell>
        </row>
        <row r="176">
          <cell r="A176">
            <v>100942</v>
          </cell>
          <cell r="B176" t="str">
            <v>SINAPI</v>
          </cell>
          <cell r="C176" t="str">
            <v>ST/0130</v>
          </cell>
          <cell r="D176" t="str">
            <v>Transporte com caminhão basculante de 10 m3, em via interna a obra (unidade: txkm). AF_07/2020</v>
          </cell>
          <cell r="E176"/>
          <cell r="F176" t="str">
            <v>TXKM</v>
          </cell>
          <cell r="G176">
            <v>4.74</v>
          </cell>
          <cell r="H176" t="str">
            <v>-</v>
          </cell>
        </row>
        <row r="177">
          <cell r="A177">
            <v>93591</v>
          </cell>
          <cell r="B177" t="str">
            <v>SINAPI</v>
          </cell>
          <cell r="C177"/>
          <cell r="D177" t="str">
            <v>Transporte com caminhão basculante de 14 m3, em via urbana em leito natural (unidade: m3xkm). AF_07/2020</v>
          </cell>
          <cell r="E177" t="str">
            <v>CAMINHÃO
CAÇAMBA
OU
BASCULANTE
14 M3</v>
          </cell>
          <cell r="F177" t="str">
            <v>M3XKM</v>
          </cell>
          <cell r="G177">
            <v>2.62</v>
          </cell>
          <cell r="H177" t="str">
            <v>-</v>
          </cell>
        </row>
        <row r="178">
          <cell r="A178">
            <v>93592</v>
          </cell>
          <cell r="B178" t="str">
            <v>SINAPI</v>
          </cell>
          <cell r="C178"/>
          <cell r="D178" t="str">
            <v>Transporte com caminhão basculante de 14 m3, em via urbana em revestimento primário (unidade: m3xkm). AF_07/2020</v>
          </cell>
          <cell r="E178"/>
          <cell r="F178" t="str">
            <v>M3XKM</v>
          </cell>
          <cell r="G178">
            <v>2.2799999999999998</v>
          </cell>
          <cell r="H178" t="str">
            <v>-</v>
          </cell>
        </row>
        <row r="179">
          <cell r="A179">
            <v>95876</v>
          </cell>
          <cell r="B179" t="str">
            <v>SINAPI</v>
          </cell>
          <cell r="C179" t="str">
            <v>ST/0135</v>
          </cell>
          <cell r="D179" t="str">
            <v>Transporte com caminhão basculante de 14 m3, em via urbana pavimentada, DMT até 30,00 km (unidade: m3xkm). AF_07/2020</v>
          </cell>
          <cell r="E179"/>
          <cell r="F179" t="str">
            <v>M3XKM</v>
          </cell>
          <cell r="G179">
            <v>2.0699999999999998</v>
          </cell>
          <cell r="H179" t="str">
            <v>-</v>
          </cell>
        </row>
        <row r="180">
          <cell r="A180">
            <v>93593</v>
          </cell>
          <cell r="B180" t="str">
            <v>SINAPI</v>
          </cell>
          <cell r="C180" t="str">
            <v>ST/0140</v>
          </cell>
          <cell r="D180" t="str">
            <v>Transporte com caminhão basculante de 14 m3, em via urbana pavimentada, adicional para DMT excedente a 30,00 km (unidade: m3xkm). AF_07/2020</v>
          </cell>
          <cell r="E180"/>
          <cell r="F180" t="str">
            <v>M3XKM</v>
          </cell>
          <cell r="G180">
            <v>0.83</v>
          </cell>
          <cell r="H180" t="str">
            <v>-</v>
          </cell>
        </row>
        <row r="181">
          <cell r="A181">
            <v>100939</v>
          </cell>
          <cell r="B181" t="str">
            <v>SINAPI</v>
          </cell>
          <cell r="C181"/>
          <cell r="D181" t="str">
            <v>Transporte com caminhão basculante de 14 m3, em via interna (dentro do canteiro - unidade:m3xkm). AF_07/2020</v>
          </cell>
          <cell r="E181"/>
          <cell r="F181" t="str">
            <v>M3XKM</v>
          </cell>
          <cell r="G181">
            <v>6.29</v>
          </cell>
          <cell r="H181" t="str">
            <v>-</v>
          </cell>
        </row>
        <row r="182">
          <cell r="A182">
            <v>95879</v>
          </cell>
          <cell r="B182" t="str">
            <v>SINAPI</v>
          </cell>
          <cell r="C182" t="str">
            <v>ST/0145</v>
          </cell>
          <cell r="D182" t="str">
            <v>Transporte com caminhão basculante de 14 m3, em via urbana pavimentada, DMT até 30,00 km (unidade: txkm). AF_07/2020</v>
          </cell>
          <cell r="E182"/>
          <cell r="F182" t="str">
            <v>TXKM</v>
          </cell>
          <cell r="G182">
            <v>1.4</v>
          </cell>
          <cell r="H182" t="str">
            <v>-</v>
          </cell>
        </row>
        <row r="183">
          <cell r="A183">
            <v>93599</v>
          </cell>
          <cell r="B183" t="str">
            <v>SINAPI</v>
          </cell>
          <cell r="C183" t="str">
            <v>ST/0150</v>
          </cell>
          <cell r="D183" t="str">
            <v>Transporte com caminhão basculante de 14 m3, em via urbana pavimentada, adicional para DMT excedente a 30,00 km (unidade: txkm). AF_07/2020</v>
          </cell>
          <cell r="E183"/>
          <cell r="F183" t="str">
            <v>TXKM</v>
          </cell>
          <cell r="G183">
            <v>0.55000000000000004</v>
          </cell>
          <cell r="H183" t="str">
            <v>-</v>
          </cell>
        </row>
        <row r="184">
          <cell r="A184">
            <v>100943</v>
          </cell>
          <cell r="B184" t="str">
            <v>SINAPI</v>
          </cell>
          <cell r="C184"/>
          <cell r="D184" t="str">
            <v>Transporte com caminhão basculante de 14 m3, em via interna (dentro do canteiro - unidade: txkm). AF_07/2020</v>
          </cell>
          <cell r="E184"/>
          <cell r="F184" t="str">
            <v>TXKM</v>
          </cell>
          <cell r="G184">
            <v>4.18</v>
          </cell>
          <cell r="H184" t="str">
            <v>-</v>
          </cell>
        </row>
        <row r="185">
          <cell r="A185">
            <v>95425</v>
          </cell>
          <cell r="B185" t="str">
            <v>SINAPI</v>
          </cell>
          <cell r="C185"/>
          <cell r="D185" t="str">
            <v>Transporte com caminhão basculante de 18 m3, em via urbana em leito natural (unidade: m3xkm). AF_07/2020</v>
          </cell>
          <cell r="E185" t="str">
            <v>CAMINHÃO
CAÇAMBA
OU
BASCULANTE
18 M3</v>
          </cell>
          <cell r="F185" t="str">
            <v>M3XKM</v>
          </cell>
          <cell r="G185">
            <v>2.23</v>
          </cell>
          <cell r="H185" t="str">
            <v>-</v>
          </cell>
        </row>
        <row r="186">
          <cell r="A186">
            <v>95426</v>
          </cell>
          <cell r="B186" t="str">
            <v>SINAPI</v>
          </cell>
          <cell r="C186"/>
          <cell r="D186" t="str">
            <v>Transporte com caminhão basculante de 18 m3, em via urbana em revestimento primário (unidade: m3xkm). AF_07/2020</v>
          </cell>
          <cell r="E186"/>
          <cell r="F186" t="str">
            <v>M3XKM</v>
          </cell>
          <cell r="G186">
            <v>1.93</v>
          </cell>
          <cell r="H186" t="str">
            <v>-</v>
          </cell>
        </row>
        <row r="187">
          <cell r="A187">
            <v>95877</v>
          </cell>
          <cell r="B187" t="str">
            <v>SINAPI</v>
          </cell>
          <cell r="C187" t="str">
            <v>ST/0155</v>
          </cell>
          <cell r="D187" t="str">
            <v>Transporte com caminhão basculante de 18 m3, em via urbana pavimentada, DMT até 30,00 km (unidade: m3xkm). AF_07/2020</v>
          </cell>
          <cell r="E187"/>
          <cell r="F187" t="str">
            <v>M3XKM</v>
          </cell>
          <cell r="G187">
            <v>1.77</v>
          </cell>
          <cell r="H187" t="str">
            <v>-</v>
          </cell>
        </row>
        <row r="188">
          <cell r="A188">
            <v>95427</v>
          </cell>
          <cell r="B188" t="str">
            <v>SINAPI</v>
          </cell>
          <cell r="C188" t="str">
            <v>ST/0160</v>
          </cell>
          <cell r="D188" t="str">
            <v>Transporte com caminhão basculante de 18 m3, em via urbana pavimentada, adicional para DMT excedente a 30,00 km (unidade: m3xkm). AF_07/2020</v>
          </cell>
          <cell r="E188"/>
          <cell r="F188" t="str">
            <v>M3XKM</v>
          </cell>
          <cell r="G188">
            <v>0.73</v>
          </cell>
          <cell r="H188" t="str">
            <v>-</v>
          </cell>
        </row>
        <row r="189">
          <cell r="A189">
            <v>100940</v>
          </cell>
          <cell r="B189" t="str">
            <v>SINAPI</v>
          </cell>
          <cell r="C189"/>
          <cell r="D189" t="str">
            <v>Transporte com caminhão basculante de 18 m3, em via interna (dentro do canteiro - unidade: m3xkm). AF_07/2020</v>
          </cell>
          <cell r="E189"/>
          <cell r="F189" t="str">
            <v>M3XKM</v>
          </cell>
          <cell r="G189">
            <v>5.36</v>
          </cell>
          <cell r="H189" t="str">
            <v>-</v>
          </cell>
        </row>
        <row r="190">
          <cell r="A190">
            <v>95880</v>
          </cell>
          <cell r="B190" t="str">
            <v>SINAPI</v>
          </cell>
          <cell r="C190" t="str">
            <v>ST/0165</v>
          </cell>
          <cell r="D190" t="str">
            <v>Transporte com caminhão basculante de 18 m3, em via urbana pavimentada, DMT até 30,00 km (unidade: txkm). AF_07/2020</v>
          </cell>
          <cell r="E190"/>
          <cell r="F190" t="str">
            <v>TXKM</v>
          </cell>
          <cell r="G190">
            <v>1.19</v>
          </cell>
          <cell r="H190" t="str">
            <v>-</v>
          </cell>
        </row>
        <row r="191">
          <cell r="A191">
            <v>95430</v>
          </cell>
          <cell r="B191" t="str">
            <v>SINAPI</v>
          </cell>
          <cell r="C191" t="str">
            <v>ST/0170</v>
          </cell>
          <cell r="D191" t="str">
            <v>Transporte com caminhão basculante de 18 m3, em via urbana pavimentada, adicional para DMT excedente a 30,00 km (unidade: txkm). AF_07/2020</v>
          </cell>
          <cell r="E191"/>
          <cell r="F191" t="str">
            <v>TXKM</v>
          </cell>
          <cell r="G191">
            <v>0.45</v>
          </cell>
          <cell r="H191" t="str">
            <v>-</v>
          </cell>
        </row>
        <row r="192">
          <cell r="A192">
            <v>100944</v>
          </cell>
          <cell r="B192" t="str">
            <v>SINAPI</v>
          </cell>
          <cell r="C192"/>
          <cell r="D192" t="str">
            <v>Transporte com caminhão basculante de 18 m3, em via interna (dentro do canteiro - unidade: txkm). AF_07/2020</v>
          </cell>
          <cell r="E192"/>
          <cell r="F192" t="str">
            <v>TXKM</v>
          </cell>
          <cell r="G192">
            <v>3.59</v>
          </cell>
          <cell r="H192" t="str">
            <v>-</v>
          </cell>
        </row>
        <row r="193">
          <cell r="A193">
            <v>100956</v>
          </cell>
          <cell r="B193" t="str">
            <v>SINAPI</v>
          </cell>
          <cell r="C193"/>
          <cell r="D193" t="str">
            <v>Transporte com caminhão pipa de 6 m3, em via urbana em revestimento primário (unidade: m3xkm). AF_07/2020</v>
          </cell>
          <cell r="E193"/>
          <cell r="F193" t="str">
            <v>M3XKM</v>
          </cell>
          <cell r="G193">
            <v>4.01</v>
          </cell>
          <cell r="H193" t="str">
            <v>-</v>
          </cell>
        </row>
        <row r="194">
          <cell r="A194">
            <v>100957</v>
          </cell>
          <cell r="B194" t="str">
            <v>SINAPI</v>
          </cell>
          <cell r="C194"/>
          <cell r="D194" t="str">
            <v>Transporte com caminhão pipa de 6 m3, em via urbana pavimentada, DMT até 30,00 km (unidade: m3xkm). AF_07/2020</v>
          </cell>
          <cell r="E194"/>
          <cell r="F194" t="str">
            <v>M3XKM</v>
          </cell>
          <cell r="G194">
            <v>3.67</v>
          </cell>
          <cell r="H194" t="str">
            <v>-</v>
          </cell>
        </row>
        <row r="195">
          <cell r="A195">
            <v>100958</v>
          </cell>
          <cell r="B195" t="str">
            <v>SINAPI</v>
          </cell>
          <cell r="C195"/>
          <cell r="D195" t="str">
            <v>Transporte com caminhão pipa de 6 m3, em via urbana pavimentada, adicional para DMT excedente a 30,00 km (unidade: m3xkm). AF_07/2020</v>
          </cell>
          <cell r="E195"/>
          <cell r="F195" t="str">
            <v>M3XKM</v>
          </cell>
          <cell r="G195">
            <v>1.47</v>
          </cell>
          <cell r="H195" t="str">
            <v>-</v>
          </cell>
        </row>
        <row r="196">
          <cell r="A196">
            <v>100959</v>
          </cell>
          <cell r="B196" t="str">
            <v>SINAPI</v>
          </cell>
          <cell r="C196"/>
          <cell r="D196" t="str">
            <v>Transporte com caminhão pipa de 6 m3, em via interna (dentro do canteiro - unidade: m3xkm). AF_07/2020</v>
          </cell>
          <cell r="E196"/>
          <cell r="F196" t="str">
            <v>M3XKM</v>
          </cell>
          <cell r="G196">
            <v>11.04</v>
          </cell>
          <cell r="H196" t="str">
            <v>-</v>
          </cell>
        </row>
        <row r="197">
          <cell r="A197">
            <v>100961</v>
          </cell>
          <cell r="B197" t="str">
            <v>SINAPI</v>
          </cell>
          <cell r="C197"/>
          <cell r="D197" t="str">
            <v>Transporte com caminhão pipa de 10 m3, em via urbana em revestimento primário (unidade: m3xkm). AF_07/2020</v>
          </cell>
          <cell r="E197"/>
          <cell r="F197" t="str">
            <v>M3XKM</v>
          </cell>
          <cell r="G197">
            <v>3</v>
          </cell>
          <cell r="H197" t="str">
            <v>-</v>
          </cell>
        </row>
        <row r="198">
          <cell r="A198">
            <v>100962</v>
          </cell>
          <cell r="B198" t="str">
            <v>SINAPI</v>
          </cell>
          <cell r="C198"/>
          <cell r="D198" t="str">
            <v>Transporte com caminhão pipa de 10 m3, em via urbana pavimentada, DMT até 30,00 km (unidade: m3xkm). AF_07/2020</v>
          </cell>
          <cell r="E198"/>
          <cell r="F198" t="str">
            <v>M3XKM</v>
          </cell>
          <cell r="G198">
            <v>2.74</v>
          </cell>
          <cell r="H198" t="str">
            <v>-</v>
          </cell>
        </row>
        <row r="199">
          <cell r="A199">
            <v>100963</v>
          </cell>
          <cell r="B199" t="str">
            <v>SINAPI</v>
          </cell>
          <cell r="C199"/>
          <cell r="D199" t="str">
            <v>Transporte com caminhão pipa de 10 m3, em via urbana pavimentada, adicional para DMT excedente a 30,00 km (unidade: m3xkm). AF_07/2020</v>
          </cell>
          <cell r="E199"/>
          <cell r="F199" t="str">
            <v>M3XKM</v>
          </cell>
          <cell r="G199">
            <v>1.08</v>
          </cell>
          <cell r="H199" t="str">
            <v>-</v>
          </cell>
        </row>
        <row r="200">
          <cell r="A200">
            <v>100964</v>
          </cell>
          <cell r="B200" t="str">
            <v>SINAPI</v>
          </cell>
          <cell r="C200"/>
          <cell r="D200" t="str">
            <v>Transporte com caminhão pipa de 10 m3, em via interna (dentro do canteiro - unidade: m3xkm). AF_07/2020</v>
          </cell>
          <cell r="E200"/>
          <cell r="F200" t="str">
            <v>M3XKM</v>
          </cell>
          <cell r="G200">
            <v>8.31</v>
          </cell>
          <cell r="H200" t="str">
            <v>-</v>
          </cell>
        </row>
        <row r="201">
          <cell r="A201">
            <v>102332</v>
          </cell>
          <cell r="B201" t="str">
            <v>SINAPI</v>
          </cell>
          <cell r="C201" t="str">
            <v>100971
93177</v>
          </cell>
          <cell r="D201" t="str">
            <v>Transporte com caminhão tanque de transporte de material asfáltico de 20.000 l, em via urbana pavimentada, DMT até 30,00 km (unidade: txkm). AF_07/2020</v>
          </cell>
          <cell r="E201" t="str">
            <v>Transporte de 
Campo Grande para obra</v>
          </cell>
          <cell r="F201" t="str">
            <v>TXKM</v>
          </cell>
          <cell r="G201">
            <v>1.75</v>
          </cell>
          <cell r="H201" t="str">
            <v>-</v>
          </cell>
        </row>
        <row r="202">
          <cell r="A202">
            <v>102333</v>
          </cell>
          <cell r="B202" t="str">
            <v>SINAPI</v>
          </cell>
          <cell r="C202" t="str">
            <v>100972
ST/0175</v>
          </cell>
          <cell r="D202" t="str">
            <v>Transporte com caminhão tanque de transporte de material asfáltico de 20.000 l, em via urbana pavimentada, adicional para DMT excedente a 30,00 km (unidade: txkm). AF_07/2020</v>
          </cell>
          <cell r="E202"/>
          <cell r="F202" t="str">
            <v>TXKM</v>
          </cell>
          <cell r="G202">
            <v>0.7</v>
          </cell>
          <cell r="H202" t="str">
            <v>-</v>
          </cell>
        </row>
        <row r="203">
          <cell r="A203">
            <v>102330</v>
          </cell>
          <cell r="B203" t="str">
            <v>SINAPI</v>
          </cell>
          <cell r="C203" t="str">
            <v>100967
93176</v>
          </cell>
          <cell r="D203" t="str">
            <v>Transporte com caminhão tanque de transporte de material asfáltico de 30.000 l, em via urbana pavimentada, DMT até 30,00 km (unidade: txkm). AF_07/2020</v>
          </cell>
          <cell r="E203"/>
          <cell r="F203" t="str">
            <v>TXKM</v>
          </cell>
          <cell r="G203">
            <v>1.37</v>
          </cell>
          <cell r="H203" t="str">
            <v>-</v>
          </cell>
        </row>
        <row r="204">
          <cell r="A204">
            <v>102331</v>
          </cell>
          <cell r="B204" t="str">
            <v>SINAPI</v>
          </cell>
          <cell r="C204" t="str">
            <v>100968
ST/0180</v>
          </cell>
          <cell r="D204" t="str">
            <v>Transporte com caminhão tanque de transporte de material asfáltico de 30.000 l, em via urbana pavimentada, adicional para DMT excedente a 30,00 km (unidade: txkm). AF_07/2020</v>
          </cell>
          <cell r="E204"/>
          <cell r="F204" t="str">
            <v>TXKM</v>
          </cell>
          <cell r="G204">
            <v>0.53</v>
          </cell>
          <cell r="H204" t="str">
            <v>-</v>
          </cell>
        </row>
        <row r="205">
          <cell r="A205">
            <v>100946</v>
          </cell>
          <cell r="B205" t="str">
            <v>SINAPI</v>
          </cell>
          <cell r="C205"/>
          <cell r="D205" t="str">
            <v>Transporte com caminhão carroceria 9t, em via urbana em revestimento primário (unidade: txkm). AF_07/2020</v>
          </cell>
          <cell r="E205"/>
          <cell r="F205" t="str">
            <v>TXKM</v>
          </cell>
          <cell r="G205">
            <v>2.2999999999999998</v>
          </cell>
          <cell r="H205" t="str">
            <v>-</v>
          </cell>
        </row>
        <row r="206">
          <cell r="A206">
            <v>100947</v>
          </cell>
          <cell r="B206" t="str">
            <v>SINAPI</v>
          </cell>
          <cell r="C206" t="str">
            <v>ST/0185</v>
          </cell>
          <cell r="D206" t="str">
            <v>Transporte com caminhão carroceria 9t, em via urbana pavimentada, DMT até 30,00 km (unidade: txkm). AF_07/2020</v>
          </cell>
          <cell r="E206"/>
          <cell r="F206" t="str">
            <v>TXKM</v>
          </cell>
          <cell r="G206">
            <v>2.12</v>
          </cell>
          <cell r="H206" t="str">
            <v>-</v>
          </cell>
        </row>
        <row r="207">
          <cell r="A207">
            <v>100948</v>
          </cell>
          <cell r="B207" t="str">
            <v>SINAPI</v>
          </cell>
          <cell r="C207" t="str">
            <v>ST/0190</v>
          </cell>
          <cell r="D207" t="str">
            <v>Transporte com caminhão carroceria 9t, em via urbana pavimentada, adicional para DMT excedente a 30,00 km (unidade: txkm). AF_07/2020</v>
          </cell>
          <cell r="E207"/>
          <cell r="F207" t="str">
            <v>TXKM</v>
          </cell>
          <cell r="G207">
            <v>0.84</v>
          </cell>
          <cell r="H207" t="str">
            <v>-</v>
          </cell>
        </row>
        <row r="208">
          <cell r="A208">
            <v>100949</v>
          </cell>
          <cell r="B208" t="str">
            <v>SINAPI</v>
          </cell>
          <cell r="C208" t="str">
            <v>ST/0195</v>
          </cell>
          <cell r="D208" t="str">
            <v>Transporte com caminhão carroceria 9t, em via interna (dentro do canteiro - unidade: txkm). AF_07/2020</v>
          </cell>
          <cell r="E208"/>
          <cell r="F208" t="str">
            <v>TXKM</v>
          </cell>
          <cell r="G208">
            <v>6.36</v>
          </cell>
          <cell r="H208" t="str">
            <v>-</v>
          </cell>
        </row>
        <row r="209">
          <cell r="A209">
            <v>100951</v>
          </cell>
          <cell r="B209" t="str">
            <v>SINAPI</v>
          </cell>
          <cell r="C209"/>
          <cell r="D209" t="str">
            <v>Transporte com caminhão carroceria com guindauto (munck), momento máximo de carga 11,7 tm, em via urbana em revestimento primário (unidade: txkm). AF_07/2020</v>
          </cell>
          <cell r="E209"/>
          <cell r="F209" t="str">
            <v>TXKM</v>
          </cell>
          <cell r="G209">
            <v>2.9</v>
          </cell>
          <cell r="H209" t="str">
            <v>-</v>
          </cell>
        </row>
        <row r="210">
          <cell r="A210">
            <v>100952</v>
          </cell>
          <cell r="B210" t="str">
            <v>SINAPI</v>
          </cell>
          <cell r="C210" t="str">
            <v>ST/0200</v>
          </cell>
          <cell r="D210" t="str">
            <v>Transporte com caminhão carroceria com guindauto (munck), momento máximo de carga 11,7 tm, em via urbana pavimentada, DMT até 30,00 km (unidade: txkm). AF_07/2020</v>
          </cell>
          <cell r="E210"/>
          <cell r="F210" t="str">
            <v>TXKM</v>
          </cell>
          <cell r="G210">
            <v>2.67</v>
          </cell>
          <cell r="H210" t="str">
            <v>-</v>
          </cell>
        </row>
        <row r="211">
          <cell r="A211">
            <v>100953</v>
          </cell>
          <cell r="B211" t="str">
            <v>SINAPI</v>
          </cell>
          <cell r="C211" t="str">
            <v>ST/0205</v>
          </cell>
          <cell r="D211" t="str">
            <v>Transporte com caminhão carroceria com guindauto (munck), momento máximo de carga 11,7 tm, em via urbana pavimentada, adicional para DMT excedente a 30,00 km (unidade: txkm). AF_07/2020</v>
          </cell>
          <cell r="E211"/>
          <cell r="F211" t="str">
            <v>TXKM</v>
          </cell>
          <cell r="G211">
            <v>1.06</v>
          </cell>
          <cell r="H211" t="str">
            <v>-</v>
          </cell>
        </row>
        <row r="212">
          <cell r="A212">
            <v>100954</v>
          </cell>
          <cell r="B212" t="str">
            <v>SINAPI</v>
          </cell>
          <cell r="C212" t="str">
            <v>ST/0210</v>
          </cell>
          <cell r="D212" t="str">
            <v>Transporte com caminhão carroceria com guindauto (munck), momento máximo de carga 11,7 tm, em via interna (dentro do canteiro - unidade: txkm). AF_07/2020</v>
          </cell>
          <cell r="E212"/>
          <cell r="F212" t="str">
            <v>TXKM</v>
          </cell>
          <cell r="G212">
            <v>8.01</v>
          </cell>
          <cell r="H212" t="str">
            <v>-</v>
          </cell>
        </row>
        <row r="213">
          <cell r="A213"/>
          <cell r="B213"/>
          <cell r="C213"/>
          <cell r="D213"/>
          <cell r="E213"/>
          <cell r="F213"/>
          <cell r="G213"/>
          <cell r="H213"/>
        </row>
        <row r="214">
          <cell r="A214"/>
          <cell r="B214"/>
          <cell r="C214" t="str">
            <v>4.0</v>
          </cell>
          <cell r="D214" t="str">
            <v>MICRO E MACRODRENAGEM - ESCORAMENTO E CONTENÇÃO</v>
          </cell>
          <cell r="E214"/>
          <cell r="F214"/>
          <cell r="G214"/>
          <cell r="H214" t="str">
            <v/>
          </cell>
        </row>
        <row r="215">
          <cell r="A215">
            <v>101570</v>
          </cell>
          <cell r="B215" t="str">
            <v>SINAPI</v>
          </cell>
          <cell r="C215"/>
          <cell r="D215" t="str">
            <v>Escoramento de vala, tipo pontaleteamento, com profundidade de 0,00 a 1,50 m, largura menor que 1,50 m. AF_08/2020</v>
          </cell>
          <cell r="E215" t="str">
            <v>PONTALETEAMENTO</v>
          </cell>
          <cell r="F215" t="str">
            <v>M2</v>
          </cell>
          <cell r="G215">
            <v>22.68</v>
          </cell>
          <cell r="H215" t="str">
            <v>-</v>
          </cell>
        </row>
        <row r="216">
          <cell r="A216">
            <v>101571</v>
          </cell>
          <cell r="B216" t="str">
            <v>SINAPI</v>
          </cell>
          <cell r="C216"/>
          <cell r="D216" t="str">
            <v>Escoramento de vala, tipo pontaleteamento, com profundidade de 0,00 a 1,50 m, largura maior ou igual a 1,50 m e menor que 2,50 m. AF_08/2020</v>
          </cell>
          <cell r="E216"/>
          <cell r="F216" t="str">
            <v>M2</v>
          </cell>
          <cell r="G216">
            <v>30.6</v>
          </cell>
          <cell r="H216" t="str">
            <v>-</v>
          </cell>
        </row>
        <row r="217">
          <cell r="A217">
            <v>101572</v>
          </cell>
          <cell r="B217" t="str">
            <v>SINAPI</v>
          </cell>
          <cell r="C217"/>
          <cell r="D217" t="str">
            <v>Escoramento de vala, tipo pontaleteamento, com profundidade de 1,50 a 3,00 m, largura menor que 1,50 m. AF_08/2020</v>
          </cell>
          <cell r="E217"/>
          <cell r="F217" t="str">
            <v>M2</v>
          </cell>
          <cell r="G217">
            <v>17.95</v>
          </cell>
          <cell r="H217" t="str">
            <v>-</v>
          </cell>
        </row>
        <row r="218">
          <cell r="A218">
            <v>101573</v>
          </cell>
          <cell r="B218" t="str">
            <v>SINAPI</v>
          </cell>
          <cell r="C218">
            <v>94040</v>
          </cell>
          <cell r="D218" t="str">
            <v>Escoramento de vala, tipo pontaleteamento, com profundidade de 1,50 a 3,00 m, largura maior ou igual a 1,50 m e menor que 2,50 m. AF_08/2020</v>
          </cell>
          <cell r="E218"/>
          <cell r="F218" t="str">
            <v>M2</v>
          </cell>
          <cell r="G218">
            <v>25.87</v>
          </cell>
          <cell r="H218" t="str">
            <v>-</v>
          </cell>
        </row>
        <row r="219">
          <cell r="A219">
            <v>101576</v>
          </cell>
          <cell r="B219" t="str">
            <v>SINAPI</v>
          </cell>
          <cell r="C219"/>
          <cell r="D219" t="str">
            <v>Escoramento de vala, tipo descontínuo, com profundidade de 0,00 a 1,50 m, largura menor que 1,50 m. AF_08/2020</v>
          </cell>
          <cell r="E219" t="str">
            <v>DESCONTÍNUO</v>
          </cell>
          <cell r="F219" t="str">
            <v>M2</v>
          </cell>
          <cell r="G219">
            <v>41.73</v>
          </cell>
          <cell r="H219" t="str">
            <v>-</v>
          </cell>
        </row>
        <row r="220">
          <cell r="A220">
            <v>101577</v>
          </cell>
          <cell r="B220" t="str">
            <v>SINAPI</v>
          </cell>
          <cell r="C220"/>
          <cell r="D220" t="str">
            <v>Escoramento de vala, tipo descontínuo, com profundidade de 0,00 a 1,50 m, largura maior ou igual a 1,50 m e menor que 2,50 m. AF_08/2020</v>
          </cell>
          <cell r="E220"/>
          <cell r="F220" t="str">
            <v>M2</v>
          </cell>
          <cell r="G220">
            <v>51.79</v>
          </cell>
          <cell r="H220" t="str">
            <v>-</v>
          </cell>
        </row>
        <row r="221">
          <cell r="A221">
            <v>101578</v>
          </cell>
          <cell r="B221" t="str">
            <v>SINAPI</v>
          </cell>
          <cell r="C221"/>
          <cell r="D221" t="str">
            <v>Escoramento de vala, tipo descontínuo, com profundidade de 1,50 m a 3,00 m, largura menor que 1,50 m. AF_08/2020</v>
          </cell>
          <cell r="E221"/>
          <cell r="F221" t="str">
            <v>M2</v>
          </cell>
          <cell r="G221">
            <v>34.799999999999997</v>
          </cell>
          <cell r="H221" t="str">
            <v>-</v>
          </cell>
        </row>
        <row r="222">
          <cell r="A222">
            <v>101579</v>
          </cell>
          <cell r="B222" t="str">
            <v>SINAPI</v>
          </cell>
          <cell r="C222"/>
          <cell r="D222" t="str">
            <v>Escoramento de vala, tipo descontínuo, com profundidade de 1,50 a 3,00 m, largura maior ou igual a 1,50 m e menor que 2,50 m. AF_08/2020</v>
          </cell>
          <cell r="E222"/>
          <cell r="F222" t="str">
            <v>M2</v>
          </cell>
          <cell r="G222">
            <v>44.87</v>
          </cell>
          <cell r="H222" t="str">
            <v>-</v>
          </cell>
        </row>
        <row r="223">
          <cell r="A223">
            <v>101586</v>
          </cell>
          <cell r="B223" t="str">
            <v>SINAPI</v>
          </cell>
          <cell r="C223"/>
          <cell r="D223" t="str">
            <v>Escoramento de vala, tipo contínuo, com profundidade de 3,00 a 4,50 m, largura menor que 1,50 m. AF_08/2020</v>
          </cell>
          <cell r="E223" t="str">
            <v>CONTÍNUO</v>
          </cell>
          <cell r="F223" t="str">
            <v>M2</v>
          </cell>
          <cell r="G223">
            <v>50.1</v>
          </cell>
          <cell r="H223" t="str">
            <v>-</v>
          </cell>
        </row>
        <row r="224">
          <cell r="A224">
            <v>101587</v>
          </cell>
          <cell r="B224" t="str">
            <v>SINAPI</v>
          </cell>
          <cell r="C224"/>
          <cell r="D224" t="str">
            <v>Escoramento de vala, tipo contínuo, com profundidade de 3,00 a 4,50 m, largura maior ou igual a 1,50 e menor que 2,50 m. AF_08/2020</v>
          </cell>
          <cell r="E224"/>
          <cell r="F224" t="str">
            <v>M2</v>
          </cell>
          <cell r="G224">
            <v>65.88</v>
          </cell>
          <cell r="H224" t="str">
            <v>-</v>
          </cell>
        </row>
        <row r="225">
          <cell r="A225">
            <v>101600</v>
          </cell>
          <cell r="B225" t="str">
            <v>SINAPI</v>
          </cell>
          <cell r="C225"/>
          <cell r="D225" t="str">
            <v>Escoramento de vala, tipo blindagem, com profundidade de 0,00 a 1,50 m, largura menor que 1,50 m - execução, não inclui material. AF_08/2020</v>
          </cell>
          <cell r="E225" t="str">
            <v>BLINDADO</v>
          </cell>
          <cell r="F225" t="str">
            <v>M2</v>
          </cell>
          <cell r="G225">
            <v>16.829999999999998</v>
          </cell>
          <cell r="H225" t="str">
            <v>-</v>
          </cell>
        </row>
        <row r="226">
          <cell r="A226">
            <v>101601</v>
          </cell>
          <cell r="B226" t="str">
            <v>SINAPI</v>
          </cell>
          <cell r="C226"/>
          <cell r="D226" t="str">
            <v>Escoramento de vala, tipo blindagem com profundidade de 0,00 a 1,50 m, largura maior ou igual a 1,50 m e menor que 2,50 m - execução, não inclui material. AF_08/2020</v>
          </cell>
          <cell r="E226"/>
          <cell r="F226" t="str">
            <v>M2</v>
          </cell>
          <cell r="G226">
            <v>24.92</v>
          </cell>
          <cell r="H226" t="str">
            <v>-</v>
          </cell>
        </row>
        <row r="227">
          <cell r="A227">
            <v>101602</v>
          </cell>
          <cell r="B227" t="str">
            <v>SINAPI</v>
          </cell>
          <cell r="C227"/>
          <cell r="D227" t="str">
            <v>Escoramento de vala, tipo blindagem, com profundidade de 1,50 a 3,00 m, largura menor que 1,50 m - execução, não inclui material. AF_08/2020</v>
          </cell>
          <cell r="E227"/>
          <cell r="F227" t="str">
            <v>M2</v>
          </cell>
          <cell r="G227">
            <v>12.49</v>
          </cell>
          <cell r="H227" t="str">
            <v>-</v>
          </cell>
        </row>
        <row r="228">
          <cell r="A228">
            <v>101603</v>
          </cell>
          <cell r="B228" t="str">
            <v>SINAPI</v>
          </cell>
          <cell r="C228"/>
          <cell r="D228" t="str">
            <v>Escoramento de vala, tipo blindagem, com profundidade de 1,50 a 3,00 m, largura maior ou igual a 1,50 m e menor que 2,50 m - execução, não inclui material. AF_08/2020</v>
          </cell>
          <cell r="E228"/>
          <cell r="F228" t="str">
            <v>M2</v>
          </cell>
          <cell r="G228">
            <v>20.56</v>
          </cell>
          <cell r="H228" t="str">
            <v>-</v>
          </cell>
        </row>
        <row r="229">
          <cell r="A229">
            <v>101604</v>
          </cell>
          <cell r="B229" t="str">
            <v>SINAPI</v>
          </cell>
          <cell r="C229"/>
          <cell r="D229" t="str">
            <v>Escoramento de vala, tipo blindagem, com profundidade de 3,00 a 4,50 m, largura menor que 1,50 m - execução, não inclui material. AF_08/2020</v>
          </cell>
          <cell r="E229"/>
          <cell r="F229" t="str">
            <v>M2</v>
          </cell>
          <cell r="G229">
            <v>8.16</v>
          </cell>
          <cell r="H229" t="str">
            <v>-</v>
          </cell>
        </row>
        <row r="230">
          <cell r="A230">
            <v>101605</v>
          </cell>
          <cell r="B230" t="str">
            <v>SINAPI</v>
          </cell>
          <cell r="C230"/>
          <cell r="D230" t="str">
            <v>Escoramento de vala, tipo blindagem, com profundidade de 3,00 a 4,50 m, largura maior ou igual a 1,50 m e menor que 2,50 m - execução, não inclui material. AF_08/2020</v>
          </cell>
          <cell r="E230"/>
          <cell r="F230" t="str">
            <v>M2</v>
          </cell>
          <cell r="G230">
            <v>16.25</v>
          </cell>
          <cell r="H230" t="str">
            <v>-</v>
          </cell>
        </row>
        <row r="231">
          <cell r="A231" t="str">
            <v>ES/0010</v>
          </cell>
          <cell r="B231" t="str">
            <v>COMPOSIÇÃO</v>
          </cell>
          <cell r="C231"/>
          <cell r="D231" t="str">
            <v>Escoramento de vala, tipo blindado, com profundidade de 1,5 a 3,0 m, largura maior ou igual a 1,5 m e menor que 2,5 m. Altura do escoramento igual a 2,4 m.  Execução e fornecimento, inclui material. (REF. SINAPI COD. 03.ESCO.VALA.040/01)</v>
          </cell>
          <cell r="E231"/>
          <cell r="F231" t="str">
            <v>M2</v>
          </cell>
          <cell r="G231">
            <v>23.4</v>
          </cell>
          <cell r="H231" t="str">
            <v>-</v>
          </cell>
        </row>
        <row r="232">
          <cell r="A232" t="str">
            <v>ES/0015</v>
          </cell>
          <cell r="B232" t="str">
            <v>COMPOSIÇÃO</v>
          </cell>
          <cell r="C232"/>
          <cell r="D232" t="str">
            <v>Escoramento de vala, tipo blindado, com profundidade de 3,0 a 4,5 m, largura maior ou igual a 1,5 m e menor que 2,5 m. Altura do escoramento igual a 2,4 m.  Execução e fornecimento, inclui material. (REF. SINAPI COD. 03.ESCO.VALA.042/01)</v>
          </cell>
          <cell r="E232"/>
          <cell r="F232" t="str">
            <v>M2</v>
          </cell>
          <cell r="G232">
            <v>20.02</v>
          </cell>
          <cell r="H232" t="str">
            <v>-</v>
          </cell>
        </row>
        <row r="233">
          <cell r="A233" t="str">
            <v>ES/0020</v>
          </cell>
          <cell r="B233" t="str">
            <v>COMPOSIÇÃO</v>
          </cell>
          <cell r="C233"/>
          <cell r="D233" t="str">
            <v>Contenção tipo estaca secante com escora de eucalipto D = 20cm, área cravada</v>
          </cell>
          <cell r="E233"/>
          <cell r="F233" t="str">
            <v>M2</v>
          </cell>
          <cell r="G233">
            <v>611.51</v>
          </cell>
          <cell r="H233" t="str">
            <v>-</v>
          </cell>
        </row>
        <row r="234">
          <cell r="A234" t="str">
            <v>ES/0025</v>
          </cell>
          <cell r="B234" t="str">
            <v>COMPOSIÇÃO</v>
          </cell>
          <cell r="C234"/>
          <cell r="D234" t="str">
            <v>Escoramento contínuo em talude de escavação, com estaca-prancha metálica em Aço ASTM, com utilização de 10 vezes, incluindo cravação e extração. Cravação com emprego de escavadeira hidráulica em solo de baixa a média resistência à penetração</v>
          </cell>
          <cell r="E234"/>
          <cell r="F234" t="str">
            <v>M2</v>
          </cell>
          <cell r="G234">
            <v>331.26</v>
          </cell>
          <cell r="H234" t="str">
            <v>-</v>
          </cell>
        </row>
        <row r="235">
          <cell r="A235" t="str">
            <v>ES/0030</v>
          </cell>
          <cell r="B235" t="str">
            <v>COMPOSIÇÃO</v>
          </cell>
          <cell r="C235"/>
          <cell r="D235" t="str">
            <v>Escoramento de vala, tipo blindagem, com profundidade de 0 a 1,5 m, largura menor que 1,5 m. Altura do escoramento igual a 1,8 m.  Execução e fornecimento, inclui material. (REF. SINAPI COD. 03.ESCO.VALA.037/01)</v>
          </cell>
          <cell r="E235"/>
          <cell r="F235" t="str">
            <v>M2</v>
          </cell>
          <cell r="G235">
            <v>20.93</v>
          </cell>
          <cell r="H235" t="str">
            <v>-</v>
          </cell>
        </row>
        <row r="236">
          <cell r="A236" t="str">
            <v>ES/0035</v>
          </cell>
          <cell r="B236" t="str">
            <v>COMPOSIÇÃO</v>
          </cell>
          <cell r="C236"/>
          <cell r="D236" t="str">
            <v>Escoramento de vala, tipo blindado, com profundidade de 0 a 1,5 m, largura maior ou igual a 1,5 m e menor que 2,5 m. Altura do escoramento igual a 1,8 m.  Execução e fornecimento, inclui material. (REF. SINAPI COD. 03.ESCO.VALA.038/01)</v>
          </cell>
          <cell r="E236"/>
          <cell r="F236" t="str">
            <v>M2</v>
          </cell>
          <cell r="G236">
            <v>29.53</v>
          </cell>
          <cell r="H236" t="str">
            <v>-</v>
          </cell>
        </row>
        <row r="237">
          <cell r="A237" t="str">
            <v>ES/0040</v>
          </cell>
          <cell r="B237" t="str">
            <v>COMPOSIÇÃO</v>
          </cell>
          <cell r="C237"/>
          <cell r="D237" t="str">
            <v>Escoramento de vala, tipo blindado, com profundidade de 1,5 a 3,0 m, largura menor que 1,5 m. Altura do escoramento igual a 2,4 m.  Execução e fornecimento, inclui material. (REF. SINAPI COD. 03.ESCO.VALA.039/01)</v>
          </cell>
          <cell r="E237"/>
          <cell r="F237" t="str">
            <v>M2</v>
          </cell>
          <cell r="G237">
            <v>15.12</v>
          </cell>
          <cell r="H237" t="str">
            <v>-</v>
          </cell>
        </row>
        <row r="238">
          <cell r="A238" t="str">
            <v>ES/0045</v>
          </cell>
          <cell r="B238" t="str">
            <v>COMPOSIÇÃO</v>
          </cell>
          <cell r="C238"/>
          <cell r="D238" t="str">
            <v>Escoramento de vala, tipo blindado, com profundidade de 3,0 a 4,5 m, largura menor que 1,5 m. Altura do escoramento igual a 2,4 m.  Execução e fornecimento, inclui material. (REF. SINAPI COD. 03.ESCO.VALA.041/01)</v>
          </cell>
          <cell r="E238"/>
          <cell r="F238" t="str">
            <v>M2</v>
          </cell>
          <cell r="G238">
            <v>11.69</v>
          </cell>
          <cell r="H238" t="str">
            <v>-</v>
          </cell>
        </row>
        <row r="239">
          <cell r="A239" t="str">
            <v>ES/0050</v>
          </cell>
          <cell r="B239" t="str">
            <v>COMPOSIÇÃO</v>
          </cell>
          <cell r="C239"/>
          <cell r="D239" t="str">
            <v>Escoramento de vala, tipo blindado, com profundidade da vala maior que 2,4 m, largura maior ou igual a 2,5 m e menor que 3,5 m. Altura do escoramento igual a 2,4 m.  Execução e fornecimento, inclui material. (REF. SINAPI COD. 03.ESCO.VALA.042/01)</v>
          </cell>
          <cell r="E239"/>
          <cell r="F239" t="str">
            <v>M2</v>
          </cell>
          <cell r="G239">
            <v>20.27</v>
          </cell>
          <cell r="H239" t="str">
            <v>-</v>
          </cell>
        </row>
        <row r="240">
          <cell r="A240" t="str">
            <v>ES/0055</v>
          </cell>
          <cell r="B240" t="str">
            <v>COMPOSIÇÃO</v>
          </cell>
          <cell r="C240"/>
          <cell r="D240" t="str">
            <v>Escoramento de vala, tipo blindado, com profundidade da vala maior que 2,4 m, largura maior ou igual a 4,5 m e menor que 5,5 m. Altura do escoramento igual a 2,4 m.  Execução e fornecimento, inclui material. (REF. SINAPI COD. 03.ESCO.VALA.042/01)</v>
          </cell>
          <cell r="E240"/>
          <cell r="F240" t="str">
            <v>M2</v>
          </cell>
          <cell r="G240">
            <v>20.76</v>
          </cell>
          <cell r="H240" t="str">
            <v>-</v>
          </cell>
        </row>
        <row r="241">
          <cell r="A241" t="str">
            <v>ES/0060</v>
          </cell>
          <cell r="B241" t="str">
            <v>COMPOSIÇÃO</v>
          </cell>
          <cell r="C241"/>
          <cell r="D241" t="str">
            <v>Escoramento de vala, tipo blindado, com profundidade de 1,5 a 3,0 m, largura maior ou igual a 1,5 m e menor que 2,5 m. Altura do escoramento igual a 2,4 m.  Execução e fornecimento, inclui material. (REF. SINAPI COD. 03.ESCO.VALA.040/01). PRAÇA: Três Lagoas/MS</v>
          </cell>
          <cell r="E241"/>
          <cell r="F241" t="str">
            <v>M2</v>
          </cell>
          <cell r="G241">
            <v>23.38</v>
          </cell>
          <cell r="H241" t="str">
            <v>-</v>
          </cell>
        </row>
        <row r="242">
          <cell r="A242" t="str">
            <v>ES/0065</v>
          </cell>
          <cell r="B242" t="str">
            <v>COMPOSIÇÃO</v>
          </cell>
          <cell r="C242"/>
          <cell r="D242" t="str">
            <v>Escoramento de vala, tipo blindado, com profundidade de 3,0 a 4,5 m, largura maior ou igual a 1,5 m e menor que 2,5 m. Altura do escoramento igual a 2,4 m.  Execução e fornecimento, inclui material. (REF. SINAPI COD. 03.ESCO.VALA.042/01). PRAÇA: Três Lagoas/MS</v>
          </cell>
          <cell r="E242"/>
          <cell r="F242" t="str">
            <v>M2</v>
          </cell>
          <cell r="G242">
            <v>20</v>
          </cell>
          <cell r="H242" t="str">
            <v>-</v>
          </cell>
        </row>
        <row r="243">
          <cell r="A243" t="str">
            <v>ES/0070</v>
          </cell>
          <cell r="B243" t="str">
            <v>COMPOSIÇÃO</v>
          </cell>
          <cell r="C243"/>
          <cell r="D243" t="str">
            <v>Escoramento de vala, tipo blindado, com profundidade de 1,5 a 3,0 m, largura menor que 1,5 m. Altura do escoramento igual a 2,4 m.  Execução e fornecimento, inclui material. (REF. SINAPI COD. 03.ESCO.VALA.039/01). PRAÇA: Três Lagoas/MS</v>
          </cell>
          <cell r="E243"/>
          <cell r="F243" t="str">
            <v>M2</v>
          </cell>
          <cell r="G243">
            <v>15.11</v>
          </cell>
          <cell r="H243" t="str">
            <v>-</v>
          </cell>
        </row>
        <row r="244">
          <cell r="A244" t="str">
            <v>ES/0075</v>
          </cell>
          <cell r="B244" t="str">
            <v>COMPOSIÇÃO</v>
          </cell>
          <cell r="C244"/>
          <cell r="D244" t="str">
            <v>Escoramento de vala, tipo blindado, com profundidade de 3,0 a 4,5 m, largura menor que 1,5 m. Altura do escoramento igual a 2,4 m.  Execução e fornecimento, inclui material. (REF. SINAPI COD. 03.ESCO.VALA.041/01). PRAÇA: Três Lagoas/MS</v>
          </cell>
          <cell r="E244"/>
          <cell r="F244" t="str">
            <v>M2</v>
          </cell>
          <cell r="G244">
            <v>11.67</v>
          </cell>
          <cell r="H244" t="str">
            <v>-</v>
          </cell>
        </row>
        <row r="245">
          <cell r="A245" t="str">
            <v>ES/0080</v>
          </cell>
          <cell r="B245" t="str">
            <v>COMPOSIÇÃO</v>
          </cell>
          <cell r="C245"/>
          <cell r="D245" t="str">
            <v>Escoramento de vala, tipo blindado, com profundidade da vala maior que 2,4 m, largura maior ou igual a 2,5 m e menor que 3,5 m. Altura do escoramento igual a 2,4 m.  Execução e fornecimento, inclui material. (REF. SINAPI COD. 03.ESCO.VALA.042/01). PRAÇA: Três Lagoas/MS</v>
          </cell>
          <cell r="E245"/>
          <cell r="F245" t="str">
            <v>M2</v>
          </cell>
          <cell r="G245">
            <v>20.25</v>
          </cell>
          <cell r="H245" t="str">
            <v>-</v>
          </cell>
        </row>
        <row r="246">
          <cell r="A246" t="str">
            <v>ES/0085</v>
          </cell>
          <cell r="B246" t="str">
            <v>COMPOSIÇÃO</v>
          </cell>
          <cell r="C246"/>
          <cell r="D246" t="str">
            <v>Escoramento de vala, tipo blindado, com profundidade da vala maior que 2,4 m, largura maior ou igual a 4,5 m e menor que 5,5 m. Altura do escoramento igual a 2,4 m.  Execução e fornecimento, inclui material. (REF. SINAPI COD. 03.ESCO.VALA.042/01). PRAÇA: Três Lagoas/MS</v>
          </cell>
          <cell r="E246"/>
          <cell r="F246" t="str">
            <v>M2</v>
          </cell>
          <cell r="G246">
            <v>20.74</v>
          </cell>
          <cell r="H246" t="str">
            <v>-</v>
          </cell>
        </row>
        <row r="247">
          <cell r="A247" t="str">
            <v>ES/0090</v>
          </cell>
          <cell r="B247" t="str">
            <v>COMPOSIÇÃO</v>
          </cell>
          <cell r="C247"/>
          <cell r="D247" t="str">
            <v>Escoramento de vala, tipo blindado, com profundidade de 1,5 a 3,0 m, largura maior ou igual a 1,5 m e menor que 2,5 m. Altura do escoramento igual a 3,0 m e comprimento de 3,6 m.  Execução e fornecimento, inclui material. (REF. SINAPI COD. 03.ESCO.VALA.040/01). PRAÇA: Três Lagoas/MS</v>
          </cell>
          <cell r="E247"/>
          <cell r="F247" t="str">
            <v>M2</v>
          </cell>
          <cell r="G247">
            <v>24.23</v>
          </cell>
          <cell r="H247" t="str">
            <v>-</v>
          </cell>
        </row>
        <row r="248">
          <cell r="A248" t="str">
            <v>ES/0095</v>
          </cell>
          <cell r="B248" t="str">
            <v>COMPOSIÇÃO</v>
          </cell>
          <cell r="C248"/>
          <cell r="D248" t="str">
            <v>Escoramento de vala, tipo blindado, com profundidade de 1,5 a 3,0 m, largura maior ou igual a 3,5 m e menor que 4,5 m. Altura do escoramento igual a 3,0 m e comprimento de 3,6 m.  Execução e fornecimento, inclui material. (REF. SINAPI COD. 03.ESCO.VALA.040/01). PRAÇA: Três Lagoas/MS</v>
          </cell>
          <cell r="E248"/>
          <cell r="F248" t="str">
            <v>M2</v>
          </cell>
          <cell r="G248">
            <v>24.6</v>
          </cell>
          <cell r="H248" t="str">
            <v>-</v>
          </cell>
        </row>
        <row r="249">
          <cell r="A249" t="str">
            <v>ES/0100</v>
          </cell>
          <cell r="B249" t="str">
            <v>COMPOSIÇÃO</v>
          </cell>
          <cell r="C249"/>
          <cell r="D249" t="str">
            <v>Escoramento de vala, tipo blindado, com profundidade de 1,5 a 3,0 m, largura maior ou igual a 2,5 m e menor que 3,5 m. Altura do escoramento igual a 3,0 m e comprimento de 3,6 m.  Execução e fornecimento, inclui material. (REF. SINAPI COD. 03.ESCO.VALA.040/01). PRAÇA: Três Lagoas/MS</v>
          </cell>
          <cell r="E249"/>
          <cell r="F249" t="str">
            <v>M2</v>
          </cell>
          <cell r="G249">
            <v>24.42</v>
          </cell>
          <cell r="H249" t="str">
            <v>-</v>
          </cell>
        </row>
        <row r="250">
          <cell r="A250" t="str">
            <v>ES/0105</v>
          </cell>
          <cell r="B250" t="str">
            <v>COMPOSIÇÃO</v>
          </cell>
          <cell r="C250"/>
          <cell r="D250" t="str">
            <v>Escoramento de vala, tipo blindado, com profundidade de 1,5 a 3,0 m, largura maior ou igual a 4,5 m e menor que 5,5 m. Altura do escoramento igual a 3,0 m e comprimento de 3,6 m.  Execução e fornecimento, inclui material. (REF. SINAPI COD. 03.ESCO.VALA.040/01). PRAÇA: Três Lagoas/MS</v>
          </cell>
          <cell r="E250"/>
          <cell r="F250" t="str">
            <v>M2</v>
          </cell>
          <cell r="G250">
            <v>24.79</v>
          </cell>
          <cell r="H250" t="str">
            <v>-</v>
          </cell>
        </row>
        <row r="251">
          <cell r="A251"/>
          <cell r="B251"/>
          <cell r="C251"/>
          <cell r="D251"/>
          <cell r="E251"/>
          <cell r="F251"/>
          <cell r="G251"/>
          <cell r="H251"/>
        </row>
        <row r="252">
          <cell r="A252"/>
          <cell r="B252"/>
          <cell r="C252" t="str">
            <v>5.0</v>
          </cell>
          <cell r="D252" t="str">
            <v>MICRO E MACRODRENAGEM - TERRAPLENAGEM</v>
          </cell>
          <cell r="E252"/>
          <cell r="F252"/>
          <cell r="G252"/>
          <cell r="H252" t="str">
            <v/>
          </cell>
        </row>
        <row r="253">
          <cell r="A253" t="str">
            <v>DR/0005</v>
          </cell>
          <cell r="B253" t="str">
            <v>COMPOSIÇÃO</v>
          </cell>
          <cell r="C253"/>
          <cell r="D253" t="str">
            <v>Tombo - carga com escavadeira hidráulica sobre esteiras</v>
          </cell>
          <cell r="E253"/>
          <cell r="F253" t="str">
            <v>M3</v>
          </cell>
          <cell r="G253">
            <v>2.4700000000000002</v>
          </cell>
          <cell r="H253" t="str">
            <v>-</v>
          </cell>
        </row>
        <row r="254">
          <cell r="A254">
            <v>101236</v>
          </cell>
          <cell r="B254" t="str">
            <v>SINAPI</v>
          </cell>
          <cell r="C254">
            <v>89893</v>
          </cell>
          <cell r="D254" t="str">
            <v>Escavação vertical a céu aberto, em obras de infraestrutura, incluindo carga, descarga e transporte, em solo de 1a categoria com escavadeira hidráulica (caçamba: 0,80 m3 / 111HP), frota de 6 caminhões basculantes de 14 m3, DMT de 3 km e velocidade média 20km/h. AF_05/2020</v>
          </cell>
          <cell r="E254" t="str">
            <v>ATENÇÃO
verificar o  DMT</v>
          </cell>
          <cell r="F254" t="str">
            <v>M3</v>
          </cell>
          <cell r="G254">
            <v>20.47</v>
          </cell>
          <cell r="H254" t="str">
            <v>-</v>
          </cell>
        </row>
        <row r="255">
          <cell r="A255">
            <v>101237</v>
          </cell>
          <cell r="B255" t="str">
            <v>SINAPI</v>
          </cell>
          <cell r="C255">
            <v>89894</v>
          </cell>
          <cell r="D255" t="str">
            <v>Escavação vertical a céu aberto, em obras de infraestrutura, incluindo carga, descarga e transporte, em solo de 1a categoria com escavadeira hidráulica (caçamba: 0,80 m3 / 111HP), frota de 6 caminhões basculantes de 14 m3, DMT de 4 km e velocidade média 22km/h. AF_05/2020</v>
          </cell>
          <cell r="E255"/>
          <cell r="F255" t="str">
            <v>M3</v>
          </cell>
          <cell r="G255">
            <v>21.79</v>
          </cell>
          <cell r="H255" t="str">
            <v>-</v>
          </cell>
        </row>
        <row r="256">
          <cell r="A256">
            <v>101238</v>
          </cell>
          <cell r="B256" t="str">
            <v>SINAPI</v>
          </cell>
          <cell r="C256">
            <v>89895</v>
          </cell>
          <cell r="D256" t="str">
            <v>Escavação vertical a céu aberto, em obras de infraestrutura, incluindo carga, descarga e transporte, em solo de 1a categoria com escavadeira hidráulica (caçamba: 0,80 m3 / 111HP), frota de 8 caminhões basculantes de 14 m3, DMT de 6 km e velocidade média 22km/h. AF_05/2020</v>
          </cell>
          <cell r="E256"/>
          <cell r="F256" t="str">
            <v>M3</v>
          </cell>
          <cell r="G256">
            <v>27.56</v>
          </cell>
          <cell r="H256" t="str">
            <v>-</v>
          </cell>
        </row>
        <row r="257">
          <cell r="A257" t="str">
            <v>DR/0007</v>
          </cell>
          <cell r="B257" t="str">
            <v>COMPOSIÇÃO</v>
          </cell>
          <cell r="C257">
            <v>83336</v>
          </cell>
          <cell r="D257" t="str">
            <v>Escavação mecânica para acerto de taludes em material de 1a categoria,com escavadeira hidráulica (REF. SINAPI. COD. 83336)</v>
          </cell>
          <cell r="E257"/>
          <cell r="F257" t="str">
            <v>M3</v>
          </cell>
          <cell r="G257">
            <v>6.23</v>
          </cell>
          <cell r="H257" t="str">
            <v>-</v>
          </cell>
        </row>
        <row r="258">
          <cell r="A258" t="str">
            <v>DR/0008</v>
          </cell>
          <cell r="B258" t="str">
            <v>COMPOSIÇÃO</v>
          </cell>
          <cell r="C258"/>
          <cell r="D258" t="str">
            <v>Regularização manual de taludes de cortes e aterros (Refer. SICRO CÓD. 4413985, DB 04/2021)</v>
          </cell>
          <cell r="E258"/>
          <cell r="F258" t="str">
            <v>M2</v>
          </cell>
          <cell r="G258">
            <v>19.75</v>
          </cell>
          <cell r="H258" t="str">
            <v>-</v>
          </cell>
        </row>
        <row r="259">
          <cell r="A259" t="str">
            <v>DR/0010</v>
          </cell>
          <cell r="B259" t="str">
            <v>COMPOSIÇÃO</v>
          </cell>
          <cell r="C259"/>
          <cell r="D259" t="str">
            <v>Extração de areia com draga de sucção sobre flutuante, com descarga em meio terrestre por recalque com mangote de PEAD Ø6", até 150 m (REF. SICRO COD. 4816020)</v>
          </cell>
          <cell r="E259"/>
          <cell r="F259" t="str">
            <v>M3</v>
          </cell>
          <cell r="G259">
            <v>16.670000000000002</v>
          </cell>
          <cell r="H259" t="str">
            <v>-</v>
          </cell>
        </row>
        <row r="260">
          <cell r="A260" t="str">
            <v>DR/0015</v>
          </cell>
          <cell r="B260" t="str">
            <v>COMPOSIÇÃO</v>
          </cell>
          <cell r="C260"/>
          <cell r="D260" t="str">
            <v>Escavação manual em solo para execução de bueiro através de sistema destrutivo, tunnel liner, inclusive remoção horizontal até 50m do material escavado. Exclusive poço de ataque, esgotamento e escoramento (REF. SICRO COD. 4816000)</v>
          </cell>
          <cell r="E260"/>
          <cell r="F260" t="str">
            <v>M3</v>
          </cell>
          <cell r="G260">
            <v>548.1</v>
          </cell>
          <cell r="H260" t="str">
            <v>-</v>
          </cell>
        </row>
        <row r="261">
          <cell r="A261">
            <v>93358</v>
          </cell>
          <cell r="B261" t="str">
            <v>SINAPI</v>
          </cell>
          <cell r="C261"/>
          <cell r="D261" t="str">
            <v>Escavação manual de vala com profundidade menor ou igual a 1,30 m. AF_03/2016</v>
          </cell>
          <cell r="E261"/>
          <cell r="F261" t="str">
            <v>M3</v>
          </cell>
          <cell r="G261">
            <v>78.13</v>
          </cell>
          <cell r="H261" t="str">
            <v>-</v>
          </cell>
        </row>
        <row r="262">
          <cell r="A262">
            <v>90105</v>
          </cell>
          <cell r="B262" t="str">
            <v>SINAPI</v>
          </cell>
          <cell r="C262">
            <v>12.76</v>
          </cell>
          <cell r="D262" t="str">
            <v>Escavação mecanizada de vala com profundidade até 1,50 m (média entre montante e jusante / uma composição por trecho) com retroescavadeira (capacidade da caçamba: 0,26 m3 / potência: 88 HP), largura menor que 0,80 m, em solo de 1a categoria, locais com baixo nível de interferência. AF_01/2015</v>
          </cell>
          <cell r="E262" t="str">
            <v>H &lt; 1,50
baixa Interferência</v>
          </cell>
          <cell r="F262" t="str">
            <v>M3</v>
          </cell>
          <cell r="G262">
            <v>8.52</v>
          </cell>
          <cell r="H262" t="str">
            <v>-</v>
          </cell>
        </row>
        <row r="263">
          <cell r="A263">
            <v>90106</v>
          </cell>
          <cell r="B263" t="str">
            <v>SINAPI</v>
          </cell>
          <cell r="C263">
            <v>14.99</v>
          </cell>
          <cell r="D263" t="str">
            <v>Escavação mecanizada de vala com profundidade até 1,50 m (média entre montante e jusante / uma composição por trecho) com retroescavadeira (capacidade da caçamba: 0,26 m3 / potência: 88 HP), largura de 0,80 m a 1,50 m, em solo de 1a categoria, locais com baixo nível de interferência. AF_01/2015</v>
          </cell>
          <cell r="E263"/>
          <cell r="F263" t="str">
            <v>M3</v>
          </cell>
          <cell r="G263">
            <v>7.26</v>
          </cell>
          <cell r="H263" t="str">
            <v>-</v>
          </cell>
        </row>
        <row r="264">
          <cell r="A264">
            <v>90091</v>
          </cell>
          <cell r="B264" t="str">
            <v>SINAPI</v>
          </cell>
          <cell r="C264">
            <v>22.52</v>
          </cell>
          <cell r="D264" t="str">
            <v>Escavação mecanizada de vala com profundidade até 1,50 m (média entre montante e jusante / uma composição por trecho), com escavadeira hidráulica (capacidade da caçamba: 0,80 m3), largura de 1,50 m a 2,50 m, em solo de 1a categoria, locais com baixo nível de interferência. AF_01/2015</v>
          </cell>
          <cell r="E264"/>
          <cell r="F264" t="str">
            <v>M3</v>
          </cell>
          <cell r="G264">
            <v>6.05</v>
          </cell>
          <cell r="H264" t="str">
            <v>-</v>
          </cell>
        </row>
        <row r="265">
          <cell r="A265">
            <v>90092</v>
          </cell>
          <cell r="B265" t="str">
            <v>SINAPI</v>
          </cell>
          <cell r="C265"/>
          <cell r="D265" t="str">
            <v>Escavação mecanizada de vala com profundidade maior que 1,50 m e até 3,00 m (média entre montante e jusante / uma composição por trecho), com escavadeira hidráulica (capacidade da caçamba: 0,80 m3/ potência: 111 HP), larg. menor que 1,50 m, em solo de 1a categoria, locais com baixo nível de interferência. AF_01/2015</v>
          </cell>
          <cell r="E265"/>
          <cell r="F265" t="str">
            <v>M3</v>
          </cell>
          <cell r="G265">
            <v>5.96</v>
          </cell>
          <cell r="H265" t="str">
            <v>-</v>
          </cell>
        </row>
        <row r="266">
          <cell r="A266">
            <v>90107</v>
          </cell>
          <cell r="B266" t="str">
            <v>SINAPI</v>
          </cell>
          <cell r="C266">
            <v>15.2</v>
          </cell>
          <cell r="D266" t="str">
            <v>Escavação mecanizada de vala com profundidade maior que 1,50 m até 3,00 m (média entre montante e jusante / uma composição por trecho) com retroescavadeira (capacidade da caçamba: 0,26 m3 / potência: 88 HP), largura menor que 0,80 m, em solo de 1a categoria, locais com baixo nível de interferência. AF_01/2015</v>
          </cell>
          <cell r="E266" t="str">
            <v>1,51 &lt; H &lt; 3,00
baixa Interferência</v>
          </cell>
          <cell r="F266" t="str">
            <v>M3</v>
          </cell>
          <cell r="G266">
            <v>7.15</v>
          </cell>
          <cell r="H266" t="str">
            <v>-</v>
          </cell>
        </row>
        <row r="267">
          <cell r="A267">
            <v>90108</v>
          </cell>
          <cell r="B267" t="str">
            <v>SINAPI</v>
          </cell>
          <cell r="C267">
            <v>16.690000000000001</v>
          </cell>
          <cell r="D267" t="str">
            <v>Escavação mecanizada de vala com profundidade maior que 1,50 m até 3,00 m (média entre montante e jusante / uma composição por trecho) com retroescavadeira (capacidade da caçamba: 0,26 m3 / potência: 88 HP), largura de 0,80 m a 1,50 m, em solo de 1a categoria, locais com baixo nível de interferência. AF_01/2015</v>
          </cell>
          <cell r="E267"/>
          <cell r="F267" t="str">
            <v>M3</v>
          </cell>
          <cell r="G267">
            <v>6.51</v>
          </cell>
          <cell r="H267" t="str">
            <v>-</v>
          </cell>
        </row>
        <row r="268">
          <cell r="A268">
            <v>102281</v>
          </cell>
          <cell r="B268" t="str">
            <v>SINAPI</v>
          </cell>
          <cell r="C268" t="str">
            <v>90093
24,69 m3/h</v>
          </cell>
          <cell r="D268" t="str">
            <v>Escavação mecanizada de vala com profundidade maior que 1,50 m até 3,00 m (média entre montante e jusante / uma composição por trecho),com escavadeira hidráulica (capacidade da caçamba: 1,20 m3 / potência: 155 HP),largura de 1,50 m a 2,50 m, em solo de 1a categoria, locais com baixo nível de interferência. AF_02/2021</v>
          </cell>
          <cell r="E268"/>
          <cell r="F268" t="str">
            <v>M3</v>
          </cell>
          <cell r="G268">
            <v>5.35</v>
          </cell>
          <cell r="H268" t="str">
            <v>-</v>
          </cell>
        </row>
        <row r="269">
          <cell r="A269">
            <v>90094</v>
          </cell>
          <cell r="B269" t="str">
            <v>SINAPI</v>
          </cell>
          <cell r="C269">
            <v>24.45</v>
          </cell>
          <cell r="D269" t="str">
            <v>Escavação mecanizada de vala com profundidade maior que 3,00 m até 4,50 m (média entre montante e jusante / uma composição por trecho), com escavadeira hidráulica (capacidade da caçamba: 0,80 m3 / potência: 111 HP), largura menor que 1,50 m, em solo de 1a categoria, locais com baixo nível de interferência. AF_01/2015</v>
          </cell>
          <cell r="E269" t="str">
            <v>3,01 &lt; H &lt; 4,50
baixa Interferência</v>
          </cell>
          <cell r="F269" t="str">
            <v>M3</v>
          </cell>
          <cell r="G269">
            <v>5.65</v>
          </cell>
          <cell r="H269" t="str">
            <v>-</v>
          </cell>
        </row>
        <row r="270">
          <cell r="A270">
            <v>90095</v>
          </cell>
          <cell r="B270" t="str">
            <v>SINAPI</v>
          </cell>
          <cell r="C270">
            <v>21.65</v>
          </cell>
          <cell r="D270" t="str">
            <v>Escavação mecanizada de vala com profundidade maior que 3,00 m até 4,50 m (média entre montante e jusante / uma composição por trecho), com escavadeira hidráulica (capacidade da caçamba: 1,20 m3/ potência: 155 HP), largura de 1,50 m a 2,50 m, em solo de 1a categoria, locais com baixo nível de interferência. AF_01/2015</v>
          </cell>
          <cell r="E270"/>
          <cell r="F270" t="str">
            <v>M3</v>
          </cell>
          <cell r="G270">
            <v>5.13</v>
          </cell>
          <cell r="H270" t="str">
            <v>-</v>
          </cell>
        </row>
        <row r="271">
          <cell r="A271">
            <v>102280</v>
          </cell>
          <cell r="B271" t="str">
            <v>SINAPI</v>
          </cell>
          <cell r="C271" t="str">
            <v>90096
21,19 m3/h</v>
          </cell>
          <cell r="D271" t="str">
            <v>Escavação mecanizada de vala com profundidade maior que 4,50 m até 6,00 m (média entre montante e jusante / uma composição por trecho), com escavadeira hidráulica (capacidade da caçamba: 1,20 m3 / potência: 155 HP), largura menor que 1,50 m, em solo de 1a categoria, locais com baixo nível de interferência. AF_01/2015</v>
          </cell>
          <cell r="E271" t="str">
            <v>H &gt; 4,51
baixa Interferência</v>
          </cell>
          <cell r="F271" t="str">
            <v>M3</v>
          </cell>
          <cell r="G271">
            <v>5.48</v>
          </cell>
          <cell r="H271" t="str">
            <v>-</v>
          </cell>
        </row>
        <row r="272">
          <cell r="A272">
            <v>90098</v>
          </cell>
          <cell r="B272" t="str">
            <v>SINAPI</v>
          </cell>
          <cell r="C272">
            <v>22.08</v>
          </cell>
          <cell r="D272" t="str">
            <v>Escavação mecanizada de vala com profundidade maior que 4,50 m até 6,00 m (média entre montante e jusante / uma composição por trecho), com escavadeira hidráulica (capacidade da caçamba: 1,20 m3 / potência: 155 HP), largura de 1,50 m a 2,50 m, em solo de 1a categoria, locais com baixo nível de interferência. AF_01/2015</v>
          </cell>
          <cell r="E272"/>
          <cell r="F272" t="str">
            <v>M3</v>
          </cell>
          <cell r="G272">
            <v>5.05</v>
          </cell>
          <cell r="H272" t="str">
            <v>-</v>
          </cell>
        </row>
        <row r="273">
          <cell r="A273">
            <v>90099</v>
          </cell>
          <cell r="B273" t="str">
            <v>SINAPI</v>
          </cell>
          <cell r="C273">
            <v>7.62</v>
          </cell>
          <cell r="D273" t="str">
            <v>Escavação mecanizada de vala com profundidade até 1,50 m (média entre montante e jusante / uma composição por trecho), com retroescavadeira (capacidade da caçamba: 0,26 m3 / potência: 88 HP), largura menor que 0,80 m, em solo de 1a categoria, em locais com alto nível de interferência. AF_01/2015</v>
          </cell>
          <cell r="E273" t="str">
            <v>H &lt; 1,50
alta Interferência</v>
          </cell>
          <cell r="F273" t="str">
            <v>M3</v>
          </cell>
          <cell r="G273">
            <v>15.47</v>
          </cell>
          <cell r="H273" t="str">
            <v>-</v>
          </cell>
        </row>
        <row r="274">
          <cell r="A274">
            <v>90100</v>
          </cell>
          <cell r="B274" t="str">
            <v>SINAPI</v>
          </cell>
          <cell r="C274">
            <v>8.9600000000000009</v>
          </cell>
          <cell r="D274" t="str">
            <v>Escavação mecanizada de vala com profundidade até 1,50 m (média entre montante e jusante / uma composição por trecho), com retroescavadeira (capacidade da caçamba: 0,26 m3 / potência: 88 HP), largura de 0,80 m a 1,50 m, em solo de 1a categoria, em locais com alto nível de interferência. AF_01/2015</v>
          </cell>
          <cell r="E274"/>
          <cell r="F274" t="str">
            <v>M3</v>
          </cell>
          <cell r="G274">
            <v>13.13</v>
          </cell>
          <cell r="H274" t="str">
            <v>-</v>
          </cell>
        </row>
        <row r="275">
          <cell r="A275">
            <v>90082</v>
          </cell>
          <cell r="B275" t="str">
            <v>SINAPI</v>
          </cell>
          <cell r="C275">
            <v>13.46</v>
          </cell>
          <cell r="D275" t="str">
            <v>Escavação mecanizada de vala com profundidade até 1,50 m (média entre montante e jusante / uma composição por trecho), com escavadeira hidráulica (capacidade da caçamba: 0,80 m3), largura de 1,50 m a 2,50 m, em solo de 1a categoria, em locais com alto nível de interferência. AF_01/2015</v>
          </cell>
          <cell r="E275"/>
          <cell r="F275" t="str">
            <v>M3</v>
          </cell>
          <cell r="G275">
            <v>11.18</v>
          </cell>
          <cell r="H275" t="str">
            <v>-</v>
          </cell>
        </row>
        <row r="276">
          <cell r="A276">
            <v>90084</v>
          </cell>
          <cell r="B276" t="str">
            <v>SINAPI</v>
          </cell>
          <cell r="C276"/>
          <cell r="D276" t="str">
            <v>Escavação mecanizada de vala com profundidade maior que 1,50 m até 3,00 m (média entre montante e jusante / uma composição por trecho), com escavadeira hidráulica (capacidade da caçamba: 0,80 m3 / potência: 111 HP), largura até 1,50 m, em solo de 1a categoria, em locais com alto nível de interferência. AF_01/2015</v>
          </cell>
          <cell r="E276"/>
          <cell r="F276" t="str">
            <v>M3</v>
          </cell>
          <cell r="G276">
            <v>10.83</v>
          </cell>
          <cell r="H276" t="str">
            <v>-</v>
          </cell>
        </row>
        <row r="277">
          <cell r="A277">
            <v>90101</v>
          </cell>
          <cell r="B277" t="str">
            <v>SINAPI</v>
          </cell>
          <cell r="C277">
            <v>9.07</v>
          </cell>
          <cell r="D277" t="str">
            <v>Escavação mecanizada de vala com profundidade maior que 1,50 m até 3,00 m (média entre montante e jusante / uma composição por trecho), com retroescavadeira (capacidade da caçamba: 0,26 m3 / potência: 88 HP), largura menor que 0,80 m, em solo de 1a categoria, em locais com alto nível de interferência. AF_01/2015</v>
          </cell>
          <cell r="E277" t="str">
            <v>1,51 &lt; H &lt; 3,00
alta Interferência</v>
          </cell>
          <cell r="F277" t="str">
            <v>M3</v>
          </cell>
          <cell r="G277">
            <v>12.98</v>
          </cell>
          <cell r="H277" t="str">
            <v>-</v>
          </cell>
        </row>
        <row r="278">
          <cell r="A278">
            <v>90102</v>
          </cell>
          <cell r="B278" t="str">
            <v>SINAPI</v>
          </cell>
          <cell r="C278">
            <v>9.9700000000000006</v>
          </cell>
          <cell r="D278" t="str">
            <v>Escavação mecanizada de vala com profundidade maior que 1,50 m até 3,00 m (média entre montante e jusante / uma composição por trecho), com retroescavadeira (capacidade da caçamba: 0,26 m3 / potência: 88 HP), largura de 0,80 m a 1,50 m, em solo de 1a categoria, em locais com alto nível de interferência. AF_01/2015</v>
          </cell>
          <cell r="E278"/>
          <cell r="F278" t="str">
            <v>M3</v>
          </cell>
          <cell r="G278">
            <v>11.81</v>
          </cell>
          <cell r="H278" t="str">
            <v>-</v>
          </cell>
        </row>
        <row r="279">
          <cell r="A279">
            <v>102278</v>
          </cell>
          <cell r="B279" t="str">
            <v>SINAPI</v>
          </cell>
          <cell r="C279" t="str">
            <v>90085
14,75 m3/h</v>
          </cell>
          <cell r="D279" t="str">
            <v>Escavação mecanizada de vala com profundidade maior que 1,50 m até 3,00 m (média entre montante e jusante / uma composição por trecho), com escavadeira hidráulica (capacidade da caçamba: 1,2 m3 / potência: 155 HP), largura de 1,50 m a 2,50 m, em solo de 1a categoria, em locais com alto nível de interferência. AF_02/2021</v>
          </cell>
          <cell r="E279"/>
          <cell r="F279" t="str">
            <v>M3</v>
          </cell>
          <cell r="G279">
            <v>9.7100000000000009</v>
          </cell>
          <cell r="H279" t="str">
            <v>-</v>
          </cell>
        </row>
        <row r="280">
          <cell r="A280">
            <v>90086</v>
          </cell>
          <cell r="B280" t="str">
            <v>SINAPI</v>
          </cell>
          <cell r="C280">
            <v>14.58</v>
          </cell>
          <cell r="D280" t="str">
            <v>Escavação mecanizada de vala com profundidade maior que 3,00 m até 4,50 m (média entre montante e jusante / uma composição por trecho), com escavadeira hidráulica (capacidade da caçamba: 0,80 m3 / potência: 111 HP), largura menor que 1,50 m, em solo de 1a categoria, em locais com alto nível de interferência. AF_01/2015</v>
          </cell>
          <cell r="E280" t="str">
            <v>3,01 &lt; H &lt; 4,50
alta Interferência</v>
          </cell>
          <cell r="F280" t="str">
            <v>M3</v>
          </cell>
          <cell r="G280">
            <v>10.23</v>
          </cell>
          <cell r="H280" t="str">
            <v>-</v>
          </cell>
        </row>
        <row r="281">
          <cell r="A281">
            <v>90087</v>
          </cell>
          <cell r="B281" t="str">
            <v>SINAPI</v>
          </cell>
          <cell r="C281">
            <v>19.12</v>
          </cell>
          <cell r="D281" t="str">
            <v>Escavação mecanizada de vala com profundidade de 3,00 m até 4,50 m (média entre montante e jusante / uma composição por trecho), com escavadeira hidráulica (capacidade da caçamba: 1,20 m3 / potência: 155 HP), largura de 1,50 m a 2,50 m, em solo de 1a categoria, em locais com alto nível de interferência. AF_01/2015</v>
          </cell>
          <cell r="E281"/>
          <cell r="F281" t="str">
            <v>M3</v>
          </cell>
          <cell r="G281">
            <v>9.32</v>
          </cell>
          <cell r="H281" t="str">
            <v>-</v>
          </cell>
        </row>
        <row r="282">
          <cell r="A282">
            <v>102277</v>
          </cell>
          <cell r="B282" t="str">
            <v>SINAPI</v>
          </cell>
          <cell r="C282" t="str">
            <v>90088
18,73 m3/h</v>
          </cell>
          <cell r="D282" t="str">
            <v>Escavação mecanizada de vala com profundidade maior que 4,50 m até 6,00 m (média entre montante e jusante / uma composição por trecho), com escavadeira hidráulica (capacidade da caçamba: 0,80 m3 / potência: 111 HP), largura menor que 1,50 m, em solo de 1a categoria, em locais com alto nível de interferência. AF_02/2021</v>
          </cell>
          <cell r="E282" t="str">
            <v>H &gt; 4,51
alta Interferência</v>
          </cell>
          <cell r="F282" t="str">
            <v>M3</v>
          </cell>
          <cell r="G282">
            <v>9.94</v>
          </cell>
          <cell r="H282" t="str">
            <v>-</v>
          </cell>
        </row>
        <row r="283">
          <cell r="A283">
            <v>90090</v>
          </cell>
          <cell r="B283" t="str">
            <v>SINAPI</v>
          </cell>
          <cell r="C283">
            <v>19.489999999999998</v>
          </cell>
          <cell r="D283" t="str">
            <v>Escavação mecanizada de vala com profundidade maior que 4,50 m até 6,00 m (média entre montante e jusante / uma composição por trecho), com escavadeira hidráulica (capacidade da caçamba: 1,20 m3 / potência: 155 HP), largura de 1,50 m a 2,50 m, em solo de 1a categoria, em locais com alto nível de interferência. AF_01/2015</v>
          </cell>
          <cell r="E283"/>
          <cell r="F283" t="str">
            <v>M3</v>
          </cell>
          <cell r="G283">
            <v>9.11</v>
          </cell>
          <cell r="H283" t="str">
            <v>-</v>
          </cell>
        </row>
        <row r="284">
          <cell r="A284">
            <v>102279</v>
          </cell>
          <cell r="B284" t="str">
            <v>SINAPI</v>
          </cell>
          <cell r="C284">
            <v>19.489999999999998</v>
          </cell>
          <cell r="D284" t="str">
            <v>Escavação mecanizada de vala com prof. até 1,5 m (média entre montante e jusante/uma composição por trecho), com escavadeira hidráulica (0,8 m3/111 HP),larg. menor que 1,5 m, em solo de 1a categoria, locais com baixo nível de interferência. af_02/2021</v>
          </cell>
          <cell r="E284"/>
          <cell r="F284" t="str">
            <v>M3</v>
          </cell>
          <cell r="G284">
            <v>6.93</v>
          </cell>
          <cell r="H284" t="str">
            <v>-</v>
          </cell>
        </row>
        <row r="285">
          <cell r="A285"/>
          <cell r="B285" t="str">
            <v>ARRUMAR LISTA DE COMPOSIÇÃO</v>
          </cell>
          <cell r="C285">
            <v>72915</v>
          </cell>
          <cell r="D285" t="str">
            <v>Escavação mecânica de vala em material de 2a categoria ate 2,00 m de profundidade com utilização de escavadeira hidráulica - exclusive escoramento e esgotamento</v>
          </cell>
          <cell r="E285"/>
          <cell r="F285" t="str">
            <v>-</v>
          </cell>
          <cell r="G285" t="str">
            <v>-</v>
          </cell>
          <cell r="H285" t="str">
            <v/>
          </cell>
        </row>
        <row r="286">
          <cell r="A286"/>
          <cell r="B286" t="str">
            <v>ARRUMAR LISTA DE COMPOSIÇÃO</v>
          </cell>
          <cell r="C286">
            <v>72917</v>
          </cell>
          <cell r="D286" t="str">
            <v>Escavação mecânica de vala em material de 2a categoria de 2,01 ate 4,00 m de profundidade com utilização de escavadeira hidráulica - exclusive escoramento e esgotamento</v>
          </cell>
          <cell r="E286"/>
          <cell r="F286" t="str">
            <v>-</v>
          </cell>
          <cell r="G286" t="str">
            <v>-</v>
          </cell>
          <cell r="H286" t="str">
            <v/>
          </cell>
        </row>
        <row r="287">
          <cell r="A287"/>
          <cell r="B287" t="str">
            <v>ARRUMAR LISTA DE COMPOSIÇÃO</v>
          </cell>
          <cell r="C287">
            <v>72918</v>
          </cell>
          <cell r="D287" t="str">
            <v>Escavação mecânica de vala em material de 2a. categoria de 4,01 ate 6,00 m de profundidade com utilização de escavadeira hidráulica - exclusive escoramento e esgotamento</v>
          </cell>
          <cell r="E287"/>
          <cell r="F287" t="str">
            <v>-</v>
          </cell>
          <cell r="G287" t="str">
            <v>-</v>
          </cell>
          <cell r="H287" t="str">
            <v/>
          </cell>
        </row>
        <row r="288">
          <cell r="A288" t="str">
            <v>DR/0020</v>
          </cell>
          <cell r="B288" t="str">
            <v>COMPOSIÇÃO</v>
          </cell>
          <cell r="C288">
            <v>3</v>
          </cell>
          <cell r="D288" t="str">
            <v>Escavação de vala em rocha - 3a categoria, com uso de explosivos e perfuração mecânica, em locais com alto nível de interferência. Inclusive carga</v>
          </cell>
          <cell r="E288"/>
          <cell r="F288" t="str">
            <v>M3</v>
          </cell>
          <cell r="G288">
            <v>492.1</v>
          </cell>
          <cell r="H288" t="str">
            <v>-</v>
          </cell>
        </row>
        <row r="289">
          <cell r="A289" t="str">
            <v>DR/0021</v>
          </cell>
          <cell r="B289" t="str">
            <v>CRIAR COMPOSIÇÃO</v>
          </cell>
          <cell r="C289"/>
          <cell r="D289" t="str">
            <v>ERRO</v>
          </cell>
          <cell r="E289"/>
          <cell r="F289" t="str">
            <v>-</v>
          </cell>
          <cell r="G289" t="str">
            <v>-</v>
          </cell>
          <cell r="H289" t="str">
            <v>-</v>
          </cell>
        </row>
        <row r="290">
          <cell r="A290" t="str">
            <v>DR/0024</v>
          </cell>
          <cell r="B290" t="str">
            <v>COMPOSIÇÃO</v>
          </cell>
          <cell r="C290"/>
          <cell r="D290" t="str">
            <v>Escavação, carga e transporte de material de 2ª categoria - DMT de 1.400 a 1.600 m - caminho de serviço em revestimento primário - com escavadeira e caminhão basculante de 14 m³ (REF. SICRO COD. 5502618)</v>
          </cell>
          <cell r="E290"/>
          <cell r="F290" t="str">
            <v>M3</v>
          </cell>
          <cell r="G290">
            <v>9.7100000000000009</v>
          </cell>
          <cell r="H290" t="str">
            <v>-</v>
          </cell>
        </row>
        <row r="291">
          <cell r="A291" t="str">
            <v>DR/0025</v>
          </cell>
          <cell r="B291" t="str">
            <v>COMPOSIÇÃO</v>
          </cell>
          <cell r="C291" t="str">
            <v>102360 ver sinapi</v>
          </cell>
          <cell r="D291" t="str">
            <v>Escavação de vala em material de 3a categoria - resistência a compressão de 90 a 110 MPA - com escavadeira e rompedor hidráulico 1.700kg, inclusive carga (REF. SICRO COD. 5502966)</v>
          </cell>
          <cell r="E291"/>
          <cell r="F291" t="str">
            <v>M3</v>
          </cell>
          <cell r="G291">
            <v>82.47</v>
          </cell>
          <cell r="H291" t="str">
            <v>-</v>
          </cell>
        </row>
        <row r="292">
          <cell r="A292" t="str">
            <v>DR/0026</v>
          </cell>
          <cell r="B292" t="str">
            <v>COMPOSIÇÃO</v>
          </cell>
          <cell r="C292"/>
          <cell r="D292" t="str">
            <v>Escavação de vala em material de 3a categoria, resistência à compressão maior ou igual a 90 MPA e menor que 110 MPA, com rompedor acoplado em escavadeira hidráulica - exclusive carga e transporte (REF. SINAPI COD. 03.MOVT.3CAT.004/01 2021-01)</v>
          </cell>
          <cell r="E292"/>
          <cell r="F292" t="str">
            <v>M3</v>
          </cell>
          <cell r="G292">
            <v>192.09</v>
          </cell>
          <cell r="H292" t="str">
            <v>-</v>
          </cell>
        </row>
        <row r="293">
          <cell r="A293" t="str">
            <v>DR/0027</v>
          </cell>
          <cell r="B293" t="str">
            <v>COMPOSIÇÃO</v>
          </cell>
          <cell r="C293"/>
          <cell r="D293" t="str">
            <v>Escavação, carga e transporte de material de 1ª categoria - DMT de 50 a 200 m - caminho de serviço em leito natural - com escavadeira e caminhão basculante de 14 m³ (Refer. SICRO CÓD. 5502109)</v>
          </cell>
          <cell r="E293"/>
          <cell r="F293" t="str">
            <v>M3</v>
          </cell>
          <cell r="G293">
            <v>5.68</v>
          </cell>
          <cell r="H293" t="str">
            <v>-</v>
          </cell>
        </row>
        <row r="294">
          <cell r="A294" t="str">
            <v>DR/0028</v>
          </cell>
          <cell r="B294" t="str">
            <v>COMPOSIÇÃO</v>
          </cell>
          <cell r="C294"/>
          <cell r="D294" t="str">
            <v>Escavação, carga e transporte de material de 1ª categoria - DMT de 200 a 400 m - caminho de serviço em leito natural - com escavadeira e caminhão basculante de 14 m³ (Refer. SICRO CÓD. 5502110)</v>
          </cell>
          <cell r="E294"/>
          <cell r="F294" t="str">
            <v>M3</v>
          </cell>
          <cell r="G294">
            <v>6.12</v>
          </cell>
          <cell r="H294" t="str">
            <v>-</v>
          </cell>
        </row>
        <row r="295">
          <cell r="A295" t="str">
            <v>DR/0030</v>
          </cell>
          <cell r="B295" t="str">
            <v>COMPOSIÇÃO</v>
          </cell>
          <cell r="C295"/>
          <cell r="D295" t="str">
            <v>Escavação à céu aberto de caixa para bacia de amortecimento em área de solo rochoso com uso de escavadeira hidráulica, rompedor hidráulico, perfuratriz mecânica e explosivos, inclusive carga</v>
          </cell>
          <cell r="E295"/>
          <cell r="F295" t="str">
            <v>M3</v>
          </cell>
          <cell r="G295">
            <v>160.80000000000001</v>
          </cell>
          <cell r="H295" t="str">
            <v>-</v>
          </cell>
        </row>
        <row r="296">
          <cell r="A296">
            <v>101616</v>
          </cell>
          <cell r="B296" t="str">
            <v>SINAPI</v>
          </cell>
          <cell r="C296" t="str">
            <v>94097
94098</v>
          </cell>
          <cell r="D296" t="str">
            <v>Preparo de fundo de vala com largura menor que 1,50 m (acerto do solo natural). AF_08/2020</v>
          </cell>
          <cell r="E296" t="str">
            <v>SOLO NATURAL</v>
          </cell>
          <cell r="F296" t="str">
            <v>M2</v>
          </cell>
          <cell r="G296">
            <v>5.75</v>
          </cell>
          <cell r="H296" t="str">
            <v>-</v>
          </cell>
        </row>
        <row r="297">
          <cell r="A297">
            <v>101617</v>
          </cell>
          <cell r="B297" t="str">
            <v>SINAPI</v>
          </cell>
          <cell r="C297" t="str">
            <v>94099
94100</v>
          </cell>
          <cell r="D297" t="str">
            <v>Preparo de fundo de vala com largura maior ou igual a 1,50 m e menor que 2,50 m (acerto do solo natural). AF_08/2020</v>
          </cell>
          <cell r="E297"/>
          <cell r="F297" t="str">
            <v>M2</v>
          </cell>
          <cell r="G297">
            <v>2.84</v>
          </cell>
          <cell r="H297" t="str">
            <v>-</v>
          </cell>
        </row>
        <row r="298">
          <cell r="A298">
            <v>101619</v>
          </cell>
          <cell r="B298" t="str">
            <v>SINAPI</v>
          </cell>
          <cell r="C298" t="str">
            <v>94099
94105</v>
          </cell>
          <cell r="D298" t="str">
            <v>Preparo de fundo de vala com largura menor que 1,50 m, com camada de brita, lançamento manual. AF_08/2020</v>
          </cell>
          <cell r="E298" t="str">
            <v>BRITA</v>
          </cell>
          <cell r="F298" t="str">
            <v>M3</v>
          </cell>
          <cell r="G298">
            <v>272.60000000000002</v>
          </cell>
          <cell r="H298" t="str">
            <v>-</v>
          </cell>
        </row>
        <row r="299">
          <cell r="A299">
            <v>101621</v>
          </cell>
          <cell r="B299" t="str">
            <v>SINAPI</v>
          </cell>
          <cell r="C299">
            <v>94107</v>
          </cell>
          <cell r="D299" t="str">
            <v>Preparo de fundo de vala com largura maior ou igual a 1,50 m e menor que 2,50 m, com camada de brita, lançamento manual. AF_08/2020</v>
          </cell>
          <cell r="E299"/>
          <cell r="F299" t="str">
            <v>M3</v>
          </cell>
          <cell r="G299">
            <v>249.32</v>
          </cell>
          <cell r="H299" t="str">
            <v>-</v>
          </cell>
        </row>
        <row r="300">
          <cell r="A300">
            <v>101623</v>
          </cell>
          <cell r="B300" t="str">
            <v>SINAPI</v>
          </cell>
          <cell r="C300" t="str">
            <v>94103
94114</v>
          </cell>
          <cell r="D300" t="str">
            <v>Preparo de fundo de vala com largura menor que 1,50 m, com camada de brita, lançamento mecanizado. AF_08/2020</v>
          </cell>
          <cell r="E300"/>
          <cell r="F300" t="str">
            <v>M3</v>
          </cell>
          <cell r="G300">
            <v>245.85</v>
          </cell>
          <cell r="H300" t="str">
            <v>-</v>
          </cell>
        </row>
        <row r="301">
          <cell r="A301">
            <v>101624</v>
          </cell>
          <cell r="B301" t="str">
            <v>SINAPI</v>
          </cell>
          <cell r="C301">
            <v>94116</v>
          </cell>
          <cell r="D301" t="str">
            <v>Preparo de fundo de vala com largura maior ou igual a 1,50 m e menor que 2,50 m, com camada de brita, lançamento mecanizado. AF_08/2020</v>
          </cell>
          <cell r="E301"/>
          <cell r="F301" t="str">
            <v>M3</v>
          </cell>
          <cell r="G301">
            <v>202.18</v>
          </cell>
          <cell r="H301" t="str">
            <v>-</v>
          </cell>
        </row>
        <row r="302">
          <cell r="A302">
            <v>101618</v>
          </cell>
          <cell r="B302" t="str">
            <v>SINAPI</v>
          </cell>
          <cell r="C302">
            <v>94104</v>
          </cell>
          <cell r="D302" t="str">
            <v>Preparo de fundo de vala com largura menor que 1,50 m, com camada de areia, lançamento manual. AF_08/2020</v>
          </cell>
          <cell r="E302" t="str">
            <v>AREIA</v>
          </cell>
          <cell r="F302" t="str">
            <v>M3</v>
          </cell>
          <cell r="G302">
            <v>213.29</v>
          </cell>
          <cell r="H302" t="str">
            <v>-</v>
          </cell>
        </row>
        <row r="303">
          <cell r="A303">
            <v>101620</v>
          </cell>
          <cell r="B303" t="str">
            <v>SINAPI</v>
          </cell>
          <cell r="C303">
            <v>94106</v>
          </cell>
          <cell r="D303" t="str">
            <v>Preparo de fundo de vala com largura maior ou igual a 1,50 m e menor que 2,50 m, com camada de areia, lançamento manual. AF_08/2020</v>
          </cell>
          <cell r="E303"/>
          <cell r="F303" t="str">
            <v>M3</v>
          </cell>
          <cell r="G303">
            <v>190.01</v>
          </cell>
          <cell r="H303" t="str">
            <v>-</v>
          </cell>
        </row>
        <row r="304">
          <cell r="A304">
            <v>101622</v>
          </cell>
          <cell r="B304" t="str">
            <v>SINAPI</v>
          </cell>
          <cell r="C304" t="str">
            <v>94111
94113</v>
          </cell>
          <cell r="D304" t="str">
            <v>Preparo de fundo de vala com largura menor que 1,50 m, com camada de areia, lançamento mecanizado. AF_08/2020</v>
          </cell>
          <cell r="E304"/>
          <cell r="F304" t="str">
            <v>M3</v>
          </cell>
          <cell r="G304">
            <v>191.58</v>
          </cell>
          <cell r="H304" t="str">
            <v>-</v>
          </cell>
        </row>
        <row r="305">
          <cell r="A305">
            <v>101625</v>
          </cell>
          <cell r="B305" t="str">
            <v>SINAPI</v>
          </cell>
          <cell r="C305" t="str">
            <v>94106
94115</v>
          </cell>
          <cell r="D305" t="str">
            <v>Preparo de fundo de vala com largura maior ou igual a 1,50 m e menor que 2,50 m, com camada de areia, lançamento mecanizado. AF_08/2020</v>
          </cell>
          <cell r="E305"/>
          <cell r="F305" t="str">
            <v>M3</v>
          </cell>
          <cell r="G305">
            <v>153.41999999999999</v>
          </cell>
          <cell r="H305" t="str">
            <v>-</v>
          </cell>
        </row>
        <row r="306">
          <cell r="A306">
            <v>96616</v>
          </cell>
          <cell r="B306" t="str">
            <v>SINAPI</v>
          </cell>
          <cell r="C306">
            <v>94106</v>
          </cell>
          <cell r="D306" t="str">
            <v>Lastro de concreto magro, aplicado em blocos de coroamento ou sapatas. AF_08/2017</v>
          </cell>
          <cell r="E306"/>
          <cell r="F306" t="str">
            <v>M3</v>
          </cell>
          <cell r="G306">
            <v>619.67999999999995</v>
          </cell>
          <cell r="H306" t="str">
            <v>-</v>
          </cell>
        </row>
        <row r="307">
          <cell r="A307">
            <v>96620</v>
          </cell>
          <cell r="B307" t="str">
            <v>SINAPI</v>
          </cell>
          <cell r="C307"/>
          <cell r="D307" t="str">
            <v>Lastro de concreto magro, aplicado em pisos ou radiers. AF_08/2017</v>
          </cell>
          <cell r="E307"/>
          <cell r="F307" t="str">
            <v>M3</v>
          </cell>
          <cell r="G307">
            <v>596.29999999999995</v>
          </cell>
          <cell r="H307" t="str">
            <v>-</v>
          </cell>
        </row>
        <row r="308">
          <cell r="A308" t="str">
            <v>DR/0032</v>
          </cell>
          <cell r="B308" t="str">
            <v>COMPOSIÇÃO</v>
          </cell>
          <cell r="C308">
            <v>73697</v>
          </cell>
          <cell r="D308" t="str">
            <v>Lastro ou enrocamento de pedra-de-mão ou rachão lançado, fornecimento e apiloamento. Exclusive transporte, ref SINAPI 73697, data 01/2020 e SINAPI 92744.</v>
          </cell>
          <cell r="E308"/>
          <cell r="F308" t="str">
            <v>M3</v>
          </cell>
          <cell r="G308">
            <v>266.85000000000002</v>
          </cell>
          <cell r="H308" t="str">
            <v>-</v>
          </cell>
        </row>
        <row r="309">
          <cell r="A309" t="str">
            <v>DR/0033</v>
          </cell>
          <cell r="B309" t="str">
            <v>COMPOSIÇÃO</v>
          </cell>
          <cell r="C309">
            <v>73698</v>
          </cell>
          <cell r="D309" t="str">
            <v>Enrocamento arrumado de pedra-de-mão ou rachão, fornecimento e apiloamento. Exclusive transporte, ref SINAPI 73698, data 01/2020 e SINAPI 92754.</v>
          </cell>
          <cell r="E309"/>
          <cell r="F309" t="str">
            <v>M3</v>
          </cell>
          <cell r="G309">
            <v>363.36</v>
          </cell>
          <cell r="H309" t="str">
            <v>-</v>
          </cell>
        </row>
        <row r="310">
          <cell r="A310">
            <v>368</v>
          </cell>
          <cell r="B310" t="str">
            <v>COTAÇÃO - SINAPI</v>
          </cell>
          <cell r="C310"/>
          <cell r="D310" t="str">
            <v>Areia para aterro - posto jazida/fornecedor (retirado na jazida, sem transporte)</v>
          </cell>
          <cell r="E310"/>
          <cell r="F310" t="str">
            <v xml:space="preserve">M3    </v>
          </cell>
          <cell r="G310">
            <v>45</v>
          </cell>
          <cell r="H310" t="str">
            <v>-</v>
          </cell>
        </row>
        <row r="311">
          <cell r="A311">
            <v>370</v>
          </cell>
          <cell r="B311" t="str">
            <v>COTAÇÃO - SINAPI</v>
          </cell>
          <cell r="C311"/>
          <cell r="D311" t="str">
            <v>Areia media - posto jazida/fornecedor (retirado na jazida, sem transporte)</v>
          </cell>
          <cell r="E311"/>
          <cell r="F311" t="str">
            <v xml:space="preserve">M3    </v>
          </cell>
          <cell r="G311">
            <v>90</v>
          </cell>
          <cell r="H311" t="str">
            <v>-</v>
          </cell>
        </row>
        <row r="312">
          <cell r="A312">
            <v>6079</v>
          </cell>
          <cell r="B312" t="str">
            <v>COTAÇÃO - SINAPI</v>
          </cell>
          <cell r="C312"/>
          <cell r="D312" t="str">
            <v>Argila, argila vermelha ou argila arenosa (retirada na jazida, sem transporte)</v>
          </cell>
          <cell r="E312"/>
          <cell r="F312" t="str">
            <v xml:space="preserve">M3    </v>
          </cell>
          <cell r="G312">
            <v>36.51</v>
          </cell>
          <cell r="H312" t="str">
            <v>-</v>
          </cell>
        </row>
        <row r="313">
          <cell r="A313">
            <v>94342</v>
          </cell>
          <cell r="B313" t="str">
            <v>SINAPI</v>
          </cell>
          <cell r="C313"/>
          <cell r="D313" t="str">
            <v>Aterro manual de valas com areia para aterro e compactação mecanizada (adensamento hidráulico e inclusive aquisição). AF_05/2016</v>
          </cell>
          <cell r="E313"/>
          <cell r="F313" t="str">
            <v>M3</v>
          </cell>
          <cell r="G313">
            <v>86.42</v>
          </cell>
          <cell r="H313" t="str">
            <v>-</v>
          </cell>
        </row>
        <row r="314">
          <cell r="A314">
            <v>93382</v>
          </cell>
          <cell r="B314" t="str">
            <v>SINAPI</v>
          </cell>
          <cell r="C314"/>
          <cell r="D314" t="str">
            <v>Reaterro manual de valas com compactação mecanizada. AF_04/2016</v>
          </cell>
          <cell r="E314"/>
          <cell r="F314" t="str">
            <v>M3</v>
          </cell>
          <cell r="G314">
            <v>23.92</v>
          </cell>
          <cell r="H314" t="str">
            <v>-</v>
          </cell>
        </row>
        <row r="315">
          <cell r="A315">
            <v>93378</v>
          </cell>
          <cell r="B315" t="str">
            <v>SINAPI</v>
          </cell>
          <cell r="C315"/>
          <cell r="D315" t="str">
            <v>Reaterro mecanizado de vala com retroescavadeira (capacidade da caçamba da retro: 0,26 m3 / potência: 88 HP), largura até 0,80 m, profundidade até 1,50 m, com solo (sem substituição) de 1a categoria em locais com baixo nível de interferência. AF_04/2016</v>
          </cell>
          <cell r="E315" t="str">
            <v>H &lt; 1,50
baixa Interferência</v>
          </cell>
          <cell r="F315" t="str">
            <v>M3</v>
          </cell>
          <cell r="G315">
            <v>22.45</v>
          </cell>
          <cell r="H315" t="str">
            <v>-</v>
          </cell>
        </row>
        <row r="316">
          <cell r="A316">
            <v>93379</v>
          </cell>
          <cell r="B316" t="str">
            <v>SINAPI</v>
          </cell>
          <cell r="C316"/>
          <cell r="D316" t="str">
            <v>Reaterro mecanizado de vala com retroescavadeira (capacidade da caçamba da retro: 0,26 m3 / potência: 88 HP), largura de 0,80 a 1,50 m, profundidade até 1,50 m, com solo (sem substituição) de 1a categoria em locais com baixo nível de interferência. AF_04/2016</v>
          </cell>
          <cell r="E316"/>
          <cell r="F316" t="str">
            <v>M3</v>
          </cell>
          <cell r="G316">
            <v>17.239999999999998</v>
          </cell>
          <cell r="H316" t="str">
            <v>-</v>
          </cell>
        </row>
        <row r="317">
          <cell r="A317">
            <v>93367</v>
          </cell>
          <cell r="B317" t="str">
            <v>SINAPI</v>
          </cell>
          <cell r="C317"/>
          <cell r="D317" t="str">
            <v>Reaterro mecanizado de vala com escavadeira hidráulica (capacidade da caçamba: 0,80 m3 / potência: 111 HP), largura de 1,50 a 2,50 m, profundidade até 1,50 m, com solo (sem substituição) de 1a categoria em locais com baixo nível de interferência. AF_04/2016</v>
          </cell>
          <cell r="E317"/>
          <cell r="F317" t="str">
            <v>M3</v>
          </cell>
          <cell r="G317">
            <v>22.45</v>
          </cell>
          <cell r="H317" t="str">
            <v>-</v>
          </cell>
        </row>
        <row r="318">
          <cell r="A318">
            <v>93380</v>
          </cell>
          <cell r="B318" t="str">
            <v>SINAPI</v>
          </cell>
          <cell r="C318"/>
          <cell r="D318" t="str">
            <v>Reaterro mecanizado de vala com retroescavadeira (capacidade da caçamba da retro: 0,26 m3 / potência: 88 HP), largura até 0,80 m, profundidade de 1,50 a 3,00 m, com solo (sem substituição) de 1a categoria em locais com baixo nível de interferência. AF_04/2016</v>
          </cell>
          <cell r="E318" t="str">
            <v>1,51 &lt; H &lt; 3,00
baixa Interferência</v>
          </cell>
          <cell r="F318" t="str">
            <v>M3</v>
          </cell>
          <cell r="G318">
            <v>14.67</v>
          </cell>
          <cell r="H318" t="str">
            <v>-</v>
          </cell>
        </row>
        <row r="319">
          <cell r="A319">
            <v>93381</v>
          </cell>
          <cell r="B319" t="str">
            <v>SINAPI</v>
          </cell>
          <cell r="C319"/>
          <cell r="D319" t="str">
            <v>Reaterro mecanizado de vala com retroescavadeira (capacidade da caçamba da retro: 0,26 m3 / potência: 88 HP), largura de 0,80 a 1,50 m, profundidade de 1,50 a 3,00 m, com solo (sem substituição) de 1a categoria em locais com baixo nível de interferência. AF_04/2016</v>
          </cell>
          <cell r="E319"/>
          <cell r="F319" t="str">
            <v>M3</v>
          </cell>
          <cell r="G319">
            <v>11.85</v>
          </cell>
          <cell r="H319" t="str">
            <v>-</v>
          </cell>
        </row>
        <row r="320">
          <cell r="A320">
            <v>93369</v>
          </cell>
          <cell r="B320" t="str">
            <v>SINAPI</v>
          </cell>
          <cell r="C320"/>
          <cell r="D320" t="str">
            <v>Reaterro mecanizado de vala com escavadeira hidráulica (capacidade da caçamba: 0,80 m3 / potência: 111 HP), largura de 1,50 a 2,50 m, profundidade de 1,50 a 3,00 m, com solo (sem substituição) de 1a categoria em locais com baixo nível de interferência. AF_04/2016</v>
          </cell>
          <cell r="E320"/>
          <cell r="F320" t="str">
            <v>M3</v>
          </cell>
          <cell r="G320">
            <v>16.100000000000001</v>
          </cell>
          <cell r="H320" t="str">
            <v>-</v>
          </cell>
        </row>
        <row r="321">
          <cell r="A321">
            <v>104731</v>
          </cell>
          <cell r="B321" t="str">
            <v>SINAPI</v>
          </cell>
          <cell r="C321">
            <v>93370</v>
          </cell>
          <cell r="D321" t="str">
            <v>Reaterro mecanizado de vala com escavadeira hidráulica (capacidade da caçamba: 0,8 M³/potência: 111 HP), largura até 1,5 m, profundidade de 3,0 a 6,0 m, com solo (sem substituição) de 1ª categoria, com placa vibratória. AF_08/2023</v>
          </cell>
          <cell r="E321" t="str">
            <v>3,01 &lt; H &lt; 4,50
baixa Interferência</v>
          </cell>
          <cell r="F321" t="str">
            <v>M3</v>
          </cell>
          <cell r="G321">
            <v>11.83</v>
          </cell>
          <cell r="H321" t="str">
            <v>-</v>
          </cell>
        </row>
        <row r="322">
          <cell r="A322">
            <v>104732</v>
          </cell>
          <cell r="B322" t="str">
            <v>SINAPI</v>
          </cell>
          <cell r="C322">
            <v>93371</v>
          </cell>
          <cell r="D322" t="str">
            <v>Reaterro mecanizado de vala com escavadeira hidráulica (capacidade da caçamba: 0,8 M³/potência: 111 HP), largura de 1,5 a 2,5 m, profundidade de 3,0 a 6,0 m, com solo (sem substituição) de 1ª categoria, com placa vibratória. AF_08/2023</v>
          </cell>
          <cell r="E322"/>
          <cell r="F322" t="str">
            <v>M3</v>
          </cell>
          <cell r="G322">
            <v>9.59</v>
          </cell>
          <cell r="H322" t="str">
            <v>-</v>
          </cell>
        </row>
        <row r="323">
          <cell r="A323">
            <v>93372</v>
          </cell>
          <cell r="B323" t="str">
            <v>SINAPI</v>
          </cell>
          <cell r="C323"/>
          <cell r="D323" t="str">
            <v>Reaterro mecanizado de vala com escavadeira hidráulica (capacidade da caçamba: 0,80 m3 / potência: 111 HP), largura até 1,50 m, profundidade de 4,50 a 6,00 m, com solo (sem substituição) de 1a categoria em locais com baixo nível de interferência. AF_04/2016</v>
          </cell>
          <cell r="E323" t="str">
            <v>H &gt; 4,51
baixa Interferência</v>
          </cell>
          <cell r="F323" t="str">
            <v>M3</v>
          </cell>
          <cell r="G323">
            <v>15.46</v>
          </cell>
          <cell r="H323" t="str">
            <v>-</v>
          </cell>
        </row>
        <row r="324">
          <cell r="A324">
            <v>93373</v>
          </cell>
          <cell r="B324" t="str">
            <v>SINAPI</v>
          </cell>
          <cell r="C324"/>
          <cell r="D324" t="str">
            <v>Reaterro mecanizado de vala com escavadeira hidráulica (capacidade da caçamba: 0,80 m3 / potência: 111 HP), largura de 1,50 a 2,50 m, profundidade de 4,50 a 6,00 m, com solo (sem substituição) de 1a categoria em locais com baixo nível de interferência. AF_04/2016</v>
          </cell>
          <cell r="E324"/>
          <cell r="F324" t="str">
            <v>M3</v>
          </cell>
          <cell r="G324">
            <v>13.21</v>
          </cell>
          <cell r="H324" t="str">
            <v>-</v>
          </cell>
        </row>
        <row r="325">
          <cell r="A325">
            <v>104733</v>
          </cell>
          <cell r="B325" t="str">
            <v>SINAPI</v>
          </cell>
          <cell r="C325">
            <v>93374</v>
          </cell>
          <cell r="D325" t="str">
            <v>Reaterro mecanizado de vala com retroescavadeira (capacidade   da   caçamba   da retro: 0,26 M³/potência: 88 HP), largura até 0,8 m, profundidade até 1,5 m, com solo (sem substituição) de 1ª categoria, com placa vibratória. AF_08/2023</v>
          </cell>
          <cell r="E325" t="str">
            <v>H &lt; 1,50
alta Interferência</v>
          </cell>
          <cell r="F325" t="str">
            <v>M3</v>
          </cell>
          <cell r="G325">
            <v>18.45</v>
          </cell>
          <cell r="H325" t="str">
            <v>-</v>
          </cell>
        </row>
        <row r="326">
          <cell r="A326">
            <v>104734</v>
          </cell>
          <cell r="B326" t="str">
            <v>SINAPI</v>
          </cell>
          <cell r="C326">
            <v>93375</v>
          </cell>
          <cell r="D326" t="str">
            <v>Reaterro mecanizado de vala com retroescavadeira (capacidade   da   caçamba   da retro: 0,26 M³/potência: 88 HP), largura de 0,8 a 1,5 m, profundidade até 1,5 m, com solo (sem substituição) de 1ª categoria, com placa vibratória. AF_08/2023</v>
          </cell>
          <cell r="E326"/>
          <cell r="F326" t="str">
            <v>M3</v>
          </cell>
          <cell r="G326">
            <v>13.42</v>
          </cell>
          <cell r="H326" t="str">
            <v>-</v>
          </cell>
        </row>
        <row r="327">
          <cell r="A327">
            <v>104728</v>
          </cell>
          <cell r="B327" t="str">
            <v>SINAPI</v>
          </cell>
          <cell r="C327">
            <v>93360</v>
          </cell>
          <cell r="D327" t="str">
            <v>Reaterro mecanizado de vala com escavadeira hidráulica (capacidade da caçamba: 0,8 M³/potência: 111 HP), largura de 1,5 a 2,5 m, profundidade até 1,5 m, com solo (sem substituição) de 1ª categoria, com placa vibratória. AF_08/2023</v>
          </cell>
          <cell r="E327"/>
          <cell r="F327" t="str">
            <v>M3</v>
          </cell>
          <cell r="G327">
            <v>18.78</v>
          </cell>
          <cell r="H327" t="str">
            <v>-</v>
          </cell>
        </row>
        <row r="328">
          <cell r="A328">
            <v>104735</v>
          </cell>
          <cell r="B328" t="str">
            <v>SINAPI</v>
          </cell>
          <cell r="C328">
            <v>93376</v>
          </cell>
          <cell r="D328" t="str">
            <v>Reaterro mecanizado de vala com retroescavadeira (capacidade   da   caçamba   da retro: 0,26 M³/potência: 88 HP), largura até 0,8 m, profundidade de 1,5 a 3,0 m, com solo (sem substituição) de 1ª categoria, com placa vibratória. AF_08/2023</v>
          </cell>
          <cell r="E328" t="str">
            <v>1,51 &lt; H &lt; 3,00
alta Interferência</v>
          </cell>
          <cell r="F328" t="str">
            <v>M3</v>
          </cell>
          <cell r="G328">
            <v>10.96</v>
          </cell>
          <cell r="H328" t="str">
            <v>-</v>
          </cell>
        </row>
        <row r="329">
          <cell r="A329">
            <v>104736</v>
          </cell>
          <cell r="B329" t="str">
            <v>SINAPI</v>
          </cell>
          <cell r="C329">
            <v>93377</v>
          </cell>
          <cell r="D329" t="str">
            <v>Reaterro mecanizado de vala com retroescavadeira (capacidade   da   caçamba   da retro: 0,26 M³/potência: 88 HP), largura de 0,8 a 1,5 m, profundidade de 1,5 a 3,0 m, com solo (sem substituição) de 1ª categoria, com placa vibratória. AF_08/2023</v>
          </cell>
          <cell r="E329"/>
          <cell r="F329" t="str">
            <v>M3</v>
          </cell>
          <cell r="G329">
            <v>8.2200000000000006</v>
          </cell>
          <cell r="H329" t="str">
            <v>-</v>
          </cell>
        </row>
        <row r="330">
          <cell r="A330">
            <v>104730</v>
          </cell>
          <cell r="B330" t="str">
            <v>SINAPI</v>
          </cell>
          <cell r="C330">
            <v>93362</v>
          </cell>
          <cell r="D330" t="str">
            <v>Reaterro mecanizado de vala com escavadeira hidráulica (capacidade da caçamba: 0,8 M³/potência: 111 HP), largura de 1,5 a 2,5 m, profundidade de 1,5 a 3,0 m, com solo (sem substituição) de 1ª categoria, com placa vibratória. AF_08/2023</v>
          </cell>
          <cell r="E330"/>
          <cell r="F330" t="str">
            <v>M3</v>
          </cell>
          <cell r="G330">
            <v>12.48</v>
          </cell>
          <cell r="H330" t="str">
            <v>-</v>
          </cell>
        </row>
        <row r="331">
          <cell r="A331">
            <v>104731</v>
          </cell>
          <cell r="B331" t="str">
            <v>SINAPI</v>
          </cell>
          <cell r="C331">
            <v>93363</v>
          </cell>
          <cell r="D331" t="str">
            <v>Reaterro mecanizado de vala com escavadeira hidráulica (capacidade da caçamba: 0,8 M³/potência: 111 HP), largura até 1,5 m, profundidade de 3,0 a 6,0 m, com solo (sem substituição) de 1ª categoria, com placa vibratória. AF_08/2023</v>
          </cell>
          <cell r="E331" t="str">
            <v>3,01 &lt; H &lt; 4,50
alta Interferência</v>
          </cell>
          <cell r="F331" t="str">
            <v>M3</v>
          </cell>
          <cell r="G331">
            <v>11.83</v>
          </cell>
          <cell r="H331" t="str">
            <v>-</v>
          </cell>
        </row>
        <row r="332">
          <cell r="A332">
            <v>104732</v>
          </cell>
          <cell r="B332" t="str">
            <v>SINAPI</v>
          </cell>
          <cell r="C332">
            <v>93364</v>
          </cell>
          <cell r="D332" t="str">
            <v>Reaterro mecanizado de vala com escavadeira hidráulica (capacidade da caçamba: 0,8 M³/potência: 111 HP), largura de 1,5 a 2,5 m, profundidade de 3,0 a 6,0 m, com solo (sem substituição) de 1ª categoria, com placa vibratória. AF_08/2023</v>
          </cell>
          <cell r="E332"/>
          <cell r="F332" t="str">
            <v>M3</v>
          </cell>
          <cell r="G332">
            <v>9.59</v>
          </cell>
          <cell r="H332" t="str">
            <v>-</v>
          </cell>
        </row>
        <row r="333">
          <cell r="A333">
            <v>104731</v>
          </cell>
          <cell r="B333" t="str">
            <v>SINAPI</v>
          </cell>
          <cell r="C333">
            <v>93365</v>
          </cell>
          <cell r="D333" t="str">
            <v>Reaterro mecanizado de vala com escavadeira hidráulica (capacidade da caçamba: 0,8 M³/potência: 111 HP), largura até 1,5 m, profundidade de 3,0 a 6,0 m, com solo (sem substituição) de 1ª categoria, com placa vibratória. AF_08/2023</v>
          </cell>
          <cell r="E333" t="str">
            <v>H &gt; 4,51
alta Interferência</v>
          </cell>
          <cell r="F333" t="str">
            <v>M3</v>
          </cell>
          <cell r="G333">
            <v>11.83</v>
          </cell>
          <cell r="H333" t="str">
            <v>-</v>
          </cell>
        </row>
        <row r="334">
          <cell r="A334">
            <v>104732</v>
          </cell>
          <cell r="B334" t="str">
            <v>SINAPI</v>
          </cell>
          <cell r="C334">
            <v>93366</v>
          </cell>
          <cell r="D334" t="str">
            <v>Reaterro mecanizado de vala com escavadeira hidráulica (capacidade da caçamba: 0,8 M³/potência: 111 HP), largura de 1,5 a 2,5 m, profundidade de 3,0 a 6,0 m, com solo (sem substituição) de 1ª categoria, com placa vibratória. AF_08/2023</v>
          </cell>
          <cell r="E334"/>
          <cell r="F334" t="str">
            <v>M3</v>
          </cell>
          <cell r="G334">
            <v>9.59</v>
          </cell>
          <cell r="H334" t="str">
            <v>-</v>
          </cell>
        </row>
        <row r="335">
          <cell r="A335">
            <v>100574</v>
          </cell>
          <cell r="B335" t="str">
            <v>SINAPI</v>
          </cell>
          <cell r="C335"/>
          <cell r="D335" t="str">
            <v>Espalhamento de material com trator de esteiras. AF_11/2019</v>
          </cell>
          <cell r="E335"/>
          <cell r="F335" t="str">
            <v>M3</v>
          </cell>
          <cell r="G335">
            <v>1.37</v>
          </cell>
          <cell r="H335" t="str">
            <v>-</v>
          </cell>
        </row>
        <row r="336">
          <cell r="A336" t="str">
            <v>DR/0035</v>
          </cell>
          <cell r="B336" t="str">
            <v>COMPOSIÇÃO</v>
          </cell>
          <cell r="C336"/>
          <cell r="D336" t="str">
            <v>Bota-fora, carga, transporte e descarga, DMT até 10 km, volume geométrico. Exclusive espalhamento</v>
          </cell>
          <cell r="E336"/>
          <cell r="F336" t="str">
            <v>M3</v>
          </cell>
          <cell r="G336">
            <v>32.15</v>
          </cell>
          <cell r="H336" t="str">
            <v>-</v>
          </cell>
        </row>
        <row r="337">
          <cell r="A337" t="str">
            <v>DR/0036</v>
          </cell>
          <cell r="B337" t="str">
            <v>COMPOSIÇÃO</v>
          </cell>
          <cell r="C337"/>
          <cell r="D337" t="str">
            <v>Filtro vertical de areia grossa, incluindo fornecimento de material e serviços de lançamento mecânico,  umidificação e compactação. Exclusive transporte, ref SINAPI 94339 db 08-23.</v>
          </cell>
          <cell r="E337"/>
          <cell r="F337" t="str">
            <v>M3</v>
          </cell>
          <cell r="G337">
            <v>137.80000000000001</v>
          </cell>
          <cell r="H337" t="str">
            <v>-</v>
          </cell>
        </row>
        <row r="338">
          <cell r="A338" t="str">
            <v>DR/0037</v>
          </cell>
          <cell r="B338" t="str">
            <v>COMPOSIÇÃO</v>
          </cell>
          <cell r="C338"/>
          <cell r="D338" t="str">
            <v>Filtro horizontal de areia grossa com espalhamento mecânico, inclusive fornecimento. Exclusive transporte (Refer. SICRO CÓD. 2003844, DB 04/23 e SINAPI 94339 DB 08-23)</v>
          </cell>
          <cell r="E338"/>
          <cell r="F338" t="str">
            <v>M3</v>
          </cell>
          <cell r="G338">
            <v>128.80000000000001</v>
          </cell>
          <cell r="H338" t="str">
            <v>-</v>
          </cell>
        </row>
        <row r="339">
          <cell r="A339" t="str">
            <v>DR/0038</v>
          </cell>
          <cell r="B339" t="str">
            <v>COMPOSIÇÃO</v>
          </cell>
          <cell r="C339"/>
          <cell r="D339" t="str">
            <v>Filtro horizontal de brita com espalhamento mecânico, inclusive fornecimento. Exclusive transporte (Refer. SICRO CÓD. 0903845, DB 01/21)</v>
          </cell>
          <cell r="E339"/>
          <cell r="F339" t="str">
            <v>M3</v>
          </cell>
          <cell r="G339">
            <v>111.77</v>
          </cell>
          <cell r="H339" t="str">
            <v>-</v>
          </cell>
        </row>
        <row r="340">
          <cell r="A340" t="str">
            <v>DR/0040</v>
          </cell>
          <cell r="B340" t="str">
            <v>COMPOSIÇÃO</v>
          </cell>
          <cell r="C340"/>
          <cell r="D340" t="str">
            <v>Arrancamento e remoção de canalização, Ø ≤ 60 cm. Exclusive bota-fora</v>
          </cell>
          <cell r="E340"/>
          <cell r="F340" t="str">
            <v>M</v>
          </cell>
          <cell r="G340">
            <v>77.63</v>
          </cell>
          <cell r="H340" t="str">
            <v>-</v>
          </cell>
        </row>
        <row r="341">
          <cell r="A341" t="str">
            <v>DR/0045</v>
          </cell>
          <cell r="B341" t="str">
            <v>COMPOSIÇÃO</v>
          </cell>
          <cell r="C341"/>
          <cell r="D341" t="str">
            <v>Arrancamento e remoção de canalização, Ø &gt; 60 cm. Exclusive bota-fora</v>
          </cell>
          <cell r="E341"/>
          <cell r="F341" t="str">
            <v>M</v>
          </cell>
          <cell r="G341">
            <v>131.52000000000001</v>
          </cell>
          <cell r="H341" t="str">
            <v>-</v>
          </cell>
        </row>
        <row r="342">
          <cell r="A342" t="str">
            <v>DR/0050</v>
          </cell>
          <cell r="B342" t="str">
            <v>COMPOSIÇÃO</v>
          </cell>
          <cell r="C342"/>
          <cell r="D342" t="str">
            <v>Esgotamento de água com bomba submersa (REF. SICRO COD. 2003864)</v>
          </cell>
          <cell r="E342"/>
          <cell r="F342" t="str">
            <v>H</v>
          </cell>
          <cell r="G342">
            <v>22.17</v>
          </cell>
          <cell r="H342" t="str">
            <v>-</v>
          </cell>
        </row>
        <row r="343">
          <cell r="A343"/>
          <cell r="B343"/>
          <cell r="C343"/>
          <cell r="D343"/>
          <cell r="E343"/>
          <cell r="F343"/>
          <cell r="G343"/>
          <cell r="H343"/>
        </row>
        <row r="344">
          <cell r="A344"/>
          <cell r="B344"/>
          <cell r="C344" t="str">
            <v>6.0</v>
          </cell>
          <cell r="D344" t="str">
            <v>MICRO E MACRODRENAGEM - DISPOSITIVOS AUXILIARES</v>
          </cell>
          <cell r="E344"/>
          <cell r="F344"/>
          <cell r="G344"/>
          <cell r="H344" t="str">
            <v/>
          </cell>
        </row>
        <row r="345">
          <cell r="A345">
            <v>92210</v>
          </cell>
          <cell r="B345" t="str">
            <v>SINAPI</v>
          </cell>
          <cell r="C345"/>
          <cell r="D345" t="str">
            <v>Aquisição de tubo de concreto para redes coletoras de águas pluviais, diâmetro nominal de 0,40 m, junta rígida em argamassa 1:3 cimento:areia, instalado em local com baixo nível de interferências - fornecimento e assentamento. AF_12/2015</v>
          </cell>
          <cell r="E345" t="str">
            <v>TUBO DE CONCRETO
baixa Interferência</v>
          </cell>
          <cell r="F345" t="str">
            <v>M</v>
          </cell>
          <cell r="G345">
            <v>186.33</v>
          </cell>
          <cell r="H345" t="str">
            <v>-</v>
          </cell>
        </row>
        <row r="346">
          <cell r="A346">
            <v>92212</v>
          </cell>
          <cell r="B346" t="str">
            <v>SINAPI</v>
          </cell>
          <cell r="C346"/>
          <cell r="D346" t="str">
            <v>Aquisição de tubo de concreto para redes coletoras de águas pluviais, diâmetro nominal de 0,60 m, junta rígida em argamassa 1:3 cimento:areia, instalado em local com baixo nível de interferências - fornecimento e assentamento. AF_12/2015</v>
          </cell>
          <cell r="E346"/>
          <cell r="F346" t="str">
            <v>M</v>
          </cell>
          <cell r="G346">
            <v>333.93</v>
          </cell>
          <cell r="H346" t="str">
            <v>-</v>
          </cell>
        </row>
        <row r="347">
          <cell r="A347">
            <v>92214</v>
          </cell>
          <cell r="B347" t="str">
            <v>SINAPI</v>
          </cell>
          <cell r="C347"/>
          <cell r="D347" t="str">
            <v>Aquisição de tubo de concreto para redes coletoras de águas pluviais, diâmetro nominal de 0,80 m, junta rígida em argamassa 1:3 cimento:areia, instalado em local com baixo nível de interferências - fornecimento e assentamento. Af_12/2015</v>
          </cell>
          <cell r="E347"/>
          <cell r="F347" t="str">
            <v>M</v>
          </cell>
          <cell r="G347">
            <v>530.07000000000005</v>
          </cell>
          <cell r="H347" t="str">
            <v>-</v>
          </cell>
        </row>
        <row r="348">
          <cell r="A348">
            <v>92216</v>
          </cell>
          <cell r="B348" t="str">
            <v>SINAPI</v>
          </cell>
          <cell r="C348"/>
          <cell r="D348" t="str">
            <v>Aquisição de tubo de concreto para redes coletoras de águas pluviais, diâmetro nominal de 1,00 m, junta rígida em argamassa 1:3 cimento:areia, instalado em local com baixo nível de interferências - fornecimento e assentamento. AF_12/2015</v>
          </cell>
          <cell r="E348"/>
          <cell r="F348" t="str">
            <v>M</v>
          </cell>
          <cell r="G348">
            <v>635.78</v>
          </cell>
          <cell r="H348" t="str">
            <v>-</v>
          </cell>
        </row>
        <row r="349">
          <cell r="A349">
            <v>92219</v>
          </cell>
          <cell r="B349" t="str">
            <v>SINAPI</v>
          </cell>
          <cell r="C349"/>
          <cell r="D349" t="str">
            <v>Aquisição de tubo de concreto para redes coletoras de águas pluviais, diâmetro nominal de 0,40 m, junta rígida em argamassa 1:3 cimento:areia, instalado em local com alto nível de interferências - fornecimento e assentamento. AF_12/2015</v>
          </cell>
          <cell r="E349" t="str">
            <v>TUBO DE CONCRETO
alta Interferência</v>
          </cell>
          <cell r="F349" t="str">
            <v>M</v>
          </cell>
          <cell r="G349">
            <v>196.9</v>
          </cell>
          <cell r="H349" t="str">
            <v>-</v>
          </cell>
        </row>
        <row r="350">
          <cell r="A350">
            <v>92221</v>
          </cell>
          <cell r="B350" t="str">
            <v>SINAPI</v>
          </cell>
          <cell r="C350"/>
          <cell r="D350" t="str">
            <v>Aquisição de tubo de concreto para redes coletoras de águas pluviais, diâmetro nominal de 0,60 m, junta rígida em argamassa 1:3 cimento:areia, instalado em local com alto nível de interferências - fornecimento e assentamento. AF_12/2015</v>
          </cell>
          <cell r="E350"/>
          <cell r="F350" t="str">
            <v>M</v>
          </cell>
          <cell r="G350">
            <v>349.24</v>
          </cell>
          <cell r="H350" t="str">
            <v>-</v>
          </cell>
        </row>
        <row r="351">
          <cell r="A351">
            <v>92223</v>
          </cell>
          <cell r="B351" t="str">
            <v>SINAPI</v>
          </cell>
          <cell r="C351"/>
          <cell r="D351" t="str">
            <v>Aquisição de tubo de concreto para redes coletoras de águas pluviais, diâmetro nominal de 0,80 m, junta rígida em argamassa 1:3 cimento:areia, instalado em local com alto nível de interferências - fornecimento e assentamento. AF_12/2015</v>
          </cell>
          <cell r="E351"/>
          <cell r="F351" t="str">
            <v>M</v>
          </cell>
          <cell r="G351">
            <v>549.99</v>
          </cell>
          <cell r="H351" t="str">
            <v>-</v>
          </cell>
        </row>
        <row r="352">
          <cell r="A352">
            <v>92226</v>
          </cell>
          <cell r="B352" t="str">
            <v>SINAPI</v>
          </cell>
          <cell r="C352"/>
          <cell r="D352" t="str">
            <v>Aquisição de tubo de concreto para redes coletoras de águas pluviais, diâmetro nominal de 1,00 m, junta rígida em argamassa 1:3 cimento:areia, instalado em local com alto nível de interferências - fornecimento e assentamento. AF_12/2015</v>
          </cell>
          <cell r="E352"/>
          <cell r="F352" t="str">
            <v>M</v>
          </cell>
          <cell r="G352">
            <v>660.52</v>
          </cell>
          <cell r="H352" t="str">
            <v>-</v>
          </cell>
        </row>
        <row r="353">
          <cell r="A353">
            <v>7781</v>
          </cell>
          <cell r="B353" t="str">
            <v>SINAPI</v>
          </cell>
          <cell r="C353"/>
          <cell r="D353" t="str">
            <v>Aquisição de tubo de concreto simples para aguas pluviais, classe PS-1, com encaixe ponta e bolsa, diâmetro nominal de 0,40 m (180 kg/m) - Aquisição</v>
          </cell>
          <cell r="E353" t="str">
            <v>TUBO DE CONCRETO
PS-1</v>
          </cell>
          <cell r="F353" t="str">
            <v xml:space="preserve">M     </v>
          </cell>
          <cell r="G353">
            <v>70.900000000000006</v>
          </cell>
          <cell r="H353" t="str">
            <v>-</v>
          </cell>
        </row>
        <row r="354">
          <cell r="A354">
            <v>7791</v>
          </cell>
          <cell r="B354" t="str">
            <v>SINAPI</v>
          </cell>
          <cell r="C354"/>
          <cell r="D354" t="str">
            <v>Aquisição de tubo de concreto simples para aguas pluviais, classe PS-1, com encaixe ponta e bolsa, diâmetro nominal de 0,60 m (347 kg/m) - Aquisição</v>
          </cell>
          <cell r="E354"/>
          <cell r="F354" t="str">
            <v xml:space="preserve">M     </v>
          </cell>
          <cell r="G354">
            <v>126.32</v>
          </cell>
          <cell r="H354" t="str">
            <v>-</v>
          </cell>
        </row>
        <row r="355">
          <cell r="A355">
            <v>7785</v>
          </cell>
          <cell r="B355" t="str">
            <v>SINAPI</v>
          </cell>
          <cell r="C355"/>
          <cell r="D355" t="str">
            <v>Aquisição de tubo de concreto simples para aguas pluviais, classe PS-2, com encaixe ponta e bolsa, diâmetro nominal de 0,40 m - Aquisição</v>
          </cell>
          <cell r="E355" t="str">
            <v>TUBO DE CONCRETO
PS-2</v>
          </cell>
          <cell r="F355" t="str">
            <v xml:space="preserve">M     </v>
          </cell>
          <cell r="G355">
            <v>77.83</v>
          </cell>
          <cell r="H355" t="str">
            <v>-</v>
          </cell>
        </row>
        <row r="356">
          <cell r="A356">
            <v>7793</v>
          </cell>
          <cell r="B356" t="str">
            <v>SINAPI</v>
          </cell>
          <cell r="C356"/>
          <cell r="D356" t="str">
            <v>Aquisição de tubo de concreto simples para aguas pluviais, classe PS-2, com encaixe ponta e bolsa, diâmetro nominal de 0,60 m - Aquisição</v>
          </cell>
          <cell r="E356"/>
          <cell r="F356" t="str">
            <v xml:space="preserve">M     </v>
          </cell>
          <cell r="G356">
            <v>130.37</v>
          </cell>
          <cell r="H356" t="str">
            <v>-</v>
          </cell>
        </row>
        <row r="357">
          <cell r="A357">
            <v>7725</v>
          </cell>
          <cell r="B357" t="str">
            <v>SINAPI</v>
          </cell>
          <cell r="C357"/>
          <cell r="D357" t="str">
            <v>Aquisição de tubo de concreto armado para aguas pluviais, classe PA-1, com encaixe ponta e bolsa, diâmetro nominal de 0,60 m (360 kg/m) - Aquisição</v>
          </cell>
          <cell r="E357" t="str">
            <v>TUBO DE CONCRETO
PA-1</v>
          </cell>
          <cell r="F357" t="str">
            <v xml:space="preserve">M     </v>
          </cell>
          <cell r="G357">
            <v>247</v>
          </cell>
          <cell r="H357" t="str">
            <v>-</v>
          </cell>
        </row>
        <row r="358">
          <cell r="A358">
            <v>7750</v>
          </cell>
          <cell r="B358" t="str">
            <v>SINAPI</v>
          </cell>
          <cell r="C358"/>
          <cell r="D358" t="str">
            <v>Tubo de concreto armado para aguas pluviais, classe PA-1, com encaixe ponta e bolsa, diâmetro nominal de 0,80 m (533,00 kg/m) - Aquisição</v>
          </cell>
          <cell r="E358"/>
          <cell r="F358" t="str">
            <v xml:space="preserve">M     </v>
          </cell>
          <cell r="G358">
            <v>410.97</v>
          </cell>
          <cell r="H358" t="str">
            <v>-</v>
          </cell>
        </row>
        <row r="359">
          <cell r="A359">
            <v>7753</v>
          </cell>
          <cell r="B359" t="str">
            <v>SINAPI</v>
          </cell>
          <cell r="C359"/>
          <cell r="D359" t="str">
            <v>Tubo de concreto armado para aguas pluviais, classe PA-1, com encaixe ponta e bolsa, diâmetro nominal de 1,00 m (800,00 kg/m) - Aquisição</v>
          </cell>
          <cell r="E359"/>
          <cell r="F359" t="str">
            <v xml:space="preserve">M     </v>
          </cell>
          <cell r="G359">
            <v>481.54</v>
          </cell>
          <cell r="H359" t="str">
            <v>-</v>
          </cell>
        </row>
        <row r="360">
          <cell r="A360">
            <v>7757</v>
          </cell>
          <cell r="B360" t="str">
            <v>SINAPI</v>
          </cell>
          <cell r="C360"/>
          <cell r="D360" t="str">
            <v>Tubo de concreto armado para aguas pluviais, classe PA-1, com encaixe ponta e bolsa, diâmetro nominal de 1,20 m (1.133,00 kg/m) - Aquisição</v>
          </cell>
          <cell r="E360"/>
          <cell r="F360" t="str">
            <v xml:space="preserve">M     </v>
          </cell>
          <cell r="G360">
            <v>719.2</v>
          </cell>
          <cell r="H360" t="str">
            <v>-</v>
          </cell>
        </row>
        <row r="361">
          <cell r="A361">
            <v>7758</v>
          </cell>
          <cell r="B361" t="str">
            <v>SINAPI</v>
          </cell>
          <cell r="C361"/>
          <cell r="D361" t="str">
            <v>Tubo de concreto armado para aguas pluviais, classe PA-1, com encaixe ponta e bolsa, diâmetro nominal de 1,50 m (1.933,00 kg/m) - Aquisição</v>
          </cell>
          <cell r="E361"/>
          <cell r="F361" t="str">
            <v xml:space="preserve">M     </v>
          </cell>
          <cell r="G361">
            <v>1041.96</v>
          </cell>
          <cell r="H361" t="str">
            <v>-</v>
          </cell>
        </row>
        <row r="362">
          <cell r="A362">
            <v>7759</v>
          </cell>
          <cell r="B362" t="str">
            <v>SINAPI</v>
          </cell>
          <cell r="C362"/>
          <cell r="D362" t="str">
            <v>Tubo de concreto armado para aguas pluviais, classe PA-1, com encaixe ponta e bolsa, diâmetro nominal de 2,00 m - Aquisição</v>
          </cell>
          <cell r="E362"/>
          <cell r="F362" t="str">
            <v xml:space="preserve">M     </v>
          </cell>
          <cell r="G362">
            <v>2887.28</v>
          </cell>
          <cell r="H362" t="str">
            <v>-</v>
          </cell>
        </row>
        <row r="363">
          <cell r="A363">
            <v>7762</v>
          </cell>
          <cell r="B363" t="str">
            <v>SINAPI</v>
          </cell>
          <cell r="C363"/>
          <cell r="D363" t="str">
            <v>Tubo de concreto armado para aguas pluviais, classe PA-2, com encaixe ponta e bolsa, diâmetro nominal de 0,60 m (373,00 kg/m) - Aquisição</v>
          </cell>
          <cell r="E363" t="str">
            <v>TUBO DE CONCRETO
PA-2</v>
          </cell>
          <cell r="F363" t="str">
            <v xml:space="preserve">M     </v>
          </cell>
          <cell r="G363">
            <v>214.3</v>
          </cell>
          <cell r="H363" t="str">
            <v>-</v>
          </cell>
        </row>
        <row r="364">
          <cell r="A364">
            <v>7763</v>
          </cell>
          <cell r="B364" t="str">
            <v>SINAPI</v>
          </cell>
          <cell r="C364"/>
          <cell r="D364" t="str">
            <v>Tubo de concreto armado para aguas pluviais, classe PA-2, com encaixe ponta e bolsa, diâmetro nominal de 0,80 m (620,00 kg/m) - Aquisição</v>
          </cell>
          <cell r="E364"/>
          <cell r="F364" t="str">
            <v xml:space="preserve">M     </v>
          </cell>
          <cell r="G364">
            <v>399.55</v>
          </cell>
          <cell r="H364" t="str">
            <v>-</v>
          </cell>
        </row>
        <row r="365">
          <cell r="A365">
            <v>7765</v>
          </cell>
          <cell r="B365" t="str">
            <v>SINAPI</v>
          </cell>
          <cell r="C365"/>
          <cell r="D365" t="str">
            <v>Tubo de concreto armado para aguas pluviais, classe PA-2, com encaixe ponta e bolsa, diâmetro nominal de 1,00 m (900,00 kg/m) - Aquisição</v>
          </cell>
          <cell r="E365"/>
          <cell r="F365" t="str">
            <v xml:space="preserve">M     </v>
          </cell>
          <cell r="G365">
            <v>529.28</v>
          </cell>
          <cell r="H365" t="str">
            <v>-</v>
          </cell>
        </row>
        <row r="366">
          <cell r="A366">
            <v>7766</v>
          </cell>
          <cell r="B366" t="str">
            <v>SINAPI</v>
          </cell>
          <cell r="C366"/>
          <cell r="D366" t="str">
            <v>Tubo de concreto armado para aguas pluviais, classe PA-2, com encaixe ponta e bolsa, diâmetro nominal de 1,20 m (1.333,00 kg/m) - Aquisição</v>
          </cell>
          <cell r="E366"/>
          <cell r="F366" t="str">
            <v xml:space="preserve">M     </v>
          </cell>
          <cell r="G366">
            <v>776.28</v>
          </cell>
          <cell r="H366" t="str">
            <v>-</v>
          </cell>
        </row>
        <row r="367">
          <cell r="A367">
            <v>7767</v>
          </cell>
          <cell r="B367" t="str">
            <v>SINAPI</v>
          </cell>
          <cell r="C367"/>
          <cell r="D367" t="str">
            <v>Tubo de concreto armado para aguas pluviais, classe PA-2, com encaixe ponta e bolsa, diâmetro nominal de 1,50 m (2.253,00 kg/m) - Aquisição</v>
          </cell>
          <cell r="E367"/>
          <cell r="F367" t="str">
            <v xml:space="preserve">M     </v>
          </cell>
          <cell r="G367">
            <v>1114.6099999999999</v>
          </cell>
          <cell r="H367" t="str">
            <v>-</v>
          </cell>
        </row>
        <row r="368">
          <cell r="A368">
            <v>7767</v>
          </cell>
          <cell r="B368" t="str">
            <v>SINAPI</v>
          </cell>
          <cell r="C368"/>
          <cell r="D368" t="str">
            <v>Tubo de concreto armado para aguas pluviais, classe PA-2, com encaixe ponta e bolsa, diâmetro nominal de 2,00 m - Aquisição</v>
          </cell>
          <cell r="E368"/>
          <cell r="F368" t="str">
            <v xml:space="preserve">M     </v>
          </cell>
          <cell r="G368">
            <v>1114.6099999999999</v>
          </cell>
          <cell r="H368" t="str">
            <v>-</v>
          </cell>
        </row>
        <row r="369">
          <cell r="A369">
            <v>92809</v>
          </cell>
          <cell r="B369" t="str">
            <v>SINAPI</v>
          </cell>
          <cell r="C369">
            <v>4.4000000000000004</v>
          </cell>
          <cell r="D369" t="str">
            <v>Assentamento de tubo de concreto para redes coletoras de águas pluviais, diâmetro nominal de 0,40 m, junta rígida em argamassa 1:3 cimento:areia, instalado em local com baixo nível de interferências (não inclui fornecimento). AF_12/2015</v>
          </cell>
          <cell r="E369" t="str">
            <v>TUBO DE CONCRETO
baixa Interferência</v>
          </cell>
          <cell r="F369" t="str">
            <v>M</v>
          </cell>
          <cell r="G369">
            <v>54.86</v>
          </cell>
          <cell r="H369" t="str">
            <v>-</v>
          </cell>
        </row>
        <row r="370">
          <cell r="A370">
            <v>92811</v>
          </cell>
          <cell r="B370" t="str">
            <v>SINAPI</v>
          </cell>
          <cell r="C370">
            <v>3.1</v>
          </cell>
          <cell r="D370" t="str">
            <v>Assentamento de tubo de concreto para redes coletoras de águas pluviais, diâmetro nominal de 0,60 m, junta rígida em argamassa 1:3 cimento:areia, instalado em local com baixo nível de interferências (não inclui fornecimento). AF_12/2015</v>
          </cell>
          <cell r="E370"/>
          <cell r="F370" t="str">
            <v>M</v>
          </cell>
          <cell r="G370">
            <v>79.52</v>
          </cell>
          <cell r="H370" t="str">
            <v>-</v>
          </cell>
        </row>
        <row r="371">
          <cell r="A371">
            <v>92813</v>
          </cell>
          <cell r="B371" t="str">
            <v>SINAPI</v>
          </cell>
          <cell r="C371">
            <v>2.4</v>
          </cell>
          <cell r="D371" t="str">
            <v>Assentamento de tubo de concreto para redes coletoras de águas pluviais, diâmetro nominal de 0,80 m, junta rígida em argamassa 1:3 cimento:areia, instalado em local com baixo nível de interferências (não inclui fornecimento). AF_12/2015</v>
          </cell>
          <cell r="E371"/>
          <cell r="F371" t="str">
            <v>M</v>
          </cell>
          <cell r="G371">
            <v>106.78</v>
          </cell>
          <cell r="H371" t="str">
            <v>-</v>
          </cell>
        </row>
        <row r="372">
          <cell r="A372">
            <v>92815</v>
          </cell>
          <cell r="B372" t="str">
            <v>SINAPI</v>
          </cell>
          <cell r="C372">
            <v>1.9</v>
          </cell>
          <cell r="D372" t="str">
            <v>Assentamento de tubo de concreto para redes coletoras de águas pluviais, diâmetro nominal de 1,00 m, junta rígida em argamassa 1:3 cimento:areia, instalado em local com baixo nível de interferências (não inclui fornecimento). AF_12/2015</v>
          </cell>
          <cell r="E372"/>
          <cell r="F372" t="str">
            <v>M</v>
          </cell>
          <cell r="G372">
            <v>139.80000000000001</v>
          </cell>
          <cell r="H372" t="str">
            <v>-</v>
          </cell>
        </row>
        <row r="373">
          <cell r="A373">
            <v>92817</v>
          </cell>
          <cell r="B373" t="str">
            <v>SINAPI</v>
          </cell>
          <cell r="C373">
            <v>1.5</v>
          </cell>
          <cell r="D373" t="str">
            <v>Assentamento de tubo de concreto para redes coletoras de águas pluviais, diâmetro nominal de 1,20 m, junta rígida em argamassa 1:3 cimento:areia, instalado em local com baixo nível de interferências (não inclui fornecimento). AF_12/2015</v>
          </cell>
          <cell r="E373"/>
          <cell r="F373" t="str">
            <v>M</v>
          </cell>
          <cell r="G373">
            <v>174.93</v>
          </cell>
          <cell r="H373" t="str">
            <v>-</v>
          </cell>
        </row>
        <row r="374">
          <cell r="A374">
            <v>92819</v>
          </cell>
          <cell r="B374" t="str">
            <v>SINAPI</v>
          </cell>
          <cell r="C374">
            <v>1.1000000000000001</v>
          </cell>
          <cell r="D374" t="str">
            <v>Assentamento de tubo de concreto para redes coletoras de águas pluviais, diâmetro nominal de 1,50 m, junta rígida em argamassa 1:3 cimento:areia, instalado em local com baixo nível de interferências (não inclui fornecimento). AF_12/2015</v>
          </cell>
          <cell r="E374"/>
          <cell r="F374" t="str">
            <v>M</v>
          </cell>
          <cell r="G374">
            <v>235.48</v>
          </cell>
          <cell r="H374" t="str">
            <v>-</v>
          </cell>
        </row>
        <row r="375">
          <cell r="A375">
            <v>92821</v>
          </cell>
          <cell r="B375" t="str">
            <v>SINAPI</v>
          </cell>
          <cell r="C375">
            <v>3.7</v>
          </cell>
          <cell r="D375" t="str">
            <v>Assentamento de tubo de concreto para redes coletoras de águas pluviais, diâmetro nominal de 0,40 m, junta rígida em argamassa 1:3 cimento:areia, instalado em local com alto nível de interferências (não inclui fornecimento). AF_12/2015</v>
          </cell>
          <cell r="E375" t="str">
            <v xml:space="preserve">TUBO DE CONCRETO
alta Interferência </v>
          </cell>
          <cell r="F375" t="str">
            <v>M</v>
          </cell>
          <cell r="G375">
            <v>65.430000000000007</v>
          </cell>
          <cell r="H375" t="str">
            <v>-</v>
          </cell>
        </row>
        <row r="376">
          <cell r="A376">
            <v>92824</v>
          </cell>
          <cell r="B376" t="str">
            <v>SINAPI</v>
          </cell>
          <cell r="C376">
            <v>2.6</v>
          </cell>
          <cell r="D376" t="str">
            <v>Assentamento de tubo de concreto para redes coletoras de águas pluviais, diâmetro nominal de 0,60 m, junta rígida em argamassa 1:3 cimento:areia, instalado em local com alto nível de interferências (não inclui fornecimento). AF_12/2015</v>
          </cell>
          <cell r="E376"/>
          <cell r="F376" t="str">
            <v>M</v>
          </cell>
          <cell r="G376">
            <v>94.83</v>
          </cell>
          <cell r="H376" t="str">
            <v>-</v>
          </cell>
        </row>
        <row r="377">
          <cell r="A377">
            <v>92826</v>
          </cell>
          <cell r="B377" t="str">
            <v>SINAPI</v>
          </cell>
          <cell r="C377">
            <v>2</v>
          </cell>
          <cell r="D377" t="str">
            <v>Assentamento de tubo de concreto para redes coletoras de águas pluviais, diâmetro nominal de 0,80 m, junta rígida em argamassa 1:3 cimento:areia, instalado em local com alto nível de interferências (não inclui fornecimento). AF_12/2015</v>
          </cell>
          <cell r="E377"/>
          <cell r="F377" t="str">
            <v>M</v>
          </cell>
          <cell r="G377">
            <v>126.7</v>
          </cell>
          <cell r="H377" t="str">
            <v>-</v>
          </cell>
        </row>
        <row r="378">
          <cell r="A378">
            <v>92828</v>
          </cell>
          <cell r="B378" t="str">
            <v>SINAPI</v>
          </cell>
          <cell r="C378">
            <v>1.6</v>
          </cell>
          <cell r="D378" t="str">
            <v>Assentamento de tubo de concreto para redes coletoras de águas pluviais, diâmetro nominal de 1,00 m, junta rígida em argamassa 1:3 cimento:areia, instalado em local com alto nível de interferências (não inclui fornecimento). AF_12/2015</v>
          </cell>
          <cell r="E378"/>
          <cell r="F378" t="str">
            <v>M</v>
          </cell>
          <cell r="G378">
            <v>164.54</v>
          </cell>
          <cell r="H378" t="str">
            <v>-</v>
          </cell>
        </row>
        <row r="379">
          <cell r="A379">
            <v>92830</v>
          </cell>
          <cell r="B379" t="str">
            <v>SINAPI</v>
          </cell>
          <cell r="C379">
            <v>1.3</v>
          </cell>
          <cell r="D379" t="str">
            <v>Assentamento de tubo de concreto para redes coletoras de águas pluviais, diâmetro nominal de 1,20 m, junta rígida em argamassa 1:3 cimento:areia, instalado em local com alto nível de interferências (não inclui fornecimento). AF_12/2015</v>
          </cell>
          <cell r="E379"/>
          <cell r="F379" t="str">
            <v>M</v>
          </cell>
          <cell r="G379">
            <v>204.12</v>
          </cell>
          <cell r="H379" t="str">
            <v>-</v>
          </cell>
        </row>
        <row r="380">
          <cell r="A380">
            <v>92832</v>
          </cell>
          <cell r="B380" t="str">
            <v>SINAPI</v>
          </cell>
          <cell r="C380">
            <v>1</v>
          </cell>
          <cell r="D380" t="str">
            <v>Assentamento de tubo de concreto para redes coletoras de águas pluviais, diâmetro nominal de 1,50 m, junta rígida em argamassa 1:3 cimento:areia, instalado em local com alto nível de interferências (não inclui fornecimento). AF_12/2015</v>
          </cell>
          <cell r="E380"/>
          <cell r="F380" t="str">
            <v>M</v>
          </cell>
          <cell r="G380">
            <v>271.33999999999997</v>
          </cell>
          <cell r="H380" t="str">
            <v>-</v>
          </cell>
        </row>
        <row r="381">
          <cell r="A381">
            <v>94869</v>
          </cell>
          <cell r="B381" t="str">
            <v>SINAPI</v>
          </cell>
          <cell r="C381"/>
          <cell r="D381" t="str">
            <v>Aquisição de tubo de PEAD corrugado com parede estruturada para drenagem de águas pluviais, DN/DI 0,25 m, PEAD com encaixe ponta e bolsa – JEI, parede dupla, interna lisa - fornecimento e assentamento. AF_01/2021</v>
          </cell>
          <cell r="E381"/>
          <cell r="F381" t="str">
            <v>M</v>
          </cell>
          <cell r="G381">
            <v>131.61000000000001</v>
          </cell>
          <cell r="H381" t="str">
            <v>-</v>
          </cell>
        </row>
        <row r="382">
          <cell r="A382">
            <v>94871</v>
          </cell>
          <cell r="B382" t="str">
            <v>SINAPI</v>
          </cell>
          <cell r="C382"/>
          <cell r="D382" t="str">
            <v>Aquisição de tubo de PEAD corrugado com parede estruturada para drenagem de águas pluviais, DN/DI 0,30 m, PEAD com encaixe ponta e bolsa – JEI, parede dupla, interna lisa - fornecimento e assentamento. AF_01/2021</v>
          </cell>
          <cell r="E382"/>
          <cell r="F382" t="str">
            <v>M</v>
          </cell>
          <cell r="G382">
            <v>205.84</v>
          </cell>
          <cell r="H382" t="str">
            <v>-</v>
          </cell>
        </row>
        <row r="383">
          <cell r="A383">
            <v>90708</v>
          </cell>
          <cell r="B383" t="str">
            <v>SINAPI</v>
          </cell>
          <cell r="C383">
            <v>90723</v>
          </cell>
          <cell r="D383" t="str">
            <v>Aquisição de tubo de PEAD corrugado com parede estruturada para drenagem de águas pluviais, DN/DI 0,60 m, PEAD com encaixe ponta e bolsa – JEI, parede dupla, interna lisa - fornecimento e assentamento. AF_01/2021</v>
          </cell>
          <cell r="E383"/>
          <cell r="F383" t="str">
            <v>M</v>
          </cell>
          <cell r="G383">
            <v>746.37</v>
          </cell>
          <cell r="H383" t="str">
            <v>-</v>
          </cell>
        </row>
        <row r="384">
          <cell r="A384">
            <v>94875</v>
          </cell>
          <cell r="B384" t="str">
            <v>SINAPI</v>
          </cell>
          <cell r="C384">
            <v>94891</v>
          </cell>
          <cell r="D384" t="str">
            <v>Aquisição de tubo de PEAD corrugado com parede estruturada para drenagem de águas pluviais, DN/DI 0,75 m, PEAD com encaixe ponta e bolsa – JEI, parede dupla, interna lisa - fornecimento e assentamento. AF_01/2021</v>
          </cell>
          <cell r="E384"/>
          <cell r="F384" t="str">
            <v>M</v>
          </cell>
          <cell r="G384">
            <v>1211.76</v>
          </cell>
          <cell r="H384" t="str">
            <v>-</v>
          </cell>
        </row>
        <row r="385">
          <cell r="A385">
            <v>94879</v>
          </cell>
          <cell r="B385" t="str">
            <v>SINAPI</v>
          </cell>
          <cell r="C385">
            <v>94895</v>
          </cell>
          <cell r="D385" t="str">
            <v>Aquisição de tubo de PEAD corrugado com parede estruturada para drenagem de águas pluviais, DN/DI 1,00 m, PEAD com encaixe ponta e bolsa – JEI, parede dupla, interna lisa - fornecimento e assentamento. AF_06/2016</v>
          </cell>
          <cell r="E385"/>
          <cell r="F385" t="str">
            <v>M</v>
          </cell>
          <cell r="G385">
            <v>1865.4</v>
          </cell>
          <cell r="H385" t="str">
            <v>-</v>
          </cell>
        </row>
        <row r="386">
          <cell r="A386">
            <v>94881</v>
          </cell>
          <cell r="B386" t="str">
            <v>SINAPI</v>
          </cell>
          <cell r="C386">
            <v>94897</v>
          </cell>
          <cell r="D386" t="str">
            <v>Aquisição de tubo de PEAD corrugado com parede estruturada para drenagem de águas pluviais, DN/DI 1,20 m, PEAD com encaixe ponta e bolsa – JEI, parede dupla, interna lisa - fornecimento e assentamento. AF_06/2016</v>
          </cell>
          <cell r="E386"/>
          <cell r="F386" t="str">
            <v>M</v>
          </cell>
          <cell r="G386">
            <v>2568.11</v>
          </cell>
          <cell r="H386" t="str">
            <v>-</v>
          </cell>
        </row>
        <row r="387">
          <cell r="A387">
            <v>41781</v>
          </cell>
          <cell r="B387" t="str">
            <v>SINAPI</v>
          </cell>
          <cell r="C387"/>
          <cell r="D387" t="str">
            <v>Aquisição de tubo de PEAD corrugado com parede estruturada para drenagem de águas pluviais, DN/DI *0,40* m (*48* kg/6 m); PEAD virgem, para rede de drenagem, com encaixe ponta e bolsa – JEI, parede dupla, interna lisa, conforme norma DNIT 094/2014</v>
          </cell>
          <cell r="E387"/>
          <cell r="F387" t="str">
            <v xml:space="preserve">M     </v>
          </cell>
          <cell r="G387">
            <v>313.06</v>
          </cell>
          <cell r="H387" t="str">
            <v>-</v>
          </cell>
        </row>
        <row r="388">
          <cell r="A388">
            <v>41782</v>
          </cell>
          <cell r="B388" t="str">
            <v>SINAPI</v>
          </cell>
          <cell r="C388"/>
          <cell r="D388" t="str">
            <v>Aquisição de tubo de PEAD corrugado com parede estruturada para drenagem de águas pluviais, DN/DI 0,60 m (100 kg/6 m); PEAD virgem, para rede de drenagem, com encaixe ponta e bolsa – JEI, parede dupla, interna lisa, conforme norma DNIT 094/2014</v>
          </cell>
          <cell r="E388"/>
          <cell r="F388" t="str">
            <v xml:space="preserve">M     </v>
          </cell>
          <cell r="G388">
            <v>691.95</v>
          </cell>
          <cell r="H388" t="str">
            <v>-</v>
          </cell>
        </row>
        <row r="389">
          <cell r="A389">
            <v>41783</v>
          </cell>
          <cell r="B389" t="str">
            <v>SINAPI</v>
          </cell>
          <cell r="C389"/>
          <cell r="D389" t="str">
            <v>Aquisição de tubo de PEAD corrugado com parede estruturada para drenagem de águas pluviais, DN/DI *0,80* m (*174* kg/6 m); PEAD virgem, para rede de drenagem, com encaixe ponta e bolsa – JEI, parede dupla, interna lisa, conforme norma DNIT 094/2014</v>
          </cell>
          <cell r="E389"/>
          <cell r="F389" t="str">
            <v xml:space="preserve">M     </v>
          </cell>
          <cell r="G389">
            <v>1125.48</v>
          </cell>
          <cell r="H389" t="str">
            <v>-</v>
          </cell>
        </row>
        <row r="390">
          <cell r="A390">
            <v>41785</v>
          </cell>
          <cell r="B390" t="str">
            <v>SINAPI</v>
          </cell>
          <cell r="C390"/>
          <cell r="D390" t="str">
            <v>Aquisição de tubo de PEAD corrugado com parede estruturada para drenagem de águas pluviais, DN/DI *1,00* m (*230* kg/6 m); PEAD virgem, para rede de drenagem, com encaixe ponta e bolsa – JEI, parede dupla, interna lisa, conforme norma DNIT 094/2014</v>
          </cell>
          <cell r="E390"/>
          <cell r="F390" t="str">
            <v xml:space="preserve">M     </v>
          </cell>
          <cell r="G390">
            <v>1733.78</v>
          </cell>
          <cell r="H390" t="str">
            <v>-</v>
          </cell>
        </row>
        <row r="391">
          <cell r="A391">
            <v>41786</v>
          </cell>
          <cell r="B391" t="str">
            <v>SINAPI</v>
          </cell>
          <cell r="C391"/>
          <cell r="D391" t="str">
            <v>Aquisição de tubo de PEAD corrugado com parede estruturada para drenagem de águas pluviais, DN/DI 1,20 m (293 kg/6 m); PEAD virgem, para rede de drenagem, com encaixe ponta e bolsa – JEI, parede dupla, interna lisa, conforme norma DNIT 094/2014</v>
          </cell>
          <cell r="E391"/>
          <cell r="F391" t="str">
            <v xml:space="preserve">M     </v>
          </cell>
          <cell r="G391">
            <v>2396.1999999999998</v>
          </cell>
          <cell r="H391" t="str">
            <v>-</v>
          </cell>
        </row>
        <row r="392">
          <cell r="A392" t="str">
            <v>DR/0700</v>
          </cell>
          <cell r="B392" t="str">
            <v>COTAÇÃO - SICRO</v>
          </cell>
          <cell r="D392" t="str">
            <v>Aquisição de tubo PEAD com paredes estruturadas para drenagem de águas pluviais - D = 400 mm (48,00 kg/6 m); DN/DI, em PEAD virgem para rede de drenagem, ponta e bolsa – JEI, parede dupla, interna lisa, conforme norma DNIT 094/2014 (REF. SICRO COD. M0131)</v>
          </cell>
          <cell r="E392" t="str">
            <v>M0131</v>
          </cell>
          <cell r="F392" t="str">
            <v>m</v>
          </cell>
          <cell r="G392">
            <v>205.90530000000001</v>
          </cell>
          <cell r="H392" t="str">
            <v>-</v>
          </cell>
        </row>
        <row r="393">
          <cell r="A393" t="str">
            <v>DR/0710</v>
          </cell>
          <cell r="B393" t="str">
            <v>COTAÇÃO - SICRO</v>
          </cell>
          <cell r="D393" t="str">
            <v>Aquisição de tubo PEAD com paredes estruturadas para drenagem de águas pluviais - D = 500 mm (68,00 kg/6 m); DN/DI, em PEAD virgem para rede de drenagem, ponta e bolsa – JEI, parede dupla, interna lisa, conforme norma DNIT 094/2014 (REF. SICRO COD. M0133)</v>
          </cell>
          <cell r="E393" t="str">
            <v>M0133</v>
          </cell>
          <cell r="F393" t="str">
            <v>m</v>
          </cell>
          <cell r="G393">
            <v>338.03089999999997</v>
          </cell>
          <cell r="H393" t="str">
            <v>-</v>
          </cell>
        </row>
        <row r="394">
          <cell r="A394" t="str">
            <v>DR/0720</v>
          </cell>
          <cell r="B394" t="str">
            <v>COTAÇÃO - SICRO</v>
          </cell>
          <cell r="D394" t="str">
            <v>Aquisição de tubo PEAD com paredes estruturadas para drenagem de águas pluviais - D = 600 mm (100,00 kg/6 m); DN/DI, em PEAD virgem para rede de drenagem, ponta e bolsa – JEI, parede dupla, interna lisa, conforme norma DNIT 094/2014 (REF. SICRO COD. M0134)</v>
          </cell>
          <cell r="E394" t="str">
            <v>M0134</v>
          </cell>
          <cell r="F394" t="str">
            <v>m</v>
          </cell>
          <cell r="G394">
            <v>493.61329999999998</v>
          </cell>
          <cell r="H394" t="str">
            <v>-</v>
          </cell>
        </row>
        <row r="395">
          <cell r="A395" t="str">
            <v>DR/0730</v>
          </cell>
          <cell r="B395" t="str">
            <v>COTAÇÃO - SICRO</v>
          </cell>
          <cell r="D395" t="str">
            <v>Aquisição de tubo PEAD com paredes estruturadas para drenagem de águas pluviais - D = 750 mm (142,00 kg/6 m); DN/DI, em PEAD virgem para rede de drenagem, ponta e bolsa – JEI, parede dupla, interna lisa, conforme norma DNIT 094/2014 (REF. SICRO COD. M0135)</v>
          </cell>
          <cell r="E395" t="str">
            <v>M0135</v>
          </cell>
          <cell r="F395" t="str">
            <v>m</v>
          </cell>
          <cell r="G395">
            <v>683.87049999999999</v>
          </cell>
          <cell r="H395" t="str">
            <v>-</v>
          </cell>
        </row>
        <row r="396">
          <cell r="A396" t="str">
            <v>DR/0735</v>
          </cell>
          <cell r="B396" t="str">
            <v>COTAÇÃO - SICRO</v>
          </cell>
          <cell r="D396" t="str">
            <v>Aquisição de tubo PEAD com paredes estruturadas para drenagem de águas pluviais - D = 800 mm (174,00 kg /6 m); DN/DI, em PEAD virgem para rede de drenagem, ponta e bolsa – JEI, parede dupla, interna lisa, conforme norma DNIT 094/2014 (REF. SICRO COD. M0136)</v>
          </cell>
          <cell r="E396" t="str">
            <v>M0136</v>
          </cell>
          <cell r="F396" t="str">
            <v>m</v>
          </cell>
          <cell r="G396">
            <v>721.16010000000006</v>
          </cell>
          <cell r="H396" t="str">
            <v>-</v>
          </cell>
        </row>
        <row r="397">
          <cell r="A397" t="str">
            <v>DR/0740</v>
          </cell>
          <cell r="B397" t="str">
            <v>COTAÇÃO - SICRO</v>
          </cell>
          <cell r="D397" t="str">
            <v>Aquisição de tubo PEAD com paredes estruturadas para drenagem de águas pluviais - D = 900 mm (195,00 kg /6 m); DN/DI, em PEAD virgem para rede de drenagem, ponta e bolsa – JEI, parede dupla, interna lisa, conforme norma DNIT 094/2014 (REF. SICRO COD. M0137)</v>
          </cell>
          <cell r="E397" t="str">
            <v>M0137</v>
          </cell>
          <cell r="F397" t="str">
            <v>m</v>
          </cell>
          <cell r="G397">
            <v>923.12440000000004</v>
          </cell>
          <cell r="H397" t="str">
            <v>-</v>
          </cell>
        </row>
        <row r="398">
          <cell r="A398" t="str">
            <v>DR/0750</v>
          </cell>
          <cell r="B398" t="str">
            <v>COTAÇÃO - SICRO</v>
          </cell>
          <cell r="D398" t="str">
            <v>Aquisição de tubo PEAD com paredes estruturadas para drenagem de águas pluviais - D = 1.000 mm (230,00 kg /6 m); DN/DI, em PEAD virgem para rede de drenagem, ponta e bolsa – JEI, parede dupla, interna lisa, conforme norma DNIT 094/2014 (REF. SICRO COD. M0139)</v>
          </cell>
          <cell r="E398" t="str">
            <v>M0139</v>
          </cell>
          <cell r="F398" t="str">
            <v>m</v>
          </cell>
          <cell r="G398">
            <v>1285.0968</v>
          </cell>
          <cell r="H398" t="str">
            <v>-</v>
          </cell>
        </row>
        <row r="399">
          <cell r="A399" t="str">
            <v>DR/0760</v>
          </cell>
          <cell r="B399" t="str">
            <v>COTAÇÃO - SICRO</v>
          </cell>
          <cell r="D399" t="str">
            <v>Aquisição de tubo PEAD com paredes estruturadas para drenagem de águas pluviais - D = 1.200 mm (293,00 kg /6 m); DN/DI, em PEAD virgem para rede de drenagem, ponta e bolsa – JEI, parede dupla, interna lisa, conforme norma DNIT 094/2014 (REF. SICRO COD. M0142)</v>
          </cell>
          <cell r="E399" t="str">
            <v>M0142</v>
          </cell>
          <cell r="F399" t="str">
            <v>m</v>
          </cell>
          <cell r="G399">
            <v>1705.635</v>
          </cell>
          <cell r="H399" t="str">
            <v>-</v>
          </cell>
        </row>
        <row r="400">
          <cell r="A400" t="str">
            <v>DR/0770</v>
          </cell>
          <cell r="B400" t="str">
            <v>COTAÇÃO - SICRO</v>
          </cell>
          <cell r="D400" t="str">
            <v>Aquisição de tubo PEAD com paredes estruturadas para drenagem de águas pluviais - D = 1.500 mm (400,00 kg /6 m); DN/DI, em PEAD virgem para rede de drenagem, ponta e bolsa – JEI, parede dupla, interna lisa, conforme norma DNIT 094/2014 (REF. SICRO COD. M0143)</v>
          </cell>
          <cell r="E400" t="str">
            <v>M0143</v>
          </cell>
          <cell r="F400" t="str">
            <v>m</v>
          </cell>
          <cell r="G400">
            <v>2204.8613999999998</v>
          </cell>
          <cell r="H400" t="str">
            <v>-</v>
          </cell>
        </row>
        <row r="401">
          <cell r="A401" t="str">
            <v>SEL -100</v>
          </cell>
          <cell r="B401" t="str">
            <v>COTAÇÃO - SEL</v>
          </cell>
          <cell r="C401"/>
          <cell r="D401" t="str">
            <v>Aquisição de Tubo PEAD com paredes estruturadas para drenagem - D = 400 mm (48 kg/6 m); DN/DI, em PEAD virgem para rede de drenagem, ponta e bolsa – JEI, parede dupla, interna lisa, conforme norma DNIT 094/2014 (REF. SICRO COD. M0131). Posto Três Lagoas/MS.</v>
          </cell>
          <cell r="E401" t="str">
            <v>SEL -100</v>
          </cell>
          <cell r="F401" t="str">
            <v>M</v>
          </cell>
          <cell r="G401">
            <v>0</v>
          </cell>
          <cell r="H401" t="str">
            <v>ERRO</v>
          </cell>
        </row>
        <row r="402">
          <cell r="A402" t="str">
            <v>SEL -101</v>
          </cell>
          <cell r="B402" t="str">
            <v>COTAÇÃO - SEL</v>
          </cell>
          <cell r="C402"/>
          <cell r="D402" t="str">
            <v>Aquisição de Tubo PEAD com paredes estruturadas para drenagem - D = 600 mm (100 kg/6 m); DN/DI, em PEAD virgem para rede de drenagem, ponta e bolsa – JEI, parede dupla, interna lisa, conforme norma DNIT 094/2014 (REF. SICRO COD. M0134)Posto Três Lagoas/MS.</v>
          </cell>
          <cell r="E402" t="str">
            <v>SEL -101</v>
          </cell>
          <cell r="F402" t="str">
            <v>M</v>
          </cell>
          <cell r="G402" t="e">
            <v>#DIV/0!</v>
          </cell>
          <cell r="H402" t="str">
            <v>VER COMP</v>
          </cell>
        </row>
        <row r="403">
          <cell r="A403" t="str">
            <v>SEL -102</v>
          </cell>
          <cell r="B403" t="str">
            <v>COTAÇÃO - SEL</v>
          </cell>
          <cell r="C403"/>
          <cell r="D403" t="str">
            <v>Aquisição de Tubo PEAD com paredes estruturadas para drenagem - D = 750 mm (142 kg/6 m); DN/DI, em PEAD virgem para rede de drenagem, ponta e bolsa – JEI, parede dupla, interna lisa, conforme norma DNIT 094/2014 (REF. SICRO COD. M0135) Posto Três Lagoas/MS.</v>
          </cell>
          <cell r="E403" t="str">
            <v>SEL -102</v>
          </cell>
          <cell r="F403" t="str">
            <v>M</v>
          </cell>
          <cell r="G403" t="e">
            <v>#DIV/0!</v>
          </cell>
          <cell r="H403" t="str">
            <v>VER COMP</v>
          </cell>
        </row>
        <row r="404">
          <cell r="A404" t="str">
            <v>SEL -103</v>
          </cell>
          <cell r="B404" t="str">
            <v>COTAÇÃO - SEL</v>
          </cell>
          <cell r="C404"/>
          <cell r="D404" t="str">
            <v>Aquisição de Tubo PEAD com paredes estruturadas para drenagem - D = 900 mm (195 kg /6 m); DN/DI, em PEAD virgem para rede de drenagem, ponta e bolsa – JEI, parede dupla, interna lisa, conforme norma DNIT 094/2014 (REF. SICRO COD. M0137) Posto Três Lagoas/MS.</v>
          </cell>
          <cell r="E404" t="str">
            <v>SEL -103</v>
          </cell>
          <cell r="F404" t="str">
            <v>M</v>
          </cell>
          <cell r="G404" t="e">
            <v>#DIV/0!</v>
          </cell>
          <cell r="H404" t="str">
            <v>VER COMP</v>
          </cell>
        </row>
        <row r="405">
          <cell r="A405" t="str">
            <v>SEL -104</v>
          </cell>
          <cell r="B405" t="str">
            <v>COTAÇÃO - SEL</v>
          </cell>
          <cell r="C405"/>
          <cell r="D405" t="str">
            <v>Aquisição de Tubo PEAD com paredes estruturadas para drenagem - D = 1.000 mm (230 kg /6 m); DN/DI, em PEAD virgem para rede de drenagem, ponta e bolsa – JEI, parede dupla, interna lisa, conforme norma DNIT 094/2014 (REF. SICRO COD. M0139).Posto Três Lagoas/MS.</v>
          </cell>
          <cell r="E405" t="str">
            <v>SEL -104</v>
          </cell>
          <cell r="F405" t="str">
            <v>M</v>
          </cell>
          <cell r="G405" t="e">
            <v>#DIV/0!</v>
          </cell>
          <cell r="H405" t="str">
            <v>VER COMP</v>
          </cell>
        </row>
        <row r="406">
          <cell r="A406" t="str">
            <v>SEL -105</v>
          </cell>
          <cell r="B406" t="str">
            <v>COTAÇÃO - SEL</v>
          </cell>
          <cell r="C406"/>
          <cell r="D406" t="str">
            <v>Aquisição de Tubo PEAD com paredes estruturadas para drenagem - D = 1.200 mm (293 kg /6 m); DN/DI, em PEAD virgem para rede de drenagem, ponta e bolsa – JEI, parede dupla, interna lisa, conforme norma DNIT 094/2014 (REF. SICRO COD. M0142). Posto Três Lagoas/MS.</v>
          </cell>
          <cell r="E406" t="str">
            <v>SEL -105</v>
          </cell>
          <cell r="F406" t="str">
            <v>M</v>
          </cell>
          <cell r="G406" t="e">
            <v>#DIV/0!</v>
          </cell>
          <cell r="H406" t="str">
            <v>VER COMP</v>
          </cell>
        </row>
        <row r="407">
          <cell r="A407" t="str">
            <v>SEL -106</v>
          </cell>
          <cell r="B407" t="str">
            <v>COTAÇÃO - SEL</v>
          </cell>
          <cell r="C407"/>
          <cell r="D407" t="str">
            <v>Aquisição de Tubo PEAD com paredes estruturadas para drenagem - D = 1.500 mm (400 kg /6 m); DN/DI, em PEAD virgem para rede de drenagem, ponta e bolsa – JEI, parede dupla, interna lisa, conforme norma DNIT 094/2014 (REF. SICRO COD. M0143) Posto Três Lagoas/MS.</v>
          </cell>
          <cell r="E407" t="str">
            <v>SEL -106</v>
          </cell>
          <cell r="F407" t="str">
            <v>M</v>
          </cell>
          <cell r="G407" t="e">
            <v>#DIV/0!</v>
          </cell>
          <cell r="H407" t="str">
            <v>VER COMP</v>
          </cell>
        </row>
        <row r="408">
          <cell r="A408" t="str">
            <v>SEL -120</v>
          </cell>
          <cell r="B408" t="str">
            <v>COTAÇÃO - SEL</v>
          </cell>
          <cell r="C408"/>
          <cell r="D408" t="str">
            <v>Tubo de concreto simples, D = 0,40m (180kg/m), PB, Classe PS-1, aquisição. Posto Três Lagoas/MS.</v>
          </cell>
          <cell r="E408" t="str">
            <v>SEL -120</v>
          </cell>
          <cell r="F408" t="str">
            <v>M</v>
          </cell>
          <cell r="G408">
            <v>0</v>
          </cell>
          <cell r="H408" t="str">
            <v>ERRO</v>
          </cell>
        </row>
        <row r="409">
          <cell r="A409" t="str">
            <v>SEL -121</v>
          </cell>
          <cell r="B409" t="str">
            <v>COTAÇÃO - SEL</v>
          </cell>
          <cell r="C409"/>
          <cell r="D409" t="str">
            <v>Tubo de concreto simples, D = 0,60m (347kg/m), PB, Classe PS-1, aquisição. Posto Três Lagoas/MS.</v>
          </cell>
          <cell r="E409" t="str">
            <v>SEL -121</v>
          </cell>
          <cell r="F409" t="str">
            <v>M</v>
          </cell>
          <cell r="G409">
            <v>0</v>
          </cell>
          <cell r="H409" t="str">
            <v>ERRO</v>
          </cell>
        </row>
        <row r="410">
          <cell r="A410" t="str">
            <v>SEL -122</v>
          </cell>
          <cell r="B410" t="str">
            <v>COTAÇÃO - SEL</v>
          </cell>
          <cell r="C410"/>
          <cell r="D410" t="str">
            <v>Tubo de concreto armado para aguas pluviais, classe PA-1, com encaixe ponta e bolsa, diametro nominal de 0,80 m (533 kg/m) - Aquisição. Posto Três Lagoas/MS.</v>
          </cell>
          <cell r="E410" t="str">
            <v>SEL -122</v>
          </cell>
          <cell r="F410" t="str">
            <v>M</v>
          </cell>
          <cell r="G410">
            <v>0</v>
          </cell>
          <cell r="H410" t="str">
            <v>ERRO</v>
          </cell>
        </row>
        <row r="411">
          <cell r="A411" t="str">
            <v>SEL -123</v>
          </cell>
          <cell r="B411" t="str">
            <v>COTAÇÃO - SEL</v>
          </cell>
          <cell r="C411"/>
          <cell r="D411" t="str">
            <v>Tubo de concreto armado para aguas pluviais, classe PA-1, com encaixe ponta e bolsa, diametro nominal de 1,00 m (800 kg/m) - Aquisição. Posto Três Lagoas/MS.</v>
          </cell>
          <cell r="E411" t="str">
            <v>SEL -123</v>
          </cell>
          <cell r="F411" t="str">
            <v>M</v>
          </cell>
          <cell r="G411">
            <v>0</v>
          </cell>
          <cell r="H411" t="str">
            <v>ERRO</v>
          </cell>
        </row>
        <row r="412">
          <cell r="A412" t="str">
            <v>SEL -124</v>
          </cell>
          <cell r="B412" t="str">
            <v>COTAÇÃO - SEL</v>
          </cell>
          <cell r="C412"/>
          <cell r="D412" t="str">
            <v>Tubo de concreto armado para aguas pluviais, classe PA-1, com encaixe ponta e bolsa, diametro nominal de 1,20 m (1133 kg/m) - Aquisição. Posto Três Lagoas/MS.</v>
          </cell>
          <cell r="E412" t="str">
            <v>SEL -124</v>
          </cell>
          <cell r="F412" t="str">
            <v>M</v>
          </cell>
          <cell r="G412">
            <v>0</v>
          </cell>
          <cell r="H412" t="str">
            <v>ERRO</v>
          </cell>
        </row>
        <row r="413">
          <cell r="A413" t="str">
            <v>SEL -125</v>
          </cell>
          <cell r="B413" t="str">
            <v>COTAÇÃO - SEL</v>
          </cell>
          <cell r="C413"/>
          <cell r="D413" t="str">
            <v>Tubo de concreto armado para aguas pluviais, classe PA-1, com encaixe ponta e bolsa, diametro nominal de 1,50 m (1933 kg/m) - Aquisição. Posto Três Lagoas/MS.</v>
          </cell>
          <cell r="E413" t="str">
            <v>SEL -125</v>
          </cell>
          <cell r="F413" t="str">
            <v>M</v>
          </cell>
          <cell r="G413">
            <v>0</v>
          </cell>
          <cell r="H413" t="str">
            <v>ERRO</v>
          </cell>
        </row>
        <row r="414">
          <cell r="A414" t="str">
            <v>SEL -126</v>
          </cell>
          <cell r="B414" t="str">
            <v>COTAÇÃO - SEL</v>
          </cell>
          <cell r="C414"/>
          <cell r="D414" t="str">
            <v>Tubo de concreto armado para aguas pluviais, classe PA-2, com encaixe ponta e bolsa, diametro nominal de 1,20 m (1333 kg/m) - Aquisição. Posto Três Lagoas/MS.</v>
          </cell>
          <cell r="E414" t="str">
            <v>SEL -126</v>
          </cell>
          <cell r="F414" t="str">
            <v>M</v>
          </cell>
          <cell r="G414">
            <v>0</v>
          </cell>
          <cell r="H414" t="str">
            <v>ERRO</v>
          </cell>
        </row>
        <row r="415">
          <cell r="A415">
            <v>94870</v>
          </cell>
          <cell r="B415" t="str">
            <v>SINAPI</v>
          </cell>
          <cell r="C415"/>
          <cell r="D415" t="str">
            <v>Assentamento de tubo de PEAD corrugado com parede estruturada para drenagem de águas pluviais, DN/DI 0,25 m; PEAD virgem para rede de drenagem, com encaixei ponta e bolsa – JEI, conforme norma DNIT 094/2014 (não inclui fornecimento). AF_01/2021</v>
          </cell>
          <cell r="E415"/>
          <cell r="F415" t="str">
            <v>M</v>
          </cell>
          <cell r="G415">
            <v>2.16</v>
          </cell>
          <cell r="H415" t="str">
            <v>-</v>
          </cell>
        </row>
        <row r="416">
          <cell r="A416">
            <v>94872</v>
          </cell>
          <cell r="B416" t="str">
            <v>SINAPI</v>
          </cell>
          <cell r="C416"/>
          <cell r="D416" t="str">
            <v>Assentamento de tubo de PEAD corrugado com parede estruturada para drenagem de águas pluviais, DN/DI 0,30 m; PEAD virgem para rede de drenagem, com encaixei ponta e bolsa – JEI, conforme norma DNIT 094/2014 (não inclui fornecimento). AF_01/2021</v>
          </cell>
          <cell r="E416"/>
          <cell r="F416" t="str">
            <v>M</v>
          </cell>
          <cell r="G416">
            <v>3.03</v>
          </cell>
          <cell r="H416" t="str">
            <v>-</v>
          </cell>
        </row>
        <row r="417">
          <cell r="A417" t="str">
            <v>DR/0060</v>
          </cell>
          <cell r="B417" t="str">
            <v>COMPOSIÇÃO</v>
          </cell>
          <cell r="C417" t="str">
            <v>90760
24,6 m/h</v>
          </cell>
          <cell r="D417" t="str">
            <v>Assentamento de tubo de PEAD corrugado com parede estruturada para drenagem de águas pluviais, DN/DI 0,40 m; PEAD virgem para rede de drenagem, com encaixei ponta e bolsa – JEI, conforme norma DNIT 094/2014 (não inclui fornecimento) (REF. SINAPI COD. 90746)</v>
          </cell>
          <cell r="E417"/>
          <cell r="F417" t="str">
            <v>M</v>
          </cell>
          <cell r="G417">
            <v>3.09</v>
          </cell>
          <cell r="H417" t="str">
            <v>-</v>
          </cell>
        </row>
        <row r="418">
          <cell r="A418">
            <v>90746</v>
          </cell>
          <cell r="B418" t="str">
            <v>SINAPI</v>
          </cell>
          <cell r="C418">
            <v>25.6</v>
          </cell>
          <cell r="D418" t="str">
            <v>Assentamento de tubo de PEAD corrugado com parede estruturada para drenagem de águas pluviais, DN/DI 0,45 m; PEAD virgem para rede de drenagem, com encaixei ponta e bolsa – JEI, conforme norma DNIT 094/2014 (não inclui fornecimento). AF_01/2021</v>
          </cell>
          <cell r="E418"/>
          <cell r="F418" t="str">
            <v>M</v>
          </cell>
          <cell r="G418">
            <v>4.08</v>
          </cell>
          <cell r="H418" t="str">
            <v>-</v>
          </cell>
        </row>
        <row r="419">
          <cell r="A419" t="str">
            <v>DR/0070</v>
          </cell>
          <cell r="B419" t="str">
            <v>COMPOSIÇÃO</v>
          </cell>
          <cell r="C419" t="str">
            <v>DR/0075
18,9 m/h</v>
          </cell>
          <cell r="D419" t="str">
            <v>Assentamento de tubo de PEAD corrugado com parede estruturada para drenagem de águas pluviais, DN/DI 0,50 m; PEAD virgem para rede de drenagem, com encaixei ponta e bolsa – JEI, conforme norma DNIT 094/2014 (não inclui fornecimento) (REF. SINAPI COD. 90746 E 90747)</v>
          </cell>
          <cell r="E419"/>
          <cell r="F419" t="str">
            <v>M</v>
          </cell>
          <cell r="G419">
            <v>5.31</v>
          </cell>
          <cell r="H419" t="str">
            <v>-</v>
          </cell>
        </row>
        <row r="420">
          <cell r="A420">
            <v>90747</v>
          </cell>
          <cell r="B420" t="str">
            <v>SINAPI</v>
          </cell>
          <cell r="C420" t="str">
            <v>90762
14,6 m/h</v>
          </cell>
          <cell r="D420" t="str">
            <v>Assentamento de tubo de PEAD corrugado com parede estruturada para drenagem de águas pluviais, DN/DI 0,60 m; PEAD virgem para rede de drenagem, com encaixei ponta e bolsa – JEI, conforme norma DNIT 094/2014 (não inclui fornecimento). AF_01/2021</v>
          </cell>
          <cell r="E420"/>
          <cell r="F420" t="str">
            <v>M</v>
          </cell>
          <cell r="G420">
            <v>17.68</v>
          </cell>
          <cell r="H420" t="str">
            <v>-</v>
          </cell>
        </row>
        <row r="421">
          <cell r="A421" t="str">
            <v>DR/0080</v>
          </cell>
          <cell r="B421" t="str">
            <v>COMPOSIÇÃO</v>
          </cell>
          <cell r="C421" t="str">
            <v>94892
8,3 m/h</v>
          </cell>
          <cell r="D421" t="str">
            <v>Assentamento de tubo de PEAD corrugado com parede estruturada para drenagem de águas pluviais, DN/DI 0,75 m; PEAD virgem para rede de drenagem, com encaixei ponta e bolsa – JEI, conforme norma DNIT 094/2014 (não inclui fornecimento) (REF. SINAPI COD. 90746 E 90747)</v>
          </cell>
          <cell r="E421"/>
          <cell r="F421" t="str">
            <v>M</v>
          </cell>
          <cell r="G421">
            <v>29.1</v>
          </cell>
          <cell r="H421" t="str">
            <v>-</v>
          </cell>
        </row>
        <row r="422">
          <cell r="A422">
            <v>94876</v>
          </cell>
          <cell r="B422" t="str">
            <v>SINAPI</v>
          </cell>
          <cell r="C422" t="str">
            <v>DR/0085
15,7 m/h</v>
          </cell>
          <cell r="D422" t="str">
            <v>Assentamento de tubo de PEAD corrugado com parede estruturada para drenagem de águas pluviais, DN/DI 0,80 m; PEAD virgem para rede de drenagem, com encaixei ponta e bolsa – JEI, conforme norma DNIT 094/2014 (não inclui fornecimento). AF_01/2021</v>
          </cell>
          <cell r="E422"/>
          <cell r="F422" t="str">
            <v>M</v>
          </cell>
          <cell r="G422">
            <v>30.01</v>
          </cell>
          <cell r="H422" t="str">
            <v>-</v>
          </cell>
        </row>
        <row r="423">
          <cell r="A423">
            <v>94878</v>
          </cell>
          <cell r="B423" t="str">
            <v>SINAPI</v>
          </cell>
          <cell r="C423" t="str">
            <v>94894
13,4 m/h</v>
          </cell>
          <cell r="D423" t="str">
            <v>Assentamento de tubo de PEAD corrugado com parede estruturada para drenagem de águas pluviais, DN/DI 0,90 m; PEAD virgem para rede de drenagem, com encaixei ponta e bolsa – JEI, conforme norma DNIT 094/2014 (não inclui fornecimento). AF_06/2016</v>
          </cell>
          <cell r="E423"/>
          <cell r="F423" t="str">
            <v>M</v>
          </cell>
          <cell r="G423">
            <v>34.65</v>
          </cell>
          <cell r="H423" t="str">
            <v>-</v>
          </cell>
        </row>
        <row r="424">
          <cell r="A424">
            <v>94880</v>
          </cell>
          <cell r="B424" t="str">
            <v>SINAPI</v>
          </cell>
          <cell r="C424" t="str">
            <v>94896
6,7 m/h</v>
          </cell>
          <cell r="D424" t="str">
            <v>Assentamento de tubo de PEAD corrugado com parede estruturada para drenagem de águas pluviais, DN/DI 1,00 m; PEAD virgem para rede de drenagem, com encaixei ponta e bolsa – JEI, conforme norma DNIT 094/2014 (não inclui fornecimento). AF_06/2016</v>
          </cell>
          <cell r="E424"/>
          <cell r="F424" t="str">
            <v>M</v>
          </cell>
          <cell r="G424">
            <v>44.94</v>
          </cell>
          <cell r="H424" t="str">
            <v>-</v>
          </cell>
        </row>
        <row r="425">
          <cell r="A425">
            <v>94882</v>
          </cell>
          <cell r="B425" t="str">
            <v>SINAPI</v>
          </cell>
          <cell r="C425" t="str">
            <v>94898
9,2 m/h</v>
          </cell>
          <cell r="D425" t="str">
            <v>Assentamento de tubo de PEAD corrugado com parede estruturada para drenagem de águas pluviais, DN/DI 1,20 m; PEAD virgem para rede de drenagem, com encaixei ponta e bolsa – JEI, conforme norma DNIT 094/2014 (não inclui fornecimento). AF_06/2016</v>
          </cell>
          <cell r="E425"/>
          <cell r="F425" t="str">
            <v>M</v>
          </cell>
          <cell r="G425">
            <v>52.1</v>
          </cell>
          <cell r="H425" t="str">
            <v>-</v>
          </cell>
        </row>
        <row r="426">
          <cell r="A426">
            <v>94884</v>
          </cell>
          <cell r="B426" t="str">
            <v>SINAPI</v>
          </cell>
          <cell r="C426" t="str">
            <v>94900
4,3 m/h</v>
          </cell>
          <cell r="D426" t="str">
            <v>Assentamento de tubo de PEAD corrugado com parede estruturada para drenagem de águas pluviais, DN/DI 1,50 m; PEAD virgem para rede de drenagem, com encaixei ponta e bolsa – JEI, conforme norma DNIT 094/2014 (não inclui fornecimento). AF_06/2016</v>
          </cell>
          <cell r="E426"/>
          <cell r="F426" t="str">
            <v>M</v>
          </cell>
          <cell r="G426">
            <v>66.62</v>
          </cell>
          <cell r="H426" t="str">
            <v>-</v>
          </cell>
        </row>
        <row r="427">
          <cell r="A427">
            <v>37476</v>
          </cell>
          <cell r="B427" t="str">
            <v>SINAPI</v>
          </cell>
          <cell r="C427"/>
          <cell r="D427" t="str">
            <v xml:space="preserve">Aduela/ galeria pre-moldada de concreto armado, secao quadrada interna de 1,50 x 1,50 m (l x a), misula de 20 x 20 cm, c = 1,00 m, espessura min = 15 cm, tb-45 e FCK do concreto = 30 MPA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    </cell>
          <cell r="E427"/>
          <cell r="F427" t="str">
            <v xml:space="preserve">UN    </v>
          </cell>
          <cell r="G427">
            <v>4109.74</v>
          </cell>
          <cell r="H427" t="str">
            <v>-</v>
          </cell>
        </row>
        <row r="428">
          <cell r="A428">
            <v>37478</v>
          </cell>
          <cell r="B428" t="str">
            <v>SINAPI</v>
          </cell>
          <cell r="C428"/>
          <cell r="D428" t="str">
            <v xml:space="preserve">Aduela/ galeria pre-moldada de concreto armado, secao retangular interna de 2,00 x 2,00 m (l x a), misula de 20 x 20 cm, c = 1,00 m, espessura min = 15 cm, tb-45 e FCK do concreto = 30 MPA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    </cell>
          <cell r="E428"/>
          <cell r="F428" t="str">
            <v xml:space="preserve">UN    </v>
          </cell>
          <cell r="G428">
            <v>5147.5600000000004</v>
          </cell>
          <cell r="H428" t="str">
            <v>-</v>
          </cell>
        </row>
        <row r="429">
          <cell r="A429">
            <v>37477</v>
          </cell>
          <cell r="B429" t="str">
            <v>SINAPI</v>
          </cell>
          <cell r="C429"/>
          <cell r="D429" t="str">
            <v xml:space="preserve">Aduela/ galeria pre-moldada de concreto armado, secao retangular interna de 2,50 x 2,50 m (l x a), misula de 20 x 20 cm, c = 1,00 m, espessura min = 15 cm, tb-45 e FCK do concreto = 30 MPA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    </cell>
          <cell r="E429"/>
          <cell r="F429" t="str">
            <v xml:space="preserve">UN    </v>
          </cell>
          <cell r="G429">
            <v>6974.11</v>
          </cell>
          <cell r="H429" t="str">
            <v>-</v>
          </cell>
        </row>
        <row r="430">
          <cell r="A430">
            <v>37479</v>
          </cell>
          <cell r="B430" t="str">
            <v>SINAPI</v>
          </cell>
          <cell r="C430"/>
          <cell r="D430" t="str">
            <v xml:space="preserve">Aduela/ galeria pre-moldada de concreto armado, secao retangular interna de 3,00 x 3,00 m (l x a), misula de 20 x 20 cm, c = 1.00 m, espessura min = 20 cm, tb-45 e FCK do concreto = 30 MPA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    </cell>
          <cell r="E430"/>
          <cell r="F430" t="str">
            <v xml:space="preserve">UN    </v>
          </cell>
          <cell r="G430">
            <v>8271.3799999999992</v>
          </cell>
          <cell r="H430" t="str">
            <v>-</v>
          </cell>
        </row>
        <row r="431">
          <cell r="A431"/>
          <cell r="B431" t="str">
            <v>COMPOSIÇÃO</v>
          </cell>
          <cell r="C431" t="str">
            <v>DR/0090</v>
          </cell>
          <cell r="D431" t="str">
            <v>SUBSTITUIR PELA COMPOSIÇÃO DR/0091 + 37476</v>
          </cell>
          <cell r="E431">
            <v>3.32</v>
          </cell>
          <cell r="F431" t="e">
            <v>#REF!</v>
          </cell>
          <cell r="G431" t="e">
            <v>#REF!</v>
          </cell>
          <cell r="H431" t="str">
            <v/>
          </cell>
        </row>
        <row r="432">
          <cell r="A432"/>
          <cell r="B432" t="str">
            <v>COMPOSIÇÃO</v>
          </cell>
          <cell r="C432" t="str">
            <v>DR/0095</v>
          </cell>
          <cell r="D432" t="str">
            <v>SUBSTITUIR PELA COMPOSIÇÃO DR/0096 + 37478</v>
          </cell>
          <cell r="E432">
            <v>2.85</v>
          </cell>
          <cell r="F432" t="e">
            <v>#REF!</v>
          </cell>
          <cell r="G432" t="e">
            <v>#REF!</v>
          </cell>
          <cell r="H432" t="str">
            <v/>
          </cell>
        </row>
        <row r="433">
          <cell r="A433"/>
          <cell r="B433" t="str">
            <v>COMPOSIÇÃO</v>
          </cell>
          <cell r="C433" t="str">
            <v>DR/0100</v>
          </cell>
          <cell r="D433" t="str">
            <v>SUBSTITUIR PELA COMPOSIÇÃO DR/0101 + 37477</v>
          </cell>
          <cell r="E433">
            <v>2.4900000000000002</v>
          </cell>
          <cell r="F433" t="e">
            <v>#REF!</v>
          </cell>
          <cell r="G433" t="e">
            <v>#REF!</v>
          </cell>
          <cell r="H433" t="str">
            <v/>
          </cell>
        </row>
        <row r="434">
          <cell r="A434"/>
          <cell r="B434" t="str">
            <v>COMPOSIÇÃO</v>
          </cell>
          <cell r="C434" t="str">
            <v>DR/0105</v>
          </cell>
          <cell r="D434" t="str">
            <v>SUBSTITUIR PELA COMPOSIÇÃO DR/0106 + 37479</v>
          </cell>
          <cell r="E434">
            <v>1.99</v>
          </cell>
          <cell r="F434" t="e">
            <v>#REF!</v>
          </cell>
          <cell r="G434" t="e">
            <v>#REF!</v>
          </cell>
          <cell r="H434" t="str">
            <v/>
          </cell>
        </row>
        <row r="435">
          <cell r="A435" t="str">
            <v>DR/0091</v>
          </cell>
          <cell r="B435" t="str">
            <v>COMPOSIÇÃO</v>
          </cell>
          <cell r="C435">
            <v>3.32</v>
          </cell>
          <cell r="D435" t="str">
            <v>Galeria celular em aduela pré-moldada em concreto armado, 1,50m x 1,50m (2950kg/m), assentamento e rejuntamento. Exclusive aquisição e transporte.</v>
          </cell>
          <cell r="E435">
            <v>3.32</v>
          </cell>
          <cell r="F435" t="str">
            <v>M</v>
          </cell>
          <cell r="G435">
            <v>114.16</v>
          </cell>
          <cell r="H435" t="str">
            <v>-</v>
          </cell>
        </row>
        <row r="436">
          <cell r="A436" t="str">
            <v>DR/0096</v>
          </cell>
          <cell r="B436" t="str">
            <v>COMPOSIÇÃO</v>
          </cell>
          <cell r="C436">
            <v>2.85</v>
          </cell>
          <cell r="D436" t="str">
            <v>Galeria celular em aduela pré-moldada em concreto armado, 2,00m x 2,00m (4080kg/m), assentamento e rejuntamento. Exclusive aquisição e transporte.</v>
          </cell>
          <cell r="E436">
            <v>2.85</v>
          </cell>
          <cell r="F436" t="str">
            <v>M</v>
          </cell>
          <cell r="G436">
            <v>151.66999999999999</v>
          </cell>
          <cell r="H436" t="str">
            <v>-</v>
          </cell>
        </row>
        <row r="437">
          <cell r="A437" t="str">
            <v>DR/0101</v>
          </cell>
          <cell r="B437" t="str">
            <v>COMPOSIÇÃO</v>
          </cell>
          <cell r="C437">
            <v>2.4900000000000002</v>
          </cell>
          <cell r="D437" t="str">
            <v>Galeria celular em aduela pré-moldada em concreto armado, 2,50m x 2,50m (5000kg/m), assentamento e rejuntamento. Exclusive aquisição e transporte.</v>
          </cell>
          <cell r="E437">
            <v>2.4900000000000002</v>
          </cell>
          <cell r="F437" t="str">
            <v>M</v>
          </cell>
          <cell r="G437">
            <v>226.59</v>
          </cell>
          <cell r="H437" t="str">
            <v>-</v>
          </cell>
        </row>
        <row r="438">
          <cell r="A438" t="str">
            <v>DR/0106</v>
          </cell>
          <cell r="B438" t="str">
            <v>COMPOSIÇÃO</v>
          </cell>
          <cell r="C438">
            <v>1.99</v>
          </cell>
          <cell r="D438" t="str">
            <v>Galeria celular em aduela pré-moldada em concreto armado, 3,00m x 3,00m (6700kg/m), assentamento e rejuntamento. Exclusive aquisição e transporte.</v>
          </cell>
          <cell r="E438">
            <v>1.99</v>
          </cell>
          <cell r="F438" t="str">
            <v>M</v>
          </cell>
          <cell r="G438">
            <v>303.41000000000003</v>
          </cell>
          <cell r="H438" t="str">
            <v>-</v>
          </cell>
        </row>
        <row r="439">
          <cell r="A439" t="str">
            <v>DR/0110</v>
          </cell>
          <cell r="B439" t="str">
            <v>COMPOSIÇÃO</v>
          </cell>
          <cell r="C439"/>
          <cell r="D439" t="str">
            <v>Bueiro metálico sem interrupção de tráfego, no diâmetro de 1,20m, chapa metálica com revestimento Epóxi HR, espessura de chapa (aço + revestimento) 2,20mm, recobrimento máximo de 9,00m. Incluindo montagem e consolidação externa com injeção de nata de solo-cimento, fornecimento da estrutura tunnel liner. Exclusive ventilação, iluminação, escavação e bota-fora (REF. SICRO COD. 0605571)</v>
          </cell>
          <cell r="E439"/>
          <cell r="F439" t="str">
            <v>M</v>
          </cell>
          <cell r="G439">
            <v>5726.94</v>
          </cell>
          <cell r="H439" t="str">
            <v>-</v>
          </cell>
        </row>
        <row r="440">
          <cell r="A440" t="str">
            <v>DR/0115</v>
          </cell>
          <cell r="B440" t="str">
            <v>COMPOSIÇÃO</v>
          </cell>
          <cell r="C440"/>
          <cell r="D440" t="str">
            <v>Bueiro metálico sem interrupção de tráfego, no diâmetro de 1,60m, chapa metálica com revestimento Epóxi HR, espessura de chapa (aço + revestimento) 2,2mm, recobrimento máximo de 6,70m. Incluindo montagem e consolidação externa com injeção de nata de solo-cimento, fornecimento da estrutura tunnel liner. Exclusive ventilação, iluminação, escavação e bota-fora (REF. SICRO COD. 0605573)</v>
          </cell>
          <cell r="E440"/>
          <cell r="F440" t="str">
            <v>M</v>
          </cell>
          <cell r="G440">
            <v>7701.77</v>
          </cell>
          <cell r="H440" t="str">
            <v>-</v>
          </cell>
        </row>
        <row r="441">
          <cell r="A441" t="str">
            <v>DR/0120</v>
          </cell>
          <cell r="B441" t="str">
            <v>COMPOSIÇÃO</v>
          </cell>
          <cell r="C441"/>
          <cell r="D441" t="str">
            <v>Bueiro metálico sem interrupção de tráfego, no diâmetro de 1,80m, chapa metálica com revestimento Epóxi HR, espessura de chapa (aço + revestimento) 2,2mm, recobrimento máximo de 6,00m. Incluindo montagem e consolidação externa com injeção de nata de solo-cimento, fornecimento da estrutura tunnel liner. Exclusive ventilação, iluminação, escavação e bota-fora (REF. SICRO COD. 0605574)</v>
          </cell>
          <cell r="E441"/>
          <cell r="F441" t="str">
            <v>M</v>
          </cell>
          <cell r="G441">
            <v>8590.6200000000008</v>
          </cell>
          <cell r="H441" t="str">
            <v>-</v>
          </cell>
        </row>
        <row r="442">
          <cell r="A442" t="str">
            <v>DR/0125</v>
          </cell>
          <cell r="B442" t="str">
            <v>COMPOSIÇÃO</v>
          </cell>
          <cell r="C442"/>
          <cell r="D442" t="str">
            <v>Bueiro metálico sem interrupção de tráfego, no diâmetro de 2,00m, chapa metálica com revestimento Epóxi HR, espessura de chapa (aço + revestimento) 2,20mm, recobrimento máximo de 5,40m. Incluindo montagem e consolidação externa com injeção de nata de solo-cimento, fornecimento da estrutura tunnel liner. Exclusive ventilação, iluminação, escavação e bota-fora (REF. SICRO COD. 0605575)</v>
          </cell>
          <cell r="E442"/>
          <cell r="F442" t="str">
            <v>M</v>
          </cell>
          <cell r="G442">
            <v>9546.91</v>
          </cell>
          <cell r="H442" t="str">
            <v>-</v>
          </cell>
        </row>
        <row r="443">
          <cell r="A443" t="str">
            <v>DR/0130</v>
          </cell>
          <cell r="B443" t="str">
            <v>COMPOSIÇÃO</v>
          </cell>
          <cell r="C443"/>
          <cell r="D443" t="str">
            <v>Bueiro metálico sem interrupção de tráfego, no diâmetro de 2,60m, chapa metálica com revestimento Epóxi HR, espessura de chapa (aço + revestimento) 2,20mm, recobrimento máximo de 4,10m. Incluindo montagem e consolidação externa com injeção de nata de solo-cimento, fornecimento da estrutura tunnel liner. Exclusive ventilação, iluminação, escavação e bota-fora (REF. SICRO COD. 0605578)</v>
          </cell>
          <cell r="E443"/>
          <cell r="F443" t="str">
            <v>M</v>
          </cell>
          <cell r="G443">
            <v>12323</v>
          </cell>
          <cell r="H443" t="str">
            <v>-</v>
          </cell>
        </row>
        <row r="444">
          <cell r="A444" t="str">
            <v>DR/0135</v>
          </cell>
          <cell r="B444" t="str">
            <v>COMPOSIÇÃO</v>
          </cell>
          <cell r="C444" t="str">
            <v>DR/145</v>
          </cell>
          <cell r="D444" t="str">
            <v>PV-1 - Poço de Visita, com dimensões internas de 1,98m x 1,98m x 1,50m (bxbxh), em alvenaria de bloco de concreto estrutural FBK 14mpa, conforme projeto tipo. Exclusive pescoço e tampão</v>
          </cell>
          <cell r="E444"/>
          <cell r="F444" t="str">
            <v>UN</v>
          </cell>
          <cell r="G444">
            <v>6662.53</v>
          </cell>
          <cell r="H444" t="str">
            <v>-</v>
          </cell>
        </row>
        <row r="445">
          <cell r="A445" t="str">
            <v>DR/0140</v>
          </cell>
          <cell r="B445" t="str">
            <v>COMPOSIÇÃO</v>
          </cell>
          <cell r="C445"/>
          <cell r="D445" t="str">
            <v>PV-2 - Poço de Visita, com dimensões internas de 1,98m x 2,68m x 2,00m (bxbxh), em alvenaria de bloco de concreto estrutural FBK 14mpa, conforme projeto tipo. Exclusive pescoço e tampão</v>
          </cell>
          <cell r="E445"/>
          <cell r="F445" t="str">
            <v>UN</v>
          </cell>
          <cell r="G445">
            <v>9005.4500000000007</v>
          </cell>
          <cell r="H445" t="str">
            <v>-</v>
          </cell>
        </row>
        <row r="446">
          <cell r="A446" t="str">
            <v>DR/0145</v>
          </cell>
          <cell r="B446" t="str">
            <v>COMPOSIÇÃO</v>
          </cell>
          <cell r="C446"/>
          <cell r="D446" t="str">
            <v>PV-3 - Poço de Visita, com dimensões internas de 1,98m x 3,48m x 2,00m (bxbxh), em alvenaria de bloco de concreto estrutural FBK 14mpa, conforme projeto tipo. Exclusive pescoço e tampão</v>
          </cell>
          <cell r="E446"/>
          <cell r="F446" t="str">
            <v>UN</v>
          </cell>
          <cell r="G446">
            <v>10798.95</v>
          </cell>
          <cell r="H446" t="str">
            <v>-</v>
          </cell>
        </row>
        <row r="447">
          <cell r="A447" t="str">
            <v>DR/0150</v>
          </cell>
          <cell r="B447" t="str">
            <v>COMPOSIÇÃO</v>
          </cell>
          <cell r="C447"/>
          <cell r="D447" t="str">
            <v>PV-4 - Poço de Visita, com dimensões internas de 1,98m x 4,98m x 2,00m (bxbxh), em alvenaria de bloco de concreto estrutural FBK 14mpa, conforme projeto tipo. Exclusive pescoço e tampão</v>
          </cell>
          <cell r="E447"/>
          <cell r="F447" t="str">
            <v>UN</v>
          </cell>
          <cell r="G447">
            <v>14161.76</v>
          </cell>
          <cell r="H447" t="str">
            <v>-</v>
          </cell>
        </row>
        <row r="448">
          <cell r="A448" t="str">
            <v>DR/0155</v>
          </cell>
          <cell r="B448" t="str">
            <v>COMPOSIÇÃO</v>
          </cell>
          <cell r="C448"/>
          <cell r="D448" t="str">
            <v>PV-5 - Poço de Visita, com dimensões internas de 1,98m x 6,58m x 2,00m (bxbxh), em alvenaria de bloco de concreto estrutural FBK 14mpa, conforme projeto tipo. Exclusive pescoço e tampão</v>
          </cell>
          <cell r="E448"/>
          <cell r="F448" t="str">
            <v>UN</v>
          </cell>
          <cell r="G448">
            <v>17748.75</v>
          </cell>
          <cell r="H448" t="str">
            <v>-</v>
          </cell>
        </row>
        <row r="449">
          <cell r="A449" t="str">
            <v>DR/0160</v>
          </cell>
          <cell r="B449" t="str">
            <v>COMPOSIÇÃO</v>
          </cell>
          <cell r="C449"/>
          <cell r="D449" t="str">
            <v>PV-6 - Poço de Visita, com dimensões internas de 1,98m x 8,78m x 2,00m (bxbxh), em alvenaria de bloco de concreto estrutural FBK 14mpa, conforme projeto tipo. Exclusive pescoço e tampão</v>
          </cell>
          <cell r="E449"/>
          <cell r="F449" t="str">
            <v>UN</v>
          </cell>
          <cell r="G449">
            <v>22680.87</v>
          </cell>
          <cell r="H449" t="str">
            <v>-</v>
          </cell>
        </row>
        <row r="450">
          <cell r="A450" t="str">
            <v>DR/0165</v>
          </cell>
          <cell r="B450" t="str">
            <v>COMPOSIÇÃO</v>
          </cell>
          <cell r="C450"/>
          <cell r="D450" t="str">
            <v>PV-0 - Poço de Visita Circular, com dimensão interna de Ø 0,80m, em alvenaria de tijolo comum de 1 vez assentada e revestida internamente com argamassa de cimento e areia 1:3, conforme projeto tipo. Exclusive tampão</v>
          </cell>
          <cell r="E450"/>
          <cell r="F450" t="str">
            <v>UN</v>
          </cell>
          <cell r="G450">
            <v>1823.15</v>
          </cell>
          <cell r="H450" t="str">
            <v>-</v>
          </cell>
        </row>
        <row r="451">
          <cell r="A451">
            <v>98050</v>
          </cell>
          <cell r="B451" t="str">
            <v>SINAPI</v>
          </cell>
          <cell r="C451"/>
          <cell r="D451" t="str">
            <v>Chaminé circular para poço de visita para esgoto, em concreto pré-moldado, diâmetro interno = 0,6 m. af_12/2020</v>
          </cell>
          <cell r="E451"/>
          <cell r="F451" t="str">
            <v>M</v>
          </cell>
          <cell r="G451">
            <v>305.66000000000003</v>
          </cell>
          <cell r="H451" t="str">
            <v>-</v>
          </cell>
        </row>
        <row r="452">
          <cell r="A452">
            <v>98051</v>
          </cell>
          <cell r="B452" t="str">
            <v>SINAPI</v>
          </cell>
          <cell r="C452"/>
          <cell r="D452" t="str">
            <v>Chaminé circular para poço de visita para esgoto, em alvenaria com tijolos cerâmicos maciços, diâmetro interno = 0,6 m. af_12/2020</v>
          </cell>
          <cell r="E452"/>
          <cell r="F452" t="str">
            <v>M</v>
          </cell>
          <cell r="G452">
            <v>959.83</v>
          </cell>
          <cell r="H452" t="str">
            <v>-</v>
          </cell>
        </row>
        <row r="453">
          <cell r="A453">
            <v>99318</v>
          </cell>
          <cell r="B453" t="str">
            <v>SINAPI</v>
          </cell>
          <cell r="C453"/>
          <cell r="D453" t="str">
            <v>Chaminé circular para poço de visita para drenagem, em concreto pré-moldado, diâmetro interno = 0,6 m. af_12/2020</v>
          </cell>
          <cell r="E453"/>
          <cell r="F453" t="str">
            <v>M</v>
          </cell>
          <cell r="G453">
            <v>304.63</v>
          </cell>
          <cell r="H453" t="str">
            <v>-</v>
          </cell>
        </row>
        <row r="454">
          <cell r="A454">
            <v>99319</v>
          </cell>
          <cell r="B454" t="str">
            <v>SINAPI</v>
          </cell>
          <cell r="C454"/>
          <cell r="D454" t="str">
            <v>Chaminé circular para poço de visita para drenagem, em alvenaria com tijolos cerâmicos maciços, diâmetro interno = 0,6 m. af_12/2020</v>
          </cell>
          <cell r="E454"/>
          <cell r="F454" t="str">
            <v>M</v>
          </cell>
          <cell r="G454">
            <v>892.11</v>
          </cell>
          <cell r="H454" t="str">
            <v>-</v>
          </cell>
        </row>
        <row r="455">
          <cell r="A455" t="str">
            <v>DR/0170</v>
          </cell>
          <cell r="B455" t="str">
            <v>COMPOSIÇÃO</v>
          </cell>
          <cell r="C455"/>
          <cell r="D455" t="str">
            <v>APV-1 - Acréscimo para Poço de Visita, com dimensões internas de 1,98m x 1,98m, em alvenaria de bloco de concreto estrutural FBK 14mpa, conforme projeto tipo</v>
          </cell>
          <cell r="E455"/>
          <cell r="F455" t="str">
            <v>M</v>
          </cell>
          <cell r="G455">
            <v>1664.61</v>
          </cell>
          <cell r="H455" t="str">
            <v>-</v>
          </cell>
        </row>
        <row r="456">
          <cell r="A456" t="str">
            <v>DR/0175</v>
          </cell>
          <cell r="B456" t="str">
            <v>COMPOSIÇÃO</v>
          </cell>
          <cell r="C456"/>
          <cell r="D456" t="str">
            <v>APV-2 - Acréscimo para Poço de Visita, com dimensões internas de 1,98m x 2,68m, em alvenaria de bloco de concreto estrutural FBK 14mpa, conforme projeto tipo</v>
          </cell>
          <cell r="E456"/>
          <cell r="F456" t="str">
            <v>M</v>
          </cell>
          <cell r="G456">
            <v>1925.33</v>
          </cell>
          <cell r="H456" t="str">
            <v>-</v>
          </cell>
        </row>
        <row r="457">
          <cell r="A457" t="str">
            <v>DR/0180</v>
          </cell>
          <cell r="B457" t="str">
            <v>COMPOSIÇÃO</v>
          </cell>
          <cell r="C457"/>
          <cell r="D457" t="str">
            <v>APV-3 - Acréscimo para Poço de Visita, com dimensões internas de 1,98m x 3,48m, em alvenaria de bloco de concreto estrutural FBK 14mpa, conforme projeto tipo</v>
          </cell>
          <cell r="E457"/>
          <cell r="F457" t="str">
            <v>M</v>
          </cell>
          <cell r="G457">
            <v>2223.3000000000002</v>
          </cell>
          <cell r="H457" t="str">
            <v>-</v>
          </cell>
        </row>
        <row r="458">
          <cell r="A458" t="str">
            <v>DR/0185</v>
          </cell>
          <cell r="B458" t="str">
            <v>COMPOSIÇÃO</v>
          </cell>
          <cell r="C458"/>
          <cell r="D458" t="str">
            <v>APV-4 - Acréscimo para Poço de Visita, com dimensões internas de 1,98m x 4,98m, em alvenaria de bloco de concreto estrutural FBK 14mpa, conforme projeto tipo</v>
          </cell>
          <cell r="E458"/>
          <cell r="F458" t="str">
            <v>M</v>
          </cell>
          <cell r="G458">
            <v>2781.99</v>
          </cell>
          <cell r="H458" t="str">
            <v>-</v>
          </cell>
        </row>
        <row r="459">
          <cell r="A459" t="str">
            <v>DR/0190</v>
          </cell>
          <cell r="B459" t="str">
            <v>COMPOSIÇÃO</v>
          </cell>
          <cell r="C459"/>
          <cell r="D459" t="str">
            <v>APV-5 - Acréscimo para Poço de Visita, com dimensões internas de 1,98m x 6,58m, em alvenaria de bloco de concreto estrutural FBK 14mpa, conforme projeto tipo</v>
          </cell>
          <cell r="E459"/>
          <cell r="F459" t="str">
            <v>M</v>
          </cell>
          <cell r="G459">
            <v>3377.92</v>
          </cell>
          <cell r="H459" t="str">
            <v>-</v>
          </cell>
        </row>
        <row r="460">
          <cell r="A460" t="str">
            <v>DR/0195</v>
          </cell>
          <cell r="B460" t="str">
            <v>COMPOSIÇÃO</v>
          </cell>
          <cell r="C460"/>
          <cell r="D460" t="str">
            <v>APV-6 - Acréscimo para Poço de Visita, com dimensões internas de 1,98m x 8,78m, em alvenaria de bloco de concreto estrutural FBK 14mpa, conforme projeto tipo</v>
          </cell>
          <cell r="E460"/>
          <cell r="F460" t="str">
            <v>M</v>
          </cell>
          <cell r="G460">
            <v>4197.33</v>
          </cell>
          <cell r="H460" t="str">
            <v>-</v>
          </cell>
        </row>
        <row r="461">
          <cell r="A461" t="str">
            <v>DR/0200</v>
          </cell>
          <cell r="B461" t="str">
            <v>COMPOSIÇÃO</v>
          </cell>
          <cell r="C461"/>
          <cell r="D461" t="str">
            <v>Antecâmara para poço de visita, com dimensões internas de 1,98m x 1,00m x 1,50m (bxbxh), em alvenaria de bloco de concreto estrutural FBK 14mpa, conforme projeto tipo</v>
          </cell>
          <cell r="E461"/>
          <cell r="F461" t="str">
            <v>UN</v>
          </cell>
          <cell r="G461">
            <v>2650.76</v>
          </cell>
          <cell r="H461" t="str">
            <v>-</v>
          </cell>
        </row>
        <row r="462">
          <cell r="A462" t="str">
            <v>DR/0205</v>
          </cell>
          <cell r="B462" t="str">
            <v>COMPOSIÇÃO</v>
          </cell>
          <cell r="C462"/>
          <cell r="D462" t="str">
            <v>CP-1 - Caixa de Passagem, com dimensões internas de  1,92m x 1,92m x 1,60m (bxbxh), em alvenaria de bloco de concreto estrutural FBK 8 MPa, conforme projeto tipo</v>
          </cell>
          <cell r="E462"/>
          <cell r="F462" t="str">
            <v>UN</v>
          </cell>
          <cell r="G462">
            <v>6321.63</v>
          </cell>
          <cell r="H462" t="str">
            <v>-</v>
          </cell>
        </row>
        <row r="463">
          <cell r="A463" t="str">
            <v>DR/0210</v>
          </cell>
          <cell r="B463" t="str">
            <v>COMPOSIÇÃO</v>
          </cell>
          <cell r="C463"/>
          <cell r="D463" t="str">
            <v>CP-2 - Caixa de Passagem, com dimensões internas de  1,92m x 2,82m x 2,00m (bxbxh), em alvenaria de bloco de concreto estrutural FBK 8 MPa, conforme projeto tipo</v>
          </cell>
          <cell r="E463"/>
          <cell r="F463" t="str">
            <v>UN</v>
          </cell>
          <cell r="G463">
            <v>9039.93</v>
          </cell>
          <cell r="H463" t="str">
            <v>-</v>
          </cell>
        </row>
        <row r="464">
          <cell r="A464" t="str">
            <v>DR/0215</v>
          </cell>
          <cell r="B464" t="str">
            <v>COMPOSIÇÃO</v>
          </cell>
          <cell r="C464"/>
          <cell r="D464" t="str">
            <v>CP-3 - Caixa de Passagem, com dimensões internas de 1,98m x 3,48m x 2,00m (bxbxh), em alvenaria de bloco de concreto estrutural FBK 14mpa, conforme projeto tipo</v>
          </cell>
          <cell r="E464"/>
          <cell r="F464" t="str">
            <v>UN</v>
          </cell>
          <cell r="G464">
            <v>10637.08</v>
          </cell>
          <cell r="H464" t="str">
            <v>-</v>
          </cell>
        </row>
        <row r="465">
          <cell r="A465" t="str">
            <v>DR/0220</v>
          </cell>
          <cell r="B465" t="str">
            <v>COMPOSIÇÃO</v>
          </cell>
          <cell r="C465"/>
          <cell r="D465" t="str">
            <v>CP-4 - Caixa de Passagem, com dimensões internas de 1,98m x 4,98m x 2,00m (bxbxh), em alvenaria de bloco de concreto estrutural FBK 14mpa, conforme projeto tipo</v>
          </cell>
          <cell r="E465"/>
          <cell r="F465" t="str">
            <v>UN</v>
          </cell>
          <cell r="G465">
            <v>13955.42</v>
          </cell>
          <cell r="H465" t="str">
            <v>-</v>
          </cell>
        </row>
        <row r="466">
          <cell r="A466" t="str">
            <v>DR/0225</v>
          </cell>
          <cell r="B466" t="str">
            <v>COMPOSIÇÃO</v>
          </cell>
          <cell r="C466"/>
          <cell r="D466" t="str">
            <v>CP-5 - Caixa de Passagem, com dimensões internas de 1,98m x 6,58m x 2,00m (bxbxh), em alvenaria de bloco de concreto estrutural FBK 14mpa, conforme projeto tipo</v>
          </cell>
          <cell r="E466"/>
          <cell r="F466" t="str">
            <v>UN</v>
          </cell>
          <cell r="G466">
            <v>15932.9</v>
          </cell>
          <cell r="H466" t="str">
            <v>-</v>
          </cell>
        </row>
        <row r="467">
          <cell r="A467" t="str">
            <v>DR/0230</v>
          </cell>
          <cell r="B467" t="str">
            <v>COMPOSIÇÃO</v>
          </cell>
          <cell r="C467"/>
          <cell r="D467" t="str">
            <v>CP-6 - Caixa de Passagem, com dimensões internas de  1,98m x 8,78m x 2,00m (bxbxh), em alvenaria de bloco de concreto estrutural FBK 14mpa, conforme projeto tipo</v>
          </cell>
          <cell r="E467"/>
          <cell r="F467" t="str">
            <v>UN</v>
          </cell>
          <cell r="G467">
            <v>20422.71</v>
          </cell>
          <cell r="H467" t="str">
            <v>-</v>
          </cell>
        </row>
        <row r="468">
          <cell r="A468" t="str">
            <v>DR/0235</v>
          </cell>
          <cell r="B468" t="str">
            <v>COMPOSIÇÃO</v>
          </cell>
          <cell r="C468"/>
          <cell r="D468" t="str">
            <v>CC 1 - Caixa Coletora  2,32x2,32m, com dimensões internas de 2,32m x 2,32m x 1,50m (bxbxh), em alvenaria de bloco de concreto estrutural FBK 14mpa, inclusive grelha (0,60X0,6)m no centro, conforme projeto tipo. Exclusive pescoço.</v>
          </cell>
          <cell r="E468"/>
          <cell r="F468" t="str">
            <v>UN</v>
          </cell>
          <cell r="G468">
            <v>4862.33</v>
          </cell>
          <cell r="H468" t="str">
            <v>-</v>
          </cell>
        </row>
        <row r="469">
          <cell r="A469" t="str">
            <v>DR/0240</v>
          </cell>
          <cell r="B469" t="str">
            <v>CRIAR COMPOSIÇÃO</v>
          </cell>
          <cell r="C469"/>
          <cell r="D469" t="str">
            <v>CC 2 - Caixa Coletora  1,70 x 1,70m, inclusive grelha, conforme projeto tipo</v>
          </cell>
          <cell r="E469"/>
          <cell r="F469" t="str">
            <v>-</v>
          </cell>
          <cell r="G469" t="str">
            <v>-</v>
          </cell>
          <cell r="H469" t="str">
            <v>-</v>
          </cell>
        </row>
        <row r="470">
          <cell r="A470" t="str">
            <v>DR/0245</v>
          </cell>
          <cell r="B470" t="str">
            <v>COMPOSIÇÃO</v>
          </cell>
          <cell r="C470"/>
          <cell r="D470" t="str">
            <v xml:space="preserve">Caixa de inspeção, conjugada com boca de lobo no passeio, em concreto armado FCK 20 mpa, incluindo forma, escavação, laje e tampão em F°F° para passeio 47 x 70cm, conforme projeto </v>
          </cell>
          <cell r="E470"/>
          <cell r="F470" t="str">
            <v>UN</v>
          </cell>
          <cell r="G470">
            <v>5589.35</v>
          </cell>
          <cell r="H470" t="str">
            <v>-</v>
          </cell>
        </row>
        <row r="471">
          <cell r="A471" t="str">
            <v>DR/0250</v>
          </cell>
          <cell r="B471" t="str">
            <v>COMPOSIÇÃO</v>
          </cell>
          <cell r="C471"/>
          <cell r="D471" t="str">
            <v xml:space="preserve">BLSP - Boca-de-lobo simples com caixa no passeio, em concreto simples FCK 20 mpa, incluindo forma, escavação, laje e tampão em F°F° para passeio 47 x 70cm, conforme projeto </v>
          </cell>
          <cell r="E471" t="str">
            <v>BOCA DE LOBO
no passeio</v>
          </cell>
          <cell r="F471" t="str">
            <v>UN</v>
          </cell>
          <cell r="G471">
            <v>1478.45</v>
          </cell>
          <cell r="H471" t="str">
            <v>-</v>
          </cell>
        </row>
        <row r="472">
          <cell r="A472" t="str">
            <v>DR/0255</v>
          </cell>
          <cell r="B472" t="str">
            <v>COMPOSIÇÃO</v>
          </cell>
          <cell r="C472"/>
          <cell r="D472" t="str">
            <v xml:space="preserve">BLDP - Boca-de-lobo dupla com caixa no passeio, em concreto simples FCK 20 mpa, incluindo forma, escavação, laje e tampão em F°F° para passeio 47 x 70cm, conforme projeto </v>
          </cell>
          <cell r="E472"/>
          <cell r="F472" t="str">
            <v>UN</v>
          </cell>
          <cell r="G472">
            <v>2482.25</v>
          </cell>
          <cell r="H472" t="str">
            <v>-</v>
          </cell>
        </row>
        <row r="473">
          <cell r="A473" t="str">
            <v>DR/0260</v>
          </cell>
          <cell r="B473" t="str">
            <v>COMPOSIÇÃO</v>
          </cell>
          <cell r="C473"/>
          <cell r="D473" t="str">
            <v xml:space="preserve">BLTP - Boca-de-lobo tripla com caixa no passeio, em concreto simples FCK 20 mpa, incluindo forma, escavação, laje e tampão em F°F° para passeio 47 x 70cm, conforme projeto </v>
          </cell>
          <cell r="E473"/>
          <cell r="F473" t="str">
            <v>UN</v>
          </cell>
          <cell r="G473">
            <v>3485.39</v>
          </cell>
          <cell r="H473" t="str">
            <v>-</v>
          </cell>
        </row>
        <row r="474">
          <cell r="A474" t="str">
            <v>DR/0265</v>
          </cell>
          <cell r="B474" t="str">
            <v>COMPOSIÇÃO</v>
          </cell>
          <cell r="C474"/>
          <cell r="D474" t="str">
            <v xml:space="preserve">BLSC - Boca-de-lobo simples em concreto simples FCK 20 mpa, incluindo forma, escavação, sarjeta de contorno (chama) em concreto e grelha em F°F° tipo pesada, conforme projeto </v>
          </cell>
          <cell r="E474" t="str">
            <v>BOCA DE LOBO
em concreto</v>
          </cell>
          <cell r="F474" t="str">
            <v>UN</v>
          </cell>
          <cell r="G474">
            <v>1746.07</v>
          </cell>
          <cell r="H474" t="str">
            <v>-</v>
          </cell>
        </row>
        <row r="475">
          <cell r="A475" t="str">
            <v>DR/0267</v>
          </cell>
          <cell r="B475" t="str">
            <v>COMPOSIÇÃO</v>
          </cell>
          <cell r="C475"/>
          <cell r="D475" t="str">
            <v xml:space="preserve">BLEC - Boca-de-lobo especial em concreto estrutural FCK 30 mpa, incluindo forma, escavação, grelha de concreto pré-moldada e instalação no local, conforme projeto </v>
          </cell>
          <cell r="E475"/>
          <cell r="F475" t="str">
            <v>UN</v>
          </cell>
          <cell r="G475">
            <v>745.8</v>
          </cell>
          <cell r="H475" t="str">
            <v>-</v>
          </cell>
        </row>
        <row r="476">
          <cell r="A476" t="str">
            <v>DR/0270</v>
          </cell>
          <cell r="B476" t="str">
            <v>COMPOSIÇÃO</v>
          </cell>
          <cell r="C476"/>
          <cell r="D476" t="str">
            <v xml:space="preserve">BLDC - Boca-de-lobo dupla em concreto simples FCK 20 mpa, incluindo forma, escavação, sarjeta de contorno (chama) em concreto e grelhas em F°F° tipo pesada, conforme projeto </v>
          </cell>
          <cell r="E476"/>
          <cell r="F476" t="str">
            <v>UN</v>
          </cell>
          <cell r="G476">
            <v>3272.01</v>
          </cell>
          <cell r="H476" t="str">
            <v>-</v>
          </cell>
        </row>
        <row r="477">
          <cell r="A477" t="str">
            <v>DR/0275</v>
          </cell>
          <cell r="B477" t="str">
            <v>COMPOSIÇÃO</v>
          </cell>
          <cell r="C477"/>
          <cell r="D477" t="str">
            <v xml:space="preserve">BLTC - Boca-de-lobo tripla em concreto simples FCK 20 mpa, incluindo forma, escavação, sarjeta de contorno (chama) em concreto e grelhas em F°F° tipo pesada, conforme projeto </v>
          </cell>
          <cell r="E477"/>
          <cell r="F477" t="str">
            <v>UN</v>
          </cell>
          <cell r="G477">
            <v>4797.95</v>
          </cell>
          <cell r="H477" t="str">
            <v>-</v>
          </cell>
        </row>
        <row r="478">
          <cell r="A478" t="str">
            <v>DR/0280</v>
          </cell>
          <cell r="B478" t="str">
            <v>COMPOSIÇÃO</v>
          </cell>
          <cell r="C478"/>
          <cell r="D478" t="str">
            <v>Reforma de boca de lobo simples, incluindo demolições, reconstrução da sarjeta de contorno (chama) em concreto simples FCK 20mpa, uma guia chapéu pré-moldada e uma grelha articulada em F°F° tipo pesada, conforme projeto tipo</v>
          </cell>
          <cell r="E478" t="str">
            <v>BOCA DE LOBO
reforma</v>
          </cell>
          <cell r="F478" t="str">
            <v>UN</v>
          </cell>
          <cell r="G478">
            <v>985.42</v>
          </cell>
          <cell r="H478" t="str">
            <v>-</v>
          </cell>
        </row>
        <row r="479">
          <cell r="A479" t="str">
            <v>DR/0285</v>
          </cell>
          <cell r="B479" t="str">
            <v>COMPOSIÇÃO</v>
          </cell>
          <cell r="C479"/>
          <cell r="D479" t="str">
            <v>Reforma de boca de lobo dupla, incluindo demolições, reconstrução da sarjeta de contorno (chama) em concreto simples FCK 20mpa, duas guias chapéu pré-moldadas e duas grelhas articuladas em F°F° tipo pesada, conforme projeto tipo</v>
          </cell>
          <cell r="E479"/>
          <cell r="F479" t="str">
            <v>UN</v>
          </cell>
          <cell r="G479">
            <v>1839.74</v>
          </cell>
          <cell r="H479" t="str">
            <v>-</v>
          </cell>
        </row>
        <row r="480">
          <cell r="A480" t="str">
            <v>DR/0290</v>
          </cell>
          <cell r="B480" t="str">
            <v>COMPOSIÇÃO</v>
          </cell>
          <cell r="C480"/>
          <cell r="D480" t="str">
            <v>Reforma de boca de lobo simples, incluindo demolições, reconstrução da sarjeta de contorno (chama) em concreto simples FCK 20mpa, uma guia chapéu pré-moldada e uma grelha articulada em F°F° tipo pesada, conforme projeto tipo</v>
          </cell>
          <cell r="E480"/>
          <cell r="F480" t="str">
            <v>UN</v>
          </cell>
          <cell r="G480">
            <v>2693.96</v>
          </cell>
          <cell r="H480" t="str">
            <v>-</v>
          </cell>
        </row>
        <row r="481">
          <cell r="A481" t="str">
            <v>DR/0292</v>
          </cell>
          <cell r="B481" t="str">
            <v>COMPOSIÇÃO</v>
          </cell>
          <cell r="C481" t="str">
            <v>73882/1</v>
          </cell>
          <cell r="D481" t="str">
            <v>Meia cana em concreto simples, D = 0,20m (35kg/m), PB, Classe P-1, fornecimento, assentamento e rejuntamento, ref SINAPI 73882/001, data: 01/2020</v>
          </cell>
          <cell r="E481"/>
          <cell r="F481" t="str">
            <v>M</v>
          </cell>
          <cell r="G481">
            <v>38.76</v>
          </cell>
          <cell r="H481" t="str">
            <v>-</v>
          </cell>
        </row>
        <row r="482">
          <cell r="A482" t="str">
            <v>DR/0295</v>
          </cell>
          <cell r="B482" t="str">
            <v>COMPOSIÇÃO</v>
          </cell>
          <cell r="C482" t="str">
            <v>73882/3</v>
          </cell>
          <cell r="D482" t="str">
            <v>Meia cana em concreto simples, D = 0,40m (90kg/m), PB, Classe P-1, fornecimento, assentamento e rejuntamento, ref SINAPI 73882/003, data: 08/2016</v>
          </cell>
          <cell r="E482"/>
          <cell r="F482" t="str">
            <v>M</v>
          </cell>
          <cell r="G482">
            <v>60.54</v>
          </cell>
          <cell r="H482" t="str">
            <v>-</v>
          </cell>
        </row>
        <row r="483">
          <cell r="A483" t="str">
            <v>DR/0296</v>
          </cell>
          <cell r="B483" t="str">
            <v>COMPOSIÇÃO</v>
          </cell>
          <cell r="C483" t="str">
            <v>73882/5</v>
          </cell>
          <cell r="D483" t="str">
            <v>Meia cana em concreto simples, D = 0,60m (174kg/m), PB, Classe P-1, fornecimento, assentamento e rejuntamento, ref SINAPI 73882/005, data: 01/2020</v>
          </cell>
          <cell r="E483"/>
          <cell r="F483" t="str">
            <v>M</v>
          </cell>
          <cell r="G483">
            <v>125.08</v>
          </cell>
          <cell r="H483" t="str">
            <v>-</v>
          </cell>
        </row>
        <row r="484">
          <cell r="A484" t="str">
            <v>DR/0300</v>
          </cell>
          <cell r="B484" t="str">
            <v>COMPOSIÇÃO</v>
          </cell>
          <cell r="C484"/>
          <cell r="D484" t="str">
            <v>Valeta de concreto com concreto moldado in loco, acabamento convencional, armado, com seção trapezoidal 1,00m x 0,30m (b x h), espessura 6cm, com junta seca de dilatação a cada 3m</v>
          </cell>
          <cell r="E484"/>
          <cell r="F484" t="str">
            <v>M</v>
          </cell>
          <cell r="G484">
            <v>133.69999999999999</v>
          </cell>
          <cell r="H484" t="str">
            <v>-</v>
          </cell>
        </row>
        <row r="485">
          <cell r="A485" t="str">
            <v>DR/0305</v>
          </cell>
          <cell r="B485" t="str">
            <v>COMPOSIÇÃO</v>
          </cell>
          <cell r="C485">
            <v>0.308</v>
          </cell>
          <cell r="D485" t="str">
            <v>Boca-de-bueiro simples tubular - BBST  D = 0,40m, em concreto ciclópico com 30% de pedra-de-mão, conforme projeto tipo (0,66m³/un)</v>
          </cell>
          <cell r="E485"/>
          <cell r="F485" t="str">
            <v xml:space="preserve">UN </v>
          </cell>
          <cell r="G485">
            <v>992.34</v>
          </cell>
          <cell r="H485" t="str">
            <v>-</v>
          </cell>
        </row>
        <row r="486">
          <cell r="A486">
            <v>102737</v>
          </cell>
          <cell r="B486" t="str">
            <v>SINAPI</v>
          </cell>
          <cell r="C486" t="str">
            <v>73856/1</v>
          </cell>
          <cell r="D486" t="str">
            <v>Boca para bueiro simples tubular D = 40 cm em concreto, alas com esconsidade de 0°, incluindo fôrmas e materiais. AF_07/2021</v>
          </cell>
          <cell r="E486"/>
          <cell r="F486" t="str">
            <v>UN</v>
          </cell>
          <cell r="G486">
            <v>1082.49</v>
          </cell>
          <cell r="H486" t="str">
            <v>-</v>
          </cell>
        </row>
        <row r="487">
          <cell r="A487">
            <v>102738</v>
          </cell>
          <cell r="B487" t="str">
            <v>SINAPI</v>
          </cell>
          <cell r="C487" t="str">
            <v>73856/2</v>
          </cell>
          <cell r="D487" t="str">
            <v>Boca para bueiro simples tubular D = 60 cm em concreto, alas com esconsidade de 0°, incluindo fôrmas e materiais. AF_07/2021</v>
          </cell>
          <cell r="E487"/>
          <cell r="F487" t="str">
            <v>UN</v>
          </cell>
          <cell r="G487">
            <v>2222.79</v>
          </cell>
          <cell r="H487" t="str">
            <v>-</v>
          </cell>
        </row>
        <row r="488">
          <cell r="A488" t="str">
            <v>DR/0310</v>
          </cell>
          <cell r="B488" t="str">
            <v>COMPOSIÇÃO</v>
          </cell>
          <cell r="C488">
            <v>0.59099999999999997</v>
          </cell>
          <cell r="D488" t="str">
            <v>Boca-de-bueiro simples tubular - BBST  D = 0,60m, em concreto ciclópico com 30% de pedra-de-mão, conforme projeto tipo (1,24m³/un)</v>
          </cell>
          <cell r="E488"/>
          <cell r="F488" t="str">
            <v xml:space="preserve">UN </v>
          </cell>
          <cell r="G488">
            <v>1632.71</v>
          </cell>
          <cell r="H488" t="str">
            <v>-</v>
          </cell>
        </row>
        <row r="489">
          <cell r="A489">
            <v>102739</v>
          </cell>
          <cell r="B489" t="str">
            <v>SINAPI</v>
          </cell>
          <cell r="C489" t="str">
            <v>73856/3</v>
          </cell>
          <cell r="D489" t="str">
            <v>Boca para bueiro simples tubular D = 80 cm em concreto, alas com esconsidade de 0°, incluindo fôrmas e materiais. AF_07/2021</v>
          </cell>
          <cell r="E489"/>
          <cell r="F489" t="str">
            <v>UN</v>
          </cell>
          <cell r="G489">
            <v>3729.9</v>
          </cell>
          <cell r="H489" t="str">
            <v>-</v>
          </cell>
        </row>
        <row r="490">
          <cell r="A490" t="str">
            <v>DR/0315</v>
          </cell>
          <cell r="B490" t="str">
            <v>COMPOSIÇÃO</v>
          </cell>
          <cell r="C490">
            <v>0.99199999999999999</v>
          </cell>
          <cell r="D490" t="str">
            <v>Boca-de-bueiro simples tubular - BBST  D = 0,80m, em concreto ciclópico com 30% de pedra-de-mão, conforme projeto tipo (2,23m³/un)</v>
          </cell>
          <cell r="E490"/>
          <cell r="F490" t="str">
            <v xml:space="preserve">UN </v>
          </cell>
          <cell r="G490">
            <v>2631.17</v>
          </cell>
          <cell r="H490" t="str">
            <v>-</v>
          </cell>
        </row>
        <row r="491">
          <cell r="A491" t="str">
            <v>DR/0320</v>
          </cell>
          <cell r="B491" t="str">
            <v>COMPOSIÇÃO</v>
          </cell>
          <cell r="C491">
            <v>1.5289999999999999</v>
          </cell>
          <cell r="D491" t="str">
            <v>Boca-de-bueiro simples tubular - BBST  D = 1,00m, em concreto ciclópico com 30% de pedra-de-mão, conforme projeto tipo (3,63m³/un)</v>
          </cell>
          <cell r="E491"/>
          <cell r="F491" t="str">
            <v xml:space="preserve">UN </v>
          </cell>
          <cell r="G491">
            <v>3937.51</v>
          </cell>
          <cell r="H491" t="str">
            <v>-</v>
          </cell>
        </row>
        <row r="492">
          <cell r="A492">
            <v>102740</v>
          </cell>
          <cell r="B492" t="str">
            <v>SINAPI</v>
          </cell>
          <cell r="C492" t="str">
            <v>73856/4</v>
          </cell>
          <cell r="D492" t="str">
            <v>Boca para bueiro simples tubular D = 100 cm em concreto, alas com esconsidade de 0°, incluindo fôrmas e materiais. AF_07/2021</v>
          </cell>
          <cell r="E492"/>
          <cell r="F492" t="str">
            <v>UN</v>
          </cell>
          <cell r="G492">
            <v>5599.73</v>
          </cell>
          <cell r="H492" t="str">
            <v>-</v>
          </cell>
        </row>
        <row r="493">
          <cell r="A493" t="str">
            <v>DR/0325</v>
          </cell>
          <cell r="B493" t="str">
            <v>COMPOSIÇÃO</v>
          </cell>
          <cell r="C493">
            <v>2.16</v>
          </cell>
          <cell r="D493" t="str">
            <v>Boca-de-bueiro simples tubular - BBST  D = 1,20m, em concreto ciclópico com 30% de pedra-de-mão, conforme projeto tipo (5,40m³/un)</v>
          </cell>
          <cell r="E493"/>
          <cell r="F493" t="str">
            <v xml:space="preserve">UN </v>
          </cell>
          <cell r="G493">
            <v>5497.28</v>
          </cell>
          <cell r="H493" t="str">
            <v>-</v>
          </cell>
        </row>
        <row r="494">
          <cell r="A494" t="str">
            <v>DR/0330</v>
          </cell>
          <cell r="B494" t="str">
            <v>COMPOSIÇÃO</v>
          </cell>
          <cell r="C494"/>
          <cell r="D494" t="str">
            <v>Boca-de-bueiro simples tubular - BBST  D = 1,50m, em concreto ciclópico com 30% de pedra-de-mão, conforme projeto tipo (8,95m³/un)</v>
          </cell>
          <cell r="E494"/>
          <cell r="F494" t="str">
            <v xml:space="preserve">UN </v>
          </cell>
          <cell r="G494">
            <v>8460.57</v>
          </cell>
          <cell r="H494" t="str">
            <v>-</v>
          </cell>
        </row>
        <row r="495">
          <cell r="A495" t="str">
            <v>DR/0335</v>
          </cell>
          <cell r="B495" t="str">
            <v>COMPOSIÇÃO</v>
          </cell>
          <cell r="C495"/>
          <cell r="D495" t="str">
            <v>Boca-de-bueiro simples celular - 1,50m x 1,50m, em concreto armado FCK 20 mpa, conforme projeto tipo (REF. SICRO COD. 0705225)</v>
          </cell>
          <cell r="E495"/>
          <cell r="F495" t="str">
            <v xml:space="preserve">UN </v>
          </cell>
          <cell r="G495">
            <v>16900.080000000002</v>
          </cell>
          <cell r="H495" t="str">
            <v>-</v>
          </cell>
        </row>
        <row r="496">
          <cell r="A496" t="str">
            <v>DR/0340</v>
          </cell>
          <cell r="B496" t="str">
            <v>COMPOSIÇÃO</v>
          </cell>
          <cell r="C496"/>
          <cell r="D496" t="str">
            <v>Boca-de-bueiro simples celular - 2,00m x 2,00m, em concreto armado FCK 20 mpa, conforme projeto tipo (REF. SICRO COD. 0705233)</v>
          </cell>
          <cell r="E496"/>
          <cell r="F496" t="str">
            <v xml:space="preserve">UN </v>
          </cell>
          <cell r="G496">
            <v>25876.06</v>
          </cell>
          <cell r="H496" t="str">
            <v>-</v>
          </cell>
        </row>
        <row r="497">
          <cell r="A497" t="str">
            <v>DR/0341</v>
          </cell>
          <cell r="B497" t="str">
            <v>COMPOSIÇÃO</v>
          </cell>
          <cell r="C497"/>
          <cell r="D497" t="str">
            <v>Boca de BTCC 2,00 x 2,00 m - esconsidade 0° - areia e brita comerciais, conforme projeto tipo (REF. SICRO COD. 0705411)</v>
          </cell>
          <cell r="E497"/>
          <cell r="F497" t="str">
            <v xml:space="preserve">UN </v>
          </cell>
          <cell r="G497">
            <v>29639.23</v>
          </cell>
          <cell r="H497" t="str">
            <v>-</v>
          </cell>
        </row>
        <row r="498">
          <cell r="A498" t="str">
            <v>DR/0345</v>
          </cell>
          <cell r="B498" t="str">
            <v>COMPOSIÇÃO</v>
          </cell>
          <cell r="C498"/>
          <cell r="D498" t="str">
            <v>Boca-de-bueiro simples celular - 2,50m x 2,50m, em concreto armado FCK 20 mpa, conforme projeto tipo (REF. SICRO COD. 0705238)</v>
          </cell>
          <cell r="E498"/>
          <cell r="F498" t="str">
            <v xml:space="preserve">UN </v>
          </cell>
          <cell r="G498">
            <v>34543.97</v>
          </cell>
          <cell r="H498" t="str">
            <v>-</v>
          </cell>
        </row>
        <row r="499">
          <cell r="A499" t="str">
            <v>DR/0350</v>
          </cell>
          <cell r="B499" t="str">
            <v>COMPOSIÇÃO</v>
          </cell>
          <cell r="C499"/>
          <cell r="D499" t="str">
            <v>Boca-de-bueiro simples celular - 3,00m x 3,00m, em concreto armado FCK 20 mpa, conforme projeto tipo (REF. SICRO COD. 0705249)</v>
          </cell>
          <cell r="E499"/>
          <cell r="F499" t="str">
            <v xml:space="preserve">UN </v>
          </cell>
          <cell r="G499">
            <v>48168.78</v>
          </cell>
          <cell r="H499" t="str">
            <v>-</v>
          </cell>
        </row>
        <row r="500">
          <cell r="A500" t="str">
            <v>DR/0355</v>
          </cell>
          <cell r="B500" t="str">
            <v>COMPOSIÇÃO</v>
          </cell>
          <cell r="C500">
            <v>53</v>
          </cell>
          <cell r="D500" t="str">
            <v>Tampão F°F° articulado, classe D400, carga máxima 40 T, redondo tampa 600 mm para rede pluvial/esgoto. Incluindo fornecimento, assentamento e requadro em concreto FCK 20mpa, de 1,00m x 1,00m x 0,20m</v>
          </cell>
          <cell r="E500"/>
          <cell r="F500" t="str">
            <v xml:space="preserve">UN </v>
          </cell>
          <cell r="G500">
            <v>778.31</v>
          </cell>
          <cell r="H500" t="str">
            <v>-</v>
          </cell>
        </row>
        <row r="501">
          <cell r="A501" t="str">
            <v>DR/0360</v>
          </cell>
          <cell r="B501" t="str">
            <v>COTAÇÃO - SEL</v>
          </cell>
          <cell r="C501"/>
          <cell r="D501" t="str">
            <v>Tampão F°F° articulado, classe D400, carga máxima 40 T, redondo tampa 600 mm para rede pluvial/esgoto, NBR 10160 e NBR 6916 / FE 42012</v>
          </cell>
          <cell r="E501" t="str">
            <v>SEL-012</v>
          </cell>
          <cell r="F501" t="str">
            <v xml:space="preserve">UN </v>
          </cell>
          <cell r="G501">
            <v>549.15</v>
          </cell>
          <cell r="H501" t="str">
            <v>-</v>
          </cell>
        </row>
        <row r="502">
          <cell r="A502">
            <v>11301</v>
          </cell>
          <cell r="B502" t="str">
            <v>SINAPI</v>
          </cell>
          <cell r="C502">
            <v>42.5</v>
          </cell>
          <cell r="D502" t="str">
            <v>Tampão FºFº articulado, classe B125 carga máxima 12,5 T, redondo taMPA 0,60 m, rede pluvial/esgoto. Exclusive assentamento</v>
          </cell>
          <cell r="E502"/>
          <cell r="F502" t="str">
            <v xml:space="preserve">UN    </v>
          </cell>
          <cell r="G502">
            <v>629.09</v>
          </cell>
          <cell r="H502" t="str">
            <v>-</v>
          </cell>
        </row>
        <row r="503">
          <cell r="A503">
            <v>98114</v>
          </cell>
          <cell r="B503" t="str">
            <v>SINAPI</v>
          </cell>
          <cell r="C503">
            <v>83627</v>
          </cell>
          <cell r="D503" t="str">
            <v>Tampão FºFº articulado, classe B125 carga máxima 12,5 T, redondo taMPA 0,60 m, rede pluvial/esgoto, para chaminé, caixa de areia e poço visita assentado com concreto FCK = 20MPA, fornecimento e assentamento</v>
          </cell>
          <cell r="E503"/>
          <cell r="F503" t="str">
            <v>UN</v>
          </cell>
          <cell r="G503">
            <v>688.38</v>
          </cell>
          <cell r="H503" t="str">
            <v>-</v>
          </cell>
        </row>
        <row r="504">
          <cell r="A504" t="str">
            <v>DR/0365</v>
          </cell>
          <cell r="B504" t="str">
            <v>COMPOSIÇÃO</v>
          </cell>
          <cell r="C504"/>
          <cell r="D504" t="str">
            <v>Substituição de tampão de PV, incluindo fornecimento de tampão de FºFº articulado, Classe B400, carga máxima 40 T, redondo tampa 600 mm para rede pluvial/esgoto, e requadro em concreto simples FCK 20mpa, de 1,00m x 1,00m x 0,20m</v>
          </cell>
          <cell r="E504"/>
          <cell r="F504" t="str">
            <v xml:space="preserve">UN </v>
          </cell>
          <cell r="G504">
            <v>849.99</v>
          </cell>
          <cell r="H504" t="str">
            <v>-</v>
          </cell>
        </row>
        <row r="505">
          <cell r="A505" t="str">
            <v>DR/0370</v>
          </cell>
          <cell r="B505" t="str">
            <v>COMPOSIÇÃO</v>
          </cell>
          <cell r="C505"/>
          <cell r="D505" t="str">
            <v>Remoção e reassentamento de tampão em F°F° para PV, com  reaproveitamento, incluindo recorte, demolição e requadro em concreto simples FCK 20mpa, de 1,00m x 1,00m x 0,20m</v>
          </cell>
          <cell r="E505"/>
          <cell r="F505" t="str">
            <v xml:space="preserve">UN </v>
          </cell>
          <cell r="G505">
            <v>229.16</v>
          </cell>
          <cell r="H505" t="str">
            <v>-</v>
          </cell>
        </row>
        <row r="506">
          <cell r="A506" t="str">
            <v>DR/0375</v>
          </cell>
          <cell r="B506" t="str">
            <v>COMPOSIÇÃO</v>
          </cell>
          <cell r="C506"/>
          <cell r="D506" t="str">
            <v>Grelha articulada fofo articulada, classe D400, carga máxima 40 T, 415 x 955 mm, para boca de lobo, NBR 10160 e NBR 6916 / FE 42012 - fornecimento e assentamento</v>
          </cell>
          <cell r="E506"/>
          <cell r="F506" t="str">
            <v xml:space="preserve">UN </v>
          </cell>
          <cell r="G506">
            <v>849.91</v>
          </cell>
          <cell r="H506" t="str">
            <v>-</v>
          </cell>
        </row>
        <row r="507">
          <cell r="A507" t="str">
            <v>DR/0380</v>
          </cell>
          <cell r="B507" t="str">
            <v>COTAÇÃO - SEL</v>
          </cell>
          <cell r="C507"/>
          <cell r="D507" t="str">
            <v>Grelha articulada fofo articulada, classe D400, carga máxima 40 T, 45 x 100 cm, para boca de lobo, NBR 10160 e NBR 6916 / FE 42012</v>
          </cell>
          <cell r="E507" t="str">
            <v>SEL-011</v>
          </cell>
          <cell r="F507" t="str">
            <v xml:space="preserve">UN </v>
          </cell>
          <cell r="G507">
            <v>727.28</v>
          </cell>
          <cell r="H507" t="str">
            <v>-</v>
          </cell>
        </row>
        <row r="508">
          <cell r="A508" t="str">
            <v>DR/0385</v>
          </cell>
          <cell r="B508" t="str">
            <v>COMPOSIÇÃO</v>
          </cell>
          <cell r="C508"/>
          <cell r="D508" t="str">
            <v>Substituição de quadro e grelha articulada em F°F°, classe D400, carga máxima 40 T, 415 x 955 mm para boca de lobo, incluindo demolição e implantação da sarjeta de contorno (chama) em concreto FCK = 20 mpa</v>
          </cell>
          <cell r="E508"/>
          <cell r="F508" t="str">
            <v xml:space="preserve">UN </v>
          </cell>
          <cell r="G508">
            <v>958.63</v>
          </cell>
          <cell r="H508" t="str">
            <v>-</v>
          </cell>
        </row>
        <row r="509">
          <cell r="A509" t="str">
            <v>DR/0390</v>
          </cell>
          <cell r="B509" t="str">
            <v>COMPOSIÇÃO</v>
          </cell>
          <cell r="C509"/>
          <cell r="D509" t="str">
            <v>Remoção e reassentamento de quadro e grelha articulada em F°F° para boca de lobo, incluindo demolição e implantação da sarjeta de contorno (chama) em concreto FCK = 20 Mpa</v>
          </cell>
          <cell r="E509"/>
          <cell r="F509" t="str">
            <v xml:space="preserve">UN </v>
          </cell>
          <cell r="G509">
            <v>225.51</v>
          </cell>
          <cell r="H509" t="str">
            <v>-</v>
          </cell>
        </row>
        <row r="510">
          <cell r="A510" t="str">
            <v>DR/0395</v>
          </cell>
          <cell r="B510" t="str">
            <v>COMPOSIÇÃO</v>
          </cell>
          <cell r="C510"/>
          <cell r="D510" t="str">
            <v>Tampão F°F° articulado T9, classe B125, carga máxima 12,5 T, redondo tampa 100 mm para registro de água. Incluindo fornecimento, assentamento e requadro em concreto FCK 20mpa, de 0,50m x 0,50m x 0,20m</v>
          </cell>
          <cell r="E510"/>
          <cell r="F510" t="str">
            <v xml:space="preserve">UN </v>
          </cell>
          <cell r="G510">
            <v>630.48</v>
          </cell>
          <cell r="H510" t="str">
            <v>-</v>
          </cell>
        </row>
        <row r="511">
          <cell r="A511" t="str">
            <v>DR/0400</v>
          </cell>
          <cell r="B511" t="str">
            <v>COMPOSIÇÃO</v>
          </cell>
          <cell r="C511"/>
          <cell r="D511" t="str">
            <v>Substituição de tampão de registro de água, incluindo fornecimento de tampão de FºFº articulado T9, Classe B125, carga máxima 12,5 T, redondo tampa 100 mm e requadro em concreto simples FCK 20mpa, de 0,50m x 0,50m x 0,20m</v>
          </cell>
          <cell r="E511"/>
          <cell r="F511" t="str">
            <v xml:space="preserve">UN </v>
          </cell>
          <cell r="G511">
            <v>1306.1099999999999</v>
          </cell>
          <cell r="H511" t="str">
            <v>-</v>
          </cell>
        </row>
        <row r="512">
          <cell r="A512" t="str">
            <v>DR/0405</v>
          </cell>
          <cell r="B512" t="str">
            <v>COTAÇÃO - SEL</v>
          </cell>
          <cell r="C512"/>
          <cell r="D512" t="str">
            <v>Tampão fofo articulado T12, classe B125, carga máxima 12,5 T, DN 150 mm, para registro de água, NBR 10160 e NBR 6916 / FE 42012</v>
          </cell>
          <cell r="E512" t="str">
            <v>SEL-014</v>
          </cell>
          <cell r="F512" t="str">
            <v xml:space="preserve">UN </v>
          </cell>
          <cell r="G512">
            <v>216.46</v>
          </cell>
          <cell r="H512" t="str">
            <v>-</v>
          </cell>
        </row>
        <row r="513">
          <cell r="A513" t="str">
            <v>DR/0410</v>
          </cell>
          <cell r="B513" t="str">
            <v>COMPOSIÇÃO</v>
          </cell>
          <cell r="C513"/>
          <cell r="D513" t="str">
            <v>Entrada para descida d'água - EDA 01 (REF. SICRO COD. 2003384, db 01-2023)</v>
          </cell>
          <cell r="E513"/>
          <cell r="F513" t="str">
            <v xml:space="preserve">UN </v>
          </cell>
          <cell r="G513">
            <v>95.01</v>
          </cell>
          <cell r="H513" t="str">
            <v>-</v>
          </cell>
        </row>
        <row r="514">
          <cell r="A514" t="str">
            <v>DR/0411</v>
          </cell>
          <cell r="B514" t="str">
            <v>COMPOSIÇÃO</v>
          </cell>
          <cell r="C514"/>
          <cell r="D514" t="str">
            <v>Entrada para descida d'água - EDA 02 (REF. SICRO COD. 2003387, db 01-2023)</v>
          </cell>
          <cell r="E514"/>
          <cell r="F514" t="str">
            <v xml:space="preserve">UN </v>
          </cell>
          <cell r="G514">
            <v>117.35</v>
          </cell>
          <cell r="H514" t="str">
            <v>-</v>
          </cell>
        </row>
        <row r="515">
          <cell r="A515" t="str">
            <v>DR/0415</v>
          </cell>
          <cell r="B515" t="str">
            <v>COMPOSIÇÃO</v>
          </cell>
          <cell r="C515"/>
          <cell r="D515" t="str">
            <v>Descida d'água tipo rápido, seção retangular - DAR 02 (REF. SICRO COD. 2003391, JAN/2020)</v>
          </cell>
          <cell r="E515"/>
          <cell r="F515" t="str">
            <v>M</v>
          </cell>
          <cell r="G515">
            <v>223.29</v>
          </cell>
          <cell r="H515" t="str">
            <v>-</v>
          </cell>
        </row>
        <row r="516">
          <cell r="A516" t="str">
            <v>DR/0420</v>
          </cell>
          <cell r="B516" t="str">
            <v>COMPOSIÇÃO</v>
          </cell>
          <cell r="C516"/>
          <cell r="D516" t="str">
            <v>Grade de ferro em barra chata e cantoneira (1,35 x 0,55) m, conforme projeto, inclui fornecimento e instalação</v>
          </cell>
          <cell r="E516"/>
          <cell r="F516" t="str">
            <v>UN</v>
          </cell>
          <cell r="G516">
            <v>691.14</v>
          </cell>
          <cell r="H516" t="str">
            <v>-</v>
          </cell>
        </row>
        <row r="517">
          <cell r="A517" t="str">
            <v>DR/0421</v>
          </cell>
          <cell r="B517" t="str">
            <v>COMPOSIÇÃO</v>
          </cell>
          <cell r="C517"/>
          <cell r="D517" t="str">
            <v>Grade de ferro em barra chata e cantoneira (1,74 x 0,94) m, conforme projeto, inclui fornecimento e instalação. Ref. SINAPI 99861 DB 06-21</v>
          </cell>
          <cell r="E517"/>
          <cell r="F517" t="str">
            <v>UN</v>
          </cell>
          <cell r="G517">
            <v>712.36</v>
          </cell>
          <cell r="H517" t="str">
            <v>-</v>
          </cell>
        </row>
        <row r="518">
          <cell r="A518" t="str">
            <v>DR/0430</v>
          </cell>
          <cell r="B518" t="str">
            <v>COMPOSIÇÃO</v>
          </cell>
          <cell r="C518"/>
          <cell r="D518" t="str">
            <v>Fornecimento e instalação de comporta deslizante de parede ‐ DN: 1100x1100 (mm) ‐ material de construção: ASTM a 240 TP 304 (AISI 304) ‐ elevação: 4000mm ‐ pressão: 3,00 Mca ‐ pedestal de manobras: incluso ‐ acionamento: manual volante. Posto obra / Caarapó</v>
          </cell>
          <cell r="E518"/>
          <cell r="F518" t="str">
            <v>UN</v>
          </cell>
          <cell r="G518">
            <v>282.37</v>
          </cell>
          <cell r="H518" t="str">
            <v>-</v>
          </cell>
        </row>
        <row r="519">
          <cell r="A519" t="str">
            <v>DR/0440</v>
          </cell>
          <cell r="B519" t="str">
            <v>COMPOSIÇÃO</v>
          </cell>
          <cell r="C519"/>
          <cell r="D519" t="str">
            <v>Reaterro manual hidraúlico de valas utilizando areia para aterro e compactação mecanizada, não inclui fornecimento de material. REF SINAPI 94342, DB 03-23</v>
          </cell>
          <cell r="E519"/>
          <cell r="F519" t="str">
            <v>M³</v>
          </cell>
          <cell r="G519">
            <v>31.46</v>
          </cell>
          <cell r="H519" t="str">
            <v>-</v>
          </cell>
        </row>
        <row r="520">
          <cell r="A520" t="str">
            <v>DR/0450</v>
          </cell>
          <cell r="B520" t="str">
            <v>COMPOSIÇÃO</v>
          </cell>
          <cell r="C520"/>
          <cell r="D520" t="str">
            <v>Valeta de proteção de corte sem revestimento - VPCT 120-30 - escavação mecânica. REF SICRO 2003296, DB 04-23</v>
          </cell>
          <cell r="E520"/>
          <cell r="F520" t="str">
            <v>M</v>
          </cell>
          <cell r="G520">
            <v>13.34</v>
          </cell>
          <cell r="H520" t="str">
            <v>-</v>
          </cell>
        </row>
        <row r="521">
          <cell r="A521" t="str">
            <v>DR/0470</v>
          </cell>
          <cell r="B521" t="str">
            <v>COMPOSIÇÃO</v>
          </cell>
          <cell r="C521"/>
          <cell r="D521" t="str">
            <v>Terraço (curva de nível) tipo Mangum - base média (± 7,00 m), topo  (± 1,00 m) e altura  (± 1,00 m). Ref SICRO 4011211, DB 04-2023</v>
          </cell>
          <cell r="E521"/>
          <cell r="F521" t="str">
            <v>M³</v>
          </cell>
          <cell r="G521">
            <v>0.89</v>
          </cell>
          <cell r="H521" t="str">
            <v>-</v>
          </cell>
        </row>
        <row r="522">
          <cell r="A522"/>
          <cell r="B522"/>
          <cell r="C522"/>
          <cell r="D522"/>
          <cell r="E522"/>
          <cell r="F522"/>
          <cell r="G522"/>
          <cell r="H522"/>
        </row>
        <row r="523">
          <cell r="A523"/>
          <cell r="B523"/>
          <cell r="C523" t="str">
            <v>7.0</v>
          </cell>
          <cell r="D523" t="str">
            <v>SERVIÇOS DE ESTRUTURAS E CONTENÇÕES</v>
          </cell>
          <cell r="E523"/>
          <cell r="F523"/>
          <cell r="G523"/>
          <cell r="H523" t="str">
            <v/>
          </cell>
        </row>
        <row r="524">
          <cell r="A524">
            <v>102487</v>
          </cell>
          <cell r="B524" t="str">
            <v>SINAPI</v>
          </cell>
          <cell r="C524">
            <v>73361</v>
          </cell>
          <cell r="D524" t="str">
            <v>Concreto ciclópico FCK = 15 MPA, 30% pedra de mão em volume real, inclusive lançamento</v>
          </cell>
          <cell r="E524"/>
          <cell r="F524" t="str">
            <v>M3</v>
          </cell>
          <cell r="G524">
            <v>562.11</v>
          </cell>
          <cell r="H524" t="str">
            <v>-</v>
          </cell>
        </row>
        <row r="525">
          <cell r="A525">
            <v>94962</v>
          </cell>
          <cell r="B525" t="str">
            <v>SINAPI</v>
          </cell>
          <cell r="C525"/>
          <cell r="D525" t="str">
            <v>Concreto magro para lastro, traço 1:4,5:4,5 (cimento/ areia média/ brita 1) - preparo mecânico com betoneira 400 l. AF_07/2016</v>
          </cell>
          <cell r="E525"/>
          <cell r="F525" t="str">
            <v>M3</v>
          </cell>
          <cell r="G525">
            <v>385.69</v>
          </cell>
          <cell r="H525" t="str">
            <v>-</v>
          </cell>
        </row>
        <row r="526">
          <cell r="A526">
            <v>94963</v>
          </cell>
          <cell r="B526" t="str">
            <v>SINAPI</v>
          </cell>
          <cell r="C526"/>
          <cell r="D526" t="str">
            <v>Concreto FCK = 15 MPA, traço 1:3,4:3,5 (cimento/ areia média/ brita 1) - preparo mecânico com betoneira 400 l. AF_07/2016</v>
          </cell>
          <cell r="E526"/>
          <cell r="F526" t="str">
            <v>M3</v>
          </cell>
          <cell r="G526">
            <v>432.03</v>
          </cell>
          <cell r="H526" t="str">
            <v>-</v>
          </cell>
        </row>
        <row r="527">
          <cell r="A527">
            <v>94964</v>
          </cell>
          <cell r="B527" t="str">
            <v>SINAPI</v>
          </cell>
          <cell r="C527"/>
          <cell r="D527" t="str">
            <v>Concreto FCK = 20 MPA, traço 1:2,7:3 (cimento/ areia média/ brita 1) - preparo mecânico com betoneira 400 l. AF_07/2016</v>
          </cell>
          <cell r="E527"/>
          <cell r="F527" t="str">
            <v>M3</v>
          </cell>
          <cell r="G527">
            <v>475.66</v>
          </cell>
          <cell r="H527" t="str">
            <v>-</v>
          </cell>
        </row>
        <row r="528">
          <cell r="A528">
            <v>94965</v>
          </cell>
          <cell r="B528" t="str">
            <v>SINAPI</v>
          </cell>
          <cell r="C528"/>
          <cell r="D528" t="str">
            <v>Concreto FCK = 25 MPA, traço 1:2,3:2,7 (cimento/ areia média/ brita 1) - preparo mecânico com betoneira 400 l. AF_07/2016</v>
          </cell>
          <cell r="E528"/>
          <cell r="F528" t="str">
            <v>M3</v>
          </cell>
          <cell r="G528">
            <v>497.39</v>
          </cell>
          <cell r="H528" t="str">
            <v>-</v>
          </cell>
        </row>
        <row r="529">
          <cell r="A529">
            <v>94966</v>
          </cell>
          <cell r="B529" t="str">
            <v>SINAPI</v>
          </cell>
          <cell r="C529"/>
          <cell r="D529" t="str">
            <v>Concreto FCK = 30 MPA, traço 1:2,1:2,5 (cimento/ areia média/ brita 1) - preparo mecânico com betoneira 400 l. AF_07/2016</v>
          </cell>
          <cell r="E529"/>
          <cell r="F529" t="str">
            <v>M3</v>
          </cell>
          <cell r="G529">
            <v>515.91999999999996</v>
          </cell>
          <cell r="H529" t="str">
            <v>-</v>
          </cell>
        </row>
        <row r="530">
          <cell r="A530">
            <v>94967</v>
          </cell>
          <cell r="B530" t="str">
            <v>SINAPI</v>
          </cell>
          <cell r="C530"/>
          <cell r="D530" t="str">
            <v>Concreto FCK = 40 MPA, traço 1:1,6:1,9 (cimento/ areia média/ brita 1) - preparo mecânico com betoneira 400 l. AF_07/2016</v>
          </cell>
          <cell r="E530"/>
          <cell r="F530" t="str">
            <v>M3</v>
          </cell>
          <cell r="G530">
            <v>593.35</v>
          </cell>
          <cell r="H530" t="str">
            <v>-</v>
          </cell>
        </row>
        <row r="531">
          <cell r="A531">
            <v>11146</v>
          </cell>
          <cell r="B531" t="str">
            <v>SINAPI</v>
          </cell>
          <cell r="C531"/>
          <cell r="D531" t="str">
            <v>Concreto autoadensável (CAA) classe de resistência C15, espalhamento SF2, inclui serviço de bombeamento (NBR 15823)</v>
          </cell>
          <cell r="E531"/>
          <cell r="F531" t="str">
            <v xml:space="preserve">M3    </v>
          </cell>
          <cell r="G531">
            <v>613.26</v>
          </cell>
          <cell r="H531" t="str">
            <v>-</v>
          </cell>
        </row>
        <row r="532">
          <cell r="A532">
            <v>34492</v>
          </cell>
          <cell r="B532" t="str">
            <v>SINAPI</v>
          </cell>
          <cell r="C532"/>
          <cell r="D532" t="str">
            <v>Concreto usinado bombeável, classe de resistência C20, com brita 0,00 e 1, slump = 100 +/- 20 mm, exclui serviço de bombeamento (NBR 8953)</v>
          </cell>
          <cell r="E532"/>
          <cell r="F532" t="str">
            <v xml:space="preserve">M3    </v>
          </cell>
          <cell r="G532">
            <v>545</v>
          </cell>
          <cell r="H532" t="str">
            <v>-</v>
          </cell>
        </row>
        <row r="533">
          <cell r="A533">
            <v>34493</v>
          </cell>
          <cell r="B533" t="str">
            <v>SINAPI</v>
          </cell>
          <cell r="C533"/>
          <cell r="D533" t="str">
            <v>Concreto usinado bombeável, classe de resistência C25, com brita 0,00 e 1, slump = 100 +/- 20 mm, exclui serviço de bombeamento (NBR 8953)</v>
          </cell>
          <cell r="E533"/>
          <cell r="F533" t="str">
            <v xml:space="preserve">M3    </v>
          </cell>
          <cell r="G533">
            <v>560.36</v>
          </cell>
          <cell r="H533" t="str">
            <v>-</v>
          </cell>
        </row>
        <row r="534">
          <cell r="A534">
            <v>34494</v>
          </cell>
          <cell r="B534" t="str">
            <v>SINAPI</v>
          </cell>
          <cell r="C534"/>
          <cell r="D534" t="str">
            <v>Concreto usinado bombeável, classe de resistência C30, com brita 0,00 e 1, slump = 100 +/- 20 mm, exclui serviço de bombeamento (NBR 8953)</v>
          </cell>
          <cell r="E534"/>
          <cell r="F534" t="str">
            <v xml:space="preserve">M3    </v>
          </cell>
          <cell r="G534">
            <v>579.04</v>
          </cell>
          <cell r="H534" t="str">
            <v>-</v>
          </cell>
        </row>
        <row r="535">
          <cell r="A535">
            <v>34495</v>
          </cell>
          <cell r="B535" t="str">
            <v>SINAPI</v>
          </cell>
          <cell r="C535"/>
          <cell r="D535" t="str">
            <v>Concreto usinado bombeável, classe de resistência C35, com brita 0,00 e 1, slump = 100 +/- 20 mm, exclui serviço de bombeamento (NBR 8953)</v>
          </cell>
          <cell r="E535"/>
          <cell r="F535" t="str">
            <v xml:space="preserve">M3    </v>
          </cell>
          <cell r="G535">
            <v>597.71</v>
          </cell>
          <cell r="H535" t="str">
            <v>-</v>
          </cell>
        </row>
        <row r="536">
          <cell r="A536">
            <v>90280</v>
          </cell>
          <cell r="B536" t="str">
            <v>SINAPI</v>
          </cell>
          <cell r="C536"/>
          <cell r="D536" t="str">
            <v>Graute FGK = 25 MPA; traço 1:0,02:1,2:1,5 (cimento/ cal/ areia grossa/ brita 0) - preparo mecânico com betoneira 400 l. AF_02/2015</v>
          </cell>
          <cell r="E536"/>
          <cell r="F536" t="str">
            <v>M3</v>
          </cell>
          <cell r="G536">
            <v>637.21</v>
          </cell>
          <cell r="H536" t="str">
            <v>-</v>
          </cell>
        </row>
        <row r="537">
          <cell r="A537">
            <v>90284</v>
          </cell>
          <cell r="B537" t="str">
            <v>SINAPI</v>
          </cell>
          <cell r="C537"/>
          <cell r="D537" t="str">
            <v>Graute FGK = 25 MPA; traço 1:1,2:1,5 (cimento/ areia grossa/ brita 0/ aditivo) - preparo mecânico com betoneira 400 l. AF_02/2015</v>
          </cell>
          <cell r="E537"/>
          <cell r="F537" t="str">
            <v>M3</v>
          </cell>
          <cell r="G537">
            <v>630.23</v>
          </cell>
          <cell r="H537" t="str">
            <v>-</v>
          </cell>
        </row>
        <row r="538">
          <cell r="A538">
            <v>103670</v>
          </cell>
          <cell r="B538" t="str">
            <v>SINAPI</v>
          </cell>
          <cell r="C538" t="str">
            <v>74157/4
EC/0001
92873</v>
          </cell>
          <cell r="D538" t="str">
            <v>Lançamento com uso de baldes, adensamento e acabamento de concreto em estruturas. AF_12/2015</v>
          </cell>
          <cell r="E538"/>
          <cell r="F538" t="str">
            <v>M3</v>
          </cell>
          <cell r="G538">
            <v>268.77999999999997</v>
          </cell>
          <cell r="H538" t="str">
            <v>-</v>
          </cell>
        </row>
        <row r="539">
          <cell r="A539">
            <v>103673</v>
          </cell>
          <cell r="B539" t="str">
            <v>SINAPI</v>
          </cell>
          <cell r="C539">
            <v>92874</v>
          </cell>
          <cell r="D539" t="str">
            <v>Lançamento com uso de bomba, adensamento e acabamento de concreto em estruturas. AF_12/2015</v>
          </cell>
          <cell r="E539"/>
          <cell r="F539" t="str">
            <v>M3</v>
          </cell>
          <cell r="G539">
            <v>37.76</v>
          </cell>
          <cell r="H539" t="str">
            <v>-</v>
          </cell>
        </row>
        <row r="540">
          <cell r="A540">
            <v>41805</v>
          </cell>
          <cell r="B540" t="str">
            <v>COTAÇÃO - SINAPI</v>
          </cell>
          <cell r="C540"/>
          <cell r="D540" t="str">
            <v>Locação de andaime suspenso ou balancim manual, capacidade de carga total de aproximadamente 250 kg/m2, plataforma de 1,50 m x 0,80 m (c x l), cabo de 45 m</v>
          </cell>
          <cell r="E540"/>
          <cell r="F540" t="str">
            <v xml:space="preserve">MES   </v>
          </cell>
          <cell r="G540">
            <v>668.43</v>
          </cell>
          <cell r="H540" t="str">
            <v>-</v>
          </cell>
        </row>
        <row r="541">
          <cell r="A541">
            <v>10527</v>
          </cell>
          <cell r="B541" t="str">
            <v>SINAPI</v>
          </cell>
          <cell r="C541">
            <v>20193</v>
          </cell>
          <cell r="D541" t="str">
            <v>Locação de andaime metálico tubular de encaixe, tipo de torre, com largura de 1 ate 1,50 m e altura de *1,00* m (incluso sapatas fixas ou rodízios)</v>
          </cell>
          <cell r="E541"/>
          <cell r="F541" t="str">
            <v xml:space="preserve">MXMES </v>
          </cell>
          <cell r="G541">
            <v>23.25</v>
          </cell>
          <cell r="H541" t="str">
            <v>-</v>
          </cell>
        </row>
        <row r="542">
          <cell r="A542">
            <v>97064</v>
          </cell>
          <cell r="B542" t="str">
            <v>SINAPI</v>
          </cell>
          <cell r="C542">
            <v>97063</v>
          </cell>
          <cell r="D542" t="str">
            <v>Montagem e desmontagem de andaime tubular tipo torre (exclusive andaime e limpeza). AF_11/2017</v>
          </cell>
          <cell r="E542"/>
          <cell r="F542" t="str">
            <v>M</v>
          </cell>
          <cell r="G542">
            <v>19.05</v>
          </cell>
          <cell r="H542" t="str">
            <v>-</v>
          </cell>
        </row>
        <row r="543">
          <cell r="A543">
            <v>90439</v>
          </cell>
          <cell r="B543" t="str">
            <v>SINAPI</v>
          </cell>
          <cell r="C543"/>
          <cell r="D543" t="str">
            <v>Furo em concreto para diâmetros menores ou iguais a 40 mm. AF_05/2015</v>
          </cell>
          <cell r="E543"/>
          <cell r="F543" t="str">
            <v>UN</v>
          </cell>
          <cell r="G543">
            <v>68.42</v>
          </cell>
          <cell r="H543" t="str">
            <v>-</v>
          </cell>
        </row>
        <row r="544">
          <cell r="A544">
            <v>90440</v>
          </cell>
          <cell r="B544" t="str">
            <v>SINAPI</v>
          </cell>
          <cell r="C544"/>
          <cell r="D544" t="str">
            <v>Furo em concreto para diâmetros maiores que 40 mm e menores ou iguais a 75 mm. AF_05/2015</v>
          </cell>
          <cell r="E544"/>
          <cell r="F544" t="str">
            <v>UN</v>
          </cell>
          <cell r="G544">
            <v>109.58</v>
          </cell>
          <cell r="H544" t="str">
            <v>-</v>
          </cell>
        </row>
        <row r="545">
          <cell r="A545">
            <v>90441</v>
          </cell>
          <cell r="B545" t="str">
            <v>SINAPI</v>
          </cell>
          <cell r="C545"/>
          <cell r="D545" t="str">
            <v>Furo em concreto para diâmetros maiores que 75 mm. AF_05/2015</v>
          </cell>
          <cell r="E545"/>
          <cell r="F545" t="str">
            <v>UN</v>
          </cell>
          <cell r="G545">
            <v>139.96</v>
          </cell>
          <cell r="H545" t="str">
            <v>-</v>
          </cell>
        </row>
        <row r="546">
          <cell r="A546">
            <v>93959</v>
          </cell>
          <cell r="B546" t="str">
            <v>SINAPI</v>
          </cell>
          <cell r="C546"/>
          <cell r="D546" t="str">
            <v>Execução de grampo para solo grampeado com comprimento maior que 6 m e menor ou igual a 8 m, diâmetro nominal de 10 cm, perfuração com equipamento manual e armadura com diâmetro nominal de 20 mm. AF_05/2016</v>
          </cell>
          <cell r="E546"/>
          <cell r="F546" t="str">
            <v>M</v>
          </cell>
          <cell r="G546">
            <v>223.4</v>
          </cell>
          <cell r="H546" t="str">
            <v>-</v>
          </cell>
        </row>
        <row r="547">
          <cell r="A547">
            <v>93960</v>
          </cell>
          <cell r="B547" t="str">
            <v>SINAPI</v>
          </cell>
          <cell r="C547"/>
          <cell r="D547" t="str">
            <v>Execução de grampo para solo grampeado com comprimento maior que 8 m e menor ou igual a 10 m, diâmetro nominal de 10 cm, perfuração com equipamento manual e armadura com diâmetro nominal de 20 mm. AF_05/2016</v>
          </cell>
          <cell r="E547"/>
          <cell r="F547" t="str">
            <v>M</v>
          </cell>
          <cell r="G547">
            <v>216.16</v>
          </cell>
          <cell r="H547" t="str">
            <v>-</v>
          </cell>
        </row>
        <row r="548">
          <cell r="A548">
            <v>91074</v>
          </cell>
          <cell r="B548" t="str">
            <v>SINAPI</v>
          </cell>
          <cell r="C548"/>
          <cell r="D548" t="str">
            <v>Execução de revestimento de concreto projetado com espessura de 10 cm, armado com tela, inclinação menor que 90°, aplicação contínua, utilizando equipamento de projeção com 3 m³/h de capacidade. AF_01/2016</v>
          </cell>
          <cell r="E548" t="str">
            <v>AREIA MÉDIA
0,1345 m³/m³
BRITA
0,069 m³/m³</v>
          </cell>
          <cell r="F548" t="str">
            <v>M2</v>
          </cell>
          <cell r="G548">
            <v>146.28</v>
          </cell>
          <cell r="H548" t="str">
            <v>-</v>
          </cell>
        </row>
        <row r="549">
          <cell r="A549">
            <v>91099</v>
          </cell>
          <cell r="B549" t="str">
            <v>SINAPI</v>
          </cell>
          <cell r="C549"/>
          <cell r="D549" t="str">
            <v>Execução de revestimento de concreto projetado com espessura de 10 cm, armado com fibras de aço, inclinação menor que 90°, aplicação descontínua, utilizando equipamento de projeção com 3 m³/h de capacidade. AF_01/2016</v>
          </cell>
          <cell r="E549"/>
          <cell r="F549" t="str">
            <v>M2</v>
          </cell>
          <cell r="G549">
            <v>182.99</v>
          </cell>
          <cell r="H549" t="str">
            <v>-</v>
          </cell>
        </row>
        <row r="550">
          <cell r="A550" t="str">
            <v>EC/0005</v>
          </cell>
          <cell r="B550" t="str">
            <v>COMPOSIÇÃO</v>
          </cell>
          <cell r="C550" t="str">
            <v>DESATIVADA</v>
          </cell>
          <cell r="D550" t="e">
            <v>#REF!</v>
          </cell>
          <cell r="E550"/>
          <cell r="F550" t="e">
            <v>#REF!</v>
          </cell>
          <cell r="G550" t="e">
            <v>#REF!</v>
          </cell>
          <cell r="H550" t="str">
            <v>VER COMP</v>
          </cell>
        </row>
        <row r="551">
          <cell r="A551" t="str">
            <v>EC/0010</v>
          </cell>
          <cell r="B551" t="str">
            <v>COMPOSIÇÃO</v>
          </cell>
          <cell r="C551"/>
          <cell r="D551" t="str">
            <v>Execução de grampo para solo grampeado com comprimento maior que 10 m, diâmetro de 7 cm, perfuração com equipamento manual. Incluindo armadura dupla CA-50 de 2Ø16 mm, centralizadores, tubos de injeção multifases, válvula de injeção, pintura anticorrosiva e injeção de calda de cimento (REF. SINAPI COD. 93966)</v>
          </cell>
          <cell r="E551"/>
          <cell r="F551" t="str">
            <v>M</v>
          </cell>
          <cell r="G551">
            <v>202.69</v>
          </cell>
          <cell r="H551" t="str">
            <v>-</v>
          </cell>
        </row>
        <row r="552">
          <cell r="A552">
            <v>92415</v>
          </cell>
          <cell r="B552" t="str">
            <v>SINAPI</v>
          </cell>
          <cell r="C552"/>
          <cell r="D552" t="str">
            <v>Montagem e desmontagem de fôrma de pilares retangulares e estruturas similares, pé-direito simples, em chapa de madeira compensada resinada, 2 utilizações. AF_09/2020</v>
          </cell>
          <cell r="E552"/>
          <cell r="F552" t="str">
            <v>M2</v>
          </cell>
          <cell r="G552">
            <v>137.13999999999999</v>
          </cell>
          <cell r="H552" t="str">
            <v>-</v>
          </cell>
        </row>
        <row r="553">
          <cell r="A553">
            <v>92419</v>
          </cell>
          <cell r="B553" t="str">
            <v>SINAPI</v>
          </cell>
          <cell r="C553"/>
          <cell r="D553" t="str">
            <v>Montagem e desmontagem de fôrma de pilares retangulares e estruturas similares, pé-direito simples, em chapa de madeira compensada resinada, 4 utilizações. AF_09/2020</v>
          </cell>
          <cell r="E553"/>
          <cell r="F553" t="str">
            <v>M2</v>
          </cell>
          <cell r="G553">
            <v>85.59</v>
          </cell>
          <cell r="H553" t="str">
            <v>-</v>
          </cell>
        </row>
        <row r="554">
          <cell r="A554">
            <v>92423</v>
          </cell>
          <cell r="B554" t="str">
            <v>SINAPI</v>
          </cell>
          <cell r="C554"/>
          <cell r="D554" t="str">
            <v>Montagem e desmontagem de fôrma de pilares retangulares e estruturas similares, pé-direito simples, em chapa de madeira compensada resinada, 6 utilizações. AF_09/2020</v>
          </cell>
          <cell r="E554"/>
          <cell r="F554" t="str">
            <v>M2</v>
          </cell>
          <cell r="G554">
            <v>69.709999999999994</v>
          </cell>
          <cell r="H554" t="str">
            <v>-</v>
          </cell>
        </row>
        <row r="555">
          <cell r="A555">
            <v>92431</v>
          </cell>
          <cell r="B555" t="str">
            <v>SINAPI</v>
          </cell>
          <cell r="C555"/>
          <cell r="D555" t="str">
            <v>Montagem e desmontagem de fôrma de pilares retangulares e estruturas similares, pé-direito simples, em chapa de madeira compensada plastificada, 10 utilizações. AF_09/2020</v>
          </cell>
          <cell r="E555"/>
          <cell r="F555" t="str">
            <v>M2</v>
          </cell>
          <cell r="G555">
            <v>58.81</v>
          </cell>
          <cell r="H555" t="str">
            <v>-</v>
          </cell>
        </row>
        <row r="556">
          <cell r="A556">
            <v>92439</v>
          </cell>
          <cell r="B556" t="str">
            <v>SINAPI</v>
          </cell>
          <cell r="C556"/>
          <cell r="D556" t="str">
            <v>Montagem e desmontagem de fôrma de pilares retangulares e estruturas similares, pé-direito simples, em chapa de madeira compensada plastificada, 14 utilizações. AF_09/2020</v>
          </cell>
          <cell r="E556"/>
          <cell r="F556" t="str">
            <v>M2</v>
          </cell>
          <cell r="G556">
            <v>53.47</v>
          </cell>
          <cell r="H556" t="str">
            <v>-</v>
          </cell>
        </row>
        <row r="557">
          <cell r="A557">
            <v>92915</v>
          </cell>
          <cell r="B557" t="str">
            <v>SINAPI</v>
          </cell>
          <cell r="C557"/>
          <cell r="D557" t="str">
            <v>Armação de estruturas de concreto armado, exceto vigas, pilares, lajes e fundações, utilizando aço CA-60 de 5,0 mm - montagem. AF_12/2015</v>
          </cell>
          <cell r="E557"/>
          <cell r="F557" t="str">
            <v>KG</v>
          </cell>
          <cell r="G557">
            <v>16.37</v>
          </cell>
          <cell r="H557" t="str">
            <v>-</v>
          </cell>
        </row>
        <row r="558">
          <cell r="A558">
            <v>92916</v>
          </cell>
          <cell r="B558" t="str">
            <v>SINAPI</v>
          </cell>
          <cell r="C558"/>
          <cell r="D558" t="str">
            <v>Armação de estruturas de concreto armado, exceto vigas, pilares, lajes e fundações, utilizando aço CA-50 de 6,3 mm - montagem. AF_12/2015</v>
          </cell>
          <cell r="E558"/>
          <cell r="F558" t="str">
            <v>KG</v>
          </cell>
          <cell r="G558">
            <v>15.18</v>
          </cell>
          <cell r="H558" t="str">
            <v>-</v>
          </cell>
        </row>
        <row r="559">
          <cell r="A559">
            <v>92917</v>
          </cell>
          <cell r="B559" t="str">
            <v>SINAPI</v>
          </cell>
          <cell r="C559"/>
          <cell r="D559" t="str">
            <v>Armação de estruturas de concreto armado, exceto vigas, pilares, lajes e fundações, utilizando aço CA-50 de 8,0 mm - montagem. AF_12/2015</v>
          </cell>
          <cell r="E559"/>
          <cell r="F559" t="str">
            <v>KG</v>
          </cell>
          <cell r="G559">
            <v>13.97</v>
          </cell>
          <cell r="H559" t="str">
            <v>-</v>
          </cell>
        </row>
        <row r="560">
          <cell r="A560">
            <v>92919</v>
          </cell>
          <cell r="B560" t="str">
            <v>SINAPI</v>
          </cell>
          <cell r="C560"/>
          <cell r="D560" t="str">
            <v>Armação de estruturas de concreto armado, exceto vigas, pilares, lajes e fundações, utilizando aço CA-50 de 10,0 mm - montagem. AF_12/2015</v>
          </cell>
          <cell r="E560"/>
          <cell r="F560" t="str">
            <v>KG</v>
          </cell>
          <cell r="G560">
            <v>12.28</v>
          </cell>
          <cell r="H560" t="str">
            <v>-</v>
          </cell>
        </row>
        <row r="561">
          <cell r="A561">
            <v>92921</v>
          </cell>
          <cell r="B561" t="str">
            <v>SINAPI</v>
          </cell>
          <cell r="C561"/>
          <cell r="D561" t="str">
            <v>Armação de estruturas de concreto armado, exceto vigas, pilares, lajes e fundações, utilizando aço CA-50 de 12,5 mm - montagem. AF_12/2015</v>
          </cell>
          <cell r="E561"/>
          <cell r="F561" t="str">
            <v>KG</v>
          </cell>
          <cell r="G561">
            <v>10.199999999999999</v>
          </cell>
          <cell r="H561" t="str">
            <v>-</v>
          </cell>
        </row>
        <row r="562">
          <cell r="A562">
            <v>92922</v>
          </cell>
          <cell r="B562" t="str">
            <v>SINAPI</v>
          </cell>
          <cell r="C562"/>
          <cell r="D562" t="str">
            <v>Armação de estruturas de concreto armado, exceto vigas, pilares, lajes e fundações, utilizando aço CA-50 de 16,0 mm - montagem. AF_12/2015</v>
          </cell>
          <cell r="E562"/>
          <cell r="F562" t="str">
            <v>KG</v>
          </cell>
          <cell r="G562">
            <v>9.7799999999999994</v>
          </cell>
          <cell r="H562" t="str">
            <v>-</v>
          </cell>
        </row>
        <row r="563">
          <cell r="A563">
            <v>92923</v>
          </cell>
          <cell r="B563" t="str">
            <v>SINAPI</v>
          </cell>
          <cell r="C563"/>
          <cell r="D563" t="str">
            <v>Armação de estruturas de concreto armado, exceto vigas, pilares, lajes e fundações, utilizando aço CA-50 de 20,0 mm - montagem. AF_12/2015</v>
          </cell>
          <cell r="E563"/>
          <cell r="F563" t="str">
            <v>KG</v>
          </cell>
          <cell r="G563">
            <v>11.02</v>
          </cell>
          <cell r="H563" t="str">
            <v>-</v>
          </cell>
        </row>
        <row r="564">
          <cell r="A564">
            <v>92924</v>
          </cell>
          <cell r="B564" t="str">
            <v>SINAPI</v>
          </cell>
          <cell r="C564"/>
          <cell r="D564" t="str">
            <v>Armação de estruturas de concreto armado, exceto vigas, pilares, lajes e fundações, utilizando aço CA-50 de 25,0 mm - montagem. AF_12/2015</v>
          </cell>
          <cell r="E564"/>
          <cell r="F564" t="str">
            <v>KG</v>
          </cell>
          <cell r="G564">
            <v>10.84</v>
          </cell>
          <cell r="H564" t="str">
            <v>-</v>
          </cell>
        </row>
        <row r="565">
          <cell r="A565">
            <v>91007</v>
          </cell>
          <cell r="B565"/>
          <cell r="C565"/>
          <cell r="D565" t="str">
            <v>SUBSTITUIR PELA COMPOSIÇÃO EC/0130</v>
          </cell>
          <cell r="E565" t="str">
            <v>ATENÇÃO
fôrma metálica</v>
          </cell>
          <cell r="F565" t="str">
            <v>-</v>
          </cell>
          <cell r="G565" t="str">
            <v>-</v>
          </cell>
          <cell r="H565" t="str">
            <v>-</v>
          </cell>
        </row>
        <row r="566">
          <cell r="A566">
            <v>92409</v>
          </cell>
          <cell r="B566" t="str">
            <v>SINAPI</v>
          </cell>
          <cell r="C566"/>
          <cell r="D566" t="str">
            <v>Montagem e desmontagem de fôrma de pilares retangulares e estruturas similares, pé-direito simples, em madeira serrada, 1 utilização. AF_09/2020</v>
          </cell>
          <cell r="E566"/>
          <cell r="F566" t="str">
            <v>M2</v>
          </cell>
          <cell r="G566">
            <v>210.85</v>
          </cell>
          <cell r="H566" t="str">
            <v>-</v>
          </cell>
        </row>
        <row r="567">
          <cell r="A567">
            <v>92411</v>
          </cell>
          <cell r="B567" t="str">
            <v>SINAPI</v>
          </cell>
          <cell r="C567"/>
          <cell r="D567" t="str">
            <v>Montagem e desmontagem de fôrma de pilares retangulares e estruturas similares, pé-direito simples, em madeira serrada, 2 utilizações. AF_09/2020</v>
          </cell>
          <cell r="E567"/>
          <cell r="F567" t="str">
            <v>M2</v>
          </cell>
          <cell r="G567">
            <v>140.94</v>
          </cell>
          <cell r="H567" t="str">
            <v>-</v>
          </cell>
        </row>
        <row r="568">
          <cell r="A568">
            <v>92413</v>
          </cell>
          <cell r="B568" t="str">
            <v>SINAPI</v>
          </cell>
          <cell r="C568"/>
          <cell r="D568" t="str">
            <v>Montagem e desmontagem de fôrma de pilares retangulares e estruturas similares, pé-direito simples, em madeira serrada, 4 utilizações. AF_09/2020</v>
          </cell>
          <cell r="E568"/>
          <cell r="F568" t="str">
            <v>M2</v>
          </cell>
          <cell r="G568">
            <v>92.38</v>
          </cell>
          <cell r="H568" t="str">
            <v>-</v>
          </cell>
        </row>
        <row r="569">
          <cell r="A569">
            <v>96534</v>
          </cell>
          <cell r="B569" t="str">
            <v>SINAPI</v>
          </cell>
          <cell r="C569"/>
          <cell r="D569" t="str">
            <v>Fabricação, montagem e desmontagem de fôrma para bloco de coroamento, em madeira serrada, e = 25 mm, 4 utilizações. AF_06/2017</v>
          </cell>
          <cell r="E569"/>
          <cell r="F569" t="str">
            <v>M2</v>
          </cell>
          <cell r="G569">
            <v>89.31</v>
          </cell>
          <cell r="H569" t="str">
            <v>-</v>
          </cell>
        </row>
        <row r="570">
          <cell r="A570">
            <v>96543</v>
          </cell>
          <cell r="B570" t="str">
            <v>SINAPI</v>
          </cell>
          <cell r="C570"/>
          <cell r="D570" t="str">
            <v>Armação de bloco, viga baldrame e sapata utilizando aço CA-60 de 5 mm - montagem. AF_06/2017</v>
          </cell>
          <cell r="E570"/>
          <cell r="F570" t="str">
            <v>KG</v>
          </cell>
          <cell r="G570">
            <v>17.2</v>
          </cell>
          <cell r="H570" t="str">
            <v>-</v>
          </cell>
        </row>
        <row r="571">
          <cell r="A571">
            <v>100342</v>
          </cell>
          <cell r="B571" t="str">
            <v>SINAPI</v>
          </cell>
          <cell r="C571"/>
          <cell r="D571" t="str">
            <v>Armação de cortina de contenção em concreto armado, com aço CA-50 de 6,3 mm - montagem. AF_07/2019</v>
          </cell>
          <cell r="E571"/>
          <cell r="F571" t="str">
            <v>KG</v>
          </cell>
          <cell r="G571">
            <v>14.19</v>
          </cell>
          <cell r="H571" t="str">
            <v>-</v>
          </cell>
        </row>
        <row r="572">
          <cell r="A572">
            <v>100343</v>
          </cell>
          <cell r="B572" t="str">
            <v>SINAPI</v>
          </cell>
          <cell r="C572"/>
          <cell r="D572" t="str">
            <v>Armação de cortina de contenção em concreto armado, com aço CA-50 de 8 mm - montagem. AF_07/2019</v>
          </cell>
          <cell r="E572"/>
          <cell r="F572" t="str">
            <v>KG</v>
          </cell>
          <cell r="G572">
            <v>13.38</v>
          </cell>
          <cell r="H572" t="str">
            <v>-</v>
          </cell>
        </row>
        <row r="573">
          <cell r="A573">
            <v>100344</v>
          </cell>
          <cell r="B573" t="str">
            <v>SINAPI</v>
          </cell>
          <cell r="C573"/>
          <cell r="D573" t="str">
            <v>Armação de cortina de contenção em concreto armado, com aço CA-50 de 10 mm - montagem. AF_07/2019</v>
          </cell>
          <cell r="E573"/>
          <cell r="F573" t="str">
            <v>KG</v>
          </cell>
          <cell r="G573">
            <v>11.98</v>
          </cell>
          <cell r="H573" t="str">
            <v>-</v>
          </cell>
        </row>
        <row r="574">
          <cell r="A574">
            <v>100345</v>
          </cell>
          <cell r="B574" t="str">
            <v>SINAPI</v>
          </cell>
          <cell r="C574"/>
          <cell r="D574" t="str">
            <v>Armação de cortina de contenção em concreto armado, com aço CA-50 de 12,5 mm - montagem. AF_07/2019</v>
          </cell>
          <cell r="E574"/>
          <cell r="F574" t="str">
            <v>KG</v>
          </cell>
          <cell r="G574">
            <v>10.130000000000001</v>
          </cell>
          <cell r="H574" t="str">
            <v>-</v>
          </cell>
        </row>
        <row r="575">
          <cell r="A575">
            <v>100346</v>
          </cell>
          <cell r="B575" t="str">
            <v>SINAPI</v>
          </cell>
          <cell r="C575"/>
          <cell r="D575" t="str">
            <v>Armação de cortina de contenção em concreto armado, com aço CA-50 de 16 mm - montagem. AF_07/2019</v>
          </cell>
          <cell r="E575"/>
          <cell r="F575" t="str">
            <v>KG</v>
          </cell>
          <cell r="G575">
            <v>9.6300000000000008</v>
          </cell>
          <cell r="H575" t="str">
            <v>-</v>
          </cell>
        </row>
        <row r="576">
          <cell r="A576">
            <v>100347</v>
          </cell>
          <cell r="B576" t="str">
            <v>SINAPI</v>
          </cell>
          <cell r="C576"/>
          <cell r="D576" t="str">
            <v>Armação de cortina de contenção em concreto armado, com aço CA-50 de 20 mm - montagem. AF_07/2019</v>
          </cell>
          <cell r="E576"/>
          <cell r="F576" t="str">
            <v>KG</v>
          </cell>
          <cell r="G576">
            <v>10.81</v>
          </cell>
          <cell r="H576" t="str">
            <v>-</v>
          </cell>
        </row>
        <row r="577">
          <cell r="A577">
            <v>100348</v>
          </cell>
          <cell r="B577" t="str">
            <v>SINAPI</v>
          </cell>
          <cell r="C577"/>
          <cell r="D577" t="str">
            <v>Armação de cortina de contenção em concreto armado, com aço CA-50 de 25 mm - montagem. AF_07/2019</v>
          </cell>
          <cell r="E577"/>
          <cell r="F577" t="str">
            <v>KG</v>
          </cell>
          <cell r="G577">
            <v>10.56</v>
          </cell>
          <cell r="H577" t="str">
            <v>-</v>
          </cell>
        </row>
        <row r="578">
          <cell r="A578">
            <v>91593</v>
          </cell>
          <cell r="B578" t="str">
            <v>SINAPI</v>
          </cell>
          <cell r="C578"/>
          <cell r="D578" t="str">
            <v>Armação do sistema de paredes de concreto, executada em paredes de edificações de múltiplos pavimentos, tela Q-138. AF_06/2019</v>
          </cell>
          <cell r="E578"/>
          <cell r="F578" t="str">
            <v>KG</v>
          </cell>
          <cell r="G578">
            <v>9.74</v>
          </cell>
          <cell r="H578" t="str">
            <v>-</v>
          </cell>
        </row>
        <row r="579">
          <cell r="A579">
            <v>91594</v>
          </cell>
          <cell r="B579" t="str">
            <v>SINAPI</v>
          </cell>
          <cell r="C579">
            <v>85662</v>
          </cell>
          <cell r="D579" t="str">
            <v>Armação em tela soldada nervurada Q-92 (15x15cm) #4,2x4,2mm (1,48kg/m²), aço CA-60, para estrutura, fornecimento e aplicação</v>
          </cell>
          <cell r="E579"/>
          <cell r="F579" t="str">
            <v>KG</v>
          </cell>
          <cell r="G579">
            <v>10.14</v>
          </cell>
          <cell r="H579" t="str">
            <v>-</v>
          </cell>
        </row>
        <row r="580">
          <cell r="A580" t="str">
            <v>EC/0015</v>
          </cell>
          <cell r="B580" t="str">
            <v>COMPOSIÇÃO</v>
          </cell>
          <cell r="C580"/>
          <cell r="D580" t="str">
            <v>Montagem/Desmontagem de estrutura em peças pré-moldadas de concreto na obra, inclusive guincho 500 T. REF SICRO 3806423</v>
          </cell>
          <cell r="E580"/>
          <cell r="F580" t="str">
            <v>T</v>
          </cell>
          <cell r="G580">
            <v>102.78</v>
          </cell>
          <cell r="H580" t="str">
            <v>-</v>
          </cell>
        </row>
        <row r="581">
          <cell r="A581">
            <v>101792</v>
          </cell>
          <cell r="B581" t="str">
            <v>SINAPI</v>
          </cell>
          <cell r="C581"/>
          <cell r="D581" t="str">
            <v>Escoramento de fôrmas de laje em madeira não aparelhada, pé-direito simples, incluso travamento, 4 utilizações. AF_09/2020</v>
          </cell>
          <cell r="E581"/>
          <cell r="F581" t="str">
            <v>M3</v>
          </cell>
          <cell r="G581">
            <v>16.079999999999998</v>
          </cell>
          <cell r="H581" t="str">
            <v>-</v>
          </cell>
        </row>
        <row r="582">
          <cell r="A582">
            <v>101793</v>
          </cell>
          <cell r="B582" t="str">
            <v>SINAPI</v>
          </cell>
          <cell r="C582"/>
          <cell r="D582" t="str">
            <v>Escoramento de fôrmas de laje em madeira não aparelhada, pé-direito duplo, incluso travamento, 4 utilizações. AF_09/2020</v>
          </cell>
          <cell r="E582"/>
          <cell r="F582" t="str">
            <v>M3</v>
          </cell>
          <cell r="G582">
            <v>24.13</v>
          </cell>
          <cell r="H582" t="str">
            <v>-</v>
          </cell>
        </row>
        <row r="583">
          <cell r="A583">
            <v>92743</v>
          </cell>
          <cell r="B583" t="str">
            <v>SINAPI</v>
          </cell>
          <cell r="C583"/>
          <cell r="D583" t="str">
            <v>Muro de gabião, enchimento com pedra de mão tipo rachão, de gravidade, com gaiolas de comprimento igual a 2 m, para muros com altura menor ou igual a 4 m  fornecimento e execução. AF_12/2015</v>
          </cell>
          <cell r="E583" t="str">
            <v>SEM PVC</v>
          </cell>
          <cell r="F583" t="str">
            <v>M3</v>
          </cell>
          <cell r="G583">
            <v>592.91999999999996</v>
          </cell>
          <cell r="H583" t="str">
            <v>-</v>
          </cell>
        </row>
        <row r="584">
          <cell r="A584">
            <v>92745</v>
          </cell>
          <cell r="B584" t="str">
            <v>SINAPI</v>
          </cell>
          <cell r="C584"/>
          <cell r="D584" t="str">
            <v>Muro de gabião, enchimento com pedra de mão tipo rachão, de gravidade, com gaiolas de comprimento igual a 2 m, para muros com altura maior que 4 m e menor ou igual a 6 m  fornecimento e execução. AF_12/2015</v>
          </cell>
          <cell r="E584"/>
          <cell r="F584" t="str">
            <v>M3</v>
          </cell>
          <cell r="G584">
            <v>720.59</v>
          </cell>
          <cell r="H584" t="str">
            <v>-</v>
          </cell>
        </row>
        <row r="585">
          <cell r="A585">
            <v>92747</v>
          </cell>
          <cell r="B585" t="str">
            <v>SINAPI</v>
          </cell>
          <cell r="C585"/>
          <cell r="D585" t="str">
            <v>Muro de gabião, enchimento com pedra de mão tipo rachão, de gravidade, com gaiolas de comprimento igual a 2 m, para muros com altura maior que 6 m e menor ou igual a 10 m fornecimento e execução. AF_12/2015</v>
          </cell>
          <cell r="E585"/>
          <cell r="F585" t="str">
            <v>M3</v>
          </cell>
          <cell r="G585">
            <v>792.4</v>
          </cell>
          <cell r="H585" t="str">
            <v>-</v>
          </cell>
        </row>
        <row r="586">
          <cell r="A586" t="str">
            <v>EC/0020</v>
          </cell>
          <cell r="B586" t="str">
            <v>COMPOSIÇÃO</v>
          </cell>
          <cell r="C586"/>
          <cell r="D586" t="str">
            <v>Muro de gabião, enchimento com pedra de mão tipo rachão, de gravidade, com gaiolas (ZN/AL+PVC # 8x10cm Ø2.4mm) de comprimento igual a 2 metros, altura do muro de até 4 metros, geotêxtil RT10 - fornecimento e execução. Exclusive transporte  (REF. SINAPI COD. 92743)</v>
          </cell>
          <cell r="E586"/>
          <cell r="F586" t="str">
            <v>M3</v>
          </cell>
          <cell r="G586">
            <v>713.73</v>
          </cell>
          <cell r="H586" t="str">
            <v>-</v>
          </cell>
        </row>
        <row r="587">
          <cell r="A587" t="str">
            <v>EC/0025</v>
          </cell>
          <cell r="B587" t="str">
            <v>COMPOSIÇÃO</v>
          </cell>
          <cell r="C587"/>
          <cell r="D587" t="str">
            <v>Muro de gabião, enchimento com pedra de mão tipo rachão, de gravidade, com gaiolas (ZN/AL+PVC # 8x10cm Ø2.4mm) de comprimento igual a 2 metros, altura do muro acima de 4 metros e até 6 metros, geotêxtil RT10 - fornecimento e execução. Exclusive transporte  (REF. SINAPI COD. 92745)</v>
          </cell>
          <cell r="E587"/>
          <cell r="F587" t="str">
            <v>M3</v>
          </cell>
          <cell r="G587">
            <v>833.82</v>
          </cell>
          <cell r="H587" t="str">
            <v>-</v>
          </cell>
        </row>
        <row r="588">
          <cell r="A588" t="str">
            <v>EC/0030</v>
          </cell>
          <cell r="B588" t="str">
            <v>COMPOSIÇÃO</v>
          </cell>
          <cell r="C588"/>
          <cell r="D588" t="str">
            <v>Muro de gabião, enchimento com pedra de mão tipo rachão, de gravidade, com gaiolas (ZN/AL+PVC # 8x10cm Ø2.4mm) de comprimento igual a 2 metros, altura do muro acima de 6 metros e até 10 metros, geotêxtil RT10 - fornecimento e execução. Exclusive transporte  (REF. SINAPI COD. 92747)</v>
          </cell>
          <cell r="E588"/>
          <cell r="F588" t="str">
            <v>M3</v>
          </cell>
          <cell r="G588">
            <v>901.34</v>
          </cell>
          <cell r="H588" t="str">
            <v>-</v>
          </cell>
        </row>
        <row r="589">
          <cell r="A589" t="str">
            <v>EC/0031</v>
          </cell>
          <cell r="B589" t="str">
            <v>COMPOSIÇÃO</v>
          </cell>
          <cell r="C589"/>
          <cell r="D589" t="str">
            <v>Muro de gabião tipo caixa, enchimento com pedra de mão tipo rachão, para solo reforçado com gaiolas com painel de ancoragem de 4 m (ZN/AL+PVC # 8x10cm Ø2.7mm), dimensões 2,0x1,0x0,5m, geotêxtil RT10 - fornecimento e execução. Exclusive transporte. REF SINAPI 92745, DB 04-2023</v>
          </cell>
          <cell r="E589"/>
          <cell r="F589" t="str">
            <v>M3</v>
          </cell>
          <cell r="G589">
            <v>928.08</v>
          </cell>
          <cell r="H589" t="str">
            <v>-</v>
          </cell>
        </row>
        <row r="590">
          <cell r="A590" t="str">
            <v>EC/0032</v>
          </cell>
          <cell r="B590" t="str">
            <v>COMPOSIÇÃO</v>
          </cell>
          <cell r="C590"/>
          <cell r="D590" t="str">
            <v>Muro de gabião tipo caixa, enchimento com pedra de mão tipo rachão, para solo reforçado com gaiolas com painel de ancoragem de 4 m (ZN/AL+PVC # 8x10cm Ø2.7mm), dimensões 2,0x1,0x1,0m, geotêxtil RT10 - fornecimento e execução. Exclusive transporte. REF SINAPI 92745, DB 04-2023</v>
          </cell>
          <cell r="E590"/>
          <cell r="F590" t="str">
            <v>M3</v>
          </cell>
          <cell r="G590">
            <v>733.17</v>
          </cell>
          <cell r="H590" t="str">
            <v>-</v>
          </cell>
        </row>
        <row r="591">
          <cell r="A591">
            <v>92749</v>
          </cell>
          <cell r="B591" t="str">
            <v>SINAPI</v>
          </cell>
          <cell r="C591"/>
          <cell r="D591" t="str">
            <v>Muro de gabião, enchimento com pedra de mão tipo rachão, com solo reforçado, para muros com altura menor ou igual a 4 m fornecimento e execução. AF_12/2015</v>
          </cell>
          <cell r="E591" t="str">
            <v>TERRAMESH
14,85 kg/m³</v>
          </cell>
          <cell r="F591" t="str">
            <v>M3</v>
          </cell>
          <cell r="G591">
            <v>814.38</v>
          </cell>
          <cell r="H591" t="str">
            <v>-</v>
          </cell>
        </row>
        <row r="592">
          <cell r="A592">
            <v>92750</v>
          </cell>
          <cell r="B592" t="str">
            <v>SINAPI</v>
          </cell>
          <cell r="C592"/>
          <cell r="D592" t="str">
            <v>Muro de gabião, enchimento com pedra de mão tipo rachão, com solo reforçado, para muros com altura maior que 4 m e menor ou igual a 12 m fornecimento e execução. AF_12/2015</v>
          </cell>
          <cell r="E592"/>
          <cell r="F592" t="str">
            <v>M3</v>
          </cell>
          <cell r="G592">
            <v>1345.36</v>
          </cell>
          <cell r="H592" t="str">
            <v>-</v>
          </cell>
        </row>
        <row r="593">
          <cell r="A593" t="str">
            <v>EC-0033</v>
          </cell>
          <cell r="B593" t="str">
            <v>COMPOSIÇÃO</v>
          </cell>
          <cell r="C593"/>
          <cell r="D593" t="str">
            <v>Muro de gabião, enchimento com pedra de mão tipo rachão, para solo reforçado com gaiolas com painel de ancoragem de 4 m (ZN/AL+PVC # 8x10cm Ø2.7mm) e geotêxtil RT10, altura do muro acima de 4 e até 12 metros - fornecimento e execução. Exclusive transporte. REF SINAPI CÓD 92750, DATA 05/2020</v>
          </cell>
          <cell r="E593"/>
          <cell r="F593" t="str">
            <v>M3</v>
          </cell>
          <cell r="G593">
            <v>869.18</v>
          </cell>
          <cell r="H593" t="str">
            <v>-</v>
          </cell>
        </row>
        <row r="594">
          <cell r="A594" t="str">
            <v>EC/0035</v>
          </cell>
          <cell r="B594" t="str">
            <v>COMPOSIÇÃO</v>
          </cell>
          <cell r="C594"/>
          <cell r="D594" t="str">
            <v>Muro de gabião, enchimento com pedra de mão tipo rachão, para solo reforçado com gaiolas com painel de ancoragem de 5 m (ZN/AL+PVC # 8x10cm Ø2.7mm), altura do muro acima de 4 e até 12 metros, geotêxtil RT10 - fornecimento e execução. Exclusive transporte.REF SINAPI CÓD 92750</v>
          </cell>
          <cell r="E594"/>
          <cell r="F594" t="str">
            <v>M3</v>
          </cell>
          <cell r="G594">
            <v>1108.97</v>
          </cell>
          <cell r="H594" t="str">
            <v>-</v>
          </cell>
        </row>
        <row r="595">
          <cell r="A595" t="str">
            <v>EC/0036</v>
          </cell>
          <cell r="B595" t="str">
            <v>COMPOSIÇÃO</v>
          </cell>
          <cell r="C595"/>
          <cell r="D595" t="str">
            <v>Muro de gabião tipo caixa, enchimento com pedra de mão tipo rachão, de gravidade, com gaiolas  (ZN/AL # 8x10cm Ø2.7mm), H=0,5 M, geotêxtil RT10 - fornecimento e execução. Exclusive transporte. REF SINAPI 92745, DB 04-2023</v>
          </cell>
          <cell r="E595"/>
          <cell r="F595" t="str">
            <v>M3</v>
          </cell>
          <cell r="G595">
            <v>800.01</v>
          </cell>
          <cell r="H595" t="str">
            <v>-</v>
          </cell>
        </row>
        <row r="596">
          <cell r="A596" t="str">
            <v>EC/0037</v>
          </cell>
          <cell r="B596" t="str">
            <v>COMPOSIÇÃO</v>
          </cell>
          <cell r="C596"/>
          <cell r="D596" t="str">
            <v>Muro de gabião tipo caixa, enchimento com pedra de mão tipo rachão, para solo reforçado com gaiolas com painel de ancoragem de 5 m (ZN/AL+PVC # 8x10cm Ø2.7mm), dimensões 2,0x1,0x0,5m, geotêxtil RT10 - fornecimento e execução. Exclusive transporte. REF SINAPI 92745, DB 04-2023</v>
          </cell>
          <cell r="E596"/>
          <cell r="F596" t="str">
            <v>M3</v>
          </cell>
          <cell r="G596">
            <v>1268.69</v>
          </cell>
          <cell r="H596" t="str">
            <v>-</v>
          </cell>
        </row>
        <row r="597">
          <cell r="A597" t="str">
            <v>EC/0038</v>
          </cell>
          <cell r="B597" t="str">
            <v>COMPOSIÇÃO</v>
          </cell>
          <cell r="C597"/>
          <cell r="D597" t="str">
            <v>Muro de gabião tipo caixa, enchimento com pedra de mão tipo rachão, para solo reforçado com gaiolas com painel de ancoragem de 6 m (ZN/AL+PVC # 8x10cm Ø2.7mm), dimensões 2,0x1,0x0,5m, geotêxtil RT10 - fornecimento e execução. Exclusive transporte. REF SINAPI 92745, DB 04-2023</v>
          </cell>
          <cell r="E597"/>
          <cell r="F597" t="str">
            <v>M3</v>
          </cell>
          <cell r="G597">
            <v>1366.78</v>
          </cell>
          <cell r="H597" t="str">
            <v>-</v>
          </cell>
        </row>
        <row r="598">
          <cell r="A598" t="str">
            <v>EC/0039</v>
          </cell>
          <cell r="B598" t="str">
            <v>COMPOSIÇÃO</v>
          </cell>
          <cell r="C598"/>
          <cell r="D598" t="str">
            <v>Muro de gabião tipo caixa, enchimento com pedra de mão tipo rachão, para solo reforçado com gaiolas com painel de ancoragem de 5 m (ZN/AL+PVC # 8x10cm Ø2.7mm), dimensões 2,0x1,0x1,0m, geotêxtil RT10 - fornecimento e execução. Exclusive transporte. REF SINAPI 92745, DB 04-2023</v>
          </cell>
          <cell r="E598"/>
          <cell r="F598" t="str">
            <v>M3</v>
          </cell>
          <cell r="G598">
            <v>918.67</v>
          </cell>
          <cell r="H598" t="str">
            <v>-</v>
          </cell>
        </row>
        <row r="599">
          <cell r="A599" t="str">
            <v>EC/0040</v>
          </cell>
          <cell r="B599" t="str">
            <v>COMPOSIÇÃO</v>
          </cell>
          <cell r="C599"/>
          <cell r="D599" t="str">
            <v>Muro de gabião, enchimento com pedra de mão tipo rachão, para solo reforçado com gaiolas com painel de ancoragem de 6 m (ZN/AL+PVC # 8x10cm Ø2.7mm), altura do muro acima de 4 e até 12 metros, geotêxtil RT10 - fornecimento e execução. Exclusive transporte. REF SINAPI 92750</v>
          </cell>
          <cell r="E599"/>
          <cell r="F599" t="str">
            <v>M3</v>
          </cell>
          <cell r="G599">
            <v>1174.31</v>
          </cell>
          <cell r="H599" t="str">
            <v>-</v>
          </cell>
        </row>
        <row r="600">
          <cell r="A600" t="str">
            <v>EC/0041</v>
          </cell>
          <cell r="B600" t="str">
            <v>COMPOSIÇÃO</v>
          </cell>
          <cell r="C600"/>
          <cell r="D600" t="str">
            <v>Muro de gabião tipo caixa, enchimento com pedra de mão tipo rachão, para solo reforçado com gaiolas com painel de ancoragem de 6 m (ZN/AL+PVC # 8x10cm Ø2.7mm), dimensões 2,0x1,0x1,0m, geotêxtil RT10 - fornecimento e execução. Exclusive transporte. REF SINAPI 92745, DB 04-2023</v>
          </cell>
          <cell r="E600"/>
          <cell r="F600" t="str">
            <v>M3</v>
          </cell>
          <cell r="G600">
            <v>966.37</v>
          </cell>
          <cell r="H600" t="str">
            <v>-</v>
          </cell>
        </row>
        <row r="601">
          <cell r="A601">
            <v>92755</v>
          </cell>
          <cell r="B601" t="str">
            <v>SINAPI</v>
          </cell>
          <cell r="C601"/>
          <cell r="D601" t="str">
            <v>Proteção superficial de canal em gabião tipo colchão, altura de 17 centímetros, enchimento com pedra de mão tipo rachão - fornecimento e execução. AF_12/2015</v>
          </cell>
          <cell r="E601"/>
          <cell r="F601" t="str">
            <v>M2</v>
          </cell>
          <cell r="G601">
            <v>212.35</v>
          </cell>
          <cell r="H601" t="str">
            <v>-</v>
          </cell>
        </row>
        <row r="602">
          <cell r="A602">
            <v>92756</v>
          </cell>
          <cell r="B602" t="str">
            <v>SINAPI</v>
          </cell>
          <cell r="C602"/>
          <cell r="D602" t="str">
            <v>Proteção superficial de canal em gabião tipo colchão, altura de 23 centímetros, enchimento com pedra de mão tipo rachão - fornecimento e execução. AF_12/2015</v>
          </cell>
          <cell r="E602"/>
          <cell r="F602" t="str">
            <v>M2</v>
          </cell>
          <cell r="G602">
            <v>242.55</v>
          </cell>
          <cell r="H602" t="str">
            <v>-</v>
          </cell>
        </row>
        <row r="603">
          <cell r="A603">
            <v>92757</v>
          </cell>
          <cell r="B603" t="str">
            <v>SINAPI</v>
          </cell>
          <cell r="C603"/>
          <cell r="D603" t="str">
            <v>Proteção superficial de canal em gabião tipo colchão, altura de 30 centímetros, enchimento com pedra de mão tipo rachão - fornecimento e execução. AF_12/2015</v>
          </cell>
          <cell r="E603"/>
          <cell r="F603" t="str">
            <v>M2</v>
          </cell>
          <cell r="G603">
            <v>279.02999999999997</v>
          </cell>
          <cell r="H603" t="str">
            <v>-</v>
          </cell>
        </row>
        <row r="604">
          <cell r="A604">
            <v>92758</v>
          </cell>
          <cell r="B604" t="str">
            <v>SINAPI</v>
          </cell>
          <cell r="C604"/>
          <cell r="D604" t="str">
            <v>Proteção superficial de canal em gabião tipo saco (ZN/AL+PVC # 8x10cm Ø2,4mm), diâmetro de 65 centímetros, enchimento manual com pedra de mão tipo rachão - fornecimento e execução. Exclusive transporte AF_12/2015</v>
          </cell>
          <cell r="E604"/>
          <cell r="F604" t="str">
            <v>M3</v>
          </cell>
          <cell r="G604">
            <v>616.38</v>
          </cell>
          <cell r="H604" t="str">
            <v>-</v>
          </cell>
        </row>
        <row r="605">
          <cell r="A605" t="str">
            <v>73881/1</v>
          </cell>
          <cell r="B605" t="str">
            <v>SINAPI</v>
          </cell>
          <cell r="C605"/>
          <cell r="D605" t="str">
            <v>VERIFICAR CÓDIGOS: 102712, 10713, 102715. Execução de dreno com manta geotêxtil 200 g/m2</v>
          </cell>
          <cell r="E605"/>
          <cell r="F605" t="e">
            <v>#N/A</v>
          </cell>
          <cell r="G605" t="e">
            <v>#N/A</v>
          </cell>
          <cell r="H605" t="str">
            <v>VER COMP</v>
          </cell>
        </row>
        <row r="606">
          <cell r="A606">
            <v>102712</v>
          </cell>
          <cell r="B606" t="str">
            <v>SINAPI</v>
          </cell>
          <cell r="C606"/>
          <cell r="D606" t="str">
            <v>Geotêxtil não tecido 100% poliéster, resistência a tração de 9 kn/m (RT - 9), instalado em dreno - fornecimento e instalação. AF_07/2021</v>
          </cell>
          <cell r="E606"/>
          <cell r="F606" t="str">
            <v>M2</v>
          </cell>
          <cell r="G606">
            <v>13.77</v>
          </cell>
          <cell r="H606" t="str">
            <v>-</v>
          </cell>
        </row>
        <row r="607">
          <cell r="A607">
            <v>102713</v>
          </cell>
          <cell r="B607" t="str">
            <v>SINAPI</v>
          </cell>
          <cell r="C607"/>
          <cell r="D607" t="str">
            <v>Geotêxtil não tecido 100% poliéster, resistência a tração de 14 kn/m (RT - 14), instalado em dreno - fornecimento e instalação. AF_07/2021</v>
          </cell>
          <cell r="E607"/>
          <cell r="F607" t="str">
            <v>M2</v>
          </cell>
          <cell r="G607">
            <v>19.02</v>
          </cell>
          <cell r="H607" t="str">
            <v>-</v>
          </cell>
        </row>
        <row r="608">
          <cell r="A608">
            <v>102715</v>
          </cell>
          <cell r="B608" t="str">
            <v>SINAPI</v>
          </cell>
          <cell r="C608"/>
          <cell r="D608" t="str">
            <v>Geotêxtil não tecido 100% poliéster, resistência a tração de 26 kn/m (RT - 26), instalado em dreno - fornecimento e instalação. AF_07/2021</v>
          </cell>
          <cell r="E608"/>
          <cell r="F608" t="str">
            <v>M2</v>
          </cell>
          <cell r="G608">
            <v>37.909999999999997</v>
          </cell>
          <cell r="H608" t="str">
            <v>-</v>
          </cell>
        </row>
        <row r="609">
          <cell r="A609">
            <v>102670</v>
          </cell>
          <cell r="B609" t="str">
            <v>SINAPI</v>
          </cell>
          <cell r="C609"/>
          <cell r="D609" t="str">
            <v>Dreno profundo (seção 0,50 x 1,50 m), com tubo de PEAD corrugado perfurado, DN 100 mm, enchimento com areia, com selo de argila. AF_07/2021</v>
          </cell>
          <cell r="E609"/>
          <cell r="F609" t="str">
            <v>M</v>
          </cell>
          <cell r="G609">
            <v>97.47</v>
          </cell>
          <cell r="H609" t="str">
            <v>-</v>
          </cell>
        </row>
        <row r="610">
          <cell r="A610">
            <v>102673</v>
          </cell>
          <cell r="B610" t="str">
            <v>SINAPI</v>
          </cell>
          <cell r="C610"/>
          <cell r="D610" t="str">
            <v>Dreno profundo (seção 0,50 x 1,50 m), com tubo de concreto simples poroso, DN 200 mm, enchimento com areia, com selo de argila. AF_07/2021</v>
          </cell>
          <cell r="E610"/>
          <cell r="F610" t="str">
            <v>M</v>
          </cell>
          <cell r="G610">
            <v>151.29</v>
          </cell>
          <cell r="H610" t="str">
            <v>-</v>
          </cell>
        </row>
        <row r="611">
          <cell r="A611">
            <v>102674</v>
          </cell>
          <cell r="B611" t="str">
            <v>SINAPI</v>
          </cell>
          <cell r="C611"/>
          <cell r="D611" t="str">
            <v>Dreno profundo (seção 0,50 x 1,50 m), com tubo de PEAD corrugado perfurado, DN 100 mm, enchimento com areia. AF_07/2021</v>
          </cell>
          <cell r="E611"/>
          <cell r="F611" t="str">
            <v>M</v>
          </cell>
          <cell r="G611">
            <v>106.9</v>
          </cell>
          <cell r="H611" t="str">
            <v>-</v>
          </cell>
        </row>
        <row r="612">
          <cell r="A612">
            <v>102677</v>
          </cell>
          <cell r="B612" t="str">
            <v>SINAPI</v>
          </cell>
          <cell r="C612"/>
          <cell r="D612" t="str">
            <v>Dreno profundo (seção 0,50 x 1,50 m), com tubo de concreto simples poroso, DN 200 mm, enchimento com areia. AF_07/2021</v>
          </cell>
          <cell r="E612"/>
          <cell r="F612" t="str">
            <v>M</v>
          </cell>
          <cell r="G612">
            <v>140.69999999999999</v>
          </cell>
          <cell r="H612" t="str">
            <v>-</v>
          </cell>
        </row>
        <row r="613">
          <cell r="A613">
            <v>102678</v>
          </cell>
          <cell r="B613" t="str">
            <v>SINAPI</v>
          </cell>
          <cell r="C613"/>
          <cell r="D613" t="str">
            <v>Dreno profundo (seção 0,50 x 1,50 m), cego, enchimento de brita, envolvido com manta geotêxtil, com selo de argila. AF_07/2021</v>
          </cell>
          <cell r="E613"/>
          <cell r="F613" t="str">
            <v>M</v>
          </cell>
          <cell r="G613">
            <v>163.58000000000001</v>
          </cell>
          <cell r="H613" t="str">
            <v>-</v>
          </cell>
        </row>
        <row r="614">
          <cell r="A614">
            <v>102679</v>
          </cell>
          <cell r="B614" t="str">
            <v>SINAPI</v>
          </cell>
          <cell r="C614"/>
          <cell r="D614" t="str">
            <v>Dreno profundo (seção 0,50 x 1,50 m), cego, enchimento de brita, envolvido com manta geotêxtil. AF_07/2021</v>
          </cell>
          <cell r="E614"/>
          <cell r="F614" t="str">
            <v>M</v>
          </cell>
          <cell r="G614">
            <v>177.28</v>
          </cell>
          <cell r="H614" t="str">
            <v>-</v>
          </cell>
        </row>
        <row r="615">
          <cell r="A615">
            <v>102680</v>
          </cell>
          <cell r="B615" t="str">
            <v>SINAPI</v>
          </cell>
          <cell r="C615"/>
          <cell r="D615" t="str">
            <v>Dreno profundo (seção 0,50 x 1,50 m), com tubo de PEAD corrugado perfurado, DN 100 mm, enchimento com brita, envolvido com manta geotêxtil, com selo de argila. AF_07/2021</v>
          </cell>
          <cell r="E615"/>
          <cell r="F615" t="str">
            <v>M</v>
          </cell>
          <cell r="G615">
            <v>176.28</v>
          </cell>
          <cell r="H615" t="str">
            <v>-</v>
          </cell>
        </row>
        <row r="616">
          <cell r="A616">
            <v>102683</v>
          </cell>
          <cell r="B616" t="str">
            <v>SINAPI</v>
          </cell>
          <cell r="C616"/>
          <cell r="D616" t="str">
            <v>Dreno profundo (seção 0,50 x 1,50 m), com tubo de concreto simples poroso, DN 200 mm, enchimento com brita, envolvido com manta geotêxtil, com selo de argila. AF_07/2021</v>
          </cell>
          <cell r="E616"/>
          <cell r="F616" t="str">
            <v>M</v>
          </cell>
          <cell r="G616">
            <v>214.41</v>
          </cell>
          <cell r="H616" t="str">
            <v>-</v>
          </cell>
        </row>
        <row r="617">
          <cell r="A617">
            <v>102684</v>
          </cell>
          <cell r="B617" t="str">
            <v>SINAPI</v>
          </cell>
          <cell r="C617"/>
          <cell r="D617" t="str">
            <v>Dreno profundo (seção 0,50 x 1,50 m), com tubo de PEAD corrugado perfurado, DN 100 mm, enchimento com brita, envolvido com manta geotêxtil. AF_07/2021</v>
          </cell>
          <cell r="E617"/>
          <cell r="F617" t="str">
            <v>M</v>
          </cell>
          <cell r="G617">
            <v>189.97</v>
          </cell>
          <cell r="H617" t="str">
            <v>-</v>
          </cell>
        </row>
        <row r="618">
          <cell r="A618">
            <v>102687</v>
          </cell>
          <cell r="B618" t="str">
            <v>SINAPI</v>
          </cell>
          <cell r="C618"/>
          <cell r="D618" t="str">
            <v>Dreno profundo (seção 0,50 x 1,50 m), com tubo de concreto simples poroso, DN 200 mm, enchimento com brita, envolvido com manta geotêxtil. AF_07/2021</v>
          </cell>
          <cell r="E618"/>
          <cell r="F618" t="str">
            <v>M</v>
          </cell>
          <cell r="G618">
            <v>223.4</v>
          </cell>
          <cell r="H618" t="str">
            <v>-</v>
          </cell>
        </row>
        <row r="619">
          <cell r="A619">
            <v>102688</v>
          </cell>
          <cell r="B619" t="str">
            <v>SINAPI</v>
          </cell>
          <cell r="C619"/>
          <cell r="D619" t="str">
            <v>Dreno espinha de peixe (seção (0,40 x 0,40 m), com tubo de PEAD corrugado perfurado, DN 100 mm, enchimento com areia, inclusive conexões. AF_07/2021</v>
          </cell>
          <cell r="E619"/>
          <cell r="F619" t="str">
            <v>M</v>
          </cell>
          <cell r="G619">
            <v>39.81</v>
          </cell>
          <cell r="H619" t="str">
            <v>-</v>
          </cell>
        </row>
        <row r="620">
          <cell r="A620">
            <v>102690</v>
          </cell>
          <cell r="B620" t="str">
            <v>SINAPI</v>
          </cell>
          <cell r="C620"/>
          <cell r="D620" t="str">
            <v>Dreno espinha de peixe (seção (0,40 x 0,40 m), com tubo de PEAD corrugado perfurado, DN 100 mm, enchimento com brita, envolvido com manta geotêxtil, inclusive conexões. AF_07/2021</v>
          </cell>
          <cell r="E620"/>
          <cell r="F620" t="str">
            <v>M</v>
          </cell>
          <cell r="G620">
            <v>77.900000000000006</v>
          </cell>
          <cell r="H620" t="str">
            <v>-</v>
          </cell>
        </row>
        <row r="621">
          <cell r="A621">
            <v>102694</v>
          </cell>
          <cell r="B621" t="str">
            <v>SINAPI</v>
          </cell>
          <cell r="C621"/>
          <cell r="D621" t="str">
            <v>Dreno espinha de peixe seção (0,50 x 0,80 m), com tubo de PEAD corrugado perfurado, DN 100 mm, enchimento com areia, inclusive conexões. AF_07/2021</v>
          </cell>
          <cell r="E621"/>
          <cell r="F621" t="str">
            <v>M</v>
          </cell>
          <cell r="G621">
            <v>73.72</v>
          </cell>
          <cell r="H621" t="str">
            <v>-</v>
          </cell>
        </row>
        <row r="622">
          <cell r="A622">
            <v>102697</v>
          </cell>
          <cell r="B622" t="str">
            <v>SINAPI</v>
          </cell>
          <cell r="C622"/>
          <cell r="D622" t="str">
            <v>Dreno espinha de peixe seção (0,50 x 0,80 m), com tubo de PEAD corrugado perfurado, DN 100 mm, enchimento com brita, envolvido com manta geotêxtil, inclusive conexões. AF_07/2021</v>
          </cell>
          <cell r="E622"/>
          <cell r="F622" t="str">
            <v>M</v>
          </cell>
          <cell r="G622">
            <v>128.54</v>
          </cell>
          <cell r="H622" t="str">
            <v>-</v>
          </cell>
        </row>
        <row r="623">
          <cell r="A623" t="str">
            <v>EC/0043</v>
          </cell>
          <cell r="B623" t="str">
            <v>COMPOSIÇÃO</v>
          </cell>
          <cell r="C623">
            <v>83669</v>
          </cell>
          <cell r="D623" t="str">
            <v>Manta de geotêxtil tecida com resistência à tração longitudinal de 16 kN/m (RT-16), incluindo perda do transpasse (REF. SINAPI COD. 102713)</v>
          </cell>
          <cell r="E623"/>
          <cell r="F623" t="str">
            <v>M2</v>
          </cell>
          <cell r="G623">
            <v>22.77</v>
          </cell>
          <cell r="H623" t="str">
            <v>-</v>
          </cell>
        </row>
        <row r="624">
          <cell r="A624">
            <v>4012</v>
          </cell>
          <cell r="B624" t="str">
            <v>COTAÇÃO - SINAPI</v>
          </cell>
          <cell r="C624" t="str">
            <v>73881/3</v>
          </cell>
          <cell r="D624" t="str">
            <v>Geotêxtil não tecido agulhado de filamentos contínuos 100% poliéster, resistência a tração = 21 kn/m</v>
          </cell>
          <cell r="E624"/>
          <cell r="F624" t="str">
            <v xml:space="preserve">M2    </v>
          </cell>
          <cell r="G624">
            <v>24.74</v>
          </cell>
          <cell r="H624" t="str">
            <v>-</v>
          </cell>
        </row>
        <row r="625">
          <cell r="A625">
            <v>101173</v>
          </cell>
          <cell r="B625" t="str">
            <v>SINAPI</v>
          </cell>
          <cell r="C625">
            <v>98228</v>
          </cell>
          <cell r="D625" t="str">
            <v>Estaca broca de concreto, diâmetro nominal de 20 cm, escavação manual com trado concha, com armadura de arranque. AF_05/2020</v>
          </cell>
          <cell r="E625"/>
          <cell r="F625" t="str">
            <v>M</v>
          </cell>
          <cell r="G625">
            <v>58.32</v>
          </cell>
          <cell r="H625" t="str">
            <v>-</v>
          </cell>
        </row>
        <row r="626">
          <cell r="A626">
            <v>101174</v>
          </cell>
          <cell r="B626" t="str">
            <v>SINAPI</v>
          </cell>
          <cell r="C626">
            <v>98229</v>
          </cell>
          <cell r="D626" t="str">
            <v>Estaca broca de concreto, diâmetro nominal de 25 cm, escavação manual com trado concha, com armadura de arranque. AF_05/2020</v>
          </cell>
          <cell r="E626"/>
          <cell r="F626" t="str">
            <v>M</v>
          </cell>
          <cell r="G626">
            <v>81.37</v>
          </cell>
          <cell r="H626" t="str">
            <v>-</v>
          </cell>
        </row>
        <row r="627">
          <cell r="A627">
            <v>101175</v>
          </cell>
          <cell r="B627" t="str">
            <v>SINAPI</v>
          </cell>
          <cell r="C627">
            <v>98230</v>
          </cell>
          <cell r="D627" t="str">
            <v>Estaca broca de concreto, diâmetro nominal de 30 cm, escavação manual com trado concha, com armadura de arranque. AF_05/2020</v>
          </cell>
          <cell r="E627"/>
          <cell r="F627" t="str">
            <v>M</v>
          </cell>
          <cell r="G627">
            <v>111.16</v>
          </cell>
          <cell r="H627" t="str">
            <v>-</v>
          </cell>
        </row>
        <row r="628">
          <cell r="A628">
            <v>89480</v>
          </cell>
          <cell r="B628" t="str">
            <v>SINAPI</v>
          </cell>
          <cell r="C628"/>
          <cell r="D628" t="str">
            <v>Alvenaria de blocos de concreto estrutural 14x19x29 cm, (espessura 14 cm) FBK = 14,0 MPA, para paredes com área líquida menor que 6 m², sem vãos, utilizando colher de pedreiro. AF_12/2014</v>
          </cell>
          <cell r="E628"/>
          <cell r="F628" t="str">
            <v>M2</v>
          </cell>
          <cell r="G628">
            <v>149.15</v>
          </cell>
          <cell r="H628" t="str">
            <v>-</v>
          </cell>
        </row>
        <row r="629">
          <cell r="A629">
            <v>103320</v>
          </cell>
          <cell r="B629" t="str">
            <v>SINAPI</v>
          </cell>
          <cell r="C629">
            <v>87452</v>
          </cell>
          <cell r="D629" t="str">
            <v>Alvenaria de vedação de blocos vazados de concreto de 19x19x39 cm (espessura 19 cm) e argamassa de assentamento com preparo em betoneira. AF_12/2021</v>
          </cell>
          <cell r="E629"/>
          <cell r="F629" t="str">
            <v>M2</v>
          </cell>
          <cell r="G629">
            <v>113.67</v>
          </cell>
          <cell r="H629" t="str">
            <v>-</v>
          </cell>
        </row>
        <row r="630">
          <cell r="A630">
            <v>101159</v>
          </cell>
          <cell r="B630" t="str">
            <v>SINAPI</v>
          </cell>
          <cell r="C630">
            <v>72132</v>
          </cell>
          <cell r="D630" t="str">
            <v>Alvenaria de vedação de blocos cerâmicos maciços de 5x10x20 cm (espessura 10 cm) e argamassa de assentamento com preparo em betoneira. AF_05/2020</v>
          </cell>
          <cell r="E630"/>
          <cell r="F630" t="str">
            <v>M2</v>
          </cell>
          <cell r="G630">
            <v>139.11000000000001</v>
          </cell>
          <cell r="H630" t="str">
            <v>-</v>
          </cell>
        </row>
        <row r="631">
          <cell r="A631" t="str">
            <v>EC/0044</v>
          </cell>
          <cell r="B631" t="str">
            <v>COMPOSIÇÃO</v>
          </cell>
          <cell r="C631">
            <v>72131</v>
          </cell>
          <cell r="D631" t="str">
            <v>Alvenaria em tijolo cerâmico maciço 5x10x20cm 1 vez (espessura 20cm), assentado com argamassa de betoneira, traço 1:2:8 (cimento, cal e areia), REF SINAPI 72131, DATA 04/2020</v>
          </cell>
          <cell r="E631"/>
          <cell r="F631" t="str">
            <v>M2</v>
          </cell>
          <cell r="G631">
            <v>207.02</v>
          </cell>
          <cell r="H631" t="str">
            <v>-</v>
          </cell>
        </row>
        <row r="632">
          <cell r="A632">
            <v>101159</v>
          </cell>
          <cell r="B632" t="str">
            <v>SINAPI</v>
          </cell>
          <cell r="C632">
            <v>72133</v>
          </cell>
          <cell r="D632" t="str">
            <v>Alvenaria de vedação de blocos cerâmicos maciços de 5x10x20cm (espessura 10cm) e argamassa de assentamento com preparo em betoneira. AF_05/2020</v>
          </cell>
          <cell r="E632"/>
          <cell r="F632" t="str">
            <v>M2</v>
          </cell>
          <cell r="G632">
            <v>139.11000000000001</v>
          </cell>
          <cell r="H632" t="str">
            <v>-</v>
          </cell>
        </row>
        <row r="633">
          <cell r="A633">
            <v>87878</v>
          </cell>
          <cell r="B633" t="str">
            <v>SINAPI</v>
          </cell>
          <cell r="C633"/>
          <cell r="D633" t="str">
            <v>Chapisco aplicado em alvenarias e estruturas de concreto internas, com colher de pedreiro. Argamassa traço 1:3 com preparo manual. AF_06/2014</v>
          </cell>
          <cell r="E633"/>
          <cell r="F633" t="str">
            <v>M2</v>
          </cell>
          <cell r="G633">
            <v>4.55</v>
          </cell>
          <cell r="H633" t="str">
            <v>-</v>
          </cell>
        </row>
        <row r="634">
          <cell r="A634">
            <v>87897</v>
          </cell>
          <cell r="B634" t="str">
            <v>SINAPI</v>
          </cell>
          <cell r="C634"/>
          <cell r="D634" t="str">
            <v>Chapisco aplicado em alvenaria (sem presença de vãos) e estruturas de concreto de fachada, com equipamento de projeção. Argamassa traço 1:3 com preparo em betoneira 400 l. AF_06/2014</v>
          </cell>
          <cell r="E634"/>
          <cell r="F634" t="str">
            <v>M2</v>
          </cell>
          <cell r="G634">
            <v>4.78</v>
          </cell>
          <cell r="H634" t="str">
            <v>-</v>
          </cell>
        </row>
        <row r="635">
          <cell r="A635">
            <v>87530</v>
          </cell>
          <cell r="B635" t="str">
            <v>SINAPI</v>
          </cell>
          <cell r="C635"/>
          <cell r="D635" t="str">
            <v>Massa única, para recebimento de pintura, em argamassa traço 1:2:8, preparo manual, aplicada manualmente em faces internas de paredes, espessura de 20mm, com execução de taliscas. AF_06/2014</v>
          </cell>
          <cell r="E635"/>
          <cell r="F635" t="str">
            <v>M2</v>
          </cell>
          <cell r="G635">
            <v>40.619999999999997</v>
          </cell>
          <cell r="H635" t="str">
            <v>-</v>
          </cell>
        </row>
        <row r="636">
          <cell r="A636">
            <v>87313</v>
          </cell>
          <cell r="B636" t="str">
            <v>SINAPI</v>
          </cell>
          <cell r="C636"/>
          <cell r="D636" t="str">
            <v>Argamassa traço 1:3 (em volume de cimento e areia grossa úmida) para chapisco convencional, preparo mecânico com betoneira 400 l. AF_08/2019</v>
          </cell>
          <cell r="E636"/>
          <cell r="F636" t="str">
            <v>M3</v>
          </cell>
          <cell r="G636">
            <v>527.79</v>
          </cell>
          <cell r="H636" t="str">
            <v>-</v>
          </cell>
        </row>
        <row r="637">
          <cell r="A637">
            <v>88629</v>
          </cell>
          <cell r="B637" t="str">
            <v>SINAPI</v>
          </cell>
          <cell r="C637"/>
          <cell r="D637" t="str">
            <v>Argamassa traço 1:3 (em volume de cimento e areia média úmida), preparo manual. AF_08/2019</v>
          </cell>
          <cell r="E637"/>
          <cell r="F637" t="str">
            <v>M3</v>
          </cell>
          <cell r="G637">
            <v>651.91</v>
          </cell>
          <cell r="H637" t="str">
            <v>-</v>
          </cell>
        </row>
        <row r="638">
          <cell r="A638">
            <v>98560</v>
          </cell>
          <cell r="B638" t="str">
            <v>SINAPI</v>
          </cell>
          <cell r="C638"/>
          <cell r="D638" t="str">
            <v>Impermeabilização de piso com argamassa de cimento e areia, com aditivo impermeabilizante, e = 2 cm. AF_06/2018</v>
          </cell>
          <cell r="E638"/>
          <cell r="F638" t="str">
            <v>M2</v>
          </cell>
          <cell r="G638">
            <v>47.17</v>
          </cell>
          <cell r="H638" t="str">
            <v>-</v>
          </cell>
        </row>
        <row r="639">
          <cell r="A639">
            <v>10931</v>
          </cell>
          <cell r="B639" t="str">
            <v>COTAÇÃO - SINAPI</v>
          </cell>
          <cell r="C639"/>
          <cell r="D639" t="str">
            <v>Tela de arame galvanizada, hexagonal, fio 0,56 mm (24 bwg), malha 1/2", h = 1 m</v>
          </cell>
          <cell r="E639"/>
          <cell r="F639" t="str">
            <v xml:space="preserve">M2    </v>
          </cell>
          <cell r="G639">
            <v>13.85</v>
          </cell>
          <cell r="H639" t="str">
            <v>-</v>
          </cell>
        </row>
        <row r="640">
          <cell r="A640" t="str">
            <v>EC/0045</v>
          </cell>
          <cell r="B640" t="str">
            <v>COMPOSIÇÃO</v>
          </cell>
          <cell r="C640"/>
          <cell r="D640" t="str">
            <v>Muro de Arrimo com bloco de concreto estrutural FBK 14,0 Mpa de 19x19x39 cm com acabamento aparente, incluindo concreto armado 25 mpa, com cintas baldrame/intermediária/respaldo, pilares (19x20 cm) e brocas (Ø 20cm x 1,80 m) a cada 2m</v>
          </cell>
          <cell r="E640"/>
          <cell r="F640" t="str">
            <v>M2</v>
          </cell>
          <cell r="G640">
            <v>0</v>
          </cell>
          <cell r="H640" t="str">
            <v>ERRO</v>
          </cell>
        </row>
        <row r="641">
          <cell r="A641" t="str">
            <v>EC/0050</v>
          </cell>
          <cell r="B641" t="str">
            <v>COMPOSIÇÃO</v>
          </cell>
          <cell r="C641"/>
          <cell r="D641" t="str">
            <v>Geocélula de PEAD, paredes perfuradas, soldadas - altura de 200 mm e 250 cm² de área de célula, conforme NBR 12553 da ABNT, incluindo 2 grampos tipo U em aço CA-50 Ø 6,3mm para cada 1,00m². Exclusive preparo do terreno e material de enchimento. Ref SICRO 1516306, DB 04-2023</v>
          </cell>
          <cell r="E641"/>
          <cell r="F641" t="str">
            <v>M2</v>
          </cell>
          <cell r="G641">
            <v>81.97</v>
          </cell>
          <cell r="H641" t="str">
            <v>-</v>
          </cell>
        </row>
        <row r="642">
          <cell r="A642" t="str">
            <v>EC/0051</v>
          </cell>
          <cell r="B642" t="str">
            <v>COMPOSIÇÃO</v>
          </cell>
          <cell r="C642"/>
          <cell r="D642" t="str">
            <v>Geocélula de PEAD, paredes perfuradas, soldadas - altura de 15 mm e 289 cm² de área de célula, conforme NBR 12553 da ABNT, incluindo 2 grampos tipo U em aço CA-50 Ø 6,3mm para cada 1,00m². Exclusive preparo do terreno e material de enchimento. (REF SICRO 1516305, DB 04-2023)</v>
          </cell>
          <cell r="E642"/>
          <cell r="F642" t="str">
            <v>M2</v>
          </cell>
          <cell r="G642">
            <v>71.150000000000006</v>
          </cell>
          <cell r="H642" t="str">
            <v>-</v>
          </cell>
        </row>
        <row r="643">
          <cell r="A643" t="str">
            <v>EC/0052</v>
          </cell>
          <cell r="B643" t="str">
            <v>COMPOSIÇÃO</v>
          </cell>
          <cell r="C643"/>
          <cell r="D643" t="str">
            <v>Geocélula de PEAD, paredes perfuradas, soldadas - altura de 100 mm e 289 cm² de área de célula, conforme NBR 12553 da ABNT, incluindo 2 grampos tipo U em aço CA-50 Ø 6,3mm para cada 1,00m². Exclusive preparo do terreno e material de enchimento. (REF SICRO 1516304, DB 04-2023)</v>
          </cell>
          <cell r="E643"/>
          <cell r="F643" t="str">
            <v>M2</v>
          </cell>
          <cell r="G643">
            <v>60.78</v>
          </cell>
          <cell r="H643" t="str">
            <v>-</v>
          </cell>
        </row>
        <row r="644">
          <cell r="A644" t="str">
            <v>EC/0053</v>
          </cell>
          <cell r="B644" t="str">
            <v>COMPOSIÇÃO</v>
          </cell>
          <cell r="C644"/>
          <cell r="D644" t="str">
            <v>Geocélula de PEAD, paredes perfuradas, soldadas - altura de 75 mm e 1206 cm² de área de célula, conforme NBR 12553 da ABNT, incluindo 2 grampos tipo U em aço CA-50 Ø 6,3mm para cada 1,00m². Exclusive preparo do terreno e material de enchimento. (REF SICRO 1516311, DB 04-2023)</v>
          </cell>
          <cell r="E644"/>
          <cell r="F644" t="str">
            <v>M2</v>
          </cell>
          <cell r="G644">
            <v>39.869999999999997</v>
          </cell>
          <cell r="H644" t="str">
            <v>-</v>
          </cell>
        </row>
        <row r="645">
          <cell r="A645" t="str">
            <v>EC/0055</v>
          </cell>
          <cell r="B645" t="str">
            <v>COMPOSIÇÃO</v>
          </cell>
          <cell r="C645"/>
          <cell r="D645" t="str">
            <v>RIP-RAP de saco com solo de jazida. Exclusive fornecimento e transporte de solo. REF SICRO 1513940  DB 04-2023 / SINAPI 100974 DB 06-2023 / SINAPI 73698 DB 01/2020</v>
          </cell>
          <cell r="E645"/>
          <cell r="F645" t="str">
            <v>M3</v>
          </cell>
          <cell r="G645">
            <v>322.62</v>
          </cell>
          <cell r="H645" t="str">
            <v>-</v>
          </cell>
        </row>
        <row r="646">
          <cell r="A646" t="str">
            <v>EC/0060</v>
          </cell>
          <cell r="B646" t="str">
            <v>COMPOSIÇÃO</v>
          </cell>
          <cell r="C646"/>
          <cell r="D646" t="str">
            <v>Contenção (RIP-RAP) em solo-cimento ensacado com mistura de solo de jazida com 8% de cimento,  inclusive confecção e assentamento. Exclusive fornecimento e transporte de solo. Ref SICRO CÓD. 1513940, DB 04-2023 e  SINAPI 100974 DB 06-2023</v>
          </cell>
          <cell r="E646"/>
          <cell r="F646" t="str">
            <v>M3</v>
          </cell>
          <cell r="G646">
            <v>390.18</v>
          </cell>
          <cell r="H646" t="str">
            <v>-</v>
          </cell>
        </row>
        <row r="647">
          <cell r="A647" t="str">
            <v>EC/0065</v>
          </cell>
          <cell r="B647" t="str">
            <v>COMPOSIÇÃO</v>
          </cell>
          <cell r="C647"/>
          <cell r="D647" t="str">
            <v>Cabo de aço 1/2" (13mm) 6x25 AF/AFA, incluindo esticador e grampos (clips). Ref SICRO 3806425, DB 04-23</v>
          </cell>
          <cell r="E647"/>
          <cell r="F647" t="str">
            <v>M</v>
          </cell>
          <cell r="G647">
            <v>91.07</v>
          </cell>
          <cell r="H647" t="str">
            <v>-</v>
          </cell>
        </row>
        <row r="648">
          <cell r="A648" t="str">
            <v>EC/0070</v>
          </cell>
          <cell r="B648" t="str">
            <v>COMPOSIÇÃO</v>
          </cell>
          <cell r="C648"/>
          <cell r="D648" t="str">
            <v>Trilho tipo ferrovia semi-novo para estacas, aquisição. Exclusive transporte, aplicação e perdas</v>
          </cell>
          <cell r="E648"/>
          <cell r="F648" t="str">
            <v>KG</v>
          </cell>
          <cell r="G648">
            <v>5.16</v>
          </cell>
          <cell r="H648" t="str">
            <v>-</v>
          </cell>
        </row>
        <row r="649">
          <cell r="A649" t="str">
            <v>EC/0075</v>
          </cell>
          <cell r="B649" t="str">
            <v>COMPOSIÇÃO</v>
          </cell>
          <cell r="C649" t="str">
            <v>DESATIVADA</v>
          </cell>
          <cell r="D649" t="e">
            <v>#REF!</v>
          </cell>
          <cell r="E649"/>
          <cell r="F649" t="e">
            <v>#REF!</v>
          </cell>
          <cell r="G649" t="e">
            <v>#REF!</v>
          </cell>
          <cell r="H649" t="str">
            <v>VER COMP</v>
          </cell>
        </row>
        <row r="650">
          <cell r="A650" t="str">
            <v>EC/0080</v>
          </cell>
          <cell r="B650" t="str">
            <v>COMPOSIÇÃO</v>
          </cell>
          <cell r="C650" t="str">
            <v>DESATIVADA</v>
          </cell>
          <cell r="D650" t="e">
            <v>#REF!</v>
          </cell>
          <cell r="E650"/>
          <cell r="F650" t="e">
            <v>#REF!</v>
          </cell>
          <cell r="G650" t="e">
            <v>#REF!</v>
          </cell>
          <cell r="H650" t="str">
            <v>VER COMP</v>
          </cell>
        </row>
        <row r="651">
          <cell r="A651" t="str">
            <v>EC/0085</v>
          </cell>
          <cell r="B651" t="str">
            <v>COMPOSIÇÃO</v>
          </cell>
          <cell r="C651"/>
          <cell r="D651" t="str">
            <v>Cravação de estaca de madeira com escavadeira hidráulica com martelo hidráulico em solo de baixa resistência. Exclusive fornecimento de estaca (escora)</v>
          </cell>
          <cell r="E651"/>
          <cell r="F651" t="str">
            <v>M</v>
          </cell>
          <cell r="G651">
            <v>23.2</v>
          </cell>
          <cell r="H651" t="str">
            <v>-</v>
          </cell>
        </row>
        <row r="652">
          <cell r="A652" t="str">
            <v>EC/0090</v>
          </cell>
          <cell r="B652" t="str">
            <v>COMPOSIÇÃO</v>
          </cell>
          <cell r="C652"/>
          <cell r="D652" t="str">
            <v>Cravação com bate-estaca de estaca metálica, prancha ou trilho TR, em terreno de media resistencia a penetracao, inclusive um corte ao maçarico. Exclusive fornecimento da estaca</v>
          </cell>
          <cell r="E652"/>
          <cell r="F652" t="str">
            <v>M</v>
          </cell>
          <cell r="G652">
            <v>79.36</v>
          </cell>
          <cell r="H652" t="str">
            <v>-</v>
          </cell>
        </row>
        <row r="653">
          <cell r="A653">
            <v>100656</v>
          </cell>
          <cell r="B653" t="str">
            <v>SINAPI</v>
          </cell>
          <cell r="D653" t="str">
            <v>Estaca pré-moldada de concreto, seção quadrada, capacidade de 25 toneladas, incluso emenda (exclusive mobilização e desmobilização). AF_12/2019</v>
          </cell>
          <cell r="E653" t="str">
            <v>25 x 25 cm²</v>
          </cell>
          <cell r="F653" t="str">
            <v>M</v>
          </cell>
          <cell r="G653">
            <v>117.16</v>
          </cell>
          <cell r="H653" t="str">
            <v>-</v>
          </cell>
        </row>
        <row r="654">
          <cell r="A654">
            <v>95601</v>
          </cell>
          <cell r="B654" t="str">
            <v>SINAPI</v>
          </cell>
          <cell r="C654"/>
          <cell r="D654" t="str">
            <v>Arrasamento mecânico de estaca de concreto armado, diâmetros de até 40 cm. AF_11/2016</v>
          </cell>
          <cell r="E654"/>
          <cell r="F654" t="str">
            <v>UN</v>
          </cell>
          <cell r="G654">
            <v>18.18</v>
          </cell>
          <cell r="H654" t="str">
            <v>-</v>
          </cell>
        </row>
        <row r="655">
          <cell r="A655">
            <v>43082</v>
          </cell>
          <cell r="B655" t="str">
            <v>COTAÇÃO - SINAPI</v>
          </cell>
          <cell r="C655"/>
          <cell r="D655" t="str">
            <v>Perfil "I" de aço laminado, abas paralelas, "W", qualquer bitola</v>
          </cell>
          <cell r="E655"/>
          <cell r="F655" t="str">
            <v xml:space="preserve">KG    </v>
          </cell>
          <cell r="G655">
            <v>12.47</v>
          </cell>
          <cell r="H655" t="str">
            <v>-</v>
          </cell>
        </row>
        <row r="656">
          <cell r="A656">
            <v>98746</v>
          </cell>
          <cell r="B656" t="str">
            <v>SINAPI</v>
          </cell>
          <cell r="C656"/>
          <cell r="D656" t="str">
            <v>Solda de topo em chapa/perfil/tubo de aço chanfrado, espessura = 1/4''. AF_06/2018</v>
          </cell>
          <cell r="E656"/>
          <cell r="F656" t="str">
            <v>M</v>
          </cell>
          <cell r="G656">
            <v>67.040000000000006</v>
          </cell>
          <cell r="H656" t="str">
            <v>-</v>
          </cell>
        </row>
        <row r="657">
          <cell r="A657">
            <v>92341</v>
          </cell>
          <cell r="B657" t="str">
            <v>SINAPI</v>
          </cell>
          <cell r="C657"/>
          <cell r="D657" t="str">
            <v>Tubo de aço galvanizado com costura, classe média, diâmetro nominal de 50 (2"), conexão rosqueada, instalado em prumadas - fornecimento e instalação. AF_10/2020</v>
          </cell>
          <cell r="E657"/>
          <cell r="F657" t="str">
            <v>M</v>
          </cell>
          <cell r="G657">
            <v>96.92</v>
          </cell>
          <cell r="H657" t="str">
            <v>-</v>
          </cell>
        </row>
        <row r="658">
          <cell r="A658" t="str">
            <v>EC/0100</v>
          </cell>
          <cell r="B658" t="str">
            <v>COMPOSIÇÃO</v>
          </cell>
          <cell r="C658"/>
          <cell r="D658" t="str">
            <v>Fornecimento e aplicação de adesivo estrutural à base de resina epóxi. (REF SICRO COD 2407972, DB 04-2021)</v>
          </cell>
          <cell r="E658"/>
          <cell r="F658" t="str">
            <v>KG</v>
          </cell>
          <cell r="G658">
            <v>68.41</v>
          </cell>
          <cell r="H658" t="str">
            <v>-</v>
          </cell>
        </row>
        <row r="659">
          <cell r="A659" t="str">
            <v>EC/0110</v>
          </cell>
          <cell r="B659" t="str">
            <v>COMPOSIÇÃO</v>
          </cell>
          <cell r="C659"/>
          <cell r="D659" t="str">
            <v># # #REVER COTAÇÃO DE TRILHO# # # Estacas trilho TR 68 - com emenda - fornecimento e cravação. REF SICRO CÓD 2306113, DATA 04/2021</v>
          </cell>
          <cell r="E659"/>
          <cell r="F659" t="str">
            <v>m</v>
          </cell>
          <cell r="G659">
            <v>29.98</v>
          </cell>
          <cell r="H659" t="str">
            <v>-</v>
          </cell>
        </row>
        <row r="660">
          <cell r="A660" t="str">
            <v>EC/0130</v>
          </cell>
          <cell r="B660" t="str">
            <v>COMPOSIÇÃO</v>
          </cell>
          <cell r="C660"/>
          <cell r="D660" t="str">
            <v>Fôrma metálica em chapa 3/16" reforçada com nervuras de 40 mm x 3/16" dispostas em grelhas de 40 x 60 cm - utilização de 100 vezes - confecção, instalação e retirada. REF SICRO CÓD 3108072, DATA 04/2021</v>
          </cell>
          <cell r="E660"/>
          <cell r="F660" t="str">
            <v>M²</v>
          </cell>
          <cell r="G660">
            <v>14.62</v>
          </cell>
          <cell r="H660" t="str">
            <v>-</v>
          </cell>
        </row>
        <row r="661">
          <cell r="A661" t="str">
            <v>EC/0135</v>
          </cell>
          <cell r="B661" t="str">
            <v>COMPOSIÇÃO</v>
          </cell>
          <cell r="C661"/>
          <cell r="D661" t="str">
            <v>Corte de chapas de aço com espessura de 5 mm com maçarico oxiacetileno. REF SICRO CÓD 1400974, DATA 04/2021</v>
          </cell>
          <cell r="E661"/>
          <cell r="F661" t="str">
            <v>M</v>
          </cell>
          <cell r="G661">
            <v>3.86</v>
          </cell>
          <cell r="H661" t="str">
            <v>-</v>
          </cell>
        </row>
        <row r="662">
          <cell r="A662" t="str">
            <v>EC/0136</v>
          </cell>
          <cell r="B662" t="str">
            <v>COMPOSIÇÃO</v>
          </cell>
          <cell r="C662"/>
          <cell r="D662" t="str">
            <v>Corte de barras de aço CA-50 com maçarico oxiacetileno. REF SICRO CÓD 1416201, DATA 01/2023</v>
          </cell>
          <cell r="E662"/>
          <cell r="F662" t="str">
            <v>CM²</v>
          </cell>
          <cell r="G662">
            <v>0.21</v>
          </cell>
          <cell r="H662" t="str">
            <v>-</v>
          </cell>
        </row>
        <row r="663">
          <cell r="A663" t="str">
            <v>EC/0145</v>
          </cell>
          <cell r="B663" t="str">
            <v>COMPOSIÇÃO</v>
          </cell>
          <cell r="C663"/>
          <cell r="D663" t="str">
            <v>Geogrelha unidirecional com resistência à tração de 100 kN/m - fornecimento e instalação. REF SICRO CÓD 1516298, DATA 01/2023</v>
          </cell>
          <cell r="E663"/>
          <cell r="F663" t="str">
            <v>M²</v>
          </cell>
          <cell r="G663">
            <v>28.72</v>
          </cell>
          <cell r="H663" t="str">
            <v>-</v>
          </cell>
        </row>
        <row r="664">
          <cell r="A664" t="str">
            <v>EC/0150</v>
          </cell>
          <cell r="B664" t="str">
            <v>COMPOSIÇÃO</v>
          </cell>
          <cell r="C664"/>
          <cell r="D664" t="str">
            <v>Geogrelha unidirecional com resistência à tração de 150 kN/m - fornecimento e instalação. REF SICRO CÓD 1516299, DATA 01/2023</v>
          </cell>
          <cell r="E664"/>
          <cell r="F664" t="str">
            <v>M²</v>
          </cell>
          <cell r="G664">
            <v>30.82</v>
          </cell>
          <cell r="H664" t="str">
            <v>-</v>
          </cell>
        </row>
        <row r="665">
          <cell r="A665" t="str">
            <v>EC/0155</v>
          </cell>
          <cell r="B665" t="str">
            <v>COMPOSIÇÃO</v>
          </cell>
          <cell r="C665"/>
          <cell r="D665" t="str">
            <v>Geogrelha unidirecional com resistência à tração de 200 kN/m - fornecimento e instalação. REF SICRO CÓD 1516300, DATA 01/2023</v>
          </cell>
          <cell r="E665"/>
          <cell r="F665" t="str">
            <v>M²</v>
          </cell>
          <cell r="G665">
            <v>40.81</v>
          </cell>
          <cell r="H665" t="str">
            <v>-</v>
          </cell>
        </row>
        <row r="666">
          <cell r="A666" t="str">
            <v>EC/0165</v>
          </cell>
          <cell r="B666" t="str">
            <v>COMPOSIÇÃO</v>
          </cell>
          <cell r="C666"/>
          <cell r="D666" t="str">
            <v>Muro de face em tela metálica dobrada em L para solo reforçado - C = 2,0 m, L = 0,4 m e H = 0,4 m - fornecimento e instalação. REF SICRO CÓD 1516318, DATA 01/2023</v>
          </cell>
          <cell r="E666"/>
          <cell r="F666" t="str">
            <v>M²</v>
          </cell>
          <cell r="G666">
            <v>473.01</v>
          </cell>
          <cell r="H666" t="str">
            <v>-</v>
          </cell>
        </row>
        <row r="667">
          <cell r="A667" t="str">
            <v>EC/0170</v>
          </cell>
          <cell r="B667" t="str">
            <v>COMPOSIÇÃO</v>
          </cell>
          <cell r="C667"/>
          <cell r="D667" t="str">
            <v>Escoramento com pontaletes D = 15 cm - utilização de 1 vez - confecção e instalação. Ref SICRO cód 2108169</v>
          </cell>
          <cell r="E667"/>
          <cell r="F667" t="str">
            <v>M³</v>
          </cell>
          <cell r="G667">
            <v>51.25</v>
          </cell>
          <cell r="H667" t="str">
            <v>-</v>
          </cell>
        </row>
        <row r="668">
          <cell r="A668" t="str">
            <v>EC/0180</v>
          </cell>
          <cell r="B668" t="str">
            <v>COMPOSIÇÃO</v>
          </cell>
          <cell r="C668"/>
          <cell r="D668" t="str">
            <v>Cordoalha CP 190 RB D = 15,2 mm - fornecimento e instalação (REF. SICRO COD. 4507957, DB 01-2023)</v>
          </cell>
          <cell r="E668"/>
          <cell r="F668" t="str">
            <v>KG</v>
          </cell>
          <cell r="G668">
            <v>13.38</v>
          </cell>
          <cell r="H668" t="str">
            <v>-</v>
          </cell>
        </row>
        <row r="669">
          <cell r="A669" t="str">
            <v>EC/0190</v>
          </cell>
          <cell r="B669" t="str">
            <v>COMPOSIÇÃO</v>
          </cell>
          <cell r="C669"/>
          <cell r="D669" t="str">
            <v>Lançamento de viga pré-moldada de 980 a 1.225 kN com utilização de treliça lançadeira (REF. SICRO COD. 3806425, DB 01-2023)</v>
          </cell>
          <cell r="E669"/>
          <cell r="F669" t="str">
            <v>UN</v>
          </cell>
          <cell r="G669">
            <v>3598.76</v>
          </cell>
          <cell r="H669" t="str">
            <v>-</v>
          </cell>
        </row>
        <row r="670">
          <cell r="A670" t="str">
            <v>EC/0200</v>
          </cell>
          <cell r="B670" t="str">
            <v>COMPOSIÇÃO</v>
          </cell>
          <cell r="C670"/>
          <cell r="D670" t="str">
            <v>Ancoragem ativa com 12 cordoalhas aderentes D = 15,2 mm - fornecimento e instalação (REF. SICRO COD. 4507756, DB 01-2023)</v>
          </cell>
          <cell r="E670"/>
          <cell r="F670" t="str">
            <v>UN</v>
          </cell>
          <cell r="G670">
            <v>1491.1</v>
          </cell>
          <cell r="H670" t="str">
            <v>-</v>
          </cell>
        </row>
        <row r="671">
          <cell r="A671" t="str">
            <v>EC/0210</v>
          </cell>
          <cell r="B671" t="str">
            <v>COMPOSIÇÃO</v>
          </cell>
          <cell r="C671"/>
          <cell r="D671" t="str">
            <v>Nicho de madeira para dispositivo de ancoragem de protensão - confecção e instalação (REF. SICRO COD. 4516137, DB 01-2023)</v>
          </cell>
          <cell r="E671"/>
          <cell r="F671" t="str">
            <v>M²</v>
          </cell>
          <cell r="G671">
            <v>128.08000000000001</v>
          </cell>
          <cell r="H671" t="str">
            <v>-</v>
          </cell>
        </row>
        <row r="672">
          <cell r="A672" t="str">
            <v>EC/0220</v>
          </cell>
          <cell r="B672" t="str">
            <v>COMPOSIÇÃO</v>
          </cell>
          <cell r="C672"/>
          <cell r="D672" t="str">
            <v>Bainha metálica redonda D = 80 mm para 12 cordoalhas D = 15,2 mm - fornecimento, instalação e injeção de nata de cimento (REF. SICRO COD. 4507842, DB 01-2023)</v>
          </cell>
          <cell r="E672"/>
          <cell r="F672" t="str">
            <v>M</v>
          </cell>
          <cell r="G672">
            <v>119.65</v>
          </cell>
          <cell r="H672" t="str">
            <v>-</v>
          </cell>
        </row>
        <row r="673">
          <cell r="A673" t="str">
            <v>EC/0230</v>
          </cell>
          <cell r="B673" t="str">
            <v>COMPOSIÇÃO</v>
          </cell>
          <cell r="C673"/>
          <cell r="D673" t="str">
            <v>Junta de dilatação em elastômero  de EPDM modelo  TJ2030W OAE - fornecimento e instalação (REF. SICRO COD. 0307733, DB 01-2023)</v>
          </cell>
          <cell r="E673"/>
          <cell r="F673" t="str">
            <v>M</v>
          </cell>
          <cell r="G673">
            <v>157.13999999999999</v>
          </cell>
          <cell r="H673" t="str">
            <v>-</v>
          </cell>
        </row>
        <row r="674">
          <cell r="A674" t="str">
            <v>EC/0240</v>
          </cell>
          <cell r="B674" t="str">
            <v>COMPOSIÇÃO</v>
          </cell>
          <cell r="C674"/>
          <cell r="D674" t="str">
            <v>Lábios poliméricos em junta de pavimento de concreto - L = 50 mm e H = 30 mm - confecção e assentamento (REF. SICRO COD. 0307084, DB 01-2023)</v>
          </cell>
          <cell r="E674"/>
          <cell r="F674" t="str">
            <v>M</v>
          </cell>
          <cell r="G674">
            <v>45.72</v>
          </cell>
          <cell r="H674" t="str">
            <v>-</v>
          </cell>
        </row>
        <row r="675">
          <cell r="A675" t="str">
            <v>SEL -128</v>
          </cell>
          <cell r="B675" t="str">
            <v>COTAÇÃO - SEL</v>
          </cell>
          <cell r="C675"/>
          <cell r="D675" t="str">
            <v>Fabricação de viga pré-moldada armada tipo PROT 19,2/45- h = 107 cm, conforme projeto.</v>
          </cell>
          <cell r="E675" t="str">
            <v>SEL -128</v>
          </cell>
          <cell r="F675" t="str">
            <v>UN</v>
          </cell>
          <cell r="G675">
            <v>0</v>
          </cell>
          <cell r="H675" t="str">
            <v>ERRO</v>
          </cell>
        </row>
        <row r="676">
          <cell r="A676" t="str">
            <v>SEL -129</v>
          </cell>
          <cell r="B676" t="str">
            <v>COTAÇÃO - SEL</v>
          </cell>
          <cell r="C676"/>
          <cell r="D676" t="str">
            <v>Transporte com carreta ls de viga pré-moldada armada tipo PCT 9,20/45 – h = 107cm.</v>
          </cell>
          <cell r="E676" t="str">
            <v>SEL -129</v>
          </cell>
          <cell r="F676" t="str">
            <v>UN</v>
          </cell>
          <cell r="G676">
            <v>0</v>
          </cell>
          <cell r="H676" t="str">
            <v>ERRO</v>
          </cell>
        </row>
        <row r="677">
          <cell r="A677" t="str">
            <v>SEL -130</v>
          </cell>
          <cell r="B677" t="str">
            <v>COTAÇÃO - SEL</v>
          </cell>
          <cell r="C677"/>
          <cell r="D677" t="str">
            <v>Transporte com carreta extensiva de viga pré moldada armada tipo PROT 19,2/45 - h = 107 cm</v>
          </cell>
          <cell r="E677" t="str">
            <v>SEL -130</v>
          </cell>
          <cell r="F677" t="str">
            <v>UN</v>
          </cell>
          <cell r="G677">
            <v>0</v>
          </cell>
          <cell r="H677" t="str">
            <v>ERRO</v>
          </cell>
        </row>
        <row r="678">
          <cell r="A678" t="str">
            <v>SEL -131</v>
          </cell>
          <cell r="B678" t="str">
            <v>COTAÇÃO - SEL</v>
          </cell>
          <cell r="C678"/>
          <cell r="D678" t="str">
            <v>Lançamento com treliça lançadeira de 44 vigas pré-moldada armadas tipo pct 9,20/45 – h = 107cm e 22 vigas pré-moldada tipo PROT 19,20/45 – h = 107cm – 3 tramo - incluso guindauto de 45. Incluso transporte da treliça lançadeira carreta especial com guindauto, inclusive montagem e desmontagem da treliça.</v>
          </cell>
          <cell r="E678" t="str">
            <v>SEL -131</v>
          </cell>
          <cell r="F678" t="str">
            <v>UN</v>
          </cell>
          <cell r="G678">
            <v>0</v>
          </cell>
          <cell r="H678" t="str">
            <v>ERRO</v>
          </cell>
        </row>
        <row r="679">
          <cell r="A679" t="str">
            <v>SEL-301</v>
          </cell>
          <cell r="B679" t="str">
            <v>COTAÇÃO - SEL</v>
          </cell>
          <cell r="C679"/>
          <cell r="D679" t="str">
            <v>Fabricação das Vigas pré-fabricadas protendidas 19,20m – H = 100cm. COTAÇÃO MARACAJU/MS</v>
          </cell>
          <cell r="E679" t="str">
            <v>SEL-301</v>
          </cell>
          <cell r="F679" t="str">
            <v>UN</v>
          </cell>
          <cell r="G679">
            <v>30236</v>
          </cell>
          <cell r="H679" t="str">
            <v>-</v>
          </cell>
        </row>
        <row r="680">
          <cell r="A680" t="str">
            <v>SEL-302</v>
          </cell>
          <cell r="B680" t="str">
            <v>COTAÇÃO - SEL</v>
          </cell>
          <cell r="C680"/>
          <cell r="D680" t="str">
            <v>Transporte com carreta extensiva das Vigas Pré-fabricadas 19,20m – H = 100cm. COTAÇÃO MARACAJU/MS</v>
          </cell>
          <cell r="E680" t="str">
            <v>SEL-302</v>
          </cell>
          <cell r="F680" t="str">
            <v>UN</v>
          </cell>
          <cell r="G680">
            <v>2600</v>
          </cell>
          <cell r="H680" t="str">
            <v>-</v>
          </cell>
        </row>
        <row r="681">
          <cell r="A681" t="str">
            <v>SEL-303</v>
          </cell>
          <cell r="B681" t="str">
            <v>COTAÇÃO - SEL</v>
          </cell>
          <cell r="C681"/>
          <cell r="D681" t="str">
            <v>Lançamento das vigas Pré-fabricadas – H = 100cm – 2 tramos – Guindastes com mobilização. COTAÇÃO MARACAJU/MS</v>
          </cell>
          <cell r="E681" t="str">
            <v>SEL-303</v>
          </cell>
          <cell r="F681" t="str">
            <v>UN</v>
          </cell>
          <cell r="G681">
            <v>4895</v>
          </cell>
          <cell r="H681" t="str">
            <v>-</v>
          </cell>
        </row>
        <row r="682">
          <cell r="A682" t="str">
            <v>SEL-304</v>
          </cell>
          <cell r="B682" t="str">
            <v>COTAÇÃO - SEL</v>
          </cell>
          <cell r="C682"/>
          <cell r="D682" t="str">
            <v>Vigas T (20/102x5/150x1920) cm TB 45</v>
          </cell>
          <cell r="E682" t="str">
            <v>SEL-304</v>
          </cell>
          <cell r="F682" t="str">
            <v>UN</v>
          </cell>
          <cell r="G682">
            <v>36644.5</v>
          </cell>
          <cell r="H682" t="str">
            <v>-</v>
          </cell>
        </row>
        <row r="683">
          <cell r="A683" t="str">
            <v>SEL-305</v>
          </cell>
          <cell r="B683" t="str">
            <v>COTAÇÃO - SEL</v>
          </cell>
          <cell r="C683"/>
          <cell r="D683" t="str">
            <v>Transporte com carreta extensiva das Vigas T (20/102x5/150x1920) cm TB 45</v>
          </cell>
          <cell r="E683" t="str">
            <v>SEL-305</v>
          </cell>
          <cell r="F683" t="str">
            <v>UN</v>
          </cell>
          <cell r="G683">
            <v>3663.5</v>
          </cell>
          <cell r="H683" t="str">
            <v>-</v>
          </cell>
        </row>
        <row r="684">
          <cell r="A684" t="str">
            <v>SEL-306</v>
          </cell>
          <cell r="B684" t="str">
            <v>COTAÇÃO - SEL</v>
          </cell>
          <cell r="C684"/>
          <cell r="D684" t="str">
            <v>Lançamento das vigas Pré-fabricadas – H = 150cm – 2 tramos – Guindastes com mobilização.</v>
          </cell>
          <cell r="E684" t="str">
            <v>SEL-306</v>
          </cell>
          <cell r="F684" t="str">
            <v>UN</v>
          </cell>
          <cell r="G684">
            <v>5395</v>
          </cell>
          <cell r="H684" t="str">
            <v>-</v>
          </cell>
        </row>
        <row r="685">
          <cell r="A685" t="str">
            <v>SEL-307</v>
          </cell>
          <cell r="B685" t="str">
            <v>COTAÇÃO - SEL</v>
          </cell>
          <cell r="C685"/>
          <cell r="D685" t="str">
            <v>CONCRETO USINADO BOMBEAVEL, CLASSE DE RESISTENCIA C30, BRITA 0 E 1, SLUMP = 100 +/- 20 MM, COM BOMBEAMENTO (DISPONIBILIZACAO DE BOMBA), SEM O LANCAMENTO (NBR 8953). POSTO MARACAJU MS</v>
          </cell>
          <cell r="E685" t="str">
            <v>SEL-307</v>
          </cell>
          <cell r="F685" t="str">
            <v>M3</v>
          </cell>
          <cell r="G685">
            <v>700</v>
          </cell>
          <cell r="H685" t="str">
            <v>-</v>
          </cell>
        </row>
        <row r="686">
          <cell r="A686" t="str">
            <v>SEL-308</v>
          </cell>
          <cell r="B686" t="str">
            <v>COTAÇÃO - SEL</v>
          </cell>
          <cell r="C686"/>
          <cell r="D686" t="str">
            <v>CONCRETO USINADO BOMBEAVEL, CLASSE DE RESISTENCIA C40, BRITA 0 E 1, SLUMP = 100 +/- 20 MM, COM BOMBEAMENTO (DISPONIBILIZACAO DE BOMBA), SEM O LANCAMENTO (NBR 8953). POSTO MARACAJU MS</v>
          </cell>
          <cell r="E686" t="str">
            <v>SEL-308</v>
          </cell>
          <cell r="F686" t="str">
            <v>M3</v>
          </cell>
          <cell r="G686">
            <v>730</v>
          </cell>
          <cell r="H686" t="str">
            <v>-</v>
          </cell>
        </row>
        <row r="687">
          <cell r="A687"/>
          <cell r="B687"/>
          <cell r="C687"/>
          <cell r="D687"/>
          <cell r="E687"/>
          <cell r="F687"/>
          <cell r="G687"/>
          <cell r="H687"/>
        </row>
        <row r="688">
          <cell r="A688"/>
          <cell r="B688"/>
          <cell r="C688" t="str">
            <v>8.0</v>
          </cell>
          <cell r="D688" t="str">
            <v>PAVIMENTAÇÃO - RESTAURAÇÃO, REMENDO E FRESAGEM</v>
          </cell>
          <cell r="E688"/>
          <cell r="F688"/>
          <cell r="G688"/>
          <cell r="H688" t="str">
            <v/>
          </cell>
        </row>
        <row r="689">
          <cell r="A689">
            <v>96001</v>
          </cell>
          <cell r="B689" t="str">
            <v>SINAPI</v>
          </cell>
          <cell r="C689"/>
          <cell r="D689" t="str">
            <v>Fresagem de pavimento asfáltico (profundidade até 5,0 cm) - exclusive transporte. AF_11/2019</v>
          </cell>
          <cell r="E689"/>
          <cell r="F689" t="str">
            <v>M2</v>
          </cell>
          <cell r="G689">
            <v>7.72</v>
          </cell>
          <cell r="H689" t="str">
            <v>-</v>
          </cell>
        </row>
        <row r="690">
          <cell r="A690"/>
          <cell r="B690" t="str">
            <v>REPETIDO</v>
          </cell>
          <cell r="C690">
            <v>95875</v>
          </cell>
          <cell r="D690" t="str">
            <v>Transporte com caminhão basculante de 10 m3, em via urbana pavimentada, DMT até 30 km. AF_12/2016</v>
          </cell>
          <cell r="E690" t="str">
            <v>ATENÇÃO
medir empolado
com 50%</v>
          </cell>
          <cell r="F690" t="str">
            <v>-</v>
          </cell>
          <cell r="G690" t="str">
            <v>-</v>
          </cell>
          <cell r="H690" t="str">
            <v/>
          </cell>
        </row>
        <row r="691">
          <cell r="A691" t="str">
            <v>RE/0005</v>
          </cell>
          <cell r="B691" t="str">
            <v>COMPOSIÇÃO</v>
          </cell>
          <cell r="C691">
            <v>30.39</v>
          </cell>
          <cell r="D691" t="str">
            <v>Fresagem de pavimento asfáltico para abertura de vala, profundidade até 30 cm, em locais com nível baixo de interferência (REF. SICRO COD. 4011480, data 01/2020 e SINAPI 96001, data 08/2020)</v>
          </cell>
          <cell r="E691"/>
          <cell r="F691" t="str">
            <v>M3</v>
          </cell>
          <cell r="G691">
            <v>80.900000000000006</v>
          </cell>
          <cell r="H691" t="str">
            <v>-</v>
          </cell>
        </row>
        <row r="692">
          <cell r="A692" t="str">
            <v>RE/0010</v>
          </cell>
          <cell r="B692" t="str">
            <v>COMPOSIÇÃO</v>
          </cell>
          <cell r="C692"/>
          <cell r="D692" t="str">
            <v>Correção de defeitos por fresagem descontínua, com emprego de fresadora e minicarregadeira (REF. SICRO COD. 4915705, data 01/2020)</v>
          </cell>
          <cell r="E692"/>
          <cell r="F692" t="str">
            <v>M3</v>
          </cell>
          <cell r="G692">
            <v>320.83</v>
          </cell>
          <cell r="H692" t="str">
            <v>-</v>
          </cell>
        </row>
        <row r="693">
          <cell r="A693" t="str">
            <v>RE/0015</v>
          </cell>
          <cell r="B693" t="str">
            <v>COMPOSIÇÃO</v>
          </cell>
          <cell r="C693"/>
          <cell r="D693" t="str">
            <v>Remendo superfcial (tapa buraco), com requadramento mecânico, escavação, compactação da mistura betuminosa e carga do entulho. Exclusive materiais e bota-fora (REF. SICRO COD. 4915757)</v>
          </cell>
          <cell r="E693"/>
          <cell r="F693" t="str">
            <v>M3</v>
          </cell>
          <cell r="G693">
            <v>221.53</v>
          </cell>
          <cell r="H693" t="str">
            <v>-</v>
          </cell>
        </row>
        <row r="694">
          <cell r="A694" t="str">
            <v>RE/0020</v>
          </cell>
          <cell r="B694" t="str">
            <v>COMPOSIÇÃO</v>
          </cell>
          <cell r="C694"/>
          <cell r="D694" t="str">
            <v>Remendo profundo, com requadramento mecânico, escavação, compactação do material de base e da mistura betuminosa e carga do entulho. Exclusive materiais e bota-fora (REF. SICRO COD. 4915746)</v>
          </cell>
          <cell r="E694"/>
          <cell r="F694" t="str">
            <v>M3</v>
          </cell>
          <cell r="G694">
            <v>128.46</v>
          </cell>
          <cell r="H694" t="str">
            <v>-</v>
          </cell>
        </row>
        <row r="695">
          <cell r="A695" t="str">
            <v>RE/0025</v>
          </cell>
          <cell r="B695" t="str">
            <v>COMPOSIÇÃO</v>
          </cell>
          <cell r="C695"/>
          <cell r="D695" t="str">
            <v>Remoção mecanizada de revestimento betuminoso, com motoniveladora. Exclusive carga e bota-fora (REF. SICRO COD. 4915667)</v>
          </cell>
          <cell r="E695"/>
          <cell r="F695" t="str">
            <v>M3</v>
          </cell>
          <cell r="G695">
            <v>15.74</v>
          </cell>
          <cell r="H695" t="str">
            <v>-</v>
          </cell>
        </row>
        <row r="696">
          <cell r="A696" t="str">
            <v>RE/0030</v>
          </cell>
          <cell r="B696" t="str">
            <v>COMPOSIÇÃO</v>
          </cell>
          <cell r="C696"/>
          <cell r="D696" t="str">
            <v>Remoção mecanizada de camada granular do pavimento, com mototoniveladora. Exclusive carga e bota-fora (REF. SICRO COD. 4915669)</v>
          </cell>
          <cell r="E696"/>
          <cell r="F696" t="str">
            <v>M3</v>
          </cell>
          <cell r="G696">
            <v>15.3</v>
          </cell>
          <cell r="H696" t="str">
            <v>-</v>
          </cell>
        </row>
        <row r="697">
          <cell r="A697">
            <v>94319</v>
          </cell>
          <cell r="B697" t="str">
            <v>SINAPI</v>
          </cell>
          <cell r="C697"/>
          <cell r="D697" t="str">
            <v>Aterro manual de valas com solo argilo-arenoso e compactação mecanizada. AF_05/2016</v>
          </cell>
          <cell r="E697"/>
          <cell r="F697" t="str">
            <v>M3</v>
          </cell>
          <cell r="G697">
            <v>74.62</v>
          </cell>
          <cell r="H697" t="str">
            <v>-</v>
          </cell>
        </row>
        <row r="698">
          <cell r="A698">
            <v>101835</v>
          </cell>
          <cell r="B698" t="str">
            <v>SINAPI</v>
          </cell>
          <cell r="C698"/>
          <cell r="D698" t="str">
            <v>Recomposição de base e ou sub-base para remendo profundo de brita graduada simples - incluso retirada e colocação do material. AF_12/2020</v>
          </cell>
          <cell r="E698"/>
          <cell r="F698" t="str">
            <v>M3</v>
          </cell>
          <cell r="G698">
            <v>278.45999999999998</v>
          </cell>
          <cell r="H698" t="str">
            <v>-</v>
          </cell>
        </row>
        <row r="699">
          <cell r="A699">
            <v>101827</v>
          </cell>
          <cell r="B699" t="str">
            <v>SINAPI</v>
          </cell>
          <cell r="C699"/>
          <cell r="D699" t="str">
            <v>Recomposição de base e ou sub-base para remendo profundo de solo brita (40/60) - incluso retirada e colocação do material. AF_12/2020</v>
          </cell>
          <cell r="E699"/>
          <cell r="F699" t="str">
            <v>M3</v>
          </cell>
          <cell r="G699">
            <v>199.59</v>
          </cell>
          <cell r="H699" t="str">
            <v>-</v>
          </cell>
        </row>
        <row r="700">
          <cell r="A700">
            <v>101849</v>
          </cell>
          <cell r="B700" t="str">
            <v>SINAPI</v>
          </cell>
          <cell r="C700"/>
          <cell r="D700" t="str">
            <v>Recomposição de base e ou sub-base para fechamento de valas de brita graduada simples - incluso retirada e colocação do material. AF_12/2020</v>
          </cell>
          <cell r="E700"/>
          <cell r="F700" t="str">
            <v>M3</v>
          </cell>
          <cell r="G700">
            <v>191.29</v>
          </cell>
          <cell r="H700" t="str">
            <v>-</v>
          </cell>
        </row>
        <row r="701">
          <cell r="A701">
            <v>95606</v>
          </cell>
          <cell r="B701" t="str">
            <v>SINAPI</v>
          </cell>
          <cell r="C701"/>
          <cell r="D701" t="str">
            <v>Umidificação de material para valas com caminhão pipa 10000l. AF_11/2016</v>
          </cell>
          <cell r="E701"/>
          <cell r="F701" t="e">
            <v>#N/A</v>
          </cell>
          <cell r="G701" t="e">
            <v>#N/A</v>
          </cell>
          <cell r="H701" t="str">
            <v>VER COMP</v>
          </cell>
        </row>
        <row r="702">
          <cell r="A702" t="str">
            <v>RE/0035</v>
          </cell>
          <cell r="B702" t="str">
            <v>COMPOSIÇÃO</v>
          </cell>
          <cell r="C702"/>
          <cell r="D702" t="str">
            <v>Recomposição manual de base para pavimentação - execução. Exclusive fornecimento de material e transporte</v>
          </cell>
          <cell r="E702" t="str">
            <v>ATENÇÃO
medir volume geométrico</v>
          </cell>
          <cell r="F702" t="str">
            <v>M3</v>
          </cell>
          <cell r="G702">
            <v>36.770000000000003</v>
          </cell>
          <cell r="H702" t="str">
            <v>-</v>
          </cell>
        </row>
        <row r="703">
          <cell r="A703" t="str">
            <v>RE/0040</v>
          </cell>
          <cell r="B703" t="str">
            <v>COMPOSIÇÃO</v>
          </cell>
          <cell r="C703"/>
          <cell r="D703" t="str">
            <v>Execução de pré-misturado a frio - PMF, faixa C (semidenso), com emulsão asfáltica RL-1C, aplicação manual em fechamento de vala e remendos. Incluindo fornecimento dos materiais, usinagem e compactação com rolo tandem compacto. Exclusive transporte</v>
          </cell>
          <cell r="E703" t="str">
            <v>B: 1,02222 m³/m²
A: 0,37968 m³/m²
CAL: 87,61905 kg/m²
E = 0,18254 T/m³</v>
          </cell>
          <cell r="F703" t="str">
            <v>M3</v>
          </cell>
          <cell r="G703">
            <v>1040</v>
          </cell>
          <cell r="H703" t="str">
            <v>-</v>
          </cell>
        </row>
        <row r="704">
          <cell r="A704" t="str">
            <v>RE/0045</v>
          </cell>
          <cell r="B704" t="str">
            <v>COMPOSIÇÃO</v>
          </cell>
          <cell r="C704"/>
          <cell r="D704" t="str">
            <v>Execução de pré-misturado a frio - PMF, faixa C (semidenso), com emulsão asfáltica RL-1C, aplicação com motoniveladora (reperfilamento). Incluindo fornecimento de materiais. Exclusive transporte</v>
          </cell>
          <cell r="E704"/>
          <cell r="F704" t="str">
            <v>M3</v>
          </cell>
          <cell r="G704">
            <v>1066.82</v>
          </cell>
          <cell r="H704" t="str">
            <v>-</v>
          </cell>
        </row>
        <row r="705">
          <cell r="A705" t="str">
            <v>RE/0050</v>
          </cell>
          <cell r="B705" t="str">
            <v>COMPOSIÇÃO</v>
          </cell>
          <cell r="C705"/>
          <cell r="D705" t="str">
            <v>CBUQ (usina comercial) - aplicação manual em fechamento de vala e remendos. Incluindo fornecimento dos materiais e compactação com rolo tandem compacto. Exclusive transporte. Ref BP 09.05.0500 RIO SCO</v>
          </cell>
          <cell r="E705"/>
          <cell r="F705" t="str">
            <v>M3</v>
          </cell>
          <cell r="G705">
            <v>1542.67</v>
          </cell>
          <cell r="H705" t="str">
            <v>-</v>
          </cell>
        </row>
        <row r="706">
          <cell r="A706" t="str">
            <v>RE/0051</v>
          </cell>
          <cell r="B706" t="str">
            <v>COMPOSIÇÃO</v>
          </cell>
          <cell r="C706"/>
          <cell r="D706" t="str">
            <v>CBUQ (usina comercial) - aplicação manual em fechamento de vala e remendos. Incluindo fornecimento dos materiais e compactação com rolo tandem compacto. Exclusive transporte</v>
          </cell>
          <cell r="E706"/>
          <cell r="F706" t="str">
            <v>M3</v>
          </cell>
          <cell r="G706">
            <v>1172.6300000000001</v>
          </cell>
          <cell r="H706" t="str">
            <v>-</v>
          </cell>
        </row>
        <row r="707">
          <cell r="A707" t="str">
            <v>RE/0052</v>
          </cell>
          <cell r="B707" t="str">
            <v>COMPOSIÇÃO</v>
          </cell>
          <cell r="C707"/>
          <cell r="D707" t="str">
            <v>CBUQ (usina comercial) - aplicação manual em fechamento de vala e remendos. Incluindo fornecimento dos materiais e compactação com rolo tandem compacto. Exclusive transporte</v>
          </cell>
          <cell r="E707"/>
          <cell r="F707" t="str">
            <v>M3</v>
          </cell>
          <cell r="G707">
            <v>1513.37</v>
          </cell>
          <cell r="H707" t="str">
            <v>-</v>
          </cell>
        </row>
        <row r="708">
          <cell r="A708" t="str">
            <v>RE/0053</v>
          </cell>
          <cell r="B708" t="str">
            <v>COMPOSIÇÃO</v>
          </cell>
          <cell r="C708"/>
          <cell r="D708" t="str">
            <v>CBUQ (usina comercial) - aplicação manual em fechamento de vala e remendos. Incluindo fornecimento dos materiais e compactação com rolo tandem compacto. Exclusive transporte</v>
          </cell>
          <cell r="E708"/>
          <cell r="F708" t="str">
            <v>M3</v>
          </cell>
          <cell r="G708">
            <v>1201.6300000000001</v>
          </cell>
          <cell r="H708" t="str">
            <v>-</v>
          </cell>
        </row>
        <row r="709">
          <cell r="A709" t="str">
            <v>RE/0055</v>
          </cell>
          <cell r="B709" t="str">
            <v>COMPOSIÇÃO</v>
          </cell>
          <cell r="C709"/>
          <cell r="D709" t="str">
            <v>CBUQ (usina comercial) - aplicação com motoniveladora (reperfilamento). Incluindo fornecimento de materiais. Exclusive transporte</v>
          </cell>
          <cell r="E709"/>
          <cell r="F709" t="str">
            <v>M3</v>
          </cell>
          <cell r="G709">
            <v>1571.5</v>
          </cell>
          <cell r="H709" t="str">
            <v>-</v>
          </cell>
        </row>
        <row r="710">
          <cell r="A710" t="str">
            <v>RE/0056</v>
          </cell>
          <cell r="B710" t="str">
            <v>COMPOSIÇÃO</v>
          </cell>
          <cell r="C710"/>
          <cell r="D710" t="str">
            <v>CBUQ (usina comercial) - aplicação com motoniveladora (reperfilamento). Incluindo fornecimento de materiais. Exclusive transporte</v>
          </cell>
          <cell r="E710"/>
          <cell r="F710" t="str">
            <v>M3</v>
          </cell>
          <cell r="G710">
            <v>1201.47</v>
          </cell>
          <cell r="H710" t="str">
            <v>-</v>
          </cell>
        </row>
        <row r="711">
          <cell r="A711" t="str">
            <v>RE/0057</v>
          </cell>
          <cell r="B711" t="str">
            <v>COMPOSIÇÃO</v>
          </cell>
          <cell r="C711"/>
          <cell r="D711" t="str">
            <v>CBUQ (usina comercial) - aplicação com motoniveladora (reperfilamento). Incluindo fornecimento de materiais. Exclusive transporte</v>
          </cell>
          <cell r="E711"/>
          <cell r="F711" t="str">
            <v>M3</v>
          </cell>
          <cell r="G711">
            <v>1542.2</v>
          </cell>
          <cell r="H711" t="str">
            <v>-</v>
          </cell>
        </row>
        <row r="712">
          <cell r="A712" t="str">
            <v>RE/0058</v>
          </cell>
          <cell r="B712" t="str">
            <v>COMPOSIÇÃO</v>
          </cell>
          <cell r="C712"/>
          <cell r="D712" t="str">
            <v>CBUQ (usina comercial) - aplicação com motoniveladora (reperfilamento). Incluindo fornecimento de materiais. Exclusive transporte</v>
          </cell>
          <cell r="E712"/>
          <cell r="F712" t="str">
            <v>M3</v>
          </cell>
          <cell r="G712">
            <v>1230.46</v>
          </cell>
          <cell r="H712" t="str">
            <v>-</v>
          </cell>
        </row>
        <row r="713">
          <cell r="A713" t="str">
            <v>RE/0060</v>
          </cell>
          <cell r="B713" t="str">
            <v>COMPOSIÇÃO</v>
          </cell>
          <cell r="C713"/>
          <cell r="D713" t="str">
            <v>Reciclagem simples com incorporação do revestimento asfáltico à base (REF. SICRO COD. 4011481)</v>
          </cell>
          <cell r="E713" t="str">
            <v>ATENÇÃO
medir volume geométrico</v>
          </cell>
          <cell r="F713" t="str">
            <v>M3</v>
          </cell>
          <cell r="G713">
            <v>39.99</v>
          </cell>
          <cell r="H713" t="str">
            <v>-</v>
          </cell>
        </row>
        <row r="714">
          <cell r="A714" t="str">
            <v>RE/0065</v>
          </cell>
          <cell r="B714" t="str">
            <v>COMPOSIÇÃO</v>
          </cell>
          <cell r="C714"/>
          <cell r="D714" t="str">
            <v>Reciclagem com adição de cimento e incorporação do revestimento asfáltico à base. Exclusive fornecimento de cimento (REF. SICRO COD. 4011482)</v>
          </cell>
          <cell r="E714"/>
          <cell r="F714" t="str">
            <v>M3</v>
          </cell>
          <cell r="G714">
            <v>41.66</v>
          </cell>
          <cell r="H714" t="str">
            <v>-</v>
          </cell>
        </row>
        <row r="715">
          <cell r="A715" t="str">
            <v>RE/0070</v>
          </cell>
          <cell r="B715" t="str">
            <v>COMPOSIÇÃO</v>
          </cell>
          <cell r="C715"/>
          <cell r="D715" t="str">
            <v>Reciclagem com adição de brita e incorporação do revestimento asfáltico à base. Exclusive fornecimento de brita (REF. SICRO COD. 4011484)</v>
          </cell>
          <cell r="E715"/>
          <cell r="F715" t="str">
            <v>M3</v>
          </cell>
          <cell r="G715">
            <v>42.84</v>
          </cell>
          <cell r="H715" t="str">
            <v>-</v>
          </cell>
        </row>
        <row r="716">
          <cell r="A716" t="str">
            <v>RE/0075</v>
          </cell>
          <cell r="B716" t="str">
            <v>COMPOSIÇÃO</v>
          </cell>
          <cell r="C716"/>
          <cell r="D716" t="str">
            <v>Microrrevestimento a frio - Microflex, espessura 0,8 cm, com emulsão asfáltica polimerizada RC-1C-E, execução e fornecimento de materiais. Exclusive transportes de insumos e do ligante betuminoso (REF. SICRO COD. 4011408)</v>
          </cell>
          <cell r="E716" t="str">
            <v>pó pedra: 0,012m³/m²
emulsão:0,00194T/m²
calcário: 0,00012m³/m²</v>
          </cell>
          <cell r="F716" t="str">
            <v>M2</v>
          </cell>
          <cell r="G716">
            <v>10.94</v>
          </cell>
          <cell r="H716" t="str">
            <v>-</v>
          </cell>
        </row>
        <row r="717">
          <cell r="A717" t="str">
            <v>RE/0080</v>
          </cell>
          <cell r="B717" t="str">
            <v>COMPOSIÇÃO</v>
          </cell>
          <cell r="C717"/>
          <cell r="D717" t="str">
            <v>Microrrevestimento a frio - Microflex, espessura 1,5 cm, com emulsão asfáltica polimerizada RC-1C-E, execução e fornecimento de materiais. Exclusive transportes de insumos e do ligante betuminoso (REF. SICRO COD. 4011410)</v>
          </cell>
          <cell r="E717" t="str">
            <v>pó pedra: 0,0225m³/m² emulsão:0,0032T/m² calcário: 0,000225m³/m²</v>
          </cell>
          <cell r="F717" t="str">
            <v>M2</v>
          </cell>
          <cell r="G717">
            <v>18.29</v>
          </cell>
          <cell r="H717" t="str">
            <v>-</v>
          </cell>
        </row>
        <row r="718">
          <cell r="A718" t="str">
            <v>RE/0085</v>
          </cell>
          <cell r="B718" t="str">
            <v>COMPOSIÇÃO</v>
          </cell>
          <cell r="C718"/>
          <cell r="D718" t="str">
            <v>Microrrevestimento a frio - Microflex, espessura 2,0 cm, com emulsão asfáltica polimerizada RC-1C-E, execução e fornecimento de materiais. Exclusive transportes de insumos e do ligante betuminoso (REF. SICRO COD. 4011412)</v>
          </cell>
          <cell r="E718"/>
          <cell r="F718" t="str">
            <v>M2</v>
          </cell>
          <cell r="G718">
            <v>22.74</v>
          </cell>
          <cell r="H718" t="str">
            <v>-</v>
          </cell>
        </row>
        <row r="719">
          <cell r="A719" t="str">
            <v>RE/0090</v>
          </cell>
          <cell r="B719" t="str">
            <v>COMPOSIÇÃO</v>
          </cell>
          <cell r="C719"/>
          <cell r="D719" t="str">
            <v>Reciclagem com adição de cimento e incorporação do revestimento asfáltico à base. Exclusive fornecimento de cimento (REF. SICRO COD. 4011482, DB 01/2020)</v>
          </cell>
          <cell r="E719"/>
          <cell r="F719" t="str">
            <v>M3</v>
          </cell>
          <cell r="G719">
            <v>37.65</v>
          </cell>
          <cell r="H719" t="str">
            <v>-</v>
          </cell>
        </row>
        <row r="720">
          <cell r="A720">
            <v>1379</v>
          </cell>
          <cell r="B720" t="str">
            <v>COTAÇÃO - SINAPI</v>
          </cell>
          <cell r="C720"/>
          <cell r="D720" t="str">
            <v>Cimento portland composto CP II-32</v>
          </cell>
          <cell r="E720"/>
          <cell r="F720" t="str">
            <v xml:space="preserve">KG    </v>
          </cell>
          <cell r="G720">
            <v>0.8</v>
          </cell>
          <cell r="H720" t="str">
            <v>-</v>
          </cell>
        </row>
        <row r="721">
          <cell r="A721">
            <v>4721</v>
          </cell>
          <cell r="B721" t="str">
            <v>COTAÇÃO - SINAPI</v>
          </cell>
          <cell r="C721"/>
          <cell r="D721" t="str">
            <v>Pedra britada n. 1 (9,5 A 19 mm) posto pedreira/fornecedor, sem frete</v>
          </cell>
          <cell r="E721"/>
          <cell r="F721" t="str">
            <v xml:space="preserve">M3    </v>
          </cell>
          <cell r="G721">
            <v>104.45</v>
          </cell>
          <cell r="H721" t="str">
            <v>-</v>
          </cell>
        </row>
        <row r="722">
          <cell r="A722">
            <v>4730</v>
          </cell>
          <cell r="B722" t="str">
            <v>COTAÇÃO - SINAPI</v>
          </cell>
          <cell r="C722"/>
          <cell r="D722" t="str">
            <v>Pedra de mão ou pedra rachão para arrimo/fundação (posto pedreira/fornecedor, sem frete)</v>
          </cell>
          <cell r="E722"/>
          <cell r="F722" t="str">
            <v xml:space="preserve">M3    </v>
          </cell>
          <cell r="G722">
            <v>98.17</v>
          </cell>
          <cell r="H722" t="str">
            <v>-</v>
          </cell>
        </row>
        <row r="723">
          <cell r="A723"/>
          <cell r="B723"/>
          <cell r="C723"/>
          <cell r="D723"/>
          <cell r="E723"/>
          <cell r="F723"/>
          <cell r="G723"/>
          <cell r="H723"/>
        </row>
        <row r="724">
          <cell r="A724"/>
          <cell r="B724"/>
          <cell r="C724" t="str">
            <v>9.0</v>
          </cell>
          <cell r="D724" t="str">
            <v>IMPLANTAÇÃO ASFÁLTICA - TERRAPLENAGEM</v>
          </cell>
          <cell r="E724"/>
          <cell r="F724"/>
          <cell r="G724"/>
          <cell r="H724" t="str">
            <v/>
          </cell>
        </row>
        <row r="725">
          <cell r="A725" t="str">
            <v>PA/0005</v>
          </cell>
          <cell r="B725" t="str">
            <v>COMPOSIÇÃO</v>
          </cell>
          <cell r="C725">
            <v>42</v>
          </cell>
          <cell r="D725" t="str">
            <v>Preparo do subleito, escavação e carga. Exclusive transporte</v>
          </cell>
          <cell r="E725"/>
          <cell r="F725" t="str">
            <v>M3</v>
          </cell>
          <cell r="G725">
            <v>5.92</v>
          </cell>
          <cell r="H725" t="str">
            <v>-</v>
          </cell>
        </row>
        <row r="726">
          <cell r="A726" t="str">
            <v>PA/0006</v>
          </cell>
          <cell r="B726" t="str">
            <v>COMPOSIÇÃO</v>
          </cell>
          <cell r="C726"/>
          <cell r="D726" t="str">
            <v>Reforço do subleito com material de jazida. Ref SICRO cód 4011211, db 01-23</v>
          </cell>
          <cell r="E726"/>
          <cell r="F726" t="str">
            <v>M3</v>
          </cell>
          <cell r="G726">
            <v>15.32</v>
          </cell>
          <cell r="H726" t="str">
            <v>-</v>
          </cell>
        </row>
        <row r="727">
          <cell r="A727"/>
          <cell r="B727" t="str">
            <v>REPETIDO</v>
          </cell>
          <cell r="C727" t="str">
            <v>74205/1</v>
          </cell>
          <cell r="D727" t="str">
            <v>Escavação mecânica de material 1a categoria, proveniente de corte de subleito (com trator esteiras 160HP). Exclusive carga e transporte</v>
          </cell>
          <cell r="E727" t="str">
            <v>ATENÇÃO
medir empolado
com 30%</v>
          </cell>
          <cell r="F727" t="str">
            <v>-</v>
          </cell>
          <cell r="G727" t="str">
            <v>-</v>
          </cell>
          <cell r="H727" t="str">
            <v/>
          </cell>
        </row>
        <row r="728">
          <cell r="A728" t="str">
            <v>PA/0010</v>
          </cell>
          <cell r="B728" t="str">
            <v>COMPOSIÇÃO</v>
          </cell>
          <cell r="C728">
            <v>34.479999999999997</v>
          </cell>
          <cell r="D728" t="str">
            <v>Colchão de rachão e/ou pedra-de-mão, com camada final de pedra brita. Fornecimento e execução. Exclusive transporte da pedra</v>
          </cell>
          <cell r="E728" t="str">
            <v>ATENÇÃO
não medir
com empolado</v>
          </cell>
          <cell r="F728" t="str">
            <v>M3</v>
          </cell>
          <cell r="G728">
            <v>148.07</v>
          </cell>
          <cell r="H728" t="str">
            <v>-</v>
          </cell>
        </row>
        <row r="729">
          <cell r="A729" t="str">
            <v>PA/0015</v>
          </cell>
          <cell r="B729" t="str">
            <v>COMPOSIÇÃO</v>
          </cell>
          <cell r="C729"/>
          <cell r="D729" t="str">
            <v>Escavação, carga e transporte de solos moles em campo aberto com escavadeira hidráulica com esteira e caminhão basculante, DMT de 50 a 200m em leito natural (REF. SICRO2 COD. 5502899)</v>
          </cell>
          <cell r="E729"/>
          <cell r="F729" t="str">
            <v>M3</v>
          </cell>
          <cell r="G729">
            <v>17.16</v>
          </cell>
          <cell r="H729" t="str">
            <v>-</v>
          </cell>
        </row>
        <row r="730">
          <cell r="A730">
            <v>101115</v>
          </cell>
          <cell r="B730" t="str">
            <v>SINAPI</v>
          </cell>
          <cell r="C730"/>
          <cell r="D730" t="str">
            <v>Escavação horizontal em solo de 1a categoria com trator de esteiras (150 HP /lâmina: 3,18 m3). AF_07/2020</v>
          </cell>
          <cell r="E730"/>
          <cell r="F730" t="str">
            <v>M3</v>
          </cell>
          <cell r="G730">
            <v>3.39</v>
          </cell>
          <cell r="H730" t="str">
            <v>-</v>
          </cell>
        </row>
        <row r="731">
          <cell r="A731">
            <v>101125</v>
          </cell>
          <cell r="B731" t="str">
            <v>SINAPI</v>
          </cell>
          <cell r="C731" t="str">
            <v>74151/1</v>
          </cell>
          <cell r="D731" t="str">
            <v>Escavação horizontal, incluindo carga e descarga em solo de 1a categoria com trator de esteiras (150 HP / lâmina: 3,18 m3). AF_07/2020</v>
          </cell>
          <cell r="E731"/>
          <cell r="F731" t="str">
            <v>M3</v>
          </cell>
          <cell r="G731">
            <v>13.7</v>
          </cell>
          <cell r="H731" t="str">
            <v>-</v>
          </cell>
        </row>
        <row r="732">
          <cell r="A732">
            <v>101135</v>
          </cell>
          <cell r="B732" t="str">
            <v>SINAPI</v>
          </cell>
          <cell r="C732"/>
          <cell r="D732" t="str">
            <v>Escavação horizontal, incluindo carga, descarga e transporte em solo de 1a categoria com trator de esteiras (150HP/lâmina: 3,18m3) e caminhão basculante de 10m3, DMT até 200m. AF_07/2020</v>
          </cell>
          <cell r="E732"/>
          <cell r="F732" t="str">
            <v>M3</v>
          </cell>
          <cell r="G732">
            <v>14.34</v>
          </cell>
          <cell r="H732" t="str">
            <v>-</v>
          </cell>
        </row>
        <row r="733">
          <cell r="A733">
            <v>101147</v>
          </cell>
          <cell r="B733" t="str">
            <v>SINAPI</v>
          </cell>
          <cell r="C733"/>
          <cell r="D733" t="str">
            <v>Escavação horizontal, incluindo carga, descarga e transporte em solo de 1a categoria com trator de esteiras (347HP/lâmina: 8,70m3) e caminhão basculante de 14m3, DMT até 200m. AF_07/2020</v>
          </cell>
          <cell r="E733"/>
          <cell r="F733" t="str">
            <v>M3</v>
          </cell>
          <cell r="G733">
            <v>14.02</v>
          </cell>
          <cell r="H733" t="str">
            <v>-</v>
          </cell>
        </row>
        <row r="734">
          <cell r="A734" t="str">
            <v>PA/00xx</v>
          </cell>
          <cell r="B734" t="str">
            <v>CRIAR COMPOSIÇÃO</v>
          </cell>
          <cell r="C734"/>
          <cell r="D734" t="str">
            <v>Escavação vertical a céu aberto, em obras de infraestrutura, incluindo carga, descarga e transporte, em solo de 1a categoria com escavadeira hidráulica (caçamba: 0,80 m3 / 111HP), frota de 3 caminhões basculantes de 6 m3, DMT até 1 km e velocidade média 14km/h. AF_05/2020</v>
          </cell>
          <cell r="E734"/>
          <cell r="F734" t="str">
            <v>-</v>
          </cell>
          <cell r="G734" t="str">
            <v>-</v>
          </cell>
          <cell r="H734" t="str">
            <v>-</v>
          </cell>
        </row>
        <row r="735">
          <cell r="A735">
            <v>101266</v>
          </cell>
          <cell r="B735" t="str">
            <v>SINAPI</v>
          </cell>
          <cell r="C735">
            <v>74.63</v>
          </cell>
          <cell r="D735" t="str">
            <v>Escavação vertical a céu aberto, em obras de infraestrutura, incluindo carga, descarga e transporte, em solo de 1a categoria com escavadeira hidráulica (caçamba: 0,80 m3 / 111 HP), frota de 3 caminhões basculantes de 10 m3, DMT até 1 km e velocidade média 14 km/h. AF_05/2020</v>
          </cell>
          <cell r="E735"/>
          <cell r="F735" t="str">
            <v>M3</v>
          </cell>
          <cell r="G735">
            <v>10.93</v>
          </cell>
          <cell r="H735" t="str">
            <v>-</v>
          </cell>
        </row>
        <row r="736">
          <cell r="A736">
            <v>101268</v>
          </cell>
          <cell r="B736" t="str">
            <v>SINAPI</v>
          </cell>
          <cell r="C736">
            <v>74.63</v>
          </cell>
          <cell r="D736" t="str">
            <v>Escavação vertical a céu aberto, em obras de infraestrutura, incluindo carga, descarga e transporte, em solo de 1a categoria com escavadeira hidráulica (caçamba: 0,80 m3 / 111 HP), frota de 5 caminhões basculantes de 10 m3, DMT de 1,50 km e velocidade média 18 km/h. AF_05/2020</v>
          </cell>
          <cell r="E736"/>
          <cell r="F736" t="str">
            <v>M3</v>
          </cell>
          <cell r="G736">
            <v>17.21</v>
          </cell>
          <cell r="H736" t="str">
            <v>-</v>
          </cell>
        </row>
        <row r="737">
          <cell r="A737">
            <v>101269</v>
          </cell>
          <cell r="B737" t="str">
            <v>SINAPI</v>
          </cell>
          <cell r="C737">
            <v>74.63</v>
          </cell>
          <cell r="D737" t="str">
            <v>Escavação vertical a céu aberto, em obras de infraestrutura, incluindo carga, descarga e transporte, em solo de 1a categoria com escavadeira hidráulica (caçamba: 0,80 m3 / 111 HP), frota de 6 caminhões basculantes de 10 m3, DMT de 2 km e velocidade média 19 km/h. AF_05/2020</v>
          </cell>
          <cell r="E737"/>
          <cell r="F737" t="str">
            <v>M3</v>
          </cell>
          <cell r="G737">
            <v>19.16</v>
          </cell>
          <cell r="H737" t="str">
            <v>-</v>
          </cell>
        </row>
        <row r="738">
          <cell r="A738">
            <v>101270</v>
          </cell>
          <cell r="B738" t="str">
            <v>SINAPI</v>
          </cell>
          <cell r="C738">
            <v>74.63</v>
          </cell>
          <cell r="D738" t="str">
            <v>Escavação vertical a céu aberto, em obras de infraestrutura, incluindo carga, descarga e transporte, em solo de 1a categoria com escavadeira hidráulica (caçamba: 0,80 m3 / 111 HP), frota de 7 caminhões basculantes de 10 m3, DMT de 3 km e velocidade média 20 km/h. AF_05/2020</v>
          </cell>
          <cell r="E738"/>
          <cell r="F738" t="str">
            <v>M3</v>
          </cell>
          <cell r="G738">
            <v>22.18</v>
          </cell>
          <cell r="H738" t="str">
            <v>-</v>
          </cell>
        </row>
        <row r="739">
          <cell r="A739">
            <v>101271</v>
          </cell>
          <cell r="B739" t="str">
            <v>SINAPI</v>
          </cell>
          <cell r="C739">
            <v>74.63</v>
          </cell>
          <cell r="D739" t="str">
            <v>Escavação vertical a céu aberto, em obras de infraestrutura, incluindo carga, descarga e transporte, em solo de 1a categoria com escavadeira hidráulica (caçamba: 0,80 m3 / 111 HP), frota de 8 caminhões basculantes de 10 m3, DMT de 4 km e velocidade média 22 km/h. AF_05/2020</v>
          </cell>
          <cell r="E739"/>
          <cell r="F739" t="str">
            <v>M3</v>
          </cell>
          <cell r="G739">
            <v>24.6</v>
          </cell>
          <cell r="H739" t="str">
            <v>-</v>
          </cell>
        </row>
        <row r="740">
          <cell r="A740">
            <v>101272</v>
          </cell>
          <cell r="B740" t="str">
            <v>SINAPI</v>
          </cell>
          <cell r="C740">
            <v>74.63</v>
          </cell>
          <cell r="D740" t="str">
            <v>Escavação vertical a céu aberto, em obras de infraestrutura, incluindo carga, descarga e transporte, em solo de 1a categoria com escavadeira hidráulica (caçamba: 0,80 m3 / 111 HP), frota de 10 caminhões basculantes de 10 m3, DMT de 6 km e velocidade média 22 km/h. AF_05/2020</v>
          </cell>
          <cell r="E740"/>
          <cell r="F740" t="str">
            <v>M3</v>
          </cell>
          <cell r="G740">
            <v>30.68</v>
          </cell>
          <cell r="H740" t="str">
            <v>-</v>
          </cell>
        </row>
        <row r="741">
          <cell r="A741">
            <v>101230</v>
          </cell>
          <cell r="B741" t="str">
            <v>SINAPI</v>
          </cell>
          <cell r="C741" t="str">
            <v>83338
52,08 m3/h</v>
          </cell>
          <cell r="D741" t="str">
            <v>Escavação vertical a céu aberto, em obras de infraestrutura, incluindo carga, descarga e transporte, em solo de 1a categoria com escavadeira hidráulica (caçamba: 0,80 m3 / 111 HP), frota de 3 caminhões basculantes de 14 m3, DMT até 1 km e velocidade média 14 km/h. AF_05/2020</v>
          </cell>
          <cell r="E741" t="str">
            <v>ATENÇÃO
usar em jazida</v>
          </cell>
          <cell r="F741" t="str">
            <v>M3</v>
          </cell>
          <cell r="G741">
            <v>10.75</v>
          </cell>
          <cell r="H741" t="str">
            <v>-</v>
          </cell>
        </row>
        <row r="742">
          <cell r="A742">
            <v>101232</v>
          </cell>
          <cell r="B742" t="str">
            <v>SINAPI</v>
          </cell>
          <cell r="C742">
            <v>109.89</v>
          </cell>
          <cell r="D742" t="str">
            <v>Escavação vertical a céu aberto, em obras de infraestrutura, incluindo carga, descarga e transporte, em solo de 1a categoria com escavadeira hidráulica (caçamba: 1,20 m3 / 155 HP), frota de 3 caminhões basculantes de 14 m3, DMT até 1 km e velocidade média 14 km/h. AF_05/2020</v>
          </cell>
          <cell r="E742"/>
          <cell r="F742" t="str">
            <v>M3</v>
          </cell>
          <cell r="G742">
            <v>9.18</v>
          </cell>
          <cell r="H742" t="str">
            <v>-</v>
          </cell>
        </row>
        <row r="743">
          <cell r="A743">
            <v>101244</v>
          </cell>
          <cell r="B743" t="str">
            <v>SINAPI</v>
          </cell>
          <cell r="C743">
            <v>109.89</v>
          </cell>
          <cell r="D743" t="str">
            <v>Escavação vertical a céu aberto, em obras de infraestrutura, incluindo carga, descarga e transporte, em solo de 1a categoria com escavadeira hidráulica (caçamba: 1,20 m3 / 155 HP), frota de 6 caminhões basculantes de 14 m3, DMT de 1,50 km e velocidade média 18 km/h. AF_05/2020</v>
          </cell>
          <cell r="E743"/>
          <cell r="F743" t="str">
            <v>M3</v>
          </cell>
          <cell r="G743">
            <v>15.41</v>
          </cell>
          <cell r="H743" t="str">
            <v>-</v>
          </cell>
        </row>
        <row r="744">
          <cell r="A744">
            <v>101245</v>
          </cell>
          <cell r="B744" t="str">
            <v>SINAPI</v>
          </cell>
          <cell r="C744">
            <v>109.89</v>
          </cell>
          <cell r="D744" t="str">
            <v>Escavação vertical a céu aberto, em obras de infraestrutura, incluindo carga, descarga e transporte, em solo de 1a categoria com escavadeira hidráulica (caçamba: 1,20 m3 / 155 HP), frota de 6 caminhões basculantes de 14 m3, DMT de 2 km e velocidade média 19 km/h. AF_05/2020</v>
          </cell>
          <cell r="E744"/>
          <cell r="F744" t="str">
            <v>M3</v>
          </cell>
          <cell r="G744">
            <v>16.309999999999999</v>
          </cell>
          <cell r="H744" t="str">
            <v>-</v>
          </cell>
        </row>
        <row r="745">
          <cell r="A745">
            <v>101246</v>
          </cell>
          <cell r="B745" t="str">
            <v>SINAPI</v>
          </cell>
          <cell r="C745">
            <v>109.89</v>
          </cell>
          <cell r="D745" t="str">
            <v>Escavação vertical a céu aberto, em obras de infraestrutura, incluindo carga, descarga e transporte, em solo de 1a categoria com escavadeira hidráulica (caçamba: 1,20 m3 / 155 HP), frota de 7 caminhões basculantes de 14 m3, DMT de 3 km e velocidade média 20 km/h. AF_05/2020</v>
          </cell>
          <cell r="E745"/>
          <cell r="F745" t="str">
            <v>M3</v>
          </cell>
          <cell r="G745">
            <v>18.940000000000001</v>
          </cell>
          <cell r="H745" t="str">
            <v>-</v>
          </cell>
        </row>
        <row r="746">
          <cell r="A746">
            <v>101247</v>
          </cell>
          <cell r="B746" t="str">
            <v>SINAPI</v>
          </cell>
          <cell r="C746">
            <v>109.89</v>
          </cell>
          <cell r="D746" t="str">
            <v>Escavação vertical a céu aberto, em obras de infraestrutura, incluindo carga, descarga e transporte, em solo de 1a categoria com escavadeira hidráulica (caçamba: 1,20 m3 / 155 HP), frota de 8 caminhões basculantes de 14 m3, DMT de 4 km e velocidade média 22 km/h. AF_05/2020</v>
          </cell>
          <cell r="E746"/>
          <cell r="F746" t="str">
            <v>M3</v>
          </cell>
          <cell r="G746">
            <v>21.03</v>
          </cell>
          <cell r="H746" t="str">
            <v>-</v>
          </cell>
        </row>
        <row r="747">
          <cell r="A747">
            <v>101248</v>
          </cell>
          <cell r="B747" t="str">
            <v>SINAPI</v>
          </cell>
          <cell r="C747">
            <v>109.89</v>
          </cell>
          <cell r="D747" t="str">
            <v>Escavação vertical a céu aberto, em obras de infraestrutura, incluindo carga, descarga e transporte, em solo de 1a categoria com escavadeira hidráulica (caçamba: 1,20 m3 / 155 HP), frota de 10 caminhões basculantes de 14 m3, DMT de 6 km e velocidade média 22km/h. AF_05/2020</v>
          </cell>
          <cell r="E747"/>
          <cell r="F747" t="str">
            <v>M3</v>
          </cell>
          <cell r="G747">
            <v>26.32</v>
          </cell>
          <cell r="H747" t="str">
            <v>-</v>
          </cell>
        </row>
        <row r="748">
          <cell r="A748">
            <v>96385</v>
          </cell>
          <cell r="B748" t="str">
            <v>SINAPI</v>
          </cell>
          <cell r="C748">
            <v>30.3</v>
          </cell>
          <cell r="D748" t="str">
            <v>Execução e compactação de aterro com solo predominantemente argiloso - exclusive solo, escavação, carga e transporte. AF_11/2019</v>
          </cell>
          <cell r="E748"/>
          <cell r="F748" t="str">
            <v>M3</v>
          </cell>
          <cell r="G748">
            <v>11.26</v>
          </cell>
          <cell r="H748" t="str">
            <v>-</v>
          </cell>
        </row>
        <row r="749">
          <cell r="A749">
            <v>96386</v>
          </cell>
          <cell r="B749" t="str">
            <v>SINAPI</v>
          </cell>
          <cell r="C749">
            <v>47.62</v>
          </cell>
          <cell r="D749" t="str">
            <v>Execução e compactação de aterro com solo predominantemente arenoso - exclusive solo, escavação, carga e transporte. AF_11/2019</v>
          </cell>
          <cell r="E749"/>
          <cell r="F749" t="str">
            <v>M3</v>
          </cell>
          <cell r="G749">
            <v>8.4700000000000006</v>
          </cell>
          <cell r="H749" t="str">
            <v>-</v>
          </cell>
        </row>
        <row r="750">
          <cell r="A750"/>
          <cell r="B750" t="str">
            <v>REPETIDO</v>
          </cell>
          <cell r="C750">
            <v>100574</v>
          </cell>
          <cell r="D750" t="str">
            <v>Espalhamento de material, com utilização de trator de esteiras de 165 HP</v>
          </cell>
          <cell r="E750"/>
          <cell r="F750" t="str">
            <v>-</v>
          </cell>
          <cell r="G750" t="str">
            <v>-</v>
          </cell>
          <cell r="H750" t="str">
            <v/>
          </cell>
        </row>
        <row r="751">
          <cell r="A751"/>
          <cell r="B751" t="str">
            <v>REPETIDO</v>
          </cell>
          <cell r="C751">
            <v>6079</v>
          </cell>
          <cell r="D751" t="str">
            <v>Argila, argila vermelha, argila arenosa ou arenito  (posto jazida / fornecedor, sem frete)</v>
          </cell>
          <cell r="E751" t="str">
            <v>ATENÇÃO
medir empolado com 25%</v>
          </cell>
          <cell r="F751" t="str">
            <v>-</v>
          </cell>
          <cell r="G751" t="str">
            <v>-</v>
          </cell>
          <cell r="H751" t="str">
            <v/>
          </cell>
        </row>
        <row r="752">
          <cell r="A752">
            <v>4746</v>
          </cell>
          <cell r="B752" t="str">
            <v>COTAÇÃO - SINAPI</v>
          </cell>
          <cell r="C752"/>
          <cell r="D752" t="str">
            <v>Pedregulho ou piçarra de jazida, ao natural, para base de pavimentação (retirado na jazida, sem transporte)</v>
          </cell>
          <cell r="E752" t="str">
            <v>ATENÇÃO
medir empolado com 30%</v>
          </cell>
          <cell r="F752" t="str">
            <v xml:space="preserve">M3    </v>
          </cell>
          <cell r="G752">
            <v>73.319999999999993</v>
          </cell>
          <cell r="H752" t="str">
            <v>-</v>
          </cell>
        </row>
        <row r="753">
          <cell r="A753"/>
          <cell r="B753" t="str">
            <v>REPETIDO</v>
          </cell>
          <cell r="C753">
            <v>368</v>
          </cell>
          <cell r="D753" t="str">
            <v>Areia para aterro - posto jazida / fornecedor (sem frete)</v>
          </cell>
          <cell r="E753"/>
          <cell r="F753" t="str">
            <v>-</v>
          </cell>
          <cell r="G753" t="str">
            <v>-</v>
          </cell>
          <cell r="H753" t="str">
            <v/>
          </cell>
        </row>
        <row r="754">
          <cell r="A754"/>
          <cell r="B754"/>
          <cell r="C754"/>
          <cell r="D754"/>
          <cell r="E754"/>
          <cell r="F754"/>
          <cell r="G754"/>
          <cell r="H754"/>
        </row>
        <row r="755">
          <cell r="A755"/>
          <cell r="B755"/>
          <cell r="C755" t="str">
            <v>10.0</v>
          </cell>
          <cell r="D755" t="str">
            <v>IMPLANTAÇÃO ASFÁLTICA - PAVIMENTAÇÃO</v>
          </cell>
          <cell r="E755"/>
          <cell r="F755"/>
          <cell r="G755"/>
          <cell r="H755" t="str">
            <v/>
          </cell>
        </row>
        <row r="756">
          <cell r="A756">
            <v>100576</v>
          </cell>
          <cell r="B756" t="str">
            <v>SINAPI</v>
          </cell>
          <cell r="C756">
            <v>125</v>
          </cell>
          <cell r="D756" t="str">
            <v>Regularização e compactação de subleito de solo predominantemente argiloso. AF_11/2019</v>
          </cell>
          <cell r="E756"/>
          <cell r="F756" t="str">
            <v>M2</v>
          </cell>
          <cell r="G756">
            <v>2.4500000000000002</v>
          </cell>
          <cell r="H756" t="str">
            <v>-</v>
          </cell>
        </row>
        <row r="757">
          <cell r="A757">
            <v>100577</v>
          </cell>
          <cell r="B757" t="str">
            <v>SINAPI</v>
          </cell>
          <cell r="C757">
            <v>333.33</v>
          </cell>
          <cell r="D757" t="str">
            <v>Regularização e compactação de subleito de solo predominantemente arenoso. AF_11/2019</v>
          </cell>
          <cell r="E757"/>
          <cell r="F757" t="str">
            <v>M2</v>
          </cell>
          <cell r="G757">
            <v>1.18</v>
          </cell>
          <cell r="H757" t="str">
            <v>-</v>
          </cell>
        </row>
        <row r="758">
          <cell r="A758" t="str">
            <v>PA/0007</v>
          </cell>
          <cell r="B758" t="str">
            <v>COMPOSIÇÃO</v>
          </cell>
          <cell r="C758"/>
          <cell r="D758" t="str">
            <v>Regularização do subleito. Ref  SICRO cód 4011209, db 01-23</v>
          </cell>
          <cell r="E758"/>
          <cell r="F758" t="str">
            <v>M²</v>
          </cell>
          <cell r="G758">
            <v>0.96</v>
          </cell>
          <cell r="H758" t="str">
            <v>-</v>
          </cell>
        </row>
        <row r="759">
          <cell r="A759" t="str">
            <v>PA/0008</v>
          </cell>
          <cell r="B759" t="str">
            <v>COMPOSIÇÃO</v>
          </cell>
          <cell r="C759">
            <v>125</v>
          </cell>
          <cell r="D759" t="str">
            <v>Regularização e compactação de subleito de solo predominantemente argiloso. Ref  SICRO cód 4011209 e SINAPI CÓD 100576, db 01-23</v>
          </cell>
          <cell r="E759"/>
          <cell r="F759" t="str">
            <v>M²</v>
          </cell>
          <cell r="G759">
            <v>2.68</v>
          </cell>
          <cell r="H759" t="str">
            <v>-</v>
          </cell>
        </row>
        <row r="760">
          <cell r="A760"/>
          <cell r="B760" t="str">
            <v>REPETIDO</v>
          </cell>
          <cell r="C760">
            <v>4746</v>
          </cell>
          <cell r="D760" t="str">
            <v>Pedregulho ou piçarra de jazida, ao natural, para base de pavimentação (posto jazida / fornecedor, sem frete)</v>
          </cell>
          <cell r="E760" t="str">
            <v>ATENÇÃO
medir empolado com 30%</v>
          </cell>
          <cell r="F760" t="str">
            <v>-</v>
          </cell>
          <cell r="G760" t="str">
            <v>-</v>
          </cell>
          <cell r="H760" t="str">
            <v/>
          </cell>
        </row>
        <row r="761">
          <cell r="A761">
            <v>4729</v>
          </cell>
          <cell r="B761" t="str">
            <v>COTAÇÃO - SINAPI</v>
          </cell>
          <cell r="C761"/>
          <cell r="D761" t="str">
            <v>Pedra britada graduada, classificada (posto pedreira/fornecedor, sem frete)</v>
          </cell>
          <cell r="E761" t="str">
            <v>ATENÇÃO
medir empolado com 46,67%</v>
          </cell>
          <cell r="F761" t="str">
            <v xml:space="preserve">M3    </v>
          </cell>
          <cell r="G761">
            <v>105.24</v>
          </cell>
          <cell r="H761" t="str">
            <v>-</v>
          </cell>
        </row>
        <row r="762">
          <cell r="A762">
            <v>4743</v>
          </cell>
          <cell r="B762" t="str">
            <v>COTAÇÃO - SINAPI</v>
          </cell>
          <cell r="C762"/>
          <cell r="D762" t="str">
            <v>Cascalho de cava</v>
          </cell>
          <cell r="E762" t="str">
            <v>ATENÇÃO
medir empolado com 25%</v>
          </cell>
          <cell r="F762" t="str">
            <v xml:space="preserve">M3    </v>
          </cell>
          <cell r="G762">
            <v>60.9</v>
          </cell>
          <cell r="H762" t="str">
            <v>-</v>
          </cell>
        </row>
        <row r="763">
          <cell r="A763">
            <v>4748</v>
          </cell>
          <cell r="B763" t="str">
            <v>COTAÇÃO - SINAPI</v>
          </cell>
          <cell r="C763"/>
          <cell r="D763" t="str">
            <v>Pedra britada ou bica corrida, não classificada (posto pedreira/fornecedor, sem frete)</v>
          </cell>
          <cell r="E763" t="str">
            <v>ATENÇÃO
medir empolado com 37,5%</v>
          </cell>
          <cell r="F763" t="str">
            <v xml:space="preserve">M3    </v>
          </cell>
          <cell r="G763">
            <v>96.47</v>
          </cell>
          <cell r="H763" t="str">
            <v>-</v>
          </cell>
        </row>
        <row r="764">
          <cell r="A764">
            <v>96396</v>
          </cell>
          <cell r="B764" t="str">
            <v>SINAPI</v>
          </cell>
          <cell r="C764">
            <v>33.33</v>
          </cell>
          <cell r="D764" t="str">
            <v>Execução e compactação de base e ou sub base para pavimentação de brita graduada simples - exclusive carga e transporte. AF_11/2019</v>
          </cell>
          <cell r="E764"/>
          <cell r="F764" t="str">
            <v>M3</v>
          </cell>
          <cell r="G764">
            <v>178.44</v>
          </cell>
          <cell r="H764" t="str">
            <v>-</v>
          </cell>
        </row>
        <row r="765">
          <cell r="A765" t="str">
            <v>PA/0018</v>
          </cell>
          <cell r="B765" t="str">
            <v>COMPOSIÇÃO</v>
          </cell>
          <cell r="C765">
            <v>33.33</v>
          </cell>
          <cell r="D765" t="str">
            <v>Usinagem de brita graduada simples, exclusive fornecimento de materiais (REF. SINAPI COD. 96393, DB 05-2021)</v>
          </cell>
          <cell r="E765"/>
          <cell r="F765" t="str">
            <v>M3</v>
          </cell>
          <cell r="G765">
            <v>6.29</v>
          </cell>
          <cell r="H765" t="str">
            <v>-</v>
          </cell>
        </row>
        <row r="766">
          <cell r="A766" t="str">
            <v>PA/0020</v>
          </cell>
          <cell r="B766" t="str">
            <v>COMPOSIÇÃO</v>
          </cell>
          <cell r="C766">
            <v>33.33</v>
          </cell>
          <cell r="D766" t="str">
            <v>Execução e compactação de base e ou sub-base com material produto de britagem. Exclusive fornecimento e transporte de materiais (REF. SINAPI COD. 96396)</v>
          </cell>
          <cell r="E766"/>
          <cell r="F766" t="str">
            <v>M3</v>
          </cell>
          <cell r="G766">
            <v>13.44</v>
          </cell>
          <cell r="H766" t="str">
            <v>-</v>
          </cell>
        </row>
        <row r="767">
          <cell r="A767">
            <v>96397</v>
          </cell>
          <cell r="B767" t="str">
            <v>SINAPI</v>
          </cell>
          <cell r="C767">
            <v>28.57</v>
          </cell>
          <cell r="D767" t="str">
            <v>Execução e compactação de base e ou sub base para pavimentação de brita graduada simples tratada com cimento - exclusive carga e transporte. AF_11/2019</v>
          </cell>
          <cell r="E767"/>
          <cell r="F767" t="str">
            <v>M3</v>
          </cell>
          <cell r="G767">
            <v>247.27</v>
          </cell>
          <cell r="H767" t="str">
            <v>-</v>
          </cell>
        </row>
        <row r="768">
          <cell r="A768" t="str">
            <v>PA/0019</v>
          </cell>
          <cell r="B768" t="str">
            <v>COMPOSIÇÃO</v>
          </cell>
          <cell r="C768"/>
          <cell r="D768" t="str">
            <v>Execução e compactação de base e ou sub-base com material produto de britagem, tratada com cimento. Exclusive transporte de materiais e fornecimento de brita (REF. SINAPI COD. 96397/96394)</v>
          </cell>
          <cell r="E768"/>
          <cell r="F768" t="str">
            <v>M3</v>
          </cell>
          <cell r="G768">
            <v>90.49</v>
          </cell>
          <cell r="H768" t="str">
            <v>-</v>
          </cell>
        </row>
        <row r="769">
          <cell r="A769">
            <v>96388</v>
          </cell>
          <cell r="B769" t="str">
            <v>SINAPI</v>
          </cell>
          <cell r="C769">
            <v>38.46</v>
          </cell>
          <cell r="D769" t="str">
            <v>Execução e compactação de base e ou sub base para pavimentação de solos de comportamento laterítico (arenoso) - exclusive solo, escavação, carga e transporte. AF_11/2019</v>
          </cell>
          <cell r="E769"/>
          <cell r="F769" t="str">
            <v>M3</v>
          </cell>
          <cell r="G769">
            <v>12</v>
          </cell>
          <cell r="H769" t="str">
            <v>-</v>
          </cell>
        </row>
        <row r="770">
          <cell r="A770">
            <v>96389</v>
          </cell>
          <cell r="B770" t="str">
            <v>SINAPI</v>
          </cell>
          <cell r="C770">
            <v>38.46</v>
          </cell>
          <cell r="D770" t="str">
            <v>Execução e compactação de base e ou sub base para pavimentação de solo (predominantemente arenoso) com cimento (teor de 2%) - exclusive solo, escavação, carga e transporte. AF_11/2019</v>
          </cell>
          <cell r="E770" t="str">
            <v>???
48,1741</v>
          </cell>
          <cell r="F770" t="str">
            <v>M3</v>
          </cell>
          <cell r="G770">
            <v>55.13</v>
          </cell>
          <cell r="H770" t="str">
            <v>-</v>
          </cell>
        </row>
        <row r="771">
          <cell r="A771">
            <v>96390</v>
          </cell>
          <cell r="B771" t="str">
            <v>SINAPI</v>
          </cell>
          <cell r="C771">
            <v>38.46</v>
          </cell>
          <cell r="D771" t="str">
            <v>Execução e compactação de base e ou sub base para pavimentação de solo (predominantemente arenoso) com cimento (teor de 4%) - exclusive solo, escavação, carga e transporte. AF_11/2019</v>
          </cell>
          <cell r="E771" t="str">
            <v>???
93,0233</v>
          </cell>
          <cell r="F771" t="str">
            <v>M3</v>
          </cell>
          <cell r="G771">
            <v>89.29</v>
          </cell>
          <cell r="H771" t="str">
            <v>-</v>
          </cell>
        </row>
        <row r="772">
          <cell r="A772">
            <v>96391</v>
          </cell>
          <cell r="B772" t="str">
            <v>SINAPI</v>
          </cell>
          <cell r="C772">
            <v>38.46</v>
          </cell>
          <cell r="D772" t="str">
            <v>Execução e compactação de base e ou sub base para pavimentação de solo (predominantemente arenoso) com cimento (teor de 6%) - exclusive solo, escavação, carga e transporte. AF_11/2019</v>
          </cell>
          <cell r="E772" t="str">
            <v>???
136,6637</v>
          </cell>
          <cell r="F772" t="str">
            <v>M3</v>
          </cell>
          <cell r="G772">
            <v>125</v>
          </cell>
          <cell r="H772" t="str">
            <v>-</v>
          </cell>
        </row>
        <row r="773">
          <cell r="A773">
            <v>96392</v>
          </cell>
          <cell r="B773" t="str">
            <v>SINAPI</v>
          </cell>
          <cell r="C773">
            <v>38.46</v>
          </cell>
          <cell r="D773" t="str">
            <v>Execução e compactação de base e ou sub base para pavimentação de solo (predominantemente arenoso) com cimento (teor de 8%) - exclusive solo, escavação, carga e transporte. AF_11/2019</v>
          </cell>
          <cell r="E773" t="str">
            <v>???
188,2884</v>
          </cell>
          <cell r="F773" t="str">
            <v>M3</v>
          </cell>
          <cell r="G773">
            <v>159.44999999999999</v>
          </cell>
          <cell r="H773" t="str">
            <v>-</v>
          </cell>
        </row>
        <row r="774">
          <cell r="A774">
            <v>96398</v>
          </cell>
          <cell r="B774" t="str">
            <v>SINAPI</v>
          </cell>
          <cell r="C774"/>
          <cell r="D774" t="str">
            <v>Execução e compactação de base e ou sub base para pavimentação de concreto coMPActado com rolo - exclusive carga e transporte. AF_11/2019</v>
          </cell>
          <cell r="E774"/>
          <cell r="F774" t="str">
            <v>M3</v>
          </cell>
          <cell r="G774">
            <v>337.85</v>
          </cell>
          <cell r="H774" t="str">
            <v>-</v>
          </cell>
        </row>
        <row r="775">
          <cell r="A775">
            <v>96399</v>
          </cell>
          <cell r="B775" t="str">
            <v>SINAPI</v>
          </cell>
          <cell r="C775"/>
          <cell r="D775" t="str">
            <v>Execução e compactação de base e ou sub base para pavimentação de pedra rachão  - exclusive carga e transporte. AF_11/2019</v>
          </cell>
          <cell r="E775"/>
          <cell r="F775" t="str">
            <v>M3</v>
          </cell>
          <cell r="G775">
            <v>122.79</v>
          </cell>
          <cell r="H775" t="str">
            <v>-</v>
          </cell>
        </row>
        <row r="776">
          <cell r="A776">
            <v>96400</v>
          </cell>
          <cell r="B776" t="str">
            <v>SINAPI</v>
          </cell>
          <cell r="C776"/>
          <cell r="D776" t="str">
            <v>Execução e compactação de base e ou sub base para pavimentação de macadame seco - exclusive carga e transporte. AF_11/2019</v>
          </cell>
          <cell r="E776"/>
          <cell r="F776" t="str">
            <v>M3</v>
          </cell>
          <cell r="G776">
            <v>159.88</v>
          </cell>
          <cell r="H776" t="str">
            <v>-</v>
          </cell>
        </row>
        <row r="777">
          <cell r="A777">
            <v>100564</v>
          </cell>
          <cell r="B777" t="str">
            <v>SINAPI</v>
          </cell>
          <cell r="C777"/>
          <cell r="D777" t="str">
            <v>Execução e compactação de base e ou sub-base para pavimentação de solo (predominantemente arenoso) brita - 40/60 - exclusive solo, escavação, carga e transporte. AF_11/2019</v>
          </cell>
          <cell r="E777"/>
          <cell r="F777" t="str">
            <v>M3</v>
          </cell>
          <cell r="G777">
            <v>108.77</v>
          </cell>
          <cell r="H777" t="str">
            <v>-</v>
          </cell>
        </row>
        <row r="778">
          <cell r="A778">
            <v>100565</v>
          </cell>
          <cell r="B778" t="str">
            <v>SINAPI</v>
          </cell>
          <cell r="C778"/>
          <cell r="D778" t="str">
            <v>Execução e compactação de base e ou sub-base para pavimentação de solo (predominantemente arenoso) brita - 50/50 - exclusive solo, escavação, carga e transporte. AF_11/2019</v>
          </cell>
          <cell r="E778"/>
          <cell r="F778" t="str">
            <v>M3</v>
          </cell>
          <cell r="G778">
            <v>94.46</v>
          </cell>
          <cell r="H778" t="str">
            <v>-</v>
          </cell>
        </row>
        <row r="779">
          <cell r="A779">
            <v>100566</v>
          </cell>
          <cell r="B779" t="str">
            <v>SINAPI</v>
          </cell>
          <cell r="C779"/>
          <cell r="D779" t="str">
            <v>Execução e compactação de base e ou sub-base para pavimentação de solo (predominantemente arenoso) brita - 40/60 com cimento (teor de 4%) - exclusive solo, escavação, carga e transporte. AF_11/2019</v>
          </cell>
          <cell r="E779"/>
          <cell r="F779" t="str">
            <v>M3</v>
          </cell>
          <cell r="G779">
            <v>179.73</v>
          </cell>
          <cell r="H779" t="str">
            <v>-</v>
          </cell>
        </row>
        <row r="780">
          <cell r="A780">
            <v>100567</v>
          </cell>
          <cell r="B780" t="str">
            <v>SINAPI</v>
          </cell>
          <cell r="C780"/>
          <cell r="D780" t="str">
            <v>Execução e compactação de base e ou sub-base para pavimentação de solo (predominantemente arenoso) brita - 40/60 com cimento (teor de 6%) - exclusive solo, escavação, carga e transporte. AF_11/2019</v>
          </cell>
          <cell r="E780"/>
          <cell r="F780" t="str">
            <v>M3</v>
          </cell>
          <cell r="G780">
            <v>212.98</v>
          </cell>
          <cell r="H780" t="str">
            <v>-</v>
          </cell>
        </row>
        <row r="781">
          <cell r="A781">
            <v>100568</v>
          </cell>
          <cell r="B781" t="str">
            <v>SINAPI</v>
          </cell>
          <cell r="C781"/>
          <cell r="D781" t="str">
            <v>Execução e compactação de base e ou sub-base para pavimentação de solo (predominantemente arenoso) brita - 40/60 com cimento (teor de 8%) - exclusive solo, escavação, carga e transporte. AF_11/2019</v>
          </cell>
          <cell r="E781"/>
          <cell r="F781" t="str">
            <v>M3</v>
          </cell>
          <cell r="G781">
            <v>245.65</v>
          </cell>
          <cell r="H781" t="str">
            <v>-</v>
          </cell>
        </row>
        <row r="782">
          <cell r="A782">
            <v>100569</v>
          </cell>
          <cell r="B782" t="str">
            <v>SINAPI</v>
          </cell>
          <cell r="C782"/>
          <cell r="D782" t="str">
            <v>Execução e compactação de base e ou sub-base para pavimentação de solo (predominantemente arenoso) brita - 50/50 com cimento (teor de 4%)  - exclusive solo, escavação, carga e transporte. AF_11/2019</v>
          </cell>
          <cell r="E782"/>
          <cell r="F782" t="str">
            <v>M3</v>
          </cell>
          <cell r="G782">
            <v>165.94</v>
          </cell>
          <cell r="H782" t="str">
            <v>-</v>
          </cell>
        </row>
        <row r="783">
          <cell r="A783">
            <v>100570</v>
          </cell>
          <cell r="B783" t="str">
            <v>SINAPI</v>
          </cell>
          <cell r="C783"/>
          <cell r="D783" t="str">
            <v>Execução e compactação de base e ou sub-base para pavimentação de solo (predominantemente arenoso) brita - 50/50 com cimento (teor de 6%) - exclusive solo, escavação, carga e transporte. AF_11/2019</v>
          </cell>
          <cell r="E783"/>
          <cell r="F783" t="str">
            <v>M3</v>
          </cell>
          <cell r="G783">
            <v>201.65</v>
          </cell>
          <cell r="H783" t="str">
            <v>-</v>
          </cell>
        </row>
        <row r="784">
          <cell r="A784">
            <v>100571</v>
          </cell>
          <cell r="B784" t="str">
            <v>SINAPI</v>
          </cell>
          <cell r="C784"/>
          <cell r="D784" t="str">
            <v>Execução e compactação de base e ou sub-base para pavimentação de solo (predominantemente arenoso) brita - 50/50 com cimento (teor de 8%) - exclusive solo, escavação, carga e transporte. AF_11/2019</v>
          </cell>
          <cell r="E784"/>
          <cell r="F784" t="str">
            <v>M3</v>
          </cell>
          <cell r="G784">
            <v>232.49</v>
          </cell>
          <cell r="H784" t="str">
            <v>-</v>
          </cell>
        </row>
        <row r="785">
          <cell r="A785">
            <v>100572</v>
          </cell>
          <cell r="B785" t="str">
            <v>SINAPI</v>
          </cell>
          <cell r="C785"/>
          <cell r="D785" t="str">
            <v>Execução e compactação de base e ou sub-base para pavimentação de solo (predominantemente argiloso) brita - 40/60 - exclusive solo, escavação, carga e transporte. AF_11/2019</v>
          </cell>
          <cell r="E785"/>
          <cell r="F785" t="str">
            <v>M3</v>
          </cell>
          <cell r="G785">
            <v>113.55</v>
          </cell>
          <cell r="H785" t="str">
            <v>-</v>
          </cell>
        </row>
        <row r="786">
          <cell r="A786">
            <v>100573</v>
          </cell>
          <cell r="B786" t="str">
            <v>SINAPI</v>
          </cell>
          <cell r="C786"/>
          <cell r="D786" t="str">
            <v>Execução e compactação de base e ou sub-base para pavimentação de solo (predominantemente argiloso) brita - 50/50 - exclusive solo, escavação, carga e transporte. AF_11/2019</v>
          </cell>
          <cell r="E786"/>
          <cell r="F786" t="str">
            <v>M3</v>
          </cell>
          <cell r="G786">
            <v>99.24</v>
          </cell>
          <cell r="H786" t="str">
            <v>-</v>
          </cell>
        </row>
        <row r="787">
          <cell r="A787">
            <v>101767</v>
          </cell>
          <cell r="B787" t="str">
            <v>SINAPI</v>
          </cell>
          <cell r="C787" t="str">
            <v>PA/0022
20 m3/h</v>
          </cell>
          <cell r="D787" t="str">
            <v>Execução e compactação de base e ou sub base para pavimentação de solos estabilizados granulometricamente com mistura de solos em pista - exclusive solo, escavação, carga e transporte. AF_11/2019</v>
          </cell>
          <cell r="E787"/>
          <cell r="F787" t="str">
            <v>M3</v>
          </cell>
          <cell r="G787">
            <v>27.35</v>
          </cell>
          <cell r="H787" t="str">
            <v>-</v>
          </cell>
        </row>
        <row r="788">
          <cell r="A788">
            <v>101768</v>
          </cell>
          <cell r="B788" t="str">
            <v>SINAPI</v>
          </cell>
          <cell r="C788"/>
          <cell r="D788" t="str">
            <v>Execução e compactação de base e ou sub base para pavimentação de solo estabilizado granulometricamente sem mistura de solos - exclusive solo, escavação, carga e transporte. AF_11/2019</v>
          </cell>
          <cell r="E788"/>
          <cell r="F788" t="str">
            <v>M3</v>
          </cell>
          <cell r="G788">
            <v>40.97</v>
          </cell>
          <cell r="H788" t="str">
            <v>-</v>
          </cell>
        </row>
        <row r="789">
          <cell r="A789" t="str">
            <v>PA/0021</v>
          </cell>
          <cell r="B789" t="str">
            <v>COMPOSIÇÃO</v>
          </cell>
          <cell r="C789">
            <v>28.75</v>
          </cell>
          <cell r="D789" t="str">
            <v>Execução e compactação de base e ou sub-base, estabilizado granulometricamente, sem mistura, com material de jazida. Exclusive fornecimento e transporte (REF. SINAPI COD. 4011219)</v>
          </cell>
          <cell r="E789"/>
          <cell r="F789" t="str">
            <v>M3</v>
          </cell>
          <cell r="G789">
            <v>19.13</v>
          </cell>
          <cell r="H789" t="str">
            <v>-</v>
          </cell>
        </row>
        <row r="790">
          <cell r="A790" t="str">
            <v>PA/0025</v>
          </cell>
          <cell r="B790" t="str">
            <v>COMPOSIÇÃO</v>
          </cell>
          <cell r="C790">
            <v>96401</v>
          </cell>
          <cell r="D790" t="str">
            <v>Imprimação da base, execução e fornecimento de emulsão asfáltica EAI (REF. SINAPI COD. 102470)</v>
          </cell>
          <cell r="E790"/>
          <cell r="F790" t="str">
            <v>M2</v>
          </cell>
          <cell r="G790">
            <v>5.23</v>
          </cell>
          <cell r="H790" t="str">
            <v>-</v>
          </cell>
        </row>
        <row r="791">
          <cell r="A791" t="str">
            <v>PA/0025</v>
          </cell>
          <cell r="B791" t="str">
            <v>COMPOSIÇÃO</v>
          </cell>
          <cell r="C791">
            <v>102100</v>
          </cell>
          <cell r="D791" t="str">
            <v>Imprimação da base, execução e fornecimento de emulsão asfáltica EAI (REF. SINAPI COD. 102470)</v>
          </cell>
          <cell r="E791"/>
          <cell r="F791" t="str">
            <v>M2</v>
          </cell>
          <cell r="G791">
            <v>5.23</v>
          </cell>
          <cell r="H791" t="str">
            <v>-</v>
          </cell>
        </row>
        <row r="792">
          <cell r="A792" t="str">
            <v>PA/0025</v>
          </cell>
          <cell r="B792" t="str">
            <v>COMPOSIÇÃO</v>
          </cell>
          <cell r="C792"/>
          <cell r="D792" t="str">
            <v>Imprimação da base, execução e fornecimento de emulsão asfáltica EAI (REF. SINAPI COD. 102470)</v>
          </cell>
          <cell r="E792"/>
          <cell r="F792" t="str">
            <v>M2</v>
          </cell>
          <cell r="G792">
            <v>5.23</v>
          </cell>
          <cell r="H792" t="str">
            <v>-</v>
          </cell>
        </row>
        <row r="793">
          <cell r="A793" t="str">
            <v>PA/0023</v>
          </cell>
          <cell r="B793" t="str">
            <v>COMPOSIÇÃO</v>
          </cell>
          <cell r="C793"/>
          <cell r="D793" t="str">
            <v>Pintura de ligação, execução e fornecimento de emulsão asfáltica RR-1C (ref SINAPI cód 104375)</v>
          </cell>
          <cell r="E793"/>
          <cell r="F793" t="str">
            <v>M2</v>
          </cell>
          <cell r="G793">
            <v>2.5099999999999998</v>
          </cell>
          <cell r="H793" t="str">
            <v>-</v>
          </cell>
        </row>
        <row r="794">
          <cell r="A794">
            <v>96402</v>
          </cell>
          <cell r="B794" t="str">
            <v>SINAPI</v>
          </cell>
          <cell r="C794"/>
          <cell r="D794" t="str">
            <v>Execução de pintura de ligação com emulsão asfáltica RR-2C. AF_11/2019</v>
          </cell>
          <cell r="E794"/>
          <cell r="F794" t="e">
            <v>#N/A</v>
          </cell>
          <cell r="G794" t="e">
            <v>#N/A</v>
          </cell>
          <cell r="H794" t="str">
            <v>VER COMP</v>
          </cell>
        </row>
        <row r="795">
          <cell r="A795">
            <v>102101</v>
          </cell>
          <cell r="B795" t="str">
            <v>SINAPI</v>
          </cell>
          <cell r="C795"/>
          <cell r="D795" t="str">
            <v>Execução de pintura de ligação com emulsão asfáltica RR-2C, para o fechamento de valas. AF_12/2020</v>
          </cell>
          <cell r="E795"/>
          <cell r="F795" t="e">
            <v>#N/A</v>
          </cell>
          <cell r="G795" t="e">
            <v>#N/A</v>
          </cell>
          <cell r="H795" t="str">
            <v>VER COMP</v>
          </cell>
        </row>
        <row r="796">
          <cell r="A796" t="str">
            <v>PA/0030</v>
          </cell>
          <cell r="B796" t="str">
            <v>COMPOSIÇÃO</v>
          </cell>
          <cell r="C796"/>
          <cell r="D796" t="str">
            <v>Selagem de trincas mecanizada em pavimento flexível com emulsão, incluindo fornecimentos e execução. Exclusive transporte (REF. SICRO COD. 4915626)</v>
          </cell>
          <cell r="E796" t="str">
            <v>ATENÇÃO
areia
0,00064m³/m</v>
          </cell>
          <cell r="F796" t="str">
            <v>M</v>
          </cell>
          <cell r="G796">
            <v>4.01</v>
          </cell>
          <cell r="H796" t="str">
            <v>-</v>
          </cell>
        </row>
        <row r="797">
          <cell r="A797" t="str">
            <v>PA/0035</v>
          </cell>
          <cell r="B797" t="str">
            <v>COMPOSIÇÃO</v>
          </cell>
          <cell r="C797"/>
          <cell r="D797" t="str">
            <v>Capa selante para agulhamento na base, execução e fornecimento de emulsão asfáltica RR-2C. Exclusive transporte (REF. SICRO COD. 4915636)</v>
          </cell>
          <cell r="E797" t="str">
            <v>ATENÇÃO
pedrisco
0,006m³/m²</v>
          </cell>
          <cell r="F797" t="str">
            <v>M2</v>
          </cell>
          <cell r="G797">
            <v>4.92</v>
          </cell>
          <cell r="H797" t="str">
            <v>-</v>
          </cell>
        </row>
        <row r="798">
          <cell r="A798">
            <v>34770</v>
          </cell>
          <cell r="B798" t="str">
            <v>COTAÇÃO - SINAPI</v>
          </cell>
          <cell r="C798"/>
          <cell r="D798" t="str">
            <v>Concreto betuminoso usinado a quente (CBUQ) para pavimentação asfáltica, padrão DNIT, faixa C, com CAP 30/45 - Aquisição posto usina</v>
          </cell>
          <cell r="E798"/>
          <cell r="F798" t="str">
            <v xml:space="preserve">T     </v>
          </cell>
          <cell r="G798">
            <v>588.53</v>
          </cell>
          <cell r="H798" t="str">
            <v>-</v>
          </cell>
        </row>
        <row r="799">
          <cell r="A799">
            <v>1518</v>
          </cell>
          <cell r="B799" t="str">
            <v>COTAÇÃO - SINAPI</v>
          </cell>
          <cell r="C799"/>
          <cell r="D799" t="str">
            <v>Concreto betuminoso usinado a quente (CBUQ) para pavimentação asfáltica, padrão DNIT, faixa C, com CAP 50/70 - Aquisição posto usina</v>
          </cell>
          <cell r="E799"/>
          <cell r="F799" t="str">
            <v xml:space="preserve">T     </v>
          </cell>
          <cell r="G799">
            <v>600</v>
          </cell>
          <cell r="H799" t="str">
            <v>-</v>
          </cell>
        </row>
        <row r="800">
          <cell r="A800">
            <v>41965</v>
          </cell>
          <cell r="B800" t="str">
            <v>COTAÇÃO - SINAPI</v>
          </cell>
          <cell r="C800"/>
          <cell r="D800" t="str">
            <v>Concreto betuminoso usinado a quente (CBUQ) para pavimentação asfáltica, padrão DNIT, para binder, com CAP 50/70 - Aquisição posto usina</v>
          </cell>
          <cell r="E800"/>
          <cell r="F800" t="str">
            <v xml:space="preserve">T     </v>
          </cell>
          <cell r="G800">
            <v>526.1</v>
          </cell>
          <cell r="H800" t="str">
            <v>-</v>
          </cell>
        </row>
        <row r="801">
          <cell r="A801">
            <v>101020</v>
          </cell>
          <cell r="B801" t="str">
            <v>SINAPI</v>
          </cell>
          <cell r="C801"/>
          <cell r="D801" t="str">
            <v>Usinagem de concreto asfáltico com CAP 50/70, para camada de binder, padrão DNIT faixa B, em usina de asfalto contínua de 80 ton/h. AF_03/2020</v>
          </cell>
          <cell r="E801"/>
          <cell r="F801" t="e">
            <v>#N/A</v>
          </cell>
          <cell r="G801" t="e">
            <v>#N/A</v>
          </cell>
          <cell r="H801" t="str">
            <v>VER COMP</v>
          </cell>
        </row>
        <row r="802">
          <cell r="A802">
            <v>97802</v>
          </cell>
          <cell r="B802" t="str">
            <v>SINAPI</v>
          </cell>
          <cell r="C802"/>
          <cell r="D802" t="str">
            <v>SUBSTITUIR PELA COMPOSIÇÃO PA/0140</v>
          </cell>
          <cell r="E802"/>
          <cell r="F802" t="e">
            <v>#N/A</v>
          </cell>
          <cell r="G802" t="e">
            <v>#N/A</v>
          </cell>
          <cell r="H802" t="str">
            <v>VER COMP</v>
          </cell>
        </row>
        <row r="803">
          <cell r="A803" t="str">
            <v>PA/0140</v>
          </cell>
          <cell r="B803" t="str">
            <v>COMPOSIÇÃO</v>
          </cell>
          <cell r="C803"/>
          <cell r="D803" t="str">
            <v>PAVIMENTO COM TRATAMENTO SUPERFICIAL SIMPLES, COM EMULSÃO ASFÁLTICA RR-2C (REF. SINAPI COD. 03.PAVI.TSUP.002/01-104376 DB 09-21)</v>
          </cell>
          <cell r="E803"/>
          <cell r="F803" t="str">
            <v>M2</v>
          </cell>
          <cell r="G803">
            <v>6.96</v>
          </cell>
          <cell r="H803" t="str">
            <v>-</v>
          </cell>
        </row>
        <row r="804">
          <cell r="A804">
            <v>97805</v>
          </cell>
          <cell r="B804" t="str">
            <v>SINAPI</v>
          </cell>
          <cell r="C804"/>
          <cell r="D804" t="str">
            <v>SUBSTITUIR PELA COMPOSIÇÃO PA/0150</v>
          </cell>
          <cell r="E804"/>
          <cell r="F804" t="e">
            <v>#N/A</v>
          </cell>
          <cell r="G804" t="e">
            <v>#N/A</v>
          </cell>
          <cell r="H804" t="str">
            <v>VER COMP</v>
          </cell>
        </row>
        <row r="805">
          <cell r="A805" t="str">
            <v>PA/0150</v>
          </cell>
          <cell r="B805" t="str">
            <v>COMPOSIÇÃO</v>
          </cell>
          <cell r="C805"/>
          <cell r="D805" t="str">
            <v>PAVIMENTO COM TRATAMENTO SUPERFICIAL DUPLO, COM EMULSÃO ASFÁLTICA RR-2C (REF. SINAPI COD. 03.PAVI.TSUP.005/01-104389 DB 09-21)</v>
          </cell>
          <cell r="E805"/>
          <cell r="F805" t="str">
            <v>M2</v>
          </cell>
          <cell r="G805">
            <v>15.93</v>
          </cell>
          <cell r="H805" t="str">
            <v>-</v>
          </cell>
        </row>
        <row r="806">
          <cell r="A806" t="str">
            <v>PA/0160</v>
          </cell>
          <cell r="B806" t="str">
            <v>COMPOSIÇÃO</v>
          </cell>
          <cell r="C806"/>
          <cell r="D806" t="str">
            <v>PAVIMENTO COM TRATAMENTO SUPERFICIAL TRIPLO, COM EMULSÃO ASFÁLTICA RR-2C (REF. SINAPI COD. 03.PAVI.TSUP.009/01-104380 DB 09-21)</v>
          </cell>
          <cell r="E806"/>
          <cell r="F806" t="str">
            <v>M2</v>
          </cell>
          <cell r="G806">
            <v>19.66</v>
          </cell>
          <cell r="H806" t="str">
            <v>-</v>
          </cell>
        </row>
        <row r="807">
          <cell r="A807">
            <v>97807</v>
          </cell>
          <cell r="B807" t="str">
            <v>SINAPI</v>
          </cell>
          <cell r="C807"/>
          <cell r="D807" t="str">
            <v>Pavimento com tratamento superficial duplo, com emulsão asfáltica RR-2C, com capa selante. AF_01/2020</v>
          </cell>
          <cell r="E807" t="str">
            <v>ATENÇÃO
0,0247 m³/m²
2,3 kg/m²</v>
          </cell>
          <cell r="F807" t="e">
            <v>#N/A</v>
          </cell>
          <cell r="G807" t="e">
            <v>#N/A</v>
          </cell>
          <cell r="H807" t="str">
            <v>VER COMP</v>
          </cell>
        </row>
        <row r="808">
          <cell r="A808">
            <v>101021</v>
          </cell>
          <cell r="B808" t="str">
            <v>SINAPI</v>
          </cell>
          <cell r="C808"/>
          <cell r="D808" t="str">
            <v>Usinagem de concreto asfáltico com cap 50/70, para camada de rolamento, padrão DNit faixa C, em usina de asfalto contínua de 80 ton/h. AF_03/2020</v>
          </cell>
          <cell r="E808"/>
          <cell r="F808" t="e">
            <v>#N/A</v>
          </cell>
          <cell r="G808" t="e">
            <v>#N/A</v>
          </cell>
          <cell r="H808" t="str">
            <v>VER COMP</v>
          </cell>
        </row>
        <row r="809">
          <cell r="A809" t="str">
            <v>PA/0036</v>
          </cell>
          <cell r="B809" t="str">
            <v>COMPOSIÇÃO</v>
          </cell>
          <cell r="C809"/>
          <cell r="D809" t="str">
            <v>Usinagem de Concreto Betuminoso Usinado à Quente - CBUQ - FAIXA "C" - para revestimento asfáltico, CAP 50-70, posto usina comercial. Exclusive mobilização, instalação, desmobilização e transporte dos insumos (REF. SINAPI COD. 101021)</v>
          </cell>
          <cell r="E809"/>
          <cell r="F809" t="str">
            <v>T</v>
          </cell>
          <cell r="G809">
            <v>455.16</v>
          </cell>
          <cell r="H809" t="str">
            <v>-</v>
          </cell>
        </row>
        <row r="810">
          <cell r="A810">
            <v>101025</v>
          </cell>
          <cell r="B810" t="str">
            <v>SINAPI</v>
          </cell>
          <cell r="C810"/>
          <cell r="D810" t="str">
            <v>Usinagem de concreto asfáltico com CAP 50/70 para camada de rolamento, padrão DNIT faixa C, em usina de asfalto gravimétrica de 150 ton/h. AF_03/2020_P</v>
          </cell>
          <cell r="E810"/>
          <cell r="F810" t="e">
            <v>#N/A</v>
          </cell>
          <cell r="G810" t="e">
            <v>#N/A</v>
          </cell>
          <cell r="H810" t="str">
            <v>VER COMP</v>
          </cell>
        </row>
        <row r="811">
          <cell r="A811" t="str">
            <v>PA/0037</v>
          </cell>
          <cell r="B811" t="str">
            <v>COMPOSIÇÃO</v>
          </cell>
          <cell r="C811"/>
          <cell r="D811" t="str">
            <v>Usinagem de Concreto Betuminoso Usinado à Quente - CBUQ - FAIXA "C" - para revestimento asfáltico, CAP 30-45, em usina de asfalto contínua de 80 TON/H. Exclusive mobilização, instalação, desmobilização e transporte dos insumos (REF. SINAPI COD. 104359)</v>
          </cell>
          <cell r="E811"/>
          <cell r="F811" t="str">
            <v>T</v>
          </cell>
          <cell r="G811">
            <v>466.51</v>
          </cell>
          <cell r="H811" t="str">
            <v>-</v>
          </cell>
        </row>
        <row r="812">
          <cell r="A812" t="str">
            <v>PA/0040</v>
          </cell>
          <cell r="B812" t="str">
            <v>COMPOSIÇÃO</v>
          </cell>
          <cell r="C812"/>
          <cell r="D812" t="str">
            <v>Construção de pavimento com aplicação de concreto betuminoso usinado à quente (CBUQ - faixa C - CAP 30/45 - usina comercial), camada de rolamento, exclusive transporte da mistura (REF. SINAPI COD. 95995)</v>
          </cell>
          <cell r="E812"/>
          <cell r="F812" t="str">
            <v>M3</v>
          </cell>
          <cell r="G812">
            <v>1623.14</v>
          </cell>
          <cell r="H812" t="str">
            <v>-</v>
          </cell>
        </row>
        <row r="813">
          <cell r="A813" t="str">
            <v>PA/0041</v>
          </cell>
          <cell r="B813" t="str">
            <v>COMPOSIÇÃO</v>
          </cell>
          <cell r="C813"/>
          <cell r="D813" t="str">
            <v>Construção de pavimento com aplicação de concreto betuminoso usinado à quente (CBUQ - faixa C - CAP 30/45 - usina comercial), camada de rolamento, exclusive transporte da mistura (REF. SINAPI COD. 95995)</v>
          </cell>
          <cell r="E813"/>
          <cell r="F813" t="str">
            <v>M3</v>
          </cell>
          <cell r="G813">
            <v>1324.48</v>
          </cell>
          <cell r="H813" t="str">
            <v>-</v>
          </cell>
        </row>
        <row r="814">
          <cell r="A814" t="str">
            <v>PA/0042</v>
          </cell>
          <cell r="B814" t="str">
            <v>COMPOSIÇÃO</v>
          </cell>
          <cell r="C814"/>
          <cell r="D814" t="str">
            <v>Construção de pavimento com aplicação de concreto betuminoso usinado à quente (CBUQ - faixa C - CAP 50/70 - usina comercial), camada de rolamento, exclusive transporte da mistura (REF. SINAPI COD. 95995)</v>
          </cell>
          <cell r="E814"/>
          <cell r="F814" t="str">
            <v>M3</v>
          </cell>
          <cell r="G814">
            <v>1295.48</v>
          </cell>
          <cell r="H814" t="str">
            <v>-</v>
          </cell>
        </row>
        <row r="815">
          <cell r="A815" t="str">
            <v>PA/0045</v>
          </cell>
          <cell r="B815" t="str">
            <v>COMPOSIÇÃO</v>
          </cell>
          <cell r="C815"/>
          <cell r="D815" t="str">
            <v>Construção de pavimento com aplicação de concreto betuminoso usinado à quente modificado por polímero elastomérico - CBUQ (p) - CAP 60-85-E - FAIXA "C", camada de rolamento. Exclusive transporte da mistura (REF. SINAPI COD. 95995)</v>
          </cell>
          <cell r="E815"/>
          <cell r="F815" t="str">
            <v>M3</v>
          </cell>
          <cell r="G815">
            <v>1874.81</v>
          </cell>
          <cell r="H815" t="str">
            <v>-</v>
          </cell>
        </row>
        <row r="816">
          <cell r="A816">
            <v>95995</v>
          </cell>
          <cell r="B816" t="str">
            <v>SINAPI</v>
          </cell>
          <cell r="C816"/>
          <cell r="D816" t="str">
            <v>Construção de pavimento com aplicação de concreto betuminoso usinado à quente (CBUQ - faixa C - CAP 50/70 - usina comercial), camada de rolamento. Exclusive transporte da mistura. Af_11/2019</v>
          </cell>
          <cell r="E816"/>
          <cell r="F816" t="str">
            <v>M3</v>
          </cell>
          <cell r="G816">
            <v>1652.41</v>
          </cell>
          <cell r="H816" t="str">
            <v>-</v>
          </cell>
        </row>
        <row r="817">
          <cell r="A817">
            <v>95996</v>
          </cell>
          <cell r="B817" t="str">
            <v>SINAPI</v>
          </cell>
          <cell r="C817"/>
          <cell r="D817" t="str">
            <v>Execução de pavimento com aplicação de concreto asfáltico, camada de binder - exclusive carga e transporte. AF_11/2019</v>
          </cell>
          <cell r="E817"/>
          <cell r="F817" t="str">
            <v>M3</v>
          </cell>
          <cell r="G817">
            <v>1430.23</v>
          </cell>
          <cell r="H817" t="str">
            <v>-</v>
          </cell>
        </row>
        <row r="818">
          <cell r="A818" t="str">
            <v>PA/0050</v>
          </cell>
          <cell r="B818" t="str">
            <v>COMPOSIÇÃO</v>
          </cell>
          <cell r="C818"/>
          <cell r="D818" t="str">
            <v>Aplicação com vibroacabadora de massa asfáltica quente. Exclusive fornecimento e transporte da mistura betuminosa (REF. SINAPI COD. 95995)</v>
          </cell>
          <cell r="E818"/>
          <cell r="F818" t="str">
            <v>M3</v>
          </cell>
          <cell r="G818">
            <v>132.63999999999999</v>
          </cell>
          <cell r="H818" t="str">
            <v>-</v>
          </cell>
        </row>
        <row r="819">
          <cell r="A819">
            <v>101027</v>
          </cell>
          <cell r="B819" t="str">
            <v>SINAPI</v>
          </cell>
          <cell r="C819"/>
          <cell r="D819" t="str">
            <v>Usinagem de pré misturado a frio, para camada de rolamento, padrão DNIT faixa C. AF_03/2020_P</v>
          </cell>
          <cell r="E819"/>
          <cell r="F819" t="e">
            <v>#N/A</v>
          </cell>
          <cell r="G819" t="e">
            <v>#N/A</v>
          </cell>
          <cell r="H819" t="str">
            <v>VER COMP</v>
          </cell>
        </row>
        <row r="820">
          <cell r="A820" t="str">
            <v>PA/0055</v>
          </cell>
          <cell r="B820" t="str">
            <v>COMPOSIÇÃO</v>
          </cell>
          <cell r="C820"/>
          <cell r="D820" t="str">
            <v>Execução de pré-misturado a frio - PMF, faixa C (semidenso), com emulsão asfáltica RL-1C, para revestimento, aplicação com vibroacabadora. Exclusive transporte</v>
          </cell>
          <cell r="E820" t="str">
            <v>B: 0,94921 m³/m²
A: 0,44527 m³/m²
CAL: 87,61905 kg/m²
E = 0,18254 T/m³</v>
          </cell>
          <cell r="F820" t="str">
            <v>M3</v>
          </cell>
          <cell r="G820">
            <v>1102.77</v>
          </cell>
          <cell r="H820" t="str">
            <v>-</v>
          </cell>
        </row>
        <row r="821">
          <cell r="A821">
            <v>100624</v>
          </cell>
          <cell r="B821" t="str">
            <v>SINAPI</v>
          </cell>
          <cell r="C821"/>
          <cell r="D821" t="str">
            <v>Execução de pavimento com aplicação de pré-misturado a frio, camada de rolamento - exclusive carga e transporte. AF_11/2019</v>
          </cell>
          <cell r="E821"/>
          <cell r="F821" t="e">
            <v>#N/A</v>
          </cell>
          <cell r="G821" t="e">
            <v>#N/A</v>
          </cell>
          <cell r="H821" t="str">
            <v>VER COMP</v>
          </cell>
        </row>
        <row r="822">
          <cell r="A822">
            <v>100625</v>
          </cell>
          <cell r="B822" t="str">
            <v>SINAPI</v>
          </cell>
          <cell r="C822"/>
          <cell r="D822" t="str">
            <v>Execução de pavimento com aplicação de pré-misturado a frio, camada de binder - exclusive carga e transporte. AF_11/2019</v>
          </cell>
          <cell r="E822"/>
          <cell r="F822" t="e">
            <v>#N/A</v>
          </cell>
          <cell r="G822" t="e">
            <v>#N/A</v>
          </cell>
          <cell r="H822" t="str">
            <v>VER COMP</v>
          </cell>
        </row>
        <row r="823">
          <cell r="A823">
            <v>92393</v>
          </cell>
          <cell r="B823" t="str">
            <v>SINAPI</v>
          </cell>
          <cell r="C823" t="str">
            <v>PISO SEXTAVADO</v>
          </cell>
          <cell r="D823" t="str">
            <v>Execução de pavimento em piso intertravado, com bloco sextavado de 25 x 25 cm, espessura 6 cm. AF_12/2015</v>
          </cell>
          <cell r="E823" t="str">
            <v>areia empolada
0,082 m³/m²</v>
          </cell>
          <cell r="F823" t="str">
            <v>M2</v>
          </cell>
          <cell r="G823">
            <v>60.48</v>
          </cell>
          <cell r="H823" t="str">
            <v>-</v>
          </cell>
        </row>
        <row r="824">
          <cell r="A824">
            <v>92394</v>
          </cell>
          <cell r="B824" t="str">
            <v>SINAPI</v>
          </cell>
          <cell r="C824"/>
          <cell r="D824" t="str">
            <v>Execução de pavimento em piso intertravado, com bloco sextavado de 25 x 25 cm, espessura 8 cm. AF_12/2015</v>
          </cell>
          <cell r="E824" t="str">
            <v>areia empolada
0,085 m³/m²</v>
          </cell>
          <cell r="F824" t="str">
            <v>M2</v>
          </cell>
          <cell r="G824">
            <v>75.23</v>
          </cell>
          <cell r="H824" t="str">
            <v>-</v>
          </cell>
        </row>
        <row r="825">
          <cell r="A825">
            <v>92395</v>
          </cell>
          <cell r="B825" t="str">
            <v>SINAPI</v>
          </cell>
          <cell r="C825"/>
          <cell r="D825" t="str">
            <v>Execução de pavimento em piso intertravado, com bloco sextavado de 25 x 25 cm, espessura 10 cm. AF_12/2015</v>
          </cell>
          <cell r="E825" t="str">
            <v>areia empolada
0,088 m³/m²</v>
          </cell>
          <cell r="F825" t="str">
            <v>M2</v>
          </cell>
          <cell r="G825">
            <v>90.35</v>
          </cell>
          <cell r="H825" t="str">
            <v>-</v>
          </cell>
        </row>
        <row r="826">
          <cell r="A826">
            <v>101820</v>
          </cell>
          <cell r="B826" t="str">
            <v>SINAPI</v>
          </cell>
          <cell r="C826"/>
          <cell r="D826" t="str">
            <v>Recomposição de pavimento em piso intertravado sextavado, com reaproveitamento dos blocos sextavado, para o fechamento de valas. AF_12/2020</v>
          </cell>
          <cell r="E826"/>
          <cell r="F826" t="str">
            <v>M2</v>
          </cell>
          <cell r="G826">
            <v>37.42</v>
          </cell>
          <cell r="H826" t="str">
            <v>-</v>
          </cell>
        </row>
        <row r="827">
          <cell r="A827">
            <v>101857</v>
          </cell>
          <cell r="B827" t="str">
            <v>SINAPI</v>
          </cell>
          <cell r="C827"/>
          <cell r="D827" t="str">
            <v>Reassentamento de blocos sextavado para piso intertravado, espessura de 6 cm, em calçada, com reaproveitamento dos blocos sextavados. AF_12/2020</v>
          </cell>
          <cell r="E827"/>
          <cell r="F827" t="str">
            <v>M2</v>
          </cell>
          <cell r="G827">
            <v>29.17</v>
          </cell>
          <cell r="H827" t="str">
            <v>-</v>
          </cell>
        </row>
        <row r="828">
          <cell r="A828">
            <v>101858</v>
          </cell>
          <cell r="B828" t="str">
            <v>SINAPI</v>
          </cell>
          <cell r="C828"/>
          <cell r="D828" t="str">
            <v>Reassentamento de blocos sextavado para piso intertravado, espessura de 6 cm, em via/estacionamento, com reaproveitamento dos blocos sextavado. AF_12/2020</v>
          </cell>
          <cell r="E828"/>
          <cell r="F828" t="str">
            <v>M2</v>
          </cell>
          <cell r="G828">
            <v>23.7</v>
          </cell>
          <cell r="H828" t="str">
            <v>-</v>
          </cell>
        </row>
        <row r="829">
          <cell r="A829">
            <v>101859</v>
          </cell>
          <cell r="B829" t="str">
            <v>SINAPI</v>
          </cell>
          <cell r="C829"/>
          <cell r="D829" t="str">
            <v>Reassentamento de blocos sextavado para piso intertravado, espessura de 8 cm, em via/estacionamento, com reaproveitamento dos blocos sextavado. AF_12/2020</v>
          </cell>
          <cell r="E829"/>
          <cell r="F829" t="str">
            <v>M2</v>
          </cell>
          <cell r="G829">
            <v>26.28</v>
          </cell>
          <cell r="H829" t="str">
            <v>-</v>
          </cell>
        </row>
        <row r="830">
          <cell r="A830">
            <v>101860</v>
          </cell>
          <cell r="B830" t="str">
            <v>SINAPI</v>
          </cell>
          <cell r="C830"/>
          <cell r="D830" t="str">
            <v>Reassentamento de blocos sextavado para piso intertravado, espessura de 10 cm, em via/estacionamento, com reaproveitamento dos blocos sextavado. AF_12/2020</v>
          </cell>
          <cell r="E830"/>
          <cell r="F830" t="str">
            <v>M2</v>
          </cell>
          <cell r="G830">
            <v>30.3</v>
          </cell>
          <cell r="H830" t="str">
            <v>-</v>
          </cell>
        </row>
        <row r="831">
          <cell r="A831">
            <v>92400</v>
          </cell>
          <cell r="B831" t="str">
            <v>SINAPI</v>
          </cell>
          <cell r="C831" t="str">
            <v>PISO PARA PÁTIO / ESTACIONAMENTO</v>
          </cell>
          <cell r="D831" t="str">
            <v>Execução de pavimento em piso intertravado, com bloco retangular de 20 x 10 cm, espessura 10 cm. AF_10/2022</v>
          </cell>
          <cell r="E831" t="str">
            <v>areia empolada
0,088 m³/m²</v>
          </cell>
          <cell r="F831" t="str">
            <v>M2</v>
          </cell>
          <cell r="G831">
            <v>93.2</v>
          </cell>
          <cell r="H831" t="str">
            <v>-</v>
          </cell>
        </row>
        <row r="832">
          <cell r="A832">
            <v>93680</v>
          </cell>
          <cell r="B832" t="str">
            <v>SINAPI</v>
          </cell>
          <cell r="C832"/>
          <cell r="D832" t="str">
            <v>Execução de pavimento em piso intertravado, com bloco retangular colorido de 20 x 10 cm, espessura 6 cm. AF_10/2022</v>
          </cell>
          <cell r="E832" t="str">
            <v>areia empolada
0,082 m³/m²</v>
          </cell>
          <cell r="F832" t="str">
            <v>M2</v>
          </cell>
          <cell r="G832">
            <v>71.599999999999994</v>
          </cell>
          <cell r="H832" t="str">
            <v>-</v>
          </cell>
        </row>
        <row r="833">
          <cell r="A833">
            <v>93681</v>
          </cell>
          <cell r="B833" t="str">
            <v>SINAPI</v>
          </cell>
          <cell r="C833"/>
          <cell r="D833" t="str">
            <v>Execução de pavimento em piso intertravado, com bloco retangular colorido de 20 x 10 cm, espessura 8 cm. AF_10/2022</v>
          </cell>
          <cell r="E833" t="str">
            <v>areia empolada
0,085 m³/m²</v>
          </cell>
          <cell r="F833" t="str">
            <v>M2</v>
          </cell>
          <cell r="G833">
            <v>85.63</v>
          </cell>
          <cell r="H833" t="str">
            <v>-</v>
          </cell>
        </row>
        <row r="834">
          <cell r="A834">
            <v>92397</v>
          </cell>
          <cell r="B834" t="str">
            <v>SINAPI</v>
          </cell>
          <cell r="C834"/>
          <cell r="D834" t="str">
            <v>Execução de pavimento em piso intertravado, com bloco retangular cor natural de 20 x 10 cm, espessura 6 cm. AF_10/2022</v>
          </cell>
          <cell r="E834" t="str">
            <v>areia empolada
0,082 m³/m²</v>
          </cell>
          <cell r="F834" t="str">
            <v>M2</v>
          </cell>
          <cell r="G834">
            <v>63.83</v>
          </cell>
          <cell r="H834" t="str">
            <v>-</v>
          </cell>
        </row>
        <row r="835">
          <cell r="A835">
            <v>92398</v>
          </cell>
          <cell r="B835" t="str">
            <v>SINAPI</v>
          </cell>
          <cell r="C835"/>
          <cell r="D835" t="str">
            <v>Execução de pavimento em piso intertravado, com bloco retangular cor natural de 20 x 10 cm, espessura 8 cm. AF_10/2022</v>
          </cell>
          <cell r="E835" t="str">
            <v>areia empolada
0,085 m³/m²</v>
          </cell>
          <cell r="F835" t="str">
            <v>M2</v>
          </cell>
          <cell r="G835">
            <v>79.430000000000007</v>
          </cell>
          <cell r="H835" t="str">
            <v>-</v>
          </cell>
        </row>
        <row r="836">
          <cell r="A836">
            <v>92403</v>
          </cell>
          <cell r="B836" t="str">
            <v>SINAPI</v>
          </cell>
          <cell r="C836"/>
          <cell r="D836" t="str">
            <v>Execução de pavimento em piso intertravado, com bloco 16 faces de 22 x 11 cm, espessura 6 cm. AF_10/2022</v>
          </cell>
          <cell r="E836" t="str">
            <v>areia empolada
 0,082 m³/m²</v>
          </cell>
          <cell r="F836" t="str">
            <v>M2</v>
          </cell>
          <cell r="G836">
            <v>61.64</v>
          </cell>
          <cell r="H836" t="str">
            <v>-</v>
          </cell>
        </row>
        <row r="837">
          <cell r="A837">
            <v>92404</v>
          </cell>
          <cell r="B837" t="str">
            <v>SINAPI</v>
          </cell>
          <cell r="C837"/>
          <cell r="D837" t="str">
            <v>Execução de pavimento em piso intertravado, com bloco 16 faces de 22 x 11 cm, espessura 8 cm. AF_10/2022</v>
          </cell>
          <cell r="E837" t="str">
            <v>areia empolada
0,085 m³/m²</v>
          </cell>
          <cell r="F837" t="str">
            <v>M2</v>
          </cell>
          <cell r="G837">
            <v>77.23</v>
          </cell>
          <cell r="H837" t="str">
            <v>-</v>
          </cell>
        </row>
        <row r="838">
          <cell r="A838">
            <v>92406</v>
          </cell>
          <cell r="B838" t="str">
            <v>SINAPI</v>
          </cell>
          <cell r="C838"/>
          <cell r="D838" t="str">
            <v>Execução de pavimento em piso intertravado, com bloco 16 faces de 22 x 11 cm, espessura 10 cm. AF_10/2022</v>
          </cell>
          <cell r="E838" t="str">
            <v>areia empolada
0,088 m³/m²</v>
          </cell>
          <cell r="F838" t="str">
            <v>M2</v>
          </cell>
          <cell r="G838">
            <v>92.61</v>
          </cell>
          <cell r="H838" t="str">
            <v>-</v>
          </cell>
        </row>
        <row r="839">
          <cell r="A839">
            <v>93681</v>
          </cell>
          <cell r="B839" t="str">
            <v>SINAPI</v>
          </cell>
          <cell r="C839">
            <v>93682</v>
          </cell>
          <cell r="D839" t="str">
            <v>Execução de pavimento em piso intertravado, com bloco retangular colorido de 20 x 10 cm, espessura 8 cm. AF_10/2022</v>
          </cell>
          <cell r="E839" t="str">
            <v>areia empolada
0,085 m³/m²</v>
          </cell>
          <cell r="F839" t="str">
            <v>M2</v>
          </cell>
          <cell r="G839">
            <v>85.63</v>
          </cell>
          <cell r="H839" t="str">
            <v>-</v>
          </cell>
        </row>
        <row r="840">
          <cell r="A840">
            <v>92398</v>
          </cell>
          <cell r="B840" t="str">
            <v>SINAPI</v>
          </cell>
          <cell r="C840">
            <v>92399</v>
          </cell>
          <cell r="D840" t="str">
            <v>Execução de pavimento em piso intertravado, com bloco retangular cor natural de 20 x 10 cm, espessura 8 cm. AF_10/2022</v>
          </cell>
          <cell r="E840" t="str">
            <v>areia empolada
0,085 m³/m²</v>
          </cell>
          <cell r="F840" t="str">
            <v>M2</v>
          </cell>
          <cell r="G840">
            <v>79.430000000000007</v>
          </cell>
          <cell r="H840" t="str">
            <v>-</v>
          </cell>
        </row>
        <row r="841">
          <cell r="A841">
            <v>92400</v>
          </cell>
          <cell r="B841" t="str">
            <v>SINAPI</v>
          </cell>
          <cell r="C841">
            <v>92401</v>
          </cell>
          <cell r="D841" t="str">
            <v>Execução de pavimento em piso intertravado, com bloco retangular de 20 x 10 cm, espessura 10 cm. AF_10/2022</v>
          </cell>
          <cell r="E841" t="str">
            <v>areia empolada
0,088 m³/m²</v>
          </cell>
          <cell r="F841" t="str">
            <v>M2</v>
          </cell>
          <cell r="G841">
            <v>93.2</v>
          </cell>
          <cell r="H841" t="str">
            <v>-</v>
          </cell>
        </row>
        <row r="842">
          <cell r="A842">
            <v>92404</v>
          </cell>
          <cell r="B842" t="str">
            <v>SINAPI</v>
          </cell>
          <cell r="C842">
            <v>92405</v>
          </cell>
          <cell r="D842" t="str">
            <v>Execução de pavimento em piso intertravado, com bloco 16 faces de 22 x 11 cm, espessura 8 cm. AF_12/2015</v>
          </cell>
          <cell r="E842" t="str">
            <v>areia empolada
0,085 m³/m²</v>
          </cell>
          <cell r="F842" t="str">
            <v>M2</v>
          </cell>
          <cell r="G842">
            <v>77.23</v>
          </cell>
          <cell r="H842" t="str">
            <v>-</v>
          </cell>
        </row>
        <row r="843">
          <cell r="A843">
            <v>92406</v>
          </cell>
          <cell r="B843" t="str">
            <v>SINAPI</v>
          </cell>
          <cell r="C843">
            <v>92406</v>
          </cell>
          <cell r="D843" t="str">
            <v>Execução de pavimento em piso intertravado, com bloco 16 faces de 22 x 11 cm, espessura 10 cm. AF_12/2015</v>
          </cell>
          <cell r="E843" t="str">
            <v>areia empolada
0,088 m³/m²</v>
          </cell>
          <cell r="F843" t="str">
            <v>M2</v>
          </cell>
          <cell r="G843">
            <v>92.61</v>
          </cell>
          <cell r="H843" t="str">
            <v>-</v>
          </cell>
        </row>
        <row r="844">
          <cell r="A844">
            <v>101863</v>
          </cell>
          <cell r="B844" t="str">
            <v>SINAPI</v>
          </cell>
          <cell r="D844" t="str">
            <v>Reassentamento de blocos retangular para piso intertravado, espessura de 6 cm, em via/estacionamento, com reaproveitamento dos blocos retangular. AF_12/2020</v>
          </cell>
          <cell r="E844"/>
          <cell r="F844" t="str">
            <v>M2</v>
          </cell>
          <cell r="G844">
            <v>24.06</v>
          </cell>
          <cell r="H844" t="str">
            <v>-</v>
          </cell>
        </row>
        <row r="845">
          <cell r="A845">
            <v>101864</v>
          </cell>
          <cell r="B845" t="str">
            <v>SINAPI</v>
          </cell>
          <cell r="D845" t="str">
            <v>Reassentamento de blocos retangular para piso intertravado, espessura de 8 cm, em via/estacionamento, com reaproveitamento dos blocos retangular. AF_12/2020</v>
          </cell>
          <cell r="E845"/>
          <cell r="F845" t="str">
            <v>M2</v>
          </cell>
          <cell r="G845">
            <v>28.1</v>
          </cell>
          <cell r="H845" t="str">
            <v>-</v>
          </cell>
        </row>
        <row r="846">
          <cell r="A846">
            <v>101865</v>
          </cell>
          <cell r="B846" t="str">
            <v>SINAPI</v>
          </cell>
          <cell r="D846" t="str">
            <v>Reassentamento de blocos retangular para piso intertravado, espessura de 10 cm, em via/estacionamento, com reaproveitamento dos blocos retangular. AF_12/2020</v>
          </cell>
          <cell r="E846"/>
          <cell r="F846" t="str">
            <v>M2</v>
          </cell>
          <cell r="G846">
            <v>32.11</v>
          </cell>
          <cell r="H846" t="str">
            <v>-</v>
          </cell>
        </row>
        <row r="847">
          <cell r="A847">
            <v>101868</v>
          </cell>
          <cell r="B847" t="str">
            <v>SINAPI</v>
          </cell>
          <cell r="D847" t="str">
            <v>Reassentamento de blocos 16 faces para piso intertravado, espessura de 6 cm, em via/estacionamento, com reaproveitamento dos blocos 16 faces. AF_12/2020</v>
          </cell>
          <cell r="E847"/>
          <cell r="F847" t="str">
            <v>M2</v>
          </cell>
          <cell r="G847">
            <v>25.68</v>
          </cell>
          <cell r="H847" t="str">
            <v>-</v>
          </cell>
        </row>
        <row r="848">
          <cell r="A848">
            <v>101869</v>
          </cell>
          <cell r="B848" t="str">
            <v>SINAPI</v>
          </cell>
          <cell r="D848" t="str">
            <v>Reassentamento de blocos 16 faces para piso intertravado, espessura de 8 cm, em via/estacionamento, com reaproveitamento dos blocos 16 faces. AF_12/2020</v>
          </cell>
          <cell r="E848"/>
          <cell r="F848" t="str">
            <v>M2</v>
          </cell>
          <cell r="G848">
            <v>29.71</v>
          </cell>
          <cell r="H848" t="str">
            <v>-</v>
          </cell>
        </row>
        <row r="849">
          <cell r="A849">
            <v>101870</v>
          </cell>
          <cell r="B849" t="str">
            <v>SINAPI</v>
          </cell>
          <cell r="D849" t="str">
            <v>Reassentamento de blocos 16 faces para piso intertravado, espessura de 10 cm, em via/estacionamento, com reaproveitamento dos blocos 16 faces. AF_12/2020</v>
          </cell>
          <cell r="E849"/>
          <cell r="F849" t="str">
            <v>M2</v>
          </cell>
          <cell r="G849">
            <v>33.729999999999997</v>
          </cell>
          <cell r="H849" t="str">
            <v>-</v>
          </cell>
        </row>
        <row r="850">
          <cell r="A850" t="str">
            <v>PA/0060</v>
          </cell>
          <cell r="B850" t="str">
            <v>COMPOSIÇÃO</v>
          </cell>
          <cell r="C850">
            <v>25.91</v>
          </cell>
          <cell r="D850" t="str">
            <v>Execução de pavimento de concreto simples (PCS), FCK = 40 mpa, camada com espessura de 20 cm. Incluindo cordão de polietileno expandido, selante elástico, barra de transferência e treliça (03.PAVI.PAVC.005/01)</v>
          </cell>
          <cell r="E850"/>
          <cell r="F850" t="str">
            <v>M2</v>
          </cell>
          <cell r="G850">
            <v>177.83</v>
          </cell>
          <cell r="H850" t="str">
            <v>-</v>
          </cell>
        </row>
        <row r="851">
          <cell r="A851" t="str">
            <v>PA/0070</v>
          </cell>
          <cell r="B851" t="str">
            <v>COMPOSIÇÃO</v>
          </cell>
          <cell r="C851"/>
          <cell r="D851" t="str">
            <v>Construção de pavimento com aplicação de concreto betuminoso usinado à quente (CBUQ - faixa B - CAP 30/45 - usina comercial), camada de rolamento, exclusive transporte da mistura (REF. SICRO COD.4011459, data 01/2021)</v>
          </cell>
          <cell r="E851"/>
          <cell r="F851" t="str">
            <v>T</v>
          </cell>
          <cell r="G851">
            <v>489.42</v>
          </cell>
          <cell r="H851" t="str">
            <v>-</v>
          </cell>
        </row>
        <row r="852">
          <cell r="A852" t="str">
            <v>PA/0080</v>
          </cell>
          <cell r="B852" t="str">
            <v>COMPOSIÇÃO</v>
          </cell>
          <cell r="C852"/>
          <cell r="D852" t="str">
            <v>Usinagem de Concreto Betuminoso Usinado à Quente - CBUQ - FAIXA "B" - para revestimento asfáltico, CAP 30-45, posto usina comercial. Exclusive mobilização, instalação, desmobilização e transporte dos insumos (REF. SICRO COD. 6416143, DB 01/2021)</v>
          </cell>
          <cell r="E852"/>
          <cell r="F852" t="str">
            <v>T</v>
          </cell>
          <cell r="G852">
            <v>470.6</v>
          </cell>
          <cell r="H852" t="str">
            <v>-</v>
          </cell>
        </row>
        <row r="853">
          <cell r="A853" t="str">
            <v>PA/0090</v>
          </cell>
          <cell r="B853" t="str">
            <v>COMPOSIÇÃO</v>
          </cell>
          <cell r="C853"/>
          <cell r="D853" t="str">
            <v>Construção de pavimento com aplicação de concreto betuminoso usinado à quente (CBUQ - faixa B - CAP 60/85 E - usina comercial), camada de rolamento, exclusive transporte da mistura (REF. SICRO COD.4011461, data 01/2021)</v>
          </cell>
          <cell r="E853"/>
          <cell r="F853" t="str">
            <v>T</v>
          </cell>
          <cell r="G853">
            <v>561.98</v>
          </cell>
          <cell r="H853" t="str">
            <v>-</v>
          </cell>
        </row>
        <row r="854">
          <cell r="A854" t="str">
            <v>PA/0100</v>
          </cell>
          <cell r="B854" t="str">
            <v>COMPOSIÇÃO</v>
          </cell>
          <cell r="C854"/>
          <cell r="D854" t="str">
            <v>Usinagem de Concreto Betuminoso Usinado à Quente - CBUQ - FAIXA "B" - para revestimento asfáltico com asfalto polímero, CAP 60-85 E, posto usina comercial. Exclusive mobilização, instalação, desmobilização e transporte dos insumos (REF. SICRO COD. 6416246, DB 01/2021)</v>
          </cell>
          <cell r="E854"/>
          <cell r="F854" t="str">
            <v>T</v>
          </cell>
          <cell r="G854">
            <v>541.73</v>
          </cell>
          <cell r="H854" t="str">
            <v>-</v>
          </cell>
        </row>
        <row r="855">
          <cell r="A855" t="str">
            <v>PA/0110</v>
          </cell>
          <cell r="B855" t="str">
            <v>COMPOSIÇÃO</v>
          </cell>
          <cell r="C855"/>
          <cell r="D855" t="str">
            <v>Construção de pavimento com aplicação de concreto betuminoso usinado à quente (CBUQ - faixa B - CAP 30/45 - usina comercial), camada de rolamento, exclusive transporte da mistura (REF. SINAPI COD. 95995, DB 04-2021)</v>
          </cell>
          <cell r="E855"/>
          <cell r="F855" t="str">
            <v>M3</v>
          </cell>
          <cell r="G855">
            <v>119.57</v>
          </cell>
          <cell r="H855" t="str">
            <v>-</v>
          </cell>
        </row>
        <row r="856">
          <cell r="A856" t="str">
            <v>PA/0120</v>
          </cell>
          <cell r="B856" t="str">
            <v>COMPOSIÇÃO</v>
          </cell>
          <cell r="C856"/>
          <cell r="D856" t="str">
            <v>Construção de pavimento com aplicação de concreto betuminoso usinado à quente modificado por polímero elastomérico - CBUQ (p) - CAP 60-85-E - FAIXA "B", camada de rolamento. Exclusive transporte da mistura (REF. SINAPI COD. 95995, DB 04-2021)</v>
          </cell>
          <cell r="E856"/>
          <cell r="F856" t="str">
            <v>M3</v>
          </cell>
          <cell r="G856">
            <v>119.57</v>
          </cell>
          <cell r="H856" t="str">
            <v>-</v>
          </cell>
        </row>
        <row r="857">
          <cell r="A857" t="str">
            <v>PA/0130</v>
          </cell>
          <cell r="B857" t="str">
            <v>COMPOSIÇÃO</v>
          </cell>
          <cell r="C857"/>
          <cell r="D857" t="str">
            <v>Construção de pavimento com aplicação de concreto betuminoso usinado à quente (CBUQ -usina comercial), camada de rolamento, exclusive transporte e fornecimento de mistura de CBUQ (REF. SINAPI COD. 95995, DB 04-2021)</v>
          </cell>
          <cell r="E857"/>
          <cell r="F857" t="str">
            <v>M3</v>
          </cell>
          <cell r="G857">
            <v>119.57</v>
          </cell>
          <cell r="H857" t="str">
            <v>-</v>
          </cell>
        </row>
        <row r="858">
          <cell r="A858" t="str">
            <v>SEL -134</v>
          </cell>
          <cell r="B858" t="str">
            <v>COTAÇÃO - SEL</v>
          </cell>
          <cell r="C858"/>
          <cell r="D858" t="str">
            <v>Fornecimento de concreto betuminoso usinado a quente (CBUQ) para pavimentacao asfaltica, padrao DNIT, faixa B, com CAP 30/45 - aquisicao posto usina</v>
          </cell>
          <cell r="E858" t="str">
            <v>SEL -134</v>
          </cell>
          <cell r="F858" t="str">
            <v>T</v>
          </cell>
          <cell r="G858">
            <v>0</v>
          </cell>
          <cell r="H858" t="str">
            <v>ERRO</v>
          </cell>
        </row>
        <row r="859">
          <cell r="A859" t="str">
            <v>SEL -135</v>
          </cell>
          <cell r="B859" t="str">
            <v>COTAÇÃO - SEL</v>
          </cell>
          <cell r="C859"/>
          <cell r="D859" t="str">
            <v>Fornecimento de concreto betuminoso usinado a quente (CBUQ) para pavimentacao asfaltica, padrao DNIT, faixa B, com CAP 60-85-E (Cimento Asfáltico de Petróleo modificado por polímeros elastomérico), camada de rolamento - aquisicao posto usina</v>
          </cell>
          <cell r="E859" t="str">
            <v>SEL -135</v>
          </cell>
          <cell r="F859" t="str">
            <v>T</v>
          </cell>
          <cell r="G859">
            <v>0</v>
          </cell>
          <cell r="H859" t="str">
            <v>ERRO</v>
          </cell>
        </row>
        <row r="860">
          <cell r="A860">
            <v>97104</v>
          </cell>
          <cell r="B860" t="str">
            <v>SINAPI</v>
          </cell>
          <cell r="C860"/>
          <cell r="D860" t="str">
            <v>Execução de pavimento de concreto simples (PCS), FCK = 40 MPA, camada com espessura de 15,0 cm. AF_11/2017</v>
          </cell>
          <cell r="E860" t="str">
            <v>ATENÇÃO
verificar barras de transferência</v>
          </cell>
          <cell r="F860" t="str">
            <v>M2</v>
          </cell>
          <cell r="G860">
            <v>141.04</v>
          </cell>
          <cell r="H860" t="str">
            <v>-</v>
          </cell>
        </row>
        <row r="861">
          <cell r="A861">
            <v>97105</v>
          </cell>
          <cell r="B861" t="str">
            <v>SINAPI</v>
          </cell>
          <cell r="C861"/>
          <cell r="D861" t="str">
            <v>Execução de pavimento de concreto simples (PCS), FCK = 40 MPA, camada com espessura de 17,5 cm. AF_11/2017</v>
          </cell>
          <cell r="E861"/>
          <cell r="F861" t="str">
            <v>M2</v>
          </cell>
          <cell r="G861">
            <v>159.9</v>
          </cell>
          <cell r="H861" t="str">
            <v>-</v>
          </cell>
        </row>
        <row r="862">
          <cell r="A862">
            <v>97106</v>
          </cell>
          <cell r="B862" t="str">
            <v>SINAPI</v>
          </cell>
          <cell r="C862"/>
          <cell r="D862" t="str">
            <v>Execução de pavimento de concreto simples (PCS), FCK = 40 MPA, camada com espessura de 20,0 cm. AF_11/2017</v>
          </cell>
          <cell r="E862"/>
          <cell r="F862" t="str">
            <v>M2</v>
          </cell>
          <cell r="G862">
            <v>177.87</v>
          </cell>
          <cell r="H862" t="str">
            <v>-</v>
          </cell>
        </row>
        <row r="863">
          <cell r="A863">
            <v>97107</v>
          </cell>
          <cell r="B863" t="str">
            <v>SINAPI</v>
          </cell>
          <cell r="C863"/>
          <cell r="D863" t="str">
            <v>Execução de pavimento de concreto simples (PCS), FCK = 40 MPA, camada com espessura de 22,5 cm. AF_11/2017</v>
          </cell>
          <cell r="E863"/>
          <cell r="F863" t="str">
            <v>M2</v>
          </cell>
          <cell r="G863">
            <v>203.01</v>
          </cell>
          <cell r="H863" t="str">
            <v>-</v>
          </cell>
        </row>
        <row r="864">
          <cell r="A864">
            <v>97108</v>
          </cell>
          <cell r="B864" t="str">
            <v>SINAPI</v>
          </cell>
          <cell r="C864"/>
          <cell r="D864" t="str">
            <v>Execução de pavimento de concreto simples (PCS), FCK = 40 MPA, camada com espessura de 25,0 cm. AF_11/2017</v>
          </cell>
          <cell r="E864"/>
          <cell r="F864" t="str">
            <v>M2</v>
          </cell>
          <cell r="G864">
            <v>231.62</v>
          </cell>
          <cell r="H864" t="str">
            <v>-</v>
          </cell>
        </row>
        <row r="865">
          <cell r="A865">
            <v>97109</v>
          </cell>
          <cell r="B865" t="str">
            <v>SINAPI</v>
          </cell>
          <cell r="C865"/>
          <cell r="D865" t="str">
            <v>Execução de pavimento de concreto simples (PCS), FCK = 40 MPA, camada com espessura de 27,5 cm. AF_11/2017</v>
          </cell>
          <cell r="E865"/>
          <cell r="F865" t="str">
            <v>M2</v>
          </cell>
          <cell r="G865">
            <v>255.99</v>
          </cell>
          <cell r="H865" t="str">
            <v>-</v>
          </cell>
        </row>
        <row r="866">
          <cell r="A866">
            <v>97111</v>
          </cell>
          <cell r="B866" t="str">
            <v>SINAPI</v>
          </cell>
          <cell r="C866"/>
          <cell r="D866" t="str">
            <v>Execução de pavimento de concreto armado (PCA), FCK = 40 MPA, camada com espessura de 15,0 cm. AF_11/2017</v>
          </cell>
          <cell r="E866"/>
          <cell r="F866" t="str">
            <v>M2</v>
          </cell>
          <cell r="G866">
            <v>248.98</v>
          </cell>
          <cell r="H866" t="str">
            <v>-</v>
          </cell>
        </row>
        <row r="867">
          <cell r="A867">
            <v>97112</v>
          </cell>
          <cell r="B867" t="str">
            <v>SINAPI</v>
          </cell>
          <cell r="C867"/>
          <cell r="D867" t="str">
            <v>Execução de pavimento de concreto armado (PCA), FCK = 40 MPA, camada com espessura de 17,5 cm. AF_11/2017</v>
          </cell>
          <cell r="E867"/>
          <cell r="F867" t="str">
            <v>M2</v>
          </cell>
          <cell r="G867">
            <v>223.62</v>
          </cell>
          <cell r="H867" t="str">
            <v>-</v>
          </cell>
        </row>
        <row r="868">
          <cell r="A868"/>
          <cell r="B868"/>
          <cell r="C868"/>
          <cell r="D868"/>
          <cell r="E868"/>
          <cell r="F868"/>
          <cell r="G868"/>
          <cell r="H868"/>
        </row>
        <row r="869">
          <cell r="A869"/>
          <cell r="B869"/>
          <cell r="C869" t="str">
            <v>11.0</v>
          </cell>
          <cell r="D869" t="str">
            <v>SERVIÇOS COMPLEMENTARES, PASSEIOS E ACESSIBILIDADE</v>
          </cell>
          <cell r="E869"/>
          <cell r="F869"/>
          <cell r="G869"/>
          <cell r="H869" t="str">
            <v/>
          </cell>
        </row>
        <row r="870">
          <cell r="A870" t="str">
            <v>SC/0005</v>
          </cell>
          <cell r="B870" t="str">
            <v>COMPOSIÇÃO</v>
          </cell>
          <cell r="C870">
            <v>11.06</v>
          </cell>
          <cell r="D870" t="str">
            <v>Meio-fio (guia) com sarjeta, concreto FCK = 15mpa, seção 615 cm², moldado no local, inclusive escavação e pintura a cal em uma demão</v>
          </cell>
          <cell r="E870" t="str">
            <v>MANUAL</v>
          </cell>
          <cell r="F870" t="str">
            <v>M</v>
          </cell>
          <cell r="G870">
            <v>54.04</v>
          </cell>
          <cell r="H870" t="str">
            <v>-</v>
          </cell>
        </row>
        <row r="871">
          <cell r="A871" t="str">
            <v>SC/0007</v>
          </cell>
          <cell r="B871" t="str">
            <v>COMPOSIÇÃO</v>
          </cell>
          <cell r="C871">
            <v>11.06</v>
          </cell>
          <cell r="D871" t="str">
            <v>Meio-fio (guia) com sarjeta, concreto FCK = 15mpa, seção 615 cm², concreto usinado, inclusive escavação e pintura a cal em uma demão</v>
          </cell>
          <cell r="E871"/>
          <cell r="F871" t="str">
            <v>M</v>
          </cell>
          <cell r="G871">
            <v>47.51</v>
          </cell>
          <cell r="H871" t="str">
            <v>-</v>
          </cell>
        </row>
        <row r="872">
          <cell r="A872" t="str">
            <v>SC/0006</v>
          </cell>
          <cell r="B872" t="str">
            <v>COMPOSIÇÃO</v>
          </cell>
          <cell r="C872">
            <v>11.06</v>
          </cell>
          <cell r="D872" t="str">
            <v>Meio-fio (guia tipo americana) com sarjeta, concreto FCK = 15mpa, seção 470 cm², moldado no local, inclusive escavação e pintura a cal em uma demão</v>
          </cell>
          <cell r="E872"/>
          <cell r="F872" t="str">
            <v>M</v>
          </cell>
          <cell r="G872">
            <v>41.04</v>
          </cell>
          <cell r="H872" t="str">
            <v>-</v>
          </cell>
        </row>
        <row r="873">
          <cell r="A873" t="str">
            <v>SC/0008</v>
          </cell>
          <cell r="B873" t="str">
            <v>COMPOSIÇÃO</v>
          </cell>
          <cell r="C873">
            <v>11.06</v>
          </cell>
          <cell r="D873" t="str">
            <v>Meio-fio (guia tipo americana) com sarjeta, concreto FCK = 15mpa, seção 470 cm², concreto usinado, inclusive escavação e pintura a cal em uma demão</v>
          </cell>
          <cell r="E873"/>
          <cell r="F873" t="str">
            <v>M</v>
          </cell>
          <cell r="G873">
            <v>36.04</v>
          </cell>
          <cell r="H873" t="str">
            <v>-</v>
          </cell>
        </row>
        <row r="874">
          <cell r="A874" t="str">
            <v>SC/0010</v>
          </cell>
          <cell r="B874" t="str">
            <v>COMPOSIÇÃO</v>
          </cell>
          <cell r="C874">
            <v>23.86</v>
          </cell>
          <cell r="D874" t="str">
            <v>Meio-fio (guia) simples, concreto FCK = 15mpa, seção 285cm2, moldado no local, inclusive escavação e pintura a cal em uma demão</v>
          </cell>
          <cell r="E874"/>
          <cell r="F874" t="str">
            <v>M</v>
          </cell>
          <cell r="G874">
            <v>26.04</v>
          </cell>
          <cell r="H874" t="str">
            <v>-</v>
          </cell>
        </row>
        <row r="875">
          <cell r="A875" t="str">
            <v>SC/0011</v>
          </cell>
          <cell r="B875" t="str">
            <v>COMPOSIÇÃO</v>
          </cell>
          <cell r="C875">
            <v>11.06</v>
          </cell>
          <cell r="D875" t="str">
            <v>Meio-fio (guia) simples, concreto FCK = 15mpa, seção 285cm2, concreto usinado, inclusive escavação e pintura a cal em uma demão</v>
          </cell>
          <cell r="E875"/>
          <cell r="F875" t="str">
            <v>M</v>
          </cell>
          <cell r="G875">
            <v>23.01</v>
          </cell>
          <cell r="H875" t="str">
            <v>-</v>
          </cell>
        </row>
        <row r="876">
          <cell r="A876" t="str">
            <v>SC/0015</v>
          </cell>
          <cell r="B876" t="str">
            <v>COMPOSIÇÃO</v>
          </cell>
          <cell r="C876">
            <v>13.6</v>
          </cell>
          <cell r="D876" t="str">
            <v>Meio-fio (guia) para estação de embarque, concreto FCK = 15mpa, seção 500cm2, moldado no local, inclusive escavação e pintura a cal em uma demão</v>
          </cell>
          <cell r="E876"/>
          <cell r="F876" t="str">
            <v>M</v>
          </cell>
          <cell r="G876">
            <v>46.06</v>
          </cell>
          <cell r="H876" t="str">
            <v>-</v>
          </cell>
        </row>
        <row r="877">
          <cell r="A877" t="str">
            <v>SC/0016</v>
          </cell>
          <cell r="B877" t="str">
            <v>COMPOSIÇÃO</v>
          </cell>
          <cell r="C877">
            <v>13.6</v>
          </cell>
          <cell r="D877" t="str">
            <v>Meio-fio (guia) para estação de embarque, concreto FCK = 15mpa, seção 500cm2, concreto usinado, inclusive escavação e pintura a cal em uma demão</v>
          </cell>
          <cell r="E877"/>
          <cell r="F877" t="str">
            <v>M</v>
          </cell>
          <cell r="G877">
            <v>40.75</v>
          </cell>
          <cell r="H877" t="str">
            <v>-</v>
          </cell>
        </row>
        <row r="878">
          <cell r="A878" t="str">
            <v>SC/0020</v>
          </cell>
          <cell r="B878" t="str">
            <v>COMPOSIÇÃO</v>
          </cell>
          <cell r="C878">
            <v>7.77</v>
          </cell>
          <cell r="D878" t="str">
            <v>Meio-fio (guia) para rotatórias e ilhas, concreto FCK = 15mpa, seção 875cm2, moldado no local, inclusive escavação e pintura a cal em uma demão</v>
          </cell>
          <cell r="E878"/>
          <cell r="F878" t="str">
            <v>M</v>
          </cell>
          <cell r="G878">
            <v>78.58</v>
          </cell>
          <cell r="H878" t="str">
            <v>-</v>
          </cell>
        </row>
        <row r="879">
          <cell r="A879" t="str">
            <v>SC/0021</v>
          </cell>
          <cell r="B879" t="str">
            <v>COMPOSIÇÃO</v>
          </cell>
          <cell r="C879">
            <v>7.77</v>
          </cell>
          <cell r="D879" t="str">
            <v>Meio-fio (guia) para rotatórias e ilhas, concreto FCK = 15mpa, seção 875cm2, concreto usinado, inclusive escavação e pintura a cal em uma demão</v>
          </cell>
          <cell r="E879"/>
          <cell r="F879" t="str">
            <v>M</v>
          </cell>
          <cell r="G879">
            <v>69.28</v>
          </cell>
          <cell r="H879" t="str">
            <v>-</v>
          </cell>
        </row>
        <row r="880">
          <cell r="A880" t="str">
            <v>SC/0025</v>
          </cell>
          <cell r="B880" t="str">
            <v>COMPOSIÇÃO</v>
          </cell>
          <cell r="C880">
            <v>45.33</v>
          </cell>
          <cell r="D880" t="str">
            <v>Guia para canteiro e ciclovia, concreto FCK = 15mpa, seção 150cm2, moldado no local, inclusive escavação e pintura a cal em uma demão</v>
          </cell>
          <cell r="E880"/>
          <cell r="F880" t="str">
            <v>M</v>
          </cell>
          <cell r="G880">
            <v>29.21</v>
          </cell>
          <cell r="H880" t="str">
            <v>-</v>
          </cell>
        </row>
        <row r="881">
          <cell r="A881" t="str">
            <v>SC/0026</v>
          </cell>
          <cell r="B881" t="str">
            <v>COMPOSIÇÃO</v>
          </cell>
          <cell r="C881">
            <v>45.33</v>
          </cell>
          <cell r="D881" t="str">
            <v>Guia para canteiro e ciclovia, concreto FCK = 15mpa, seção 150cm2, concreto usinado, inclusive escavação e pintura a cal em uma demão</v>
          </cell>
          <cell r="E881"/>
          <cell r="F881" t="str">
            <v>M</v>
          </cell>
          <cell r="G881">
            <v>27.62</v>
          </cell>
          <cell r="H881" t="str">
            <v>-</v>
          </cell>
        </row>
        <row r="882">
          <cell r="A882" t="str">
            <v>SC/0030</v>
          </cell>
          <cell r="B882" t="str">
            <v>COMPOSIÇÃO</v>
          </cell>
          <cell r="C882">
            <v>20.61</v>
          </cell>
          <cell r="D882" t="str">
            <v xml:space="preserve">Tento (acabamento de limpa-rodas), concreto FCK = 15 mpa, seção 330cm², moldado no local, inclusive escavação </v>
          </cell>
          <cell r="E882"/>
          <cell r="F882" t="str">
            <v>M</v>
          </cell>
          <cell r="G882">
            <v>29.1</v>
          </cell>
          <cell r="H882" t="str">
            <v>-</v>
          </cell>
        </row>
        <row r="883">
          <cell r="A883" t="str">
            <v>SC/0031</v>
          </cell>
          <cell r="B883" t="str">
            <v>COMPOSIÇÃO</v>
          </cell>
          <cell r="C883">
            <v>20.61</v>
          </cell>
          <cell r="D883" t="str">
            <v xml:space="preserve">Tento (acabamento de limpa-rodas), concreto FCK = 15 mpa, seção 330cm², concreto usinado, inclusive escavação </v>
          </cell>
          <cell r="E883"/>
          <cell r="F883" t="str">
            <v>M</v>
          </cell>
          <cell r="G883">
            <v>25.59</v>
          </cell>
          <cell r="H883" t="str">
            <v>-</v>
          </cell>
        </row>
        <row r="884">
          <cell r="A884" t="str">
            <v>SC/0035</v>
          </cell>
          <cell r="B884" t="str">
            <v>COMPOSIÇÃO</v>
          </cell>
          <cell r="C884">
            <v>20.61</v>
          </cell>
          <cell r="D884" t="str">
            <v>Sarjeta em concreto FCK = 15mpa, seção 330cm², moldada no local, exclusive escavação</v>
          </cell>
          <cell r="E884"/>
          <cell r="F884" t="str">
            <v>M</v>
          </cell>
          <cell r="G884">
            <v>31.42</v>
          </cell>
          <cell r="H884" t="str">
            <v>-</v>
          </cell>
        </row>
        <row r="885">
          <cell r="A885" t="str">
            <v>SC/0036</v>
          </cell>
          <cell r="B885" t="str">
            <v>COMPOSIÇÃO</v>
          </cell>
          <cell r="C885">
            <v>20.61</v>
          </cell>
          <cell r="D885" t="str">
            <v>Sarjeta em concreto FCK = 15mpa, seção 330cm², concreto usinado, exclusive escavação</v>
          </cell>
          <cell r="E885"/>
          <cell r="F885" t="str">
            <v>M</v>
          </cell>
          <cell r="G885">
            <v>27.91</v>
          </cell>
          <cell r="H885" t="str">
            <v>-</v>
          </cell>
        </row>
        <row r="886">
          <cell r="A886" t="str">
            <v>SC/0040</v>
          </cell>
          <cell r="B886" t="str">
            <v>COMPOSIÇÃO</v>
          </cell>
          <cell r="C886">
            <v>15.11</v>
          </cell>
          <cell r="D886" t="str">
            <v>Sarjeta tipo americana em concreto FCK = 15mpa, seção 455cm², moldada no local, exclusive escavação</v>
          </cell>
          <cell r="E886"/>
          <cell r="F886" t="str">
            <v>M</v>
          </cell>
          <cell r="G886">
            <v>41.54</v>
          </cell>
          <cell r="H886" t="str">
            <v>-</v>
          </cell>
        </row>
        <row r="887">
          <cell r="A887" t="str">
            <v>SC/0045</v>
          </cell>
          <cell r="B887" t="str">
            <v>COMPOSIÇÃO</v>
          </cell>
          <cell r="C887">
            <v>9.26</v>
          </cell>
          <cell r="D887" t="str">
            <v>Meio-fio (guia) com sarjeta, concreto FCK = 20mpa, seção 615 cm², moldado no local com extrusora, inclusive e pintura a cal em uma demão</v>
          </cell>
          <cell r="E887" t="str">
            <v>EXTRUSÃO</v>
          </cell>
          <cell r="F887" t="str">
            <v>M</v>
          </cell>
          <cell r="G887">
            <v>62.51</v>
          </cell>
          <cell r="H887" t="str">
            <v>-</v>
          </cell>
        </row>
        <row r="888">
          <cell r="A888" t="str">
            <v>SC/0050</v>
          </cell>
          <cell r="B888" t="str">
            <v>COMPOSIÇÃO</v>
          </cell>
          <cell r="C888">
            <v>6.41</v>
          </cell>
          <cell r="D888" t="str">
            <v>Meio-fio (guia) com sarjeta, concreto FCK = 20mpa, seção 615 cm², moldado no local em trecho curvo (R≤10 m) com extrusora, inclusive pintura a cal em uma demão</v>
          </cell>
          <cell r="E888"/>
          <cell r="F888" t="str">
            <v>M</v>
          </cell>
          <cell r="G888">
            <v>66.81</v>
          </cell>
          <cell r="H888" t="str">
            <v>-</v>
          </cell>
        </row>
        <row r="889">
          <cell r="A889" t="str">
            <v>SC/0055</v>
          </cell>
          <cell r="B889" t="str">
            <v>COMPOSIÇÃO</v>
          </cell>
          <cell r="C889">
            <v>11.9</v>
          </cell>
          <cell r="D889" t="str">
            <v>Meio-fio (guia) simples, concreto FCK = 20mpa, seção 285 cm², moldado no local em trecho reto com extrusora, inclusive pintura a cal em uma demão</v>
          </cell>
          <cell r="E889"/>
          <cell r="F889" t="str">
            <v>M</v>
          </cell>
          <cell r="G889">
            <v>37.32</v>
          </cell>
          <cell r="H889" t="str">
            <v>-</v>
          </cell>
        </row>
        <row r="890">
          <cell r="A890" t="str">
            <v>SC/0060</v>
          </cell>
          <cell r="B890" t="str">
            <v>COMPOSIÇÃO</v>
          </cell>
          <cell r="C890">
            <v>7.94</v>
          </cell>
          <cell r="D890" t="str">
            <v>Meio-fio (guia) simples, concreto FCK = 20mpa, seção 285 cm², moldado no local em trecho curvo (R≤10 m) com extrusora, inclusive pintura a cal em uma demão</v>
          </cell>
          <cell r="E890"/>
          <cell r="F890" t="str">
            <v>M</v>
          </cell>
          <cell r="G890">
            <v>40.78</v>
          </cell>
          <cell r="H890" t="str">
            <v>-</v>
          </cell>
        </row>
        <row r="891">
          <cell r="A891" t="str">
            <v>SC/0065</v>
          </cell>
          <cell r="B891" t="str">
            <v>COMPOSIÇÃO</v>
          </cell>
          <cell r="C891">
            <v>26.88</v>
          </cell>
          <cell r="D891" t="str">
            <v>Guia para canteiro e ciclovia, concreto FCK = 15mpa, seção 150cm², moldado no local com extrusora, inclusive pintura a cal em uma demão</v>
          </cell>
          <cell r="E891"/>
          <cell r="F891" t="str">
            <v>M</v>
          </cell>
          <cell r="G891">
            <v>16.489999999999998</v>
          </cell>
          <cell r="H891" t="str">
            <v>-</v>
          </cell>
        </row>
        <row r="892">
          <cell r="A892">
            <v>104737</v>
          </cell>
          <cell r="B892" t="str">
            <v>SINAPI</v>
          </cell>
          <cell r="C892">
            <v>96995</v>
          </cell>
          <cell r="D892" t="str">
            <v>Reaterro manual de valas, com placa vibratória. AF_08/2023</v>
          </cell>
          <cell r="E892"/>
          <cell r="F892" t="str">
            <v>M3</v>
          </cell>
          <cell r="G892">
            <v>19.91</v>
          </cell>
          <cell r="H892" t="str">
            <v>-</v>
          </cell>
        </row>
        <row r="893">
          <cell r="A893" t="str">
            <v>SC/0067</v>
          </cell>
          <cell r="B893" t="str">
            <v>COMPOSIÇÃO</v>
          </cell>
          <cell r="C893">
            <v>119.63076</v>
          </cell>
          <cell r="D893" t="str">
            <v>Execução e compactação de aterro com solo predominantemente argiloso, utilizando minicarregadeira sobre rodas - exclusive solo, escavação, carga e transporte.</v>
          </cell>
          <cell r="E893"/>
          <cell r="F893" t="str">
            <v>M3</v>
          </cell>
          <cell r="G893">
            <v>14.26</v>
          </cell>
          <cell r="H893" t="str">
            <v>-</v>
          </cell>
        </row>
        <row r="894">
          <cell r="A894">
            <v>97084</v>
          </cell>
          <cell r="B894" t="str">
            <v>SINAPI</v>
          </cell>
          <cell r="C894">
            <v>52.63</v>
          </cell>
          <cell r="D894" t="str">
            <v>Compactação mecânica de solo para execução de radier, com compactador de solos tipo placa vibratória. AF_09/2021</v>
          </cell>
          <cell r="E894"/>
          <cell r="F894" t="str">
            <v>M2</v>
          </cell>
          <cell r="G894">
            <v>0.63</v>
          </cell>
          <cell r="H894" t="str">
            <v>-</v>
          </cell>
        </row>
        <row r="895">
          <cell r="A895" t="str">
            <v>SC/0068</v>
          </cell>
          <cell r="B895" t="str">
            <v>COMPOSIÇÃO</v>
          </cell>
          <cell r="C895">
            <v>79472</v>
          </cell>
          <cell r="D895" t="str">
            <v>Revestimento de pátio com pedra britada com espessura de 5 cm com regularização do terreno com motoniveladora. Exclusive transporte. (REF SINAPI COD 100575)</v>
          </cell>
          <cell r="E895"/>
          <cell r="F895" t="str">
            <v>M2</v>
          </cell>
          <cell r="G895">
            <v>5.44</v>
          </cell>
          <cell r="H895" t="str">
            <v>-</v>
          </cell>
        </row>
        <row r="896">
          <cell r="A896" t="str">
            <v>SC/0069</v>
          </cell>
          <cell r="B896" t="str">
            <v>COMPOSIÇÃO</v>
          </cell>
          <cell r="C896">
            <v>79472</v>
          </cell>
          <cell r="D896" t="str">
            <v>Lastro de brita comercial - espalhamento mecânico. (REF SICRO COD 0903845)</v>
          </cell>
          <cell r="E896"/>
          <cell r="F896" t="str">
            <v>M3</v>
          </cell>
          <cell r="G896">
            <v>111.47</v>
          </cell>
          <cell r="H896" t="str">
            <v>-</v>
          </cell>
        </row>
        <row r="897">
          <cell r="A897">
            <v>100575</v>
          </cell>
          <cell r="B897" t="str">
            <v>SINAPI</v>
          </cell>
          <cell r="C897">
            <v>909.09</v>
          </cell>
          <cell r="D897" t="str">
            <v>Regularização de superfícies com motoniveladora. AF_11/2019</v>
          </cell>
          <cell r="E897"/>
          <cell r="F897" t="str">
            <v>M2</v>
          </cell>
          <cell r="G897">
            <v>0.12</v>
          </cell>
          <cell r="H897" t="str">
            <v>-</v>
          </cell>
        </row>
        <row r="898">
          <cell r="A898"/>
          <cell r="B898" t="str">
            <v>REPETIDO</v>
          </cell>
          <cell r="C898">
            <v>94962</v>
          </cell>
          <cell r="D898" t="str">
            <v>Concreto magro para lastro, traço 1:4,5:4,5 (cimento/ areia média/ brita 1) - preparo mecânico com betoneira 400 l. AF_07/2016</v>
          </cell>
          <cell r="E898"/>
          <cell r="F898" t="str">
            <v>-</v>
          </cell>
          <cell r="G898" t="str">
            <v>-</v>
          </cell>
          <cell r="H898" t="str">
            <v/>
          </cell>
        </row>
        <row r="899">
          <cell r="A899">
            <v>94968</v>
          </cell>
          <cell r="B899" t="str">
            <v>SINAPI</v>
          </cell>
          <cell r="C899"/>
          <cell r="D899" t="str">
            <v>Concreto magro para lastro, traço 1:4,5:4,5 (cimento/ areia média/ brita 1) - preparo mecânico com betoneira 600 l. AF_07/2016</v>
          </cell>
          <cell r="E899"/>
          <cell r="F899" t="str">
            <v>M3</v>
          </cell>
          <cell r="G899">
            <v>382.57</v>
          </cell>
          <cell r="H899" t="str">
            <v>-</v>
          </cell>
        </row>
        <row r="900">
          <cell r="A900">
            <v>94974</v>
          </cell>
          <cell r="B900" t="str">
            <v>SINAPI</v>
          </cell>
          <cell r="C900"/>
          <cell r="D900" t="str">
            <v>Concreto magro para lastro, traço 1:4,5:4,5 (cimento/ areia média/ brita 1)  - preparo manual. AF_07/2016</v>
          </cell>
          <cell r="E900"/>
          <cell r="F900" t="str">
            <v>M3</v>
          </cell>
          <cell r="G900">
            <v>438.48</v>
          </cell>
          <cell r="H900" t="str">
            <v>-</v>
          </cell>
        </row>
        <row r="901">
          <cell r="A901">
            <v>100324</v>
          </cell>
          <cell r="B901" t="str">
            <v>SINAPI</v>
          </cell>
          <cell r="C901"/>
          <cell r="D901" t="str">
            <v>Lastro com material granular (pedra britada n.1 e pedra britada n.2), aplicado em pisos ou radiers, espessura de *10 cm*. AF_07/2019</v>
          </cell>
          <cell r="E901"/>
          <cell r="F901" t="str">
            <v>M3</v>
          </cell>
          <cell r="G901">
            <v>150.93</v>
          </cell>
          <cell r="H901" t="str">
            <v>-</v>
          </cell>
        </row>
        <row r="902">
          <cell r="A902"/>
          <cell r="B902" t="str">
            <v>REPETIDO</v>
          </cell>
          <cell r="C902">
            <v>96620</v>
          </cell>
          <cell r="D902" t="str">
            <v>Lastro de concreto magro, aplicado em pisos ou radiers. AF_08/2017</v>
          </cell>
          <cell r="E902"/>
          <cell r="F902" t="str">
            <v>-</v>
          </cell>
          <cell r="G902" t="str">
            <v>-</v>
          </cell>
          <cell r="H902" t="str">
            <v/>
          </cell>
        </row>
        <row r="903">
          <cell r="A903">
            <v>92396</v>
          </cell>
          <cell r="B903" t="str">
            <v>SINAPI</v>
          </cell>
          <cell r="C903" t="str">
            <v>PISO INTERTRAVADO</v>
          </cell>
          <cell r="D903" t="str">
            <v>Execução de passeio em piso intertravado, com bloco retangular cor natural de 20 x 10 cm, espessura 6 cm. AF_12/2015</v>
          </cell>
          <cell r="E903" t="str">
            <v>areia empolada
0,082 m³/m²</v>
          </cell>
          <cell r="F903" t="str">
            <v>M2</v>
          </cell>
          <cell r="G903">
            <v>72.95</v>
          </cell>
          <cell r="H903" t="str">
            <v>-</v>
          </cell>
        </row>
        <row r="904">
          <cell r="A904">
            <v>93679</v>
          </cell>
          <cell r="B904" t="str">
            <v>SINAPI</v>
          </cell>
          <cell r="C904"/>
          <cell r="D904" t="str">
            <v>Execução de passeio em piso intertravado, com bloco retangular colorido de 20 x 10 cm, espessura 6 cm. AF_12/2015</v>
          </cell>
          <cell r="E904"/>
          <cell r="F904" t="str">
            <v>M2</v>
          </cell>
          <cell r="G904">
            <v>80.91</v>
          </cell>
          <cell r="H904" t="str">
            <v>-</v>
          </cell>
        </row>
        <row r="905">
          <cell r="A905">
            <v>92402</v>
          </cell>
          <cell r="B905" t="str">
            <v>SINAPI</v>
          </cell>
          <cell r="C905"/>
          <cell r="D905" t="str">
            <v>Execução de passeio em piso intertravado, com bloco 16 faces de 22 x 11 cm, espessura 6 cm. AF_12/2015</v>
          </cell>
          <cell r="E905"/>
          <cell r="F905" t="str">
            <v>M2</v>
          </cell>
          <cell r="G905">
            <v>71.05</v>
          </cell>
          <cell r="H905" t="str">
            <v>-</v>
          </cell>
        </row>
        <row r="906">
          <cell r="A906">
            <v>101862</v>
          </cell>
          <cell r="B906" t="str">
            <v>SINAPI</v>
          </cell>
          <cell r="C906"/>
          <cell r="D906" t="str">
            <v>Reassentamento de blocos retangular para piso intertravado, espessura de 6 cm, em calçada, com reaproveitamento dos blocos retangular. AF_12/2020</v>
          </cell>
          <cell r="E906"/>
          <cell r="F906" t="str">
            <v>M2</v>
          </cell>
          <cell r="G906">
            <v>30.9</v>
          </cell>
          <cell r="H906" t="str">
            <v>-</v>
          </cell>
        </row>
        <row r="907">
          <cell r="A907">
            <v>101867</v>
          </cell>
          <cell r="B907" t="str">
            <v>SINAPI</v>
          </cell>
          <cell r="C907"/>
          <cell r="D907" t="str">
            <v>Reassentamento de blocos 16 faces para piso intertravado, espessura de 6 cm, em calçada, com reaproveitamento dos blocos 16 faces. AF_12/2020</v>
          </cell>
          <cell r="E907"/>
          <cell r="F907" t="str">
            <v>M2</v>
          </cell>
          <cell r="G907">
            <v>32.51</v>
          </cell>
          <cell r="H907" t="str">
            <v>-</v>
          </cell>
        </row>
        <row r="908">
          <cell r="A908">
            <v>94990</v>
          </cell>
          <cell r="B908" t="str">
            <v>SINAPI</v>
          </cell>
          <cell r="C908" t="str">
            <v>CALÇADA</v>
          </cell>
          <cell r="D908" t="str">
            <v>Execução de passeio (calçada) ou piso de concreto com concreto moldado in loco, feito em obra, acabamento convencional, não armado. AF_07/2016</v>
          </cell>
          <cell r="E908" t="str">
            <v>ATENÇÃO
M3</v>
          </cell>
          <cell r="F908" t="str">
            <v>M3</v>
          </cell>
          <cell r="G908">
            <v>746.44</v>
          </cell>
          <cell r="H908" t="str">
            <v>-</v>
          </cell>
        </row>
        <row r="909">
          <cell r="A909">
            <v>94991</v>
          </cell>
          <cell r="B909" t="str">
            <v>SINAPI</v>
          </cell>
          <cell r="C909"/>
          <cell r="D909" t="str">
            <v>Execução de passeio (calçada) ou piso de concreto com concreto moldado in loco, usinado, acabamento convencional, não armado. AF_07/2016</v>
          </cell>
          <cell r="E909"/>
          <cell r="F909" t="str">
            <v>M3</v>
          </cell>
          <cell r="G909">
            <v>775.77</v>
          </cell>
          <cell r="H909" t="str">
            <v>-</v>
          </cell>
        </row>
        <row r="910">
          <cell r="A910">
            <v>94994</v>
          </cell>
          <cell r="B910" t="str">
            <v>SINAPI</v>
          </cell>
          <cell r="C910"/>
          <cell r="D910" t="str">
            <v>Execução de passeio (calçada) ou piso de concreto com concreto moldado in loco, feito em obra, acabamento convencional, espessura 8 cm, armado. AF_07/2016</v>
          </cell>
          <cell r="E910" t="str">
            <v>ATENÇÃO
concreto armado</v>
          </cell>
          <cell r="F910" t="str">
            <v>M2</v>
          </cell>
          <cell r="G910">
            <v>90.92</v>
          </cell>
          <cell r="H910" t="str">
            <v>-</v>
          </cell>
        </row>
        <row r="911">
          <cell r="A911">
            <v>94995</v>
          </cell>
          <cell r="B911" t="str">
            <v>SINAPI</v>
          </cell>
          <cell r="C911"/>
          <cell r="D911" t="str">
            <v>Execução de passeio (calçada) ou piso de concreto com concreto moldado in loco, usinado, acabamento convencional, espessura 8 cm, armado. AF_07/2016</v>
          </cell>
          <cell r="E911"/>
          <cell r="F911" t="str">
            <v>M2</v>
          </cell>
          <cell r="G911">
            <v>93.26</v>
          </cell>
          <cell r="H911" t="str">
            <v>-</v>
          </cell>
        </row>
        <row r="912">
          <cell r="A912">
            <v>94994</v>
          </cell>
          <cell r="B912" t="str">
            <v>SINAPI</v>
          </cell>
          <cell r="C912"/>
          <cell r="D912" t="str">
            <v>Execução de passeio (calçada) ou piso de concreto com concreto moldado in loco, feito em obra, acabamento convencional, espessura 10 cm, armado. AF_07/2016</v>
          </cell>
          <cell r="E912"/>
          <cell r="F912" t="str">
            <v>M2</v>
          </cell>
          <cell r="G912">
            <v>90.92</v>
          </cell>
          <cell r="H912" t="str">
            <v>-</v>
          </cell>
        </row>
        <row r="913">
          <cell r="A913">
            <v>94995</v>
          </cell>
          <cell r="B913" t="str">
            <v>SINAPI</v>
          </cell>
          <cell r="C913"/>
          <cell r="D913" t="str">
            <v>Execução de passeio (calçada) ou piso de concreto com concreto moldado in loco, usinado, acabamento convencional, espessura 10 cm, armado. AF_07/2016</v>
          </cell>
          <cell r="E913"/>
          <cell r="F913" t="str">
            <v>M2</v>
          </cell>
          <cell r="G913">
            <v>93.26</v>
          </cell>
          <cell r="H913" t="str">
            <v>-</v>
          </cell>
        </row>
        <row r="914">
          <cell r="A914">
            <v>101747</v>
          </cell>
          <cell r="B914" t="str">
            <v>SINAPI</v>
          </cell>
          <cell r="C914">
            <v>68333</v>
          </cell>
          <cell r="D914" t="str">
            <v>Piso em concreto 20 MPA preparo mecânico, espessura 7cm. AF_09/2020</v>
          </cell>
          <cell r="E914"/>
          <cell r="F914" t="str">
            <v>M2</v>
          </cell>
          <cell r="G914">
            <v>87.63</v>
          </cell>
          <cell r="H914" t="str">
            <v>-</v>
          </cell>
        </row>
        <row r="915">
          <cell r="A915" t="str">
            <v>SC/0070</v>
          </cell>
          <cell r="B915" t="str">
            <v>COMPOSIÇÃO</v>
          </cell>
          <cell r="C915"/>
          <cell r="D915" t="str">
            <v>Acabamento sobre superfícies em concreto, argamassa e outros com pigmento com 210g/m² de pó para coloração (REF. SINAPI COD. 73676)</v>
          </cell>
          <cell r="E915"/>
          <cell r="F915" t="str">
            <v>M2</v>
          </cell>
          <cell r="G915" t="e">
            <v>#N/A</v>
          </cell>
          <cell r="H915" t="str">
            <v>VER COMP</v>
          </cell>
        </row>
        <row r="916">
          <cell r="A916" t="str">
            <v>SC/0075</v>
          </cell>
          <cell r="B916" t="str">
            <v>COMPOSIÇÃO</v>
          </cell>
          <cell r="C916"/>
          <cell r="D916" t="str">
            <v>Piso tátil de alerta ou direcional com lajota cimentícia  25x25x2cm, nas cores da NBR 16537, assentado com argamassa de cimento e areia 1:3</v>
          </cell>
          <cell r="E916"/>
          <cell r="F916" t="str">
            <v>M</v>
          </cell>
          <cell r="G916">
            <v>38.18</v>
          </cell>
          <cell r="H916" t="str">
            <v>-</v>
          </cell>
        </row>
        <row r="917">
          <cell r="A917" t="str">
            <v>SC/0080</v>
          </cell>
          <cell r="B917" t="str">
            <v>COMPOSIÇÃO</v>
          </cell>
          <cell r="C917"/>
          <cell r="D917" t="str">
            <v>Piso tátil de alerta ou direcional com lajota cimentícia  40x40x2,5cm, nas cores da NBR 16537, assentado com argamassa de cimento e areia 1:3</v>
          </cell>
          <cell r="E917"/>
          <cell r="F917" t="str">
            <v>M</v>
          </cell>
          <cell r="G917">
            <v>60.8</v>
          </cell>
          <cell r="H917" t="str">
            <v>-</v>
          </cell>
        </row>
        <row r="918">
          <cell r="A918">
            <v>101094</v>
          </cell>
          <cell r="B918" t="str">
            <v>SINAPI</v>
          </cell>
          <cell r="C918"/>
          <cell r="D918" t="str">
            <v>Piso podotátil, direcional ou alerta, assentado sobre argamassa. AF_05/2020</v>
          </cell>
          <cell r="E918"/>
          <cell r="F918" t="str">
            <v>M</v>
          </cell>
          <cell r="G918">
            <v>173.52</v>
          </cell>
          <cell r="H918" t="str">
            <v>-</v>
          </cell>
        </row>
        <row r="919">
          <cell r="A919">
            <v>92391</v>
          </cell>
          <cell r="B919" t="str">
            <v>SINAPI</v>
          </cell>
          <cell r="C919"/>
          <cell r="D919" t="str">
            <v>Execução de pavimento em piso intertravado, com bloco pisograma de 35 x 25 cm, espessura 6 cm. AF_12/2015</v>
          </cell>
          <cell r="E919"/>
          <cell r="F919" t="str">
            <v>M2</v>
          </cell>
          <cell r="G919">
            <v>61.31</v>
          </cell>
          <cell r="H919" t="str">
            <v>-</v>
          </cell>
        </row>
        <row r="920">
          <cell r="A920">
            <v>92392</v>
          </cell>
          <cell r="B920" t="str">
            <v>SINAPI</v>
          </cell>
          <cell r="C920"/>
          <cell r="D920" t="str">
            <v>Execução de pavimento em piso intertravado, com bloco pisograma de 35 x 25 cm, espessura 8 cm. AF_12/2015</v>
          </cell>
          <cell r="E920"/>
          <cell r="F920" t="str">
            <v>M2</v>
          </cell>
          <cell r="G920">
            <v>126.7</v>
          </cell>
          <cell r="H920" t="str">
            <v>-</v>
          </cell>
        </row>
        <row r="921">
          <cell r="A921">
            <v>101856</v>
          </cell>
          <cell r="B921" t="str">
            <v>SINAPI</v>
          </cell>
          <cell r="C921"/>
          <cell r="D921" t="str">
            <v>Reassentamento de blocos pisograma para piso intertravado, com reaproveitamento dos blocos pisograma. AF_12/2020</v>
          </cell>
          <cell r="E921"/>
          <cell r="F921" t="str">
            <v>M2</v>
          </cell>
          <cell r="G921">
            <v>23.2</v>
          </cell>
          <cell r="H921" t="str">
            <v>-</v>
          </cell>
        </row>
        <row r="922">
          <cell r="A922">
            <v>98503</v>
          </cell>
          <cell r="B922" t="str">
            <v>SINAPI</v>
          </cell>
          <cell r="C922"/>
          <cell r="D922" t="str">
            <v>Plantio de grama em pavimento concregrama. AF_05/2018</v>
          </cell>
          <cell r="E922"/>
          <cell r="F922" t="str">
            <v>M2</v>
          </cell>
          <cell r="G922">
            <v>23.7</v>
          </cell>
          <cell r="H922" t="str">
            <v>-</v>
          </cell>
        </row>
        <row r="923">
          <cell r="A923">
            <v>98504</v>
          </cell>
          <cell r="B923" t="str">
            <v>SINAPI</v>
          </cell>
          <cell r="C923"/>
          <cell r="D923" t="str">
            <v>Plantio de grama em placas. AF_05/2018</v>
          </cell>
          <cell r="E923"/>
          <cell r="F923" t="str">
            <v>M2</v>
          </cell>
          <cell r="G923">
            <v>10.08</v>
          </cell>
          <cell r="H923" t="str">
            <v>-</v>
          </cell>
        </row>
        <row r="924">
          <cell r="A924">
            <v>98505</v>
          </cell>
          <cell r="B924" t="str">
            <v>SINAPI</v>
          </cell>
          <cell r="C924"/>
          <cell r="D924" t="str">
            <v>Plantio de forração. Af_05/2018</v>
          </cell>
          <cell r="E924"/>
          <cell r="F924" t="str">
            <v>M2</v>
          </cell>
          <cell r="G924">
            <v>65.28</v>
          </cell>
          <cell r="H924" t="str">
            <v>-</v>
          </cell>
        </row>
        <row r="925">
          <cell r="A925">
            <v>98520</v>
          </cell>
          <cell r="B925" t="str">
            <v>SINAPI</v>
          </cell>
          <cell r="C925"/>
          <cell r="D925" t="str">
            <v>Aplicação de adubo em solo. AF_05/2018</v>
          </cell>
          <cell r="E925"/>
          <cell r="F925" t="str">
            <v>M2</v>
          </cell>
          <cell r="G925">
            <v>7.8</v>
          </cell>
          <cell r="H925" t="str">
            <v>-</v>
          </cell>
        </row>
        <row r="926">
          <cell r="A926" t="str">
            <v>SC/0082</v>
          </cell>
          <cell r="B926" t="str">
            <v>COMPOSIÇÃO</v>
          </cell>
          <cell r="C926">
            <v>85180</v>
          </cell>
          <cell r="D926" t="str">
            <v>Grama em placas, tipo esmeralda, incluindo plantio, adubo, fertilizante, calcário, terra orgânica e irrigação</v>
          </cell>
          <cell r="E926"/>
          <cell r="F926" t="str">
            <v>M2</v>
          </cell>
          <cell r="G926">
            <v>22.02</v>
          </cell>
          <cell r="H926" t="str">
            <v>-</v>
          </cell>
        </row>
        <row r="927">
          <cell r="A927">
            <v>98509</v>
          </cell>
          <cell r="B927" t="str">
            <v>SINAPI</v>
          </cell>
          <cell r="C927"/>
          <cell r="D927" t="str">
            <v>Plantio de arbusto ou cerca viva. AF_05/2018</v>
          </cell>
          <cell r="E927"/>
          <cell r="F927" t="str">
            <v>UN</v>
          </cell>
          <cell r="G927">
            <v>45.3</v>
          </cell>
          <cell r="H927" t="str">
            <v>-</v>
          </cell>
        </row>
        <row r="928">
          <cell r="A928">
            <v>98510</v>
          </cell>
          <cell r="B928" t="str">
            <v>SINAPI</v>
          </cell>
          <cell r="C928"/>
          <cell r="D928" t="str">
            <v>Plantio de árvore ornamental com altura de muda menor ou igual a 2,00 m. AF_05/2018</v>
          </cell>
          <cell r="E928"/>
          <cell r="F928" t="str">
            <v>UN</v>
          </cell>
          <cell r="G928">
            <v>69.27</v>
          </cell>
          <cell r="H928" t="str">
            <v>-</v>
          </cell>
        </row>
        <row r="929">
          <cell r="A929">
            <v>98511</v>
          </cell>
          <cell r="B929" t="str">
            <v>SINAPI</v>
          </cell>
          <cell r="C929"/>
          <cell r="D929" t="str">
            <v>Plantio de árvore ornamental com altura de muda maior que 2,00 m e menor ou igual a 4,00 m. AF_05/2018</v>
          </cell>
          <cell r="E929"/>
          <cell r="F929" t="str">
            <v>UN</v>
          </cell>
          <cell r="G929">
            <v>130.91999999999999</v>
          </cell>
          <cell r="H929" t="str">
            <v>-</v>
          </cell>
        </row>
        <row r="930">
          <cell r="A930">
            <v>98516</v>
          </cell>
          <cell r="B930" t="str">
            <v>SINAPI</v>
          </cell>
          <cell r="C930"/>
          <cell r="D930" t="str">
            <v>Plantio de palmeira com altura de muda menor ou igual a 2,00 m. AF_05/2018</v>
          </cell>
          <cell r="E930"/>
          <cell r="F930" t="str">
            <v>UN</v>
          </cell>
          <cell r="G930">
            <v>350.16</v>
          </cell>
          <cell r="H930" t="str">
            <v>-</v>
          </cell>
        </row>
        <row r="931">
          <cell r="A931" t="str">
            <v>SC/0085</v>
          </cell>
          <cell r="B931" t="str">
            <v>COMPOSIÇÃO</v>
          </cell>
          <cell r="C931"/>
          <cell r="D931" t="str">
            <v>Dispositivo de segurança na travessia de pedestre - guarda corpo em tubo de aço galvanizado Ø 3", pintado com esmalte sintético em duas demãos</v>
          </cell>
          <cell r="E931"/>
          <cell r="F931" t="str">
            <v xml:space="preserve">UN </v>
          </cell>
          <cell r="G931">
            <v>1417.99</v>
          </cell>
          <cell r="H931" t="str">
            <v>-</v>
          </cell>
        </row>
        <row r="932">
          <cell r="A932" t="str">
            <v>SC/0090</v>
          </cell>
          <cell r="B932" t="str">
            <v>COMPOSIÇÃO</v>
          </cell>
          <cell r="C932"/>
          <cell r="D932" t="str">
            <v>Defensa metálica semi-maleável tipo simples, em chapa de aço, padrão DNIT, incluindo fornecimento, montagem e refletivos (30x5cm) (REF. SICRO COD. 3713604)</v>
          </cell>
          <cell r="E932"/>
          <cell r="F932" t="str">
            <v>M</v>
          </cell>
          <cell r="G932">
            <v>495.3</v>
          </cell>
          <cell r="H932" t="str">
            <v>-</v>
          </cell>
        </row>
        <row r="933">
          <cell r="A933" t="str">
            <v>SC/0091</v>
          </cell>
          <cell r="B933" t="str">
            <v>COMPOSIÇÃO</v>
          </cell>
          <cell r="C933"/>
          <cell r="D933" t="str">
            <v>Implantação de Defensa metálica semi-maleável tipo simples, em chapa de aço, padrão DNIT, excluindo fornecimento e refletivos (30x5cm) (REF. SICRO COD. 3713604, DB 01/2021)</v>
          </cell>
          <cell r="E933"/>
          <cell r="F933" t="str">
            <v>M</v>
          </cell>
          <cell r="G933">
            <v>6.08</v>
          </cell>
          <cell r="H933" t="str">
            <v>-</v>
          </cell>
        </row>
        <row r="934">
          <cell r="A934" t="str">
            <v>SC/0092</v>
          </cell>
          <cell r="B934" t="str">
            <v>COMPOSIÇÃO</v>
          </cell>
          <cell r="C934"/>
          <cell r="D934" t="str">
            <v>Fornecimento de Defensa metálica semi-maleável tipo simples, em chapa de aço, padrão DNIT, incluindo fornecimento e refletivos (30x5cm), excluindo montagem (REF. SICRO COD. 3713604, DB 01/2021)</v>
          </cell>
          <cell r="E934"/>
          <cell r="F934" t="str">
            <v>M</v>
          </cell>
          <cell r="G934">
            <v>488.92</v>
          </cell>
          <cell r="H934" t="str">
            <v>-</v>
          </cell>
        </row>
        <row r="935">
          <cell r="A935" t="str">
            <v>SC/0095</v>
          </cell>
          <cell r="B935" t="str">
            <v>COMPOSIÇÃO</v>
          </cell>
          <cell r="C935"/>
          <cell r="D935" t="str">
            <v>Defensa metálica semi-maleável tipo dupla, em chapa de aço, padrão DNIT, incluindo fornecimento, montagem e refletivos (30x5cm) (REF. SICRO COD. 3713606)</v>
          </cell>
          <cell r="E935"/>
          <cell r="F935" t="str">
            <v>M</v>
          </cell>
          <cell r="G935">
            <v>689</v>
          </cell>
          <cell r="H935" t="str">
            <v>-</v>
          </cell>
        </row>
        <row r="936">
          <cell r="A936" t="str">
            <v>SC/0096</v>
          </cell>
          <cell r="B936" t="str">
            <v>COMPOSIÇÃO</v>
          </cell>
          <cell r="C936"/>
          <cell r="D936" t="str">
            <v>Instalação de Defensa metálica semi-maleável tipo dupla, em chapa de aço, padrão DNIT, excluindo fornecimento e refletivos (30x5cm) (REF. SICRO COD. 3713606, DB 01/2021)</v>
          </cell>
          <cell r="E936"/>
          <cell r="F936" t="str">
            <v>M</v>
          </cell>
          <cell r="G936">
            <v>14.62</v>
          </cell>
          <cell r="H936" t="str">
            <v>-</v>
          </cell>
        </row>
        <row r="937">
          <cell r="A937" t="str">
            <v>SC/0097</v>
          </cell>
          <cell r="B937" t="str">
            <v>COMPOSIÇÃO</v>
          </cell>
          <cell r="C937"/>
          <cell r="D937" t="str">
            <v>Fornecimento de Defensa metálica semi-maleável tipo dupla, em chapa de aço, padrão DNIT, incluindo fornecimento e refletivos (30x5cm) (REF. SICRO COD. 3713606, DB 01/2021), excluindo montagem e transporte</v>
          </cell>
          <cell r="E937"/>
          <cell r="F937" t="str">
            <v>M</v>
          </cell>
          <cell r="G937">
            <v>674.38</v>
          </cell>
          <cell r="H937" t="str">
            <v>-</v>
          </cell>
        </row>
        <row r="938">
          <cell r="A938" t="str">
            <v>SC/0100</v>
          </cell>
          <cell r="B938" t="str">
            <v>COMPOSIÇÃO</v>
          </cell>
          <cell r="C938"/>
          <cell r="D938" t="str">
            <v>Tubo aço galvanizado com costura para guarda-corpo, classe leve, DN 40 mm (1 1/2"),  DIN 2440 / NBR 5580 classe leve, espessura 3,00 mm, *3,48* kg/m</v>
          </cell>
          <cell r="E938"/>
          <cell r="F938" t="str">
            <v>M</v>
          </cell>
          <cell r="G938">
            <v>55.08</v>
          </cell>
          <cell r="H938" t="str">
            <v>-</v>
          </cell>
        </row>
        <row r="939">
          <cell r="A939" t="str">
            <v>SC/0105</v>
          </cell>
          <cell r="B939" t="str">
            <v>COMPOSIÇÃO</v>
          </cell>
          <cell r="C939"/>
          <cell r="D939" t="str">
            <v>Tubo aço galvanizado com costura para guarda-corpo, classe leve, DN 50 mm (2"),  DIN 2440 / NBR 5580 classe leve, espessura 3,00 mm, *4,40* kg/m</v>
          </cell>
          <cell r="E939"/>
          <cell r="F939" t="str">
            <v>M</v>
          </cell>
          <cell r="G939">
            <v>71.86</v>
          </cell>
          <cell r="H939" t="str">
            <v>-</v>
          </cell>
        </row>
        <row r="940">
          <cell r="A940">
            <v>89512</v>
          </cell>
          <cell r="B940" t="str">
            <v>SINAPI</v>
          </cell>
          <cell r="C940"/>
          <cell r="D940" t="str">
            <v>Tubo pvc, série r, água pluvial, diâmetro nominal de 100 mm, fornecido e instalado em ramal de encaminhamento. AF_12/2014</v>
          </cell>
          <cell r="E940"/>
          <cell r="F940" t="str">
            <v>M</v>
          </cell>
          <cell r="G940">
            <v>50.96</v>
          </cell>
          <cell r="H940" t="str">
            <v>-</v>
          </cell>
        </row>
        <row r="941">
          <cell r="A941" t="str">
            <v>SC/0130</v>
          </cell>
          <cell r="B941" t="str">
            <v>COMPOSIÇÃO</v>
          </cell>
          <cell r="C941">
            <v>3.5</v>
          </cell>
          <cell r="D941" t="str">
            <v>Tampão fofo articulado, classe A15, carga máxima 1,5 T, 200 x 200 mm. Incluindo fornecimento, assentamento e requadro com argamassa</v>
          </cell>
          <cell r="E941"/>
          <cell r="F941" t="str">
            <v xml:space="preserve">UN </v>
          </cell>
          <cell r="G941">
            <v>128.01</v>
          </cell>
          <cell r="H941" t="str">
            <v>-</v>
          </cell>
        </row>
        <row r="942">
          <cell r="A942" t="str">
            <v>SC/0135</v>
          </cell>
          <cell r="B942" t="str">
            <v>COMPOSIÇÃO</v>
          </cell>
          <cell r="C942">
            <v>5.8</v>
          </cell>
          <cell r="D942" t="str">
            <v>Tampão fofo simples com base, classe A15, carga máxima 1,5 T, 300 x 300 mm. Incluindo fornecimento, assentamento e requadro com argamassa</v>
          </cell>
          <cell r="E942"/>
          <cell r="F942" t="str">
            <v xml:space="preserve">UN </v>
          </cell>
          <cell r="G942">
            <v>193.28</v>
          </cell>
          <cell r="H942" t="str">
            <v>-</v>
          </cell>
        </row>
        <row r="943">
          <cell r="A943" t="str">
            <v>SC/0140</v>
          </cell>
          <cell r="B943" t="str">
            <v>COMPOSIÇÃO</v>
          </cell>
          <cell r="C943">
            <v>9</v>
          </cell>
          <cell r="D943" t="str">
            <v>Tampão fofo simples com base, classe A15, carga máxima 1,5 T, 400 x 400 mm. Incluindo fornecimento, assentamento e requadro com argamassa</v>
          </cell>
          <cell r="E943"/>
          <cell r="F943" t="str">
            <v xml:space="preserve">UN </v>
          </cell>
          <cell r="G943">
            <v>279.97000000000003</v>
          </cell>
          <cell r="H943" t="str">
            <v>-</v>
          </cell>
        </row>
        <row r="944">
          <cell r="A944" t="str">
            <v>SC/0145</v>
          </cell>
          <cell r="B944" t="str">
            <v>COMPOSIÇÃO</v>
          </cell>
          <cell r="C944">
            <v>12</v>
          </cell>
          <cell r="D944" t="str">
            <v>Tampão fofo simples com base, classe A15, carga máxima 1,5 T, 400 x 400 mm. Incluindo fornecimento, assentamento e requadro com argamassa</v>
          </cell>
          <cell r="E944"/>
          <cell r="F944" t="str">
            <v xml:space="preserve">UN </v>
          </cell>
          <cell r="G944">
            <v>286.91000000000003</v>
          </cell>
          <cell r="H944" t="str">
            <v>-</v>
          </cell>
        </row>
        <row r="945">
          <cell r="A945" t="str">
            <v>SC/0150</v>
          </cell>
          <cell r="B945" t="str">
            <v>COMPOSIÇÃO</v>
          </cell>
          <cell r="C945">
            <v>15</v>
          </cell>
          <cell r="D945" t="str">
            <v>Tampão fofo simples com base, classe A15, carga máxima 1,5 T, 400 x 600 mm. Incluindo fornecimento, assentamento e requadro com argamassa</v>
          </cell>
          <cell r="E945"/>
          <cell r="F945" t="str">
            <v xml:space="preserve">UN </v>
          </cell>
          <cell r="G945">
            <v>385.11</v>
          </cell>
          <cell r="H945" t="str">
            <v>-</v>
          </cell>
        </row>
        <row r="946">
          <cell r="A946">
            <v>101798</v>
          </cell>
          <cell r="B946" t="str">
            <v>SINAPI</v>
          </cell>
          <cell r="C946" t="str">
            <v>84798
18 kg/un</v>
          </cell>
          <cell r="D946" t="str">
            <v>Tampão fofo p/ caixa R1 padrão telebrás completo - fornecimento e instalação</v>
          </cell>
          <cell r="E946"/>
          <cell r="F946" t="str">
            <v>UN</v>
          </cell>
          <cell r="G946">
            <v>364.75</v>
          </cell>
          <cell r="H946" t="str">
            <v>-</v>
          </cell>
        </row>
        <row r="947">
          <cell r="A947">
            <v>101799</v>
          </cell>
          <cell r="B947" t="str">
            <v>SINAPI</v>
          </cell>
          <cell r="C947" t="str">
            <v>84796
45,375 kg/un</v>
          </cell>
          <cell r="D947" t="str">
            <v>tampão fofo p/ caixa R2 padrão telebrás completo - fornecimento e instalação</v>
          </cell>
          <cell r="E947"/>
          <cell r="F947" t="str">
            <v>UN</v>
          </cell>
          <cell r="G947">
            <v>887.16</v>
          </cell>
          <cell r="H947" t="str">
            <v>-</v>
          </cell>
        </row>
        <row r="948">
          <cell r="A948" t="str">
            <v>SC/0155</v>
          </cell>
          <cell r="B948" t="str">
            <v>COMPOSIÇÃO</v>
          </cell>
          <cell r="C948"/>
          <cell r="D948" t="str">
            <v>Tampão completo para TIL, em PVC,  DN 100 mm, para rede coletora de esgoto. Incluindo fornecimento, assentamento e requadro com argamassa</v>
          </cell>
          <cell r="E948"/>
          <cell r="F948" t="str">
            <v xml:space="preserve">UN </v>
          </cell>
          <cell r="G948" t="e">
            <v>#N/A</v>
          </cell>
          <cell r="H948" t="str">
            <v>VER COMP</v>
          </cell>
        </row>
        <row r="949">
          <cell r="A949" t="str">
            <v>SC/0160</v>
          </cell>
          <cell r="B949" t="str">
            <v>COMPOSIÇÃO</v>
          </cell>
          <cell r="C949"/>
          <cell r="D949" t="str">
            <v>Tampa de concreto armado para caixa de passeio, na espessura de 5cm (REF. SINAPI COD. 6171)</v>
          </cell>
          <cell r="E949"/>
          <cell r="F949" t="str">
            <v>M2</v>
          </cell>
          <cell r="G949">
            <v>106.39</v>
          </cell>
          <cell r="H949" t="str">
            <v>-</v>
          </cell>
        </row>
        <row r="950">
          <cell r="A950">
            <v>101166</v>
          </cell>
          <cell r="B950" t="str">
            <v>SINAPI</v>
          </cell>
          <cell r="C950">
            <v>95474</v>
          </cell>
          <cell r="D950" t="str">
            <v>Alvenaria de embasamento com bloco estrutural de cerâmica, de 14x19x29cm e argamassa de assentamento com preparo em betoneira. AF_05/2020</v>
          </cell>
          <cell r="E950"/>
          <cell r="F950" t="str">
            <v>M3</v>
          </cell>
          <cell r="G950">
            <v>669.45</v>
          </cell>
          <cell r="H950" t="str">
            <v>-</v>
          </cell>
        </row>
        <row r="951">
          <cell r="A951">
            <v>94964</v>
          </cell>
          <cell r="B951" t="str">
            <v>SINAPI</v>
          </cell>
          <cell r="C951"/>
          <cell r="D951" t="str">
            <v>Concreto FCK = 20MPA, traço 1:2,7:3 (cimento/ areia média/ brita 1) - preparo mecânico com betoneira 400 l. AF_07/2016</v>
          </cell>
          <cell r="E951"/>
          <cell r="F951" t="str">
            <v>M3</v>
          </cell>
          <cell r="G951">
            <v>475.66</v>
          </cell>
          <cell r="H951" t="str">
            <v>-</v>
          </cell>
        </row>
        <row r="952">
          <cell r="A952">
            <v>98524</v>
          </cell>
          <cell r="B952" t="str">
            <v>SINAPI</v>
          </cell>
          <cell r="C952">
            <v>85422</v>
          </cell>
          <cell r="D952" t="str">
            <v>Limpeza manual de vegetação em terreno com enxada. AF_05/2018</v>
          </cell>
          <cell r="E952"/>
          <cell r="F952" t="str">
            <v>M2</v>
          </cell>
          <cell r="G952">
            <v>2.94</v>
          </cell>
          <cell r="H952" t="str">
            <v>-</v>
          </cell>
        </row>
        <row r="953">
          <cell r="A953">
            <v>96542</v>
          </cell>
          <cell r="B953" t="str">
            <v>SINAPI</v>
          </cell>
          <cell r="C953"/>
          <cell r="D953" t="str">
            <v>Fabricação, montagem e desmontagem de fôrma para viga baldrame, em chapa de madeira compensada resinada, e=17 mm, 4 utilizações. AF_06/2017</v>
          </cell>
          <cell r="E953"/>
          <cell r="F953" t="str">
            <v>M2</v>
          </cell>
          <cell r="G953">
            <v>89.75</v>
          </cell>
          <cell r="H953" t="str">
            <v>-</v>
          </cell>
        </row>
        <row r="954">
          <cell r="A954" t="str">
            <v>SC/0210</v>
          </cell>
          <cell r="B954" t="str">
            <v>COMPOSIÇÃO</v>
          </cell>
          <cell r="C954">
            <v>83693</v>
          </cell>
          <cell r="D954" t="str">
            <v>Caiação com fixador de cal. Ref SICRO CÓD  4915723, DB 01-2021</v>
          </cell>
          <cell r="E954"/>
          <cell r="F954" t="str">
            <v>M2</v>
          </cell>
          <cell r="G954">
            <v>3.47</v>
          </cell>
          <cell r="H954" t="str">
            <v>-</v>
          </cell>
        </row>
        <row r="955">
          <cell r="A955">
            <v>102218</v>
          </cell>
          <cell r="B955" t="str">
            <v>SINAPI</v>
          </cell>
          <cell r="C955">
            <v>84659</v>
          </cell>
          <cell r="D955" t="str">
            <v>Pintura esmalte fosco em madeira, duas demãos</v>
          </cell>
          <cell r="E955"/>
          <cell r="F955" t="str">
            <v>M2</v>
          </cell>
          <cell r="G955">
            <v>14.49</v>
          </cell>
          <cell r="H955" t="str">
            <v>-</v>
          </cell>
        </row>
        <row r="956">
          <cell r="A956">
            <v>100749</v>
          </cell>
          <cell r="B956" t="str">
            <v>SINAPI</v>
          </cell>
          <cell r="C956"/>
          <cell r="D956" t="str">
            <v>Pintura com tinta alquídica de acabamento (esmalte sintético fosco) pulverizada sobre superfícies metálicas (exceto perfil) executado em obra (por demão). AF_01/2020</v>
          </cell>
          <cell r="E956"/>
          <cell r="F956" t="str">
            <v>M2</v>
          </cell>
          <cell r="G956">
            <v>21.75</v>
          </cell>
          <cell r="H956" t="str">
            <v>-</v>
          </cell>
        </row>
        <row r="957">
          <cell r="A957">
            <v>100750</v>
          </cell>
          <cell r="B957" t="str">
            <v>SINAPI</v>
          </cell>
          <cell r="C957"/>
          <cell r="D957" t="str">
            <v>Pintura com tinta alquídica de acabamento (esmalte sintético fosco) aplicada a rolo ou pincel sobre superfícies metálicas (exceto perfil) executado em obra (por demão). AF_01/2020</v>
          </cell>
          <cell r="E957"/>
          <cell r="F957" t="str">
            <v>M2</v>
          </cell>
          <cell r="G957">
            <v>22.14</v>
          </cell>
          <cell r="H957" t="str">
            <v>-</v>
          </cell>
        </row>
        <row r="958">
          <cell r="A958">
            <v>88489</v>
          </cell>
          <cell r="B958" t="str">
            <v>SINAPI</v>
          </cell>
          <cell r="C958"/>
          <cell r="D958" t="str">
            <v>APLICAÇÃO MANUAL DE PINTURA COM TINTA LÁTEX ACRÍLICA EM PAREDES, DUAS DEMÃOS. AF_06/2014</v>
          </cell>
          <cell r="E958"/>
          <cell r="F958" t="str">
            <v>M2</v>
          </cell>
          <cell r="G958">
            <v>11.7</v>
          </cell>
          <cell r="H958" t="str">
            <v>-</v>
          </cell>
        </row>
        <row r="959">
          <cell r="A959">
            <v>101190</v>
          </cell>
          <cell r="B959" t="str">
            <v>SINAPI</v>
          </cell>
          <cell r="C959"/>
          <cell r="D959" t="str">
            <v>Cerca com mourões de concreto, reto, h=3,00 m, espaçamento de 2,50 m, cravados 0,5 m, com 4 fios de arame de aço ovalado 15x17 - fornecimento e instalação. AF_05/2020</v>
          </cell>
          <cell r="E959"/>
          <cell r="F959" t="str">
            <v>M</v>
          </cell>
          <cell r="G959">
            <v>61.64</v>
          </cell>
          <cell r="H959" t="str">
            <v>-</v>
          </cell>
        </row>
        <row r="960">
          <cell r="A960">
            <v>101193</v>
          </cell>
          <cell r="B960" t="str">
            <v>SINAPI</v>
          </cell>
          <cell r="C960"/>
          <cell r="D960" t="str">
            <v>Cerca com mourões de concreto, reto, h=2,30 m, espaçamento de 2,50 m, cravados 0,5 m, com 4 fios de arame de aço ovalado 15x17 - fornecimento e instalação. AF_05/2020</v>
          </cell>
          <cell r="E960"/>
          <cell r="F960" t="str">
            <v>M</v>
          </cell>
          <cell r="G960">
            <v>56.21</v>
          </cell>
          <cell r="H960" t="str">
            <v>-</v>
          </cell>
        </row>
        <row r="961">
          <cell r="A961">
            <v>101199</v>
          </cell>
          <cell r="B961" t="str">
            <v>SINAPI</v>
          </cell>
          <cell r="C961"/>
          <cell r="D961" t="str">
            <v>Cerca com mourões de concreto, seção "t" ponta inclinada, 10x10cm, espaçamento de 2,5m, cravados 0,5m, com 11 fios de arame misto - fornecimento e instalação. AF_05/2020</v>
          </cell>
          <cell r="E961"/>
          <cell r="F961" t="str">
            <v>M</v>
          </cell>
          <cell r="G961">
            <v>84.28</v>
          </cell>
          <cell r="H961" t="str">
            <v>-</v>
          </cell>
        </row>
        <row r="962">
          <cell r="A962">
            <v>102362</v>
          </cell>
          <cell r="B962" t="str">
            <v>SINAPI</v>
          </cell>
          <cell r="C962"/>
          <cell r="D962" t="str">
            <v>Alambrado para quadra poliesportiva, estruturado por tubos de aco galvanizado, (montantes com diametro 2", travessas e escoras com diâmetro 1 ¼), com tela de arame galvanizado, fio 14 bwg e malha quadrada 5x5cm (exceto mureta). AF_03/2021</v>
          </cell>
          <cell r="E962"/>
          <cell r="F962" t="str">
            <v>M2</v>
          </cell>
          <cell r="G962">
            <v>158.01</v>
          </cell>
          <cell r="H962" t="str">
            <v>-</v>
          </cell>
        </row>
        <row r="963">
          <cell r="A963">
            <v>102364</v>
          </cell>
          <cell r="B963" t="str">
            <v>SINAPI</v>
          </cell>
          <cell r="C963"/>
          <cell r="D963" t="str">
            <v>Alambrado para quadra poliesportiva, estruturado por tubos de aco galvanizado, (montantes com diametro 2", travessas e escoras com diâmetro 1 ¼), com tela de arame galvanizado, fio 10 bwg e malha quadrada 5x5cm (exceto mureta). af_03/2021</v>
          </cell>
          <cell r="E963"/>
          <cell r="F963" t="str">
            <v>M2</v>
          </cell>
          <cell r="G963">
            <v>194.25</v>
          </cell>
          <cell r="H963" t="str">
            <v>-</v>
          </cell>
        </row>
        <row r="964">
          <cell r="A964" t="str">
            <v>SC/0110</v>
          </cell>
          <cell r="B964" t="str">
            <v>COMPOSIÇÃO</v>
          </cell>
          <cell r="C964" t="str">
            <v>74142/3
SC/0120</v>
          </cell>
          <cell r="D964" t="str">
            <v>Cerca com mourões de madeira roliça Ø 11cm, espaçamento de 2,00m, altura livre de 1,50m, cravado 0,50m, com 5 fios de arame liso ovalado 15x17, conforme projeto</v>
          </cell>
          <cell r="E964"/>
          <cell r="F964" t="str">
            <v>M</v>
          </cell>
          <cell r="G964">
            <v>34.53</v>
          </cell>
          <cell r="H964" t="str">
            <v>-</v>
          </cell>
        </row>
        <row r="965">
          <cell r="A965" t="str">
            <v>SC/0115</v>
          </cell>
          <cell r="B965" t="str">
            <v>COMPOSIÇÃO</v>
          </cell>
          <cell r="C965" t="str">
            <v>SC/0110</v>
          </cell>
          <cell r="D965" t="str">
            <v>Alambrado com tela de aço galvanizado, fio 14, malha 1½" , três fios de arame liso, poste curvo de concreto com altura livre de 1,80m, mureta de concreto com altura de 30cm, conforme projeto. REF SINAPI 98522</v>
          </cell>
          <cell r="E965"/>
          <cell r="F965" t="str">
            <v>M</v>
          </cell>
          <cell r="G965">
            <v>262.20999999999998</v>
          </cell>
          <cell r="H965" t="str">
            <v>-</v>
          </cell>
        </row>
        <row r="966">
          <cell r="A966" t="str">
            <v>SC/0120</v>
          </cell>
          <cell r="B966" t="str">
            <v>COMPOSIÇÃO</v>
          </cell>
          <cell r="C966" t="str">
            <v>SC/0125</v>
          </cell>
          <cell r="D966" t="str">
            <v>Portão para veículos em tela arame galvanizado n.12 malha 2" e moldura em tubos de aco com duas folhas de abrir, incluso ferragens (REF. SINAPI COD. 74238/2 - Descontinuado)</v>
          </cell>
          <cell r="E966"/>
          <cell r="F966" t="str">
            <v>M2</v>
          </cell>
          <cell r="G966">
            <v>999.41</v>
          </cell>
          <cell r="H966" t="str">
            <v>-</v>
          </cell>
        </row>
        <row r="967">
          <cell r="A967" t="str">
            <v>SC/0125</v>
          </cell>
          <cell r="B967" t="str">
            <v>COMPOSIÇÃO</v>
          </cell>
          <cell r="C967" t="str">
            <v>SC/0130</v>
          </cell>
          <cell r="D967" t="str">
            <v>Orla de madeira de 2,5 x 5 cm, para grama, fornecimento e aplicação em áreas inclinadas</v>
          </cell>
          <cell r="E967"/>
          <cell r="F967" t="str">
            <v>M</v>
          </cell>
          <cell r="G967">
            <v>10.78</v>
          </cell>
          <cell r="H967" t="str">
            <v>-</v>
          </cell>
        </row>
        <row r="968">
          <cell r="A968" t="str">
            <v>SC/0200</v>
          </cell>
          <cell r="B968" t="str">
            <v>COMPOSIÇÃO</v>
          </cell>
          <cell r="C968" t="str">
            <v>SC/0130</v>
          </cell>
          <cell r="D968" t="str">
            <v>Meio fio de concreto - MFC 03 - areia e brita comerciais - fôrma de madeira.Ref SICRO CÓD  2003373, DB 07-2020</v>
          </cell>
          <cell r="E968"/>
          <cell r="F968" t="str">
            <v>M</v>
          </cell>
          <cell r="G968">
            <v>40.130000000000003</v>
          </cell>
          <cell r="H968" t="str">
            <v>-</v>
          </cell>
        </row>
        <row r="969">
          <cell r="A969" t="str">
            <v>SC/0205</v>
          </cell>
          <cell r="B969" t="str">
            <v>COMPOSIÇÃO</v>
          </cell>
          <cell r="C969" t="str">
            <v>SC/0205</v>
          </cell>
          <cell r="D969" t="str">
            <v>Enchimento de junta de concreto com argamassa asfáltica de densidade 1.700 kg/m³ - espessura de 1 cm.Ref SICRO CÓD  2003842, DB 07-2020</v>
          </cell>
          <cell r="E969"/>
          <cell r="F969" t="str">
            <v>KG</v>
          </cell>
          <cell r="G969">
            <v>93.73</v>
          </cell>
          <cell r="H969" t="str">
            <v>-</v>
          </cell>
        </row>
        <row r="970">
          <cell r="A970" t="str">
            <v>SC/0210</v>
          </cell>
          <cell r="B970" t="str">
            <v>COMPOSIÇÃO</v>
          </cell>
          <cell r="C970" t="str">
            <v>SC/0210</v>
          </cell>
          <cell r="D970" t="str">
            <v>Caiação com fixador de cal. Ref SICRO CÓD  4915723, DB 01-2021</v>
          </cell>
          <cell r="E970"/>
          <cell r="F970" t="str">
            <v>M2</v>
          </cell>
          <cell r="G970">
            <v>3.47</v>
          </cell>
          <cell r="H970" t="str">
            <v>-</v>
          </cell>
        </row>
        <row r="971">
          <cell r="A971" t="str">
            <v>SC/0220</v>
          </cell>
          <cell r="B971" t="str">
            <v>COMPOSIÇÃO</v>
          </cell>
          <cell r="C971" t="str">
            <v>SC/0220</v>
          </cell>
          <cell r="D971" t="str">
            <v>Balizador de concreto - areia e brita comerciais - fornecimento e implantação. Ref SICRO CÓD  5213368, DB 01-2021</v>
          </cell>
          <cell r="E971"/>
          <cell r="F971" t="str">
            <v>UN</v>
          </cell>
          <cell r="G971">
            <v>26.74</v>
          </cell>
          <cell r="H971" t="str">
            <v>-</v>
          </cell>
        </row>
        <row r="972">
          <cell r="A972" t="str">
            <v>SC/0230</v>
          </cell>
          <cell r="B972" t="str">
            <v>COMPOSIÇÃO</v>
          </cell>
          <cell r="C972" t="str">
            <v>SC/0230</v>
          </cell>
          <cell r="D972" t="str">
            <v>Fabricação de balizador de concreto - seção circular de 10 cm - areia e brita comerciais. Ref SICRO CÓD  5216116, DB 01-2021</v>
          </cell>
          <cell r="E972"/>
          <cell r="F972" t="str">
            <v>UN</v>
          </cell>
          <cell r="G972">
            <v>14.45</v>
          </cell>
          <cell r="H972" t="str">
            <v>-</v>
          </cell>
        </row>
        <row r="973">
          <cell r="A973" t="str">
            <v>SC/0240</v>
          </cell>
          <cell r="B973" t="str">
            <v>COMPOSIÇÃO</v>
          </cell>
          <cell r="C973" t="str">
            <v>SC/0230</v>
          </cell>
          <cell r="D973" t="str">
            <v>Barreira simples de concreto, não armada, moldada no local (perfil New Jersey) - H = 810 + 100 mm. Ref SICRO CÓD  3713617, DB 01-2021</v>
          </cell>
          <cell r="E973"/>
          <cell r="F973" t="str">
            <v>M</v>
          </cell>
          <cell r="G973">
            <v>219.74</v>
          </cell>
          <cell r="H973" t="str">
            <v>-</v>
          </cell>
        </row>
        <row r="974">
          <cell r="A974" t="str">
            <v>SC/0250</v>
          </cell>
          <cell r="B974" t="str">
            <v>COMPOSIÇÃO</v>
          </cell>
          <cell r="C974" t="str">
            <v>SC/0230</v>
          </cell>
          <cell r="D974" t="str">
            <v>Hidrossemeadura. Ref SICRO CÓD  4413905, DB 04-2021</v>
          </cell>
          <cell r="E974"/>
          <cell r="F974" t="str">
            <v>M2</v>
          </cell>
          <cell r="G974">
            <v>6.65</v>
          </cell>
          <cell r="H974" t="str">
            <v>-</v>
          </cell>
        </row>
        <row r="975">
          <cell r="A975" t="str">
            <v>SC/0260</v>
          </cell>
          <cell r="B975" t="str">
            <v>COMPOSIÇÃO</v>
          </cell>
          <cell r="C975" t="str">
            <v>SC/0230</v>
          </cell>
          <cell r="D975" t="str">
            <v>Banco concreto armado pré moldado, acabamento com silicone, dimensões 120x50x45cm, apoiado em bloco de concreto moldado in loco à 5 cm acima do nível do piso intertravado, com pintura na parte externa em tinta acrílica para piso acabamento fosco, cor preta, dimensões 110x40x11cm</v>
          </cell>
          <cell r="E975"/>
          <cell r="F975" t="str">
            <v>UN</v>
          </cell>
          <cell r="G975">
            <v>645.66999999999996</v>
          </cell>
          <cell r="H975" t="str">
            <v>-</v>
          </cell>
        </row>
        <row r="976">
          <cell r="A976" t="str">
            <v>SC/0270</v>
          </cell>
          <cell r="B976" t="str">
            <v>COMPOSIÇÃO</v>
          </cell>
          <cell r="C976" t="str">
            <v>SC/0230</v>
          </cell>
          <cell r="D976" t="str">
            <v>Floreira concreto armado 60x60x70cm, apoiado no pavimento e paredes e fundo interno com 3 demãos de impermeabilizante base cimento polimerico inclusive dreno com brita</v>
          </cell>
          <cell r="E976"/>
          <cell r="F976" t="str">
            <v>UN</v>
          </cell>
          <cell r="G976">
            <v>719.34</v>
          </cell>
          <cell r="H976" t="str">
            <v>-</v>
          </cell>
        </row>
        <row r="977">
          <cell r="A977"/>
          <cell r="B977"/>
          <cell r="C977"/>
          <cell r="D977"/>
          <cell r="E977"/>
          <cell r="F977"/>
          <cell r="G977"/>
          <cell r="H977"/>
        </row>
        <row r="978">
          <cell r="A978"/>
          <cell r="B978"/>
          <cell r="C978" t="str">
            <v>12.0</v>
          </cell>
          <cell r="D978" t="str">
            <v>DRENAGEM DE LENÇOL FREÁTICO</v>
          </cell>
          <cell r="E978"/>
          <cell r="F978"/>
          <cell r="G978"/>
          <cell r="H978" t="str">
            <v/>
          </cell>
        </row>
        <row r="979">
          <cell r="A979"/>
          <cell r="B979" t="str">
            <v>REPETIDO</v>
          </cell>
          <cell r="C979">
            <v>101570</v>
          </cell>
          <cell r="D979" t="str">
            <v>Escoramento de vala, tipo pontaleteamento, com profundidade de 0,00 a 1,50 m, largura menor que 1,50 m. AF_08/2020</v>
          </cell>
          <cell r="E979"/>
          <cell r="F979" t="str">
            <v>-</v>
          </cell>
          <cell r="G979" t="str">
            <v>-</v>
          </cell>
          <cell r="H979" t="str">
            <v/>
          </cell>
        </row>
        <row r="980">
          <cell r="A980"/>
          <cell r="B980" t="str">
            <v>REPETIDO</v>
          </cell>
          <cell r="C980" t="str">
            <v>90106
14,99 m3/h</v>
          </cell>
          <cell r="D980" t="str">
            <v>Escavação mecanizada de vala com profundidade até 1,50 m (média entre montante e jusante/uma composição por trecho), com retroescavadeira (0,26 m3/88 HP), largura de 0,80 m a 1,50 m, em solo de 1a categoria, em locais com baixo nível de interferência. AF_01/2015</v>
          </cell>
          <cell r="E980"/>
          <cell r="F980" t="str">
            <v>-</v>
          </cell>
          <cell r="G980" t="str">
            <v>-</v>
          </cell>
          <cell r="H980" t="str">
            <v/>
          </cell>
        </row>
        <row r="981">
          <cell r="A981" t="str">
            <v>LF/0005</v>
          </cell>
          <cell r="B981" t="str">
            <v>COMPOSIÇÃO</v>
          </cell>
          <cell r="C981">
            <v>2.33</v>
          </cell>
          <cell r="D981" t="str">
            <v>Escavação mecânica de vala para drenagem com mimiescavadeira em material de 1a categoria (REF. SINAPI COD. 96525)</v>
          </cell>
          <cell r="E981"/>
          <cell r="F981" t="str">
            <v>M3</v>
          </cell>
          <cell r="G981">
            <v>43.96</v>
          </cell>
          <cell r="H981" t="str">
            <v>-</v>
          </cell>
        </row>
        <row r="982">
          <cell r="A982" t="str">
            <v>DR/0050</v>
          </cell>
          <cell r="B982" t="str">
            <v>COMPOSIÇÃO</v>
          </cell>
          <cell r="C982"/>
          <cell r="D982" t="str">
            <v>Esgotamento de água com bomba submersa (REF. SICRO COD. 2003864)</v>
          </cell>
          <cell r="E982"/>
          <cell r="F982" t="str">
            <v>H</v>
          </cell>
          <cell r="G982">
            <v>22.17</v>
          </cell>
          <cell r="H982" t="str">
            <v>-</v>
          </cell>
        </row>
        <row r="983">
          <cell r="A983"/>
          <cell r="B983" t="str">
            <v>REPETIDO</v>
          </cell>
          <cell r="C983">
            <v>93382</v>
          </cell>
          <cell r="D983" t="str">
            <v>Reaterro manual de valas com compactação mecanizada. AF_04/2016</v>
          </cell>
          <cell r="E983"/>
          <cell r="F983" t="str">
            <v>-</v>
          </cell>
          <cell r="G983" t="str">
            <v>-</v>
          </cell>
          <cell r="H983" t="str">
            <v/>
          </cell>
        </row>
        <row r="984">
          <cell r="A984" t="str">
            <v>LF/0006</v>
          </cell>
          <cell r="B984" t="str">
            <v>CRIAR COMPOSIÇÃO</v>
          </cell>
          <cell r="C984" t="str">
            <v>73883/1</v>
          </cell>
          <cell r="D984" t="str">
            <v>Execução de dreno francês (vertical) com areia média. Exclusive transporte da areia  e bota-fora</v>
          </cell>
          <cell r="E984"/>
          <cell r="F984" t="str">
            <v>-</v>
          </cell>
          <cell r="G984" t="str">
            <v>-</v>
          </cell>
          <cell r="H984" t="str">
            <v>-</v>
          </cell>
        </row>
        <row r="985">
          <cell r="A985" t="str">
            <v>73883/2</v>
          </cell>
          <cell r="B985" t="str">
            <v>SINAPI</v>
          </cell>
          <cell r="C985"/>
          <cell r="D985" t="str">
            <v>VERIFICAR CÓDIGOS:  102670 a 102697. Execução de dreno francês com brita num 2</v>
          </cell>
          <cell r="E985"/>
          <cell r="F985" t="e">
            <v>#N/A</v>
          </cell>
          <cell r="G985" t="e">
            <v>#N/A</v>
          </cell>
          <cell r="H985" t="str">
            <v>VER COMP</v>
          </cell>
        </row>
        <row r="986">
          <cell r="A986" t="str">
            <v>73881/1</v>
          </cell>
          <cell r="B986" t="str">
            <v>SINAPI</v>
          </cell>
          <cell r="C986"/>
          <cell r="D986" t="str">
            <v>VERIFICAR CÓDIGOS: 102712, 10713, 102715. Execução de dreno com manta geotêxtil 200 g/m2</v>
          </cell>
          <cell r="E986" t="str">
            <v>200 g/m²</v>
          </cell>
          <cell r="F986" t="e">
            <v>#N/A</v>
          </cell>
          <cell r="G986" t="e">
            <v>#N/A</v>
          </cell>
          <cell r="H986" t="str">
            <v>VER COMP</v>
          </cell>
        </row>
        <row r="987">
          <cell r="A987">
            <v>44507</v>
          </cell>
          <cell r="B987" t="str">
            <v>SINAPI</v>
          </cell>
          <cell r="C987">
            <v>25863</v>
          </cell>
          <cell r="D987" t="str">
            <v>Manta termoplastica, PEAD, geomembrana lisa, e = 1,00 mm ( NBR 15352)</v>
          </cell>
          <cell r="E987" t="str">
            <v>200 g/m²</v>
          </cell>
          <cell r="F987" t="str">
            <v xml:space="preserve">M2    </v>
          </cell>
          <cell r="G987">
            <v>28.23</v>
          </cell>
          <cell r="H987" t="str">
            <v>-</v>
          </cell>
        </row>
        <row r="988">
          <cell r="A988" t="str">
            <v>LF/0007</v>
          </cell>
          <cell r="B988" t="str">
            <v>COMPOSIÇÃO</v>
          </cell>
          <cell r="C988">
            <v>88549</v>
          </cell>
          <cell r="D988" t="str">
            <v>Brita n. 2 para dreno, lançamento manual, em local com nível baixo de interferência. Fornecimento, exclusive transporte</v>
          </cell>
          <cell r="E988"/>
          <cell r="F988" t="str">
            <v>M3</v>
          </cell>
          <cell r="G988">
            <v>190.92</v>
          </cell>
          <cell r="H988" t="str">
            <v>-</v>
          </cell>
        </row>
        <row r="989">
          <cell r="A989" t="str">
            <v>LF/0008</v>
          </cell>
          <cell r="B989" t="str">
            <v>COMPOSIÇÃO</v>
          </cell>
          <cell r="C989">
            <v>83680</v>
          </cell>
          <cell r="D989" t="str">
            <v>Barbacã em tubo de PVC diâmetro nominal de 75 mm (3"), incluindo material drenante. Exclusive transporte da pedra</v>
          </cell>
          <cell r="E989"/>
          <cell r="F989" t="str">
            <v>M</v>
          </cell>
          <cell r="G989">
            <v>26.94</v>
          </cell>
          <cell r="H989" t="str">
            <v>-</v>
          </cell>
        </row>
        <row r="990">
          <cell r="A990" t="str">
            <v>LF/0010</v>
          </cell>
          <cell r="B990" t="str">
            <v>COMPOSIÇÃO</v>
          </cell>
          <cell r="C990">
            <v>16.600000000000001</v>
          </cell>
          <cell r="D990" t="str">
            <v>Dreno sub-horizontal profundo, incluindo tubo de PVC soldável DN 50 mm, perfuração sub-horizontal, geossintético RT-14</v>
          </cell>
          <cell r="E990"/>
          <cell r="F990" t="str">
            <v>M</v>
          </cell>
          <cell r="G990">
            <v>131.03</v>
          </cell>
          <cell r="H990" t="str">
            <v>-</v>
          </cell>
        </row>
        <row r="991">
          <cell r="A991" t="str">
            <v>LF/0015</v>
          </cell>
          <cell r="B991" t="str">
            <v>COMPOSIÇÃO</v>
          </cell>
          <cell r="C991">
            <v>173</v>
          </cell>
          <cell r="D991" t="str">
            <v>Dreno longitudinal de pavimento, Tipo GH040, altura 0,40 m, com brita (20x20cm), geocomposto drenante e tubo PEAD corrugado perfurado DN 100 mm, inclusive escavação e reaterro (REF. SICRO COD. 2004509)</v>
          </cell>
          <cell r="E991"/>
          <cell r="F991" t="str">
            <v>M</v>
          </cell>
          <cell r="G991">
            <v>35.86</v>
          </cell>
          <cell r="H991" t="str">
            <v>-</v>
          </cell>
        </row>
        <row r="992">
          <cell r="A992" t="str">
            <v>LF/0020</v>
          </cell>
          <cell r="B992" t="str">
            <v>COMPOSIÇÃO</v>
          </cell>
          <cell r="C992">
            <v>132</v>
          </cell>
          <cell r="D992" t="str">
            <v>Dreno longitudinal de pavimento, Tipo GH100, altura 1,00 m, com brita (20x20cm), geocomposto drenante e tubo PEAD corrugado perfurado DN 100 mm, inclusive escavação e reaterro (REF. SICRO COD. 2004511)</v>
          </cell>
          <cell r="E992"/>
          <cell r="F992" t="str">
            <v>M</v>
          </cell>
          <cell r="G992">
            <v>61.71</v>
          </cell>
          <cell r="H992" t="str">
            <v>-</v>
          </cell>
        </row>
        <row r="993">
          <cell r="A993" t="str">
            <v>LF/0025</v>
          </cell>
          <cell r="B993" t="str">
            <v>COMPOSIÇÃO</v>
          </cell>
          <cell r="C993">
            <v>113</v>
          </cell>
          <cell r="D993" t="str">
            <v>Dreno longitudinal de pavimento, Tipo GH150, altura 1,50 m, com brita (20x20cm), geocomposto drenante e tubo PEAD corrugado perfurado DN 100 mm, inclusive escavação e reaterro (REF. SICRO COD. 2004512)</v>
          </cell>
          <cell r="E993"/>
          <cell r="F993" t="str">
            <v>M</v>
          </cell>
          <cell r="G993">
            <v>83.23</v>
          </cell>
          <cell r="H993" t="str">
            <v>-</v>
          </cell>
        </row>
        <row r="994">
          <cell r="A994" t="str">
            <v>LF/0030</v>
          </cell>
          <cell r="B994" t="str">
            <v>COMPOSIÇÃO</v>
          </cell>
          <cell r="C994">
            <v>29.98</v>
          </cell>
          <cell r="D994" t="str">
            <v>Dreno francês de lençol freático, Tipo FH100, com tubo PEAD Ø 100mm e brita (50x50cm), incluindo escavação (h=100cm), reaterro e geotextil RT-09. Exclusive transporte e bota-fora</v>
          </cell>
          <cell r="E994"/>
          <cell r="F994" t="str">
            <v>M</v>
          </cell>
          <cell r="G994">
            <v>102.9</v>
          </cell>
          <cell r="H994" t="str">
            <v>-</v>
          </cell>
        </row>
        <row r="995">
          <cell r="A995" t="str">
            <v>LF/0035</v>
          </cell>
          <cell r="B995" t="str">
            <v>COMPOSIÇÃO</v>
          </cell>
          <cell r="C995">
            <v>19.989999999999998</v>
          </cell>
          <cell r="D995" t="str">
            <v>Dreno francês de lençol freático, Tipo FH150, com tubo PEAD Ø 150mm e brita (50x100cm), incluindo escavação (h=150cm), reaterro e geotextil RT-09. Exclusive transporte e bota-fora</v>
          </cell>
          <cell r="E995"/>
          <cell r="F995" t="str">
            <v>M</v>
          </cell>
          <cell r="G995">
            <v>182.95</v>
          </cell>
          <cell r="H995" t="str">
            <v>-</v>
          </cell>
        </row>
        <row r="996">
          <cell r="A996" t="str">
            <v>LF/0040</v>
          </cell>
          <cell r="B996" t="str">
            <v>COMPOSIÇÃO</v>
          </cell>
          <cell r="C996">
            <v>83651</v>
          </cell>
          <cell r="D996" t="str">
            <v>Tubo dreno, corrugado, espiralado, flexível, perfurado, em polietileno de alta densidade (PEAD), DN 100 mm para drenagem – fornecimento e assentamento em vala</v>
          </cell>
          <cell r="E996"/>
          <cell r="F996" t="str">
            <v>M</v>
          </cell>
          <cell r="G996">
            <v>32.950000000000003</v>
          </cell>
          <cell r="H996" t="str">
            <v>-</v>
          </cell>
        </row>
        <row r="997">
          <cell r="A997" t="str">
            <v>LF/0045</v>
          </cell>
          <cell r="B997" t="str">
            <v>COMPOSIÇÃO</v>
          </cell>
          <cell r="C997" t="str">
            <v>75029/1</v>
          </cell>
          <cell r="D997" t="str">
            <v>Tubo dreno, corrugado, espiralado, flexível, perfurado, em polietileno de alta densidade (PEAD), DN 150 mm para drenagem – fornecimento e assentamento em vala</v>
          </cell>
          <cell r="E997"/>
          <cell r="F997" t="str">
            <v>M</v>
          </cell>
          <cell r="G997">
            <v>45.57</v>
          </cell>
          <cell r="H997" t="str">
            <v>-</v>
          </cell>
        </row>
        <row r="998">
          <cell r="A998">
            <v>38052</v>
          </cell>
          <cell r="B998" t="str">
            <v>COTAÇÃO - SINAPI</v>
          </cell>
          <cell r="C998">
            <v>9833</v>
          </cell>
          <cell r="D998" t="str">
            <v>Tubo dreno, corrugado, espiralado, flexivel, perfurado, em polietileno de alta densidade (PEAD), DN 100 mm, (4") para drenagem - em rolo (norma DNIT 093/2006 - E.M)</v>
          </cell>
          <cell r="E998"/>
          <cell r="F998" t="str">
            <v xml:space="preserve">M     </v>
          </cell>
          <cell r="G998">
            <v>11.85</v>
          </cell>
          <cell r="H998" t="str">
            <v>-</v>
          </cell>
        </row>
        <row r="999">
          <cell r="A999">
            <v>38053</v>
          </cell>
          <cell r="B999" t="str">
            <v>COTAÇÃO - SINAPI</v>
          </cell>
          <cell r="C999">
            <v>9834</v>
          </cell>
          <cell r="D999" t="str">
            <v>Tubo dreno, corrugado, espiralado, flexivel, perfurado, em polietileno de alta densidade (PEAD), DN *160* mm, (6") para drenagem - em barra (norma DNIT 093/2006 - E.M.)</v>
          </cell>
          <cell r="E999"/>
          <cell r="F999" t="str">
            <v xml:space="preserve">M     </v>
          </cell>
          <cell r="G999">
            <v>24.47</v>
          </cell>
          <cell r="H999" t="str">
            <v>-</v>
          </cell>
        </row>
        <row r="1000">
          <cell r="A1000">
            <v>89578</v>
          </cell>
          <cell r="B1000" t="str">
            <v>SINAPI</v>
          </cell>
          <cell r="C1000"/>
          <cell r="D1000" t="str">
            <v>Tubo pvc, série R4, água pluvial, diâmetro nominal de 100 mm, fornecido e instalado em condutores verticais de águas pluviais. AF_12/2014</v>
          </cell>
          <cell r="E1000"/>
          <cell r="F1000" t="str">
            <v>M</v>
          </cell>
          <cell r="G1000">
            <v>36.520000000000003</v>
          </cell>
          <cell r="H1000" t="str">
            <v>-</v>
          </cell>
        </row>
        <row r="1001">
          <cell r="A1001">
            <v>89580</v>
          </cell>
          <cell r="B1001" t="str">
            <v>SINAPI</v>
          </cell>
          <cell r="C1001"/>
          <cell r="D1001" t="str">
            <v>Tubo PVC, série R, água pluvial, diâmetro nominal de 150 mm, fornecido e instalado em condutores verticais de águas pluviais. AF_12/2014</v>
          </cell>
          <cell r="E1001"/>
          <cell r="F1001" t="str">
            <v>M</v>
          </cell>
          <cell r="G1001">
            <v>75.83</v>
          </cell>
          <cell r="H1001" t="str">
            <v>-</v>
          </cell>
        </row>
        <row r="1002">
          <cell r="A1002">
            <v>89571</v>
          </cell>
          <cell r="B1002" t="str">
            <v>SINAPI</v>
          </cell>
          <cell r="C1002"/>
          <cell r="D1002" t="str">
            <v>Tê, PVC, serie R, água pluvial, diâmetro nominal de 100 x 100 mm, junta elástica, fornecido e instalado em ramal de encaminhamento. AF_12/2014</v>
          </cell>
          <cell r="E1002"/>
          <cell r="F1002" t="str">
            <v>UN</v>
          </cell>
          <cell r="G1002">
            <v>73.31</v>
          </cell>
          <cell r="H1002" t="str">
            <v>-</v>
          </cell>
        </row>
        <row r="1003">
          <cell r="A1003">
            <v>89704</v>
          </cell>
          <cell r="B1003" t="str">
            <v>SINAPI</v>
          </cell>
          <cell r="C1003"/>
          <cell r="D1003" t="str">
            <v>Tê, PVC, serie R, água pluvial, diâmetro nominal de 150 x 100 mm, junta elástica, fornecido e instalado em condutores verticais de águas pluviais. AF_12/2014</v>
          </cell>
          <cell r="E1003"/>
          <cell r="F1003" t="str">
            <v>UN</v>
          </cell>
          <cell r="G1003">
            <v>157.57</v>
          </cell>
          <cell r="H1003" t="str">
            <v>-</v>
          </cell>
        </row>
        <row r="1004">
          <cell r="A1004"/>
          <cell r="B1004"/>
          <cell r="C1004"/>
          <cell r="D1004"/>
          <cell r="E1004"/>
          <cell r="F1004"/>
          <cell r="G1004"/>
          <cell r="H1004"/>
        </row>
        <row r="1005">
          <cell r="A1005"/>
          <cell r="B1005"/>
          <cell r="C1005" t="str">
            <v>13.0</v>
          </cell>
          <cell r="D1005" t="str">
            <v>SINALIZAÇÃO VIÁRIA DEFINITIVA</v>
          </cell>
          <cell r="E1005"/>
          <cell r="F1005"/>
          <cell r="G1005"/>
          <cell r="H1005" t="str">
            <v/>
          </cell>
        </row>
        <row r="1006">
          <cell r="A1006" t="str">
            <v>SV/0005</v>
          </cell>
          <cell r="B1006" t="str">
            <v>COMPOSIÇÃO</v>
          </cell>
          <cell r="C1006"/>
          <cell r="D1006" t="str">
            <v>Pintura de faixas de pedestres e retenção e de zebrados - termoplástico por extrusão - espessura de 3,0 mm (REF. SICRO COD. 5213408 e 5213409)</v>
          </cell>
          <cell r="E1006"/>
          <cell r="F1006" t="str">
            <v>M2</v>
          </cell>
          <cell r="G1006">
            <v>85.63</v>
          </cell>
          <cell r="H1006" t="str">
            <v>-</v>
          </cell>
        </row>
        <row r="1007">
          <cell r="A1007" t="str">
            <v>SV/0010</v>
          </cell>
          <cell r="B1007" t="str">
            <v>COMPOSIÇÃO</v>
          </cell>
          <cell r="C1007"/>
          <cell r="D1007" t="str">
            <v>Pintura de setas e legendas - termoplástico por extrusão - espessura de 3,0 mm (REF. SICRO COD. 5213409, DB 04-21)</v>
          </cell>
          <cell r="E1007"/>
          <cell r="F1007" t="str">
            <v>M2</v>
          </cell>
          <cell r="G1007">
            <v>97.6</v>
          </cell>
          <cell r="H1007" t="str">
            <v>-</v>
          </cell>
        </row>
        <row r="1008">
          <cell r="A1008" t="str">
            <v>SV/0012</v>
          </cell>
          <cell r="B1008" t="str">
            <v>COMPOSIÇÃO</v>
          </cell>
          <cell r="C1008"/>
          <cell r="D1008" t="str">
            <v>Pintura de setas e legendas - tinta base acrílica emulsionada em água - espessura de 0,5 mm (REF. SICRO COD. 5213407, DB 04-21)</v>
          </cell>
          <cell r="E1008" t="str">
            <v>ATENÇÃO
indicado para as
cidades do interior</v>
          </cell>
          <cell r="F1008" t="str">
            <v>M2</v>
          </cell>
          <cell r="G1008">
            <v>37.76</v>
          </cell>
          <cell r="H1008" t="str">
            <v>-</v>
          </cell>
        </row>
        <row r="1009">
          <cell r="A1009" t="str">
            <v>SV/0015</v>
          </cell>
          <cell r="B1009" t="str">
            <v>COMPOSIÇÃO</v>
          </cell>
          <cell r="C1009"/>
          <cell r="D1009" t="str">
            <v>Pintura de faixa - termoplástico por aspersão Hot Spray - espessura de 1,5 mm (REF. SICRO COD. 5213408, DB 04-21)</v>
          </cell>
          <cell r="E1009"/>
          <cell r="F1009" t="str">
            <v>M2</v>
          </cell>
          <cell r="G1009">
            <v>50.44</v>
          </cell>
          <cell r="H1009" t="str">
            <v>-</v>
          </cell>
        </row>
        <row r="1010">
          <cell r="A1010" t="str">
            <v>SV/0020</v>
          </cell>
          <cell r="B1010" t="str">
            <v>COMPOSIÇÃO</v>
          </cell>
          <cell r="C1010"/>
          <cell r="D1010" t="str">
            <v>Pintura de faixa - termoplástico em alto relevo tipo II - relevo simples ranhurado - base (REF. SICRO COD. 5214004, DB 04-21)</v>
          </cell>
          <cell r="E1010"/>
          <cell r="F1010" t="str">
            <v>M2</v>
          </cell>
          <cell r="G1010">
            <v>175.22</v>
          </cell>
          <cell r="H1010" t="str">
            <v>-</v>
          </cell>
        </row>
        <row r="1011">
          <cell r="A1011" t="str">
            <v>SV/0025</v>
          </cell>
          <cell r="B1011" t="str">
            <v>COMPOSIÇÃO</v>
          </cell>
          <cell r="C1011"/>
          <cell r="D1011" t="str">
            <v>Pintura de piso para ciclofaixa - plástico a frio bicomponente à base de resinas metacrílicas - espessura de 1,5 mm - plano (REF. SICRO COD. 5214009, DB 04-21)</v>
          </cell>
          <cell r="E1011"/>
          <cell r="F1011" t="str">
            <v>M2</v>
          </cell>
          <cell r="G1011">
            <v>114.34</v>
          </cell>
          <cell r="H1011" t="str">
            <v>-</v>
          </cell>
        </row>
        <row r="1012">
          <cell r="A1012" t="str">
            <v>SV/0030</v>
          </cell>
          <cell r="B1012" t="str">
            <v>COMPOSIÇÃO</v>
          </cell>
          <cell r="C1012"/>
          <cell r="D1012" t="str">
            <v>Pintura de faixa para ciclovia - tinta base acrílica emulsionada em água - espessura de 0,3 mm (REF. SICRO COD. 5214001, DB 04-21)</v>
          </cell>
          <cell r="E1012"/>
          <cell r="F1012" t="str">
            <v>M2</v>
          </cell>
          <cell r="G1012">
            <v>15.05</v>
          </cell>
          <cell r="H1012" t="str">
            <v>-</v>
          </cell>
        </row>
        <row r="1013">
          <cell r="A1013" t="str">
            <v>SV/0035</v>
          </cell>
          <cell r="B1013" t="str">
            <v>COMPOSIÇÃO</v>
          </cell>
          <cell r="C1013"/>
          <cell r="D1013" t="str">
            <v>Pintura de piso de ciclovia - tinta base acrílica emulsionada em água - espessura de 0,3 mm (REF. SICRO COD. 5214002, DB 04-21)</v>
          </cell>
          <cell r="E1013"/>
          <cell r="F1013" t="str">
            <v>M2</v>
          </cell>
          <cell r="G1013">
            <v>32.659999999999997</v>
          </cell>
          <cell r="H1013" t="str">
            <v>-</v>
          </cell>
        </row>
        <row r="1014">
          <cell r="A1014" t="str">
            <v>SV/0037</v>
          </cell>
          <cell r="B1014" t="str">
            <v>COMPOSIÇÃO</v>
          </cell>
          <cell r="C1014"/>
          <cell r="D1014" t="str">
            <v>Pintura de faixa - tinta base acrílica emulsionada em água - espessura de 0,5 mm (REF. SICRO COD. 5213403, DB 04-21)</v>
          </cell>
          <cell r="E1014" t="str">
            <v>ATENÇÃO
indicado para as
cidades do interior</v>
          </cell>
          <cell r="F1014" t="str">
            <v>M2</v>
          </cell>
          <cell r="G1014">
            <v>20.7</v>
          </cell>
          <cell r="H1014" t="str">
            <v>-</v>
          </cell>
        </row>
        <row r="1015">
          <cell r="A1015" t="str">
            <v>SV/0040</v>
          </cell>
          <cell r="B1015" t="str">
            <v>COMPOSIÇÃO</v>
          </cell>
          <cell r="C1015"/>
          <cell r="D1015" t="str">
            <v>Laminado elastoplástico para legendas, com 1,5mm de espessura e com medidas diversas, em cores, com micro-esferas de vidro. Em projetos que utilizem entre 150 e 500m2 do material. Fornecimento e aplicação (REF. SCO/RJ COD. ST 75.15.0050)</v>
          </cell>
          <cell r="E1015"/>
          <cell r="F1015" t="str">
            <v>M2</v>
          </cell>
          <cell r="G1015">
            <v>366.17</v>
          </cell>
          <cell r="H1015" t="str">
            <v>-</v>
          </cell>
        </row>
        <row r="1016">
          <cell r="A1016" t="str">
            <v>SV/0045</v>
          </cell>
          <cell r="B1016" t="str">
            <v>COMPOSIÇÃO</v>
          </cell>
          <cell r="C1016"/>
          <cell r="D1016" t="str">
            <v>Aplicação de selante asfáltico a base de resina acrílica para pavimentos de concreto, usado como imprimador para material termoplástico, inclusive fornecimento dos materiais necessários conforme especificação AGETRAN / PMCG (CET-RIO COD. ST 74.05.0600)</v>
          </cell>
          <cell r="E1016"/>
          <cell r="F1016" t="str">
            <v>M2</v>
          </cell>
          <cell r="G1016">
            <v>32.72</v>
          </cell>
          <cell r="H1016" t="str">
            <v>-</v>
          </cell>
        </row>
        <row r="1017">
          <cell r="A1017" t="str">
            <v>SV/0050</v>
          </cell>
          <cell r="B1017" t="str">
            <v>COMPOSIÇÃO</v>
          </cell>
          <cell r="C1017"/>
          <cell r="D1017" t="str">
            <v>Retirada de pintura a base de resina acrilica (CET-RIO COD. ST 74.05.0550)</v>
          </cell>
          <cell r="E1017"/>
          <cell r="F1017" t="str">
            <v>M2</v>
          </cell>
          <cell r="G1017">
            <v>7.03</v>
          </cell>
          <cell r="H1017" t="str">
            <v>-</v>
          </cell>
        </row>
        <row r="1018">
          <cell r="A1018" t="str">
            <v>SV/0055</v>
          </cell>
          <cell r="B1018" t="str">
            <v>COMPOSIÇÃO</v>
          </cell>
          <cell r="C1018"/>
          <cell r="D1018" t="str">
            <v>Tacha refletiva em plástico injetado - monodirecional tipo I - com um pino - fornecimento e colocação, padrão DNIT, fixada com cola polister (REF. SICRO COD. 5219627, DB 04-21)</v>
          </cell>
          <cell r="E1018"/>
          <cell r="F1018" t="str">
            <v xml:space="preserve">UN </v>
          </cell>
          <cell r="G1018">
            <v>44.38</v>
          </cell>
          <cell r="H1018" t="str">
            <v>-</v>
          </cell>
        </row>
        <row r="1019">
          <cell r="A1019" t="str">
            <v>SV/0060</v>
          </cell>
          <cell r="B1019" t="str">
            <v>COMPOSIÇÃO</v>
          </cell>
          <cell r="C1019"/>
          <cell r="D1019" t="str">
            <v>Tachão refletivo monodirecional, padrão DNIT, fornecimento e fixada com cola polister (REF. SICRO COD. 5219644)</v>
          </cell>
          <cell r="E1019"/>
          <cell r="F1019" t="str">
            <v xml:space="preserve">UN </v>
          </cell>
          <cell r="G1019">
            <v>78.63</v>
          </cell>
          <cell r="H1019" t="str">
            <v>-</v>
          </cell>
        </row>
        <row r="1020">
          <cell r="A1020" t="str">
            <v>SV/0065</v>
          </cell>
          <cell r="B1020" t="str">
            <v>COMPOSIÇÃO</v>
          </cell>
          <cell r="C1020"/>
          <cell r="D1020" t="str">
            <v>Tacha refletiva bidirecional, padrão DNIT, fornecimento e fixada com cola polister (REF. SICRO COD. 5219619)</v>
          </cell>
          <cell r="E1020"/>
          <cell r="F1020" t="str">
            <v xml:space="preserve">UN </v>
          </cell>
          <cell r="G1020">
            <v>43.15</v>
          </cell>
          <cell r="H1020" t="str">
            <v>-</v>
          </cell>
        </row>
        <row r="1021">
          <cell r="A1021" t="str">
            <v>SV/0070</v>
          </cell>
          <cell r="B1021" t="str">
            <v>COMPOSIÇÃO</v>
          </cell>
          <cell r="C1021"/>
          <cell r="D1021" t="str">
            <v>Tachão refletivo bidirecional, padrão DNIT, fornecimento e fixada com cola polister (REF. SICRO COD. 5219643)</v>
          </cell>
          <cell r="E1021"/>
          <cell r="F1021" t="str">
            <v xml:space="preserve">UN </v>
          </cell>
          <cell r="G1021">
            <v>80.36</v>
          </cell>
          <cell r="H1021" t="str">
            <v>-</v>
          </cell>
        </row>
        <row r="1022">
          <cell r="A1022" t="str">
            <v>SV/0075</v>
          </cell>
          <cell r="B1022" t="str">
            <v>COMPOSIÇÃO</v>
          </cell>
          <cell r="C1022"/>
          <cell r="D1022" t="str">
            <v>Fornecimento e implantação de coluna de aço cônica contínua, tipo I, para até 4 braços projetados capaz de sustentar, cada um, semáforo e placa de 3m²; coluna galvanizada a fogo; altura útil total de 5,00m; diâmetro na base igual a 187mm; conforme especificação da AGETRAN / PMCG</v>
          </cell>
          <cell r="E1022"/>
          <cell r="F1022" t="str">
            <v xml:space="preserve">UN </v>
          </cell>
          <cell r="G1022">
            <v>8251.84</v>
          </cell>
          <cell r="H1022" t="str">
            <v>-</v>
          </cell>
        </row>
        <row r="1023">
          <cell r="A1023" t="str">
            <v>SV/0080</v>
          </cell>
          <cell r="B1023" t="str">
            <v>COMPOSIÇÃO</v>
          </cell>
          <cell r="C1023"/>
          <cell r="D1023" t="str">
            <v>Fornecimento e implantação de braço projetado de aço para sustentação de semáforo e placa até 3m², galvanizado a fogo; para fixação em coluna cônica continua tipo I, projeção de 4,70m; diâmetro junto a flange de 123mm; conforme especificação da AGETRAN / PMCG</v>
          </cell>
          <cell r="E1023"/>
          <cell r="F1023" t="str">
            <v xml:space="preserve">UN </v>
          </cell>
          <cell r="G1023">
            <v>4824.9799999999996</v>
          </cell>
          <cell r="H1023" t="str">
            <v>-</v>
          </cell>
        </row>
        <row r="1024">
          <cell r="A1024" t="str">
            <v>SV/0085</v>
          </cell>
          <cell r="B1024" t="str">
            <v>COMPOSIÇÃO</v>
          </cell>
          <cell r="C1024"/>
          <cell r="D1024" t="str">
            <v>Poste simples madeira de lei aparelhada 75 x 75 x 3500 mm para suporte de placa de sinalização, pintado com esmalte sintético e fixado em base de concreto estrutural -fornecimento e implantação. Inclusive serviço de implantação da placa de sinalização</v>
          </cell>
          <cell r="E1024"/>
          <cell r="F1024" t="str">
            <v xml:space="preserve">UN </v>
          </cell>
          <cell r="G1024">
            <v>234.3</v>
          </cell>
          <cell r="H1024" t="str">
            <v>-</v>
          </cell>
        </row>
        <row r="1025">
          <cell r="A1025" t="str">
            <v>SV/0090</v>
          </cell>
          <cell r="B1025" t="str">
            <v>COMPOSIÇÃO</v>
          </cell>
          <cell r="C1025"/>
          <cell r="D1025" t="str">
            <v>Coluna simples de 50,8 mm (2") de diâmetro, espessura da parede 2,75mm, altura total de 3500mm, em aço galvanizado por imersão à quente para suporte de placa de sinalização e fixado em base de concreto estrutural  - fornecimento e implantação. Inclusive serviço de implantação da placa de sinalização</v>
          </cell>
          <cell r="E1025"/>
          <cell r="F1025" t="str">
            <v xml:space="preserve">UN </v>
          </cell>
          <cell r="G1025">
            <v>440.16</v>
          </cell>
          <cell r="H1025" t="str">
            <v>-</v>
          </cell>
        </row>
        <row r="1026">
          <cell r="A1026" t="str">
            <v>SV/0091</v>
          </cell>
          <cell r="B1026" t="str">
            <v>COMPOSIÇÃO</v>
          </cell>
          <cell r="C1026"/>
          <cell r="D1026" t="str">
            <v>Coluna simples de 50,8 mm (2") de diâmetro, espessura da parede 3,00mm, altura total de 3500mm, em aço galvanizado por imersão à quente para suporte de placa de sinalização e fixado em base de concreto estrutural  - fornecimento e implantação. Inclusive serviço de implantação da placa de sinalização e elementos de fixação, exclusive fornecimento da placa. Ref SICRO 5213863 e 5213464</v>
          </cell>
          <cell r="E1026"/>
          <cell r="F1026" t="str">
            <v xml:space="preserve">UN </v>
          </cell>
          <cell r="G1026">
            <v>382.16</v>
          </cell>
          <cell r="H1026" t="str">
            <v>-</v>
          </cell>
        </row>
        <row r="1027">
          <cell r="A1027" t="str">
            <v>SV/0095</v>
          </cell>
          <cell r="B1027" t="str">
            <v>COMPOSIÇÃO</v>
          </cell>
          <cell r="C1027"/>
          <cell r="D1027" t="str">
            <v>Implantação de placa de sinalização em poste de energia elétrica, incluindo elementos de fixação</v>
          </cell>
          <cell r="E1027"/>
          <cell r="F1027" t="str">
            <v xml:space="preserve">UN </v>
          </cell>
          <cell r="G1027">
            <v>84.21</v>
          </cell>
          <cell r="H1027" t="str">
            <v>-</v>
          </cell>
        </row>
        <row r="1028">
          <cell r="A1028" t="str">
            <v>SV/0100</v>
          </cell>
          <cell r="B1028" t="str">
            <v>COMPOSIÇÃO</v>
          </cell>
          <cell r="C1028"/>
          <cell r="D1028" t="str">
            <v>Implantação de placa de sinalização em braço projetado, incluindo elementos de fixação</v>
          </cell>
          <cell r="E1028"/>
          <cell r="F1028" t="str">
            <v xml:space="preserve">UN </v>
          </cell>
          <cell r="G1028">
            <v>647.44000000000005</v>
          </cell>
          <cell r="H1028" t="str">
            <v>-</v>
          </cell>
        </row>
        <row r="1029">
          <cell r="A1029" t="str">
            <v>SV/0105</v>
          </cell>
          <cell r="B1029" t="str">
            <v>COMPOSIÇÃO</v>
          </cell>
          <cell r="C1029"/>
          <cell r="D1029" t="str">
            <v>Placa de sinalização de alumínio, espessura 1,5 mm, com fundo, símbolos e tarjas em película refletiva com esferas inclusas tipo I-A da NBR 14644 (GT/GT), inclusive elementos de fixação, conforme especificação AGETRAN/PMCG - Incluso fornecimento</v>
          </cell>
          <cell r="E1029"/>
          <cell r="F1029" t="str">
            <v>M2</v>
          </cell>
          <cell r="G1029">
            <v>760</v>
          </cell>
          <cell r="H1029" t="str">
            <v>-</v>
          </cell>
        </row>
        <row r="1030">
          <cell r="A1030" t="str">
            <v>SV/0106</v>
          </cell>
          <cell r="B1030" t="str">
            <v>COMPOSIÇÃO</v>
          </cell>
          <cell r="C1030"/>
          <cell r="D1030" t="str">
            <v>Placa de sinalização de alumínio, espessura 2mm, com fundo, símbolos e tarjas em película refletiva com esferas inclusas tipo I-A da NBR 14644 (GT/GT), inclusive elementos de fixação, conforme especificação AGETRAN/PMCG - fornecimento</v>
          </cell>
          <cell r="E1030"/>
          <cell r="F1030" t="str">
            <v>M2</v>
          </cell>
          <cell r="G1030">
            <v>720</v>
          </cell>
          <cell r="H1030" t="str">
            <v>-</v>
          </cell>
        </row>
        <row r="1031">
          <cell r="A1031" t="str">
            <v>SV/0110</v>
          </cell>
          <cell r="B1031" t="str">
            <v>COMPOSIÇÃO</v>
          </cell>
          <cell r="C1031"/>
          <cell r="D1031" t="str">
            <v>Placa de sinalização modulada de alumínio, espessura 2,0mm, com fundo em película refletiva com esferas inclusas tipo I-A da NBR 14644, símbolos e tarjas em película refletiva com esferas encapsuladas tipo II-A da NBR 14644 (AI/AI), inclusive elementos de fixação, conforme especificação AGETRAN/PMCG - fornecimento</v>
          </cell>
          <cell r="E1031"/>
          <cell r="F1031" t="str">
            <v>M2</v>
          </cell>
          <cell r="G1031">
            <v>1069</v>
          </cell>
          <cell r="H1031" t="str">
            <v>-</v>
          </cell>
        </row>
        <row r="1032">
          <cell r="A1032">
            <v>13521</v>
          </cell>
          <cell r="B1032" t="str">
            <v>COTAÇÃO - SINAPI</v>
          </cell>
          <cell r="C1032"/>
          <cell r="D1032" t="str">
            <v>Placa de aço esmaltada para identificação de rua, dimensões *45x20* cm</v>
          </cell>
          <cell r="E1032"/>
          <cell r="F1032" t="str">
            <v xml:space="preserve">UN    </v>
          </cell>
          <cell r="G1032">
            <v>82.5</v>
          </cell>
          <cell r="H1032" t="str">
            <v>-</v>
          </cell>
        </row>
        <row r="1033">
          <cell r="A1033" t="str">
            <v>SV/0115</v>
          </cell>
          <cell r="B1033" t="str">
            <v>COMPOSIÇÃO</v>
          </cell>
          <cell r="C1033"/>
          <cell r="D1033" t="str">
            <v>Fornecimento e implantação de linha de duto espiral flexível em polietileno de alta densidade, tipo Kanalex ou similar, diâmetro de 75mm (3"), lançado diretamente ao solo com arame-guia galvanizado revestido em PVC&gt; Inclusive emendas e tamponamento, recorte do pavimento, escavação, reaterro, envelopamento de duto com concreto (30x30cm), base de brita graduada, remoção e bota-fora de entulhos</v>
          </cell>
          <cell r="E1033"/>
          <cell r="F1033" t="str">
            <v>M</v>
          </cell>
          <cell r="G1033">
            <v>136.06</v>
          </cell>
          <cell r="H1033" t="str">
            <v>-</v>
          </cell>
        </row>
        <row r="1034">
          <cell r="A1034" t="str">
            <v>SV/0120</v>
          </cell>
          <cell r="B1034" t="str">
            <v>COMPOSIÇÃO</v>
          </cell>
          <cell r="C1034"/>
          <cell r="D1034" t="str">
            <v>Caixa enterrada elétrica retangular, em alvenaria com tijolos cerâmicos maciços, 1/2 vez, fundo com brita, dimensões internas: 0,40x0,40x0,40 m; Tampão fofo simples com base, classe A15 carga máxima 1,5 t, 400 x 400 mm (REF. SINAPI COD. 97887)</v>
          </cell>
          <cell r="E1034"/>
          <cell r="F1034" t="str">
            <v xml:space="preserve">UN </v>
          </cell>
          <cell r="G1034">
            <v>444.02</v>
          </cell>
          <cell r="H1034" t="str">
            <v>-</v>
          </cell>
        </row>
        <row r="1035">
          <cell r="A1035">
            <v>99837</v>
          </cell>
          <cell r="B1035" t="str">
            <v>SINAPI</v>
          </cell>
          <cell r="C1035"/>
          <cell r="D1035" t="str">
            <v>Guarda-corpo de aço galvanizado de 1,10m, montantes tubulares de 1.1/4" espaçados de 1,20m, travessa superior de 1.1/2", gradil formado por tubos horizontais de 1" e verticais de 3/4", fixado com chumbador mecânico. AF_04/2019_P</v>
          </cell>
          <cell r="E1035"/>
          <cell r="F1035" t="str">
            <v>M</v>
          </cell>
          <cell r="G1035">
            <v>558.38</v>
          </cell>
          <cell r="H1035" t="str">
            <v>-</v>
          </cell>
        </row>
        <row r="1036">
          <cell r="A1036">
            <v>99855</v>
          </cell>
          <cell r="B1036" t="str">
            <v>SINAPI</v>
          </cell>
          <cell r="C1036"/>
          <cell r="D1036" t="str">
            <v>Corrimão simples, diâmetro externo = 1 1/2", em aço galvanizado. AF_04/2019_p</v>
          </cell>
          <cell r="E1036"/>
          <cell r="F1036" t="str">
            <v>M</v>
          </cell>
          <cell r="G1036">
            <v>99.29</v>
          </cell>
          <cell r="H1036" t="str">
            <v>-</v>
          </cell>
        </row>
        <row r="1037">
          <cell r="A1037" t="str">
            <v>SV/0125</v>
          </cell>
          <cell r="B1037" t="str">
            <v>COMPOSIÇÃO</v>
          </cell>
          <cell r="C1037"/>
          <cell r="D1037" t="str">
            <v>Retirada de tachão em resina para sinalização horizontal, inclusive bota fora. Ref SICRO CÓD  5219623, DB 01-2021</v>
          </cell>
          <cell r="E1037"/>
          <cell r="F1037" t="str">
            <v>UN</v>
          </cell>
          <cell r="G1037">
            <v>9.2200000000000006</v>
          </cell>
          <cell r="H1037" t="str">
            <v>-</v>
          </cell>
        </row>
        <row r="1038">
          <cell r="A1038" t="str">
            <v>SV/0130</v>
          </cell>
          <cell r="B1038" t="str">
            <v>COMPOSIÇÃO</v>
          </cell>
          <cell r="C1038"/>
          <cell r="D1038" t="str">
            <v>Instalação e fornecimento de delineador refletivo para defensa metálica. Ref SICRO CÓD  5219623, DB 01-2021</v>
          </cell>
          <cell r="E1038"/>
          <cell r="F1038" t="str">
            <v>UN</v>
          </cell>
          <cell r="G1038">
            <v>9.2200000000000006</v>
          </cell>
          <cell r="H1038" t="str">
            <v>-</v>
          </cell>
        </row>
        <row r="1039">
          <cell r="A1039" t="str">
            <v>SV/0140</v>
          </cell>
          <cell r="B1039" t="str">
            <v>COMPOSIÇÃO</v>
          </cell>
          <cell r="C1039"/>
          <cell r="D1039" t="str">
            <v>Remoção de defensa metálica. Ref SICRO CÓD  3713705, DB 01-2021</v>
          </cell>
          <cell r="E1039"/>
          <cell r="F1039" t="str">
            <v>M</v>
          </cell>
          <cell r="G1039">
            <v>23.89</v>
          </cell>
          <cell r="H1039" t="str">
            <v>-</v>
          </cell>
        </row>
        <row r="1040">
          <cell r="A1040" t="str">
            <v>SV/0150</v>
          </cell>
          <cell r="B1040" t="str">
            <v>COMPOSIÇÃO</v>
          </cell>
          <cell r="C1040"/>
          <cell r="D1040" t="str">
            <v>Guarda-corpo de aço galvanizado de 1,10m, duplo corrimão, montantes tubulares de 1.1/4" espaçados 1,20m, travessa superior de 1.1/2", fixado com chumbador mecânico. Ref SINAPI CÓD  01.ESQV.GCFE.011/01, DB 04-2021</v>
          </cell>
          <cell r="E1040"/>
          <cell r="F1040" t="str">
            <v>M</v>
          </cell>
          <cell r="G1040">
            <v>316.45</v>
          </cell>
          <cell r="H1040" t="str">
            <v>-</v>
          </cell>
        </row>
        <row r="1041">
          <cell r="A1041" t="str">
            <v>SV/0160</v>
          </cell>
          <cell r="B1041" t="str">
            <v>COMPOSIÇÃO</v>
          </cell>
          <cell r="C1041"/>
          <cell r="D1041" t="str">
            <v>Pórtico metálico com vão de 15,9 m, vento de 40 m/s, área de exposição de até 23,85 m², tensão admissível solo &gt; 200 kN/m²- fornecimento e implantação - areia e brita comerciais. Ref SICRO CÓD  5213718, DB 04-2021</v>
          </cell>
          <cell r="E1041"/>
          <cell r="F1041" t="str">
            <v>UN</v>
          </cell>
          <cell r="G1041">
            <v>125541.43</v>
          </cell>
          <cell r="H1041" t="str">
            <v>-</v>
          </cell>
        </row>
        <row r="1042">
          <cell r="A1042" t="str">
            <v>SV/0170</v>
          </cell>
          <cell r="B1042" t="str">
            <v>COMPOSIÇÃO</v>
          </cell>
          <cell r="C1042"/>
          <cell r="D1042" t="str">
            <v>Remoção de placa de sinalização. Ref SICRO CÓD  5213364, DB 01-2021</v>
          </cell>
          <cell r="E1042"/>
          <cell r="F1042" t="str">
            <v>M2</v>
          </cell>
          <cell r="G1042">
            <v>27.71</v>
          </cell>
          <cell r="H1042" t="str">
            <v>-</v>
          </cell>
        </row>
        <row r="1043">
          <cell r="A1043" t="str">
            <v>SV/0180</v>
          </cell>
          <cell r="B1043" t="str">
            <v>COMPOSIÇÃO</v>
          </cell>
          <cell r="C1043"/>
          <cell r="D1043" t="str">
            <v>Guarda-corpo com altura 1,15m, pilares espaçados a cada 2m, com tubos de aço galvanizado na horizontal, fixados em peças metalicas de aço pintado a esmalte e parafusados.</v>
          </cell>
          <cell r="E1043"/>
          <cell r="F1043" t="str">
            <v>M</v>
          </cell>
          <cell r="G1043">
            <v>396.86</v>
          </cell>
          <cell r="H1043" t="str">
            <v>-</v>
          </cell>
        </row>
        <row r="1044">
          <cell r="A1044"/>
          <cell r="B1044"/>
          <cell r="C1044"/>
          <cell r="D1044"/>
          <cell r="E1044"/>
          <cell r="F1044"/>
          <cell r="G1044"/>
          <cell r="H1044"/>
        </row>
        <row r="1045">
          <cell r="A1045"/>
          <cell r="B1045"/>
          <cell r="C1045" t="str">
            <v>14.0</v>
          </cell>
          <cell r="D1045" t="str">
            <v>ADMINISTRAÇÃO LOCAL</v>
          </cell>
          <cell r="E1045"/>
          <cell r="F1045"/>
          <cell r="G1045"/>
          <cell r="H1045" t="str">
            <v/>
          </cell>
        </row>
        <row r="1046">
          <cell r="A1046">
            <v>90766</v>
          </cell>
          <cell r="B1046" t="str">
            <v>SINAPI</v>
          </cell>
          <cell r="C1046"/>
          <cell r="D1046" t="str">
            <v>Almoxarife com encargos complementares (horista)</v>
          </cell>
          <cell r="E1046"/>
          <cell r="F1046" t="str">
            <v>H</v>
          </cell>
          <cell r="G1046">
            <v>21.42</v>
          </cell>
          <cell r="H1046" t="str">
            <v>-</v>
          </cell>
        </row>
        <row r="1047">
          <cell r="A1047">
            <v>93563</v>
          </cell>
          <cell r="B1047" t="str">
            <v>SINAPI</v>
          </cell>
          <cell r="C1047"/>
          <cell r="D1047" t="str">
            <v>Almoxarife com encargos complementares (mensalista)</v>
          </cell>
          <cell r="E1047"/>
          <cell r="F1047" t="str">
            <v>MES</v>
          </cell>
          <cell r="G1047">
            <v>3769.18</v>
          </cell>
          <cell r="H1047" t="str">
            <v>-</v>
          </cell>
        </row>
        <row r="1048">
          <cell r="A1048">
            <v>90767</v>
          </cell>
          <cell r="B1048" t="str">
            <v>SINAPI</v>
          </cell>
          <cell r="C1048"/>
          <cell r="D1048" t="str">
            <v>Apontador ou apropriador com encargos complementares (horista)</v>
          </cell>
          <cell r="E1048"/>
          <cell r="F1048" t="str">
            <v>H</v>
          </cell>
          <cell r="G1048">
            <v>21</v>
          </cell>
          <cell r="H1048" t="str">
            <v>-</v>
          </cell>
        </row>
        <row r="1049">
          <cell r="A1049">
            <v>93564</v>
          </cell>
          <cell r="B1049" t="str">
            <v>SINAPI</v>
          </cell>
          <cell r="C1049"/>
          <cell r="D1049" t="str">
            <v>Apontador ou apropriador com encargos complementares (mensalista)</v>
          </cell>
          <cell r="E1049"/>
          <cell r="F1049" t="str">
            <v>MES</v>
          </cell>
          <cell r="G1049">
            <v>3683.35</v>
          </cell>
          <cell r="H1049" t="str">
            <v>-</v>
          </cell>
        </row>
        <row r="1050">
          <cell r="A1050">
            <v>93566</v>
          </cell>
          <cell r="B1050" t="str">
            <v>SINAPI</v>
          </cell>
          <cell r="C1050"/>
          <cell r="D1050" t="str">
            <v>Auxiliar de escritorio com encargos complementares</v>
          </cell>
          <cell r="E1050"/>
          <cell r="F1050" t="str">
            <v>MES</v>
          </cell>
          <cell r="G1050">
            <v>3273.81</v>
          </cell>
          <cell r="H1050" t="str">
            <v>-</v>
          </cell>
        </row>
        <row r="1051">
          <cell r="A1051">
            <v>93562</v>
          </cell>
          <cell r="B1051" t="str">
            <v>SINAPI</v>
          </cell>
          <cell r="C1051"/>
          <cell r="D1051" t="str">
            <v>Auxiliar de desenhista com encargos complementares</v>
          </cell>
          <cell r="E1051"/>
          <cell r="F1051" t="str">
            <v>MES</v>
          </cell>
          <cell r="G1051">
            <v>2991.88</v>
          </cell>
          <cell r="H1051" t="str">
            <v>-</v>
          </cell>
        </row>
        <row r="1052">
          <cell r="A1052">
            <v>101385</v>
          </cell>
          <cell r="B1052" t="str">
            <v>SINAPI</v>
          </cell>
          <cell r="C1052"/>
          <cell r="D1052" t="str">
            <v>Auxiliar de laboratorista de solos e de concreto com encargos complementares (mensalista)</v>
          </cell>
          <cell r="E1052"/>
          <cell r="F1052" t="str">
            <v>MES</v>
          </cell>
          <cell r="G1052">
            <v>4627.3</v>
          </cell>
          <cell r="H1052" t="str">
            <v>-</v>
          </cell>
        </row>
        <row r="1053">
          <cell r="A1053">
            <v>88249</v>
          </cell>
          <cell r="B1053" t="str">
            <v>SINAPI</v>
          </cell>
          <cell r="C1053"/>
          <cell r="D1053" t="str">
            <v>Auxiliar de laboratório com encargos complementares (horista)</v>
          </cell>
          <cell r="E1053"/>
          <cell r="F1053" t="str">
            <v>H</v>
          </cell>
          <cell r="G1053">
            <v>26.35</v>
          </cell>
          <cell r="H1053" t="str">
            <v>-</v>
          </cell>
        </row>
        <row r="1054">
          <cell r="A1054">
            <v>41090</v>
          </cell>
          <cell r="B1054" t="str">
            <v>SINAPI</v>
          </cell>
          <cell r="C1054"/>
          <cell r="D1054" t="str">
            <v>Auxiliar de laboratório com encargos complementares (mensalista)</v>
          </cell>
          <cell r="E1054"/>
          <cell r="F1054" t="str">
            <v xml:space="preserve">MES   </v>
          </cell>
          <cell r="G1054">
            <v>4219.84</v>
          </cell>
          <cell r="H1054" t="str">
            <v>-</v>
          </cell>
        </row>
        <row r="1055">
          <cell r="A1055">
            <v>88253</v>
          </cell>
          <cell r="B1055" t="str">
            <v>SINAPI</v>
          </cell>
          <cell r="C1055"/>
          <cell r="D1055" t="str">
            <v>Auxiliar de topografia com encargos complementares (horista)</v>
          </cell>
          <cell r="E1055"/>
          <cell r="F1055" t="str">
            <v>H</v>
          </cell>
          <cell r="G1055">
            <v>12.43</v>
          </cell>
          <cell r="H1055" t="str">
            <v>-</v>
          </cell>
        </row>
        <row r="1056">
          <cell r="A1056">
            <v>41093</v>
          </cell>
          <cell r="B1056" t="str">
            <v>SINAPI</v>
          </cell>
          <cell r="C1056"/>
          <cell r="D1056" t="str">
            <v>Auxiliar de topografia com encargos complementares (mensalista)</v>
          </cell>
          <cell r="E1056"/>
          <cell r="F1056" t="str">
            <v xml:space="preserve">MES   </v>
          </cell>
          <cell r="G1056">
            <v>1817.66</v>
          </cell>
          <cell r="H1056" t="str">
            <v>-</v>
          </cell>
        </row>
        <row r="1057">
          <cell r="A1057">
            <v>101389</v>
          </cell>
          <cell r="B1057" t="str">
            <v>SINAPI</v>
          </cell>
          <cell r="C1057"/>
          <cell r="D1057" t="str">
            <v>Auxiliar de topógrafo com encargos complementares (mensalista)</v>
          </cell>
          <cell r="E1057"/>
          <cell r="F1057" t="str">
            <v>MES</v>
          </cell>
          <cell r="G1057">
            <v>2199.9299999999998</v>
          </cell>
          <cell r="H1057" t="str">
            <v>-</v>
          </cell>
        </row>
        <row r="1058">
          <cell r="A1058">
            <v>101390</v>
          </cell>
          <cell r="B1058" t="str">
            <v>SINAPI</v>
          </cell>
          <cell r="C1058"/>
          <cell r="D1058" t="str">
            <v>Auxiliar técnico / assistente de engenharia com encargos complementares</v>
          </cell>
          <cell r="E1058"/>
          <cell r="F1058" t="str">
            <v>MES</v>
          </cell>
          <cell r="G1058">
            <v>6615.62</v>
          </cell>
          <cell r="H1058" t="str">
            <v>-</v>
          </cell>
        </row>
        <row r="1059">
          <cell r="A1059">
            <v>100317</v>
          </cell>
          <cell r="B1059" t="str">
            <v>SINAPI</v>
          </cell>
          <cell r="C1059"/>
          <cell r="D1059" t="str">
            <v>Coordenador / gerente de obra com encargos complementares</v>
          </cell>
          <cell r="E1059"/>
          <cell r="F1059" t="str">
            <v>MES</v>
          </cell>
          <cell r="G1059">
            <v>28645.65</v>
          </cell>
          <cell r="H1059" t="str">
            <v>-</v>
          </cell>
        </row>
        <row r="1060">
          <cell r="A1060">
            <v>93559</v>
          </cell>
          <cell r="B1060" t="str">
            <v>SINAPI</v>
          </cell>
          <cell r="C1060"/>
          <cell r="D1060" t="str">
            <v>Desenhista detalhista com encargos complementares</v>
          </cell>
          <cell r="E1060"/>
          <cell r="F1060" t="str">
            <v>MES</v>
          </cell>
          <cell r="G1060">
            <v>4216.03</v>
          </cell>
          <cell r="H1060" t="str">
            <v>-</v>
          </cell>
        </row>
        <row r="1061">
          <cell r="A1061">
            <v>90777</v>
          </cell>
          <cell r="B1061" t="str">
            <v>SINAPI</v>
          </cell>
          <cell r="C1061"/>
          <cell r="D1061" t="str">
            <v>Engenheiro civil de obra júnior com encargos complementares (horista)</v>
          </cell>
          <cell r="E1061"/>
          <cell r="F1061" t="str">
            <v>H</v>
          </cell>
          <cell r="G1061">
            <v>113.5</v>
          </cell>
          <cell r="H1061" t="str">
            <v>-</v>
          </cell>
        </row>
        <row r="1062">
          <cell r="A1062">
            <v>93565</v>
          </cell>
          <cell r="B1062" t="str">
            <v>SINAPI</v>
          </cell>
          <cell r="C1062"/>
          <cell r="D1062" t="str">
            <v>Engenheiro civil de obra júnior com encargos complementares (mensalista)</v>
          </cell>
          <cell r="E1062"/>
          <cell r="F1062" t="str">
            <v>MES</v>
          </cell>
          <cell r="G1062">
            <v>19803.86</v>
          </cell>
          <cell r="H1062" t="str">
            <v>-</v>
          </cell>
        </row>
        <row r="1063">
          <cell r="A1063">
            <v>90778</v>
          </cell>
          <cell r="B1063" t="str">
            <v>SINAPI</v>
          </cell>
          <cell r="C1063"/>
          <cell r="D1063" t="str">
            <v>Engenheiro civil de obra pleno com encargos complementares (horista)</v>
          </cell>
          <cell r="E1063"/>
          <cell r="F1063" t="str">
            <v>H</v>
          </cell>
          <cell r="G1063">
            <v>128.9</v>
          </cell>
          <cell r="H1063" t="str">
            <v>-</v>
          </cell>
        </row>
        <row r="1064">
          <cell r="A1064">
            <v>93567</v>
          </cell>
          <cell r="B1064" t="str">
            <v>SINAPI</v>
          </cell>
          <cell r="C1064"/>
          <cell r="D1064" t="str">
            <v>Engenheiro civil de obra pleno com encargos complementares (mensalista)</v>
          </cell>
          <cell r="E1064"/>
          <cell r="F1064" t="str">
            <v>MES</v>
          </cell>
          <cell r="G1064">
            <v>22490.49</v>
          </cell>
          <cell r="H1064" t="str">
            <v>-</v>
          </cell>
        </row>
        <row r="1065">
          <cell r="A1065">
            <v>90779</v>
          </cell>
          <cell r="B1065" t="str">
            <v>SINAPI</v>
          </cell>
          <cell r="C1065"/>
          <cell r="D1065" t="str">
            <v>Engenheiro civil de obra sênior com encargos complementares (horista)</v>
          </cell>
          <cell r="E1065"/>
          <cell r="F1065" t="str">
            <v>H</v>
          </cell>
          <cell r="G1065">
            <v>175.52</v>
          </cell>
          <cell r="H1065" t="str">
            <v>-</v>
          </cell>
        </row>
        <row r="1066">
          <cell r="A1066">
            <v>93568</v>
          </cell>
          <cell r="B1066" t="str">
            <v>SINAPI</v>
          </cell>
          <cell r="C1066"/>
          <cell r="D1066" t="str">
            <v>Engenheiro civil de obra sênior com encargos complementares (mensalista)</v>
          </cell>
          <cell r="E1066"/>
          <cell r="F1066" t="str">
            <v>MES</v>
          </cell>
          <cell r="G1066">
            <v>30610.17</v>
          </cell>
          <cell r="H1066" t="str">
            <v>-</v>
          </cell>
        </row>
        <row r="1067">
          <cell r="A1067">
            <v>100319</v>
          </cell>
          <cell r="B1067" t="str">
            <v>SINAPI</v>
          </cell>
          <cell r="C1067"/>
          <cell r="D1067" t="str">
            <v>Engenheiro civil júnior com encargos complementares</v>
          </cell>
          <cell r="E1067"/>
          <cell r="F1067" t="str">
            <v>MES</v>
          </cell>
          <cell r="G1067">
            <v>20037.73</v>
          </cell>
          <cell r="H1067" t="str">
            <v>-</v>
          </cell>
        </row>
        <row r="1068">
          <cell r="A1068">
            <v>101403</v>
          </cell>
          <cell r="B1068" t="str">
            <v>SINAPI</v>
          </cell>
          <cell r="C1068"/>
          <cell r="D1068" t="str">
            <v>Engenheiro civil sênior com encargos complementares</v>
          </cell>
          <cell r="E1068"/>
          <cell r="F1068" t="str">
            <v>MES</v>
          </cell>
          <cell r="G1068">
            <v>30781.06</v>
          </cell>
          <cell r="H1068" t="str">
            <v>-</v>
          </cell>
        </row>
        <row r="1069">
          <cell r="A1069">
            <v>90780</v>
          </cell>
          <cell r="B1069" t="str">
            <v>SINAPI</v>
          </cell>
          <cell r="C1069"/>
          <cell r="D1069" t="str">
            <v>Mestre de obras com encargos complementares (horista)</v>
          </cell>
          <cell r="E1069"/>
          <cell r="F1069" t="str">
            <v>H</v>
          </cell>
          <cell r="G1069">
            <v>36.11</v>
          </cell>
          <cell r="H1069" t="str">
            <v>-</v>
          </cell>
        </row>
        <row r="1070">
          <cell r="A1070">
            <v>94295</v>
          </cell>
          <cell r="B1070" t="str">
            <v>SINAPI</v>
          </cell>
          <cell r="C1070"/>
          <cell r="D1070" t="str">
            <v>Mestre de obras com encargos complementares (mensalista)</v>
          </cell>
          <cell r="E1070"/>
          <cell r="F1070" t="str">
            <v>MES</v>
          </cell>
          <cell r="G1070">
            <v>6321.89</v>
          </cell>
          <cell r="H1070" t="str">
            <v>-</v>
          </cell>
        </row>
        <row r="1071">
          <cell r="A1071">
            <v>88288</v>
          </cell>
          <cell r="B1071" t="str">
            <v>SINAPI</v>
          </cell>
          <cell r="C1071"/>
          <cell r="D1071" t="str">
            <v>Nivelador/Greidista com encargos complementares (horista)</v>
          </cell>
          <cell r="E1071"/>
          <cell r="F1071" t="str">
            <v>H</v>
          </cell>
          <cell r="G1071">
            <v>15.31</v>
          </cell>
          <cell r="H1071" t="str">
            <v>-</v>
          </cell>
        </row>
        <row r="1072">
          <cell r="A1072">
            <v>41024</v>
          </cell>
          <cell r="B1072" t="str">
            <v>SINAPI</v>
          </cell>
          <cell r="C1072"/>
          <cell r="D1072" t="str">
            <v>Nivelador/Greidista com encargos complementares (mensalista)</v>
          </cell>
          <cell r="E1072"/>
          <cell r="F1072" t="str">
            <v xml:space="preserve">MES   </v>
          </cell>
          <cell r="G1072">
            <v>4960.8999999999996</v>
          </cell>
          <cell r="H1072" t="str">
            <v>-</v>
          </cell>
        </row>
        <row r="1073">
          <cell r="A1073">
            <v>88321</v>
          </cell>
          <cell r="B1073" t="str">
            <v>SINAPI</v>
          </cell>
          <cell r="C1073"/>
          <cell r="D1073" t="str">
            <v>Técnico de laboratório com encargos complementares (horista)</v>
          </cell>
          <cell r="E1073"/>
          <cell r="F1073" t="str">
            <v>H</v>
          </cell>
          <cell r="G1073">
            <v>31.33</v>
          </cell>
          <cell r="H1073" t="str">
            <v>-</v>
          </cell>
        </row>
        <row r="1074">
          <cell r="A1074">
            <v>101456</v>
          </cell>
          <cell r="B1074" t="str">
            <v>SINAPI</v>
          </cell>
          <cell r="C1074"/>
          <cell r="D1074" t="str">
            <v>Técnico de laboratório e campo de construção com encargos complementares (mensalista)</v>
          </cell>
          <cell r="E1074"/>
          <cell r="F1074" t="str">
            <v>MES</v>
          </cell>
          <cell r="G1074">
            <v>5498.05</v>
          </cell>
          <cell r="H1074" t="str">
            <v>-</v>
          </cell>
        </row>
        <row r="1075">
          <cell r="A1075">
            <v>40943</v>
          </cell>
          <cell r="B1075" t="str">
            <v>SINAPI</v>
          </cell>
          <cell r="C1075"/>
          <cell r="D1075" t="str">
            <v>Técnico de segurança do trabalho (horista)</v>
          </cell>
          <cell r="E1075"/>
          <cell r="F1075" t="str">
            <v xml:space="preserve">H     </v>
          </cell>
          <cell r="G1075">
            <v>27.94</v>
          </cell>
          <cell r="H1075" t="str">
            <v>-</v>
          </cell>
        </row>
        <row r="1076">
          <cell r="A1076">
            <v>100321</v>
          </cell>
          <cell r="B1076" t="str">
            <v>SINAPI</v>
          </cell>
          <cell r="C1076"/>
          <cell r="D1076" t="str">
            <v>Técnico de segurança do trabalho com encargos complementares (mensalista)</v>
          </cell>
          <cell r="E1076"/>
          <cell r="F1076" t="str">
            <v>MES</v>
          </cell>
          <cell r="G1076">
            <v>5338.51</v>
          </cell>
          <cell r="H1076" t="str">
            <v>-</v>
          </cell>
        </row>
        <row r="1077">
          <cell r="A1077">
            <v>90781</v>
          </cell>
          <cell r="B1077" t="str">
            <v>SINAPI</v>
          </cell>
          <cell r="C1077"/>
          <cell r="D1077" t="str">
            <v>Topografo com encargos complementares (horista)</v>
          </cell>
          <cell r="E1077"/>
          <cell r="F1077" t="str">
            <v>H</v>
          </cell>
          <cell r="G1077">
            <v>25.25</v>
          </cell>
          <cell r="H1077" t="str">
            <v>-</v>
          </cell>
        </row>
        <row r="1078">
          <cell r="A1078">
            <v>94296</v>
          </cell>
          <cell r="B1078" t="str">
            <v>SINAPI</v>
          </cell>
          <cell r="C1078"/>
          <cell r="D1078" t="str">
            <v>Topografo com encargos complementares (mensalista)</v>
          </cell>
          <cell r="E1078"/>
          <cell r="F1078" t="str">
            <v>MES</v>
          </cell>
          <cell r="G1078">
            <v>4435.8500000000004</v>
          </cell>
          <cell r="H1078" t="str">
            <v>-</v>
          </cell>
        </row>
        <row r="1079">
          <cell r="A1079">
            <v>41096</v>
          </cell>
          <cell r="B1079" t="str">
            <v>SINAPI</v>
          </cell>
          <cell r="C1079"/>
          <cell r="D1079" t="str">
            <v>Vigia Diurno com encargos complementares (mensalista)</v>
          </cell>
          <cell r="E1079"/>
          <cell r="F1079" t="str">
            <v xml:space="preserve">MES   </v>
          </cell>
          <cell r="G1079">
            <v>2445.25</v>
          </cell>
          <cell r="H1079" t="str">
            <v>-</v>
          </cell>
        </row>
        <row r="1080">
          <cell r="A1080">
            <v>101460</v>
          </cell>
          <cell r="B1080" t="str">
            <v>SINAPI</v>
          </cell>
          <cell r="C1080"/>
          <cell r="D1080" t="str">
            <v>Vigia Diurno com encargos complementares (mensalista)</v>
          </cell>
          <cell r="E1080"/>
          <cell r="F1080" t="str">
            <v>MES</v>
          </cell>
          <cell r="G1080">
            <v>3484.45</v>
          </cell>
          <cell r="H1080" t="str">
            <v>-</v>
          </cell>
        </row>
        <row r="1081">
          <cell r="A1081">
            <v>88326</v>
          </cell>
          <cell r="B1081" t="str">
            <v>SINAPI</v>
          </cell>
          <cell r="C1081"/>
          <cell r="D1081" t="str">
            <v>Vigia Noturno com encargos complementares (horista)</v>
          </cell>
          <cell r="E1081"/>
          <cell r="F1081" t="str">
            <v>H</v>
          </cell>
          <cell r="G1081">
            <v>24.73</v>
          </cell>
          <cell r="H1081" t="str">
            <v>-</v>
          </cell>
        </row>
        <row r="1082">
          <cell r="A1082" t="str">
            <v>AD/0001</v>
          </cell>
          <cell r="B1082" t="str">
            <v>COMPOSIÇÃO</v>
          </cell>
          <cell r="C1082" t="str">
            <v>DESATIVADA</v>
          </cell>
          <cell r="D1082" t="str">
            <v>Entrada provisória de energia elétrica aérea, trifásica 40A, em poste de madeira</v>
          </cell>
          <cell r="E1082"/>
          <cell r="F1082" t="e">
            <v>#REF!</v>
          </cell>
          <cell r="G1082" t="e">
            <v>#REF!</v>
          </cell>
          <cell r="H1082" t="str">
            <v>VER COMP</v>
          </cell>
        </row>
        <row r="1083">
          <cell r="A1083">
            <v>101509</v>
          </cell>
          <cell r="B1083" t="str">
            <v>SINAPI</v>
          </cell>
          <cell r="C1083"/>
          <cell r="D1083" t="str">
            <v>Tarifa de consumo de energia elétrica comercial, baixa tensão</v>
          </cell>
          <cell r="E1083" t="str">
            <v>498 kW/h/mês</v>
          </cell>
          <cell r="F1083" t="str">
            <v>UN</v>
          </cell>
          <cell r="G1083">
            <v>1769.95</v>
          </cell>
          <cell r="H1083" t="str">
            <v>-</v>
          </cell>
        </row>
        <row r="1084">
          <cell r="A1084">
            <v>5059</v>
          </cell>
          <cell r="B1084" t="str">
            <v>SINAPI</v>
          </cell>
          <cell r="C1084"/>
          <cell r="D1084" t="str">
            <v>Tarifa de consumo de energia elétrica comercial, baixa tensão</v>
          </cell>
          <cell r="E1084" t="str">
            <v>499 kW/h/mês</v>
          </cell>
          <cell r="F1084" t="str">
            <v xml:space="preserve">UN    </v>
          </cell>
          <cell r="G1084">
            <v>1397.44</v>
          </cell>
          <cell r="H1084" t="str">
            <v>-</v>
          </cell>
        </row>
        <row r="1085">
          <cell r="A1085">
            <v>14250</v>
          </cell>
          <cell r="B1085" t="str">
            <v>SINAPI</v>
          </cell>
          <cell r="C1085"/>
          <cell r="D1085" t="str">
            <v>Tarifa de consumo de energia elétrica comercial, baixa tensão</v>
          </cell>
          <cell r="E1085" t="str">
            <v>500 kW/h/mês</v>
          </cell>
          <cell r="F1085" t="str">
            <v xml:space="preserve">KWH   </v>
          </cell>
          <cell r="G1085">
            <v>1.17</v>
          </cell>
          <cell r="H1085" t="str">
            <v>-</v>
          </cell>
        </row>
        <row r="1086">
          <cell r="A1086">
            <v>44480</v>
          </cell>
          <cell r="B1086" t="str">
            <v>SINAPI</v>
          </cell>
          <cell r="C1086"/>
          <cell r="D1086" t="str">
            <v>Tarifa "A" entre 0,00 a 20m3/mês, fornecimento de água</v>
          </cell>
          <cell r="E1086"/>
          <cell r="F1086" t="str">
            <v xml:space="preserve">M3    </v>
          </cell>
          <cell r="G1086">
            <v>22.13</v>
          </cell>
          <cell r="H1086" t="str">
            <v>-</v>
          </cell>
        </row>
        <row r="1087">
          <cell r="A1087" t="str">
            <v>AD/0002</v>
          </cell>
          <cell r="B1087" t="str">
            <v>COMPOSIÇÃO</v>
          </cell>
          <cell r="C1087" t="str">
            <v>V0</v>
          </cell>
          <cell r="D1087" t="str">
            <v xml:space="preserve"> VEÍCULO LEVE - 53 KW (SEM MOTORISTA) (116,49h CPI + 66h CHP - 182,49h MDO)(REF. SICRO COD. E9512)</v>
          </cell>
          <cell r="E1087"/>
          <cell r="F1087" t="str">
            <v>UN.MÊS</v>
          </cell>
          <cell r="G1087">
            <v>2914.22</v>
          </cell>
          <cell r="H1087" t="str">
            <v>-</v>
          </cell>
        </row>
        <row r="1088">
          <cell r="A1088" t="str">
            <v>AD/0003</v>
          </cell>
          <cell r="B1088" t="str">
            <v>COMPOSIÇÃO</v>
          </cell>
          <cell r="C1088" t="str">
            <v>V1</v>
          </cell>
          <cell r="D1088" t="str">
            <v xml:space="preserve"> CAMINHONETE - 101/104 CV (SEM MOTORISTA) (116,49h CPI + 66h CHP)(REF. SINAPI COD. 92145 E 92146)</v>
          </cell>
          <cell r="E1088"/>
          <cell r="F1088" t="str">
            <v>UN.MÊS</v>
          </cell>
          <cell r="G1088">
            <v>4030.05</v>
          </cell>
          <cell r="H1088" t="str">
            <v>-</v>
          </cell>
        </row>
        <row r="1089">
          <cell r="A1089" t="str">
            <v>AD/0004</v>
          </cell>
          <cell r="B1089" t="str">
            <v>COMPOSIÇÃO</v>
          </cell>
          <cell r="C1089" t="str">
            <v>V2</v>
          </cell>
          <cell r="D1089" t="str">
            <v xml:space="preserve"> VEÍCULO LEVE PICAPE 4X4 - 147 KW (SEM MOTORISTA) (116,49h CPI + 66h CHP - 182,49h MDO)(REF. SICRO COD. E9512)</v>
          </cell>
          <cell r="E1089"/>
          <cell r="F1089" t="str">
            <v>UN.MÊS</v>
          </cell>
          <cell r="G1089">
            <v>9112.98</v>
          </cell>
          <cell r="H1089" t="str">
            <v>-</v>
          </cell>
        </row>
        <row r="1090">
          <cell r="A1090" t="str">
            <v>AD/0005</v>
          </cell>
          <cell r="B1090" t="str">
            <v>COMPOSIÇÃO</v>
          </cell>
          <cell r="C1090" t="str">
            <v>V3</v>
          </cell>
          <cell r="D1090" t="str">
            <v xml:space="preserve"> VAN - 93 KW (COM MOTORISTA) (116,49h CPI + 66h CHP). CAPACIDADE DE 10 PESSOAS (REF. SICRO COD. E9125)</v>
          </cell>
          <cell r="E1090"/>
          <cell r="F1090" t="str">
            <v>UN.MÊS</v>
          </cell>
          <cell r="G1090">
            <v>9997.76</v>
          </cell>
          <cell r="H1090" t="str">
            <v>-</v>
          </cell>
        </row>
        <row r="1091">
          <cell r="A1091" t="str">
            <v>AD/0006</v>
          </cell>
          <cell r="B1091" t="str">
            <v>COMPOSIÇÃO</v>
          </cell>
          <cell r="C1091"/>
          <cell r="D1091" t="str">
            <v>CAMINHONETE COM MOTOR A DIESEL, POTÊNCIA 180 CV, CABINE DUPLA, 4X4  (SEM MOTORISTA) (116,49h CPI + 66h CHP)(REF. SINAPI COD. 92138 E 92139)</v>
          </cell>
          <cell r="E1091"/>
          <cell r="F1091" t="str">
            <v>UN.MÊS</v>
          </cell>
          <cell r="G1091">
            <v>6689.85</v>
          </cell>
          <cell r="H1091" t="str">
            <v>-</v>
          </cell>
        </row>
        <row r="1092">
          <cell r="A1092" t="str">
            <v>AD/0007</v>
          </cell>
          <cell r="B1092" t="str">
            <v>COMPOSIÇÃO</v>
          </cell>
          <cell r="C1092"/>
          <cell r="D1092" t="str">
            <v>CAMINHÃO PIPA 6.000 L, PESO BRUTO TOTAL 13.000 KG, DISTÂNCIA ENTRE EIXOS 4,80 M, POTÊNCIA 189 CV INCLUSIVE TANQUE DE AÇO PARA TRANSPORTE DE ÁGUA, CAPACIDADE 6 M3(116,49h CPI + 66h CHP)</v>
          </cell>
          <cell r="E1092"/>
          <cell r="F1092" t="str">
            <v>UN.MÊS</v>
          </cell>
          <cell r="G1092">
            <v>22461.47</v>
          </cell>
          <cell r="H1092" t="str">
            <v>-</v>
          </cell>
        </row>
        <row r="1093">
          <cell r="A1093" t="str">
            <v>B8958</v>
          </cell>
          <cell r="B1093" t="str">
            <v>DNIT/Consultoria</v>
          </cell>
          <cell r="C1093"/>
          <cell r="D1093" t="str">
            <v xml:space="preserve">Topografia </v>
          </cell>
          <cell r="E1093"/>
          <cell r="F1093" t="str">
            <v>mês</v>
          </cell>
          <cell r="G1093">
            <v>3265.25</v>
          </cell>
          <cell r="H1093" t="str">
            <v>-</v>
          </cell>
        </row>
        <row r="1094">
          <cell r="A1094" t="str">
            <v>B8957</v>
          </cell>
          <cell r="B1094" t="str">
            <v>DNIT/Consultoria</v>
          </cell>
          <cell r="C1094"/>
          <cell r="D1094" t="str">
            <v xml:space="preserve">Laboratório de solos </v>
          </cell>
          <cell r="E1094"/>
          <cell r="F1094" t="str">
            <v>mês</v>
          </cell>
          <cell r="G1094">
            <v>4491.67</v>
          </cell>
          <cell r="H1094" t="str">
            <v>-</v>
          </cell>
        </row>
        <row r="1095">
          <cell r="A1095" t="str">
            <v>E9512</v>
          </cell>
          <cell r="B1095" t="str">
            <v>SICRO</v>
          </cell>
          <cell r="C1095"/>
          <cell r="D1095" t="str">
            <v>Veículo leve - 53 kW (CHI)</v>
          </cell>
          <cell r="E1095"/>
          <cell r="F1095" t="str">
            <v>CHI</v>
          </cell>
          <cell r="G1095">
            <v>32.148600000000002</v>
          </cell>
          <cell r="H1095" t="str">
            <v>-</v>
          </cell>
        </row>
        <row r="1096">
          <cell r="A1096" t="str">
            <v>E9512</v>
          </cell>
          <cell r="B1096" t="str">
            <v>SICRO</v>
          </cell>
          <cell r="C1096"/>
          <cell r="D1096" t="str">
            <v>Veículo leve - 53 kW (CHP)</v>
          </cell>
          <cell r="E1096"/>
          <cell r="F1096" t="str">
            <v>CHP</v>
          </cell>
          <cell r="G1096">
            <v>58.68</v>
          </cell>
          <cell r="H1096" t="str">
            <v>-</v>
          </cell>
        </row>
        <row r="1097">
          <cell r="A1097" t="str">
            <v>E9512</v>
          </cell>
          <cell r="B1097" t="str">
            <v>SICRO</v>
          </cell>
          <cell r="C1097"/>
          <cell r="D1097" t="str">
            <v>Veículo leve - 53 kW (MDO)</v>
          </cell>
          <cell r="E1097"/>
          <cell r="F1097" t="str">
            <v>H</v>
          </cell>
          <cell r="G1097">
            <v>25.774799999999999</v>
          </cell>
          <cell r="H1097" t="str">
            <v>-</v>
          </cell>
        </row>
        <row r="1098">
          <cell r="A1098" t="str">
            <v>E9684</v>
          </cell>
          <cell r="B1098" t="str">
            <v>SICRO</v>
          </cell>
          <cell r="C1098"/>
          <cell r="D1098" t="str">
            <v>Veículo leve Pick Up 4 x 4 - 147 kW (CHI)</v>
          </cell>
          <cell r="E1098"/>
          <cell r="F1098" t="str">
            <v>CHI</v>
          </cell>
          <cell r="G1098">
            <v>53.831400000000002</v>
          </cell>
          <cell r="H1098" t="str">
            <v>-</v>
          </cell>
        </row>
        <row r="1099">
          <cell r="A1099" t="str">
            <v>E9684</v>
          </cell>
          <cell r="B1099" t="str">
            <v>SICRO</v>
          </cell>
          <cell r="C1099"/>
          <cell r="D1099" t="str">
            <v>Veículo leve Pick Up 4 x 4 - 147 kW (CHP)</v>
          </cell>
          <cell r="E1099"/>
          <cell r="F1099" t="str">
            <v>CHP</v>
          </cell>
          <cell r="G1099">
            <v>114.3305</v>
          </cell>
          <cell r="H1099" t="str">
            <v>-</v>
          </cell>
        </row>
        <row r="1100">
          <cell r="A1100" t="str">
            <v>E9684</v>
          </cell>
          <cell r="B1100" t="str">
            <v>SICRO</v>
          </cell>
          <cell r="C1100"/>
          <cell r="D1100" t="str">
            <v>Veículo leve Pick Up 4 x 4 - 147 kW (MDO)</v>
          </cell>
          <cell r="E1100"/>
          <cell r="F1100" t="str">
            <v>H</v>
          </cell>
          <cell r="G1100">
            <v>25.774799999999999</v>
          </cell>
          <cell r="H1100" t="str">
            <v>-</v>
          </cell>
        </row>
        <row r="1101">
          <cell r="A1101" t="str">
            <v>E9125</v>
          </cell>
          <cell r="B1101" t="str">
            <v>SICRO</v>
          </cell>
          <cell r="C1101"/>
          <cell r="D1101" t="str">
            <v>Van furgão - 93 kW (CHI)</v>
          </cell>
          <cell r="E1101"/>
          <cell r="F1101" t="str">
            <v>CHI</v>
          </cell>
          <cell r="G1101">
            <v>41.616</v>
          </cell>
          <cell r="H1101" t="str">
            <v>-</v>
          </cell>
        </row>
        <row r="1102">
          <cell r="A1102" t="str">
            <v>E9125</v>
          </cell>
          <cell r="B1102" t="str">
            <v>SICRO</v>
          </cell>
          <cell r="C1102"/>
          <cell r="D1102" t="str">
            <v>Van furgão - 93 kW (CHP)</v>
          </cell>
          <cell r="E1102"/>
          <cell r="F1102" t="str">
            <v>CHP</v>
          </cell>
          <cell r="G1102">
            <v>78.0291</v>
          </cell>
          <cell r="H1102" t="str">
            <v>-</v>
          </cell>
        </row>
        <row r="1103">
          <cell r="A1103">
            <v>92145</v>
          </cell>
          <cell r="B1103" t="str">
            <v>SINAPI</v>
          </cell>
          <cell r="C1103"/>
          <cell r="D1103" t="str">
            <v>Caminhonete cabine simples com motor 1.6 FLEX, câmbio manual, potência 101/104 CV, 2 portas - CHP diurno. AF_11/2015</v>
          </cell>
          <cell r="E1103"/>
          <cell r="F1103" t="str">
            <v>CHP</v>
          </cell>
          <cell r="G1103">
            <v>71.180000000000007</v>
          </cell>
          <cell r="H1103" t="str">
            <v>-</v>
          </cell>
        </row>
        <row r="1104">
          <cell r="A1104">
            <v>92146</v>
          </cell>
          <cell r="B1104" t="str">
            <v>SINAPI</v>
          </cell>
          <cell r="C1104"/>
          <cell r="D1104" t="str">
            <v>Caminhonete cabine simples com motor 1.6 FLEX, câmbio manual, potência 101/104 CV, 2 portas - CHI diurno. AF_11/2015</v>
          </cell>
          <cell r="E1104"/>
          <cell r="F1104" t="str">
            <v>CHI</v>
          </cell>
          <cell r="G1104">
            <v>29.28</v>
          </cell>
          <cell r="H1104" t="str">
            <v>-</v>
          </cell>
        </row>
        <row r="1105">
          <cell r="A1105">
            <v>88284</v>
          </cell>
          <cell r="B1105" t="str">
            <v>SINAPI</v>
          </cell>
          <cell r="C1105"/>
          <cell r="D1105" t="str">
            <v>Motorista de veículo leve com encargos complementares</v>
          </cell>
          <cell r="E1105"/>
          <cell r="F1105" t="str">
            <v>H</v>
          </cell>
          <cell r="G1105">
            <v>22.35</v>
          </cell>
          <cell r="H1105" t="str">
            <v>-</v>
          </cell>
        </row>
        <row r="1106">
          <cell r="A1106"/>
          <cell r="B1106"/>
          <cell r="C1106"/>
          <cell r="D1106"/>
          <cell r="E1106"/>
          <cell r="F1106"/>
          <cell r="G1106"/>
          <cell r="H1106"/>
        </row>
        <row r="1107">
          <cell r="A1107"/>
          <cell r="B1107"/>
          <cell r="C1107" t="str">
            <v>15.0</v>
          </cell>
          <cell r="D1107" t="str">
            <v>SERVIÇOS DE ENGENHARIA DE PROJETOS DE INFRAESTRUTURA URBANA</v>
          </cell>
          <cell r="E1107"/>
          <cell r="F1107"/>
          <cell r="G1107" t="str">
            <v>agosto/2023</v>
          </cell>
          <cell r="H1107" t="str">
            <v/>
          </cell>
        </row>
        <row r="1108">
          <cell r="A1108" t="str">
            <v>ADM0002</v>
          </cell>
          <cell r="B1108" t="str">
            <v>COMPOSIÇÃO</v>
          </cell>
          <cell r="C1108" t="str">
            <v>AGESUL</v>
          </cell>
          <cell r="D1108" t="str">
            <v>Reprografia e montagem de relatório (texto e desenho)</v>
          </cell>
          <cell r="E1108">
            <v>0</v>
          </cell>
          <cell r="F1108" t="str">
            <v xml:space="preserve">un </v>
          </cell>
          <cell r="G1108">
            <v>675.66</v>
          </cell>
          <cell r="H1108" t="str">
            <v>-</v>
          </cell>
        </row>
        <row r="1109">
          <cell r="A1109" t="str">
            <v>ADM0001</v>
          </cell>
          <cell r="B1109" t="str">
            <v>COMPOSIÇÃO</v>
          </cell>
          <cell r="C1109" t="str">
            <v>AGESUL</v>
          </cell>
          <cell r="D1109" t="str">
            <v>Mobilização e desmobilização de equipe de técnica, distância acima de 20km</v>
          </cell>
          <cell r="E1109" t="str">
            <v>ATENÇÃO
Distância da Sede à obra</v>
          </cell>
          <cell r="F1109" t="str">
            <v>km</v>
          </cell>
          <cell r="G1109">
            <v>15.4</v>
          </cell>
          <cell r="H1109" t="str">
            <v>-</v>
          </cell>
        </row>
        <row r="1110">
          <cell r="A1110" t="str">
            <v>EG0005</v>
          </cell>
          <cell r="B1110" t="str">
            <v>COMPOSIÇÃO</v>
          </cell>
          <cell r="C1110" t="str">
            <v>AGESUL</v>
          </cell>
          <cell r="D1110" t="str">
            <v>Mobilização e desmobilização de equipe de geotecnia, distância maior que 20km</v>
          </cell>
          <cell r="E1110" t="str">
            <v>ATENÇÃO
Distância da Sede à obra</v>
          </cell>
          <cell r="F1110" t="str">
            <v>km</v>
          </cell>
          <cell r="G1110">
            <v>7.82</v>
          </cell>
          <cell r="H1110" t="str">
            <v>-</v>
          </cell>
        </row>
        <row r="1111">
          <cell r="A1111" t="str">
            <v>ET0003</v>
          </cell>
          <cell r="B1111" t="str">
            <v>COMPOSIÇÃO</v>
          </cell>
          <cell r="C1111" t="str">
            <v>AGESUL</v>
          </cell>
          <cell r="D1111" t="str">
            <v>Mobilização e desmobilização de equipe de topografia, distância maior que 20km</v>
          </cell>
          <cell r="E1111" t="str">
            <v>ATENÇÃO
Distância da Sede à obra</v>
          </cell>
          <cell r="F1111" t="str">
            <v>km</v>
          </cell>
          <cell r="G1111">
            <v>6.1</v>
          </cell>
          <cell r="H1111" t="str">
            <v>-</v>
          </cell>
        </row>
        <row r="1112">
          <cell r="A1112" t="str">
            <v>ARQ0003</v>
          </cell>
          <cell r="B1112" t="str">
            <v>COMPOSIÇÃO</v>
          </cell>
          <cell r="C1112" t="str">
            <v>AGESUL</v>
          </cell>
          <cell r="D1112" t="str">
            <v>Estudo conceitual para implantação de parque público - master plan</v>
          </cell>
          <cell r="E1112">
            <v>0</v>
          </cell>
          <cell r="F1112" t="str">
            <v xml:space="preserve">ha </v>
          </cell>
          <cell r="G1112">
            <v>1570.75</v>
          </cell>
          <cell r="H1112" t="str">
            <v>-</v>
          </cell>
        </row>
        <row r="1113">
          <cell r="A1113" t="str">
            <v>PFIU001</v>
          </cell>
          <cell r="B1113" t="str">
            <v>COMPOSIÇÃO</v>
          </cell>
          <cell r="C1113" t="str">
            <v>AGESUL</v>
          </cell>
          <cell r="D1113" t="str">
            <v>Elaboração de estudos de viabilidade para projetos de pavimentação, drenagem, sinalização viária, acessibilidade e orçamento</v>
          </cell>
          <cell r="E1113">
            <v>0</v>
          </cell>
          <cell r="F1113" t="str">
            <v>m²</v>
          </cell>
          <cell r="G1113">
            <v>0.49330000000000002</v>
          </cell>
          <cell r="H1113" t="str">
            <v>-</v>
          </cell>
        </row>
        <row r="1114">
          <cell r="A1114" t="str">
            <v>PFIU002</v>
          </cell>
          <cell r="B1114" t="str">
            <v>COMPOSIÇÃO</v>
          </cell>
          <cell r="C1114" t="str">
            <v>AGESUL</v>
          </cell>
          <cell r="D1114" t="str">
            <v>Elaboração de estudos de viabilidade para projetos de pavimentação, drenagem, sinalização viária, acessibilidade e orçamento</v>
          </cell>
          <cell r="E1114">
            <v>0</v>
          </cell>
          <cell r="F1114" t="str">
            <v>km</v>
          </cell>
          <cell r="G1114">
            <v>3455.9738000000002</v>
          </cell>
          <cell r="H1114" t="str">
            <v>-</v>
          </cell>
        </row>
        <row r="1115">
          <cell r="A1115" t="str">
            <v>PBPC001</v>
          </cell>
          <cell r="B1115" t="str">
            <v>COMPOSIÇÃO</v>
          </cell>
          <cell r="C1115" t="str">
            <v>AGESUL</v>
          </cell>
          <cell r="D1115" t="str">
            <v>Elaboração de estudos de viabilidade para projeto funcional de OAE (ponte) em concreto armado inclusive estudos hidrológico e projeto de acessibilidade e sinalização viária. Exclusive serviços topográficos e geotécnicos</v>
          </cell>
          <cell r="E1115">
            <v>0</v>
          </cell>
          <cell r="F1115" t="str">
            <v>m</v>
          </cell>
          <cell r="G1115">
            <v>622.97</v>
          </cell>
          <cell r="H1115" t="str">
            <v>-</v>
          </cell>
        </row>
        <row r="1116">
          <cell r="A1116" t="str">
            <v>EHAU001</v>
          </cell>
          <cell r="B1116" t="str">
            <v>COMPOSIÇÃO</v>
          </cell>
          <cell r="C1116" t="str">
            <v>AGESUL</v>
          </cell>
          <cell r="D1116" t="str">
            <v>Elaboração de estudo hidrológico de área urbanizada</v>
          </cell>
          <cell r="E1116">
            <v>0</v>
          </cell>
          <cell r="F1116" t="str">
            <v xml:space="preserve">ha </v>
          </cell>
          <cell r="G1116">
            <v>22.61</v>
          </cell>
          <cell r="H1116" t="str">
            <v>-</v>
          </cell>
        </row>
        <row r="1117">
          <cell r="A1117" t="str">
            <v>EHAU002</v>
          </cell>
          <cell r="B1117" t="str">
            <v>COMPOSIÇÃO</v>
          </cell>
          <cell r="C1117" t="str">
            <v>AGESUL</v>
          </cell>
          <cell r="D1117" t="str">
            <v>Elaboração de estudo hidrológico de área rural</v>
          </cell>
          <cell r="E1117">
            <v>0</v>
          </cell>
          <cell r="F1117" t="str">
            <v>km²</v>
          </cell>
          <cell r="G1117">
            <v>1300.25</v>
          </cell>
          <cell r="H1117" t="str">
            <v>-</v>
          </cell>
        </row>
        <row r="1118">
          <cell r="A1118" t="str">
            <v>EG0001</v>
          </cell>
          <cell r="B1118" t="str">
            <v>COMPOSIÇÃO</v>
          </cell>
          <cell r="C1118" t="str">
            <v>AGESUL</v>
          </cell>
          <cell r="D1118" t="str">
            <v>Serviços geotécnicos de sondagem à trado ( 1 un com 2m de prof.) e ensaios de solo de granulometria por peneiramento, limites de liquidez e plasticidade, compactação e ISC na energia modificada (1 cj)</v>
          </cell>
          <cell r="E1118">
            <v>0</v>
          </cell>
          <cell r="F1118" t="str">
            <v xml:space="preserve">un </v>
          </cell>
          <cell r="G1118">
            <v>965.29</v>
          </cell>
          <cell r="H1118" t="str">
            <v>-</v>
          </cell>
        </row>
        <row r="1119">
          <cell r="A1119" t="str">
            <v>EG0012</v>
          </cell>
          <cell r="B1119" t="str">
            <v>COMPOSIÇÃO</v>
          </cell>
          <cell r="C1119" t="str">
            <v>AGESUL</v>
          </cell>
          <cell r="D1119" t="str">
            <v>Serviços geotécnicos de sondagem à trado (1un com 2m de prof.) e ensaios de solo de granulometria por peneiramento, limites de liquidez e plasticidade, compactação e ISC na energia intermediária (1cj)</v>
          </cell>
          <cell r="E1119">
            <v>0</v>
          </cell>
          <cell r="F1119" t="str">
            <v xml:space="preserve">un </v>
          </cell>
          <cell r="G1119">
            <v>804.08</v>
          </cell>
          <cell r="H1119" t="str">
            <v>-</v>
          </cell>
        </row>
        <row r="1120">
          <cell r="A1120" t="str">
            <v>EG0014</v>
          </cell>
          <cell r="B1120" t="str">
            <v>COMPOSIÇÃO</v>
          </cell>
          <cell r="C1120" t="str">
            <v>AGESUL</v>
          </cell>
          <cell r="D1120" t="str">
            <v>Serviços geotécnicos de sondagem à trado (1un com 2m de prof.) e ensaios de solo de granulometria por peneiramento, limites de liquidez e plasticidade, compactação e ISC na energia intermediária, com reuso de material (1cj)</v>
          </cell>
          <cell r="E1120">
            <v>0</v>
          </cell>
          <cell r="F1120" t="str">
            <v xml:space="preserve">un </v>
          </cell>
          <cell r="G1120">
            <v>603.04</v>
          </cell>
          <cell r="H1120" t="str">
            <v>-</v>
          </cell>
        </row>
        <row r="1121">
          <cell r="A1121" t="str">
            <v>EG0006</v>
          </cell>
          <cell r="B1121" t="str">
            <v>COMPOSIÇÃO</v>
          </cell>
          <cell r="C1121" t="str">
            <v>AGESUL</v>
          </cell>
          <cell r="D1121" t="str">
            <v>Deslocamento de equipamento entre furos em terreno plano, considerando a distância até 100m</v>
          </cell>
          <cell r="E1121"/>
          <cell r="F1121" t="str">
            <v xml:space="preserve">un </v>
          </cell>
          <cell r="G1121">
            <v>122.5</v>
          </cell>
          <cell r="H1121" t="str">
            <v>-</v>
          </cell>
        </row>
        <row r="1122">
          <cell r="A1122" t="str">
            <v>EG0007</v>
          </cell>
          <cell r="B1122" t="str">
            <v>COMPOSIÇÃO</v>
          </cell>
          <cell r="C1122" t="str">
            <v>AGESUL</v>
          </cell>
          <cell r="D1122" t="str">
            <v>Sondagem à percussão (SPT) com lavagem</v>
          </cell>
          <cell r="E1122">
            <v>0</v>
          </cell>
          <cell r="F1122" t="str">
            <v>m</v>
          </cell>
          <cell r="G1122">
            <v>173.66</v>
          </cell>
          <cell r="H1122" t="str">
            <v>-</v>
          </cell>
        </row>
        <row r="1123">
          <cell r="A1123" t="str">
            <v>EG0011</v>
          </cell>
          <cell r="B1123" t="str">
            <v>COMPOSIÇÃO</v>
          </cell>
          <cell r="C1123" t="str">
            <v>AGESUL</v>
          </cell>
          <cell r="D1123" t="str">
            <v>Avaliação e análise geotécnica de taludes e estabilidade de maciços em terra. Exclusive ensaios geotécnicos</v>
          </cell>
          <cell r="E1123">
            <v>0</v>
          </cell>
          <cell r="F1123" t="str">
            <v xml:space="preserve">un </v>
          </cell>
          <cell r="G1123">
            <v>15587.54</v>
          </cell>
          <cell r="H1123" t="str">
            <v>-</v>
          </cell>
        </row>
        <row r="1124">
          <cell r="A1124" t="str">
            <v>ETG0001</v>
          </cell>
          <cell r="B1124" t="str">
            <v>COMPOSIÇÃO</v>
          </cell>
          <cell r="C1124" t="str">
            <v>AGESUL</v>
          </cell>
          <cell r="D1124" t="str">
            <v>Elaboração de estudos topográficos e geotécnicos</v>
          </cell>
          <cell r="E1124">
            <v>0</v>
          </cell>
          <cell r="F1124" t="str">
            <v>km</v>
          </cell>
          <cell r="G1124">
            <v>11933.317500000001</v>
          </cell>
          <cell r="H1124" t="str">
            <v>-</v>
          </cell>
        </row>
        <row r="1125">
          <cell r="A1125" t="str">
            <v>ET0001</v>
          </cell>
          <cell r="B1125" t="str">
            <v>COMPOSIÇÃO</v>
          </cell>
          <cell r="C1125" t="str">
            <v>AGESUL</v>
          </cell>
          <cell r="D1125" t="str">
            <v>Levantamento topográfico por GPS ou voo aerofotogramétrico em áreas de difícil acesso, relevo acidentado e pouco habitada</v>
          </cell>
          <cell r="E1125">
            <v>0</v>
          </cell>
          <cell r="F1125" t="str">
            <v xml:space="preserve">ha </v>
          </cell>
          <cell r="G1125">
            <v>83.93</v>
          </cell>
          <cell r="H1125" t="str">
            <v>-</v>
          </cell>
        </row>
        <row r="1126">
          <cell r="A1126" t="str">
            <v>ET0002</v>
          </cell>
          <cell r="B1126" t="str">
            <v>COMPOSIÇÃO</v>
          </cell>
          <cell r="C1126" t="str">
            <v>AGESUL</v>
          </cell>
          <cell r="D1126" t="str">
            <v>Levantamento topográfico planialtimétrico semi-cadastral</v>
          </cell>
          <cell r="E1126">
            <v>0</v>
          </cell>
          <cell r="F1126" t="str">
            <v xml:space="preserve">ha </v>
          </cell>
          <cell r="G1126">
            <v>7854.16</v>
          </cell>
          <cell r="H1126" t="str">
            <v>-</v>
          </cell>
        </row>
        <row r="1127">
          <cell r="A1127" t="str">
            <v>PIU0001</v>
          </cell>
          <cell r="B1127" t="str">
            <v>COMPOSIÇÃO</v>
          </cell>
          <cell r="C1127" t="str">
            <v>AGESUL</v>
          </cell>
          <cell r="D1127" t="str">
            <v>Elaboração de projetos executivos geométrico, terraplenagem, pavimentação, drenagem superficial, galeria de água pluvial, sinalização viária e acessibilidade</v>
          </cell>
          <cell r="E1127" t="str">
            <v>ATENÇÃO                              Projeto com Drenagem</v>
          </cell>
          <cell r="F1127" t="str">
            <v>m²</v>
          </cell>
          <cell r="G1127">
            <v>3.38</v>
          </cell>
          <cell r="H1127" t="str">
            <v>-</v>
          </cell>
        </row>
        <row r="1128">
          <cell r="A1128" t="str">
            <v>PIU0006</v>
          </cell>
          <cell r="B1128" t="str">
            <v>COMPOSIÇÃO</v>
          </cell>
          <cell r="C1128" t="str">
            <v>AGESUL</v>
          </cell>
          <cell r="D1128" t="str">
            <v>Projeto executivo de terraplenagem, geométrico, pavimentação, sinalização viária e acessibilidade. Exclusive projeto de galeria de água pluvial</v>
          </cell>
          <cell r="E1128" t="str">
            <v>ATENÇÃO                              Projeto sem Drenagem</v>
          </cell>
          <cell r="F1128" t="str">
            <v>m²</v>
          </cell>
          <cell r="G1128">
            <v>2.61</v>
          </cell>
          <cell r="H1128" t="str">
            <v>-</v>
          </cell>
        </row>
        <row r="1129">
          <cell r="A1129" t="str">
            <v>PIU0004</v>
          </cell>
          <cell r="B1129" t="str">
            <v>COMPOSIÇÃO</v>
          </cell>
          <cell r="C1129" t="str">
            <v>AGESUL</v>
          </cell>
          <cell r="D1129" t="str">
            <v>Elaboração de projeto executivo de galerias de drenagem de águas pluviais. Exclusive serviços topográficos e geotécnicos</v>
          </cell>
          <cell r="E1129" t="str">
            <v>ATENÇÃO                                                trechos fora da pavimentação e em recapeamento</v>
          </cell>
          <cell r="F1129" t="str">
            <v>m</v>
          </cell>
          <cell r="G1129">
            <v>7.76</v>
          </cell>
          <cell r="H1129" t="str">
            <v>-</v>
          </cell>
        </row>
        <row r="1130">
          <cell r="A1130" t="str">
            <v>PIU0003</v>
          </cell>
          <cell r="B1130" t="str">
            <v>COMPOSIÇÃO</v>
          </cell>
          <cell r="C1130" t="str">
            <v>AGESUL</v>
          </cell>
          <cell r="D1130" t="str">
            <v>Elaboração de projetos executivo de interseção e adequação viária em até 3.000m² de área de intervenção. Incluindo projetos geométrico, terraplenagem, pavimentação, drenagem superficial e bueiros, sinalização viária e acessibilidade. Exclusive serviços topográficos e geotécnicos</v>
          </cell>
          <cell r="E1130">
            <v>0</v>
          </cell>
          <cell r="F1130" t="str">
            <v xml:space="preserve">un </v>
          </cell>
          <cell r="G1130">
            <v>38004.49</v>
          </cell>
          <cell r="H1130" t="str">
            <v>-</v>
          </cell>
        </row>
        <row r="1131">
          <cell r="A1131" t="str">
            <v>PIU0014</v>
          </cell>
          <cell r="B1131" t="str">
            <v>COMPOSIÇÃO</v>
          </cell>
          <cell r="C1131" t="str">
            <v>AGESUL</v>
          </cell>
          <cell r="D1131" t="str">
            <v>Elaboração projeto executivo de calçada em via urbana, incluindo estudos topográficos e acessibilidade</v>
          </cell>
          <cell r="E1131">
            <v>0</v>
          </cell>
          <cell r="F1131" t="str">
            <v>km</v>
          </cell>
          <cell r="G1131">
            <v>3279.22</v>
          </cell>
          <cell r="H1131" t="str">
            <v>-</v>
          </cell>
        </row>
        <row r="1132">
          <cell r="A1132" t="str">
            <v>PIU0015</v>
          </cell>
          <cell r="B1132" t="str">
            <v>COMPOSIÇÃO</v>
          </cell>
          <cell r="C1132" t="str">
            <v>AGESUL</v>
          </cell>
          <cell r="D1132" t="str">
            <v>Elaboração projeto executivo de ciclovia e ciclofaixa em via urbana, incluindo estudos topográficos e projeto de sinalização viária e acessibilidade</v>
          </cell>
          <cell r="E1132">
            <v>0</v>
          </cell>
          <cell r="F1132" t="str">
            <v>km</v>
          </cell>
          <cell r="G1132">
            <v>3697</v>
          </cell>
          <cell r="H1132" t="str">
            <v>-</v>
          </cell>
        </row>
        <row r="1133">
          <cell r="A1133" t="str">
            <v>PRIU003</v>
          </cell>
          <cell r="B1133" t="str">
            <v>COMPOSIÇÃO</v>
          </cell>
          <cell r="C1133" t="str">
            <v>AGESUL</v>
          </cell>
          <cell r="D1133" t="str">
            <v>Elaboração de estudo de avaliação estrutural do pavimento – viga benkelman e/ou Falling Weight Deflectometer - FWD. Extensão mínima 20 km</v>
          </cell>
          <cell r="E1133">
            <v>0</v>
          </cell>
          <cell r="F1133" t="str">
            <v>km.faixa</v>
          </cell>
          <cell r="G1133">
            <v>337.55</v>
          </cell>
          <cell r="H1133" t="str">
            <v>-</v>
          </cell>
        </row>
        <row r="1134">
          <cell r="A1134" t="str">
            <v>PRIU002</v>
          </cell>
          <cell r="B1134" t="str">
            <v>COMPOSIÇÃO</v>
          </cell>
          <cell r="C1134" t="str">
            <v>AGESUL</v>
          </cell>
          <cell r="D1134" t="str">
            <v>Elaboração projeto de restauração funcional do pavimento, incluindo estudos topográficos e geotécnicos, projetos drenagem superficial, sinalização viária e acessibilidade</v>
          </cell>
          <cell r="E1134">
            <v>0</v>
          </cell>
          <cell r="F1134" t="str">
            <v>m²</v>
          </cell>
          <cell r="G1134">
            <v>2.0699999999999998</v>
          </cell>
          <cell r="H1134" t="str">
            <v>-</v>
          </cell>
        </row>
        <row r="1135">
          <cell r="A1135" t="str">
            <v>PIP001</v>
          </cell>
          <cell r="B1135" t="str">
            <v>COMPOSIÇÃO</v>
          </cell>
          <cell r="C1135" t="str">
            <v>AGESUL</v>
          </cell>
          <cell r="D1135" t="str">
            <v>Elaboração projeto executivo de iluminação pública</v>
          </cell>
          <cell r="E1135">
            <v>0</v>
          </cell>
          <cell r="F1135" t="str">
            <v>km</v>
          </cell>
          <cell r="G1135">
            <v>3616.6</v>
          </cell>
          <cell r="H1135" t="str">
            <v>-</v>
          </cell>
        </row>
        <row r="1136">
          <cell r="A1136" t="str">
            <v>PEPC001</v>
          </cell>
          <cell r="B1136" t="str">
            <v>COMPOSIÇÃO</v>
          </cell>
          <cell r="C1136" t="str">
            <v>AGESUL</v>
          </cell>
          <cell r="D1136" t="str">
            <v>Elaboração de projeto estrutural de OAE (ponte) em concreto armado inclusive estudos hidrológico e projeto de acessibilidade e sinalização viária. Exclusive serviços topográficos e geotécnicos</v>
          </cell>
          <cell r="E1136">
            <v>0</v>
          </cell>
          <cell r="F1136" t="str">
            <v>m²</v>
          </cell>
          <cell r="G1136">
            <v>120.98</v>
          </cell>
          <cell r="H1136" t="str">
            <v>-</v>
          </cell>
        </row>
        <row r="1137">
          <cell r="A1137" t="str">
            <v>PIU0008</v>
          </cell>
          <cell r="B1137" t="str">
            <v>COMPOSIÇÃO</v>
          </cell>
          <cell r="C1137" t="str">
            <v>AGESUL</v>
          </cell>
          <cell r="D1137" t="str">
            <v>Elaboração de projeto executivo de controle de erosão, compreendendo concepção de obras estruturantes, terraplenagem, geometria e drenagem, incluindo serviços topográficos e geotécnicos (3 ensaios completos e 3 SPT). Exclusive levantamento aerofotogramétrico</v>
          </cell>
          <cell r="E1137">
            <v>0</v>
          </cell>
          <cell r="F1137" t="str">
            <v xml:space="preserve">ha </v>
          </cell>
          <cell r="G1137">
            <v>11483.07</v>
          </cell>
          <cell r="H1137" t="str">
            <v>-</v>
          </cell>
        </row>
        <row r="1138">
          <cell r="A1138" t="str">
            <v>PIU0011</v>
          </cell>
          <cell r="B1138" t="str">
            <v>COMPOSIÇÃO</v>
          </cell>
          <cell r="C1138" t="str">
            <v>AGESUL</v>
          </cell>
          <cell r="D1138" t="str">
            <v>Elaboração de projeto executivo de bacia de amortecimento de drenagem de águas pluviais. Exclusive serviços topográficos e geotécnicos e projeto estrutural de contenção de talude</v>
          </cell>
          <cell r="E1138">
            <v>0</v>
          </cell>
          <cell r="F1138" t="str">
            <v>m³</v>
          </cell>
          <cell r="G1138">
            <v>2.21</v>
          </cell>
          <cell r="H1138" t="str">
            <v>-</v>
          </cell>
        </row>
        <row r="1139">
          <cell r="A1139" t="str">
            <v>PIU0005</v>
          </cell>
          <cell r="B1139" t="str">
            <v>COMPOSIÇÃO</v>
          </cell>
          <cell r="C1139" t="str">
            <v>AGESUL</v>
          </cell>
          <cell r="D1139" t="str">
            <v>Elaboração de projeto executivo estrutural e hidráulico de dispositivos de controle de velocidade e vazão de águas pluviais em concreto ou similar, até 50 m³</v>
          </cell>
          <cell r="E1139">
            <v>0</v>
          </cell>
          <cell r="F1139" t="str">
            <v>m³</v>
          </cell>
          <cell r="G1139">
            <v>190.15</v>
          </cell>
          <cell r="H1139" t="str">
            <v>-</v>
          </cell>
        </row>
        <row r="1140">
          <cell r="A1140" t="str">
            <v>PIU0009</v>
          </cell>
          <cell r="B1140" t="str">
            <v>COMPOSIÇÃO</v>
          </cell>
          <cell r="C1140" t="str">
            <v>AGESUL</v>
          </cell>
          <cell r="D1140" t="str">
            <v>Elaboração de projeto estrutural de estabilização de taludes através de muro de arrimo de peso e/ou gabião. Exclusive serviços topográficos e geotécnicos</v>
          </cell>
          <cell r="E1140">
            <v>0</v>
          </cell>
          <cell r="F1140" t="str">
            <v>m²</v>
          </cell>
          <cell r="G1140">
            <v>12.28</v>
          </cell>
          <cell r="H1140" t="str">
            <v>-</v>
          </cell>
        </row>
        <row r="1141">
          <cell r="A1141" t="str">
            <v>PIU0010</v>
          </cell>
          <cell r="B1141" t="str">
            <v>COMPOSIÇÃO</v>
          </cell>
          <cell r="C1141" t="str">
            <v>AGESUL</v>
          </cell>
          <cell r="D1141" t="str">
            <v>Elaboração de projeto estrutural de estabilização de taludes através de muro em concreto armado e/ou cortina atirantada. Exclusive serviços topográficos e geotécnicos</v>
          </cell>
          <cell r="E1141">
            <v>0</v>
          </cell>
          <cell r="F1141" t="str">
            <v>m²</v>
          </cell>
          <cell r="G1141">
            <v>39.31</v>
          </cell>
          <cell r="H1141" t="str">
            <v>-</v>
          </cell>
        </row>
        <row r="1142">
          <cell r="A1142" t="str">
            <v>PIU0013</v>
          </cell>
          <cell r="B1142" t="str">
            <v>COMPOSIÇÃO</v>
          </cell>
          <cell r="C1142" t="str">
            <v>AGESUL</v>
          </cell>
          <cell r="D1142" t="str">
            <v>Elaboração de estudos e projetos executivo de adequação de capacidade hidráulica e estrutural de bueiro rodoviário. Exclusive serviços topográficos e geotécnicos</v>
          </cell>
          <cell r="E1142">
            <v>0</v>
          </cell>
          <cell r="F1142" t="str">
            <v xml:space="preserve">un </v>
          </cell>
          <cell r="G1142">
            <v>6637.32</v>
          </cell>
          <cell r="H1142" t="str">
            <v>-</v>
          </cell>
        </row>
        <row r="1143">
          <cell r="A1143" t="str">
            <v>ORINF</v>
          </cell>
          <cell r="B1143" t="str">
            <v>COMPOSIÇÃO</v>
          </cell>
          <cell r="C1143" t="str">
            <v>AGESUL</v>
          </cell>
          <cell r="D1143" t="str">
            <v>Orçamento de obras, cronograma, composições, cotações e plano de execução das obras</v>
          </cell>
          <cell r="E1143">
            <v>0</v>
          </cell>
          <cell r="F1143" t="str">
            <v>km</v>
          </cell>
          <cell r="G1143">
            <v>1292.8900000000001</v>
          </cell>
          <cell r="H1143" t="str">
            <v>-</v>
          </cell>
        </row>
        <row r="1144">
          <cell r="A1144" t="str">
            <v>LI-AMB</v>
          </cell>
          <cell r="B1144" t="str">
            <v>COMPOSIÇÃO</v>
          </cell>
          <cell r="C1144" t="str">
            <v>AGESUL</v>
          </cell>
          <cell r="D1144" t="str">
            <v>Licenciamento Ambiental para projeto de lançamento de drenagem de águas pluviais</v>
          </cell>
          <cell r="E1144">
            <v>0</v>
          </cell>
          <cell r="F1144" t="str">
            <v xml:space="preserve">un </v>
          </cell>
          <cell r="G1144">
            <v>26144.77</v>
          </cell>
          <cell r="H1144" t="str">
            <v>-</v>
          </cell>
        </row>
        <row r="1145">
          <cell r="A1145" t="str">
            <v>PIU0007</v>
          </cell>
          <cell r="B1145" t="str">
            <v>COMPOSIÇÃO</v>
          </cell>
          <cell r="C1145" t="str">
            <v>AGESUL</v>
          </cell>
          <cell r="D1145" t="str">
            <v>Elaboração de projeto executivo de combate e controle de erosão, compreendendo terraplenagem, geometria e drenagem. Exclusive projeto estrutural</v>
          </cell>
          <cell r="E1145">
            <v>0</v>
          </cell>
          <cell r="F1145" t="str">
            <v>m</v>
          </cell>
          <cell r="G1145" t="str">
            <v>descontinuada</v>
          </cell>
          <cell r="H1145" t="str">
            <v>-</v>
          </cell>
        </row>
        <row r="1146">
          <cell r="A1146" t="str">
            <v>PIU0012</v>
          </cell>
          <cell r="B1146" t="str">
            <v>COMPOSIÇÃO</v>
          </cell>
          <cell r="C1146" t="str">
            <v>AGESUL</v>
          </cell>
          <cell r="D1146" t="str">
            <v>Elaboração de projeto básico de controle de erosão, compreendendo concepção de obras estruturantes, terraplenagem, geometria e drenagem. Exclusive projeto estrutural</v>
          </cell>
          <cell r="E1146">
            <v>0</v>
          </cell>
          <cell r="F1146" t="str">
            <v>m</v>
          </cell>
          <cell r="G1146" t="str">
            <v>descontinuada</v>
          </cell>
          <cell r="H1146" t="str">
            <v>-</v>
          </cell>
        </row>
        <row r="1147">
          <cell r="A1147" t="str">
            <v>PIU0002</v>
          </cell>
          <cell r="B1147" t="str">
            <v>COMPOSIÇÃO</v>
          </cell>
          <cell r="C1147" t="str">
            <v>AGESUL</v>
          </cell>
          <cell r="D1147" t="str">
            <v>Elaboração de projeto executivo de drenagem em área de inundação</v>
          </cell>
          <cell r="E1147">
            <v>0</v>
          </cell>
          <cell r="F1147" t="str">
            <v>ha</v>
          </cell>
          <cell r="G1147" t="str">
            <v>descontinuada</v>
          </cell>
          <cell r="H1147" t="str">
            <v>-</v>
          </cell>
        </row>
        <row r="1163">
          <cell r="D1163"/>
          <cell r="E1163"/>
          <cell r="F1163"/>
          <cell r="G1163"/>
        </row>
        <row r="1164">
          <cell r="D1164"/>
          <cell r="E1164"/>
          <cell r="F1164"/>
          <cell r="G1164"/>
        </row>
        <row r="1165">
          <cell r="D1165"/>
          <cell r="E1165"/>
          <cell r="F1165"/>
          <cell r="G1165"/>
        </row>
        <row r="1166">
          <cell r="D1166"/>
          <cell r="E1166"/>
          <cell r="F1166"/>
          <cell r="G1166"/>
        </row>
        <row r="1167">
          <cell r="D1167"/>
          <cell r="E1167"/>
          <cell r="F1167"/>
          <cell r="G1167"/>
        </row>
        <row r="1168">
          <cell r="D1168"/>
          <cell r="E1168"/>
          <cell r="F1168"/>
          <cell r="G1168"/>
        </row>
        <row r="1169">
          <cell r="D1169"/>
          <cell r="E1169"/>
          <cell r="F1169"/>
          <cell r="G1169"/>
        </row>
        <row r="1170">
          <cell r="D1170"/>
          <cell r="E1170"/>
          <cell r="F1170"/>
          <cell r="G1170"/>
        </row>
        <row r="1171">
          <cell r="D1171"/>
          <cell r="E1171"/>
          <cell r="F1171"/>
          <cell r="G1171"/>
        </row>
        <row r="1172">
          <cell r="D1172"/>
          <cell r="E1172"/>
          <cell r="F1172"/>
          <cell r="G1172"/>
        </row>
        <row r="1173">
          <cell r="D1173"/>
          <cell r="E1173"/>
          <cell r="F1173"/>
          <cell r="G1173"/>
        </row>
        <row r="1174">
          <cell r="D1174"/>
          <cell r="E1174"/>
          <cell r="F1174"/>
          <cell r="G1174"/>
        </row>
        <row r="1175">
          <cell r="D1175"/>
          <cell r="E1175"/>
          <cell r="F1175"/>
          <cell r="G1175"/>
        </row>
        <row r="1176">
          <cell r="D1176"/>
          <cell r="E1176"/>
          <cell r="F1176"/>
          <cell r="G1176"/>
        </row>
        <row r="1177">
          <cell r="D1177"/>
          <cell r="E1177"/>
          <cell r="F1177"/>
          <cell r="G1177"/>
        </row>
        <row r="1178">
          <cell r="D1178"/>
          <cell r="E1178"/>
          <cell r="F1178"/>
          <cell r="G1178"/>
        </row>
        <row r="1179">
          <cell r="D1179"/>
          <cell r="E1179"/>
          <cell r="F1179"/>
          <cell r="G1179"/>
        </row>
        <row r="1180">
          <cell r="D1180"/>
          <cell r="E1180"/>
          <cell r="F1180"/>
          <cell r="G1180"/>
        </row>
        <row r="1181">
          <cell r="D1181"/>
          <cell r="E1181"/>
          <cell r="F1181"/>
          <cell r="G1181"/>
        </row>
        <row r="1182">
          <cell r="D1182"/>
          <cell r="E1182"/>
          <cell r="F1182"/>
          <cell r="G1182"/>
        </row>
        <row r="1183">
          <cell r="D1183"/>
          <cell r="E1183"/>
          <cell r="F1183"/>
          <cell r="G1183"/>
        </row>
        <row r="1184">
          <cell r="D1184"/>
          <cell r="E1184"/>
          <cell r="F1184"/>
          <cell r="G1184"/>
        </row>
        <row r="1185">
          <cell r="D1185"/>
          <cell r="E1185"/>
          <cell r="F1185"/>
          <cell r="G1185"/>
        </row>
        <row r="1186">
          <cell r="D1186"/>
          <cell r="E1186"/>
          <cell r="F1186"/>
          <cell r="G1186"/>
        </row>
        <row r="1187">
          <cell r="D1187"/>
          <cell r="E1187"/>
          <cell r="F1187"/>
          <cell r="G1187"/>
        </row>
        <row r="1188">
          <cell r="D1188"/>
          <cell r="E1188"/>
          <cell r="F1188"/>
          <cell r="G1188"/>
        </row>
        <row r="1189">
          <cell r="D1189"/>
          <cell r="E1189"/>
          <cell r="F1189"/>
          <cell r="G1189"/>
        </row>
        <row r="1190">
          <cell r="D1190"/>
          <cell r="E1190"/>
          <cell r="F1190"/>
          <cell r="G1190"/>
        </row>
        <row r="1191">
          <cell r="D1191"/>
          <cell r="E1191"/>
          <cell r="F1191"/>
          <cell r="G1191"/>
        </row>
        <row r="1192">
          <cell r="D1192"/>
          <cell r="E1192"/>
          <cell r="F1192"/>
          <cell r="G1192"/>
        </row>
        <row r="1193">
          <cell r="D1193"/>
          <cell r="E1193"/>
          <cell r="F1193"/>
          <cell r="G1193"/>
        </row>
        <row r="1194">
          <cell r="D1194"/>
          <cell r="E1194"/>
          <cell r="F1194"/>
          <cell r="G1194"/>
        </row>
        <row r="1195">
          <cell r="D1195"/>
          <cell r="E1195"/>
          <cell r="F1195"/>
          <cell r="G1195"/>
        </row>
        <row r="1196">
          <cell r="D1196"/>
          <cell r="E1196"/>
          <cell r="F1196"/>
          <cell r="G1196"/>
        </row>
        <row r="1197">
          <cell r="D1197"/>
          <cell r="E1197"/>
          <cell r="F1197"/>
          <cell r="G1197"/>
        </row>
        <row r="1198">
          <cell r="D1198"/>
          <cell r="E1198"/>
          <cell r="F1198"/>
          <cell r="G1198"/>
        </row>
        <row r="1199">
          <cell r="D1199"/>
          <cell r="E1199"/>
          <cell r="F1199"/>
          <cell r="G1199"/>
        </row>
        <row r="1200">
          <cell r="D1200"/>
          <cell r="E1200"/>
          <cell r="F1200"/>
          <cell r="G1200"/>
        </row>
        <row r="1201">
          <cell r="D1201"/>
          <cell r="E1201"/>
          <cell r="F1201"/>
          <cell r="G1201"/>
        </row>
        <row r="1202">
          <cell r="D1202"/>
          <cell r="E1202"/>
          <cell r="F1202"/>
          <cell r="G1202"/>
        </row>
        <row r="1203">
          <cell r="D1203"/>
          <cell r="E1203"/>
          <cell r="F1203"/>
          <cell r="G1203"/>
        </row>
        <row r="1204">
          <cell r="D1204"/>
          <cell r="E1204"/>
          <cell r="F1204"/>
          <cell r="G1204"/>
        </row>
        <row r="1205">
          <cell r="D1205"/>
          <cell r="E1205"/>
          <cell r="F1205"/>
          <cell r="G1205"/>
        </row>
        <row r="1206">
          <cell r="D1206"/>
          <cell r="E1206"/>
          <cell r="F1206"/>
          <cell r="G1206"/>
        </row>
        <row r="1207">
          <cell r="D1207"/>
          <cell r="E1207"/>
          <cell r="F1207"/>
          <cell r="G1207"/>
        </row>
        <row r="1208">
          <cell r="D1208"/>
          <cell r="E1208"/>
          <cell r="F1208"/>
          <cell r="G1208"/>
        </row>
        <row r="1209">
          <cell r="D1209"/>
          <cell r="E1209"/>
          <cell r="F1209"/>
          <cell r="G1209"/>
        </row>
        <row r="1210">
          <cell r="D1210"/>
          <cell r="E1210"/>
          <cell r="F1210"/>
          <cell r="G1210"/>
        </row>
        <row r="1211">
          <cell r="D1211"/>
          <cell r="E1211"/>
          <cell r="F1211"/>
          <cell r="G1211"/>
        </row>
        <row r="1212">
          <cell r="D1212"/>
          <cell r="E1212"/>
          <cell r="F1212"/>
          <cell r="G1212"/>
        </row>
        <row r="1213">
          <cell r="D1213"/>
          <cell r="E1213"/>
          <cell r="F1213"/>
          <cell r="G1213"/>
        </row>
        <row r="1214">
          <cell r="D1214"/>
          <cell r="E1214"/>
          <cell r="F1214"/>
          <cell r="G1214"/>
        </row>
        <row r="1215">
          <cell r="D1215"/>
          <cell r="E1215"/>
          <cell r="F1215"/>
          <cell r="G1215"/>
        </row>
        <row r="1216">
          <cell r="D1216"/>
          <cell r="E1216"/>
          <cell r="F1216"/>
          <cell r="G1216"/>
        </row>
        <row r="1217">
          <cell r="D1217"/>
          <cell r="E1217"/>
          <cell r="F1217"/>
          <cell r="G1217"/>
        </row>
        <row r="1218">
          <cell r="D1218"/>
          <cell r="E1218"/>
          <cell r="F1218"/>
          <cell r="G1218"/>
        </row>
        <row r="1219">
          <cell r="D1219"/>
          <cell r="E1219"/>
          <cell r="F1219"/>
          <cell r="G1219"/>
        </row>
        <row r="1220">
          <cell r="D1220"/>
          <cell r="E1220"/>
          <cell r="F1220"/>
          <cell r="G1220"/>
        </row>
        <row r="1221">
          <cell r="D1221"/>
          <cell r="E1221"/>
          <cell r="F1221"/>
          <cell r="G1221"/>
        </row>
        <row r="1222">
          <cell r="D1222"/>
          <cell r="E1222"/>
          <cell r="F1222"/>
          <cell r="G1222"/>
        </row>
        <row r="1223">
          <cell r="D1223"/>
          <cell r="E1223"/>
          <cell r="F1223"/>
          <cell r="G1223"/>
        </row>
        <row r="1224">
          <cell r="D1224"/>
          <cell r="E1224"/>
          <cell r="F1224"/>
          <cell r="G1224"/>
        </row>
        <row r="1225">
          <cell r="D1225"/>
          <cell r="E1225"/>
          <cell r="F1225"/>
          <cell r="G1225"/>
        </row>
        <row r="1226">
          <cell r="D1226"/>
          <cell r="E1226"/>
          <cell r="F1226"/>
          <cell r="G1226"/>
        </row>
        <row r="1227">
          <cell r="D1227"/>
          <cell r="E1227"/>
          <cell r="F1227"/>
          <cell r="G1227"/>
        </row>
        <row r="1228">
          <cell r="D1228"/>
          <cell r="E1228"/>
          <cell r="F1228"/>
          <cell r="G1228"/>
        </row>
        <row r="1229">
          <cell r="D1229"/>
          <cell r="E1229"/>
          <cell r="F1229"/>
          <cell r="G1229"/>
        </row>
        <row r="1230">
          <cell r="D1230"/>
          <cell r="E1230"/>
          <cell r="F1230"/>
          <cell r="G1230"/>
        </row>
        <row r="1231">
          <cell r="D1231"/>
          <cell r="E1231"/>
          <cell r="F1231"/>
          <cell r="G1231"/>
        </row>
        <row r="1232">
          <cell r="D1232"/>
          <cell r="E1232"/>
          <cell r="F1232"/>
          <cell r="G1232"/>
        </row>
        <row r="1233">
          <cell r="D1233"/>
          <cell r="E1233"/>
          <cell r="F1233"/>
          <cell r="G1233"/>
        </row>
        <row r="1234">
          <cell r="D1234"/>
          <cell r="E1234"/>
          <cell r="F1234"/>
          <cell r="G1234"/>
        </row>
        <row r="1235">
          <cell r="D1235"/>
          <cell r="E1235"/>
          <cell r="F1235"/>
          <cell r="G1235"/>
        </row>
        <row r="1236">
          <cell r="D1236"/>
          <cell r="E1236"/>
          <cell r="F1236"/>
          <cell r="G1236"/>
        </row>
        <row r="1237">
          <cell r="D1237"/>
          <cell r="E1237"/>
          <cell r="F1237"/>
          <cell r="G1237"/>
        </row>
        <row r="1238">
          <cell r="D1238"/>
          <cell r="E1238"/>
          <cell r="F1238"/>
          <cell r="G1238"/>
        </row>
        <row r="1239">
          <cell r="D1239"/>
          <cell r="E1239"/>
          <cell r="F1239"/>
          <cell r="G1239"/>
        </row>
        <row r="1240">
          <cell r="D1240"/>
          <cell r="E1240"/>
          <cell r="F1240"/>
          <cell r="G1240"/>
        </row>
        <row r="1241">
          <cell r="D1241"/>
          <cell r="E1241"/>
          <cell r="F1241"/>
          <cell r="G1241"/>
        </row>
        <row r="1242">
          <cell r="D1242"/>
          <cell r="E1242"/>
          <cell r="F1242"/>
          <cell r="G1242"/>
        </row>
        <row r="1243">
          <cell r="D1243"/>
          <cell r="E1243"/>
          <cell r="F1243"/>
          <cell r="G1243"/>
        </row>
        <row r="1244">
          <cell r="D1244"/>
          <cell r="E1244"/>
          <cell r="F1244"/>
          <cell r="G1244"/>
        </row>
        <row r="1245">
          <cell r="D1245"/>
          <cell r="E1245"/>
          <cell r="F1245"/>
          <cell r="G1245"/>
        </row>
        <row r="1246">
          <cell r="D1246"/>
          <cell r="E1246"/>
          <cell r="F1246"/>
          <cell r="G1246"/>
        </row>
        <row r="1247">
          <cell r="D1247"/>
          <cell r="E1247"/>
          <cell r="F1247"/>
          <cell r="G1247"/>
        </row>
        <row r="1248">
          <cell r="D1248"/>
          <cell r="E1248"/>
          <cell r="F1248"/>
          <cell r="G1248"/>
        </row>
        <row r="1249">
          <cell r="D1249"/>
          <cell r="E1249"/>
          <cell r="F1249"/>
          <cell r="G1249"/>
        </row>
        <row r="1250">
          <cell r="D1250"/>
          <cell r="E1250"/>
          <cell r="F1250"/>
          <cell r="G1250"/>
        </row>
        <row r="1251">
          <cell r="D1251"/>
          <cell r="E1251"/>
          <cell r="F1251"/>
          <cell r="G1251"/>
        </row>
        <row r="1252">
          <cell r="D1252"/>
          <cell r="E1252"/>
          <cell r="F1252"/>
          <cell r="G1252"/>
        </row>
        <row r="1253">
          <cell r="D1253"/>
          <cell r="E1253"/>
          <cell r="F1253"/>
          <cell r="G1253"/>
        </row>
        <row r="1254">
          <cell r="D1254"/>
          <cell r="E1254"/>
          <cell r="F1254"/>
          <cell r="G1254"/>
        </row>
        <row r="1255">
          <cell r="D1255"/>
          <cell r="E1255"/>
          <cell r="F1255"/>
          <cell r="G1255"/>
        </row>
        <row r="1256">
          <cell r="D1256"/>
          <cell r="E1256"/>
          <cell r="F1256"/>
          <cell r="G1256"/>
        </row>
        <row r="1257">
          <cell r="D1257"/>
          <cell r="E1257"/>
          <cell r="F1257"/>
          <cell r="G1257"/>
        </row>
        <row r="1258">
          <cell r="D1258"/>
          <cell r="E1258"/>
          <cell r="F1258"/>
          <cell r="G1258"/>
        </row>
        <row r="1259">
          <cell r="D1259"/>
          <cell r="E1259"/>
          <cell r="F1259"/>
          <cell r="G1259"/>
        </row>
        <row r="1260">
          <cell r="D1260"/>
          <cell r="E1260"/>
          <cell r="F1260"/>
          <cell r="G1260"/>
        </row>
        <row r="1261">
          <cell r="D1261"/>
          <cell r="E1261"/>
          <cell r="F1261"/>
          <cell r="G1261"/>
        </row>
        <row r="1262">
          <cell r="D1262"/>
          <cell r="E1262"/>
          <cell r="F1262"/>
          <cell r="G1262"/>
        </row>
        <row r="1263">
          <cell r="D1263"/>
          <cell r="E1263"/>
          <cell r="F1263"/>
          <cell r="G1263"/>
        </row>
        <row r="1264">
          <cell r="D1264"/>
          <cell r="E1264"/>
          <cell r="F1264"/>
          <cell r="G1264"/>
        </row>
        <row r="1265">
          <cell r="D1265"/>
          <cell r="E1265"/>
          <cell r="F1265"/>
          <cell r="G1265"/>
        </row>
        <row r="1266">
          <cell r="D1266"/>
          <cell r="E1266"/>
          <cell r="F1266"/>
          <cell r="G1266"/>
        </row>
        <row r="1267">
          <cell r="D1267"/>
          <cell r="E1267"/>
          <cell r="F1267"/>
          <cell r="G1267"/>
        </row>
        <row r="1268">
          <cell r="D1268"/>
          <cell r="E1268"/>
          <cell r="F1268"/>
          <cell r="G1268"/>
        </row>
        <row r="1269">
          <cell r="D1269"/>
          <cell r="E1269"/>
          <cell r="F1269"/>
          <cell r="G1269"/>
        </row>
        <row r="1270">
          <cell r="D1270"/>
          <cell r="E1270"/>
          <cell r="F1270"/>
          <cell r="G1270"/>
        </row>
        <row r="1271">
          <cell r="D1271"/>
          <cell r="E1271"/>
          <cell r="F1271"/>
          <cell r="G1271"/>
        </row>
        <row r="1272">
          <cell r="D1272"/>
          <cell r="E1272"/>
          <cell r="F1272"/>
          <cell r="G1272"/>
        </row>
        <row r="1273">
          <cell r="D1273"/>
          <cell r="E1273"/>
          <cell r="F1273"/>
          <cell r="G1273"/>
        </row>
        <row r="1274">
          <cell r="D1274"/>
          <cell r="E1274"/>
          <cell r="F1274"/>
          <cell r="G1274"/>
        </row>
        <row r="1275">
          <cell r="D1275"/>
          <cell r="E1275"/>
          <cell r="F1275"/>
          <cell r="G1275"/>
        </row>
        <row r="1276">
          <cell r="D1276"/>
          <cell r="E1276"/>
          <cell r="F1276"/>
          <cell r="G1276"/>
        </row>
        <row r="1277">
          <cell r="D1277"/>
          <cell r="E1277"/>
          <cell r="F1277"/>
          <cell r="G1277"/>
        </row>
        <row r="1278">
          <cell r="D1278"/>
          <cell r="E1278"/>
          <cell r="F1278"/>
          <cell r="G1278"/>
        </row>
        <row r="1279">
          <cell r="D1279"/>
          <cell r="E1279"/>
          <cell r="F1279"/>
          <cell r="G1279"/>
        </row>
        <row r="1280">
          <cell r="D1280"/>
          <cell r="E1280"/>
          <cell r="F1280"/>
          <cell r="G1280"/>
        </row>
        <row r="1281">
          <cell r="D1281"/>
          <cell r="E1281"/>
          <cell r="F1281"/>
          <cell r="G1281"/>
        </row>
        <row r="1282">
          <cell r="D1282"/>
          <cell r="E1282"/>
          <cell r="F1282"/>
          <cell r="G1282"/>
        </row>
        <row r="1283">
          <cell r="D1283"/>
          <cell r="E1283"/>
          <cell r="F1283"/>
          <cell r="G1283"/>
        </row>
        <row r="1284">
          <cell r="D1284"/>
          <cell r="E1284"/>
          <cell r="F1284"/>
          <cell r="G1284"/>
        </row>
        <row r="1285">
          <cell r="D1285"/>
          <cell r="E1285"/>
          <cell r="F1285"/>
          <cell r="G1285"/>
        </row>
        <row r="1286">
          <cell r="D1286"/>
          <cell r="E1286"/>
          <cell r="F1286"/>
          <cell r="G1286"/>
        </row>
        <row r="1287">
          <cell r="D1287"/>
          <cell r="E1287"/>
          <cell r="F1287"/>
          <cell r="G1287"/>
        </row>
        <row r="1288">
          <cell r="D1288"/>
          <cell r="E1288"/>
          <cell r="F1288"/>
          <cell r="G1288"/>
        </row>
        <row r="1289">
          <cell r="D1289"/>
          <cell r="E1289"/>
          <cell r="F1289"/>
          <cell r="G1289"/>
        </row>
        <row r="1290">
          <cell r="D1290"/>
          <cell r="E1290"/>
          <cell r="F1290"/>
          <cell r="G1290"/>
        </row>
        <row r="1291">
          <cell r="D1291"/>
          <cell r="E1291"/>
          <cell r="F1291"/>
          <cell r="G1291"/>
        </row>
        <row r="1292">
          <cell r="D1292"/>
          <cell r="E1292"/>
          <cell r="F1292"/>
          <cell r="G1292"/>
        </row>
        <row r="1293">
          <cell r="D1293"/>
          <cell r="E1293"/>
          <cell r="F1293"/>
          <cell r="G1293"/>
        </row>
        <row r="1294">
          <cell r="D1294"/>
          <cell r="E1294"/>
          <cell r="F1294"/>
          <cell r="G1294"/>
        </row>
        <row r="1295">
          <cell r="D1295"/>
          <cell r="E1295"/>
          <cell r="F1295"/>
          <cell r="G1295"/>
        </row>
        <row r="1296">
          <cell r="D1296"/>
          <cell r="E1296"/>
          <cell r="F1296"/>
          <cell r="G1296"/>
        </row>
        <row r="1297">
          <cell r="D1297"/>
          <cell r="E1297"/>
          <cell r="F1297"/>
          <cell r="G1297"/>
        </row>
        <row r="1298">
          <cell r="D1298"/>
          <cell r="E1298"/>
          <cell r="F1298"/>
          <cell r="G1298"/>
        </row>
        <row r="1299">
          <cell r="D1299"/>
          <cell r="E1299"/>
          <cell r="F1299"/>
          <cell r="G1299"/>
        </row>
        <row r="1300">
          <cell r="D1300"/>
          <cell r="E1300"/>
          <cell r="F1300"/>
          <cell r="G1300"/>
        </row>
        <row r="1301">
          <cell r="D1301"/>
          <cell r="E1301"/>
          <cell r="F1301"/>
          <cell r="G1301"/>
        </row>
        <row r="1302">
          <cell r="D1302"/>
          <cell r="E1302"/>
          <cell r="F1302"/>
          <cell r="G1302"/>
        </row>
        <row r="1303">
          <cell r="D1303"/>
          <cell r="E1303"/>
          <cell r="F1303"/>
          <cell r="G1303"/>
        </row>
        <row r="1304">
          <cell r="D1304"/>
          <cell r="E1304"/>
          <cell r="F1304"/>
          <cell r="G1304"/>
        </row>
        <row r="1305">
          <cell r="D1305"/>
          <cell r="E1305"/>
          <cell r="F1305"/>
          <cell r="G1305"/>
        </row>
        <row r="1306">
          <cell r="D1306"/>
          <cell r="E1306"/>
          <cell r="F1306"/>
          <cell r="G1306"/>
        </row>
        <row r="1307">
          <cell r="D1307"/>
          <cell r="E1307"/>
          <cell r="F1307"/>
          <cell r="G1307"/>
        </row>
        <row r="1308">
          <cell r="D1308"/>
          <cell r="E1308"/>
          <cell r="F1308"/>
          <cell r="G1308"/>
        </row>
        <row r="1309">
          <cell r="D1309"/>
          <cell r="E1309"/>
          <cell r="F1309"/>
          <cell r="G1309"/>
        </row>
        <row r="1310">
          <cell r="D1310"/>
          <cell r="E1310"/>
          <cell r="F1310"/>
          <cell r="G1310"/>
        </row>
        <row r="1311">
          <cell r="D1311"/>
          <cell r="E1311"/>
          <cell r="F1311"/>
          <cell r="G1311"/>
        </row>
        <row r="1312">
          <cell r="D1312"/>
          <cell r="E1312"/>
          <cell r="F1312"/>
          <cell r="G1312"/>
        </row>
        <row r="1313">
          <cell r="D1313"/>
          <cell r="E1313"/>
          <cell r="F1313"/>
          <cell r="G1313"/>
        </row>
        <row r="1314">
          <cell r="D1314"/>
          <cell r="E1314"/>
          <cell r="F1314"/>
          <cell r="G1314"/>
        </row>
        <row r="1315">
          <cell r="D1315"/>
          <cell r="E1315"/>
          <cell r="F1315"/>
          <cell r="G1315"/>
        </row>
        <row r="1316">
          <cell r="D1316"/>
          <cell r="E1316"/>
          <cell r="F1316"/>
          <cell r="G1316"/>
        </row>
        <row r="1317">
          <cell r="D1317"/>
          <cell r="E1317"/>
          <cell r="F1317"/>
          <cell r="G1317"/>
        </row>
        <row r="1318">
          <cell r="D1318"/>
          <cell r="E1318"/>
          <cell r="F1318"/>
          <cell r="G1318"/>
        </row>
        <row r="1319">
          <cell r="D1319"/>
          <cell r="E1319"/>
          <cell r="F1319"/>
          <cell r="G1319"/>
        </row>
        <row r="1320">
          <cell r="D1320"/>
          <cell r="E1320"/>
          <cell r="F1320"/>
          <cell r="G1320"/>
        </row>
        <row r="1321">
          <cell r="D1321"/>
          <cell r="E1321"/>
          <cell r="F1321"/>
          <cell r="G1321"/>
        </row>
        <row r="1322">
          <cell r="D1322"/>
          <cell r="E1322"/>
          <cell r="F1322"/>
          <cell r="G1322"/>
        </row>
        <row r="1323">
          <cell r="D1323"/>
          <cell r="E1323"/>
          <cell r="F1323"/>
          <cell r="G1323"/>
        </row>
        <row r="1324">
          <cell r="D1324"/>
          <cell r="E1324"/>
          <cell r="F1324"/>
          <cell r="G1324"/>
        </row>
        <row r="1325">
          <cell r="D1325"/>
          <cell r="E1325"/>
          <cell r="F1325"/>
          <cell r="G1325"/>
        </row>
        <row r="1326">
          <cell r="D1326"/>
          <cell r="E1326"/>
          <cell r="F1326"/>
          <cell r="G1326"/>
        </row>
        <row r="1327">
          <cell r="D1327"/>
          <cell r="E1327"/>
          <cell r="F1327"/>
          <cell r="G1327"/>
        </row>
        <row r="1328">
          <cell r="D1328"/>
          <cell r="E1328"/>
          <cell r="F1328"/>
          <cell r="G1328"/>
        </row>
        <row r="1329">
          <cell r="D1329"/>
          <cell r="E1329"/>
          <cell r="F1329"/>
          <cell r="G1329"/>
        </row>
        <row r="1330">
          <cell r="D1330"/>
          <cell r="E1330"/>
          <cell r="F1330"/>
          <cell r="G1330"/>
        </row>
        <row r="1331">
          <cell r="D1331"/>
          <cell r="E1331"/>
          <cell r="F1331"/>
          <cell r="G1331"/>
        </row>
        <row r="1332">
          <cell r="D1332"/>
          <cell r="E1332"/>
          <cell r="F1332"/>
          <cell r="G1332"/>
        </row>
        <row r="1333">
          <cell r="D1333"/>
          <cell r="E1333"/>
          <cell r="F1333"/>
          <cell r="G1333"/>
        </row>
        <row r="1334">
          <cell r="D1334"/>
          <cell r="E1334"/>
          <cell r="F1334"/>
          <cell r="G1334"/>
        </row>
        <row r="1335">
          <cell r="D1335"/>
          <cell r="E1335"/>
          <cell r="F1335"/>
          <cell r="G1335"/>
        </row>
        <row r="1336">
          <cell r="D1336"/>
          <cell r="E1336"/>
          <cell r="F1336"/>
          <cell r="G1336"/>
        </row>
        <row r="1337">
          <cell r="D1337"/>
          <cell r="E1337"/>
          <cell r="F1337"/>
          <cell r="G1337"/>
        </row>
      </sheetData>
      <sheetData sheetId="1"/>
      <sheetData sheetId="2"/>
      <sheetData sheetId="3"/>
      <sheetData sheetId="4">
        <row r="1">
          <cell r="C1" t="str">
            <v>PCI.817.01 - CUSTO DE COMPOSIÇÕES - SINTÉTICO                                               DATA DE EMISSÃO: 14/09/2023 23:35:54            DATA DE RT: 14/09/2023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>
        <row r="44">
          <cell r="G44">
            <v>0.51029999999999998</v>
          </cell>
        </row>
        <row r="45">
          <cell r="G45">
            <v>2.3508800000000001</v>
          </cell>
        </row>
        <row r="47">
          <cell r="G47">
            <v>176.22471999999999</v>
          </cell>
        </row>
        <row r="48">
          <cell r="G48">
            <v>63.737760000000002</v>
          </cell>
        </row>
        <row r="49">
          <cell r="G49">
            <v>41.182160000000003</v>
          </cell>
        </row>
        <row r="50">
          <cell r="G50">
            <v>0.53412599999999999</v>
          </cell>
        </row>
        <row r="51">
          <cell r="G51">
            <v>13.464</v>
          </cell>
        </row>
        <row r="52">
          <cell r="G52">
            <v>15.84</v>
          </cell>
        </row>
        <row r="53">
          <cell r="G53">
            <v>5.0244</v>
          </cell>
        </row>
        <row r="54">
          <cell r="G54">
            <v>2.9159999999999999</v>
          </cell>
        </row>
        <row r="55">
          <cell r="G55">
            <v>8.8606700000000007</v>
          </cell>
        </row>
        <row r="56">
          <cell r="G56">
            <v>24.563600000000001</v>
          </cell>
        </row>
        <row r="57">
          <cell r="G57">
            <v>0.368454</v>
          </cell>
        </row>
      </sheetData>
      <sheetData sheetId="126">
        <row r="44">
          <cell r="G44">
            <v>0.64259999999999995</v>
          </cell>
        </row>
        <row r="45">
          <cell r="G45">
            <v>2.9756800000000001</v>
          </cell>
        </row>
        <row r="47">
          <cell r="G47">
            <v>265.35431999999997</v>
          </cell>
        </row>
        <row r="48">
          <cell r="G48">
            <v>95.974559999999997</v>
          </cell>
        </row>
        <row r="49">
          <cell r="G49">
            <v>62.010959999999997</v>
          </cell>
        </row>
        <row r="50">
          <cell r="G50">
            <v>0.80887799999999999</v>
          </cell>
        </row>
        <row r="51">
          <cell r="G51">
            <v>20.504000000000001</v>
          </cell>
        </row>
        <row r="52">
          <cell r="G52">
            <v>18.64</v>
          </cell>
        </row>
        <row r="53">
          <cell r="G53">
            <v>6.5784000000000002</v>
          </cell>
        </row>
        <row r="54">
          <cell r="G54">
            <v>3.294</v>
          </cell>
        </row>
        <row r="55">
          <cell r="G55">
            <v>11.426408</v>
          </cell>
        </row>
        <row r="56">
          <cell r="G56">
            <v>31.479600000000001</v>
          </cell>
        </row>
        <row r="57">
          <cell r="G57">
            <v>0.472194</v>
          </cell>
        </row>
      </sheetData>
      <sheetData sheetId="127">
        <row r="44">
          <cell r="G44">
            <v>0.79379999999999995</v>
          </cell>
        </row>
        <row r="45">
          <cell r="G45">
            <v>3.6668799999999999</v>
          </cell>
        </row>
        <row r="47">
          <cell r="G47">
            <v>307.98151999999999</v>
          </cell>
        </row>
        <row r="48">
          <cell r="G48">
            <v>111.39216</v>
          </cell>
        </row>
        <row r="49">
          <cell r="G49">
            <v>71.972560000000001</v>
          </cell>
        </row>
        <row r="50">
          <cell r="G50">
            <v>0.94334200000000001</v>
          </cell>
        </row>
        <row r="51">
          <cell r="G51">
            <v>24.024000000000001</v>
          </cell>
        </row>
        <row r="52">
          <cell r="G52">
            <v>21.84</v>
          </cell>
        </row>
        <row r="53">
          <cell r="G53">
            <v>8.3544</v>
          </cell>
        </row>
        <row r="54">
          <cell r="G54">
            <v>3.726</v>
          </cell>
        </row>
        <row r="55">
          <cell r="G55">
            <v>12.118679999999999</v>
          </cell>
        </row>
        <row r="56">
          <cell r="G56">
            <v>39.383600000000001</v>
          </cell>
        </row>
        <row r="57">
          <cell r="G57">
            <v>0.590754</v>
          </cell>
        </row>
      </sheetData>
      <sheetData sheetId="128">
        <row r="44">
          <cell r="G44">
            <v>1.0772999999999999</v>
          </cell>
        </row>
        <row r="45">
          <cell r="G45">
            <v>4.9628800000000002</v>
          </cell>
        </row>
        <row r="47">
          <cell r="G47">
            <v>387.90751999999998</v>
          </cell>
        </row>
        <row r="48">
          <cell r="G48">
            <v>140.30016000000001</v>
          </cell>
        </row>
        <row r="49">
          <cell r="G49">
            <v>90.650559999999999</v>
          </cell>
        </row>
        <row r="50">
          <cell r="G50">
            <v>1.195462</v>
          </cell>
        </row>
        <row r="51">
          <cell r="G51">
            <v>30.623999999999999</v>
          </cell>
        </row>
        <row r="52">
          <cell r="G52">
            <v>27.84</v>
          </cell>
        </row>
        <row r="53">
          <cell r="G53">
            <v>11.6844</v>
          </cell>
        </row>
        <row r="54">
          <cell r="G54">
            <v>4.5359999999999996</v>
          </cell>
        </row>
        <row r="55">
          <cell r="G55">
            <v>13.416689999999999</v>
          </cell>
        </row>
        <row r="56">
          <cell r="G56">
            <v>54.203600000000002</v>
          </cell>
        </row>
        <row r="57">
          <cell r="G57">
            <v>0.81305400000000005</v>
          </cell>
        </row>
      </sheetData>
      <sheetData sheetId="129">
        <row r="44">
          <cell r="G44">
            <v>1.3796999999999999</v>
          </cell>
        </row>
        <row r="45">
          <cell r="G45">
            <v>6.3452799999999998</v>
          </cell>
        </row>
        <row r="47">
          <cell r="G47">
            <v>473.16192000000001</v>
          </cell>
        </row>
        <row r="48">
          <cell r="G48">
            <v>171.13535999999999</v>
          </cell>
        </row>
        <row r="49">
          <cell r="G49">
            <v>110.57375999999999</v>
          </cell>
        </row>
        <row r="50">
          <cell r="G50">
            <v>1.4643900000000001</v>
          </cell>
        </row>
        <row r="51">
          <cell r="G51">
            <v>37.664000000000001</v>
          </cell>
        </row>
        <row r="52">
          <cell r="G52">
            <v>34.24</v>
          </cell>
        </row>
        <row r="53">
          <cell r="G53">
            <v>15.2364</v>
          </cell>
        </row>
        <row r="54">
          <cell r="G54">
            <v>5.4</v>
          </cell>
        </row>
        <row r="55">
          <cell r="G55">
            <v>14.801233999999999</v>
          </cell>
        </row>
        <row r="56">
          <cell r="G56">
            <v>70.011600000000001</v>
          </cell>
        </row>
        <row r="57">
          <cell r="G57">
            <v>1.0501739999999999</v>
          </cell>
        </row>
      </sheetData>
      <sheetData sheetId="130">
        <row r="44">
          <cell r="G44">
            <v>1.7955000000000001</v>
          </cell>
        </row>
        <row r="45">
          <cell r="G45">
            <v>8.2460799999999992</v>
          </cell>
        </row>
        <row r="47">
          <cell r="G47">
            <v>590.38671999999997</v>
          </cell>
        </row>
        <row r="48">
          <cell r="G48">
            <v>213.53376</v>
          </cell>
        </row>
        <row r="49">
          <cell r="G49">
            <v>137.96816000000001</v>
          </cell>
        </row>
        <row r="50">
          <cell r="G50">
            <v>1.834166</v>
          </cell>
        </row>
        <row r="51">
          <cell r="G51">
            <v>47.344000000000001</v>
          </cell>
        </row>
        <row r="52">
          <cell r="G52">
            <v>43.04</v>
          </cell>
        </row>
        <row r="53">
          <cell r="G53">
            <v>20.1204</v>
          </cell>
        </row>
        <row r="54">
          <cell r="G54">
            <v>6.5880000000000001</v>
          </cell>
        </row>
        <row r="55">
          <cell r="G55">
            <v>16.704982000000001</v>
          </cell>
        </row>
        <row r="56">
          <cell r="G56">
            <v>91.747600000000006</v>
          </cell>
        </row>
        <row r="57">
          <cell r="G57">
            <v>1.376214</v>
          </cell>
        </row>
      </sheetData>
      <sheetData sheetId="131">
        <row r="43">
          <cell r="G43">
            <v>0.212058</v>
          </cell>
        </row>
        <row r="44">
          <cell r="G44">
            <v>0.37265999999999999</v>
          </cell>
        </row>
        <row r="46">
          <cell r="G46">
            <v>3.5342920000000002</v>
          </cell>
        </row>
        <row r="47">
          <cell r="G47">
            <v>5.3013999999999999E-2</v>
          </cell>
        </row>
        <row r="48">
          <cell r="G48">
            <v>772.83179299999995</v>
          </cell>
        </row>
        <row r="49">
          <cell r="G49">
            <v>4.8301990000000004</v>
          </cell>
        </row>
        <row r="50">
          <cell r="G50">
            <v>0.227019</v>
          </cell>
        </row>
      </sheetData>
      <sheetData sheetId="132">
        <row r="41">
          <cell r="G41">
            <v>0.13503999999999999</v>
          </cell>
        </row>
        <row r="43">
          <cell r="G43">
            <v>103.66160000000001</v>
          </cell>
        </row>
        <row r="44">
          <cell r="G44">
            <v>37.492800000000003</v>
          </cell>
        </row>
        <row r="45">
          <cell r="G45">
            <v>24.224799999999998</v>
          </cell>
        </row>
        <row r="46">
          <cell r="G46">
            <v>0.31419200000000003</v>
          </cell>
        </row>
        <row r="47">
          <cell r="G47">
            <v>7.92</v>
          </cell>
        </row>
        <row r="48">
          <cell r="G48">
            <v>7.92</v>
          </cell>
        </row>
        <row r="49">
          <cell r="G49">
            <v>3.92</v>
          </cell>
        </row>
      </sheetData>
      <sheetData sheetId="133">
        <row r="41">
          <cell r="G41">
            <v>0.15184</v>
          </cell>
        </row>
        <row r="43">
          <cell r="G43">
            <v>120.6156</v>
          </cell>
        </row>
        <row r="44">
          <cell r="G44">
            <v>43.6248</v>
          </cell>
        </row>
        <row r="45">
          <cell r="G45">
            <v>28.186800000000002</v>
          </cell>
        </row>
        <row r="46">
          <cell r="G46">
            <v>0.367672</v>
          </cell>
        </row>
        <row r="47">
          <cell r="G47">
            <v>9.32</v>
          </cell>
        </row>
        <row r="48">
          <cell r="G48">
            <v>9.32</v>
          </cell>
        </row>
        <row r="49">
          <cell r="G49">
            <v>3.92</v>
          </cell>
        </row>
      </sheetData>
      <sheetData sheetId="134">
        <row r="41">
          <cell r="G41">
            <v>0.17104</v>
          </cell>
        </row>
        <row r="43">
          <cell r="G43">
            <v>139.99160000000001</v>
          </cell>
        </row>
        <row r="44">
          <cell r="G44">
            <v>50.632800000000003</v>
          </cell>
        </row>
        <row r="45">
          <cell r="G45">
            <v>32.714799999999997</v>
          </cell>
        </row>
        <row r="46">
          <cell r="G46">
            <v>0.42879200000000001</v>
          </cell>
        </row>
        <row r="47">
          <cell r="G47">
            <v>10.92</v>
          </cell>
        </row>
        <row r="48">
          <cell r="G48">
            <v>10.92</v>
          </cell>
        </row>
        <row r="49">
          <cell r="G49">
            <v>3.92</v>
          </cell>
        </row>
      </sheetData>
      <sheetData sheetId="135">
        <row r="41">
          <cell r="G41">
            <v>0.20704</v>
          </cell>
        </row>
        <row r="43">
          <cell r="G43">
            <v>176.32159999999999</v>
          </cell>
        </row>
        <row r="44">
          <cell r="G44">
            <v>63.772799999999997</v>
          </cell>
        </row>
        <row r="45">
          <cell r="G45">
            <v>41.204799999999999</v>
          </cell>
        </row>
        <row r="46">
          <cell r="G46">
            <v>0.54339199999999999</v>
          </cell>
        </row>
        <row r="47">
          <cell r="G47">
            <v>13.92</v>
          </cell>
        </row>
        <row r="48">
          <cell r="G48">
            <v>13.92</v>
          </cell>
        </row>
        <row r="49">
          <cell r="G49">
            <v>3.92</v>
          </cell>
        </row>
      </sheetData>
      <sheetData sheetId="136">
        <row r="41">
          <cell r="G41">
            <v>0.24543999999999999</v>
          </cell>
        </row>
        <row r="43">
          <cell r="G43">
            <v>215.0736</v>
          </cell>
        </row>
        <row r="44">
          <cell r="G44">
            <v>77.788799999999995</v>
          </cell>
        </row>
        <row r="45">
          <cell r="G45">
            <v>50.260800000000003</v>
          </cell>
        </row>
        <row r="46">
          <cell r="G46">
            <v>0.665632</v>
          </cell>
        </row>
        <row r="47">
          <cell r="G47">
            <v>17.12</v>
          </cell>
        </row>
        <row r="48">
          <cell r="G48">
            <v>17.12</v>
          </cell>
        </row>
        <row r="49">
          <cell r="G49">
            <v>3.92</v>
          </cell>
        </row>
      </sheetData>
      <sheetData sheetId="137">
        <row r="41">
          <cell r="G41">
            <v>0.29824000000000001</v>
          </cell>
        </row>
        <row r="43">
          <cell r="G43">
            <v>268.35759999999999</v>
          </cell>
        </row>
        <row r="44">
          <cell r="G44">
            <v>97.0608</v>
          </cell>
        </row>
        <row r="45">
          <cell r="G45">
            <v>62.712800000000001</v>
          </cell>
        </row>
        <row r="46">
          <cell r="G46">
            <v>0.83371200000000001</v>
          </cell>
        </row>
        <row r="47">
          <cell r="G47">
            <v>21.52</v>
          </cell>
        </row>
        <row r="48">
          <cell r="G48">
            <v>21.52</v>
          </cell>
        </row>
        <row r="49">
          <cell r="G49">
            <v>3.92</v>
          </cell>
        </row>
      </sheetData>
      <sheetData sheetId="138">
        <row r="41">
          <cell r="G41">
            <v>0.56735999999999998</v>
          </cell>
        </row>
        <row r="43">
          <cell r="G43">
            <v>119.889</v>
          </cell>
        </row>
        <row r="44">
          <cell r="G44">
            <v>43.362000000000002</v>
          </cell>
        </row>
        <row r="45">
          <cell r="G45">
            <v>28.016999999999999</v>
          </cell>
        </row>
        <row r="46">
          <cell r="G46">
            <v>0.35898000000000002</v>
          </cell>
        </row>
        <row r="47">
          <cell r="G47">
            <v>8.94</v>
          </cell>
        </row>
        <row r="48">
          <cell r="G48">
            <v>11.92</v>
          </cell>
        </row>
        <row r="49">
          <cell r="G49">
            <v>2.8488000000000002</v>
          </cell>
        </row>
        <row r="50">
          <cell r="G50">
            <v>6.3411679999999997</v>
          </cell>
        </row>
        <row r="51">
          <cell r="G51">
            <v>5.8566000000000003</v>
          </cell>
        </row>
        <row r="52">
          <cell r="G52">
            <v>8.7848999999999997E-2</v>
          </cell>
        </row>
      </sheetData>
      <sheetData sheetId="139">
        <row r="44">
          <cell r="G44">
            <v>2.1521919999999999</v>
          </cell>
        </row>
        <row r="45">
          <cell r="G45">
            <v>2.6400639999999997</v>
          </cell>
        </row>
        <row r="47">
          <cell r="G47">
            <v>58</v>
          </cell>
        </row>
        <row r="48">
          <cell r="G48">
            <v>0.43345899999999998</v>
          </cell>
        </row>
        <row r="49">
          <cell r="G49">
            <v>12.288</v>
          </cell>
        </row>
        <row r="50">
          <cell r="G50">
            <v>7.68</v>
          </cell>
        </row>
        <row r="51">
          <cell r="G51">
            <v>4.7615999999999996</v>
          </cell>
        </row>
        <row r="52">
          <cell r="G52">
            <v>2.8512</v>
          </cell>
        </row>
        <row r="53">
          <cell r="G53">
            <v>8.3660639999999997</v>
          </cell>
        </row>
        <row r="54">
          <cell r="G54">
            <v>20.8</v>
          </cell>
        </row>
        <row r="55">
          <cell r="G55">
            <v>54</v>
          </cell>
        </row>
        <row r="56">
          <cell r="G56">
            <v>13.6242</v>
          </cell>
        </row>
        <row r="57">
          <cell r="G57">
            <v>0.20436299999999999</v>
          </cell>
        </row>
      </sheetData>
      <sheetData sheetId="140">
        <row r="44">
          <cell r="G44">
            <v>3.6748639999999999</v>
          </cell>
        </row>
        <row r="45">
          <cell r="G45">
            <v>280</v>
          </cell>
        </row>
        <row r="47">
          <cell r="G47">
            <v>0.66458399999999995</v>
          </cell>
        </row>
        <row r="48">
          <cell r="G48">
            <v>18.96</v>
          </cell>
        </row>
        <row r="49">
          <cell r="G49">
            <v>18.96</v>
          </cell>
        </row>
        <row r="50">
          <cell r="G50">
            <v>6.7055999999999996</v>
          </cell>
        </row>
        <row r="51">
          <cell r="G51">
            <v>3.3372000000000002</v>
          </cell>
        </row>
        <row r="52">
          <cell r="G52">
            <v>10.694348</v>
          </cell>
        </row>
        <row r="53">
          <cell r="G53">
            <v>27.3</v>
          </cell>
        </row>
        <row r="54">
          <cell r="G54">
            <v>22</v>
          </cell>
        </row>
        <row r="55">
          <cell r="G55">
            <v>58.9</v>
          </cell>
        </row>
        <row r="56">
          <cell r="G56">
            <v>18.322199999999999</v>
          </cell>
        </row>
        <row r="57">
          <cell r="G57">
            <v>0.27483299999999999</v>
          </cell>
        </row>
      </sheetData>
      <sheetData sheetId="141">
        <row r="44">
          <cell r="G44">
            <v>0.79379999999999995</v>
          </cell>
        </row>
        <row r="45">
          <cell r="G45">
            <v>3.5358399999999999</v>
          </cell>
        </row>
        <row r="47">
          <cell r="G47">
            <v>307.98151999999999</v>
          </cell>
        </row>
        <row r="48">
          <cell r="G48">
            <v>111.39216</v>
          </cell>
        </row>
        <row r="49">
          <cell r="G49">
            <v>71.972560000000001</v>
          </cell>
        </row>
        <row r="50">
          <cell r="G50">
            <v>0.94334200000000001</v>
          </cell>
        </row>
        <row r="51">
          <cell r="G51">
            <v>24.024000000000001</v>
          </cell>
        </row>
        <row r="52">
          <cell r="G52">
            <v>10.92</v>
          </cell>
        </row>
        <row r="53">
          <cell r="G53">
            <v>8.3544</v>
          </cell>
        </row>
        <row r="54">
          <cell r="G54">
            <v>3.726</v>
          </cell>
        </row>
        <row r="55">
          <cell r="G55">
            <v>12.118679999999999</v>
          </cell>
        </row>
        <row r="56">
          <cell r="G56">
            <v>39.383600000000001</v>
          </cell>
        </row>
        <row r="57">
          <cell r="G57">
            <v>0.590754</v>
          </cell>
        </row>
      </sheetData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>
        <row r="44">
          <cell r="G44">
            <v>10.59</v>
          </cell>
        </row>
        <row r="45">
          <cell r="G45">
            <v>0.67500000000000004</v>
          </cell>
        </row>
        <row r="46">
          <cell r="G46">
            <v>0.67500000000000004</v>
          </cell>
        </row>
      </sheetData>
      <sheetData sheetId="151">
        <row r="44">
          <cell r="G44">
            <v>0.96</v>
          </cell>
        </row>
        <row r="45">
          <cell r="G45">
            <v>1.48</v>
          </cell>
        </row>
        <row r="46">
          <cell r="G46">
            <v>24.83</v>
          </cell>
        </row>
      </sheetData>
      <sheetData sheetId="152">
        <row r="44">
          <cell r="G44">
            <v>1.92</v>
          </cell>
        </row>
        <row r="45">
          <cell r="G45">
            <v>2.96</v>
          </cell>
        </row>
        <row r="46">
          <cell r="G46">
            <v>39.07</v>
          </cell>
        </row>
      </sheetData>
      <sheetData sheetId="153">
        <row r="44">
          <cell r="G44">
            <v>0.92</v>
          </cell>
        </row>
        <row r="45">
          <cell r="G45">
            <v>4.5</v>
          </cell>
        </row>
        <row r="46">
          <cell r="G46">
            <v>0.72899999999999998</v>
          </cell>
        </row>
        <row r="47">
          <cell r="G47">
            <v>0.72899999999999998</v>
          </cell>
        </row>
      </sheetData>
      <sheetData sheetId="154"/>
      <sheetData sheetId="155">
        <row r="44">
          <cell r="G44">
            <v>2.5300000000000002</v>
          </cell>
        </row>
        <row r="45">
          <cell r="G45">
            <v>8.59</v>
          </cell>
        </row>
        <row r="46">
          <cell r="G46">
            <v>1.272</v>
          </cell>
        </row>
        <row r="47">
          <cell r="G47">
            <v>1.272</v>
          </cell>
        </row>
      </sheetData>
      <sheetData sheetId="156">
        <row r="44">
          <cell r="G44">
            <v>4.2300000000000004</v>
          </cell>
        </row>
        <row r="45">
          <cell r="G45">
            <v>12.68</v>
          </cell>
        </row>
        <row r="46">
          <cell r="G46">
            <v>1.8150000000000002</v>
          </cell>
        </row>
        <row r="47">
          <cell r="G47">
            <v>1.8150000000000002</v>
          </cell>
        </row>
      </sheetData>
      <sheetData sheetId="157">
        <row r="45">
          <cell r="G45">
            <v>0.23710000000000003</v>
          </cell>
        </row>
        <row r="46">
          <cell r="G46">
            <v>0.23710000000000003</v>
          </cell>
        </row>
      </sheetData>
      <sheetData sheetId="158">
        <row r="45">
          <cell r="G45">
            <v>0.36421999999999999</v>
          </cell>
        </row>
        <row r="46">
          <cell r="G46">
            <v>0.36421999999999999</v>
          </cell>
        </row>
      </sheetData>
      <sheetData sheetId="159">
        <row r="45">
          <cell r="G45">
            <v>0.49125000000000002</v>
          </cell>
        </row>
        <row r="46">
          <cell r="G46">
            <v>0.49125000000000002</v>
          </cell>
        </row>
      </sheetData>
      <sheetData sheetId="160"/>
      <sheetData sheetId="161"/>
      <sheetData sheetId="162"/>
      <sheetData sheetId="163"/>
      <sheetData sheetId="164">
        <row r="41">
          <cell r="G41">
            <v>0.66039999999999999</v>
          </cell>
        </row>
        <row r="42">
          <cell r="G42">
            <v>4.407</v>
          </cell>
        </row>
      </sheetData>
      <sheetData sheetId="165">
        <row r="41">
          <cell r="G41">
            <v>1.2385999999999999</v>
          </cell>
        </row>
        <row r="42">
          <cell r="G42">
            <v>6.6445999999999996</v>
          </cell>
        </row>
      </sheetData>
      <sheetData sheetId="166">
        <row r="41">
          <cell r="G41">
            <v>2.2320000000000002</v>
          </cell>
        </row>
        <row r="42">
          <cell r="G42">
            <v>9.7668999999999997</v>
          </cell>
        </row>
      </sheetData>
      <sheetData sheetId="167">
        <row r="41">
          <cell r="G41">
            <v>3.629</v>
          </cell>
        </row>
        <row r="42">
          <cell r="G42">
            <v>13.464</v>
          </cell>
        </row>
      </sheetData>
      <sheetData sheetId="168">
        <row r="41">
          <cell r="G41">
            <v>5.4016999999999999</v>
          </cell>
        </row>
        <row r="42">
          <cell r="G42">
            <v>17.460899999999999</v>
          </cell>
        </row>
      </sheetData>
      <sheetData sheetId="169">
        <row r="41">
          <cell r="G41">
            <v>8.9499999999999993</v>
          </cell>
        </row>
        <row r="42">
          <cell r="G42">
            <v>24.334399999999999</v>
          </cell>
        </row>
      </sheetData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LETIM_SEL"/>
      <sheetName val="BOLETIM_COTACAO"/>
      <sheetName val="BINÔMIO BETUMINOSO"/>
      <sheetName val="MAPA_DE_COTAÇÃO"/>
      <sheetName val="SINAPI"/>
      <sheetName val="SICRO_Densidades"/>
      <sheetName val="SINAPI_Escavacao_Vala"/>
      <sheetName val="SINAPI_Reaterro_Vala"/>
      <sheetName val="prod_equi_RE-0060"/>
      <sheetName val="prod_equi_RE-0065"/>
      <sheetName val="prod_equi_RE-0070"/>
      <sheetName val="AD-0002"/>
      <sheetName val="AD-0003"/>
      <sheetName val="AD-0004"/>
      <sheetName val="AD-0005"/>
      <sheetName val="AD-0006"/>
      <sheetName val="AD-0007"/>
      <sheetName val="EC-0010"/>
      <sheetName val="EC-0015"/>
      <sheetName val="EC-0020"/>
      <sheetName val="EC-0025"/>
      <sheetName val="EC-0030"/>
      <sheetName val="EC-0031"/>
      <sheetName val="EC-0032"/>
      <sheetName val="EC-0033"/>
      <sheetName val="EC-0035"/>
      <sheetName val="EC-0036"/>
      <sheetName val="EC-0037"/>
      <sheetName val="EC-0038"/>
      <sheetName val="EC-0039"/>
      <sheetName val="EC-0040"/>
      <sheetName val="EC-0041"/>
      <sheetName val="EC-0043"/>
      <sheetName val="EC-0044"/>
      <sheetName val="EC-0045"/>
      <sheetName val="EC-0050"/>
      <sheetName val="EC-0051"/>
      <sheetName val="EC-0052"/>
      <sheetName val="EC-0053"/>
      <sheetName val="EC-0055"/>
      <sheetName val="EC-0060"/>
      <sheetName val="EC-0065"/>
      <sheetName val="EC-0070"/>
      <sheetName val="EC-0085"/>
      <sheetName val="EC-0090"/>
      <sheetName val="EC-0100"/>
      <sheetName val="EC-0110"/>
      <sheetName val="EC-0120"/>
      <sheetName val="EC-0130"/>
      <sheetName val="EC-0135"/>
      <sheetName val="EC-0136"/>
      <sheetName val="EC-0145"/>
      <sheetName val="EC-0150"/>
      <sheetName val="EC-0155"/>
      <sheetName val="EC-0165"/>
      <sheetName val="EC-0170"/>
      <sheetName val="EC-0180"/>
      <sheetName val="EC-0190"/>
      <sheetName val="EC-0200"/>
      <sheetName val="EC-0210"/>
      <sheetName val="EC-0220"/>
      <sheetName val="EC-0230"/>
      <sheetName val="EC-0240"/>
      <sheetName val="ES-0010"/>
      <sheetName val="ES-0015"/>
      <sheetName val="ES-0020"/>
      <sheetName val="ES-0025"/>
      <sheetName val="ES-0030"/>
      <sheetName val="ES-0035"/>
      <sheetName val="ES-0040"/>
      <sheetName val="ES-0045"/>
      <sheetName val="ES-0050"/>
      <sheetName val="ES-0055"/>
      <sheetName val="ES-0060"/>
      <sheetName val="ES-0065"/>
      <sheetName val="ES-0070"/>
      <sheetName val="ES-0075"/>
      <sheetName val="ES-0080"/>
      <sheetName val="ES-0085"/>
      <sheetName val="ES-0090"/>
      <sheetName val="ES-0095"/>
      <sheetName val="ES-0100"/>
      <sheetName val="ES-0105"/>
      <sheetName val="DR-0005"/>
      <sheetName val="DR-0007"/>
      <sheetName val="DR-0008"/>
      <sheetName val="DR-0010"/>
      <sheetName val="DR-0015"/>
      <sheetName val="DR-0020"/>
      <sheetName val="DR-0021"/>
      <sheetName val="DR-0024"/>
      <sheetName val="DR-0025"/>
      <sheetName val="DR-0026"/>
      <sheetName val="DR-0027"/>
      <sheetName val="DR-0028"/>
      <sheetName val="DR-0030"/>
      <sheetName val="DR-0032"/>
      <sheetName val="DR-0033"/>
      <sheetName val="DR-0035"/>
      <sheetName val="DR-0036"/>
      <sheetName val="DR-0037"/>
      <sheetName val="DR-0038"/>
      <sheetName val="DR-0040"/>
      <sheetName val="DR-0045"/>
      <sheetName val="DR-0050"/>
      <sheetName val="DR-0055"/>
      <sheetName val="DR-0060"/>
      <sheetName val="DR-0065"/>
      <sheetName val="DR-0070"/>
      <sheetName val="DR-0075"/>
      <sheetName val="DR-0080"/>
      <sheetName val="DR-0085"/>
      <sheetName val="DR-0090"/>
      <sheetName val="DR-0095"/>
      <sheetName val="DR-0100"/>
      <sheetName val="DR-0105"/>
      <sheetName val="DR-0091"/>
      <sheetName val="DR-0096"/>
      <sheetName val="DR-0101"/>
      <sheetName val="DR-0106"/>
      <sheetName val="DR-0110"/>
      <sheetName val="DR-0115"/>
      <sheetName val="DR-0120"/>
      <sheetName val="DR-0125"/>
      <sheetName val="DR-0130"/>
      <sheetName val="DR-0135"/>
      <sheetName val="DR-0140"/>
      <sheetName val="DR-0145"/>
      <sheetName val="DR-0150"/>
      <sheetName val="DR-0155"/>
      <sheetName val="DR-0160"/>
      <sheetName val="DR-0165"/>
      <sheetName val="DR-0170"/>
      <sheetName val="DR-0175"/>
      <sheetName val="DR-0180"/>
      <sheetName val="DR-0185"/>
      <sheetName val="DR-0190"/>
      <sheetName val="DR-0195"/>
      <sheetName val="DR-0200"/>
      <sheetName val="DR-0205"/>
      <sheetName val="DR-0210"/>
      <sheetName val="DR-0215"/>
      <sheetName val="DR-0220"/>
      <sheetName val="DR-0225"/>
      <sheetName val="DR-0230"/>
      <sheetName val="DR-0235"/>
      <sheetName val="DR-0236"/>
      <sheetName val="DR-0237"/>
      <sheetName val="DR-0240"/>
      <sheetName val="DR-0245"/>
      <sheetName val="DR-0250"/>
      <sheetName val="DR-0255"/>
      <sheetName val="DR-0260"/>
      <sheetName val="DR-0265"/>
      <sheetName val="DR-0267"/>
      <sheetName val="DR-0270"/>
      <sheetName val="DR-0275"/>
      <sheetName val="DR-0280"/>
      <sheetName val="DR-0285"/>
      <sheetName val="DR-0290"/>
      <sheetName val="DR-0292"/>
      <sheetName val="DR-0295"/>
      <sheetName val="DR-0296"/>
      <sheetName val="DR-0300"/>
      <sheetName val="DR-0305"/>
      <sheetName val="DR-0310"/>
      <sheetName val="DR-0315"/>
      <sheetName val="DR-0320"/>
      <sheetName val="DR-0325"/>
      <sheetName val="DR-0330"/>
      <sheetName val="DR-0335"/>
      <sheetName val="DR-0340"/>
      <sheetName val="DR-0341"/>
      <sheetName val="DR-0345"/>
      <sheetName val="DR-0350"/>
      <sheetName val="DR-0355"/>
      <sheetName val="DR-0365"/>
      <sheetName val="DR-0370"/>
      <sheetName val="DR-0375"/>
      <sheetName val="DR-0385"/>
      <sheetName val="DR-0390"/>
      <sheetName val="DR-0395"/>
      <sheetName val="DR-0400"/>
      <sheetName val="DR-0410"/>
      <sheetName val="DR-0411"/>
      <sheetName val="DR-0415"/>
      <sheetName val="DR-0420"/>
      <sheetName val="DR-0421"/>
      <sheetName val="DR-0430"/>
      <sheetName val="DR-0440"/>
      <sheetName val="DR-0450"/>
      <sheetName val="DR-0470"/>
      <sheetName val="LF-0005"/>
      <sheetName val="LF-0007"/>
      <sheetName val="LF-0008"/>
      <sheetName val="LF-0010"/>
      <sheetName val="LF-0015"/>
      <sheetName val="LF-0020"/>
      <sheetName val="LF-0025"/>
      <sheetName val="LF-0030"/>
      <sheetName val="LF-0035"/>
      <sheetName val="LF-0040"/>
      <sheetName val="LF-0045"/>
      <sheetName val="PA-0005"/>
      <sheetName val="PA-0006"/>
      <sheetName val="PA-0007"/>
      <sheetName val="PA-0008"/>
      <sheetName val="PA-0010"/>
      <sheetName val="PA-0015"/>
      <sheetName val="PA-0018"/>
      <sheetName val="PA-0019"/>
      <sheetName val="PA-0020"/>
      <sheetName val="PA-0021"/>
      <sheetName val="PA-0022"/>
      <sheetName val="PA-0023"/>
      <sheetName val="PA-0025"/>
      <sheetName val="PA-0030"/>
      <sheetName val="PA-0035"/>
      <sheetName val="PA-0036"/>
      <sheetName val="PA-0037"/>
      <sheetName val="PA-0040"/>
      <sheetName val="PA-0041"/>
      <sheetName val="PA-0042"/>
      <sheetName val="PA-0045"/>
      <sheetName val="PA-0050"/>
      <sheetName val="PA-0055"/>
      <sheetName val="PA-0060"/>
      <sheetName val="PA-0070"/>
      <sheetName val="PA-0080"/>
      <sheetName val="PA-0090"/>
      <sheetName val="PA-0100"/>
      <sheetName val="PA-0110"/>
      <sheetName val="PA-0120"/>
      <sheetName val="PA-0130"/>
      <sheetName val="PA-0140"/>
      <sheetName val="PA-0150"/>
      <sheetName val="PA-0160"/>
      <sheetName val="RE-0005"/>
      <sheetName val="RE-0010"/>
      <sheetName val="RE-0015"/>
      <sheetName val="RE-0020"/>
      <sheetName val="RE-0025"/>
      <sheetName val="RE-0030"/>
      <sheetName val="RE-0035"/>
      <sheetName val="RE-0040"/>
      <sheetName val="RE-0045"/>
      <sheetName val="RE-0050"/>
      <sheetName val="RE-0051"/>
      <sheetName val="RE-0052"/>
      <sheetName val="RE-0053"/>
      <sheetName val="RE-0055"/>
      <sheetName val="RE-0056"/>
      <sheetName val="RE-0057"/>
      <sheetName val="RE-0058"/>
      <sheetName val="RE-0060"/>
      <sheetName val="RE-0065"/>
      <sheetName val="RE-0070"/>
      <sheetName val="RE-0075"/>
      <sheetName val="RE-0080"/>
      <sheetName val="RE-0085"/>
      <sheetName val="RE-0090"/>
      <sheetName val="SC-0005"/>
      <sheetName val="SC-0006"/>
      <sheetName val="SC-0010"/>
      <sheetName val="SC-0015"/>
      <sheetName val="SC-0020"/>
      <sheetName val="SC-0025"/>
      <sheetName val="SC-0030"/>
      <sheetName val="SC-0035"/>
      <sheetName val="SC-0040"/>
      <sheetName val="SC-0007"/>
      <sheetName val="SC-0008"/>
      <sheetName val="SC-0011"/>
      <sheetName val="SC-0016"/>
      <sheetName val="SC-0021"/>
      <sheetName val="SC-0026"/>
      <sheetName val="SC-0031"/>
      <sheetName val="SC-0036"/>
      <sheetName val="SC-0041"/>
      <sheetName val="SC-0045"/>
      <sheetName val="SC-0050"/>
      <sheetName val="SC-0055"/>
      <sheetName val="SC-0060"/>
      <sheetName val="SC-0065"/>
      <sheetName val="SC-0067"/>
      <sheetName val="SC-0068"/>
      <sheetName val="SC-0069"/>
      <sheetName val="SC-0070"/>
      <sheetName val="SC-0075"/>
      <sheetName val="SC-0080"/>
      <sheetName val="SC-0082"/>
      <sheetName val="SC-0085"/>
      <sheetName val="SC-0090"/>
      <sheetName val="SC-0091"/>
      <sheetName val="SC-0092"/>
      <sheetName val="SC-0095"/>
      <sheetName val="SC-0096"/>
      <sheetName val="SC-0097"/>
      <sheetName val="SC-0100"/>
      <sheetName val="SC-0105"/>
      <sheetName val="SC-0110"/>
      <sheetName val="SC-0115"/>
      <sheetName val="SC-0120"/>
      <sheetName val="SC-0125"/>
      <sheetName val="SC-0130"/>
      <sheetName val="SC-0135"/>
      <sheetName val="SC-0140"/>
      <sheetName val="SC-0145"/>
      <sheetName val="SC-0150"/>
      <sheetName val="SC-0155"/>
      <sheetName val="SC-0160"/>
      <sheetName val="SC-0200"/>
      <sheetName val="SC-0205"/>
      <sheetName val="SC-0210"/>
      <sheetName val="SC-0220"/>
      <sheetName val="SC-0230"/>
      <sheetName val="SC-0240"/>
      <sheetName val="SC-0250"/>
      <sheetName val="SC-0260"/>
      <sheetName val="SC-0270"/>
      <sheetName val="SP-0001"/>
      <sheetName val="SP-0004"/>
      <sheetName val="SP-0005"/>
      <sheetName val="SP-0006"/>
      <sheetName val="SP-0007"/>
      <sheetName val="SP-0008"/>
      <sheetName val="SP-0009"/>
      <sheetName val="SP-0010"/>
      <sheetName val="SP-0020"/>
      <sheetName val="SP-0025"/>
      <sheetName val="SP-0030"/>
      <sheetName val="SP-0050"/>
      <sheetName val="SP-0060"/>
      <sheetName val="SP-0077"/>
      <sheetName val="SP-0078"/>
      <sheetName val="SP-0079"/>
      <sheetName val="SP-0080"/>
      <sheetName val="SP-0100"/>
      <sheetName val="SP-0105"/>
      <sheetName val="SP-0110"/>
      <sheetName val="SP-0115"/>
      <sheetName val="SP-0120"/>
      <sheetName val="SP-0125"/>
      <sheetName val="SP-0130"/>
      <sheetName val="SP-0140"/>
      <sheetName val="SP-0150"/>
      <sheetName val="SP-0160"/>
      <sheetName val="SP-0170"/>
      <sheetName val="SP-0180"/>
      <sheetName val="SP-0190"/>
      <sheetName val="SP-0200"/>
      <sheetName val="SP-0210"/>
      <sheetName val="SP-0220"/>
      <sheetName val="SR-0010"/>
      <sheetName val="SR-0020"/>
      <sheetName val="SR-0030"/>
      <sheetName val="SR-0040"/>
      <sheetName val="SR-0050"/>
      <sheetName val="SR-0060"/>
      <sheetName val="SR-0061"/>
      <sheetName val="SR-0070"/>
      <sheetName val="SR-0080"/>
      <sheetName val="SR-0090"/>
      <sheetName val="SR-0100"/>
      <sheetName val="SR-0110"/>
      <sheetName val="SR-0120"/>
      <sheetName val="ST-0020"/>
      <sheetName val="ST-0065"/>
      <sheetName val="ST-0070"/>
      <sheetName val="SV-0005"/>
      <sheetName val="SV-0010"/>
      <sheetName val="SV-0012"/>
      <sheetName val="SV-0015"/>
      <sheetName val="SV-0020"/>
      <sheetName val="SV-0025"/>
      <sheetName val="SV-0030"/>
      <sheetName val="SV-0035"/>
      <sheetName val="SV-0037"/>
      <sheetName val="SV-0040"/>
      <sheetName val="SV-0045"/>
      <sheetName val="SV-0050"/>
      <sheetName val="SV-0055"/>
      <sheetName val="SV-0060"/>
      <sheetName val="SV-0065"/>
      <sheetName val="SV-0070"/>
      <sheetName val="SV-0075"/>
      <sheetName val="SV-0080"/>
      <sheetName val="SV-0085"/>
      <sheetName val="SV-0090"/>
      <sheetName val="SV-0091"/>
      <sheetName val="SV-0095"/>
      <sheetName val="SV-0100"/>
      <sheetName val="SV-0105"/>
      <sheetName val="SV-0106"/>
      <sheetName val="SV-0107"/>
      <sheetName val="SV-0110"/>
      <sheetName val="SV-0115"/>
      <sheetName val="SV-0120"/>
      <sheetName val="SV-0125"/>
      <sheetName val="SV-0130"/>
      <sheetName val="SV-0140"/>
      <sheetName val="SV-0150"/>
      <sheetName val="SV-0160"/>
      <sheetName val="SV-0170"/>
      <sheetName val="SV-0180"/>
    </sheetNames>
    <sheetDataSet>
      <sheetData sheetId="0">
        <row r="1">
          <cell r="A1" t="str">
            <v>SINAPI:</v>
          </cell>
          <cell r="B1" t="str">
            <v>Agosto/2023</v>
          </cell>
          <cell r="C1"/>
          <cell r="D1" t="str">
            <v>LISTA SINTÉTICA SIMPLES DE PREÇOS UNITÁRIOS</v>
          </cell>
          <cell r="E1" t="str">
            <v>REVISÃO:</v>
          </cell>
          <cell r="F1"/>
          <cell r="G1">
            <v>1</v>
          </cell>
          <cell r="H1"/>
        </row>
        <row r="2">
          <cell r="A2" t="str">
            <v>SICRO:</v>
          </cell>
          <cell r="B2">
            <v>45017</v>
          </cell>
          <cell r="C2"/>
          <cell r="D2" t="str">
            <v>DESONERADA</v>
          </cell>
          <cell r="E2"/>
          <cell r="F2"/>
          <cell r="G2"/>
          <cell r="H2"/>
        </row>
        <row r="3">
          <cell r="A3" t="str">
            <v>PRAÇA:</v>
          </cell>
          <cell r="B3" t="str">
            <v>Campo Grande/MS</v>
          </cell>
          <cell r="C3"/>
          <cell r="D3"/>
          <cell r="E3"/>
          <cell r="F3" t="str">
            <v>HORISTA:</v>
          </cell>
          <cell r="G3">
            <v>0.8528</v>
          </cell>
          <cell r="H3"/>
        </row>
        <row r="4">
          <cell r="A4" t="str">
            <v>DATA BASE:</v>
          </cell>
          <cell r="B4" t="str">
            <v>Agosto/2023</v>
          </cell>
          <cell r="C4"/>
          <cell r="D4"/>
          <cell r="E4"/>
          <cell r="F4" t="str">
            <v>MENSALISTA:</v>
          </cell>
          <cell r="G4">
            <v>0.4723</v>
          </cell>
          <cell r="H4"/>
        </row>
        <row r="5">
          <cell r="A5"/>
          <cell r="B5"/>
          <cell r="C5"/>
          <cell r="D5"/>
          <cell r="E5"/>
          <cell r="F5"/>
          <cell r="G5"/>
          <cell r="H5"/>
        </row>
        <row r="6">
          <cell r="A6" t="str">
            <v>1.0</v>
          </cell>
          <cell r="B6" t="str">
            <v>SERVIÇOS PRELIMINARES</v>
          </cell>
          <cell r="C6"/>
          <cell r="D6"/>
          <cell r="E6" t="str">
            <v>SP</v>
          </cell>
          <cell r="F6"/>
          <cell r="G6"/>
          <cell r="H6"/>
        </row>
        <row r="7">
          <cell r="A7" t="str">
            <v>2.0</v>
          </cell>
          <cell r="B7" t="str">
            <v>REMOÇÕES, DEMOLIÇÕES E SUPRESSÕES</v>
          </cell>
          <cell r="E7" t="str">
            <v>SR</v>
          </cell>
          <cell r="F7"/>
          <cell r="G7"/>
          <cell r="H7"/>
        </row>
        <row r="8">
          <cell r="A8" t="str">
            <v>3.0</v>
          </cell>
          <cell r="B8" t="str">
            <v>CARGAS, TEMPO FIXO E TRANSPORTES</v>
          </cell>
          <cell r="C8"/>
          <cell r="D8"/>
          <cell r="E8" t="str">
            <v>TR</v>
          </cell>
          <cell r="F8"/>
          <cell r="G8"/>
          <cell r="H8"/>
        </row>
        <row r="9">
          <cell r="A9" t="str">
            <v>4.0</v>
          </cell>
          <cell r="B9" t="str">
            <v>MICRO E MACRODRENAGEM - ESCORAMENTO E CONTENÇÃO</v>
          </cell>
          <cell r="E9" t="str">
            <v>ES</v>
          </cell>
          <cell r="F9"/>
          <cell r="G9"/>
          <cell r="H9"/>
        </row>
        <row r="10">
          <cell r="A10" t="str">
            <v>5.0</v>
          </cell>
          <cell r="B10" t="str">
            <v>MICRO E MACRODRENAGEM - TERRAPLENAGEM</v>
          </cell>
          <cell r="C10"/>
          <cell r="D10"/>
          <cell r="E10" t="str">
            <v>DR</v>
          </cell>
          <cell r="F10"/>
          <cell r="G10"/>
          <cell r="H10"/>
        </row>
        <row r="11">
          <cell r="A11" t="str">
            <v>6.0</v>
          </cell>
          <cell r="B11" t="str">
            <v>MICRO E MACRODRENAGEM - DISPOSITIVOS AUXILIARES</v>
          </cell>
          <cell r="E11" t="str">
            <v>DR</v>
          </cell>
          <cell r="F11"/>
          <cell r="G11"/>
          <cell r="H11"/>
        </row>
        <row r="12">
          <cell r="A12" t="str">
            <v>7.0</v>
          </cell>
          <cell r="B12" t="str">
            <v>SERVIÇOS DE ESTRUTURAS E CONTENÇÕES</v>
          </cell>
          <cell r="C12"/>
          <cell r="D12"/>
          <cell r="E12" t="str">
            <v>EC</v>
          </cell>
          <cell r="F12"/>
          <cell r="G12"/>
          <cell r="H12"/>
        </row>
        <row r="13">
          <cell r="A13" t="str">
            <v>8.0</v>
          </cell>
          <cell r="B13" t="str">
            <v>PAVIMENTAÇÃO - RESTAURAÇÃO, REMENDO E FRESAGEM</v>
          </cell>
          <cell r="E13" t="str">
            <v>RE</v>
          </cell>
          <cell r="F13"/>
          <cell r="G13"/>
          <cell r="H13"/>
        </row>
        <row r="14">
          <cell r="A14" t="str">
            <v>9.0</v>
          </cell>
          <cell r="B14" t="str">
            <v>IMPLANTAÇÃO ASFÁLTICA - TERRAPLENAGEM</v>
          </cell>
          <cell r="C14"/>
          <cell r="D14"/>
          <cell r="E14" t="str">
            <v>PA</v>
          </cell>
          <cell r="F14"/>
          <cell r="G14"/>
          <cell r="H14"/>
        </row>
        <row r="15">
          <cell r="A15" t="str">
            <v>10.0</v>
          </cell>
          <cell r="B15" t="str">
            <v>IMPLANTAÇÃO ASFÁLTICA - PAVIMENTAÇÃO</v>
          </cell>
          <cell r="E15" t="str">
            <v>PA</v>
          </cell>
          <cell r="F15"/>
          <cell r="G15"/>
          <cell r="H15"/>
        </row>
        <row r="16">
          <cell r="A16" t="str">
            <v>11.0</v>
          </cell>
          <cell r="B16" t="str">
            <v>SERVIÇOS COMPLEMENTARES, PASSEIOS E ACESSIBILIDADE</v>
          </cell>
          <cell r="C16"/>
          <cell r="D16"/>
          <cell r="E16" t="str">
            <v>SC</v>
          </cell>
          <cell r="F16"/>
          <cell r="G16"/>
          <cell r="H16"/>
        </row>
        <row r="17">
          <cell r="A17" t="str">
            <v>12.0</v>
          </cell>
          <cell r="B17" t="str">
            <v>DRENAGEM DE LENÇOL FREÁTICO</v>
          </cell>
          <cell r="E17" t="str">
            <v>LF</v>
          </cell>
          <cell r="F17"/>
          <cell r="G17"/>
          <cell r="H17"/>
        </row>
        <row r="18">
          <cell r="A18" t="str">
            <v>13.0</v>
          </cell>
          <cell r="B18" t="str">
            <v>SINALIZAÇÃO VIÁRIA DEFINITIVA</v>
          </cell>
          <cell r="C18"/>
          <cell r="D18"/>
          <cell r="E18" t="str">
            <v>SV</v>
          </cell>
          <cell r="F18"/>
          <cell r="G18"/>
          <cell r="H18"/>
        </row>
        <row r="19">
          <cell r="A19" t="str">
            <v>14.0</v>
          </cell>
          <cell r="B19" t="str">
            <v>ADMINISTRAÇÃO LOCAL</v>
          </cell>
          <cell r="E19"/>
          <cell r="F19"/>
          <cell r="G19"/>
          <cell r="H19"/>
        </row>
        <row r="20">
          <cell r="A20" t="str">
            <v>15.0</v>
          </cell>
          <cell r="B20" t="str">
            <v>SERVIÇOS DE ENGENHARIA DE PROJETOS DE INFRAESTRUTURA URBANA</v>
          </cell>
          <cell r="C20"/>
          <cell r="D20"/>
          <cell r="E20"/>
          <cell r="F20"/>
          <cell r="G20"/>
          <cell r="H20"/>
        </row>
        <row r="21">
          <cell r="A21"/>
          <cell r="B21"/>
          <cell r="C21"/>
          <cell r="D21"/>
          <cell r="E21"/>
          <cell r="F21"/>
          <cell r="G21"/>
          <cell r="H21"/>
        </row>
        <row r="22">
          <cell r="A22" t="str">
            <v xml:space="preserve">CÓDIGO                  </v>
          </cell>
          <cell r="B22" t="str">
            <v>CPU</v>
          </cell>
          <cell r="C22" t="str">
            <v>PRODUTIVIDADE
OU 
COD SINAPI</v>
          </cell>
          <cell r="D22" t="str">
            <v>DESCRIÇÃO DOS SERVIÇOS COM ADEQUAÇÕES</v>
          </cell>
          <cell r="E22" t="str">
            <v>OBS.</v>
          </cell>
          <cell r="F22" t="str">
            <v>UNIDADE</v>
          </cell>
          <cell r="G22" t="str">
            <v>PREÇO UNITÁRIO (S/BDI) (R$)</v>
          </cell>
          <cell r="H22" t="str">
            <v>conferência da existência de preços</v>
          </cell>
        </row>
        <row r="23">
          <cell r="A23"/>
          <cell r="B23"/>
          <cell r="C23" t="str">
            <v>1.0</v>
          </cell>
          <cell r="D23" t="str">
            <v>SERVIÇOS PRELIMINARES</v>
          </cell>
          <cell r="E23"/>
          <cell r="F23"/>
          <cell r="G23"/>
          <cell r="H23" t="str">
            <v/>
          </cell>
        </row>
        <row r="24">
          <cell r="A24" t="str">
            <v>SP/0001</v>
          </cell>
          <cell r="B24" t="str">
            <v>COMPOSIÇÃO</v>
          </cell>
          <cell r="C24" t="str">
            <v>74209/1</v>
          </cell>
          <cell r="D24" t="str">
            <v>Placa de identificação de obra pública, inclusive pintura e adesivos, estrutura e suporte de madeira. Incluso fornecimento de material e instalação. Ref SINAPI, CÓD 74209/001, DB 01/2020</v>
          </cell>
          <cell r="E24"/>
          <cell r="F24" t="str">
            <v>M2</v>
          </cell>
          <cell r="G24">
            <v>352.57</v>
          </cell>
          <cell r="H24" t="str">
            <v>-</v>
          </cell>
        </row>
        <row r="25">
          <cell r="A25">
            <v>93207</v>
          </cell>
          <cell r="B25" t="str">
            <v>SINAPI</v>
          </cell>
          <cell r="C25"/>
          <cell r="D25" t="str">
            <v>Barracão de obra - Execução de escritório em canteiro de obra em chapa de madeira compensada, não incluso mobiliário e equipamentos. AF_02/2016</v>
          </cell>
          <cell r="E25"/>
          <cell r="F25" t="str">
            <v>M2</v>
          </cell>
          <cell r="G25">
            <v>1165.6400000000001</v>
          </cell>
          <cell r="H25" t="str">
            <v>-</v>
          </cell>
        </row>
        <row r="26">
          <cell r="A26">
            <v>93212</v>
          </cell>
          <cell r="B26" t="str">
            <v>SINAPI</v>
          </cell>
          <cell r="C26"/>
          <cell r="D26" t="str">
            <v>Barracão de obra - Execução de sanitário e vestiário em canteiro de obra em chapa de madeira compensada, não incluso mobiliário. AF_02/2016</v>
          </cell>
          <cell r="E26"/>
          <cell r="F26" t="str">
            <v>M2</v>
          </cell>
          <cell r="G26">
            <v>1005.77</v>
          </cell>
          <cell r="H26" t="str">
            <v>-</v>
          </cell>
        </row>
        <row r="27">
          <cell r="A27">
            <v>93584</v>
          </cell>
          <cell r="B27" t="str">
            <v>SINAPI</v>
          </cell>
          <cell r="C27"/>
          <cell r="D27" t="str">
            <v>Barracão de obra - Execução de depósito em canteiro de obra em chapa de madeira compensada, não incluso mobiliário. AF_04/2016</v>
          </cell>
          <cell r="E27"/>
          <cell r="F27" t="str">
            <v>M2</v>
          </cell>
          <cell r="G27">
            <v>914.83</v>
          </cell>
          <cell r="H27" t="str">
            <v>-</v>
          </cell>
        </row>
        <row r="28">
          <cell r="A28">
            <v>93585</v>
          </cell>
          <cell r="B28" t="str">
            <v>SINAPI</v>
          </cell>
          <cell r="C28"/>
          <cell r="D28" t="str">
            <v>Execução de guarita em canteiro de obra em chapa de madeira compensada, não incluso mobiliário. AF_04/2016</v>
          </cell>
          <cell r="E28"/>
          <cell r="F28" t="str">
            <v>M2</v>
          </cell>
          <cell r="G28">
            <v>1282.79</v>
          </cell>
          <cell r="H28" t="str">
            <v>-</v>
          </cell>
        </row>
        <row r="29">
          <cell r="A29">
            <v>10775</v>
          </cell>
          <cell r="B29" t="str">
            <v>SINAPI</v>
          </cell>
          <cell r="C29"/>
          <cell r="D29" t="str">
            <v>Locação de container 2,30  x  6,00 m, alt. 2,50 m, com 1 sanitário, para escritório, completo, sem divisórias internas</v>
          </cell>
          <cell r="E29"/>
          <cell r="F29" t="str">
            <v xml:space="preserve">MES   </v>
          </cell>
          <cell r="G29">
            <v>895</v>
          </cell>
          <cell r="H29" t="str">
            <v>-</v>
          </cell>
        </row>
        <row r="30">
          <cell r="A30">
            <v>10776</v>
          </cell>
          <cell r="B30" t="str">
            <v>SINAPI</v>
          </cell>
          <cell r="C30"/>
          <cell r="D30" t="str">
            <v>Locação de container 2,30  x  6,00 m, alt. 2,50 m, para escritório, sem divisórias internas e sem sanitário</v>
          </cell>
          <cell r="E30"/>
          <cell r="F30" t="str">
            <v xml:space="preserve">MES   </v>
          </cell>
          <cell r="G30">
            <v>699.21</v>
          </cell>
          <cell r="H30" t="str">
            <v>-</v>
          </cell>
        </row>
        <row r="31">
          <cell r="A31">
            <v>10777</v>
          </cell>
          <cell r="B31" t="str">
            <v>SINAPI</v>
          </cell>
          <cell r="C31"/>
          <cell r="D31" t="str">
            <v>Locação de container 2,30 x 4,30 m, alt. 2,50 m, para sanitário, com 3 bacias, 4 chuveiros, 1 lavatório e 1 mictório</v>
          </cell>
          <cell r="E31"/>
          <cell r="F31" t="str">
            <v xml:space="preserve">MES   </v>
          </cell>
          <cell r="G31">
            <v>1016.19</v>
          </cell>
          <cell r="H31" t="str">
            <v>-</v>
          </cell>
        </row>
        <row r="32">
          <cell r="A32">
            <v>10778</v>
          </cell>
          <cell r="B32" t="str">
            <v>SINAPI</v>
          </cell>
          <cell r="C32"/>
          <cell r="D32" t="str">
            <v>Locação de container 2,30 x 6,00 m, alt. 2,50 m,  para sanitário,  com 4 bacias, 8 chuveiros,1 lavatório e 1 mictório</v>
          </cell>
          <cell r="E32"/>
          <cell r="F32" t="str">
            <v xml:space="preserve">MES   </v>
          </cell>
          <cell r="G32">
            <v>1118.75</v>
          </cell>
          <cell r="H32" t="str">
            <v>-</v>
          </cell>
        </row>
        <row r="33">
          <cell r="A33" t="str">
            <v>SP/0004</v>
          </cell>
          <cell r="B33" t="str">
            <v>COMPOSIÇÃO</v>
          </cell>
          <cell r="C33"/>
          <cell r="D33" t="str">
            <v>Aluguel de banheiro quimico, incluindo transporte de ida e volta, manutencao e higienizacao 3 vezes por semana. Modelo Luxo, dimensões 2,31 x 1,15 x 1,15m. Cidade: Campo Grande/MS</v>
          </cell>
          <cell r="E33"/>
          <cell r="F33" t="str">
            <v>UN.MÊS</v>
          </cell>
          <cell r="G33">
            <v>2000</v>
          </cell>
          <cell r="H33" t="str">
            <v>-</v>
          </cell>
        </row>
        <row r="34">
          <cell r="A34" t="str">
            <v>SP/0005</v>
          </cell>
          <cell r="B34" t="str">
            <v>COMPOSIÇÃO</v>
          </cell>
          <cell r="C34"/>
          <cell r="D34" t="str">
            <v>Aluguel de banheiro quimico, incluindo transporte de ida e volta, manutencao e higienizacao 3 vezes por semana. Modelo Luxo, dimensões 2,31 x 1,15 x 1,15m</v>
          </cell>
          <cell r="E34"/>
          <cell r="F34" t="str">
            <v>UN.MÊS</v>
          </cell>
          <cell r="G34">
            <v>1200</v>
          </cell>
          <cell r="H34" t="str">
            <v>-</v>
          </cell>
        </row>
        <row r="35">
          <cell r="A35" t="str">
            <v>SP/0008</v>
          </cell>
          <cell r="B35" t="str">
            <v>COMPOSIÇÃO</v>
          </cell>
          <cell r="C35"/>
          <cell r="D35" t="str">
            <v>Aluguel de banheiro quimico, incluindo transporte de ida e volta, manutencao e higienizacao 3 vezes por semana. Dimensões 2,31 x 1,15 x 1,15m. Cidade: Três Lagoas/MS</v>
          </cell>
          <cell r="E35"/>
          <cell r="F35" t="str">
            <v>UN.MÊS</v>
          </cell>
          <cell r="G35">
            <v>600</v>
          </cell>
          <cell r="H35" t="str">
            <v>-</v>
          </cell>
        </row>
        <row r="36">
          <cell r="A36" t="str">
            <v>SP/0006</v>
          </cell>
          <cell r="B36" t="str">
            <v>COMPOSIÇÃO</v>
          </cell>
          <cell r="C36"/>
          <cell r="D36" t="str">
            <v>Usina de Asfalto completa - Instalação</v>
          </cell>
          <cell r="E36"/>
          <cell r="F36" t="str">
            <v xml:space="preserve">UN </v>
          </cell>
          <cell r="G36">
            <v>368889.19</v>
          </cell>
          <cell r="H36" t="str">
            <v>-</v>
          </cell>
        </row>
        <row r="37">
          <cell r="A37" t="str">
            <v>SP/0009</v>
          </cell>
          <cell r="B37" t="str">
            <v>COMPOSIÇÃO</v>
          </cell>
          <cell r="C37"/>
          <cell r="D37" t="str">
            <v>Instalação da usina de asfalto a quente capacidade de 120 t/h. Ref SICRO CÓD. 0903810, DB 01-23</v>
          </cell>
          <cell r="E37"/>
          <cell r="F37" t="str">
            <v xml:space="preserve">UN </v>
          </cell>
          <cell r="G37">
            <v>208573.05</v>
          </cell>
          <cell r="H37" t="str">
            <v>-</v>
          </cell>
        </row>
        <row r="38">
          <cell r="A38" t="str">
            <v>SP/0220</v>
          </cell>
          <cell r="B38" t="str">
            <v>COMPOSIÇÃO</v>
          </cell>
          <cell r="C38"/>
          <cell r="D38" t="str">
            <v>Instalação da usina móvel de asfalto a quente capacidade de 40 T/H a 80 T/H. Ref SICRO CÓD. 0903810 e 0903809, DB 01-23</v>
          </cell>
          <cell r="E38"/>
          <cell r="F38" t="str">
            <v xml:space="preserve">UN </v>
          </cell>
          <cell r="G38">
            <v>48947.42</v>
          </cell>
          <cell r="H38" t="str">
            <v>-</v>
          </cell>
        </row>
        <row r="39">
          <cell r="A39" t="str">
            <v>SP/0007</v>
          </cell>
          <cell r="B39" t="str">
            <v>COMPOSIÇÃO</v>
          </cell>
          <cell r="C39"/>
          <cell r="D39" t="str">
            <v>Usina de Asfalto completa  - Mobilização e Desmobilização. Exclusive instalação</v>
          </cell>
          <cell r="E39" t="str">
            <v>ATENÇÃO
digitar na CCU o DMT para acrescentar o custo dos motoristas</v>
          </cell>
          <cell r="F39" t="str">
            <v>KM</v>
          </cell>
          <cell r="G39">
            <v>66.28</v>
          </cell>
          <cell r="H39" t="str">
            <v>-</v>
          </cell>
        </row>
        <row r="40">
          <cell r="A40" t="str">
            <v>SP/0010</v>
          </cell>
          <cell r="B40" t="str">
            <v>COMPOSIÇÃO</v>
          </cell>
          <cell r="C40"/>
          <cell r="D40" t="str">
            <v>Iluminação e ventilação para execução de tunnel liner. Ref SICRO, CÓD 4816003 e 4816004. DB 07-2021</v>
          </cell>
          <cell r="E40"/>
          <cell r="F40" t="str">
            <v>M</v>
          </cell>
          <cell r="G40">
            <v>88.48</v>
          </cell>
          <cell r="H40" t="str">
            <v>-</v>
          </cell>
        </row>
        <row r="41">
          <cell r="A41" t="str">
            <v>SP/0020</v>
          </cell>
          <cell r="B41" t="str">
            <v>COMPOSIÇÃO</v>
          </cell>
          <cell r="C41"/>
          <cell r="D41" t="str">
            <v>Segurança de trânsito - sinalização de advertência de obra com placa (fundo laranja) sobre cavalete, conforme ABNT - NBR-7678 Segurança na execução de obras e serviços de construção Ministério do Trabalho e da Previdência Social - NB-26 - Sinalização De Segurança CONTRAN - Manual De Noções De Normas De Trânsito</v>
          </cell>
          <cell r="E41"/>
          <cell r="F41" t="str">
            <v>M2</v>
          </cell>
          <cell r="G41">
            <v>135.69999999999999</v>
          </cell>
          <cell r="H41" t="str">
            <v>-</v>
          </cell>
        </row>
        <row r="42">
          <cell r="A42" t="str">
            <v>SP/0025</v>
          </cell>
          <cell r="B42" t="str">
            <v>COMPOSIÇÃO</v>
          </cell>
          <cell r="C42" t="str">
            <v>74221/1</v>
          </cell>
          <cell r="D42" t="str">
            <v>Segurança de trânsito - sinalização de advertência de obra com elemento luminoso (balde vermelho)</v>
          </cell>
          <cell r="E42"/>
          <cell r="F42" t="str">
            <v>M</v>
          </cell>
          <cell r="G42">
            <v>3.18</v>
          </cell>
          <cell r="H42" t="str">
            <v>-</v>
          </cell>
        </row>
        <row r="43">
          <cell r="A43">
            <v>98458</v>
          </cell>
          <cell r="B43" t="str">
            <v>SINAPI</v>
          </cell>
          <cell r="C43"/>
          <cell r="D43" t="str">
            <v>Segurança de trânsito - tapume baixo removível de proteção para valas com chapas compensadas (6 mm). Exclusive pintura de sinalização de advertência</v>
          </cell>
          <cell r="E43"/>
          <cell r="F43" t="str">
            <v>M2</v>
          </cell>
          <cell r="G43">
            <v>153.18</v>
          </cell>
          <cell r="H43" t="str">
            <v>-</v>
          </cell>
        </row>
        <row r="44">
          <cell r="A44">
            <v>98459</v>
          </cell>
          <cell r="B44" t="str">
            <v>SINAPI</v>
          </cell>
          <cell r="C44"/>
          <cell r="D44" t="str">
            <v>Tapume com telha metálica, sem pintura, trapezoidal espessura 0,5 mm, colunas, bases e parafusos</v>
          </cell>
          <cell r="E44"/>
          <cell r="F44" t="str">
            <v>M2</v>
          </cell>
          <cell r="G44">
            <v>119.83</v>
          </cell>
          <cell r="H44" t="str">
            <v>-</v>
          </cell>
        </row>
        <row r="45">
          <cell r="A45" t="str">
            <v>SP/0030</v>
          </cell>
          <cell r="B45" t="str">
            <v>COMPOSIÇÃO</v>
          </cell>
          <cell r="C45">
            <v>85423</v>
          </cell>
          <cell r="D45" t="str">
            <v>Segurança de trânsito - isolamento de obra com tela cerquite plática laranja conforme ABNT - NBR-7678 Segurança na execução de obras e serviços de construção Ministério do Trabalho e da Previdência Social - NB-26 - Sinalização De Segurança CONTRAN - Manual De Noções De Normas De Trânsito</v>
          </cell>
          <cell r="E45"/>
          <cell r="F45" t="str">
            <v>M</v>
          </cell>
          <cell r="G45">
            <v>9.85</v>
          </cell>
          <cell r="H45" t="str">
            <v>-</v>
          </cell>
        </row>
        <row r="46">
          <cell r="A46">
            <v>13244</v>
          </cell>
          <cell r="B46" t="str">
            <v>SINAPI</v>
          </cell>
          <cell r="C46"/>
          <cell r="D46" t="str">
            <v>Segurança de trânsito - cone de sinalização em pvc rígido com faixa refletiva, h = 70 / 76 cm</v>
          </cell>
          <cell r="E46"/>
          <cell r="F46" t="str">
            <v xml:space="preserve">UN    </v>
          </cell>
          <cell r="G46">
            <v>51.9</v>
          </cell>
          <cell r="H46" t="str">
            <v>-</v>
          </cell>
        </row>
        <row r="47">
          <cell r="A47" t="str">
            <v>SP/0050</v>
          </cell>
          <cell r="B47" t="str">
            <v>COMPOSIÇÃO</v>
          </cell>
          <cell r="C47"/>
          <cell r="D47" t="str">
            <v>Sondagem de investigação de interferências subterrâneas, incluindo escavações mecânica e manual e reaterro</v>
          </cell>
          <cell r="E47"/>
          <cell r="F47" t="str">
            <v xml:space="preserve">UN </v>
          </cell>
          <cell r="G47">
            <v>261.77999999999997</v>
          </cell>
          <cell r="H47" t="str">
            <v>-</v>
          </cell>
        </row>
        <row r="48">
          <cell r="A48" t="str">
            <v>SP/0060</v>
          </cell>
          <cell r="B48" t="str">
            <v>COMPOSIÇÃO</v>
          </cell>
          <cell r="C48"/>
          <cell r="D48" t="str">
            <v>Reparo em ramal de ligação predial de água</v>
          </cell>
          <cell r="E48"/>
          <cell r="F48" t="str">
            <v xml:space="preserve">UN </v>
          </cell>
          <cell r="G48">
            <v>228.44</v>
          </cell>
          <cell r="H48" t="str">
            <v>-</v>
          </cell>
        </row>
        <row r="49">
          <cell r="A49" t="str">
            <v>SP/0074</v>
          </cell>
          <cell r="B49" t="str">
            <v>COMPOSIÇÃO</v>
          </cell>
          <cell r="C49" t="str">
            <v>DESATIVADA</v>
          </cell>
          <cell r="D49" t="e">
            <v>#REF!</v>
          </cell>
          <cell r="E49"/>
          <cell r="F49" t="e">
            <v>#REF!</v>
          </cell>
          <cell r="G49" t="e">
            <v>#REF!</v>
          </cell>
          <cell r="H49" t="str">
            <v>VER COMP</v>
          </cell>
        </row>
        <row r="50">
          <cell r="A50" t="str">
            <v>SP/0076</v>
          </cell>
          <cell r="B50" t="str">
            <v>COMPOSIÇÃO</v>
          </cell>
          <cell r="C50" t="str">
            <v>DESATIVADA</v>
          </cell>
          <cell r="D50" t="e">
            <v>#REF!</v>
          </cell>
          <cell r="E50"/>
          <cell r="F50" t="e">
            <v>#REF!</v>
          </cell>
          <cell r="G50" t="e">
            <v>#REF!</v>
          </cell>
          <cell r="H50" t="str">
            <v>VER COMP</v>
          </cell>
        </row>
        <row r="51">
          <cell r="A51" t="str">
            <v>SP/0077</v>
          </cell>
          <cell r="B51" t="str">
            <v>COMPOSIÇÃO</v>
          </cell>
          <cell r="C51"/>
          <cell r="D51" t="str">
            <v>Limpeza e desobstrução mecanizada de tubulações com diâmetro acima de 1,00 até 1,50 m, inclusive carga. REF SICRO 4915634, db 04-2023</v>
          </cell>
          <cell r="E51"/>
          <cell r="F51" t="str">
            <v>M</v>
          </cell>
          <cell r="G51">
            <v>61.86</v>
          </cell>
          <cell r="H51" t="str">
            <v>-</v>
          </cell>
        </row>
        <row r="52">
          <cell r="A52" t="str">
            <v>SP/0078</v>
          </cell>
          <cell r="B52" t="str">
            <v>COMPOSIÇÃO</v>
          </cell>
          <cell r="C52"/>
          <cell r="D52" t="str">
            <v>Limpeza e desobstrução mecanizada de tubulações com diâmetro de até 1,00 m, inclusive carga. REF SICRO 4915633, db 04-2023</v>
          </cell>
          <cell r="E52"/>
          <cell r="F52" t="str">
            <v>M</v>
          </cell>
          <cell r="G52">
            <v>20.399999999999999</v>
          </cell>
          <cell r="H52" t="str">
            <v>-</v>
          </cell>
        </row>
        <row r="53">
          <cell r="A53" t="str">
            <v>SP/0079</v>
          </cell>
          <cell r="B53" t="str">
            <v>COMPOSIÇÃO</v>
          </cell>
          <cell r="C53"/>
          <cell r="D53" t="str">
            <v>Desobstrução manual de PV e BL. REF SICRO 4915713</v>
          </cell>
          <cell r="E53"/>
          <cell r="F53" t="str">
            <v>M³</v>
          </cell>
          <cell r="G53">
            <v>53.22</v>
          </cell>
          <cell r="H53" t="str">
            <v>-</v>
          </cell>
        </row>
        <row r="54">
          <cell r="A54" t="str">
            <v>SP/0080</v>
          </cell>
          <cell r="B54" t="str">
            <v>COMPOSIÇÃO</v>
          </cell>
          <cell r="C54"/>
          <cell r="D54" t="str">
            <v>Limpeza mecanizada de camada vegetal tipo gramínea, com miniescavadeira sobre esteira</v>
          </cell>
          <cell r="E54"/>
          <cell r="F54" t="str">
            <v>M2</v>
          </cell>
          <cell r="G54">
            <v>2.63</v>
          </cell>
          <cell r="H54" t="str">
            <v>-</v>
          </cell>
        </row>
        <row r="55">
          <cell r="A55">
            <v>99814</v>
          </cell>
          <cell r="B55" t="str">
            <v>SINAPI</v>
          </cell>
          <cell r="C55"/>
          <cell r="D55" t="str">
            <v>Limpeza de superfície com jato de alta pressão. AF_04/2019</v>
          </cell>
          <cell r="E55"/>
          <cell r="F55" t="str">
            <v>M2</v>
          </cell>
          <cell r="G55">
            <v>1.6</v>
          </cell>
          <cell r="H55" t="str">
            <v>-</v>
          </cell>
        </row>
        <row r="56">
          <cell r="A56">
            <v>98519</v>
          </cell>
          <cell r="B56" t="str">
            <v>SINAPI</v>
          </cell>
          <cell r="C56"/>
          <cell r="D56" t="str">
            <v>Revolvimento e limpeza manual de solo. AF_05/2018</v>
          </cell>
          <cell r="E56"/>
          <cell r="F56" t="str">
            <v>M2</v>
          </cell>
          <cell r="G56">
            <v>1.7</v>
          </cell>
          <cell r="H56" t="str">
            <v>-</v>
          </cell>
        </row>
        <row r="57">
          <cell r="A57">
            <v>98525</v>
          </cell>
          <cell r="B57" t="str">
            <v>SINAPI</v>
          </cell>
          <cell r="C57">
            <v>333.33</v>
          </cell>
          <cell r="D57" t="str">
            <v>Limpeza mecanizada de camada vegetal, vegetação e pequenas árvores (diâmetro nominal de tronco menor que 0,20 m), com trator de esteiras. AF_05/2018</v>
          </cell>
          <cell r="E57"/>
          <cell r="F57" t="str">
            <v>M2</v>
          </cell>
          <cell r="G57">
            <v>0.35</v>
          </cell>
          <cell r="H57" t="str">
            <v>-</v>
          </cell>
        </row>
        <row r="58">
          <cell r="A58">
            <v>98524</v>
          </cell>
          <cell r="B58" t="str">
            <v>SINAPI</v>
          </cell>
          <cell r="C58" t="str">
            <v>73859/2</v>
          </cell>
          <cell r="D58" t="str">
            <v>Limpeza manual de vegetação em terreno com enxada. AF_05/2018</v>
          </cell>
          <cell r="E58"/>
          <cell r="F58" t="str">
            <v>M2</v>
          </cell>
          <cell r="G58">
            <v>2.64</v>
          </cell>
          <cell r="H58" t="str">
            <v>-</v>
          </cell>
        </row>
        <row r="59">
          <cell r="A59">
            <v>93210</v>
          </cell>
          <cell r="B59" t="str">
            <v>SINAPI</v>
          </cell>
          <cell r="C59"/>
          <cell r="D59" t="str">
            <v>Execução de refeitório em canteiro de obra em chapa de madeira compensada, não incluso mobiliário e equipamentos. af_02/2016</v>
          </cell>
          <cell r="E59"/>
          <cell r="F59" t="str">
            <v>M2</v>
          </cell>
          <cell r="G59">
            <v>603.75</v>
          </cell>
          <cell r="H59" t="str">
            <v>-</v>
          </cell>
        </row>
        <row r="60">
          <cell r="A60">
            <v>93582</v>
          </cell>
          <cell r="B60" t="str">
            <v>SINAPI</v>
          </cell>
          <cell r="C60"/>
          <cell r="D60" t="str">
            <v>Execução de central de armadura em canteiro de obra, não incluso mobiliário e equipamentos. af_04/2016</v>
          </cell>
          <cell r="E60"/>
          <cell r="F60" t="str">
            <v>M2</v>
          </cell>
          <cell r="G60">
            <v>280.06</v>
          </cell>
          <cell r="H60" t="str">
            <v>-</v>
          </cell>
        </row>
        <row r="61">
          <cell r="A61">
            <v>93583</v>
          </cell>
          <cell r="B61" t="str">
            <v>SINAPI</v>
          </cell>
          <cell r="C61"/>
          <cell r="D61" t="str">
            <v>Execução de central de fôrmas, produção de argamassa ou concreto em canteiro de obra, não incluso mobiliário e equipamentos. af_04/2016</v>
          </cell>
          <cell r="E61"/>
          <cell r="F61" t="str">
            <v>M2</v>
          </cell>
          <cell r="G61">
            <v>454.39</v>
          </cell>
          <cell r="H61" t="str">
            <v>-</v>
          </cell>
        </row>
        <row r="62">
          <cell r="A62" t="str">
            <v>SP/0100</v>
          </cell>
          <cell r="B62" t="str">
            <v>COMPOSIÇÃO</v>
          </cell>
          <cell r="C62"/>
          <cell r="D62" t="str">
            <v>Barreira de sinalização tipo I de direcionamento ou bloqueio - utilização de 10 vezes. Ref SICRO CÓD  5213385, DB 07-2021</v>
          </cell>
          <cell r="E62"/>
          <cell r="F62" t="str">
            <v>UN</v>
          </cell>
          <cell r="G62">
            <v>278.2</v>
          </cell>
          <cell r="H62" t="str">
            <v>-</v>
          </cell>
        </row>
        <row r="63">
          <cell r="A63" t="str">
            <v>SP/0105</v>
          </cell>
          <cell r="B63" t="str">
            <v>COMPOSIÇÃO</v>
          </cell>
          <cell r="C63"/>
          <cell r="D63" t="str">
            <v>Operação de sinalização por bandeirola de tecido ou com placa metálica. Ref SICRO CÓD  5213850, DB 07-2021</v>
          </cell>
          <cell r="E63"/>
          <cell r="F63" t="str">
            <v>H</v>
          </cell>
          <cell r="G63">
            <v>17.739999999999998</v>
          </cell>
          <cell r="H63" t="str">
            <v>-</v>
          </cell>
        </row>
        <row r="64">
          <cell r="A64" t="str">
            <v>SP/0110</v>
          </cell>
          <cell r="B64" t="str">
            <v>COMPOSIÇÃO</v>
          </cell>
          <cell r="C64"/>
          <cell r="D64" t="str">
            <v>Confecção de cavalete em perfil metálico para placa de sinalização - 1,00 m x 1,00 m. Ref SICRO CÓD  5219544, DB 07-2021</v>
          </cell>
          <cell r="E64"/>
          <cell r="F64" t="str">
            <v>UN</v>
          </cell>
          <cell r="G64">
            <v>238.24</v>
          </cell>
          <cell r="H64" t="str">
            <v>-</v>
          </cell>
        </row>
        <row r="65">
          <cell r="A65" t="str">
            <v>SP/0115</v>
          </cell>
          <cell r="B65" t="str">
            <v>COMPOSIÇÃO</v>
          </cell>
          <cell r="C65"/>
          <cell r="D65" t="str">
            <v>Corte de perfil metálico com máquina policorte com espessura de até 1/8". Ref SICRO CÓD  1419543, DB 07-2021</v>
          </cell>
          <cell r="E65"/>
          <cell r="F65" t="str">
            <v>UN</v>
          </cell>
          <cell r="G65">
            <v>0.28999999999999998</v>
          </cell>
          <cell r="H65" t="str">
            <v>-</v>
          </cell>
        </row>
        <row r="66">
          <cell r="A66" t="str">
            <v>SP/0120</v>
          </cell>
          <cell r="B66" t="str">
            <v>COMPOSIÇÃO</v>
          </cell>
          <cell r="C66"/>
          <cell r="D66" t="str">
            <v>Solda elétrica de perfis metálicos e chapas de aço com eletrodo E60XX. Ref SICRO CÓD  2408057, DB 07-2021</v>
          </cell>
          <cell r="E66"/>
          <cell r="F66" t="str">
            <v>KG</v>
          </cell>
          <cell r="G66">
            <v>135.61000000000001</v>
          </cell>
          <cell r="H66" t="str">
            <v>-</v>
          </cell>
        </row>
        <row r="67">
          <cell r="A67" t="str">
            <v>SP/0125</v>
          </cell>
          <cell r="B67" t="str">
            <v>COMPOSIÇÃO</v>
          </cell>
          <cell r="C67"/>
          <cell r="D67" t="str">
            <v>Fornecimento e implantação de placa em aço - película I + I. Ref SICRO CÓD  5213570, DB 07-2021</v>
          </cell>
          <cell r="E67"/>
          <cell r="F67" t="str">
            <v>m2</v>
          </cell>
          <cell r="G67">
            <v>630.37</v>
          </cell>
          <cell r="H67" t="str">
            <v>-</v>
          </cell>
        </row>
        <row r="68">
          <cell r="A68" t="str">
            <v>SP/0130</v>
          </cell>
          <cell r="B68" t="str">
            <v>COMPOSIÇÃO</v>
          </cell>
          <cell r="C68"/>
          <cell r="D68" t="str">
            <v>Fornecimento e implantação de suporte e travessa para placa de sinalização em madeira de lei tratada 8 x 8 cm. Ref SICRO CÓD  5216111, DB 07-2021</v>
          </cell>
          <cell r="E68"/>
          <cell r="F68" t="str">
            <v>UN</v>
          </cell>
          <cell r="G68">
            <v>162.47999999999999</v>
          </cell>
          <cell r="H68" t="str">
            <v>-</v>
          </cell>
        </row>
        <row r="69">
          <cell r="A69" t="str">
            <v>SP/0140</v>
          </cell>
          <cell r="B69" t="str">
            <v>COMPOSIÇÃO</v>
          </cell>
          <cell r="C69"/>
          <cell r="D69" t="str">
            <v>Limpeza em superficie de concreto com jateamento d'água sob pressão. Ref SICRO CÓD  3806402, DB 01-2021</v>
          </cell>
          <cell r="E69"/>
          <cell r="F69" t="str">
            <v>M2</v>
          </cell>
          <cell r="G69">
            <v>3.23</v>
          </cell>
          <cell r="H69" t="str">
            <v>-</v>
          </cell>
        </row>
        <row r="70">
          <cell r="A70" t="str">
            <v>SP/0150</v>
          </cell>
          <cell r="B70" t="str">
            <v>COMPOSIÇÃO</v>
          </cell>
          <cell r="C70"/>
          <cell r="D70" t="str">
            <v>Montagem e desmontagem da usina de asfalto a quente com capacidade de 120 t/h - inclusive construção e demolição de bases, rampas, depósitos de agregados e dique de contenção. Ref SICRO CÓD  0919013, DB 01-2023</v>
          </cell>
          <cell r="E70"/>
          <cell r="F70" t="str">
            <v>UN</v>
          </cell>
          <cell r="G70">
            <v>145831.79999999999</v>
          </cell>
          <cell r="H70" t="str">
            <v>-</v>
          </cell>
        </row>
        <row r="71">
          <cell r="A71" t="str">
            <v>SP/0160</v>
          </cell>
          <cell r="B71" t="str">
            <v>COMPOSIÇÃO</v>
          </cell>
          <cell r="C71"/>
          <cell r="D71" t="str">
            <v>Chumbador de expansão controlada por torque para concreto D = 16 mm - fornecimento e instalação. Ref SICRO CÓD  3807864, DB 01-2023</v>
          </cell>
          <cell r="E71"/>
          <cell r="F71" t="str">
            <v>UN</v>
          </cell>
          <cell r="G71">
            <v>20.59</v>
          </cell>
          <cell r="H71" t="str">
            <v>-</v>
          </cell>
        </row>
        <row r="72">
          <cell r="A72" t="str">
            <v>SP/0170</v>
          </cell>
          <cell r="B72" t="str">
            <v>COMPOSIÇÃO</v>
          </cell>
          <cell r="C72"/>
          <cell r="D72" t="str">
            <v>Demolição mecânica de concreto armado, com escavadeira hidráulica com martelo hidráulico - sem reaproveitamento, inclusive carga. Ref SICRO CÓD  1619003, DB 01-2023</v>
          </cell>
          <cell r="E72"/>
          <cell r="F72" t="str">
            <v>M³</v>
          </cell>
          <cell r="G72">
            <v>86.88</v>
          </cell>
          <cell r="H72" t="str">
            <v>-</v>
          </cell>
        </row>
        <row r="73">
          <cell r="A73" t="str">
            <v>SP/0180</v>
          </cell>
          <cell r="B73" t="str">
            <v>COMPOSIÇÃO</v>
          </cell>
          <cell r="C73"/>
          <cell r="D73" t="str">
            <v>Dique de contenção para usina de asfalto a quente - inclusive demolição. Ref SICRO CÓD  0919079, DB 01-2023</v>
          </cell>
          <cell r="E73"/>
          <cell r="F73" t="str">
            <v>M²</v>
          </cell>
          <cell r="G73">
            <v>143.74</v>
          </cell>
          <cell r="H73" t="str">
            <v>-</v>
          </cell>
        </row>
        <row r="74">
          <cell r="A74" t="str">
            <v>SP/0190</v>
          </cell>
          <cell r="B74" t="str">
            <v>COMPOSIÇÃO</v>
          </cell>
          <cell r="C74"/>
          <cell r="D74" t="str">
            <v>Muro em alvenaria de blocos de concreto com espessura de 0,20 m h = 1,0 m. Ref SICRO CÓD 0903848, DB 01-2023</v>
          </cell>
          <cell r="E74"/>
          <cell r="F74" t="str">
            <v>M</v>
          </cell>
          <cell r="G74">
            <v>174.27</v>
          </cell>
          <cell r="H74" t="str">
            <v>-</v>
          </cell>
        </row>
        <row r="75">
          <cell r="A75" t="str">
            <v>SP/0200</v>
          </cell>
          <cell r="B75" t="str">
            <v>COMPOSIÇÃO</v>
          </cell>
          <cell r="C75"/>
          <cell r="D75" t="str">
            <v>Rampa para acesso do misturador de agregados para usina de asfalto a quente - inclusive demolição. Ref SICRO CÓD 0909617, DB 01-2023</v>
          </cell>
          <cell r="E75"/>
          <cell r="F75" t="str">
            <v>UN</v>
          </cell>
          <cell r="G75">
            <v>23543.4</v>
          </cell>
          <cell r="H75" t="str">
            <v>-</v>
          </cell>
        </row>
        <row r="76">
          <cell r="A76" t="str">
            <v>SP/0210</v>
          </cell>
          <cell r="B76" t="str">
            <v>COMPOSIÇÃO</v>
          </cell>
          <cell r="C76"/>
          <cell r="D76" t="str">
            <v>Compactação manual com soquete vibratório. Ref SICRO CÓD 4805754, DB 01-2023</v>
          </cell>
          <cell r="E76"/>
          <cell r="F76" t="str">
            <v>M³</v>
          </cell>
          <cell r="G76">
            <v>5.31</v>
          </cell>
          <cell r="H76" t="str">
            <v>-</v>
          </cell>
        </row>
        <row r="77">
          <cell r="A77"/>
          <cell r="B77"/>
          <cell r="C77"/>
          <cell r="D77"/>
          <cell r="E77"/>
          <cell r="F77"/>
          <cell r="G77"/>
          <cell r="H77"/>
        </row>
        <row r="78">
          <cell r="A78"/>
          <cell r="B78"/>
          <cell r="C78" t="str">
            <v>2.0</v>
          </cell>
          <cell r="D78" t="str">
            <v>REMOÇÕES, DEMOLIÇÕES E SUPRESSÕES</v>
          </cell>
          <cell r="E78"/>
          <cell r="F78"/>
          <cell r="G78"/>
          <cell r="H78" t="str">
            <v/>
          </cell>
        </row>
        <row r="79">
          <cell r="A79">
            <v>98526</v>
          </cell>
          <cell r="B79" t="str">
            <v>SINAPI</v>
          </cell>
          <cell r="C79"/>
          <cell r="D79" t="str">
            <v>Remoção de raízes remanescentes de tronco de árvore com diâmetro maior ou igual a 0,20 m e menor que 0,40 m. AF_05/2018</v>
          </cell>
          <cell r="E79"/>
          <cell r="F79" t="str">
            <v>UN</v>
          </cell>
          <cell r="G79">
            <v>76.16</v>
          </cell>
          <cell r="H79" t="str">
            <v>-</v>
          </cell>
        </row>
        <row r="80">
          <cell r="A80">
            <v>98527</v>
          </cell>
          <cell r="B80" t="str">
            <v>SINAPI</v>
          </cell>
          <cell r="C80"/>
          <cell r="D80" t="str">
            <v>Remoção de raízes remanescentes de tronco de árvore com diâmetro maior ou igual a 0,40 m e menor que 0,60 m. AF_05/2018</v>
          </cell>
          <cell r="E80"/>
          <cell r="F80" t="str">
            <v>UN</v>
          </cell>
          <cell r="G80">
            <v>163.97</v>
          </cell>
          <cell r="H80" t="str">
            <v>-</v>
          </cell>
        </row>
        <row r="81">
          <cell r="A81">
            <v>98528</v>
          </cell>
          <cell r="B81" t="str">
            <v>SINAPI</v>
          </cell>
          <cell r="C81"/>
          <cell r="D81" t="str">
            <v>Remoção de raízes remanescentes de tronco de árvore com diâmetro maior ou igual a 0,60 m. AF_05/2018</v>
          </cell>
          <cell r="E81"/>
          <cell r="F81" t="str">
            <v>UN</v>
          </cell>
          <cell r="G81">
            <v>239.78</v>
          </cell>
          <cell r="H81" t="str">
            <v>-</v>
          </cell>
        </row>
        <row r="82">
          <cell r="A82">
            <v>98529</v>
          </cell>
          <cell r="B82" t="str">
            <v>SINAPI</v>
          </cell>
          <cell r="C82"/>
          <cell r="D82" t="str">
            <v>Corte raso e recorte de árvore com diâmetro nominal de tronco maior ou igual a 0,20 m e menor que 0,40 m. AF_05/2018</v>
          </cell>
          <cell r="E82"/>
          <cell r="F82" t="str">
            <v>UN</v>
          </cell>
          <cell r="G82">
            <v>57.01</v>
          </cell>
          <cell r="H82" t="str">
            <v>-</v>
          </cell>
        </row>
        <row r="83">
          <cell r="A83">
            <v>98530</v>
          </cell>
          <cell r="B83" t="str">
            <v>SINAPI</v>
          </cell>
          <cell r="C83"/>
          <cell r="D83" t="str">
            <v>Corte raso e recorte de árvore com diâmetro nominal de tronco maior ou igual a 0,40 m e menor que 0,60 m. AF_05/2018</v>
          </cell>
          <cell r="E83"/>
          <cell r="F83" t="str">
            <v>UN</v>
          </cell>
          <cell r="G83">
            <v>101.56</v>
          </cell>
          <cell r="H83" t="str">
            <v>-</v>
          </cell>
        </row>
        <row r="84">
          <cell r="A84">
            <v>98531</v>
          </cell>
          <cell r="B84" t="str">
            <v>SINAPI</v>
          </cell>
          <cell r="C84"/>
          <cell r="D84" t="str">
            <v>Corte raso e recorte de árvore com diâmetro nominal de tronco maior ou igual a 0,60 m. AF_05/2018</v>
          </cell>
          <cell r="E84"/>
          <cell r="F84" t="str">
            <v>UN</v>
          </cell>
          <cell r="G84">
            <v>251.83</v>
          </cell>
          <cell r="H84" t="str">
            <v>-</v>
          </cell>
        </row>
        <row r="85">
          <cell r="A85">
            <v>98532</v>
          </cell>
          <cell r="B85" t="str">
            <v>SINAPI</v>
          </cell>
          <cell r="C85"/>
          <cell r="D85" t="str">
            <v>Poda em altura de árvore com diâmetro nominal de tronco menor que 0,20 m. AF_05/2018</v>
          </cell>
          <cell r="E85"/>
          <cell r="F85" t="str">
            <v>UN</v>
          </cell>
          <cell r="G85">
            <v>109.33</v>
          </cell>
          <cell r="H85" t="str">
            <v>-</v>
          </cell>
        </row>
        <row r="86">
          <cell r="A86">
            <v>98533</v>
          </cell>
          <cell r="B86" t="str">
            <v>SINAPI</v>
          </cell>
          <cell r="C86"/>
          <cell r="D86" t="str">
            <v>Poda em altura de árvore com diâmetro nominal de tronco maior ou igual a 0,20 m e menor que 0,40 m. AF_05/2018</v>
          </cell>
          <cell r="E86"/>
          <cell r="F86" t="str">
            <v>UN</v>
          </cell>
          <cell r="G86">
            <v>296.91000000000003</v>
          </cell>
          <cell r="H86" t="str">
            <v>-</v>
          </cell>
        </row>
        <row r="87">
          <cell r="A87">
            <v>98534</v>
          </cell>
          <cell r="B87" t="str">
            <v>SINAPI</v>
          </cell>
          <cell r="C87"/>
          <cell r="D87" t="str">
            <v>Poda em altura de árvore com diâmetro nominal de tronco maior ou igual a 0,40 m e menor que 0,60 m. AF_05/2018</v>
          </cell>
          <cell r="E87"/>
          <cell r="F87" t="str">
            <v>UN</v>
          </cell>
          <cell r="G87">
            <v>763.67</v>
          </cell>
          <cell r="H87" t="str">
            <v>-</v>
          </cell>
        </row>
        <row r="88">
          <cell r="A88">
            <v>98535</v>
          </cell>
          <cell r="B88" t="str">
            <v>SINAPI</v>
          </cell>
          <cell r="C88"/>
          <cell r="D88" t="str">
            <v>Poda em altura de árvore com diâmetro nominal de tronco maior ou igual a 0,60 m. AF_05/2018</v>
          </cell>
          <cell r="E88"/>
          <cell r="F88" t="str">
            <v>UN</v>
          </cell>
          <cell r="G88">
            <v>1203.58</v>
          </cell>
          <cell r="H88" t="str">
            <v>-</v>
          </cell>
        </row>
        <row r="89">
          <cell r="A89" t="str">
            <v>SR/0010</v>
          </cell>
          <cell r="B89" t="str">
            <v>COMPOSIÇÃO</v>
          </cell>
          <cell r="C89">
            <v>0.08</v>
          </cell>
          <cell r="D89" t="str">
            <v>Demolição de concreto simples, de forma manual, sem reaproveitamento (REF. SICRO COD. 1600436)</v>
          </cell>
          <cell r="E89"/>
          <cell r="F89" t="str">
            <v>M3</v>
          </cell>
          <cell r="G89">
            <v>249.36</v>
          </cell>
          <cell r="H89" t="str">
            <v>-</v>
          </cell>
        </row>
        <row r="90">
          <cell r="A90" t="str">
            <v>SR/0020</v>
          </cell>
          <cell r="B90" t="str">
            <v>COMPOSIÇÃO</v>
          </cell>
          <cell r="C90">
            <v>0.6</v>
          </cell>
          <cell r="D90" t="str">
            <v>Demolição de concreto simples, de forma mecanizada, sem reaproveitamento (REF. SICRO COD. 1600989, db 01-2023)</v>
          </cell>
          <cell r="E90"/>
          <cell r="F90" t="str">
            <v>M3</v>
          </cell>
          <cell r="G90">
            <v>242.25</v>
          </cell>
          <cell r="H90" t="str">
            <v>-</v>
          </cell>
        </row>
        <row r="91">
          <cell r="A91" t="str">
            <v>SR/0030</v>
          </cell>
          <cell r="B91" t="str">
            <v>COMPOSIÇÃO</v>
          </cell>
          <cell r="C91">
            <v>0.05</v>
          </cell>
          <cell r="D91" t="str">
            <v>Demolição de concreto armado, de forma manual, sem reaproveitamento (REF. SICRO COD. 1600438)</v>
          </cell>
          <cell r="E91"/>
          <cell r="F91" t="str">
            <v>M3</v>
          </cell>
          <cell r="G91">
            <v>398.98</v>
          </cell>
          <cell r="H91" t="str">
            <v>-</v>
          </cell>
        </row>
        <row r="92">
          <cell r="A92" t="str">
            <v>SR/0040</v>
          </cell>
          <cell r="B92" t="str">
            <v>COMPOSIÇÃO</v>
          </cell>
          <cell r="C92">
            <v>4.7699999999999996</v>
          </cell>
          <cell r="D92" t="str">
            <v>Demolição de concreto armado, de forma mecanizada, sem reaproveitamento (REF. SICRO COD. 1619003)</v>
          </cell>
          <cell r="E92"/>
          <cell r="F92" t="str">
            <v>M3</v>
          </cell>
          <cell r="G92">
            <v>159.56</v>
          </cell>
          <cell r="H92" t="str">
            <v>-</v>
          </cell>
        </row>
        <row r="93">
          <cell r="A93">
            <v>97624</v>
          </cell>
          <cell r="B93" t="str">
            <v>SINAPI</v>
          </cell>
          <cell r="C93">
            <v>2.36</v>
          </cell>
          <cell r="D93" t="str">
            <v>Demolição de alvenaria de tijolo maciço, de forma manual, sem reaproveitamento. AF_12/2017</v>
          </cell>
          <cell r="E93"/>
          <cell r="F93" t="str">
            <v>M3</v>
          </cell>
          <cell r="G93">
            <v>86.87</v>
          </cell>
          <cell r="H93" t="str">
            <v>-</v>
          </cell>
        </row>
        <row r="94">
          <cell r="A94">
            <v>97622</v>
          </cell>
          <cell r="B94" t="str">
            <v>SINAPI</v>
          </cell>
          <cell r="C94">
            <v>4.4400000000000004</v>
          </cell>
          <cell r="D94" t="str">
            <v>Demolição de alvenaria de bloco furado, de forma manual, sem reaproveitamento. AF_12/2017</v>
          </cell>
          <cell r="E94"/>
          <cell r="F94" t="str">
            <v>M3</v>
          </cell>
          <cell r="G94">
            <v>46.21</v>
          </cell>
          <cell r="H94" t="str">
            <v>-</v>
          </cell>
        </row>
        <row r="95">
          <cell r="A95">
            <v>97625</v>
          </cell>
          <cell r="B95" t="str">
            <v>SINAPI</v>
          </cell>
          <cell r="C95"/>
          <cell r="D95" t="str">
            <v>Demolição de alvenaria para qualquer tipo de bloco, de forma mecanizada, sem reaproveitamento. AF_12/2017</v>
          </cell>
          <cell r="E95"/>
          <cell r="F95" t="str">
            <v>M3</v>
          </cell>
          <cell r="G95">
            <v>52.2</v>
          </cell>
          <cell r="H95" t="str">
            <v>-</v>
          </cell>
        </row>
        <row r="96">
          <cell r="A96">
            <v>97633</v>
          </cell>
          <cell r="B96" t="str">
            <v>SINAPI</v>
          </cell>
          <cell r="C96"/>
          <cell r="D96" t="str">
            <v>Demolição de revestimento cerâmico, de forma manual, sem reaproveitamento. AF_12/2017</v>
          </cell>
          <cell r="E96"/>
          <cell r="F96" t="str">
            <v>M2</v>
          </cell>
          <cell r="G96">
            <v>18.37</v>
          </cell>
          <cell r="H96" t="str">
            <v>-</v>
          </cell>
        </row>
        <row r="97">
          <cell r="A97">
            <v>97639</v>
          </cell>
          <cell r="B97" t="str">
            <v>SINAPI</v>
          </cell>
          <cell r="C97"/>
          <cell r="D97" t="str">
            <v>Demolição de revestimento cerâmico, de forma manual, remoção de placas e pilaretes de concreto, de forma manual, sem reaproveitamento. AF_12/2017</v>
          </cell>
          <cell r="E97"/>
          <cell r="F97" t="str">
            <v>M2</v>
          </cell>
          <cell r="G97">
            <v>16.18</v>
          </cell>
          <cell r="H97" t="str">
            <v>-</v>
          </cell>
        </row>
        <row r="98">
          <cell r="A98" t="str">
            <v>SR/0050</v>
          </cell>
          <cell r="B98" t="str">
            <v>COMPOSIÇÃO</v>
          </cell>
          <cell r="C98">
            <v>7.15</v>
          </cell>
          <cell r="D98" t="str">
            <v>Demolição de piso em ladrilho, de forma mecanizada, sem reaproveitamento (REF. SINAPI COD. 97634)</v>
          </cell>
          <cell r="E98"/>
          <cell r="F98" t="str">
            <v>M2</v>
          </cell>
          <cell r="G98">
            <v>10.96</v>
          </cell>
          <cell r="H98" t="str">
            <v>-</v>
          </cell>
        </row>
        <row r="99">
          <cell r="A99" t="str">
            <v>SR/0060</v>
          </cell>
          <cell r="B99" t="str">
            <v>COMPOSIÇÃO</v>
          </cell>
          <cell r="C99">
            <v>21.78</v>
          </cell>
          <cell r="D99" t="str">
            <v>Remoção de piso em bloco de concreto, de forma mecanizada, sem reaproveitamento</v>
          </cell>
          <cell r="E99"/>
          <cell r="F99" t="str">
            <v>M2</v>
          </cell>
          <cell r="G99">
            <v>12.12</v>
          </cell>
          <cell r="H99" t="str">
            <v>-</v>
          </cell>
        </row>
        <row r="100">
          <cell r="A100" t="str">
            <v>SR/0061</v>
          </cell>
          <cell r="B100" t="str">
            <v>COMPOSIÇÃO</v>
          </cell>
          <cell r="C100">
            <v>21.78</v>
          </cell>
          <cell r="D100" t="str">
            <v>Remoção de paralelepípedos, inclusive carga (Ref SICRO 1600441, DB 01-2023)</v>
          </cell>
          <cell r="E100"/>
          <cell r="F100" t="str">
            <v>M2</v>
          </cell>
          <cell r="G100">
            <v>4.07</v>
          </cell>
          <cell r="H100" t="str">
            <v>-</v>
          </cell>
        </row>
        <row r="101">
          <cell r="A101" t="str">
            <v>SR/0070</v>
          </cell>
          <cell r="B101" t="str">
            <v>COMPOSIÇÃO</v>
          </cell>
          <cell r="C101">
            <v>2.5</v>
          </cell>
          <cell r="D101" t="str">
            <v>Demolição de alvenaria de pedra, de forma manual, com reaproveitamento</v>
          </cell>
          <cell r="E101"/>
          <cell r="F101" t="str">
            <v>M3</v>
          </cell>
          <cell r="G101">
            <v>79.790000000000006</v>
          </cell>
          <cell r="H101" t="str">
            <v>-</v>
          </cell>
        </row>
        <row r="102">
          <cell r="A102" t="str">
            <v>SR/0080</v>
          </cell>
          <cell r="B102" t="str">
            <v>COMPOSIÇÃO</v>
          </cell>
          <cell r="C102"/>
          <cell r="D102" t="str">
            <v>Demolição de boca de lobo, incluindo carga e bota-fora do entulho e reaterro da cava</v>
          </cell>
          <cell r="E102"/>
          <cell r="F102" t="str">
            <v xml:space="preserve">UN </v>
          </cell>
          <cell r="G102">
            <v>434.53</v>
          </cell>
          <cell r="H102" t="str">
            <v>-</v>
          </cell>
        </row>
        <row r="103">
          <cell r="A103" t="str">
            <v>SR/0090</v>
          </cell>
          <cell r="B103" t="str">
            <v>COMPOSIÇÃO</v>
          </cell>
          <cell r="C103"/>
          <cell r="D103" t="str">
            <v>Demolição de poço de visita, inclusive carga e bota-fora do entulho</v>
          </cell>
          <cell r="E103"/>
          <cell r="F103" t="str">
            <v xml:space="preserve">UN </v>
          </cell>
          <cell r="G103">
            <v>888.44</v>
          </cell>
          <cell r="H103" t="str">
            <v>-</v>
          </cell>
        </row>
        <row r="104">
          <cell r="A104" t="str">
            <v>SR/0100</v>
          </cell>
          <cell r="B104" t="str">
            <v>COMPOSIÇÃO</v>
          </cell>
          <cell r="C104">
            <v>12</v>
          </cell>
          <cell r="D104" t="str">
            <v>Recorte mecânico de pavimento asfáltico ou piso de concreto, com serra de disco diamantado para piso/asfalto. REF SICRO 4011537, DB 04-2023</v>
          </cell>
          <cell r="E104"/>
          <cell r="F104" t="str">
            <v>M</v>
          </cell>
          <cell r="G104">
            <v>3.55</v>
          </cell>
          <cell r="H104" t="str">
            <v>-</v>
          </cell>
        </row>
        <row r="105">
          <cell r="A105" t="str">
            <v>SR/0110</v>
          </cell>
          <cell r="B105" t="str">
            <v>COMPOSIÇÃO</v>
          </cell>
          <cell r="C105"/>
          <cell r="D105" t="str">
            <v>Remoção de cerca com mourões de madeira, espaçamento de 2,5 m, altura livre de 2 m, cravados de 0,5 m, sem reaproveitamento. (REF SINAPI CÓD 101200, DB 10-2022)</v>
          </cell>
          <cell r="E105"/>
          <cell r="F105" t="str">
            <v>M</v>
          </cell>
          <cell r="G105">
            <v>19.96</v>
          </cell>
          <cell r="H105" t="str">
            <v>-</v>
          </cell>
        </row>
        <row r="106">
          <cell r="A106" t="str">
            <v>SR/0120</v>
          </cell>
          <cell r="B106" t="str">
            <v>COMPOSIÇÃO</v>
          </cell>
          <cell r="C106"/>
          <cell r="D106" t="str">
            <v>Remoção de alambrado com tela de arame galvanizado (inclusive mureta em concreto). (REF SINAPI CÓD 98522, DB 11-2022)</v>
          </cell>
          <cell r="E106"/>
          <cell r="F106" t="str">
            <v>M</v>
          </cell>
          <cell r="G106">
            <v>44.72</v>
          </cell>
          <cell r="H106" t="str">
            <v>-</v>
          </cell>
        </row>
        <row r="107">
          <cell r="A107">
            <v>97635</v>
          </cell>
          <cell r="B107" t="str">
            <v>SINAPI</v>
          </cell>
          <cell r="C107"/>
          <cell r="D107" t="str">
            <v>Demolição de pavimento intertravado, de forma manual, com reaproveitamento. AF_12/2017</v>
          </cell>
          <cell r="E107"/>
          <cell r="F107" t="str">
            <v>M2</v>
          </cell>
          <cell r="G107">
            <v>12.15</v>
          </cell>
          <cell r="H107" t="str">
            <v>-</v>
          </cell>
        </row>
        <row r="108">
          <cell r="A108">
            <v>97636</v>
          </cell>
          <cell r="B108" t="str">
            <v>SINAPI</v>
          </cell>
          <cell r="C108">
            <v>8.18</v>
          </cell>
          <cell r="D108" t="str">
            <v>Demolição parcial de pavimento asfáltico, de forma mecanizada, sem reaproveitamento. AF_12/2017</v>
          </cell>
          <cell r="E108"/>
          <cell r="F108" t="str">
            <v>M2</v>
          </cell>
          <cell r="G108">
            <v>18.260000000000002</v>
          </cell>
          <cell r="H108" t="str">
            <v>-</v>
          </cell>
        </row>
        <row r="109">
          <cell r="A109"/>
          <cell r="B109"/>
          <cell r="C109"/>
          <cell r="D109"/>
          <cell r="E109"/>
          <cell r="F109"/>
          <cell r="G109"/>
          <cell r="H109"/>
        </row>
        <row r="110">
          <cell r="A110"/>
          <cell r="B110"/>
          <cell r="C110" t="str">
            <v>3.0</v>
          </cell>
          <cell r="D110" t="str">
            <v>CARGAS, TEMPO FIXO E TRANSPORTES</v>
          </cell>
          <cell r="E110"/>
          <cell r="F110"/>
          <cell r="G110"/>
          <cell r="H110" t="str">
            <v/>
          </cell>
        </row>
        <row r="111">
          <cell r="A111">
            <v>101007</v>
          </cell>
          <cell r="B111" t="str">
            <v>SINAPI</v>
          </cell>
          <cell r="C111"/>
          <cell r="D111" t="str">
            <v>Carga de água em caminhão pipa 6 m³. AF_07/2020</v>
          </cell>
          <cell r="E111"/>
          <cell r="F111" t="str">
            <v>M3</v>
          </cell>
          <cell r="G111">
            <v>5.03</v>
          </cell>
          <cell r="H111" t="str">
            <v>-</v>
          </cell>
        </row>
        <row r="112">
          <cell r="A112">
            <v>101008</v>
          </cell>
          <cell r="B112" t="str">
            <v>SINAPI</v>
          </cell>
          <cell r="C112"/>
          <cell r="D112" t="str">
            <v>Carga de água em caminhão pipa 10 m³. AF_07/2020</v>
          </cell>
          <cell r="E112"/>
          <cell r="F112" t="str">
            <v>M3</v>
          </cell>
          <cell r="G112">
            <v>5.15</v>
          </cell>
          <cell r="H112" t="str">
            <v>-</v>
          </cell>
        </row>
        <row r="113">
          <cell r="A113">
            <v>101005</v>
          </cell>
          <cell r="B113" t="str">
            <v>SINAPI</v>
          </cell>
          <cell r="C113"/>
          <cell r="D113" t="str">
            <v>Carga, manobra e descarga de água em caminhão pipa 6 m³. AF_07/2020</v>
          </cell>
          <cell r="E113"/>
          <cell r="F113" t="str">
            <v>M3</v>
          </cell>
          <cell r="G113">
            <v>17.350000000000001</v>
          </cell>
          <cell r="H113" t="str">
            <v>-</v>
          </cell>
        </row>
        <row r="114">
          <cell r="A114">
            <v>101006</v>
          </cell>
          <cell r="B114" t="str">
            <v>SINAPI</v>
          </cell>
          <cell r="C114"/>
          <cell r="D114" t="str">
            <v>Carga, manobra e descarga de água em caminhão pipa 10 m³. AF_07/2020</v>
          </cell>
          <cell r="E114"/>
          <cell r="F114" t="str">
            <v>M3</v>
          </cell>
          <cell r="G114">
            <v>19.489999999999998</v>
          </cell>
          <cell r="H114" t="str">
            <v>-</v>
          </cell>
        </row>
        <row r="115">
          <cell r="A115">
            <v>100973</v>
          </cell>
          <cell r="B115" t="str">
            <v>SINAPI</v>
          </cell>
          <cell r="C115" t="str">
            <v>72888
74010/1
ST/0005</v>
          </cell>
          <cell r="D115" t="str">
            <v>Carga, manobra e descarga de solos e materiais granulares em caminhão basculante 6 m3 - carga com pá carregadeira (capacidade da caçamba: 1,70 a 2,80 m3 / potência: 128 HP) e descarga livre (unidade: m3). AF_07/2020</v>
          </cell>
          <cell r="E115" t="str">
            <v>MATERIAL GRANULAR
PÁ CARREGADEIRA</v>
          </cell>
          <cell r="F115" t="str">
            <v>M3</v>
          </cell>
          <cell r="G115">
            <v>8.34</v>
          </cell>
          <cell r="H115" t="str">
            <v>-</v>
          </cell>
        </row>
        <row r="116">
          <cell r="A116">
            <v>100974</v>
          </cell>
          <cell r="B116" t="str">
            <v>SINAPI</v>
          </cell>
          <cell r="C116" t="str">
            <v>ST/0010</v>
          </cell>
          <cell r="D116" t="str">
            <v>Carga, manobra e descarga de solos e materiais granulares em caminhão basculante 10 m3 - carga com pá carregadeira (capacidade da caçamba: 1,70 a 2,80 m3 / potência: 128 HP) e descarga livre (unidade: m3). AF_07/2020</v>
          </cell>
          <cell r="E116"/>
          <cell r="F116" t="str">
            <v>M3</v>
          </cell>
          <cell r="G116">
            <v>8.1</v>
          </cell>
          <cell r="H116" t="str">
            <v>-</v>
          </cell>
        </row>
        <row r="117">
          <cell r="A117">
            <v>100975</v>
          </cell>
          <cell r="B117" t="str">
            <v>SINAPI</v>
          </cell>
          <cell r="C117" t="str">
            <v>ST/0015</v>
          </cell>
          <cell r="D117" t="str">
            <v>Carga, manobra e descarga de solos e materiais granulares em caminhão basculante 14 m3 - carga com pá carregadeira (capacidade da caçamba: 1,70 a 2,80 m3 / potência: 128 HP) e descarga livre (unidade: m3). AF_07/2020</v>
          </cell>
          <cell r="E117"/>
          <cell r="F117" t="str">
            <v>M3</v>
          </cell>
          <cell r="G117">
            <v>8.23</v>
          </cell>
          <cell r="H117" t="str">
            <v>-</v>
          </cell>
        </row>
        <row r="118">
          <cell r="A118">
            <v>100976</v>
          </cell>
          <cell r="B118" t="str">
            <v>SINAPI</v>
          </cell>
          <cell r="C118" t="str">
            <v>ST/0020</v>
          </cell>
          <cell r="D118" t="str">
            <v>Carga, manobra e descarga de solos e materiais granulares em caminhão basculante 18 m3 - carga com pá carregadeira (capacidade da caçamba: 1,70 a 2,80 m3 / potência: 128 HP) e descarga livre (unidade: m3). AF_07/2020</v>
          </cell>
          <cell r="E118"/>
          <cell r="F118" t="str">
            <v>M3</v>
          </cell>
          <cell r="G118">
            <v>8.0500000000000007</v>
          </cell>
          <cell r="H118" t="str">
            <v>-</v>
          </cell>
        </row>
        <row r="119">
          <cell r="A119">
            <v>100977</v>
          </cell>
          <cell r="B119" t="str">
            <v>SINAPI</v>
          </cell>
          <cell r="C119" t="str">
            <v>ST/0005</v>
          </cell>
          <cell r="D119" t="str">
            <v>Carga, manobra e descarga de solos e materiais granulares em caminhão basculante 6 m3 - carga com escavadeira hidráulica (capacidade da caçamba: 1,20 m3 / potência: 155 HP) e descarga livre (unidade: m3). AF_07/2020</v>
          </cell>
          <cell r="E119" t="str">
            <v>MATERIAL GRANULAR 
ESCAVADEIRA
HIDRÁULICA</v>
          </cell>
          <cell r="F119" t="str">
            <v>M3</v>
          </cell>
          <cell r="G119">
            <v>7.24</v>
          </cell>
          <cell r="H119" t="str">
            <v>-</v>
          </cell>
        </row>
        <row r="120">
          <cell r="A120">
            <v>100978</v>
          </cell>
          <cell r="B120" t="str">
            <v>SINAPI</v>
          </cell>
          <cell r="C120" t="str">
            <v>ST/0010</v>
          </cell>
          <cell r="D120" t="str">
            <v>Carga, manobra e descarga de solos e materiais granulares em caminhão basculante 10 m3 - carga com escavadeira hidráulica (capacidade da caçamba: 1,20 m3 / potência: 155 HP) e descarga livre (unidade: m3). AF_07/2020</v>
          </cell>
          <cell r="E120"/>
          <cell r="F120" t="str">
            <v>M3</v>
          </cell>
          <cell r="G120">
            <v>6.56</v>
          </cell>
          <cell r="H120" t="str">
            <v>-</v>
          </cell>
        </row>
        <row r="121">
          <cell r="A121">
            <v>100979</v>
          </cell>
          <cell r="B121" t="str">
            <v>SINAPI</v>
          </cell>
          <cell r="C121" t="str">
            <v>ST/0015</v>
          </cell>
          <cell r="D121" t="str">
            <v>Carga, manobra e descarga de solos e materiais granulares em caminhão basculante 14 m3 - carga com escavadeira hidráulica (capacidade da caçamba: 1,20 m3 / potência: 155 HP) e descarga livre (unidade: m3). AF_07/2020</v>
          </cell>
          <cell r="E121"/>
          <cell r="F121" t="str">
            <v>M3</v>
          </cell>
          <cell r="G121">
            <v>6.35</v>
          </cell>
          <cell r="H121" t="str">
            <v>-</v>
          </cell>
        </row>
        <row r="122">
          <cell r="A122">
            <v>100980</v>
          </cell>
          <cell r="B122" t="str">
            <v>SINAPI</v>
          </cell>
          <cell r="C122" t="str">
            <v>ST/0020</v>
          </cell>
          <cell r="D122" t="str">
            <v>Carga, manobra e descarga de solos e materiais granulares em caminhão basculante 18 m3 - carga com escavadeira hidráulica (capacidade da caçamba: 1,20 m3 / potência: 155 HP) e descarga livre (unidade: m3). AF_07/2020</v>
          </cell>
          <cell r="E122"/>
          <cell r="F122" t="str">
            <v>M3</v>
          </cell>
          <cell r="G122">
            <v>6.01</v>
          </cell>
          <cell r="H122" t="str">
            <v>-</v>
          </cell>
        </row>
        <row r="123">
          <cell r="A123" t="str">
            <v>ST/0020</v>
          </cell>
          <cell r="B123" t="str">
            <v>COMPOSIÇÃO</v>
          </cell>
          <cell r="C123">
            <v>72897</v>
          </cell>
          <cell r="D123" t="str">
            <v>Carga manual, manobra e descarga de entulho em caminhão basculante 6m3 (REF. SICRO COD. 72897)</v>
          </cell>
          <cell r="E123" t="str">
            <v>ENTULHO
ESCAVADEIRA
HIDRÁULICA</v>
          </cell>
          <cell r="F123" t="str">
            <v>M3</v>
          </cell>
          <cell r="G123">
            <v>26.48</v>
          </cell>
          <cell r="H123" t="str">
            <v>-</v>
          </cell>
        </row>
        <row r="124">
          <cell r="A124">
            <v>100981</v>
          </cell>
          <cell r="B124" t="str">
            <v>SINAPI</v>
          </cell>
          <cell r="C124" t="str">
            <v>ST/0025</v>
          </cell>
          <cell r="D124" t="str">
            <v>Carga, manobra e descarga de entulho em caminhão basculante 6 m3 - carga com escavadeira hidráulica  (capacidade da caçamba: 0,80 m3 / potência: 111 HP) e descarga livre (unidade: m3). AF_07/2020</v>
          </cell>
          <cell r="E124"/>
          <cell r="F124" t="str">
            <v>M3</v>
          </cell>
          <cell r="G124">
            <v>8.83</v>
          </cell>
          <cell r="H124" t="str">
            <v>-</v>
          </cell>
        </row>
        <row r="125">
          <cell r="A125">
            <v>100982</v>
          </cell>
          <cell r="B125" t="str">
            <v>SINAPI</v>
          </cell>
          <cell r="C125" t="str">
            <v>ST/0030</v>
          </cell>
          <cell r="D125" t="str">
            <v>Carga, manobra e descarga de entulho em caminhão basculante 10 m3 - carga com escavadeira hidráulica  (capacidade da caçamba: 0,80 m3 / potência: 111 HP) e descarga livre (unidade: m3). AF_07/2020</v>
          </cell>
          <cell r="E125"/>
          <cell r="F125" t="str">
            <v>M3</v>
          </cell>
          <cell r="G125">
            <v>8.51</v>
          </cell>
          <cell r="H125" t="str">
            <v>-</v>
          </cell>
        </row>
        <row r="126">
          <cell r="A126">
            <v>100983</v>
          </cell>
          <cell r="B126" t="str">
            <v>SINAPI</v>
          </cell>
          <cell r="C126" t="str">
            <v>ST/0032</v>
          </cell>
          <cell r="D126" t="str">
            <v>Carga, manobra e descarga de entulho em caminhão basculante 14 m3 - carga com escavadeira hidráulica  (capacidade da caçamba: 0,80 m3 / potência: 111 HP) e descarga livre (unidade: m3). AF_07/2020</v>
          </cell>
          <cell r="E126"/>
          <cell r="F126" t="str">
            <v>M3</v>
          </cell>
          <cell r="G126">
            <v>8.61</v>
          </cell>
          <cell r="H126" t="str">
            <v>-</v>
          </cell>
        </row>
        <row r="127">
          <cell r="A127">
            <v>100984</v>
          </cell>
          <cell r="B127" t="str">
            <v>SINAPI</v>
          </cell>
          <cell r="C127" t="str">
            <v>ST/0032</v>
          </cell>
          <cell r="D127" t="str">
            <v>Carga, manobra e descarga de entulho em caminhão basculante 18 m3 - carga com escavadeira hidráulica  (capacidade da caçamba: 0,80 m3 / potência: 111 HP) e descarga livre (unidade: m3). AF_07/2020</v>
          </cell>
          <cell r="E127"/>
          <cell r="F127" t="str">
            <v>M3</v>
          </cell>
          <cell r="G127">
            <v>8.41</v>
          </cell>
          <cell r="H127" t="str">
            <v>-</v>
          </cell>
        </row>
        <row r="128">
          <cell r="A128">
            <v>100985</v>
          </cell>
          <cell r="B128" t="str">
            <v>SINAPI</v>
          </cell>
          <cell r="C128" t="str">
            <v>ST/0035</v>
          </cell>
          <cell r="D128" t="str">
            <v>Carga de mistura asfáltica em caminhão basculante 6 m3 (unidade: m3). AF_07/2020</v>
          </cell>
          <cell r="E128"/>
          <cell r="F128" t="str">
            <v>M3</v>
          </cell>
          <cell r="G128">
            <v>7</v>
          </cell>
          <cell r="H128" t="str">
            <v>-</v>
          </cell>
        </row>
        <row r="129">
          <cell r="A129">
            <v>101001</v>
          </cell>
          <cell r="B129" t="str">
            <v>SINAPI</v>
          </cell>
          <cell r="C129"/>
          <cell r="D129" t="str">
            <v>Carga de mistura asfáltica em caminhão basculante 6 m3 (unidade: t). AF_07/2020</v>
          </cell>
          <cell r="E129"/>
          <cell r="F129" t="str">
            <v>T</v>
          </cell>
          <cell r="G129">
            <v>4.67</v>
          </cell>
          <cell r="H129" t="str">
            <v>-</v>
          </cell>
        </row>
        <row r="130">
          <cell r="A130">
            <v>100986</v>
          </cell>
          <cell r="B130" t="str">
            <v>SINAPI</v>
          </cell>
          <cell r="C130" t="str">
            <v>ST/0040</v>
          </cell>
          <cell r="D130" t="str">
            <v>Carga de mistura asfáltica em caminhão basculante 10 m3 (unidade: m3). AF_07/2020</v>
          </cell>
          <cell r="E130"/>
          <cell r="F130" t="str">
            <v>M3</v>
          </cell>
          <cell r="G130">
            <v>8.49</v>
          </cell>
          <cell r="H130" t="str">
            <v>-</v>
          </cell>
        </row>
        <row r="131">
          <cell r="A131">
            <v>101002</v>
          </cell>
          <cell r="B131" t="str">
            <v>SINAPI</v>
          </cell>
          <cell r="C131"/>
          <cell r="D131" t="str">
            <v>Carga de mistura asfáltica em caminhão basculante 10 m3 (unidade: t). AF_07/2020</v>
          </cell>
          <cell r="E131"/>
          <cell r="F131" t="str">
            <v>T</v>
          </cell>
          <cell r="G131">
            <v>5.65</v>
          </cell>
          <cell r="H131" t="str">
            <v>-</v>
          </cell>
        </row>
        <row r="132">
          <cell r="A132">
            <v>100987</v>
          </cell>
          <cell r="B132" t="str">
            <v>SINAPI</v>
          </cell>
          <cell r="C132" t="str">
            <v>ST/0042</v>
          </cell>
          <cell r="D132" t="str">
            <v>Carga de mistura asfáltica em caminhão basculante 14 m3 (unidade: m3). AF_07/2020</v>
          </cell>
          <cell r="E132"/>
          <cell r="F132" t="str">
            <v>M3</v>
          </cell>
          <cell r="G132">
            <v>9.8800000000000008</v>
          </cell>
          <cell r="H132" t="str">
            <v>-</v>
          </cell>
        </row>
        <row r="133">
          <cell r="A133">
            <v>101003</v>
          </cell>
          <cell r="B133" t="str">
            <v>SINAPI</v>
          </cell>
          <cell r="C133"/>
          <cell r="D133" t="str">
            <v>Carga de mistura asfáltica em caminhão basculante 14 m3 (unidade: t). AF_07/2020</v>
          </cell>
          <cell r="E133"/>
          <cell r="F133" t="str">
            <v>T</v>
          </cell>
          <cell r="G133">
            <v>6.57</v>
          </cell>
          <cell r="H133" t="str">
            <v>-</v>
          </cell>
        </row>
        <row r="134">
          <cell r="A134">
            <v>100988</v>
          </cell>
          <cell r="B134" t="str">
            <v>SINAPI</v>
          </cell>
          <cell r="C134"/>
          <cell r="D134" t="str">
            <v>Carga de mistura asfáltica em caminhão basculante 18 m3 (unidade: m3). AF_07/2020</v>
          </cell>
          <cell r="E134"/>
          <cell r="F134" t="str">
            <v>M3</v>
          </cell>
          <cell r="G134">
            <v>10.45</v>
          </cell>
          <cell r="H134" t="str">
            <v>-</v>
          </cell>
        </row>
        <row r="135">
          <cell r="A135">
            <v>101004</v>
          </cell>
          <cell r="B135" t="str">
            <v>SINAPI</v>
          </cell>
          <cell r="C135"/>
          <cell r="D135" t="str">
            <v>Carga de mistura asfáltica em caminhão basculante 18 m3 (unidade: t). AF_07/2020</v>
          </cell>
          <cell r="E135"/>
          <cell r="F135" t="str">
            <v>T</v>
          </cell>
          <cell r="G135">
            <v>6.96</v>
          </cell>
          <cell r="H135" t="str">
            <v>-</v>
          </cell>
        </row>
        <row r="136">
          <cell r="A136" t="str">
            <v>ST/0065</v>
          </cell>
          <cell r="B136" t="str">
            <v>COMPOSIÇÃO</v>
          </cell>
          <cell r="C136"/>
          <cell r="D136" t="str">
            <v>Carga, manobra e descarga de materiais diversos em caminhão carroceria com guindauto (REF. SICRO COD. 5915373)</v>
          </cell>
          <cell r="E136"/>
          <cell r="F136" t="str">
            <v>T</v>
          </cell>
          <cell r="G136">
            <v>12.44</v>
          </cell>
          <cell r="H136" t="str">
            <v>-</v>
          </cell>
        </row>
        <row r="137">
          <cell r="A137">
            <v>101009</v>
          </cell>
          <cell r="B137" t="str">
            <v>SINAPI</v>
          </cell>
          <cell r="C137"/>
          <cell r="D137" t="str">
            <v>Carga, manobra e descarga de poste de concreto em caminhão carroceria com guindauto (munck) 11,7 tm. AF_07/2020</v>
          </cell>
          <cell r="E137"/>
          <cell r="F137" t="str">
            <v>T</v>
          </cell>
          <cell r="G137">
            <v>40.01</v>
          </cell>
          <cell r="H137" t="str">
            <v>-</v>
          </cell>
        </row>
        <row r="138">
          <cell r="A138">
            <v>101010</v>
          </cell>
          <cell r="B138" t="str">
            <v>SINAPI</v>
          </cell>
          <cell r="C138" t="str">
            <v>ST/0045</v>
          </cell>
          <cell r="D138" t="str">
            <v>Carga, manobra e descarga de perfil metálico em caminhão carroceria com guindauto (munck) 11,7 tm. AF_07/2020</v>
          </cell>
          <cell r="E138"/>
          <cell r="F138" t="str">
            <v>T</v>
          </cell>
          <cell r="G138">
            <v>25.19</v>
          </cell>
          <cell r="H138" t="str">
            <v>-</v>
          </cell>
        </row>
        <row r="139">
          <cell r="A139">
            <v>101013</v>
          </cell>
          <cell r="B139" t="str">
            <v>SINAPI</v>
          </cell>
          <cell r="C139" t="str">
            <v>ST/0050</v>
          </cell>
          <cell r="D139" t="str">
            <v>Carga, manobra e descarga de tubos de concreto, diâmetro nominal de menor ou igual a 0,30 m, em caminhão carroceria com guindauto (munck) 11,7 tm. AF_07/2020</v>
          </cell>
          <cell r="E139"/>
          <cell r="F139" t="str">
            <v>T</v>
          </cell>
          <cell r="G139">
            <v>41.18</v>
          </cell>
          <cell r="H139" t="str">
            <v>-</v>
          </cell>
        </row>
        <row r="140">
          <cell r="A140">
            <v>101014</v>
          </cell>
          <cell r="B140" t="str">
            <v>SINAPI</v>
          </cell>
          <cell r="C140" t="str">
            <v>ST/0050</v>
          </cell>
          <cell r="D140" t="str">
            <v>Carga, manobra e descarga de tubos de concreto, diâmetro nominal de 0,40 m, em caminhão carroceria com guindauto (munck) 11,7 tm. AF_07/2020</v>
          </cell>
          <cell r="E140"/>
          <cell r="F140" t="str">
            <v>T</v>
          </cell>
          <cell r="G140">
            <v>37.72</v>
          </cell>
          <cell r="H140" t="str">
            <v>-</v>
          </cell>
        </row>
        <row r="141">
          <cell r="A141">
            <v>101015</v>
          </cell>
          <cell r="B141" t="str">
            <v>SINAPI</v>
          </cell>
          <cell r="C141" t="str">
            <v>ST/0050</v>
          </cell>
          <cell r="D141" t="str">
            <v>Carga, manobra e descarga de tubos de concreto, diâmetro nominal de 0,50 m, em caminhão carroceria com guindauto (munck) 11,7 tm. AF_07/2020</v>
          </cell>
          <cell r="E141"/>
          <cell r="F141" t="str">
            <v>T</v>
          </cell>
          <cell r="G141">
            <v>30.99</v>
          </cell>
          <cell r="H141" t="str">
            <v>-</v>
          </cell>
        </row>
        <row r="142">
          <cell r="A142">
            <v>101463</v>
          </cell>
          <cell r="B142" t="str">
            <v>SINAPI</v>
          </cell>
          <cell r="C142" t="str">
            <v>ST/0055</v>
          </cell>
          <cell r="D142" t="str">
            <v>Carga, manobra e descarga de tubos de concreto, diâmetro nominal de 0,60 m, em caminhão carroceria com guindauto (munck) 11,7 tm. AF_07/2020</v>
          </cell>
          <cell r="E142"/>
          <cell r="F142" t="str">
            <v>T</v>
          </cell>
          <cell r="G142">
            <v>41.3</v>
          </cell>
          <cell r="H142" t="str">
            <v>-</v>
          </cell>
        </row>
        <row r="143">
          <cell r="A143">
            <v>101464</v>
          </cell>
          <cell r="B143" t="str">
            <v>SINAPI</v>
          </cell>
          <cell r="C143" t="str">
            <v>ST/0055</v>
          </cell>
          <cell r="D143" t="str">
            <v>Carga, manobra e descarga de tubos de concreto, diâmetro nominal de 0,70 m, em caminhão carroceria com guindauto (munck) 11,7 tm. AF_07/2020</v>
          </cell>
          <cell r="E143"/>
          <cell r="F143" t="str">
            <v>T</v>
          </cell>
          <cell r="G143">
            <v>31.73</v>
          </cell>
          <cell r="H143" t="str">
            <v>-</v>
          </cell>
        </row>
        <row r="144">
          <cell r="A144">
            <v>101465</v>
          </cell>
          <cell r="B144" t="str">
            <v>SINAPI</v>
          </cell>
          <cell r="C144" t="str">
            <v>ST/0055</v>
          </cell>
          <cell r="D144" t="str">
            <v>Carga, manobra e descarga de tubos de concreto, diâmetro nominal de 0,80 m, em caminhão carroceria com guindauto (munck) 11,7 tm. AF_07/2020</v>
          </cell>
          <cell r="E144"/>
          <cell r="F144" t="str">
            <v>T</v>
          </cell>
          <cell r="G144">
            <v>24.26</v>
          </cell>
          <cell r="H144" t="str">
            <v>-</v>
          </cell>
        </row>
        <row r="145">
          <cell r="A145">
            <v>101466</v>
          </cell>
          <cell r="B145" t="str">
            <v>SINAPI</v>
          </cell>
          <cell r="C145" t="str">
            <v>ST/0055</v>
          </cell>
          <cell r="D145" t="str">
            <v>Carga, manobra e descarga de tubos de concreto, diâmetro nominal de 0,90 m, em caminhão carroceria com guindauto (munck) 11,7 tm. AF_07/2020</v>
          </cell>
          <cell r="E145"/>
          <cell r="F145" t="str">
            <v>T</v>
          </cell>
          <cell r="G145">
            <v>19.73</v>
          </cell>
          <cell r="H145" t="str">
            <v>-</v>
          </cell>
        </row>
        <row r="146">
          <cell r="A146">
            <v>101467</v>
          </cell>
          <cell r="B146" t="str">
            <v>SINAPI</v>
          </cell>
          <cell r="C146" t="str">
            <v>ST/0060</v>
          </cell>
          <cell r="D146" t="str">
            <v>Carga, manobra e descarga de tubos de concreto, diâmetro nominal de 1,00 m, em caminhão carroceria com guindauto (munck) 11,7 tm. AF_07/2020</v>
          </cell>
          <cell r="E146"/>
          <cell r="F146" t="str">
            <v>T</v>
          </cell>
          <cell r="G146">
            <v>16.510000000000002</v>
          </cell>
          <cell r="H146" t="str">
            <v>-</v>
          </cell>
        </row>
        <row r="147">
          <cell r="A147">
            <v>101468</v>
          </cell>
          <cell r="B147" t="str">
            <v>SINAPI</v>
          </cell>
          <cell r="C147" t="str">
            <v>ST/0060</v>
          </cell>
          <cell r="D147" t="str">
            <v>Carga, manobra e descarga de tubos de concreto, diâmetro nominal de 1,20 m, em caminhão carroceria com guindauto (munck) 11,7 tm. AF_07/2020</v>
          </cell>
          <cell r="E147"/>
          <cell r="F147" t="str">
            <v>T</v>
          </cell>
          <cell r="G147">
            <v>15.1</v>
          </cell>
          <cell r="H147" t="str">
            <v>-</v>
          </cell>
        </row>
        <row r="148">
          <cell r="A148">
            <v>101480</v>
          </cell>
          <cell r="B148" t="str">
            <v>SINAPI</v>
          </cell>
          <cell r="C148"/>
          <cell r="D148" t="str">
            <v>Carga, manobra e descarga de tubos plásticos, diâmetro nominal de 0,25 m, em caminhão carroceria com guindauto (munck) 11,7 tm. AF_07/2020</v>
          </cell>
          <cell r="E148"/>
          <cell r="F148" t="str">
            <v>T</v>
          </cell>
          <cell r="G148">
            <v>60.45</v>
          </cell>
          <cell r="H148" t="str">
            <v>-</v>
          </cell>
        </row>
        <row r="149">
          <cell r="A149">
            <v>101481</v>
          </cell>
          <cell r="B149" t="str">
            <v>SINAPI</v>
          </cell>
          <cell r="C149"/>
          <cell r="D149" t="str">
            <v>Carga, manobra e descarga de tubos plásticos, diâmetro nominal de 0,30 m, em caminhão carroceria com guindauto (munck) 11,7 tm. AF_07/2020</v>
          </cell>
          <cell r="E149"/>
          <cell r="F149" t="str">
            <v>T</v>
          </cell>
          <cell r="G149">
            <v>43.66</v>
          </cell>
          <cell r="H149" t="str">
            <v>-</v>
          </cell>
        </row>
        <row r="150">
          <cell r="A150">
            <v>101482</v>
          </cell>
          <cell r="B150" t="str">
            <v>SINAPI</v>
          </cell>
          <cell r="C150"/>
          <cell r="D150" t="str">
            <v>Carga, manobra e descarga de tubos plásticos, diâmetro nominal de 0,40 m, em caminhão carroceria com guindauto (munck) 11,7 tm. AF_07/2020</v>
          </cell>
          <cell r="E150"/>
          <cell r="F150" t="str">
            <v>T</v>
          </cell>
          <cell r="G150">
            <v>32.630000000000003</v>
          </cell>
          <cell r="H150" t="str">
            <v>-</v>
          </cell>
        </row>
        <row r="151">
          <cell r="A151">
            <v>101483</v>
          </cell>
          <cell r="B151" t="str">
            <v>SINAPI</v>
          </cell>
          <cell r="C151"/>
          <cell r="D151" t="str">
            <v>Carga, manobra e descarga de tubos plásticos, diâmetro nominal de 0,50 m, em caminhão carroceria com guindauto (munck) 11,7 tm. AF_07/2020</v>
          </cell>
          <cell r="E151"/>
          <cell r="F151" t="str">
            <v>T</v>
          </cell>
          <cell r="G151">
            <v>33.86</v>
          </cell>
          <cell r="H151" t="str">
            <v>-</v>
          </cell>
        </row>
        <row r="152">
          <cell r="A152">
            <v>101484</v>
          </cell>
          <cell r="B152" t="str">
            <v>SINAPI</v>
          </cell>
          <cell r="C152"/>
          <cell r="D152" t="str">
            <v>Carga, manobra e descarga de tubos plásticos, diâmetro nominal de 0,60 m, em caminhão carroceria com guindauto (munck) 11,7 tm. AF_07/2020</v>
          </cell>
          <cell r="E152"/>
          <cell r="F152" t="str">
            <v>T</v>
          </cell>
          <cell r="G152">
            <v>175.53</v>
          </cell>
          <cell r="H152" t="str">
            <v>-</v>
          </cell>
        </row>
        <row r="153">
          <cell r="A153">
            <v>101485</v>
          </cell>
          <cell r="B153" t="str">
            <v>SINAPI</v>
          </cell>
          <cell r="C153"/>
          <cell r="D153" t="str">
            <v>Carga, manobra e descarga de tubos plásticos, diâmetro nominal de 0,75 m, em caminhão carroceria com guindauto (munck) 11,7 tm. AF_07/2020</v>
          </cell>
          <cell r="E153"/>
          <cell r="F153" t="str">
            <v>T</v>
          </cell>
          <cell r="G153">
            <v>134.72999999999999</v>
          </cell>
          <cell r="H153" t="str">
            <v>-</v>
          </cell>
        </row>
        <row r="154">
          <cell r="A154">
            <v>101486</v>
          </cell>
          <cell r="B154" t="str">
            <v>SINAPI</v>
          </cell>
          <cell r="C154"/>
          <cell r="D154" t="str">
            <v>Carga, manobra e descarga de tubos plásticos, diâmetro nominal de 0,90 m, em caminhão carroceria com guindauto (munck) 11,7 tm. AF_07/2020</v>
          </cell>
          <cell r="E154"/>
          <cell r="F154" t="str">
            <v>T</v>
          </cell>
          <cell r="G154">
            <v>121.37</v>
          </cell>
          <cell r="H154" t="str">
            <v>-</v>
          </cell>
        </row>
        <row r="155">
          <cell r="A155">
            <v>101487</v>
          </cell>
          <cell r="B155" t="str">
            <v>SINAPI</v>
          </cell>
          <cell r="C155"/>
          <cell r="D155" t="str">
            <v>Carga, manobra e descarga de tubos plásticos, diâmetro nominal de 1,00 m, em caminhão carroceria com guindauto (munck) 11,7 tm. AF_07/2020</v>
          </cell>
          <cell r="E155"/>
          <cell r="F155" t="str">
            <v>T</v>
          </cell>
          <cell r="G155">
            <v>88.86</v>
          </cell>
          <cell r="H155" t="str">
            <v>-</v>
          </cell>
        </row>
        <row r="156">
          <cell r="A156">
            <v>101488</v>
          </cell>
          <cell r="B156" t="str">
            <v>SINAPI</v>
          </cell>
          <cell r="C156"/>
          <cell r="D156" t="str">
            <v>Carga, manobra e descarga de tubos plásticos, diâmetro nominal de 1,20 m, em caminhão carroceria com guindauto (munck) 11,7 tm. AF_07/2020</v>
          </cell>
          <cell r="E156"/>
          <cell r="F156" t="str">
            <v>T</v>
          </cell>
          <cell r="G156">
            <v>76.900000000000006</v>
          </cell>
          <cell r="H156" t="str">
            <v>-</v>
          </cell>
        </row>
        <row r="157">
          <cell r="A157"/>
          <cell r="B157" t="str">
            <v>CRIAR COMPOSIÇÃO</v>
          </cell>
          <cell r="C157">
            <v>72897</v>
          </cell>
          <cell r="D157" t="str">
            <v>Carga manual de entulho em caminhão basculante</v>
          </cell>
          <cell r="E157"/>
          <cell r="F157" t="str">
            <v>-</v>
          </cell>
          <cell r="G157" t="str">
            <v>-</v>
          </cell>
          <cell r="H157" t="str">
            <v/>
          </cell>
        </row>
        <row r="158">
          <cell r="A158" t="str">
            <v>ST/0070</v>
          </cell>
          <cell r="B158" t="str">
            <v>COMPOSIÇÃO</v>
          </cell>
          <cell r="C158">
            <v>72850</v>
          </cell>
          <cell r="D158" t="str">
            <v>Carga, manobra e descarga de materiais diversos em caminhão carroceria - carga e descaga manuais (REF. SICRO COD. 5915474)</v>
          </cell>
          <cell r="E158"/>
          <cell r="F158" t="str">
            <v>T</v>
          </cell>
          <cell r="G158">
            <v>29.25</v>
          </cell>
          <cell r="H158" t="str">
            <v>-</v>
          </cell>
        </row>
        <row r="159">
          <cell r="A159">
            <v>100205</v>
          </cell>
          <cell r="B159" t="str">
            <v>SINAPI</v>
          </cell>
          <cell r="C159"/>
          <cell r="D159" t="str">
            <v>Transporte horizontal com jerica de 60 l, de massa/ granel (unidade: m3xkm). AF_07/2019</v>
          </cell>
          <cell r="E159"/>
          <cell r="F159" t="str">
            <v>M3XKM</v>
          </cell>
          <cell r="G159">
            <v>1211.75</v>
          </cell>
          <cell r="H159" t="str">
            <v>-</v>
          </cell>
        </row>
        <row r="160">
          <cell r="A160">
            <v>100206</v>
          </cell>
          <cell r="B160" t="str">
            <v>SINAPI</v>
          </cell>
          <cell r="C160"/>
          <cell r="D160" t="str">
            <v>Transporte horizontal com jerica de 90 l, de massa/ granel (unidade: m3xkm). AF_07/2019</v>
          </cell>
          <cell r="E160"/>
          <cell r="F160" t="str">
            <v>M3XKM</v>
          </cell>
          <cell r="G160">
            <v>875.89</v>
          </cell>
          <cell r="H160" t="str">
            <v>-</v>
          </cell>
        </row>
        <row r="161">
          <cell r="A161">
            <v>97912</v>
          </cell>
          <cell r="B161" t="str">
            <v>SINAPI</v>
          </cell>
          <cell r="C161"/>
          <cell r="D161" t="str">
            <v>Transporte com caminhão basculante de 6 m3, em via urbana em leito natural (unidade: m3xkm). AF_07/2020</v>
          </cell>
          <cell r="E161" t="str">
            <v>CAMINHÃO
CAÇAMBA
OU
BASCULANTE
6 M3</v>
          </cell>
          <cell r="F161" t="str">
            <v>M3XKM</v>
          </cell>
          <cell r="G161">
            <v>3.49</v>
          </cell>
          <cell r="H161" t="str">
            <v>-</v>
          </cell>
        </row>
        <row r="162">
          <cell r="A162">
            <v>97913</v>
          </cell>
          <cell r="B162" t="str">
            <v>SINAPI</v>
          </cell>
          <cell r="C162"/>
          <cell r="D162" t="str">
            <v>Transporte com caminhão basculante de 6 m3, em via urbana em revestimento primário (unidade: m3xkm). AF_07/2020</v>
          </cell>
          <cell r="E162"/>
          <cell r="F162" t="str">
            <v>M3XKM</v>
          </cell>
          <cell r="G162">
            <v>3.03</v>
          </cell>
          <cell r="H162" t="str">
            <v>-</v>
          </cell>
        </row>
        <row r="163">
          <cell r="A163">
            <v>97914</v>
          </cell>
          <cell r="B163" t="str">
            <v>SINAPI</v>
          </cell>
          <cell r="C163" t="str">
            <v>ST/0075</v>
          </cell>
          <cell r="D163" t="str">
            <v>Transporte com caminhão basculante de 6 m3, em via urbana pavimentada, DMT até 30,00 km (unidade: m3xkm). AF_07/2020</v>
          </cell>
          <cell r="E163"/>
          <cell r="F163" t="str">
            <v>M3XKM</v>
          </cell>
          <cell r="G163">
            <v>2.77</v>
          </cell>
          <cell r="H163" t="str">
            <v>-</v>
          </cell>
        </row>
        <row r="164">
          <cell r="A164">
            <v>97915</v>
          </cell>
          <cell r="B164" t="str">
            <v>SINAPI</v>
          </cell>
          <cell r="C164" t="str">
            <v>ST/0080</v>
          </cell>
          <cell r="D164" t="str">
            <v>Transporte com caminhão basculante de 6 m3, em via urbana pavimentada, adicional para DMT excedente a 30,00 km (unidade: m3xkm). AF_07/2020</v>
          </cell>
          <cell r="E164"/>
          <cell r="F164" t="str">
            <v>M3XKM</v>
          </cell>
          <cell r="G164">
            <v>1.1100000000000001</v>
          </cell>
          <cell r="H164" t="str">
            <v>-</v>
          </cell>
        </row>
        <row r="165">
          <cell r="A165">
            <v>100937</v>
          </cell>
          <cell r="B165" t="str">
            <v>SINAPI</v>
          </cell>
          <cell r="C165" t="str">
            <v>ST/0085</v>
          </cell>
          <cell r="D165" t="str">
            <v>Transporte com caminhão basculante de 6 m3, em via interna (dentro do canteiro - unidade: m3xkm). AF_07/2020</v>
          </cell>
          <cell r="E165"/>
          <cell r="F165" t="str">
            <v>M3XKM</v>
          </cell>
          <cell r="G165">
            <v>8.32</v>
          </cell>
          <cell r="H165" t="str">
            <v>-</v>
          </cell>
        </row>
        <row r="166">
          <cell r="A166">
            <v>97918</v>
          </cell>
          <cell r="B166" t="str">
            <v>SINAPI</v>
          </cell>
          <cell r="C166" t="str">
            <v>ST/0090</v>
          </cell>
          <cell r="D166" t="str">
            <v>Transporte com caminhão basculante de 6 m3, em via urbana pavimentada, DMT até 30,00 km (unidade: txkm). AF_07/2020</v>
          </cell>
          <cell r="E166"/>
          <cell r="F166" t="str">
            <v>TXKM</v>
          </cell>
          <cell r="G166">
            <v>1.85</v>
          </cell>
          <cell r="H166" t="str">
            <v>-</v>
          </cell>
        </row>
        <row r="167">
          <cell r="A167">
            <v>97919</v>
          </cell>
          <cell r="B167" t="str">
            <v>SINAPI</v>
          </cell>
          <cell r="C167" t="str">
            <v>ST/0095</v>
          </cell>
          <cell r="D167" t="str">
            <v>Transporte com caminhão basculante de 6 m3, em via urbana pavimentada, adicional para DMT excedente a 30,00 km (unidade: txkm). AF_07/2020</v>
          </cell>
          <cell r="E167"/>
          <cell r="F167" t="str">
            <v>TXKM</v>
          </cell>
          <cell r="G167">
            <v>0.73</v>
          </cell>
          <cell r="H167" t="str">
            <v>-</v>
          </cell>
        </row>
        <row r="168">
          <cell r="A168">
            <v>100941</v>
          </cell>
          <cell r="B168" t="str">
            <v>SINAPI</v>
          </cell>
          <cell r="C168" t="str">
            <v>ST/0100</v>
          </cell>
          <cell r="D168" t="str">
            <v>Transporte com caminhão basculante de 6 m3, em via interna (dentro do canteiro - unidade: txkm). AF_07/2020</v>
          </cell>
          <cell r="E168"/>
          <cell r="F168" t="str">
            <v>TXKM</v>
          </cell>
          <cell r="G168">
            <v>5.55</v>
          </cell>
          <cell r="H168" t="str">
            <v>-</v>
          </cell>
        </row>
        <row r="169">
          <cell r="A169">
            <v>93588</v>
          </cell>
          <cell r="B169" t="str">
            <v>SINAPI</v>
          </cell>
          <cell r="C169"/>
          <cell r="D169" t="str">
            <v>Transporte com caminhão basculante de 10 m3, em via urbana em leito natural (unidade: m3xkm). AF_07/2020</v>
          </cell>
          <cell r="E169" t="str">
            <v>CAMINHÃO
CAÇAMBA
OU
BASCULANTE
10 M3</v>
          </cell>
          <cell r="F169" t="str">
            <v>M3XKM</v>
          </cell>
          <cell r="G169">
            <v>2.94</v>
          </cell>
          <cell r="H169" t="str">
            <v>-</v>
          </cell>
        </row>
        <row r="170">
          <cell r="A170">
            <v>93589</v>
          </cell>
          <cell r="B170" t="str">
            <v>SINAPI</v>
          </cell>
          <cell r="C170"/>
          <cell r="D170" t="str">
            <v>Transporte com caminhão basculante de 10 m3, em via urbana em revestimento primário (unidade: m3xkm). AF_07/2020</v>
          </cell>
          <cell r="E170"/>
          <cell r="F170" t="str">
            <v>M3XKM</v>
          </cell>
          <cell r="G170">
            <v>2.52</v>
          </cell>
          <cell r="H170" t="str">
            <v>-</v>
          </cell>
        </row>
        <row r="171">
          <cell r="A171">
            <v>95875</v>
          </cell>
          <cell r="B171" t="str">
            <v>SINAPI</v>
          </cell>
          <cell r="C171" t="str">
            <v>ST/0105</v>
          </cell>
          <cell r="D171" t="str">
            <v>Transporte com caminhão basculante de 10 m3, em via urbana pavimentada, DMT até 30,00 km (unidade: m3xkm). AF_07/2020</v>
          </cell>
          <cell r="E171"/>
          <cell r="F171" t="str">
            <v>M3XKM</v>
          </cell>
          <cell r="G171">
            <v>2.33</v>
          </cell>
          <cell r="H171" t="str">
            <v>-</v>
          </cell>
        </row>
        <row r="172">
          <cell r="A172">
            <v>93590</v>
          </cell>
          <cell r="B172" t="str">
            <v>SINAPI</v>
          </cell>
          <cell r="C172" t="str">
            <v>ST/0110</v>
          </cell>
          <cell r="D172" t="str">
            <v>Transporte com caminhão basculante de 10 m3, em via urbana pavimentada, adicional para DMT excedente a 30,00 km (unidade: m3xkm). AF_07/2020</v>
          </cell>
          <cell r="E172"/>
          <cell r="F172" t="str">
            <v>M3XKM</v>
          </cell>
          <cell r="G172">
            <v>0.92</v>
          </cell>
          <cell r="H172" t="str">
            <v>-</v>
          </cell>
        </row>
        <row r="173">
          <cell r="A173">
            <v>100938</v>
          </cell>
          <cell r="B173" t="str">
            <v>SINAPI</v>
          </cell>
          <cell r="C173"/>
          <cell r="D173" t="str">
            <v>Transporte com caminhão basculante de 10 m3, em via interna (dentro do canteiro - unidade: m3xkm). AF_07/2020</v>
          </cell>
          <cell r="E173"/>
          <cell r="F173" t="str">
            <v>M3XKM</v>
          </cell>
          <cell r="G173">
            <v>7.02</v>
          </cell>
          <cell r="H173" t="str">
            <v>-</v>
          </cell>
        </row>
        <row r="174">
          <cell r="A174">
            <v>95878</v>
          </cell>
          <cell r="B174" t="str">
            <v>SINAPI</v>
          </cell>
          <cell r="C174" t="str">
            <v>ST/0120</v>
          </cell>
          <cell r="D174" t="str">
            <v>Transporte com caminhão basculante de 10 m3, em via urbana pavimentada, DMT até 30,00 km (unidade: txkm). AF_07/2020</v>
          </cell>
          <cell r="E174"/>
          <cell r="F174" t="str">
            <v>TXKM</v>
          </cell>
          <cell r="G174">
            <v>1.57</v>
          </cell>
          <cell r="H174" t="str">
            <v>-</v>
          </cell>
        </row>
        <row r="175">
          <cell r="A175">
            <v>93596</v>
          </cell>
          <cell r="B175" t="str">
            <v>SINAPI</v>
          </cell>
          <cell r="C175" t="str">
            <v>ST/0125</v>
          </cell>
          <cell r="D175" t="str">
            <v>Transporte com caminhão basculante de 10 m3, em via urbana pavimentada, adicional para DMT excedente a 30,00 km (unidade: txkm). AF_07/2020</v>
          </cell>
          <cell r="E175"/>
          <cell r="F175" t="str">
            <v>TXKM</v>
          </cell>
          <cell r="G175">
            <v>0.61</v>
          </cell>
          <cell r="H175" t="str">
            <v>-</v>
          </cell>
        </row>
        <row r="176">
          <cell r="A176">
            <v>100942</v>
          </cell>
          <cell r="B176" t="str">
            <v>SINAPI</v>
          </cell>
          <cell r="C176" t="str">
            <v>ST/0130</v>
          </cell>
          <cell r="D176" t="str">
            <v>Transporte com caminhão basculante de 10 m3, em via interna a obra (unidade: txkm). AF_07/2020</v>
          </cell>
          <cell r="E176"/>
          <cell r="F176" t="str">
            <v>TXKM</v>
          </cell>
          <cell r="G176">
            <v>4.67</v>
          </cell>
          <cell r="H176" t="str">
            <v>-</v>
          </cell>
        </row>
        <row r="177">
          <cell r="A177">
            <v>93591</v>
          </cell>
          <cell r="B177" t="str">
            <v>SINAPI</v>
          </cell>
          <cell r="C177"/>
          <cell r="D177" t="str">
            <v>Transporte com caminhão basculante de 14 m3, em via urbana em leito natural (unidade: m3xkm). AF_07/2020</v>
          </cell>
          <cell r="E177" t="str">
            <v>CAMINHÃO
CAÇAMBA
OU
BASCULANTE
14 M3</v>
          </cell>
          <cell r="F177" t="str">
            <v>M3XKM</v>
          </cell>
          <cell r="G177">
            <v>2.6</v>
          </cell>
          <cell r="H177" t="str">
            <v>-</v>
          </cell>
        </row>
        <row r="178">
          <cell r="A178">
            <v>93592</v>
          </cell>
          <cell r="B178" t="str">
            <v>SINAPI</v>
          </cell>
          <cell r="C178"/>
          <cell r="D178" t="str">
            <v>Transporte com caminhão basculante de 14 m3, em via urbana em revestimento primário (unidade: m3xkm). AF_07/2020</v>
          </cell>
          <cell r="E178"/>
          <cell r="F178" t="str">
            <v>M3XKM</v>
          </cell>
          <cell r="G178">
            <v>2.25</v>
          </cell>
          <cell r="H178" t="str">
            <v>-</v>
          </cell>
        </row>
        <row r="179">
          <cell r="A179">
            <v>95876</v>
          </cell>
          <cell r="B179" t="str">
            <v>SINAPI</v>
          </cell>
          <cell r="C179" t="str">
            <v>ST/0135</v>
          </cell>
          <cell r="D179" t="str">
            <v>Transporte com caminhão basculante de 14 m3, em via urbana pavimentada, DMT até 30,00 km (unidade: m3xkm). AF_07/2020</v>
          </cell>
          <cell r="E179"/>
          <cell r="F179" t="str">
            <v>M3XKM</v>
          </cell>
          <cell r="G179">
            <v>2.04</v>
          </cell>
          <cell r="H179" t="str">
            <v>-</v>
          </cell>
        </row>
        <row r="180">
          <cell r="A180">
            <v>93593</v>
          </cell>
          <cell r="B180" t="str">
            <v>SINAPI</v>
          </cell>
          <cell r="C180" t="str">
            <v>ST/0140</v>
          </cell>
          <cell r="D180" t="str">
            <v>Transporte com caminhão basculante de 14 m3, em via urbana pavimentada, adicional para DMT excedente a 30,00 km (unidade: m3xkm). AF_07/2020</v>
          </cell>
          <cell r="E180"/>
          <cell r="F180" t="str">
            <v>M3XKM</v>
          </cell>
          <cell r="G180">
            <v>0.83</v>
          </cell>
          <cell r="H180" t="str">
            <v>-</v>
          </cell>
        </row>
        <row r="181">
          <cell r="A181">
            <v>100939</v>
          </cell>
          <cell r="B181" t="str">
            <v>SINAPI</v>
          </cell>
          <cell r="C181"/>
          <cell r="D181" t="str">
            <v>Transporte com caminhão basculante de 14 m3, em via interna (dentro do canteiro - unidade:m3xkm). AF_07/2020</v>
          </cell>
          <cell r="E181"/>
          <cell r="F181" t="str">
            <v>M3XKM</v>
          </cell>
          <cell r="G181">
            <v>6.22</v>
          </cell>
          <cell r="H181" t="str">
            <v>-</v>
          </cell>
        </row>
        <row r="182">
          <cell r="A182">
            <v>95879</v>
          </cell>
          <cell r="B182" t="str">
            <v>SINAPI</v>
          </cell>
          <cell r="C182" t="str">
            <v>ST/0145</v>
          </cell>
          <cell r="D182" t="str">
            <v>Transporte com caminhão basculante de 14 m3, em via urbana pavimentada, DMT até 30,00 km (unidade: txkm). AF_07/2020</v>
          </cell>
          <cell r="E182"/>
          <cell r="F182" t="str">
            <v>TXKM</v>
          </cell>
          <cell r="G182">
            <v>1.38</v>
          </cell>
          <cell r="H182" t="str">
            <v>-</v>
          </cell>
        </row>
        <row r="183">
          <cell r="A183">
            <v>93599</v>
          </cell>
          <cell r="B183" t="str">
            <v>SINAPI</v>
          </cell>
          <cell r="C183" t="str">
            <v>ST/0150</v>
          </cell>
          <cell r="D183" t="str">
            <v>Transporte com caminhão basculante de 14 m3, em via urbana pavimentada, adicional para DMT excedente a 30,00 km (unidade: txkm). AF_07/2020</v>
          </cell>
          <cell r="E183"/>
          <cell r="F183" t="str">
            <v>TXKM</v>
          </cell>
          <cell r="G183">
            <v>0.55000000000000004</v>
          </cell>
          <cell r="H183" t="str">
            <v>-</v>
          </cell>
        </row>
        <row r="184">
          <cell r="A184">
            <v>100943</v>
          </cell>
          <cell r="B184" t="str">
            <v>SINAPI</v>
          </cell>
          <cell r="C184"/>
          <cell r="D184" t="str">
            <v>Transporte com caminhão basculante de 14 m3, em via interna (dentro do canteiro - unidade: txkm). AF_07/2020</v>
          </cell>
          <cell r="E184"/>
          <cell r="F184" t="str">
            <v>TXKM</v>
          </cell>
          <cell r="G184">
            <v>4.13</v>
          </cell>
          <cell r="H184" t="str">
            <v>-</v>
          </cell>
        </row>
        <row r="185">
          <cell r="A185">
            <v>95425</v>
          </cell>
          <cell r="B185" t="str">
            <v>SINAPI</v>
          </cell>
          <cell r="C185"/>
          <cell r="D185" t="str">
            <v>Transporte com caminhão basculante de 18 m3, em via urbana em leito natural (unidade: m3xkm). AF_07/2020</v>
          </cell>
          <cell r="E185" t="str">
            <v>CAMINHÃO
CAÇAMBA
OU
BASCULANTE
18 M3</v>
          </cell>
          <cell r="F185" t="str">
            <v>M3XKM</v>
          </cell>
          <cell r="G185">
            <v>2.21</v>
          </cell>
          <cell r="H185" t="str">
            <v>-</v>
          </cell>
        </row>
        <row r="186">
          <cell r="A186">
            <v>95426</v>
          </cell>
          <cell r="B186" t="str">
            <v>SINAPI</v>
          </cell>
          <cell r="C186"/>
          <cell r="D186" t="str">
            <v>Transporte com caminhão basculante de 18 m3, em via urbana em revestimento primário (unidade: m3xkm). AF_07/2020</v>
          </cell>
          <cell r="E186"/>
          <cell r="F186" t="str">
            <v>M3XKM</v>
          </cell>
          <cell r="G186">
            <v>1.9</v>
          </cell>
          <cell r="H186" t="str">
            <v>-</v>
          </cell>
        </row>
        <row r="187">
          <cell r="A187">
            <v>95877</v>
          </cell>
          <cell r="B187" t="str">
            <v>SINAPI</v>
          </cell>
          <cell r="C187" t="str">
            <v>ST/0155</v>
          </cell>
          <cell r="D187" t="str">
            <v>Transporte com caminhão basculante de 18 m3, em via urbana pavimentada, DMT até 30,00 km (unidade: m3xkm). AF_07/2020</v>
          </cell>
          <cell r="E187"/>
          <cell r="F187" t="str">
            <v>M3XKM</v>
          </cell>
          <cell r="G187">
            <v>1.76</v>
          </cell>
          <cell r="H187" t="str">
            <v>-</v>
          </cell>
        </row>
        <row r="188">
          <cell r="A188">
            <v>95427</v>
          </cell>
          <cell r="B188" t="str">
            <v>SINAPI</v>
          </cell>
          <cell r="C188" t="str">
            <v>ST/0160</v>
          </cell>
          <cell r="D188" t="str">
            <v>Transporte com caminhão basculante de 18 m3, em via urbana pavimentada, adicional para DMT excedente a 30,00 km (unidade: m3xkm). AF_07/2020</v>
          </cell>
          <cell r="E188"/>
          <cell r="F188" t="str">
            <v>M3XKM</v>
          </cell>
          <cell r="G188">
            <v>0.71</v>
          </cell>
          <cell r="H188" t="str">
            <v>-</v>
          </cell>
        </row>
        <row r="189">
          <cell r="A189">
            <v>100940</v>
          </cell>
          <cell r="B189" t="str">
            <v>SINAPI</v>
          </cell>
          <cell r="C189"/>
          <cell r="D189" t="str">
            <v>Transporte com caminhão basculante de 18 m3, em via interna (dentro do canteiro - unidade: m3xkm). AF_07/2020</v>
          </cell>
          <cell r="E189"/>
          <cell r="F189" t="str">
            <v>M3XKM</v>
          </cell>
          <cell r="G189">
            <v>5.31</v>
          </cell>
          <cell r="H189" t="str">
            <v>-</v>
          </cell>
        </row>
        <row r="190">
          <cell r="A190">
            <v>95880</v>
          </cell>
          <cell r="B190" t="str">
            <v>SINAPI</v>
          </cell>
          <cell r="C190" t="str">
            <v>ST/0165</v>
          </cell>
          <cell r="D190" t="str">
            <v>Transporte com caminhão basculante de 18 m3, em via urbana pavimentada, DMT até 30,00 km (unidade: txkm). AF_07/2020</v>
          </cell>
          <cell r="E190"/>
          <cell r="F190" t="str">
            <v>TXKM</v>
          </cell>
          <cell r="G190">
            <v>1.18</v>
          </cell>
          <cell r="H190" t="str">
            <v>-</v>
          </cell>
        </row>
        <row r="191">
          <cell r="A191">
            <v>95430</v>
          </cell>
          <cell r="B191" t="str">
            <v>SINAPI</v>
          </cell>
          <cell r="C191" t="str">
            <v>ST/0170</v>
          </cell>
          <cell r="D191" t="str">
            <v>Transporte com caminhão basculante de 18 m3, em via urbana pavimentada, adicional para DMT excedente a 30,00 km (unidade: txkm). AF_07/2020</v>
          </cell>
          <cell r="E191"/>
          <cell r="F191" t="str">
            <v>TXKM</v>
          </cell>
          <cell r="G191">
            <v>0.45</v>
          </cell>
          <cell r="H191" t="str">
            <v>-</v>
          </cell>
        </row>
        <row r="192">
          <cell r="A192">
            <v>100944</v>
          </cell>
          <cell r="B192" t="str">
            <v>SINAPI</v>
          </cell>
          <cell r="C192"/>
          <cell r="D192" t="str">
            <v>Transporte com caminhão basculante de 18 m3, em via interna (dentro do canteiro - unidade: txkm). AF_07/2020</v>
          </cell>
          <cell r="E192"/>
          <cell r="F192" t="str">
            <v>TXKM</v>
          </cell>
          <cell r="G192">
            <v>3.55</v>
          </cell>
          <cell r="H192" t="str">
            <v>-</v>
          </cell>
        </row>
        <row r="193">
          <cell r="A193">
            <v>100956</v>
          </cell>
          <cell r="B193" t="str">
            <v>SINAPI</v>
          </cell>
          <cell r="C193"/>
          <cell r="D193" t="str">
            <v>Transporte com caminhão pipa de 6 m3, em via urbana em revestimento primário (unidade: m3xkm). AF_07/2020</v>
          </cell>
          <cell r="E193"/>
          <cell r="F193" t="str">
            <v>M3XKM</v>
          </cell>
          <cell r="G193">
            <v>3.96</v>
          </cell>
          <cell r="H193" t="str">
            <v>-</v>
          </cell>
        </row>
        <row r="194">
          <cell r="A194">
            <v>100957</v>
          </cell>
          <cell r="B194" t="str">
            <v>SINAPI</v>
          </cell>
          <cell r="C194"/>
          <cell r="D194" t="str">
            <v>Transporte com caminhão pipa de 6 m3, em via urbana pavimentada, DMT até 30,00 km (unidade: m3xkm). AF_07/2020</v>
          </cell>
          <cell r="E194"/>
          <cell r="F194" t="str">
            <v>M3XKM</v>
          </cell>
          <cell r="G194">
            <v>3.62</v>
          </cell>
          <cell r="H194" t="str">
            <v>-</v>
          </cell>
        </row>
        <row r="195">
          <cell r="A195">
            <v>100958</v>
          </cell>
          <cell r="B195" t="str">
            <v>SINAPI</v>
          </cell>
          <cell r="C195"/>
          <cell r="D195" t="str">
            <v>Transporte com caminhão pipa de 6 m3, em via urbana pavimentada, adicional para DMT excedente a 30,00 km (unidade: m3xkm). AF_07/2020</v>
          </cell>
          <cell r="E195"/>
          <cell r="F195" t="str">
            <v>M3XKM</v>
          </cell>
          <cell r="G195">
            <v>1.45</v>
          </cell>
          <cell r="H195" t="str">
            <v>-</v>
          </cell>
        </row>
        <row r="196">
          <cell r="A196">
            <v>100959</v>
          </cell>
          <cell r="B196" t="str">
            <v>SINAPI</v>
          </cell>
          <cell r="C196"/>
          <cell r="D196" t="str">
            <v>Transporte com caminhão pipa de 6 m3, em via interna (dentro do canteiro - unidade: m3xkm). AF_07/2020</v>
          </cell>
          <cell r="E196"/>
          <cell r="F196" t="str">
            <v>M3XKM</v>
          </cell>
          <cell r="G196">
            <v>10.88</v>
          </cell>
          <cell r="H196" t="str">
            <v>-</v>
          </cell>
        </row>
        <row r="197">
          <cell r="A197">
            <v>100961</v>
          </cell>
          <cell r="B197" t="str">
            <v>SINAPI</v>
          </cell>
          <cell r="C197"/>
          <cell r="D197" t="str">
            <v>Transporte com caminhão pipa de 10 m3, em via urbana em revestimento primário (unidade: m3xkm). AF_07/2020</v>
          </cell>
          <cell r="E197"/>
          <cell r="F197" t="str">
            <v>M3XKM</v>
          </cell>
          <cell r="G197">
            <v>2.97</v>
          </cell>
          <cell r="H197" t="str">
            <v>-</v>
          </cell>
        </row>
        <row r="198">
          <cell r="A198">
            <v>100962</v>
          </cell>
          <cell r="B198" t="str">
            <v>SINAPI</v>
          </cell>
          <cell r="C198"/>
          <cell r="D198" t="str">
            <v>Transporte com caminhão pipa de 10 m3, em via urbana pavimentada, DMT até 30,00 km (unidade: m3xkm). AF_07/2020</v>
          </cell>
          <cell r="E198"/>
          <cell r="F198" t="str">
            <v>M3XKM</v>
          </cell>
          <cell r="G198">
            <v>2.71</v>
          </cell>
          <cell r="H198" t="str">
            <v>-</v>
          </cell>
        </row>
        <row r="199">
          <cell r="A199">
            <v>100963</v>
          </cell>
          <cell r="B199" t="str">
            <v>SINAPI</v>
          </cell>
          <cell r="C199"/>
          <cell r="D199" t="str">
            <v>Transporte com caminhão pipa de 10 m3, em via urbana pavimentada, adicional para DMT excedente a 30,00 km (unidade: m3xkm). AF_07/2020</v>
          </cell>
          <cell r="E199"/>
          <cell r="F199" t="str">
            <v>M3XKM</v>
          </cell>
          <cell r="G199">
            <v>1.07</v>
          </cell>
          <cell r="H199" t="str">
            <v>-</v>
          </cell>
        </row>
        <row r="200">
          <cell r="A200">
            <v>100964</v>
          </cell>
          <cell r="B200" t="str">
            <v>SINAPI</v>
          </cell>
          <cell r="C200"/>
          <cell r="D200" t="str">
            <v>Transporte com caminhão pipa de 10 m3, em via interna (dentro do canteiro - unidade: m3xkm). AF_07/2020</v>
          </cell>
          <cell r="E200"/>
          <cell r="F200" t="str">
            <v>M3XKM</v>
          </cell>
          <cell r="G200">
            <v>8.2100000000000009</v>
          </cell>
          <cell r="H200" t="str">
            <v>-</v>
          </cell>
        </row>
        <row r="201">
          <cell r="A201">
            <v>102332</v>
          </cell>
          <cell r="B201" t="str">
            <v>SINAPI</v>
          </cell>
          <cell r="C201" t="str">
            <v>100971
93177</v>
          </cell>
          <cell r="D201" t="str">
            <v>Transporte com caminhão tanque de transporte de material asfáltico de 20.000 l, em via urbana pavimentada, DMT até 30,00 km (unidade: txkm). AF_07/2020</v>
          </cell>
          <cell r="E201" t="str">
            <v>Transporte de 
Campo Grande para obra</v>
          </cell>
          <cell r="F201" t="str">
            <v>TXKM</v>
          </cell>
          <cell r="G201">
            <v>1.74</v>
          </cell>
          <cell r="H201" t="str">
            <v>-</v>
          </cell>
        </row>
        <row r="202">
          <cell r="A202">
            <v>102333</v>
          </cell>
          <cell r="B202" t="str">
            <v>SINAPI</v>
          </cell>
          <cell r="C202" t="str">
            <v>100972
ST/0175</v>
          </cell>
          <cell r="D202" t="str">
            <v>Transporte com caminhão tanque de transporte de material asfáltico de 20.000 l, em via urbana pavimentada, adicional para DMT excedente a 30,00 km (unidade: txkm). AF_07/2020</v>
          </cell>
          <cell r="E202"/>
          <cell r="F202" t="str">
            <v>TXKM</v>
          </cell>
          <cell r="G202">
            <v>0.7</v>
          </cell>
          <cell r="H202" t="str">
            <v>-</v>
          </cell>
        </row>
        <row r="203">
          <cell r="A203">
            <v>102330</v>
          </cell>
          <cell r="B203" t="str">
            <v>SINAPI</v>
          </cell>
          <cell r="C203" t="str">
            <v>100967
93176</v>
          </cell>
          <cell r="D203" t="str">
            <v>Transporte com caminhão tanque de transporte de material asfáltico de 30.000 l, em via urbana pavimentada, DMT até 30,00 km (unidade: txkm). AF_07/2020</v>
          </cell>
          <cell r="E203"/>
          <cell r="F203" t="str">
            <v>TXKM</v>
          </cell>
          <cell r="G203">
            <v>1.36</v>
          </cell>
          <cell r="H203" t="str">
            <v>-</v>
          </cell>
        </row>
        <row r="204">
          <cell r="A204">
            <v>102331</v>
          </cell>
          <cell r="B204" t="str">
            <v>SINAPI</v>
          </cell>
          <cell r="C204" t="str">
            <v>100968
ST/0180</v>
          </cell>
          <cell r="D204" t="str">
            <v>Transporte com caminhão tanque de transporte de material asfáltico de 30.000 l, em via urbana pavimentada, adicional para DMT excedente a 30,00 km (unidade: txkm). AF_07/2020</v>
          </cell>
          <cell r="E204"/>
          <cell r="F204" t="str">
            <v>TXKM</v>
          </cell>
          <cell r="G204">
            <v>0.53</v>
          </cell>
          <cell r="H204" t="str">
            <v>-</v>
          </cell>
        </row>
        <row r="205">
          <cell r="A205">
            <v>100946</v>
          </cell>
          <cell r="B205" t="str">
            <v>SINAPI</v>
          </cell>
          <cell r="C205"/>
          <cell r="D205" t="str">
            <v>Transporte com caminhão carroceria 9t, em via urbana em revestimento primário (unidade: txkm). AF_07/2020</v>
          </cell>
          <cell r="E205"/>
          <cell r="F205" t="str">
            <v>TXKM</v>
          </cell>
          <cell r="G205">
            <v>2.27</v>
          </cell>
          <cell r="H205" t="str">
            <v>-</v>
          </cell>
        </row>
        <row r="206">
          <cell r="A206">
            <v>100947</v>
          </cell>
          <cell r="B206" t="str">
            <v>SINAPI</v>
          </cell>
          <cell r="C206" t="str">
            <v>ST/0185</v>
          </cell>
          <cell r="D206" t="str">
            <v>Transporte com caminhão carroceria 9t, em via urbana pavimentada, DMT até 30,00 km (unidade: txkm). AF_07/2020</v>
          </cell>
          <cell r="E206"/>
          <cell r="F206" t="str">
            <v>TXKM</v>
          </cell>
          <cell r="G206">
            <v>2.08</v>
          </cell>
          <cell r="H206" t="str">
            <v>-</v>
          </cell>
        </row>
        <row r="207">
          <cell r="A207">
            <v>100948</v>
          </cell>
          <cell r="B207" t="str">
            <v>SINAPI</v>
          </cell>
          <cell r="C207" t="str">
            <v>ST/0190</v>
          </cell>
          <cell r="D207" t="str">
            <v>Transporte com caminhão carroceria 9t, em via urbana pavimentada, adicional para DMT excedente a 30,00 km (unidade: txkm). AF_07/2020</v>
          </cell>
          <cell r="E207"/>
          <cell r="F207" t="str">
            <v>TXKM</v>
          </cell>
          <cell r="G207">
            <v>0.82</v>
          </cell>
          <cell r="H207" t="str">
            <v>-</v>
          </cell>
        </row>
        <row r="208">
          <cell r="A208">
            <v>100949</v>
          </cell>
          <cell r="B208" t="str">
            <v>SINAPI</v>
          </cell>
          <cell r="C208" t="str">
            <v>ST/0195</v>
          </cell>
          <cell r="D208" t="str">
            <v>Transporte com caminhão carroceria 9t, em via interna (dentro do canteiro - unidade: txkm). AF_07/2020</v>
          </cell>
          <cell r="E208"/>
          <cell r="F208" t="str">
            <v>TXKM</v>
          </cell>
          <cell r="G208">
            <v>6.26</v>
          </cell>
          <cell r="H208" t="str">
            <v>-</v>
          </cell>
        </row>
        <row r="209">
          <cell r="A209">
            <v>100951</v>
          </cell>
          <cell r="B209" t="str">
            <v>SINAPI</v>
          </cell>
          <cell r="C209"/>
          <cell r="D209" t="str">
            <v>Transporte com caminhão carroceria com guindauto (munck), momento máximo de carga 11,7 tm, em via urbana em revestimento primário (unidade: txkm). AF_07/2020</v>
          </cell>
          <cell r="E209"/>
          <cell r="F209" t="str">
            <v>TXKM</v>
          </cell>
          <cell r="G209">
            <v>2.86</v>
          </cell>
          <cell r="H209" t="str">
            <v>-</v>
          </cell>
        </row>
        <row r="210">
          <cell r="A210">
            <v>100952</v>
          </cell>
          <cell r="B210" t="str">
            <v>SINAPI</v>
          </cell>
          <cell r="C210" t="str">
            <v>ST/0200</v>
          </cell>
          <cell r="D210" t="str">
            <v>Transporte com caminhão carroceria com guindauto (munck), momento máximo de carga 11,7 tm, em via urbana pavimentada, DMT até 30,00 km (unidade: txkm). AF_07/2020</v>
          </cell>
          <cell r="E210"/>
          <cell r="F210" t="str">
            <v>TXKM</v>
          </cell>
          <cell r="G210">
            <v>2.64</v>
          </cell>
          <cell r="H210" t="str">
            <v>-</v>
          </cell>
        </row>
        <row r="211">
          <cell r="A211">
            <v>100953</v>
          </cell>
          <cell r="B211" t="str">
            <v>SINAPI</v>
          </cell>
          <cell r="C211" t="str">
            <v>ST/0205</v>
          </cell>
          <cell r="D211" t="str">
            <v>Transporte com caminhão carroceria com guindauto (munck), momento máximo de carga 11,7 tm, em via urbana pavimentada, adicional para DMT excedente a 30,00 km (unidade: txkm). AF_07/2020</v>
          </cell>
          <cell r="E211"/>
          <cell r="F211" t="str">
            <v>TXKM</v>
          </cell>
          <cell r="G211">
            <v>1.05</v>
          </cell>
          <cell r="H211" t="str">
            <v>-</v>
          </cell>
        </row>
        <row r="212">
          <cell r="A212">
            <v>100954</v>
          </cell>
          <cell r="B212" t="str">
            <v>SINAPI</v>
          </cell>
          <cell r="C212" t="str">
            <v>ST/0210</v>
          </cell>
          <cell r="D212" t="str">
            <v>Transporte com caminhão carroceria com guindauto (munck), momento máximo de carga 11,7 tm, em via interna (dentro do canteiro - unidade: txkm). AF_07/2020</v>
          </cell>
          <cell r="E212"/>
          <cell r="F212" t="str">
            <v>TXKM</v>
          </cell>
          <cell r="G212">
            <v>7.9</v>
          </cell>
          <cell r="H212" t="str">
            <v>-</v>
          </cell>
        </row>
        <row r="213">
          <cell r="A213"/>
          <cell r="B213"/>
          <cell r="C213"/>
          <cell r="D213"/>
          <cell r="E213"/>
          <cell r="F213"/>
          <cell r="G213"/>
          <cell r="H213"/>
        </row>
        <row r="214">
          <cell r="A214"/>
          <cell r="B214"/>
          <cell r="C214" t="str">
            <v>4.0</v>
          </cell>
          <cell r="D214" t="str">
            <v>MICRO E MACRODRENAGEM - ESCORAMENTO E CONTENÇÃO</v>
          </cell>
          <cell r="E214"/>
          <cell r="F214"/>
          <cell r="G214"/>
          <cell r="H214" t="str">
            <v/>
          </cell>
        </row>
        <row r="215">
          <cell r="A215">
            <v>101570</v>
          </cell>
          <cell r="B215" t="str">
            <v>SINAPI</v>
          </cell>
          <cell r="C215"/>
          <cell r="D215" t="str">
            <v>Escoramento de vala, tipo pontaleteamento, com profundidade de 0,00 a 1,50 m, largura menor que 1,50 m. AF_08/2020</v>
          </cell>
          <cell r="E215" t="str">
            <v>PONTALETEAMENTO</v>
          </cell>
          <cell r="F215" t="str">
            <v>M2</v>
          </cell>
          <cell r="G215">
            <v>21.06</v>
          </cell>
          <cell r="H215" t="str">
            <v>-</v>
          </cell>
        </row>
        <row r="216">
          <cell r="A216">
            <v>101571</v>
          </cell>
          <cell r="B216" t="str">
            <v>SINAPI</v>
          </cell>
          <cell r="C216"/>
          <cell r="D216" t="str">
            <v>Escoramento de vala, tipo pontaleteamento, com profundidade de 0,00 a 1,50 m, largura maior ou igual a 1,50 m e menor que 2,50 m. AF_08/2020</v>
          </cell>
          <cell r="E216"/>
          <cell r="F216" t="str">
            <v>M2</v>
          </cell>
          <cell r="G216">
            <v>28.2</v>
          </cell>
          <cell r="H216" t="str">
            <v>-</v>
          </cell>
        </row>
        <row r="217">
          <cell r="A217">
            <v>101572</v>
          </cell>
          <cell r="B217" t="str">
            <v>SINAPI</v>
          </cell>
          <cell r="C217"/>
          <cell r="D217" t="str">
            <v>Escoramento de vala, tipo pontaleteamento, com profundidade de 1,50 a 3,00 m, largura menor que 1,50 m. AF_08/2020</v>
          </cell>
          <cell r="E217"/>
          <cell r="F217" t="str">
            <v>M2</v>
          </cell>
          <cell r="G217">
            <v>16.75</v>
          </cell>
          <cell r="H217" t="str">
            <v>-</v>
          </cell>
        </row>
        <row r="218">
          <cell r="A218">
            <v>101573</v>
          </cell>
          <cell r="B218" t="str">
            <v>SINAPI</v>
          </cell>
          <cell r="C218">
            <v>94040</v>
          </cell>
          <cell r="D218" t="str">
            <v>Escoramento de vala, tipo pontaleteamento, com profundidade de 1,50 a 3,00 m, largura maior ou igual a 1,50 m e menor que 2,50 m. AF_08/2020</v>
          </cell>
          <cell r="E218"/>
          <cell r="F218" t="str">
            <v>M2</v>
          </cell>
          <cell r="G218">
            <v>23.88</v>
          </cell>
          <cell r="H218" t="str">
            <v>-</v>
          </cell>
        </row>
        <row r="219">
          <cell r="A219">
            <v>101576</v>
          </cell>
          <cell r="B219" t="str">
            <v>SINAPI</v>
          </cell>
          <cell r="C219"/>
          <cell r="D219" t="str">
            <v>Escoramento de vala, tipo descontínuo, com profundidade de 0,00 a 1,50 m, largura menor que 1,50 m. AF_08/2020</v>
          </cell>
          <cell r="E219" t="str">
            <v>DESCONTÍNUO</v>
          </cell>
          <cell r="F219" t="str">
            <v>M2</v>
          </cell>
          <cell r="G219">
            <v>39.630000000000003</v>
          </cell>
          <cell r="H219" t="str">
            <v>-</v>
          </cell>
        </row>
        <row r="220">
          <cell r="A220">
            <v>101577</v>
          </cell>
          <cell r="B220" t="str">
            <v>SINAPI</v>
          </cell>
          <cell r="C220"/>
          <cell r="D220" t="str">
            <v>Escoramento de vala, tipo descontínuo, com profundidade de 0,00 a 1,50 m, largura maior ou igual a 1,50 m e menor que 2,50 m. AF_08/2020</v>
          </cell>
          <cell r="E220"/>
          <cell r="F220" t="str">
            <v>M2</v>
          </cell>
          <cell r="G220">
            <v>48.7</v>
          </cell>
          <cell r="H220" t="str">
            <v>-</v>
          </cell>
        </row>
        <row r="221">
          <cell r="A221">
            <v>101578</v>
          </cell>
          <cell r="B221" t="str">
            <v>SINAPI</v>
          </cell>
          <cell r="C221"/>
          <cell r="D221" t="str">
            <v>Escoramento de vala, tipo descontínuo, com profundidade de 1,50 m a 3,00 m, largura menor que 1,50 m. AF_08/2020</v>
          </cell>
          <cell r="E221"/>
          <cell r="F221" t="str">
            <v>M2</v>
          </cell>
          <cell r="G221">
            <v>33.25</v>
          </cell>
          <cell r="H221" t="str">
            <v>-</v>
          </cell>
        </row>
        <row r="222">
          <cell r="A222">
            <v>101579</v>
          </cell>
          <cell r="B222" t="str">
            <v>SINAPI</v>
          </cell>
          <cell r="C222"/>
          <cell r="D222" t="str">
            <v>Escoramento de vala, tipo descontínuo, com profundidade de 1,50 a 3,00 m, largura maior ou igual a 1,50 m e menor que 2,50 m. AF_08/2020</v>
          </cell>
          <cell r="E222"/>
          <cell r="F222" t="str">
            <v>M2</v>
          </cell>
          <cell r="G222">
            <v>42.3</v>
          </cell>
          <cell r="H222" t="str">
            <v>-</v>
          </cell>
        </row>
        <row r="223">
          <cell r="A223">
            <v>101586</v>
          </cell>
          <cell r="B223" t="str">
            <v>SINAPI</v>
          </cell>
          <cell r="C223"/>
          <cell r="D223" t="str">
            <v>Escoramento de vala, tipo contínuo, com profundidade de 3,00 a 4,50 m, largura menor que 1,50 m. AF_08/2020</v>
          </cell>
          <cell r="E223" t="str">
            <v>CONTÍNUO</v>
          </cell>
          <cell r="F223" t="str">
            <v>M2</v>
          </cell>
          <cell r="G223">
            <v>48.48</v>
          </cell>
          <cell r="H223" t="str">
            <v>-</v>
          </cell>
        </row>
        <row r="224">
          <cell r="A224">
            <v>101587</v>
          </cell>
          <cell r="B224" t="str">
            <v>SINAPI</v>
          </cell>
          <cell r="C224"/>
          <cell r="D224" t="str">
            <v>Escoramento de vala, tipo contínuo, com profundidade de 3,00 a 4,50 m, largura maior ou igual a 1,50 e menor que 2,50 m. AF_08/2020</v>
          </cell>
          <cell r="E224"/>
          <cell r="F224" t="str">
            <v>M2</v>
          </cell>
          <cell r="G224">
            <v>62.68</v>
          </cell>
          <cell r="H224" t="str">
            <v>-</v>
          </cell>
        </row>
        <row r="225">
          <cell r="A225">
            <v>101600</v>
          </cell>
          <cell r="B225" t="str">
            <v>SINAPI</v>
          </cell>
          <cell r="C225"/>
          <cell r="D225" t="str">
            <v>Escoramento de vala, tipo blindagem, com profundidade de 0,00 a 1,50 m, largura menor que 1,50 m - execução, não inclui material. AF_08/2020</v>
          </cell>
          <cell r="E225" t="str">
            <v>BLINDADO</v>
          </cell>
          <cell r="F225" t="str">
            <v>M2</v>
          </cell>
          <cell r="G225">
            <v>15.99</v>
          </cell>
          <cell r="H225" t="str">
            <v>-</v>
          </cell>
        </row>
        <row r="226">
          <cell r="A226">
            <v>101601</v>
          </cell>
          <cell r="B226" t="str">
            <v>SINAPI</v>
          </cell>
          <cell r="C226"/>
          <cell r="D226" t="str">
            <v>Escoramento de vala, tipo blindagem com profundidade de 0,00 a 1,50 m, largura maior ou igual a 1,50 m e menor que 2,50 m - execução, não inclui material. AF_08/2020</v>
          </cell>
          <cell r="E226"/>
          <cell r="F226" t="str">
            <v>M2</v>
          </cell>
          <cell r="G226">
            <v>23.65</v>
          </cell>
          <cell r="H226" t="str">
            <v>-</v>
          </cell>
        </row>
        <row r="227">
          <cell r="A227">
            <v>101602</v>
          </cell>
          <cell r="B227" t="str">
            <v>SINAPI</v>
          </cell>
          <cell r="C227"/>
          <cell r="D227" t="str">
            <v>Escoramento de vala, tipo blindagem, com profundidade de 1,50 a 3,00 m, largura menor que 1,50 m - execução, não inclui material. AF_08/2020</v>
          </cell>
          <cell r="E227"/>
          <cell r="F227" t="str">
            <v>M2</v>
          </cell>
          <cell r="G227">
            <v>11.85</v>
          </cell>
          <cell r="H227" t="str">
            <v>-</v>
          </cell>
        </row>
        <row r="228">
          <cell r="A228">
            <v>101603</v>
          </cell>
          <cell r="B228" t="str">
            <v>SINAPI</v>
          </cell>
          <cell r="C228"/>
          <cell r="D228" t="str">
            <v>Escoramento de vala, tipo blindagem, com profundidade de 1,50 a 3,00 m, largura maior ou igual a 1,50 m e menor que 2,50 m - execução, não inclui material. AF_08/2020</v>
          </cell>
          <cell r="E228"/>
          <cell r="F228" t="str">
            <v>M2</v>
          </cell>
          <cell r="G228">
            <v>19.52</v>
          </cell>
          <cell r="H228" t="str">
            <v>-</v>
          </cell>
        </row>
        <row r="229">
          <cell r="A229">
            <v>101604</v>
          </cell>
          <cell r="B229" t="str">
            <v>SINAPI</v>
          </cell>
          <cell r="C229"/>
          <cell r="D229" t="str">
            <v>Escoramento de vala, tipo blindagem, com profundidade de 3,00 a 4,50 m, largura menor que 1,50 m - execução, não inclui material. AF_08/2020</v>
          </cell>
          <cell r="E229"/>
          <cell r="F229" t="str">
            <v>M2</v>
          </cell>
          <cell r="G229">
            <v>7.75</v>
          </cell>
          <cell r="H229" t="str">
            <v>-</v>
          </cell>
        </row>
        <row r="230">
          <cell r="A230">
            <v>101605</v>
          </cell>
          <cell r="B230" t="str">
            <v>SINAPI</v>
          </cell>
          <cell r="C230"/>
          <cell r="D230" t="str">
            <v>Escoramento de vala, tipo blindagem, com profundidade de 3,00 a 4,50 m, largura maior ou igual a 1,50 m e menor que 2,50 m - execução, não inclui material. AF_08/2020</v>
          </cell>
          <cell r="E230"/>
          <cell r="F230" t="str">
            <v>M2</v>
          </cell>
          <cell r="G230">
            <v>15.42</v>
          </cell>
          <cell r="H230" t="str">
            <v>-</v>
          </cell>
        </row>
        <row r="231">
          <cell r="A231" t="str">
            <v>ES/0010</v>
          </cell>
          <cell r="B231" t="str">
            <v>COMPOSIÇÃO</v>
          </cell>
          <cell r="C231"/>
          <cell r="D231" t="str">
            <v>Escoramento de vala, tipo blindado, com profundidade de 1,5 a 3,0 m, largura maior ou igual a 1,5 m e menor que 2,5 m. Altura do escoramento igual a 2,4 m.  Execução e fornecimento, inclui material. (REF. SINAPI COD. 03.ESCO.VALA.040/01)</v>
          </cell>
          <cell r="E231"/>
          <cell r="F231" t="str">
            <v>M2</v>
          </cell>
          <cell r="G231">
            <v>22.36</v>
          </cell>
          <cell r="H231" t="str">
            <v>-</v>
          </cell>
        </row>
        <row r="232">
          <cell r="A232" t="str">
            <v>ES/0015</v>
          </cell>
          <cell r="B232" t="str">
            <v>COMPOSIÇÃO</v>
          </cell>
          <cell r="C232"/>
          <cell r="D232" t="str">
            <v>Escoramento de vala, tipo blindado, com profundidade de 3,0 a 4,5 m, largura maior ou igual a 1,5 m e menor que 2,5 m. Altura do escoramento igual a 2,4 m.  Execução e fornecimento, inclui material. (REF. SINAPI COD. 03.ESCO.VALA.042/01)</v>
          </cell>
          <cell r="E232"/>
          <cell r="F232" t="str">
            <v>M2</v>
          </cell>
          <cell r="G232">
            <v>19.2</v>
          </cell>
          <cell r="H232" t="str">
            <v>-</v>
          </cell>
        </row>
        <row r="233">
          <cell r="A233" t="str">
            <v>ES/0020</v>
          </cell>
          <cell r="B233" t="str">
            <v>COMPOSIÇÃO</v>
          </cell>
          <cell r="C233"/>
          <cell r="D233" t="str">
            <v>Contenção tipo estaca secante com escora de eucalipto D = 20cm, área cravada</v>
          </cell>
          <cell r="E233"/>
          <cell r="F233" t="str">
            <v>M2</v>
          </cell>
          <cell r="G233">
            <v>610.02</v>
          </cell>
          <cell r="H233" t="str">
            <v>-</v>
          </cell>
        </row>
        <row r="234">
          <cell r="A234" t="str">
            <v>ES/0025</v>
          </cell>
          <cell r="B234" t="str">
            <v>COMPOSIÇÃO</v>
          </cell>
          <cell r="C234"/>
          <cell r="D234" t="str">
            <v>Escoramento contínuo em talude de escavação, com estaca-prancha metálica em Aço ASTM, com utilização de 10 vezes, incluindo cravação e extração. Cravação com emprego de escavadeira hidráulica em solo de baixa a média resistência à penetração</v>
          </cell>
          <cell r="E234"/>
          <cell r="F234" t="str">
            <v>M2</v>
          </cell>
          <cell r="G234">
            <v>325.69</v>
          </cell>
          <cell r="H234" t="str">
            <v>-</v>
          </cell>
        </row>
        <row r="235">
          <cell r="A235" t="str">
            <v>ES/0030</v>
          </cell>
          <cell r="B235" t="str">
            <v>COMPOSIÇÃO</v>
          </cell>
          <cell r="C235"/>
          <cell r="D235" t="str">
            <v>Escoramento de vala, tipo blindagem, com profundidade de 0 a 1,5 m, largura menor que 1,5 m. Altura do escoramento igual a 1,8 m.  Execução e fornecimento, inclui material. (REF. SINAPI COD. 03.ESCO.VALA.037/01)</v>
          </cell>
          <cell r="E235"/>
          <cell r="F235" t="str">
            <v>M2</v>
          </cell>
          <cell r="G235">
            <v>20.079999999999998</v>
          </cell>
          <cell r="H235" t="str">
            <v>-</v>
          </cell>
        </row>
        <row r="236">
          <cell r="A236" t="str">
            <v>ES/0035</v>
          </cell>
          <cell r="B236" t="str">
            <v>COMPOSIÇÃO</v>
          </cell>
          <cell r="C236"/>
          <cell r="D236" t="str">
            <v>Escoramento de vala, tipo blindado, com profundidade de 0 a 1,5 m, largura maior ou igual a 1,5 m e menor que 2,5 m. Altura do escoramento igual a 1,8 m.  Execução e fornecimento, inclui material. (REF. SINAPI COD. 03.ESCO.VALA.038/01)</v>
          </cell>
          <cell r="E236"/>
          <cell r="F236" t="str">
            <v>M2</v>
          </cell>
          <cell r="G236">
            <v>28.28</v>
          </cell>
          <cell r="H236" t="str">
            <v>-</v>
          </cell>
        </row>
        <row r="237">
          <cell r="A237" t="str">
            <v>ES/0040</v>
          </cell>
          <cell r="B237" t="str">
            <v>COMPOSIÇÃO</v>
          </cell>
          <cell r="C237"/>
          <cell r="D237" t="str">
            <v>Escoramento de vala, tipo blindado, com profundidade de 1,5 a 3,0 m, largura menor que 1,5 m. Altura do escoramento igual a 2,4 m.  Execução e fornecimento, inclui material. (REF. SINAPI COD. 03.ESCO.VALA.039/01)</v>
          </cell>
          <cell r="E237"/>
          <cell r="F237" t="str">
            <v>M2</v>
          </cell>
          <cell r="G237">
            <v>14.49</v>
          </cell>
          <cell r="H237" t="str">
            <v>-</v>
          </cell>
        </row>
        <row r="238">
          <cell r="A238" t="str">
            <v>ES/0045</v>
          </cell>
          <cell r="B238" t="str">
            <v>COMPOSIÇÃO</v>
          </cell>
          <cell r="C238"/>
          <cell r="D238" t="str">
            <v>Escoramento de vala, tipo blindado, com profundidade de 3,0 a 4,5 m, largura menor que 1,5 m. Altura do escoramento igual a 2,4 m.  Execução e fornecimento, inclui material. (REF. SINAPI COD. 03.ESCO.VALA.041/01)</v>
          </cell>
          <cell r="E238"/>
          <cell r="F238" t="str">
            <v>M2</v>
          </cell>
          <cell r="G238">
            <v>11.27</v>
          </cell>
          <cell r="H238" t="str">
            <v>-</v>
          </cell>
        </row>
        <row r="239">
          <cell r="A239" t="str">
            <v>ES/0050</v>
          </cell>
          <cell r="B239" t="str">
            <v>COMPOSIÇÃO</v>
          </cell>
          <cell r="C239"/>
          <cell r="D239" t="str">
            <v>Escoramento de vala, tipo blindado, com profundidade da vala maior que 2,4 m, largura maior ou igual a 2,5 m e menor que 3,5 m. Altura do escoramento igual a 2,4 m.  Execução e fornecimento, inclui material. (REF. SINAPI COD. 03.ESCO.VALA.042/01)</v>
          </cell>
          <cell r="E239"/>
          <cell r="F239" t="str">
            <v>M2</v>
          </cell>
          <cell r="G239">
            <v>19.45</v>
          </cell>
          <cell r="H239" t="str">
            <v>-</v>
          </cell>
        </row>
        <row r="240">
          <cell r="A240" t="str">
            <v>ES/0055</v>
          </cell>
          <cell r="B240" t="str">
            <v>COMPOSIÇÃO</v>
          </cell>
          <cell r="C240"/>
          <cell r="D240" t="str">
            <v>Escoramento de vala, tipo blindado, com profundidade da vala maior que 2,4 m, largura maior ou igual a 4,5 m e menor que 5,5 m. Altura do escoramento igual a 2,4 m.  Execução e fornecimento, inclui material. (REF. SINAPI COD. 03.ESCO.VALA.042/01)</v>
          </cell>
          <cell r="E240"/>
          <cell r="F240" t="str">
            <v>M2</v>
          </cell>
          <cell r="G240">
            <v>19.940000000000001</v>
          </cell>
          <cell r="H240" t="str">
            <v>-</v>
          </cell>
        </row>
        <row r="241">
          <cell r="A241" t="str">
            <v>ES/0060</v>
          </cell>
          <cell r="B241" t="str">
            <v>COMPOSIÇÃO</v>
          </cell>
          <cell r="C241"/>
          <cell r="D241" t="str">
            <v>Escoramento de vala, tipo blindado, com profundidade de 1,5 a 3,0 m, largura maior ou igual a 1,5 m e menor que 2,5 m. Altura do escoramento igual a 2,4 m.  Execução e fornecimento, inclui material. (REF. SINAPI COD. 03.ESCO.VALA.040/01). PRAÇA: Três Lagoas/MS</v>
          </cell>
          <cell r="E241"/>
          <cell r="F241" t="str">
            <v>M2</v>
          </cell>
          <cell r="G241">
            <v>22.34</v>
          </cell>
          <cell r="H241" t="str">
            <v>-</v>
          </cell>
        </row>
        <row r="242">
          <cell r="A242" t="str">
            <v>ES/0065</v>
          </cell>
          <cell r="B242" t="str">
            <v>COMPOSIÇÃO</v>
          </cell>
          <cell r="C242"/>
          <cell r="D242" t="str">
            <v>Escoramento de vala, tipo blindado, com profundidade de 3,0 a 4,5 m, largura maior ou igual a 1,5 m e menor que 2,5 m. Altura do escoramento igual a 2,4 m.  Execução e fornecimento, inclui material. (REF. SINAPI COD. 03.ESCO.VALA.042/01). PRAÇA: Três Lagoas/MS</v>
          </cell>
          <cell r="E242"/>
          <cell r="F242" t="str">
            <v>M2</v>
          </cell>
          <cell r="G242">
            <v>19.18</v>
          </cell>
          <cell r="H242" t="str">
            <v>-</v>
          </cell>
        </row>
        <row r="243">
          <cell r="A243" t="str">
            <v>ES/0070</v>
          </cell>
          <cell r="B243" t="str">
            <v>COMPOSIÇÃO</v>
          </cell>
          <cell r="C243"/>
          <cell r="D243" t="str">
            <v>Escoramento de vala, tipo blindado, com profundidade de 1,5 a 3,0 m, largura menor que 1,5 m. Altura do escoramento igual a 2,4 m.  Execução e fornecimento, inclui material. (REF. SINAPI COD. 03.ESCO.VALA.039/01). PRAÇA: Três Lagoas/MS</v>
          </cell>
          <cell r="E243"/>
          <cell r="F243" t="str">
            <v>M2</v>
          </cell>
          <cell r="G243">
            <v>14.48</v>
          </cell>
          <cell r="H243" t="str">
            <v>-</v>
          </cell>
        </row>
        <row r="244">
          <cell r="A244" t="str">
            <v>ES/0075</v>
          </cell>
          <cell r="B244" t="str">
            <v>COMPOSIÇÃO</v>
          </cell>
          <cell r="C244"/>
          <cell r="D244" t="str">
            <v>Escoramento de vala, tipo blindado, com profundidade de 3,0 a 4,5 m, largura menor que 1,5 m. Altura do escoramento igual a 2,4 m.  Execução e fornecimento, inclui material. (REF. SINAPI COD. 03.ESCO.VALA.041/01). PRAÇA: Três Lagoas/MS</v>
          </cell>
          <cell r="E244"/>
          <cell r="F244" t="str">
            <v>M2</v>
          </cell>
          <cell r="G244">
            <v>11.25</v>
          </cell>
          <cell r="H244" t="str">
            <v>-</v>
          </cell>
        </row>
        <row r="245">
          <cell r="A245" t="str">
            <v>ES/0080</v>
          </cell>
          <cell r="B245" t="str">
            <v>COMPOSIÇÃO</v>
          </cell>
          <cell r="C245"/>
          <cell r="D245" t="str">
            <v>Escoramento de vala, tipo blindado, com profundidade da vala maior que 2,4 m, largura maior ou igual a 2,5 m e menor que 3,5 m. Altura do escoramento igual a 2,4 m.  Execução e fornecimento, inclui material. (REF. SINAPI COD. 03.ESCO.VALA.042/01). PRAÇA: Três Lagoas/MS</v>
          </cell>
          <cell r="E245"/>
          <cell r="F245" t="str">
            <v>M2</v>
          </cell>
          <cell r="G245">
            <v>19.43</v>
          </cell>
          <cell r="H245" t="str">
            <v>-</v>
          </cell>
        </row>
        <row r="246">
          <cell r="A246" t="str">
            <v>ES/0085</v>
          </cell>
          <cell r="B246" t="str">
            <v>COMPOSIÇÃO</v>
          </cell>
          <cell r="C246"/>
          <cell r="D246" t="str">
            <v>Escoramento de vala, tipo blindado, com profundidade da vala maior que 2,4 m, largura maior ou igual a 4,5 m e menor que 5,5 m. Altura do escoramento igual a 2,4 m.  Execução e fornecimento, inclui material. (REF. SINAPI COD. 03.ESCO.VALA.042/01). PRAÇA: Três Lagoas/MS</v>
          </cell>
          <cell r="E246"/>
          <cell r="F246" t="str">
            <v>M2</v>
          </cell>
          <cell r="G246">
            <v>19.920000000000002</v>
          </cell>
          <cell r="H246" t="str">
            <v>-</v>
          </cell>
        </row>
        <row r="247">
          <cell r="A247" t="str">
            <v>ES/0090</v>
          </cell>
          <cell r="B247" t="str">
            <v>COMPOSIÇÃO</v>
          </cell>
          <cell r="C247"/>
          <cell r="D247" t="str">
            <v>Escoramento de vala, tipo blindado, com profundidade de 1,5 a 3,0 m, largura maior ou igual a 1,5 m e menor que 2,5 m. Altura do escoramento igual a 3,0 m e comprimento de 3,6 m.  Execução e fornecimento, inclui material. (REF. SINAPI COD. 03.ESCO.VALA.040/01). PRAÇA: Três Lagoas/MS</v>
          </cell>
          <cell r="E247"/>
          <cell r="F247" t="str">
            <v>M2</v>
          </cell>
          <cell r="G247">
            <v>23.19</v>
          </cell>
          <cell r="H247" t="str">
            <v>-</v>
          </cell>
        </row>
        <row r="248">
          <cell r="A248" t="str">
            <v>ES/0095</v>
          </cell>
          <cell r="B248" t="str">
            <v>COMPOSIÇÃO</v>
          </cell>
          <cell r="C248"/>
          <cell r="D248" t="str">
            <v>Escoramento de vala, tipo blindado, com profundidade de 1,5 a 3,0 m, largura maior ou igual a 3,5 m e menor que 4,5 m. Altura do escoramento igual a 3,0 m e comprimento de 3,6 m.  Execução e fornecimento, inclui material. (REF. SINAPI COD. 03.ESCO.VALA.040/01). PRAÇA: Três Lagoas/MS</v>
          </cell>
          <cell r="E248"/>
          <cell r="F248" t="str">
            <v>M2</v>
          </cell>
          <cell r="G248">
            <v>23.56</v>
          </cell>
          <cell r="H248" t="str">
            <v>-</v>
          </cell>
        </row>
        <row r="249">
          <cell r="A249" t="str">
            <v>ES/0100</v>
          </cell>
          <cell r="B249" t="str">
            <v>COMPOSIÇÃO</v>
          </cell>
          <cell r="C249"/>
          <cell r="D249" t="str">
            <v>Escoramento de vala, tipo blindado, com profundidade de 1,5 a 3,0 m, largura maior ou igual a 2,5 m e menor que 3,5 m. Altura do escoramento igual a 3,0 m e comprimento de 3,6 m.  Execução e fornecimento, inclui material. (REF. SINAPI COD. 03.ESCO.VALA.040/01). PRAÇA: Três Lagoas/MS</v>
          </cell>
          <cell r="E249"/>
          <cell r="F249" t="str">
            <v>M2</v>
          </cell>
          <cell r="G249">
            <v>23.38</v>
          </cell>
          <cell r="H249" t="str">
            <v>-</v>
          </cell>
        </row>
        <row r="250">
          <cell r="A250" t="str">
            <v>ES/0105</v>
          </cell>
          <cell r="B250" t="str">
            <v>COMPOSIÇÃO</v>
          </cell>
          <cell r="C250"/>
          <cell r="D250" t="str">
            <v>Escoramento de vala, tipo blindado, com profundidade de 1,5 a 3,0 m, largura maior ou igual a 4,5 m e menor que 5,5 m. Altura do escoramento igual a 3,0 m e comprimento de 3,6 m.  Execução e fornecimento, inclui material. (REF. SINAPI COD. 03.ESCO.VALA.040/01). PRAÇA: Três Lagoas/MS</v>
          </cell>
          <cell r="E250"/>
          <cell r="F250" t="str">
            <v>M2</v>
          </cell>
          <cell r="G250">
            <v>23.75</v>
          </cell>
          <cell r="H250" t="str">
            <v>-</v>
          </cell>
        </row>
        <row r="251">
          <cell r="A251"/>
          <cell r="B251"/>
          <cell r="C251"/>
          <cell r="D251"/>
          <cell r="E251"/>
          <cell r="F251"/>
          <cell r="G251"/>
          <cell r="H251"/>
        </row>
        <row r="252">
          <cell r="A252"/>
          <cell r="B252"/>
          <cell r="C252" t="str">
            <v>5.0</v>
          </cell>
          <cell r="D252" t="str">
            <v>MICRO E MACRODRENAGEM - TERRAPLENAGEM</v>
          </cell>
          <cell r="E252"/>
          <cell r="F252"/>
          <cell r="G252"/>
          <cell r="H252" t="str">
            <v/>
          </cell>
        </row>
        <row r="253">
          <cell r="A253" t="str">
            <v>DR/0005</v>
          </cell>
          <cell r="B253" t="str">
            <v>COMPOSIÇÃO</v>
          </cell>
          <cell r="C253"/>
          <cell r="D253" t="str">
            <v>Tombo - carga com escavadeira hidráulica sobre esteiras</v>
          </cell>
          <cell r="E253"/>
          <cell r="F253" t="str">
            <v>M3</v>
          </cell>
          <cell r="G253">
            <v>2.42</v>
          </cell>
          <cell r="H253" t="str">
            <v>-</v>
          </cell>
        </row>
        <row r="254">
          <cell r="A254">
            <v>101236</v>
          </cell>
          <cell r="B254" t="str">
            <v>SINAPI</v>
          </cell>
          <cell r="C254">
            <v>89893</v>
          </cell>
          <cell r="D254" t="str">
            <v>Escavação vertical a céu aberto, em obras de infraestrutura, incluindo carga, descarga e transporte, em solo de 1a categoria com escavadeira hidráulica (caçamba: 0,80 m3 / 111HP), frota de 6 caminhões basculantes de 14 m3, DMT de 3 km e velocidade média 20km/h. AF_05/2020</v>
          </cell>
          <cell r="E254" t="str">
            <v>ATENÇÃO
verificar o  DMT</v>
          </cell>
          <cell r="F254" t="str">
            <v>M3</v>
          </cell>
          <cell r="G254">
            <v>20.21</v>
          </cell>
          <cell r="H254" t="str">
            <v>-</v>
          </cell>
        </row>
        <row r="255">
          <cell r="A255">
            <v>101237</v>
          </cell>
          <cell r="B255" t="str">
            <v>SINAPI</v>
          </cell>
          <cell r="C255">
            <v>89894</v>
          </cell>
          <cell r="D255" t="str">
            <v>Escavação vertical a céu aberto, em obras de infraestrutura, incluindo carga, descarga e transporte, em solo de 1a categoria com escavadeira hidráulica (caçamba: 0,80 m3 / 111HP), frota de 6 caminhões basculantes de 14 m3, DMT de 4 km e velocidade média 22km/h. AF_05/2020</v>
          </cell>
          <cell r="E255"/>
          <cell r="F255" t="str">
            <v>M3</v>
          </cell>
          <cell r="G255">
            <v>21.54</v>
          </cell>
          <cell r="H255" t="str">
            <v>-</v>
          </cell>
        </row>
        <row r="256">
          <cell r="A256">
            <v>101238</v>
          </cell>
          <cell r="B256" t="str">
            <v>SINAPI</v>
          </cell>
          <cell r="C256">
            <v>89895</v>
          </cell>
          <cell r="D256" t="str">
            <v>Escavação vertical a céu aberto, em obras de infraestrutura, incluindo carga, descarga e transporte, em solo de 1a categoria com escavadeira hidráulica (caçamba: 0,80 m3 / 111HP), frota de 8 caminhões basculantes de 14 m3, DMT de 6 km e velocidade média 22km/h. AF_05/2020</v>
          </cell>
          <cell r="E256"/>
          <cell r="F256" t="str">
            <v>M3</v>
          </cell>
          <cell r="G256">
            <v>27.24</v>
          </cell>
          <cell r="H256" t="str">
            <v>-</v>
          </cell>
        </row>
        <row r="257">
          <cell r="A257" t="str">
            <v>DR/0007</v>
          </cell>
          <cell r="B257" t="str">
            <v>COMPOSIÇÃO</v>
          </cell>
          <cell r="C257">
            <v>83336</v>
          </cell>
          <cell r="D257" t="str">
            <v>Escavação mecânica para acerto de taludes em material de 1a categoria,com escavadeira hidráulica (REF. SINAPI. COD. 83336)</v>
          </cell>
          <cell r="E257"/>
          <cell r="F257" t="str">
            <v>M3</v>
          </cell>
          <cell r="G257">
            <v>6</v>
          </cell>
          <cell r="H257" t="str">
            <v>-</v>
          </cell>
        </row>
        <row r="258">
          <cell r="A258" t="str">
            <v>DR/0008</v>
          </cell>
          <cell r="B258" t="str">
            <v>COMPOSIÇÃO</v>
          </cell>
          <cell r="C258"/>
          <cell r="D258" t="str">
            <v>Regularização manual de taludes de cortes e aterros (Refer. SICRO CÓD. 4413985, DB 04/2021)</v>
          </cell>
          <cell r="E258"/>
          <cell r="F258" t="str">
            <v>M2</v>
          </cell>
          <cell r="G258">
            <v>17.739999999999998</v>
          </cell>
          <cell r="H258" t="str">
            <v>-</v>
          </cell>
        </row>
        <row r="259">
          <cell r="A259" t="str">
            <v>DR/0010</v>
          </cell>
          <cell r="B259" t="str">
            <v>COMPOSIÇÃO</v>
          </cell>
          <cell r="C259"/>
          <cell r="D259" t="str">
            <v>Extração de areia com draga de sucção sobre flutuante, com descarga em meio terrestre por recalque com mangote de PEAD Ø6", até 150 m (REF. SICRO COD. 4816020)</v>
          </cell>
          <cell r="E259"/>
          <cell r="F259" t="str">
            <v>M3</v>
          </cell>
          <cell r="G259">
            <v>15.85</v>
          </cell>
          <cell r="H259" t="str">
            <v>-</v>
          </cell>
        </row>
        <row r="260">
          <cell r="A260" t="str">
            <v>DR/0015</v>
          </cell>
          <cell r="B260" t="str">
            <v>COMPOSIÇÃO</v>
          </cell>
          <cell r="C260"/>
          <cell r="D260" t="str">
            <v>Escavação manual em solo para execução de bueiro através de sistema destrutivo, tunnel liner, inclusive remoção horizontal até 50m do material escavado. Exclusive poço de ataque, esgotamento e escoramento (REF. SICRO COD. 4816000)</v>
          </cell>
          <cell r="E260"/>
          <cell r="F260" t="str">
            <v>M3</v>
          </cell>
          <cell r="G260">
            <v>492.31</v>
          </cell>
          <cell r="H260" t="str">
            <v>-</v>
          </cell>
        </row>
        <row r="261">
          <cell r="A261">
            <v>93358</v>
          </cell>
          <cell r="B261" t="str">
            <v>SINAPI</v>
          </cell>
          <cell r="C261"/>
          <cell r="D261" t="str">
            <v>Escavação manual de vala com profundidade menor ou igual a 1,30 m. AF_03/2016</v>
          </cell>
          <cell r="E261"/>
          <cell r="F261" t="str">
            <v>M3</v>
          </cell>
          <cell r="G261">
            <v>70.17</v>
          </cell>
          <cell r="H261" t="str">
            <v>-</v>
          </cell>
        </row>
        <row r="262">
          <cell r="A262">
            <v>90105</v>
          </cell>
          <cell r="B262" t="str">
            <v>SINAPI</v>
          </cell>
          <cell r="C262">
            <v>12.76</v>
          </cell>
          <cell r="D262" t="str">
            <v>Escavação mecanizada de vala com profundidade até 1,50 m (média entre montante e jusante / uma composição por trecho) com retroescavadeira (capacidade da caçamba: 0,26 m3 / potência: 88 HP), largura menor que 0,80 m, em solo de 1a categoria, locais com baixo nível de interferência. AF_01/2015</v>
          </cell>
          <cell r="E262" t="str">
            <v>H &lt; 1,50
baixa Interferência</v>
          </cell>
          <cell r="F262" t="str">
            <v>M3</v>
          </cell>
          <cell r="G262">
            <v>8.1300000000000008</v>
          </cell>
          <cell r="H262" t="str">
            <v>-</v>
          </cell>
        </row>
        <row r="263">
          <cell r="A263">
            <v>90106</v>
          </cell>
          <cell r="B263" t="str">
            <v>SINAPI</v>
          </cell>
          <cell r="C263">
            <v>14.99</v>
          </cell>
          <cell r="D263" t="str">
            <v>Escavação mecanizada de vala com profundidade até 1,50 m (média entre montante e jusante / uma composição por trecho) com retroescavadeira (capacidade da caçamba: 0,26 m3 / potência: 88 HP), largura de 0,80 m a 1,50 m, em solo de 1a categoria, locais com baixo nível de interferência. AF_01/2015</v>
          </cell>
          <cell r="E263"/>
          <cell r="F263" t="str">
            <v>M3</v>
          </cell>
          <cell r="G263">
            <v>6.92</v>
          </cell>
          <cell r="H263" t="str">
            <v>-</v>
          </cell>
        </row>
        <row r="264">
          <cell r="A264">
            <v>90091</v>
          </cell>
          <cell r="B264" t="str">
            <v>SINAPI</v>
          </cell>
          <cell r="C264">
            <v>22.52</v>
          </cell>
          <cell r="D264" t="str">
            <v>Escavação mecanizada de vala com profundidade até 1,50 m (média entre montante e jusante / uma composição por trecho), com escavadeira hidráulica (capacidade da caçamba: 0,80 m3), largura de 1,50 m a 2,50 m, em solo de 1a categoria, locais com baixo nível de interferência. AF_01/2015</v>
          </cell>
          <cell r="E264"/>
          <cell r="F264" t="str">
            <v>M3</v>
          </cell>
          <cell r="G264">
            <v>5.84</v>
          </cell>
          <cell r="H264" t="str">
            <v>-</v>
          </cell>
        </row>
        <row r="265">
          <cell r="A265">
            <v>90092</v>
          </cell>
          <cell r="B265" t="str">
            <v>SINAPI</v>
          </cell>
          <cell r="C265"/>
          <cell r="D265" t="str">
            <v>Escavação mecanizada de vala com profundidade maior que 1,50 m e até 3,00 m (média entre montante e jusante / uma composição por trecho), com escavadeira hidráulica (capacidade da caçamba: 0,80 m3/ potência: 111 HP), larg. menor que 1,50 m, em solo de 1a categoria, locais com baixo nível de interferência. AF_01/2015</v>
          </cell>
          <cell r="E265"/>
          <cell r="F265" t="str">
            <v>M3</v>
          </cell>
          <cell r="G265">
            <v>5.77</v>
          </cell>
          <cell r="H265" t="str">
            <v>-</v>
          </cell>
        </row>
        <row r="266">
          <cell r="A266">
            <v>90107</v>
          </cell>
          <cell r="B266" t="str">
            <v>SINAPI</v>
          </cell>
          <cell r="C266">
            <v>15.2</v>
          </cell>
          <cell r="D266" t="str">
            <v>Escavação mecanizada de vala com profundidade maior que 1,50 m até 3,00 m (média entre montante e jusante / uma composição por trecho) com retroescavadeira (capacidade da caçamba: 0,26 m3 / potência: 88 HP), largura menor que 0,80 m, em solo de 1a categoria, locais com baixo nível de interferência. AF_01/2015</v>
          </cell>
          <cell r="E266" t="str">
            <v>1,51 &lt; H &lt; 3,00
baixa Interferência</v>
          </cell>
          <cell r="F266" t="str">
            <v>M3</v>
          </cell>
          <cell r="G266">
            <v>6.82</v>
          </cell>
          <cell r="H266" t="str">
            <v>-</v>
          </cell>
        </row>
        <row r="267">
          <cell r="A267">
            <v>90108</v>
          </cell>
          <cell r="B267" t="str">
            <v>SINAPI</v>
          </cell>
          <cell r="C267">
            <v>16.690000000000001</v>
          </cell>
          <cell r="D267" t="str">
            <v>Escavação mecanizada de vala com profundidade maior que 1,50 m até 3,00 m (média entre montante e jusante / uma composição por trecho) com retroescavadeira (capacidade da caçamba: 0,26 m3 / potência: 88 HP), largura de 0,80 m a 1,50 m, em solo de 1a categoria, locais com baixo nível de interferência. AF_01/2015</v>
          </cell>
          <cell r="E267"/>
          <cell r="F267" t="str">
            <v>M3</v>
          </cell>
          <cell r="G267">
            <v>6.22</v>
          </cell>
          <cell r="H267" t="str">
            <v>-</v>
          </cell>
        </row>
        <row r="268">
          <cell r="A268">
            <v>102281</v>
          </cell>
          <cell r="B268" t="str">
            <v>SINAPI</v>
          </cell>
          <cell r="C268" t="str">
            <v>90093
24,69 m3/h</v>
          </cell>
          <cell r="D268" t="str">
            <v>Escavação mecanizada de vala com profundidade maior que 1,50 m até 3,00 m (média entre montante e jusante / uma composição por trecho),com escavadeira hidráulica (capacidade da caçamba: 1,20 m3 / potência: 155 HP),largura de 1,50 m a 2,50 m, em solo de 1a categoria, locais com baixo nível de interferência. AF_02/2021</v>
          </cell>
          <cell r="E268"/>
          <cell r="F268" t="str">
            <v>M3</v>
          </cell>
          <cell r="G268">
            <v>5.19</v>
          </cell>
          <cell r="H268" t="str">
            <v>-</v>
          </cell>
        </row>
        <row r="269">
          <cell r="A269">
            <v>90094</v>
          </cell>
          <cell r="B269" t="str">
            <v>SINAPI</v>
          </cell>
          <cell r="C269">
            <v>24.45</v>
          </cell>
          <cell r="D269" t="str">
            <v>Escavação mecanizada de vala com profundidade maior que 3,00 m até 4,50 m (média entre montante e jusante / uma composição por trecho), com escavadeira hidráulica (capacidade da caçamba: 0,80 m3 / potência: 111 HP), largura menor que 1,50 m, em solo de 1a categoria, locais com baixo nível de interferência. AF_01/2015</v>
          </cell>
          <cell r="E269" t="str">
            <v>3,01 &lt; H &lt; 4,50
baixa Interferência</v>
          </cell>
          <cell r="F269" t="str">
            <v>M3</v>
          </cell>
          <cell r="G269">
            <v>5.46</v>
          </cell>
          <cell r="H269" t="str">
            <v>-</v>
          </cell>
        </row>
        <row r="270">
          <cell r="A270">
            <v>90095</v>
          </cell>
          <cell r="B270" t="str">
            <v>SINAPI</v>
          </cell>
          <cell r="C270">
            <v>21.65</v>
          </cell>
          <cell r="D270" t="str">
            <v>Escavação mecanizada de vala com profundidade maior que 3,00 m até 4,50 m (média entre montante e jusante / uma composição por trecho), com escavadeira hidráulica (capacidade da caçamba: 1,20 m3/ potência: 155 HP), largura de 1,50 m a 2,50 m, em solo de 1a categoria, locais com baixo nível de interferência. AF_01/2015</v>
          </cell>
          <cell r="E270"/>
          <cell r="F270" t="str">
            <v>M3</v>
          </cell>
          <cell r="G270">
            <v>4.9800000000000004</v>
          </cell>
          <cell r="H270" t="str">
            <v>-</v>
          </cell>
        </row>
        <row r="271">
          <cell r="A271">
            <v>102280</v>
          </cell>
          <cell r="B271" t="str">
            <v>SINAPI</v>
          </cell>
          <cell r="C271" t="str">
            <v>90096
21,19 m3/h</v>
          </cell>
          <cell r="D271" t="str">
            <v>Escavação mecanizada de vala com profundidade maior que 4,50 m até 6,00 m (média entre montante e jusante / uma composição por trecho), com escavadeira hidráulica (capacidade da caçamba: 1,20 m3 / potência: 155 HP), largura menor que 1,50 m, em solo de 1a categoria, locais com baixo nível de interferência. AF_01/2015</v>
          </cell>
          <cell r="E271" t="str">
            <v>H &gt; 4,51
baixa Interferência</v>
          </cell>
          <cell r="F271" t="str">
            <v>M3</v>
          </cell>
          <cell r="G271">
            <v>5.3</v>
          </cell>
          <cell r="H271" t="str">
            <v>-</v>
          </cell>
        </row>
        <row r="272">
          <cell r="A272">
            <v>90098</v>
          </cell>
          <cell r="B272" t="str">
            <v>SINAPI</v>
          </cell>
          <cell r="C272">
            <v>22.08</v>
          </cell>
          <cell r="D272" t="str">
            <v>Escavação mecanizada de vala com profundidade maior que 4,50 m até 6,00 m (média entre montante e jusante / uma composição por trecho), com escavadeira hidráulica (capacidade da caçamba: 1,20 m3 / potência: 155 HP), largura de 1,50 m a 2,50 m, em solo de 1a categoria, locais com baixo nível de interferência. AF_01/2015</v>
          </cell>
          <cell r="E272"/>
          <cell r="F272" t="str">
            <v>M3</v>
          </cell>
          <cell r="G272">
            <v>4.8899999999999997</v>
          </cell>
          <cell r="H272" t="str">
            <v>-</v>
          </cell>
        </row>
        <row r="273">
          <cell r="A273">
            <v>90099</v>
          </cell>
          <cell r="B273" t="str">
            <v>SINAPI</v>
          </cell>
          <cell r="C273">
            <v>7.62</v>
          </cell>
          <cell r="D273" t="str">
            <v>Escavação mecanizada de vala com profundidade até 1,50 m (média entre montante e jusante / uma composição por trecho), com retroescavadeira (capacidade da caçamba: 0,26 m3 / potência: 88 HP), largura menor que 0,80 m, em solo de 1a categoria, em locais com alto nível de interferência. AF_01/2015</v>
          </cell>
          <cell r="E273" t="str">
            <v>H &lt; 1,50
alta Interferência</v>
          </cell>
          <cell r="F273" t="str">
            <v>M3</v>
          </cell>
          <cell r="G273">
            <v>14.75</v>
          </cell>
          <cell r="H273" t="str">
            <v>-</v>
          </cell>
        </row>
        <row r="274">
          <cell r="A274">
            <v>90100</v>
          </cell>
          <cell r="B274" t="str">
            <v>SINAPI</v>
          </cell>
          <cell r="C274">
            <v>8.9600000000000009</v>
          </cell>
          <cell r="D274" t="str">
            <v>Escavação mecanizada de vala com profundidade até 1,50 m (média entre montante e jusante / uma composição por trecho), com retroescavadeira (capacidade da caçamba: 0,26 m3 / potência: 88 HP), largura de 0,80 m a 1,50 m, em solo de 1a categoria, em locais com alto nível de interferência. AF_01/2015</v>
          </cell>
          <cell r="E274"/>
          <cell r="F274" t="str">
            <v>M3</v>
          </cell>
          <cell r="G274">
            <v>12.52</v>
          </cell>
          <cell r="H274" t="str">
            <v>-</v>
          </cell>
        </row>
        <row r="275">
          <cell r="A275">
            <v>90082</v>
          </cell>
          <cell r="B275" t="str">
            <v>SINAPI</v>
          </cell>
          <cell r="C275">
            <v>13.46</v>
          </cell>
          <cell r="D275" t="str">
            <v>Escavação mecanizada de vala com profundidade até 1,50 m (média entre montante e jusante / uma composição por trecho), com escavadeira hidráulica (capacidade da caçamba: 0,80 m3), largura de 1,50 m a 2,50 m, em solo de 1a categoria, em locais com alto nível de interferência. AF_01/2015</v>
          </cell>
          <cell r="E275"/>
          <cell r="F275" t="str">
            <v>M3</v>
          </cell>
          <cell r="G275">
            <v>10.81</v>
          </cell>
          <cell r="H275" t="str">
            <v>-</v>
          </cell>
        </row>
        <row r="276">
          <cell r="A276">
            <v>90084</v>
          </cell>
          <cell r="B276" t="str">
            <v>SINAPI</v>
          </cell>
          <cell r="C276"/>
          <cell r="D276" t="str">
            <v>Escavação mecanizada de vala com profundidade maior que 1,50 m até 3,00 m (média entre montante e jusante / uma composição por trecho), com escavadeira hidráulica (capacidade da caçamba: 0,80 m3 / potência: 111 HP), largura até 1,50 m, em solo de 1a categoria, em locais com alto nível de interferência. AF_01/2015</v>
          </cell>
          <cell r="E276"/>
          <cell r="F276" t="str">
            <v>M3</v>
          </cell>
          <cell r="G276">
            <v>10.47</v>
          </cell>
          <cell r="H276" t="str">
            <v>-</v>
          </cell>
        </row>
        <row r="277">
          <cell r="A277">
            <v>90101</v>
          </cell>
          <cell r="B277" t="str">
            <v>SINAPI</v>
          </cell>
          <cell r="C277">
            <v>9.07</v>
          </cell>
          <cell r="D277" t="str">
            <v>Escavação mecanizada de vala com profundidade maior que 1,50 m até 3,00 m (média entre montante e jusante / uma composição por trecho), com retroescavadeira (capacidade da caçamba: 0,26 m3 / potência: 88 HP), largura menor que 0,80 m, em solo de 1a categoria, em locais com alto nível de interferência. AF_01/2015</v>
          </cell>
          <cell r="E277" t="str">
            <v>1,51 &lt; H &lt; 3,00
alta Interferência</v>
          </cell>
          <cell r="F277" t="str">
            <v>M3</v>
          </cell>
          <cell r="G277">
            <v>12.37</v>
          </cell>
          <cell r="H277" t="str">
            <v>-</v>
          </cell>
        </row>
        <row r="278">
          <cell r="A278">
            <v>90102</v>
          </cell>
          <cell r="B278" t="str">
            <v>SINAPI</v>
          </cell>
          <cell r="C278">
            <v>9.9700000000000006</v>
          </cell>
          <cell r="D278" t="str">
            <v>Escavação mecanizada de vala com profundidade maior que 1,50 m até 3,00 m (média entre montante e jusante / uma composição por trecho), com retroescavadeira (capacidade da caçamba: 0,26 m3 / potência: 88 HP), largura de 0,80 m a 1,50 m, em solo de 1a categoria, em locais com alto nível de interferência. AF_01/2015</v>
          </cell>
          <cell r="E278"/>
          <cell r="F278" t="str">
            <v>M3</v>
          </cell>
          <cell r="G278">
            <v>11.26</v>
          </cell>
          <cell r="H278" t="str">
            <v>-</v>
          </cell>
        </row>
        <row r="279">
          <cell r="A279">
            <v>102278</v>
          </cell>
          <cell r="B279" t="str">
            <v>SINAPI</v>
          </cell>
          <cell r="C279" t="str">
            <v>90085
14,75 m3/h</v>
          </cell>
          <cell r="D279" t="str">
            <v>Escavação mecanizada de vala com profundidade maior que 1,50 m até 3,00 m (média entre montante e jusante / uma composição por trecho), com escavadeira hidráulica (capacidade da caçamba: 1,2 m3 / potência: 155 HP), largura de 1,50 m a 2,50 m, em solo de 1a categoria, em locais com alto nível de interferência. AF_02/2021</v>
          </cell>
          <cell r="E279"/>
          <cell r="F279" t="str">
            <v>M3</v>
          </cell>
          <cell r="G279">
            <v>9.42</v>
          </cell>
          <cell r="H279" t="str">
            <v>-</v>
          </cell>
        </row>
        <row r="280">
          <cell r="A280">
            <v>90086</v>
          </cell>
          <cell r="B280" t="str">
            <v>SINAPI</v>
          </cell>
          <cell r="C280">
            <v>14.58</v>
          </cell>
          <cell r="D280" t="str">
            <v>Escavação mecanizada de vala com profundidade maior que 3,00 m até 4,50 m (média entre montante e jusante / uma composição por trecho), com escavadeira hidráulica (capacidade da caçamba: 0,80 m3 / potência: 111 HP), largura menor que 1,50 m, em solo de 1a categoria, em locais com alto nível de interferência. AF_01/2015</v>
          </cell>
          <cell r="E280" t="str">
            <v>3,01 &lt; H &lt; 4,50
alta Interferência</v>
          </cell>
          <cell r="F280" t="str">
            <v>M3</v>
          </cell>
          <cell r="G280">
            <v>9.9</v>
          </cell>
          <cell r="H280" t="str">
            <v>-</v>
          </cell>
        </row>
        <row r="281">
          <cell r="A281">
            <v>90087</v>
          </cell>
          <cell r="B281" t="str">
            <v>SINAPI</v>
          </cell>
          <cell r="C281">
            <v>19.12</v>
          </cell>
          <cell r="D281" t="str">
            <v>Escavação mecanizada de vala com profundidade de 3,00 m até 4,50 m (média entre montante e jusante / uma composição por trecho), com escavadeira hidráulica (capacidade da caçamba: 1,20 m3 / potência: 155 HP), largura de 1,50 m a 2,50 m, em solo de 1a categoria, em locais com alto nível de interferência. AF_01/2015</v>
          </cell>
          <cell r="E281"/>
          <cell r="F281" t="str">
            <v>M3</v>
          </cell>
          <cell r="G281">
            <v>9.0399999999999991</v>
          </cell>
          <cell r="H281" t="str">
            <v>-</v>
          </cell>
        </row>
        <row r="282">
          <cell r="A282">
            <v>102277</v>
          </cell>
          <cell r="B282" t="str">
            <v>SINAPI</v>
          </cell>
          <cell r="C282" t="str">
            <v>90088
18,73 m3/h</v>
          </cell>
          <cell r="D282" t="str">
            <v>Escavação mecanizada de vala com profundidade maior que 4,50 m até 6,00 m (média entre montante e jusante / uma composição por trecho), com escavadeira hidráulica (capacidade da caçamba: 0,80 m3 / potência: 111 HP), largura menor que 1,50 m, em solo de 1a categoria, em locais com alto nível de interferência. AF_02/2021</v>
          </cell>
          <cell r="E282" t="str">
            <v>H &gt; 4,51
alta Interferência</v>
          </cell>
          <cell r="F282" t="str">
            <v>M3</v>
          </cell>
          <cell r="G282">
            <v>9.6</v>
          </cell>
          <cell r="H282" t="str">
            <v>-</v>
          </cell>
        </row>
        <row r="283">
          <cell r="A283">
            <v>90090</v>
          </cell>
          <cell r="B283" t="str">
            <v>SINAPI</v>
          </cell>
          <cell r="C283">
            <v>19.489999999999998</v>
          </cell>
          <cell r="D283" t="str">
            <v>Escavação mecanizada de vala com profundidade maior que 4,50 m até 6,00 m (média entre montante e jusante / uma composição por trecho), com escavadeira hidráulica (capacidade da caçamba: 1,20 m3 / potência: 155 HP), largura de 1,50 m a 2,50 m, em solo de 1a categoria, em locais com alto nível de interferência. AF_01/2015</v>
          </cell>
          <cell r="E283"/>
          <cell r="F283" t="str">
            <v>M3</v>
          </cell>
          <cell r="G283">
            <v>8.85</v>
          </cell>
          <cell r="H283" t="str">
            <v>-</v>
          </cell>
        </row>
        <row r="284">
          <cell r="A284">
            <v>102279</v>
          </cell>
          <cell r="B284" t="str">
            <v>SINAPI</v>
          </cell>
          <cell r="C284">
            <v>19.489999999999998</v>
          </cell>
          <cell r="D284" t="str">
            <v>Escavação mecanizada de vala com prof. até 1,5 m (média entre montante e jusante/uma composição por trecho), com escavadeira hidráulica (0,8 m3/111 HP),larg. menor que 1,5 m, em solo de 1a categoria, locais com baixo nível de interferência. af_02/2021</v>
          </cell>
          <cell r="E284"/>
          <cell r="F284" t="str">
            <v>M3</v>
          </cell>
          <cell r="G284">
            <v>6.7</v>
          </cell>
          <cell r="H284" t="str">
            <v>-</v>
          </cell>
        </row>
        <row r="285">
          <cell r="A285"/>
          <cell r="B285" t="str">
            <v>ARRUMAR LISTA DE COMPOSIÇÃO</v>
          </cell>
          <cell r="C285">
            <v>72915</v>
          </cell>
          <cell r="D285" t="str">
            <v>Escavação mecânica de vala em material de 2a categoria ate 2,00 m de profundidade com utilização de escavadeira hidráulica - exclusive escoramento e esgotamento</v>
          </cell>
          <cell r="E285"/>
          <cell r="F285" t="str">
            <v>-</v>
          </cell>
          <cell r="G285" t="str">
            <v>-</v>
          </cell>
          <cell r="H285" t="str">
            <v/>
          </cell>
        </row>
        <row r="286">
          <cell r="A286"/>
          <cell r="B286" t="str">
            <v>ARRUMAR LISTA DE COMPOSIÇÃO</v>
          </cell>
          <cell r="C286">
            <v>72917</v>
          </cell>
          <cell r="D286" t="str">
            <v>Escavação mecânica de vala em material de 2a categoria de 2,01 ate 4,00 m de profundidade com utilização de escavadeira hidráulica - exclusive escoramento e esgotamento</v>
          </cell>
          <cell r="E286"/>
          <cell r="F286" t="str">
            <v>-</v>
          </cell>
          <cell r="G286" t="str">
            <v>-</v>
          </cell>
          <cell r="H286" t="str">
            <v/>
          </cell>
        </row>
        <row r="287">
          <cell r="A287"/>
          <cell r="B287" t="str">
            <v>ARRUMAR LISTA DE COMPOSIÇÃO</v>
          </cell>
          <cell r="C287">
            <v>72918</v>
          </cell>
          <cell r="D287" t="str">
            <v>Escavação mecânica de vala em material de 2a. categoria de 4,01 ate 6,00 m de profundidade com utilização de escavadeira hidráulica - exclusive escoramento e esgotamento</v>
          </cell>
          <cell r="E287"/>
          <cell r="F287" t="str">
            <v>-</v>
          </cell>
          <cell r="G287" t="str">
            <v>-</v>
          </cell>
          <cell r="H287" t="str">
            <v/>
          </cell>
        </row>
        <row r="288">
          <cell r="A288" t="str">
            <v>DR/0020</v>
          </cell>
          <cell r="B288" t="str">
            <v>COMPOSIÇÃO</v>
          </cell>
          <cell r="C288">
            <v>3</v>
          </cell>
          <cell r="D288" t="str">
            <v>Escavação de vala em rocha - 3a categoria, com uso de explosivos e perfuração mecânica, em locais com alto nível de interferência. Inclusive carga</v>
          </cell>
          <cell r="E288"/>
          <cell r="F288" t="str">
            <v>M3</v>
          </cell>
          <cell r="G288">
            <v>471.16</v>
          </cell>
          <cell r="H288" t="str">
            <v>-</v>
          </cell>
        </row>
        <row r="289">
          <cell r="A289" t="str">
            <v>DR/0021</v>
          </cell>
          <cell r="B289" t="str">
            <v>CRIAR COMPOSIÇÃO</v>
          </cell>
          <cell r="C289"/>
          <cell r="D289" t="str">
            <v>ERRO</v>
          </cell>
          <cell r="E289"/>
          <cell r="F289" t="str">
            <v>-</v>
          </cell>
          <cell r="G289" t="str">
            <v>-</v>
          </cell>
          <cell r="H289" t="str">
            <v>-</v>
          </cell>
        </row>
        <row r="290">
          <cell r="A290" t="str">
            <v>DR/0024</v>
          </cell>
          <cell r="B290" t="str">
            <v>COMPOSIÇÃO</v>
          </cell>
          <cell r="C290"/>
          <cell r="D290" t="str">
            <v>Escavação, carga e transporte de material de 2ª categoria - DMT de 1.400 a 1.600 m - caminho de serviço em revestimento primário - com escavadeira e caminhão basculante de 14 m³ (REF. SICRO COD. 5502618)</v>
          </cell>
          <cell r="E290"/>
          <cell r="F290" t="str">
            <v>M3</v>
          </cell>
          <cell r="G290">
            <v>9.59</v>
          </cell>
          <cell r="H290" t="str">
            <v>-</v>
          </cell>
        </row>
        <row r="291">
          <cell r="A291" t="str">
            <v>DR/0025</v>
          </cell>
          <cell r="B291" t="str">
            <v>COMPOSIÇÃO</v>
          </cell>
          <cell r="C291" t="str">
            <v>102360 ver sinapi</v>
          </cell>
          <cell r="D291" t="str">
            <v>Escavação de vala em material de 3a categoria - resistência a compressão de 90 a 110 MPA - com escavadeira e rompedor hidráulico 1.700kg, inclusive carga (REF. SICRO COD. 5502966)</v>
          </cell>
          <cell r="E291"/>
          <cell r="F291" t="str">
            <v>M3</v>
          </cell>
          <cell r="G291">
            <v>82.16</v>
          </cell>
          <cell r="H291" t="str">
            <v>-</v>
          </cell>
        </row>
        <row r="292">
          <cell r="A292" t="str">
            <v>DR/0026</v>
          </cell>
          <cell r="B292" t="str">
            <v>COMPOSIÇÃO</v>
          </cell>
          <cell r="C292"/>
          <cell r="D292" t="str">
            <v>Escavação de vala em material de 3a categoria, resistência à compressão maior ou igual a 90 MPA e menor que 110 MPA, com rompedor acoplado em escavadeira hidráulica - exclusive carga e transporte (REF. SINAPI COD. 03.MOVT.3CAT.004/01 2021-01)</v>
          </cell>
          <cell r="E292"/>
          <cell r="F292" t="str">
            <v>M3</v>
          </cell>
          <cell r="G292">
            <v>190.71</v>
          </cell>
          <cell r="H292" t="str">
            <v>-</v>
          </cell>
        </row>
        <row r="293">
          <cell r="A293" t="str">
            <v>DR/0027</v>
          </cell>
          <cell r="B293" t="str">
            <v>COMPOSIÇÃO</v>
          </cell>
          <cell r="C293"/>
          <cell r="D293" t="str">
            <v>Escavação, carga e transporte de material de 1ª categoria - DMT de 50 a 200 m - caminho de serviço em leito natural - com escavadeira e caminhão basculante de 14 m³ (Refer. SICRO CÓD. 5502109)</v>
          </cell>
          <cell r="E293"/>
          <cell r="F293" t="str">
            <v>M3</v>
          </cell>
          <cell r="G293">
            <v>5.61</v>
          </cell>
          <cell r="H293" t="str">
            <v>-</v>
          </cell>
        </row>
        <row r="294">
          <cell r="A294" t="str">
            <v>DR/0028</v>
          </cell>
          <cell r="B294" t="str">
            <v>COMPOSIÇÃO</v>
          </cell>
          <cell r="C294"/>
          <cell r="D294" t="str">
            <v>Escavação, carga e transporte de material de 1ª categoria - DMT de 200 a 400 m - caminho de serviço em leito natural - com escavadeira e caminhão basculante de 14 m³ (Refer. SICRO CÓD. 5502110)</v>
          </cell>
          <cell r="E294"/>
          <cell r="F294" t="str">
            <v>M3</v>
          </cell>
          <cell r="G294">
            <v>6.05</v>
          </cell>
          <cell r="H294" t="str">
            <v>-</v>
          </cell>
        </row>
        <row r="295">
          <cell r="A295" t="str">
            <v>DR/0030</v>
          </cell>
          <cell r="B295" t="str">
            <v>COMPOSIÇÃO</v>
          </cell>
          <cell r="C295"/>
          <cell r="D295" t="str">
            <v>Escavação à céu aberto de caixa para bacia de amortecimento em área de solo rochoso com uso de escavadeira hidráulica, rompedor hidráulico, perfuratriz mecânica e explosivos, inclusive carga</v>
          </cell>
          <cell r="E295"/>
          <cell r="F295" t="str">
            <v>M3</v>
          </cell>
          <cell r="G295">
            <v>155.34</v>
          </cell>
          <cell r="H295" t="str">
            <v>-</v>
          </cell>
        </row>
        <row r="296">
          <cell r="A296">
            <v>101616</v>
          </cell>
          <cell r="B296" t="str">
            <v>SINAPI</v>
          </cell>
          <cell r="C296" t="str">
            <v>94097
94098</v>
          </cell>
          <cell r="D296" t="str">
            <v>Preparo de fundo de vala com largura menor que 1,50 m (acerto do solo natural). AF_08/2020</v>
          </cell>
          <cell r="E296" t="str">
            <v>SOLO NATURAL</v>
          </cell>
          <cell r="F296" t="str">
            <v>M2</v>
          </cell>
          <cell r="G296">
            <v>5.15</v>
          </cell>
          <cell r="H296" t="str">
            <v>-</v>
          </cell>
        </row>
        <row r="297">
          <cell r="A297">
            <v>101617</v>
          </cell>
          <cell r="B297" t="str">
            <v>SINAPI</v>
          </cell>
          <cell r="C297" t="str">
            <v>94099
94100</v>
          </cell>
          <cell r="D297" t="str">
            <v>Preparo de fundo de vala com largura maior ou igual a 1,50 m e menor que 2,50 m (acerto do solo natural). AF_08/2020</v>
          </cell>
          <cell r="E297"/>
          <cell r="F297" t="str">
            <v>M2</v>
          </cell>
          <cell r="G297">
            <v>2.52</v>
          </cell>
          <cell r="H297" t="str">
            <v>-</v>
          </cell>
        </row>
        <row r="298">
          <cell r="A298">
            <v>101619</v>
          </cell>
          <cell r="B298" t="str">
            <v>SINAPI</v>
          </cell>
          <cell r="C298" t="str">
            <v>94099
94105</v>
          </cell>
          <cell r="D298" t="str">
            <v>Preparo de fundo de vala com largura menor que 1,50 m, com camada de brita, lançamento manual. AF_08/2020</v>
          </cell>
          <cell r="E298" t="str">
            <v>BRITA</v>
          </cell>
          <cell r="F298" t="str">
            <v>M3</v>
          </cell>
          <cell r="G298">
            <v>257.95</v>
          </cell>
          <cell r="H298" t="str">
            <v>-</v>
          </cell>
        </row>
        <row r="299">
          <cell r="A299">
            <v>101621</v>
          </cell>
          <cell r="B299" t="str">
            <v>SINAPI</v>
          </cell>
          <cell r="C299">
            <v>94107</v>
          </cell>
          <cell r="D299" t="str">
            <v>Preparo de fundo de vala com largura maior ou igual a 1,50 m e menor que 2,50 m, com camada de brita, lançamento manual. AF_08/2020</v>
          </cell>
          <cell r="E299"/>
          <cell r="F299" t="str">
            <v>M3</v>
          </cell>
          <cell r="G299">
            <v>237.1</v>
          </cell>
          <cell r="H299" t="str">
            <v>-</v>
          </cell>
        </row>
        <row r="300">
          <cell r="A300">
            <v>101623</v>
          </cell>
          <cell r="B300" t="str">
            <v>SINAPI</v>
          </cell>
          <cell r="C300" t="str">
            <v>94103
94114</v>
          </cell>
          <cell r="D300" t="str">
            <v>Preparo de fundo de vala com largura menor que 1,50 m, com camada de brita, lançamento mecanizado. AF_08/2020</v>
          </cell>
          <cell r="E300"/>
          <cell r="F300" t="str">
            <v>M3</v>
          </cell>
          <cell r="G300">
            <v>237.45</v>
          </cell>
          <cell r="H300" t="str">
            <v>-</v>
          </cell>
        </row>
        <row r="301">
          <cell r="A301">
            <v>101624</v>
          </cell>
          <cell r="B301" t="str">
            <v>SINAPI</v>
          </cell>
          <cell r="C301">
            <v>94116</v>
          </cell>
          <cell r="D301" t="str">
            <v>Preparo de fundo de vala com largura maior ou igual a 1,50 m e menor que 2,50 m, com camada de brita, lançamento mecanizado. AF_08/2020</v>
          </cell>
          <cell r="E301"/>
          <cell r="F301" t="str">
            <v>M3</v>
          </cell>
          <cell r="G301">
            <v>197.04</v>
          </cell>
          <cell r="H301" t="str">
            <v>-</v>
          </cell>
        </row>
        <row r="302">
          <cell r="A302">
            <v>101618</v>
          </cell>
          <cell r="B302" t="str">
            <v>SINAPI</v>
          </cell>
          <cell r="C302">
            <v>94104</v>
          </cell>
          <cell r="D302" t="str">
            <v>Preparo de fundo de vala com largura menor que 1,50 m, com camada de areia, lançamento manual. AF_08/2020</v>
          </cell>
          <cell r="E302" t="str">
            <v>AREIA</v>
          </cell>
          <cell r="F302" t="str">
            <v>M3</v>
          </cell>
          <cell r="G302">
            <v>201.33</v>
          </cell>
          <cell r="H302" t="str">
            <v>-</v>
          </cell>
        </row>
        <row r="303">
          <cell r="A303">
            <v>101620</v>
          </cell>
          <cell r="B303" t="str">
            <v>SINAPI</v>
          </cell>
          <cell r="C303">
            <v>94106</v>
          </cell>
          <cell r="D303" t="str">
            <v>Preparo de fundo de vala com largura maior ou igual a 1,50 m e menor que 2,50 m, com camada de areia, lançamento manual. AF_08/2020</v>
          </cell>
          <cell r="E303"/>
          <cell r="F303" t="str">
            <v>M3</v>
          </cell>
          <cell r="G303">
            <v>180.47</v>
          </cell>
          <cell r="H303" t="str">
            <v>-</v>
          </cell>
        </row>
        <row r="304">
          <cell r="A304">
            <v>101622</v>
          </cell>
          <cell r="B304" t="str">
            <v>SINAPI</v>
          </cell>
          <cell r="C304" t="str">
            <v>94111
94113</v>
          </cell>
          <cell r="D304" t="str">
            <v>Preparo de fundo de vala com largura menor que 1,50 m, com camada de areia, lançamento mecanizado. AF_08/2020</v>
          </cell>
          <cell r="E304"/>
          <cell r="F304" t="str">
            <v>M3</v>
          </cell>
          <cell r="G304">
            <v>184.7</v>
          </cell>
          <cell r="H304" t="str">
            <v>-</v>
          </cell>
        </row>
        <row r="305">
          <cell r="A305">
            <v>101625</v>
          </cell>
          <cell r="B305" t="str">
            <v>SINAPI</v>
          </cell>
          <cell r="C305" t="str">
            <v>94106
94115</v>
          </cell>
          <cell r="D305" t="str">
            <v>Preparo de fundo de vala com largura maior ou igual a 1,50 m e menor que 2,50 m, com camada de areia, lançamento mecanizado. AF_08/2020</v>
          </cell>
          <cell r="E305"/>
          <cell r="F305" t="str">
            <v>M3</v>
          </cell>
          <cell r="G305">
            <v>149.38</v>
          </cell>
          <cell r="H305" t="str">
            <v>-</v>
          </cell>
        </row>
        <row r="306">
          <cell r="A306">
            <v>96616</v>
          </cell>
          <cell r="B306" t="str">
            <v>SINAPI</v>
          </cell>
          <cell r="C306">
            <v>94106</v>
          </cell>
          <cell r="D306" t="str">
            <v>Lastro de concreto magro, aplicado em blocos de coroamento ou sapatas. AF_08/2017</v>
          </cell>
          <cell r="E306"/>
          <cell r="F306" t="str">
            <v>M3</v>
          </cell>
          <cell r="G306">
            <v>591.02</v>
          </cell>
          <cell r="H306" t="str">
            <v>-</v>
          </cell>
        </row>
        <row r="307">
          <cell r="A307">
            <v>96620</v>
          </cell>
          <cell r="B307" t="str">
            <v>SINAPI</v>
          </cell>
          <cell r="C307"/>
          <cell r="D307" t="str">
            <v>Lastro de concreto magro, aplicado em pisos ou radiers. AF_08/2017</v>
          </cell>
          <cell r="E307"/>
          <cell r="F307" t="str">
            <v>M3</v>
          </cell>
          <cell r="G307">
            <v>570.15</v>
          </cell>
          <cell r="H307" t="str">
            <v>-</v>
          </cell>
        </row>
        <row r="308">
          <cell r="A308" t="str">
            <v>DR/0032</v>
          </cell>
          <cell r="B308" t="str">
            <v>COMPOSIÇÃO</v>
          </cell>
          <cell r="C308">
            <v>73697</v>
          </cell>
          <cell r="D308" t="str">
            <v>Lastro ou enrocamento de pedra-de-mão ou rachão lançado, fornecimento e apiloamento. Exclusive transporte, ref SINAPI 73697, data 01/2020 e SINAPI 92744.</v>
          </cell>
          <cell r="E308"/>
          <cell r="F308" t="str">
            <v>M3</v>
          </cell>
          <cell r="G308">
            <v>253.46</v>
          </cell>
          <cell r="H308" t="str">
            <v>-</v>
          </cell>
        </row>
        <row r="309">
          <cell r="A309" t="str">
            <v>DR/0033</v>
          </cell>
          <cell r="B309" t="str">
            <v>COMPOSIÇÃO</v>
          </cell>
          <cell r="C309">
            <v>73698</v>
          </cell>
          <cell r="D309" t="str">
            <v>Enrocamento arrumado de pedra-de-mão ou rachão, fornecimento e apiloamento. Exclusive transporte, ref SINAPI 73698, data 01/2020 e SINAPI 92754.</v>
          </cell>
          <cell r="E309"/>
          <cell r="F309" t="str">
            <v>M3</v>
          </cell>
          <cell r="G309">
            <v>342.49</v>
          </cell>
          <cell r="H309" t="str">
            <v>-</v>
          </cell>
        </row>
        <row r="310">
          <cell r="A310">
            <v>368</v>
          </cell>
          <cell r="B310" t="str">
            <v>COTAÇÃO - SINAPI</v>
          </cell>
          <cell r="C310"/>
          <cell r="D310" t="str">
            <v>Areia para aterro - posto jazida/fornecedor (retirado na jazida, sem transporte)</v>
          </cell>
          <cell r="E310"/>
          <cell r="F310" t="str">
            <v xml:space="preserve">M3    </v>
          </cell>
          <cell r="G310">
            <v>45</v>
          </cell>
          <cell r="H310" t="str">
            <v>-</v>
          </cell>
        </row>
        <row r="311">
          <cell r="A311">
            <v>370</v>
          </cell>
          <cell r="B311" t="str">
            <v>COTAÇÃO - SINAPI</v>
          </cell>
          <cell r="C311"/>
          <cell r="D311" t="str">
            <v>Areia media - posto jazida/fornecedor (retirado na jazida, sem transporte)</v>
          </cell>
          <cell r="E311"/>
          <cell r="F311" t="str">
            <v xml:space="preserve">M3    </v>
          </cell>
          <cell r="G311">
            <v>90</v>
          </cell>
          <cell r="H311" t="str">
            <v>-</v>
          </cell>
        </row>
        <row r="312">
          <cell r="A312">
            <v>6079</v>
          </cell>
          <cell r="B312" t="str">
            <v>COTAÇÃO - SINAPI</v>
          </cell>
          <cell r="C312"/>
          <cell r="D312" t="str">
            <v>Argila, argila vermelha ou argila arenosa (retirada na jazida, sem transporte)</v>
          </cell>
          <cell r="E312"/>
          <cell r="F312" t="str">
            <v xml:space="preserve">M3    </v>
          </cell>
          <cell r="G312">
            <v>36.51</v>
          </cell>
          <cell r="H312" t="str">
            <v>-</v>
          </cell>
        </row>
        <row r="313">
          <cell r="A313">
            <v>94342</v>
          </cell>
          <cell r="B313" t="str">
            <v>SINAPI</v>
          </cell>
          <cell r="C313"/>
          <cell r="D313" t="str">
            <v>Aterro manual de valas com areia para aterro e compactação mecanizada (adensamento hidráulico e inclusive aquisição). AF_05/2016</v>
          </cell>
          <cell r="E313"/>
          <cell r="F313" t="str">
            <v>M3</v>
          </cell>
          <cell r="G313">
            <v>84.21</v>
          </cell>
          <cell r="H313" t="str">
            <v>-</v>
          </cell>
        </row>
        <row r="314">
          <cell r="A314">
            <v>93382</v>
          </cell>
          <cell r="B314" t="str">
            <v>SINAPI</v>
          </cell>
          <cell r="C314"/>
          <cell r="D314" t="str">
            <v>Reaterro manual de valas com compactação mecanizada. AF_04/2016</v>
          </cell>
          <cell r="E314"/>
          <cell r="F314" t="str">
            <v>M3</v>
          </cell>
          <cell r="G314">
            <v>21.71</v>
          </cell>
          <cell r="H314" t="str">
            <v>-</v>
          </cell>
        </row>
        <row r="315">
          <cell r="A315">
            <v>93378</v>
          </cell>
          <cell r="B315" t="str">
            <v>SINAPI</v>
          </cell>
          <cell r="C315"/>
          <cell r="D315" t="str">
            <v>Reaterro mecanizado de vala com retroescavadeira (capacidade da caçamba da retro: 0,26 m3 / potência: 88 HP), largura até 0,80 m, profundidade até 1,50 m, com solo (sem substituição) de 1a categoria em locais com baixo nível de interferência. AF_04/2016</v>
          </cell>
          <cell r="E315" t="str">
            <v>H &lt; 1,50
baixa Interferência</v>
          </cell>
          <cell r="F315" t="str">
            <v>M3</v>
          </cell>
          <cell r="G315">
            <v>21.21</v>
          </cell>
          <cell r="H315" t="str">
            <v>-</v>
          </cell>
        </row>
        <row r="316">
          <cell r="A316">
            <v>93379</v>
          </cell>
          <cell r="B316" t="str">
            <v>SINAPI</v>
          </cell>
          <cell r="C316"/>
          <cell r="D316" t="str">
            <v>Reaterro mecanizado de vala com retroescavadeira (capacidade da caçamba da retro: 0,26 m3 / potência: 88 HP), largura de 0,80 a 1,50 m, profundidade até 1,50 m, com solo (sem substituição) de 1a categoria em locais com baixo nível de interferência. AF_04/2016</v>
          </cell>
          <cell r="E316"/>
          <cell r="F316" t="str">
            <v>M3</v>
          </cell>
          <cell r="G316">
            <v>16.27</v>
          </cell>
          <cell r="H316" t="str">
            <v>-</v>
          </cell>
        </row>
        <row r="317">
          <cell r="A317">
            <v>93367</v>
          </cell>
          <cell r="B317" t="str">
            <v>SINAPI</v>
          </cell>
          <cell r="C317"/>
          <cell r="D317" t="str">
            <v>Reaterro mecanizado de vala com escavadeira hidráulica (capacidade da caçamba: 0,80 m3 / potência: 111 HP), largura de 1,50 a 2,50 m, profundidade até 1,50 m, com solo (sem substituição) de 1a categoria em locais com baixo nível de interferência. AF_04/2016</v>
          </cell>
          <cell r="E317"/>
          <cell r="F317" t="str">
            <v>M3</v>
          </cell>
          <cell r="G317">
            <v>21.52</v>
          </cell>
          <cell r="H317" t="str">
            <v>-</v>
          </cell>
        </row>
        <row r="318">
          <cell r="A318">
            <v>93380</v>
          </cell>
          <cell r="B318" t="str">
            <v>SINAPI</v>
          </cell>
          <cell r="C318"/>
          <cell r="D318" t="str">
            <v>Reaterro mecanizado de vala com retroescavadeira (capacidade da caçamba da retro: 0,26 m3 / potência: 88 HP), largura até 0,80 m, profundidade de 1,50 a 3,00 m, com solo (sem substituição) de 1a categoria em locais com baixo nível de interferência. AF_04/2016</v>
          </cell>
          <cell r="E318" t="str">
            <v>1,51 &lt; H &lt; 3,00
baixa Interferência</v>
          </cell>
          <cell r="F318" t="str">
            <v>M3</v>
          </cell>
          <cell r="G318">
            <v>13.85</v>
          </cell>
          <cell r="H318" t="str">
            <v>-</v>
          </cell>
        </row>
        <row r="319">
          <cell r="A319">
            <v>93381</v>
          </cell>
          <cell r="B319" t="str">
            <v>SINAPI</v>
          </cell>
          <cell r="C319"/>
          <cell r="D319" t="str">
            <v>Reaterro mecanizado de vala com retroescavadeira (capacidade da caçamba da retro: 0,26 m3 / potência: 88 HP), largura de 0,80 a 1,50 m, profundidade de 1,50 a 3,00 m, com solo (sem substituição) de 1a categoria em locais com baixo nível de interferência. AF_04/2016</v>
          </cell>
          <cell r="E319"/>
          <cell r="F319" t="str">
            <v>M3</v>
          </cell>
          <cell r="G319">
            <v>11.18</v>
          </cell>
          <cell r="H319" t="str">
            <v>-</v>
          </cell>
        </row>
        <row r="320">
          <cell r="A320">
            <v>93369</v>
          </cell>
          <cell r="B320" t="str">
            <v>SINAPI</v>
          </cell>
          <cell r="C320"/>
          <cell r="D320" t="str">
            <v>Reaterro mecanizado de vala com escavadeira hidráulica (capacidade da caçamba: 0,80 m3 / potência: 111 HP), largura de 1,50 a 2,50 m, profundidade de 1,50 a 3,00 m, com solo (sem substituição) de 1a categoria em locais com baixo nível de interferência. AF_04/2016</v>
          </cell>
          <cell r="E320"/>
          <cell r="F320" t="str">
            <v>M3</v>
          </cell>
          <cell r="G320">
            <v>15.37</v>
          </cell>
          <cell r="H320" t="str">
            <v>-</v>
          </cell>
        </row>
        <row r="321">
          <cell r="A321">
            <v>104731</v>
          </cell>
          <cell r="B321" t="str">
            <v>SINAPI</v>
          </cell>
          <cell r="C321">
            <v>93370</v>
          </cell>
          <cell r="D321" t="str">
            <v>Reaterro mecanizado de vala com escavadeira hidráulica (capacidade da caçamba: 0,8 M³/potência: 111 HP), largura até 1,5 m, profundidade de 3,0 a 6,0 m, com solo (sem substituição) de 1ª categoria, com placa vibratória. AF_08/2023</v>
          </cell>
          <cell r="E321" t="str">
            <v>3,01 &lt; H &lt; 4,50
baixa Interferência</v>
          </cell>
          <cell r="F321" t="str">
            <v>M3</v>
          </cell>
          <cell r="G321">
            <v>11.47</v>
          </cell>
          <cell r="H321" t="str">
            <v>-</v>
          </cell>
        </row>
        <row r="322">
          <cell r="A322">
            <v>104732</v>
          </cell>
          <cell r="B322" t="str">
            <v>SINAPI</v>
          </cell>
          <cell r="C322">
            <v>93371</v>
          </cell>
          <cell r="D322" t="str">
            <v>Reaterro mecanizado de vala com escavadeira hidráulica (capacidade da caçamba: 0,8 M³/potência: 111 HP), largura de 1,5 a 2,5 m, profundidade de 3,0 a 6,0 m, com solo (sem substituição) de 1ª categoria, com placa vibratória. AF_08/2023</v>
          </cell>
          <cell r="E322"/>
          <cell r="F322" t="str">
            <v>M3</v>
          </cell>
          <cell r="G322">
            <v>9.3000000000000007</v>
          </cell>
          <cell r="H322" t="str">
            <v>-</v>
          </cell>
        </row>
        <row r="323">
          <cell r="A323">
            <v>93372</v>
          </cell>
          <cell r="B323" t="str">
            <v>SINAPI</v>
          </cell>
          <cell r="C323"/>
          <cell r="D323" t="str">
            <v>Reaterro mecanizado de vala com escavadeira hidráulica (capacidade da caçamba: 0,80 m3 / potência: 111 HP), largura até 1,50 m, profundidade de 4,50 a 6,00 m, com solo (sem substituição) de 1a categoria em locais com baixo nível de interferência. AF_04/2016</v>
          </cell>
          <cell r="E323" t="str">
            <v>H &gt; 4,51
baixa Interferência</v>
          </cell>
          <cell r="F323" t="str">
            <v>M3</v>
          </cell>
          <cell r="G323">
            <v>14.76</v>
          </cell>
          <cell r="H323" t="str">
            <v>-</v>
          </cell>
        </row>
        <row r="324">
          <cell r="A324">
            <v>93373</v>
          </cell>
          <cell r="B324" t="str">
            <v>SINAPI</v>
          </cell>
          <cell r="C324"/>
          <cell r="D324" t="str">
            <v>Reaterro mecanizado de vala com escavadeira hidráulica (capacidade da caçamba: 0,80 m3 / potência: 111 HP), largura de 1,50 a 2,50 m, profundidade de 4,50 a 6,00 m, com solo (sem substituição) de 1a categoria em locais com baixo nível de interferência. AF_04/2016</v>
          </cell>
          <cell r="E324"/>
          <cell r="F324" t="str">
            <v>M3</v>
          </cell>
          <cell r="G324">
            <v>12.58</v>
          </cell>
          <cell r="H324" t="str">
            <v>-</v>
          </cell>
        </row>
        <row r="325">
          <cell r="A325">
            <v>104733</v>
          </cell>
          <cell r="B325" t="str">
            <v>SINAPI</v>
          </cell>
          <cell r="C325">
            <v>93374</v>
          </cell>
          <cell r="D325" t="str">
            <v>Reaterro mecanizado de vala com retroescavadeira (capacidade   da   caçamba   da retro: 0,26 M³/potência: 88 HP), largura até 0,8 m, profundidade até 1,5 m, com solo (sem substituição) de 1ª categoria, com placa vibratória. AF_08/2023</v>
          </cell>
          <cell r="E325" t="str">
            <v>H &lt; 1,50
alta Interferência</v>
          </cell>
          <cell r="F325" t="str">
            <v>M3</v>
          </cell>
          <cell r="G325">
            <v>17.62</v>
          </cell>
          <cell r="H325" t="str">
            <v>-</v>
          </cell>
        </row>
        <row r="326">
          <cell r="A326">
            <v>104734</v>
          </cell>
          <cell r="B326" t="str">
            <v>SINAPI</v>
          </cell>
          <cell r="C326">
            <v>93375</v>
          </cell>
          <cell r="D326" t="str">
            <v>Reaterro mecanizado de vala com retroescavadeira (capacidade   da   caçamba   da retro: 0,26 M³/potência: 88 HP), largura de 0,8 a 1,5 m, profundidade até 1,5 m, com solo (sem substituição) de 1ª categoria, com placa vibratória. AF_08/2023</v>
          </cell>
          <cell r="E326"/>
          <cell r="F326" t="str">
            <v>M3</v>
          </cell>
          <cell r="G326">
            <v>12.83</v>
          </cell>
          <cell r="H326" t="str">
            <v>-</v>
          </cell>
        </row>
        <row r="327">
          <cell r="A327">
            <v>104728</v>
          </cell>
          <cell r="B327" t="str">
            <v>SINAPI</v>
          </cell>
          <cell r="C327">
            <v>93360</v>
          </cell>
          <cell r="D327" t="str">
            <v>Reaterro mecanizado de vala com escavadeira hidráulica (capacidade da caçamba: 0,8 M³/potência: 111 HP), largura de 1,5 a 2,5 m, profundidade até 1,5 m, com solo (sem substituição) de 1ª categoria, com placa vibratória. AF_08/2023</v>
          </cell>
          <cell r="E327"/>
          <cell r="F327" t="str">
            <v>M3</v>
          </cell>
          <cell r="G327">
            <v>18.2</v>
          </cell>
          <cell r="H327" t="str">
            <v>-</v>
          </cell>
        </row>
        <row r="328">
          <cell r="A328">
            <v>104735</v>
          </cell>
          <cell r="B328" t="str">
            <v>SINAPI</v>
          </cell>
          <cell r="C328">
            <v>93376</v>
          </cell>
          <cell r="D328" t="str">
            <v>Reaterro mecanizado de vala com retroescavadeira (capacidade   da   caçamba   da retro: 0,26 M³/potência: 88 HP), largura até 0,8 m, profundidade de 1,5 a 3,0 m, com solo (sem substituição) de 1ª categoria, com placa vibratória. AF_08/2023</v>
          </cell>
          <cell r="E328" t="str">
            <v>1,51 &lt; H &lt; 3,00
alta Interferência</v>
          </cell>
          <cell r="F328" t="str">
            <v>M3</v>
          </cell>
          <cell r="G328">
            <v>10.5</v>
          </cell>
          <cell r="H328" t="str">
            <v>-</v>
          </cell>
        </row>
        <row r="329">
          <cell r="A329">
            <v>104736</v>
          </cell>
          <cell r="B329" t="str">
            <v>SINAPI</v>
          </cell>
          <cell r="C329">
            <v>93377</v>
          </cell>
          <cell r="D329" t="str">
            <v>Reaterro mecanizado de vala com retroescavadeira (capacidade   da   caçamba   da retro: 0,26 M³/potência: 88 HP), largura de 0,8 a 1,5 m, profundidade de 1,5 a 3,0 m, com solo (sem substituição) de 1ª categoria, com placa vibratória. AF_08/2023</v>
          </cell>
          <cell r="E329"/>
          <cell r="F329" t="str">
            <v>M3</v>
          </cell>
          <cell r="G329">
            <v>7.89</v>
          </cell>
          <cell r="H329" t="str">
            <v>-</v>
          </cell>
        </row>
        <row r="330">
          <cell r="A330">
            <v>104730</v>
          </cell>
          <cell r="B330" t="str">
            <v>SINAPI</v>
          </cell>
          <cell r="C330">
            <v>93362</v>
          </cell>
          <cell r="D330" t="str">
            <v>Reaterro mecanizado de vala com escavadeira hidráulica (capacidade da caçamba: 0,8 M³/potência: 111 HP), largura de 1,5 a 2,5 m, profundidade de 1,5 a 3,0 m, com solo (sem substituição) de 1ª categoria, com placa vibratória. AF_08/2023</v>
          </cell>
          <cell r="E330"/>
          <cell r="F330" t="str">
            <v>M3</v>
          </cell>
          <cell r="G330">
            <v>12.09</v>
          </cell>
          <cell r="H330" t="str">
            <v>-</v>
          </cell>
        </row>
        <row r="331">
          <cell r="A331">
            <v>104731</v>
          </cell>
          <cell r="B331" t="str">
            <v>SINAPI</v>
          </cell>
          <cell r="C331">
            <v>93363</v>
          </cell>
          <cell r="D331" t="str">
            <v>Reaterro mecanizado de vala com escavadeira hidráulica (capacidade da caçamba: 0,8 M³/potência: 111 HP), largura até 1,5 m, profundidade de 3,0 a 6,0 m, com solo (sem substituição) de 1ª categoria, com placa vibratória. AF_08/2023</v>
          </cell>
          <cell r="E331" t="str">
            <v>3,01 &lt; H &lt; 4,50
alta Interferência</v>
          </cell>
          <cell r="F331" t="str">
            <v>M3</v>
          </cell>
          <cell r="G331">
            <v>11.47</v>
          </cell>
          <cell r="H331" t="str">
            <v>-</v>
          </cell>
        </row>
        <row r="332">
          <cell r="A332">
            <v>104732</v>
          </cell>
          <cell r="B332" t="str">
            <v>SINAPI</v>
          </cell>
          <cell r="C332">
            <v>93364</v>
          </cell>
          <cell r="D332" t="str">
            <v>Reaterro mecanizado de vala com escavadeira hidráulica (capacidade da caçamba: 0,8 M³/potência: 111 HP), largura de 1,5 a 2,5 m, profundidade de 3,0 a 6,0 m, com solo (sem substituição) de 1ª categoria, com placa vibratória. AF_08/2023</v>
          </cell>
          <cell r="E332"/>
          <cell r="F332" t="str">
            <v>M3</v>
          </cell>
          <cell r="G332">
            <v>9.3000000000000007</v>
          </cell>
          <cell r="H332" t="str">
            <v>-</v>
          </cell>
        </row>
        <row r="333">
          <cell r="A333">
            <v>104731</v>
          </cell>
          <cell r="B333" t="str">
            <v>SINAPI</v>
          </cell>
          <cell r="C333">
            <v>93365</v>
          </cell>
          <cell r="D333" t="str">
            <v>Reaterro mecanizado de vala com escavadeira hidráulica (capacidade da caçamba: 0,8 M³/potência: 111 HP), largura até 1,5 m, profundidade de 3,0 a 6,0 m, com solo (sem substituição) de 1ª categoria, com placa vibratória. AF_08/2023</v>
          </cell>
          <cell r="E333" t="str">
            <v>H &gt; 4,51
alta Interferência</v>
          </cell>
          <cell r="F333" t="str">
            <v>M3</v>
          </cell>
          <cell r="G333">
            <v>11.47</v>
          </cell>
          <cell r="H333" t="str">
            <v>-</v>
          </cell>
        </row>
        <row r="334">
          <cell r="A334">
            <v>104732</v>
          </cell>
          <cell r="B334" t="str">
            <v>SINAPI</v>
          </cell>
          <cell r="C334">
            <v>93366</v>
          </cell>
          <cell r="D334" t="str">
            <v>Reaterro mecanizado de vala com escavadeira hidráulica (capacidade da caçamba: 0,8 M³/potência: 111 HP), largura de 1,5 a 2,5 m, profundidade de 3,0 a 6,0 m, com solo (sem substituição) de 1ª categoria, com placa vibratória. AF_08/2023</v>
          </cell>
          <cell r="E334"/>
          <cell r="F334" t="str">
            <v>M3</v>
          </cell>
          <cell r="G334">
            <v>9.3000000000000007</v>
          </cell>
          <cell r="H334" t="str">
            <v>-</v>
          </cell>
        </row>
        <row r="335">
          <cell r="A335">
            <v>100574</v>
          </cell>
          <cell r="B335" t="str">
            <v>SINAPI</v>
          </cell>
          <cell r="C335"/>
          <cell r="D335" t="str">
            <v>Espalhamento de material com trator de esteiras. AF_11/2019</v>
          </cell>
          <cell r="E335"/>
          <cell r="F335" t="str">
            <v>M3</v>
          </cell>
          <cell r="G335">
            <v>1.32</v>
          </cell>
          <cell r="H335" t="str">
            <v>-</v>
          </cell>
        </row>
        <row r="336">
          <cell r="A336" t="str">
            <v>DR/0035</v>
          </cell>
          <cell r="B336" t="str">
            <v>COMPOSIÇÃO</v>
          </cell>
          <cell r="C336"/>
          <cell r="D336" t="str">
            <v>Bota-fora, carga, transporte e descarga, DMT até 10 km, volume geométrico. Exclusive espalhamento</v>
          </cell>
          <cell r="E336"/>
          <cell r="F336" t="str">
            <v>M3</v>
          </cell>
          <cell r="G336">
            <v>31.64</v>
          </cell>
          <cell r="H336" t="str">
            <v>-</v>
          </cell>
        </row>
        <row r="337">
          <cell r="A337" t="str">
            <v>DR/0036</v>
          </cell>
          <cell r="B337" t="str">
            <v>COMPOSIÇÃO</v>
          </cell>
          <cell r="C337"/>
          <cell r="D337" t="str">
            <v>Filtro vertical de areia grossa, incluindo fornecimento de material e serviços de lançamento mecânico,  umidificação e compactação. Exclusive transporte, ref SINAPI 94339 db 08-23.</v>
          </cell>
          <cell r="E337"/>
          <cell r="F337" t="str">
            <v>M3</v>
          </cell>
          <cell r="G337">
            <v>137.4</v>
          </cell>
          <cell r="H337" t="str">
            <v>-</v>
          </cell>
        </row>
        <row r="338">
          <cell r="A338" t="str">
            <v>DR/0037</v>
          </cell>
          <cell r="B338" t="str">
            <v>COMPOSIÇÃO</v>
          </cell>
          <cell r="C338"/>
          <cell r="D338" t="str">
            <v>Filtro horizontal de areia grossa com espalhamento mecânico, inclusive fornecimento. Exclusive transporte (Refer. SICRO CÓD. 2003844, DB 04/23 e SINAPI 94339 DB 08-23)</v>
          </cell>
          <cell r="E338"/>
          <cell r="F338" t="str">
            <v>M3</v>
          </cell>
          <cell r="G338">
            <v>128.77000000000001</v>
          </cell>
          <cell r="H338" t="str">
            <v>-</v>
          </cell>
        </row>
        <row r="339">
          <cell r="A339" t="str">
            <v>DR/0038</v>
          </cell>
          <cell r="B339" t="str">
            <v>COMPOSIÇÃO</v>
          </cell>
          <cell r="C339"/>
          <cell r="D339" t="str">
            <v>Filtro horizontal de brita com espalhamento mecânico, inclusive fornecimento. Exclusive transporte (Refer. SICRO CÓD. 0903845, DB 01/21)</v>
          </cell>
          <cell r="E339"/>
          <cell r="F339" t="str">
            <v>M3</v>
          </cell>
          <cell r="G339">
            <v>111.74</v>
          </cell>
          <cell r="H339" t="str">
            <v>-</v>
          </cell>
        </row>
        <row r="340">
          <cell r="A340" t="str">
            <v>DR/0040</v>
          </cell>
          <cell r="B340" t="str">
            <v>COMPOSIÇÃO</v>
          </cell>
          <cell r="C340"/>
          <cell r="D340" t="str">
            <v>Arrancamento e remoção de canalização, Ø ≤ 60 cm. Exclusive bota-fora</v>
          </cell>
          <cell r="E340"/>
          <cell r="F340" t="str">
            <v>M</v>
          </cell>
          <cell r="G340">
            <v>71.099999999999994</v>
          </cell>
          <cell r="H340" t="str">
            <v>-</v>
          </cell>
        </row>
        <row r="341">
          <cell r="A341" t="str">
            <v>DR/0045</v>
          </cell>
          <cell r="B341" t="str">
            <v>COMPOSIÇÃO</v>
          </cell>
          <cell r="C341"/>
          <cell r="D341" t="str">
            <v>Arrancamento e remoção de canalização, Ø &gt; 60 cm. Exclusive bota-fora</v>
          </cell>
          <cell r="E341"/>
          <cell r="F341" t="str">
            <v>M</v>
          </cell>
          <cell r="G341">
            <v>122.06</v>
          </cell>
          <cell r="H341" t="str">
            <v>-</v>
          </cell>
        </row>
        <row r="342">
          <cell r="A342" t="str">
            <v>DR/0050</v>
          </cell>
          <cell r="B342" t="str">
            <v>COMPOSIÇÃO</v>
          </cell>
          <cell r="C342"/>
          <cell r="D342" t="str">
            <v>Esgotamento de água com bomba submersa (REF. SICRO COD. 2003864)</v>
          </cell>
          <cell r="E342"/>
          <cell r="F342" t="str">
            <v>H</v>
          </cell>
          <cell r="G342">
            <v>22.01</v>
          </cell>
          <cell r="H342" t="str">
            <v>-</v>
          </cell>
        </row>
        <row r="343">
          <cell r="A343"/>
          <cell r="B343"/>
          <cell r="C343"/>
          <cell r="D343"/>
          <cell r="E343"/>
          <cell r="F343"/>
          <cell r="G343"/>
          <cell r="H343"/>
        </row>
        <row r="344">
          <cell r="A344"/>
          <cell r="B344"/>
          <cell r="C344" t="str">
            <v>6.0</v>
          </cell>
          <cell r="D344" t="str">
            <v>MICRO E MACRODRENAGEM - DISPOSITIVOS AUXILIARES</v>
          </cell>
          <cell r="E344"/>
          <cell r="F344"/>
          <cell r="G344"/>
          <cell r="H344" t="str">
            <v/>
          </cell>
        </row>
        <row r="345">
          <cell r="A345">
            <v>92210</v>
          </cell>
          <cell r="B345" t="str">
            <v>SINAPI</v>
          </cell>
          <cell r="C345"/>
          <cell r="D345" t="str">
            <v>Aquisição de tubo de concreto para redes coletoras de águas pluviais, diâmetro nominal de 0,40 m, junta rígida em argamassa 1:3 cimento:areia, instalado em local com baixo nível de interferências - fornecimento e assentamento. AF_12/2015</v>
          </cell>
          <cell r="E345" t="str">
            <v>TUBO DE CONCRETO
baixa Interferência</v>
          </cell>
          <cell r="F345" t="str">
            <v>M</v>
          </cell>
          <cell r="G345">
            <v>182.84</v>
          </cell>
          <cell r="H345" t="str">
            <v>-</v>
          </cell>
        </row>
        <row r="346">
          <cell r="A346">
            <v>92212</v>
          </cell>
          <cell r="B346" t="str">
            <v>SINAPI</v>
          </cell>
          <cell r="C346"/>
          <cell r="D346" t="str">
            <v>Aquisição de tubo de concreto para redes coletoras de águas pluviais, diâmetro nominal de 0,60 m, junta rígida em argamassa 1:3 cimento:areia, instalado em local com baixo nível de interferências - fornecimento e assentamento. AF_12/2015</v>
          </cell>
          <cell r="E346"/>
          <cell r="F346" t="str">
            <v>M</v>
          </cell>
          <cell r="G346">
            <v>328.92</v>
          </cell>
          <cell r="H346" t="str">
            <v>-</v>
          </cell>
        </row>
        <row r="347">
          <cell r="A347">
            <v>92214</v>
          </cell>
          <cell r="B347" t="str">
            <v>SINAPI</v>
          </cell>
          <cell r="C347"/>
          <cell r="D347" t="str">
            <v>Aquisição de tubo de concreto para redes coletoras de águas pluviais, diâmetro nominal de 0,80 m, junta rígida em argamassa 1:3 cimento:areia, instalado em local com baixo nível de interferências - fornecimento e assentamento. Af_12/2015</v>
          </cell>
          <cell r="E347"/>
          <cell r="F347" t="str">
            <v>M</v>
          </cell>
          <cell r="G347">
            <v>523.45000000000005</v>
          </cell>
          <cell r="H347" t="str">
            <v>-</v>
          </cell>
        </row>
        <row r="348">
          <cell r="A348">
            <v>92216</v>
          </cell>
          <cell r="B348" t="str">
            <v>SINAPI</v>
          </cell>
          <cell r="C348"/>
          <cell r="D348" t="str">
            <v>Aquisição de tubo de concreto para redes coletoras de águas pluviais, diâmetro nominal de 1,00 m, junta rígida em argamassa 1:3 cimento:areia, instalado em local com baixo nível de interferências - fornecimento e assentamento. AF_12/2015</v>
          </cell>
          <cell r="E348"/>
          <cell r="F348" t="str">
            <v>M</v>
          </cell>
          <cell r="G348">
            <v>627.44000000000005</v>
          </cell>
          <cell r="H348" t="str">
            <v>-</v>
          </cell>
        </row>
        <row r="349">
          <cell r="A349">
            <v>92219</v>
          </cell>
          <cell r="B349" t="str">
            <v>SINAPI</v>
          </cell>
          <cell r="C349"/>
          <cell r="D349" t="str">
            <v>Aquisição de tubo de concreto para redes coletoras de águas pluviais, diâmetro nominal de 0,40 m, junta rígida em argamassa 1:3 cimento:areia, instalado em local com alto nível de interferências - fornecimento e assentamento. AF_12/2015</v>
          </cell>
          <cell r="E349" t="str">
            <v>TUBO DE CONCRETO
alta Interferência</v>
          </cell>
          <cell r="F349" t="str">
            <v>M</v>
          </cell>
          <cell r="G349">
            <v>192.71</v>
          </cell>
          <cell r="H349" t="str">
            <v>-</v>
          </cell>
        </row>
        <row r="350">
          <cell r="A350">
            <v>92221</v>
          </cell>
          <cell r="B350" t="str">
            <v>SINAPI</v>
          </cell>
          <cell r="C350"/>
          <cell r="D350" t="str">
            <v>Aquisição de tubo de concreto para redes coletoras de águas pluviais, diâmetro nominal de 0,60 m, junta rígida em argamassa 1:3 cimento:areia, instalado em local com alto nível de interferências - fornecimento e assentamento. AF_12/2015</v>
          </cell>
          <cell r="E350"/>
          <cell r="F350" t="str">
            <v>M</v>
          </cell>
          <cell r="G350">
            <v>343.24</v>
          </cell>
          <cell r="H350" t="str">
            <v>-</v>
          </cell>
        </row>
        <row r="351">
          <cell r="A351">
            <v>92223</v>
          </cell>
          <cell r="B351" t="str">
            <v>SINAPI</v>
          </cell>
          <cell r="C351"/>
          <cell r="D351" t="str">
            <v>Aquisição de tubo de concreto para redes coletoras de águas pluviais, diâmetro nominal de 0,80 m, junta rígida em argamassa 1:3 cimento:areia, instalado em local com alto nível de interferências - fornecimento e assentamento. AF_12/2015</v>
          </cell>
          <cell r="E351"/>
          <cell r="F351" t="str">
            <v>M</v>
          </cell>
          <cell r="G351">
            <v>542.09</v>
          </cell>
          <cell r="H351" t="str">
            <v>-</v>
          </cell>
        </row>
        <row r="352">
          <cell r="A352">
            <v>92226</v>
          </cell>
          <cell r="B352" t="str">
            <v>SINAPI</v>
          </cell>
          <cell r="C352"/>
          <cell r="D352" t="str">
            <v>Aquisição de tubo de concreto para redes coletoras de águas pluviais, diâmetro nominal de 1,00 m, junta rígida em argamassa 1:3 cimento:areia, instalado em local com alto nível de interferências - fornecimento e assentamento. AF_12/2015</v>
          </cell>
          <cell r="E352"/>
          <cell r="F352" t="str">
            <v>M</v>
          </cell>
          <cell r="G352">
            <v>650.58000000000004</v>
          </cell>
          <cell r="H352" t="str">
            <v>-</v>
          </cell>
        </row>
        <row r="353">
          <cell r="A353">
            <v>7781</v>
          </cell>
          <cell r="B353" t="str">
            <v>SINAPI</v>
          </cell>
          <cell r="C353"/>
          <cell r="D353" t="str">
            <v>Aquisição de tubo de concreto simples para aguas pluviais, classe PS-1, com encaixe ponta e bolsa, diâmetro nominal de 0,40 m (180 kg/m) - Aquisição</v>
          </cell>
          <cell r="E353" t="str">
            <v>TUBO DE CONCRETO
PS-1</v>
          </cell>
          <cell r="F353" t="str">
            <v xml:space="preserve">M     </v>
          </cell>
          <cell r="G353">
            <v>70.900000000000006</v>
          </cell>
          <cell r="H353" t="str">
            <v>-</v>
          </cell>
        </row>
        <row r="354">
          <cell r="A354">
            <v>7791</v>
          </cell>
          <cell r="B354" t="str">
            <v>SINAPI</v>
          </cell>
          <cell r="C354"/>
          <cell r="D354" t="str">
            <v>Aquisição de tubo de concreto simples para aguas pluviais, classe PS-1, com encaixe ponta e bolsa, diâmetro nominal de 0,60 m (347 kg/m) - Aquisição</v>
          </cell>
          <cell r="E354"/>
          <cell r="F354" t="str">
            <v xml:space="preserve">M     </v>
          </cell>
          <cell r="G354">
            <v>126.32</v>
          </cell>
          <cell r="H354" t="str">
            <v>-</v>
          </cell>
        </row>
        <row r="355">
          <cell r="A355">
            <v>7785</v>
          </cell>
          <cell r="B355" t="str">
            <v>SINAPI</v>
          </cell>
          <cell r="C355"/>
          <cell r="D355" t="str">
            <v>Aquisição de tubo de concreto simples para aguas pluviais, classe PS-2, com encaixe ponta e bolsa, diâmetro nominal de 0,40 m - Aquisição</v>
          </cell>
          <cell r="E355" t="str">
            <v>TUBO DE CONCRETO
PS-2</v>
          </cell>
          <cell r="F355" t="str">
            <v xml:space="preserve">M     </v>
          </cell>
          <cell r="G355">
            <v>77.83</v>
          </cell>
          <cell r="H355" t="str">
            <v>-</v>
          </cell>
        </row>
        <row r="356">
          <cell r="A356">
            <v>7793</v>
          </cell>
          <cell r="B356" t="str">
            <v>SINAPI</v>
          </cell>
          <cell r="C356"/>
          <cell r="D356" t="str">
            <v>Aquisição de tubo de concreto simples para aguas pluviais, classe PS-2, com encaixe ponta e bolsa, diâmetro nominal de 0,60 m - Aquisição</v>
          </cell>
          <cell r="E356"/>
          <cell r="F356" t="str">
            <v xml:space="preserve">M     </v>
          </cell>
          <cell r="G356">
            <v>130.37</v>
          </cell>
          <cell r="H356" t="str">
            <v>-</v>
          </cell>
        </row>
        <row r="357">
          <cell r="A357">
            <v>7725</v>
          </cell>
          <cell r="B357" t="str">
            <v>SINAPI</v>
          </cell>
          <cell r="C357"/>
          <cell r="D357" t="str">
            <v>Aquisição de tubo de concreto armado para aguas pluviais, classe PA-1, com encaixe ponta e bolsa, diâmetro nominal de 0,60 m (360 kg/m) - Aquisição</v>
          </cell>
          <cell r="E357" t="str">
            <v>TUBO DE CONCRETO
PA-1</v>
          </cell>
          <cell r="F357" t="str">
            <v xml:space="preserve">M     </v>
          </cell>
          <cell r="G357">
            <v>247</v>
          </cell>
          <cell r="H357" t="str">
            <v>-</v>
          </cell>
        </row>
        <row r="358">
          <cell r="A358">
            <v>7750</v>
          </cell>
          <cell r="B358" t="str">
            <v>SINAPI</v>
          </cell>
          <cell r="C358"/>
          <cell r="D358" t="str">
            <v>Tubo de concreto armado para aguas pluviais, classe PA-1, com encaixe ponta e bolsa, diâmetro nominal de 0,80 m (533,00 kg/m) - Aquisição</v>
          </cell>
          <cell r="E358"/>
          <cell r="F358" t="str">
            <v xml:space="preserve">M     </v>
          </cell>
          <cell r="G358">
            <v>410.97</v>
          </cell>
          <cell r="H358" t="str">
            <v>-</v>
          </cell>
        </row>
        <row r="359">
          <cell r="A359">
            <v>7753</v>
          </cell>
          <cell r="B359" t="str">
            <v>SINAPI</v>
          </cell>
          <cell r="C359"/>
          <cell r="D359" t="str">
            <v>Tubo de concreto armado para aguas pluviais, classe PA-1, com encaixe ponta e bolsa, diâmetro nominal de 1,00 m (800,00 kg/m) - Aquisição</v>
          </cell>
          <cell r="E359"/>
          <cell r="F359" t="str">
            <v xml:space="preserve">M     </v>
          </cell>
          <cell r="G359">
            <v>481.54</v>
          </cell>
          <cell r="H359" t="str">
            <v>-</v>
          </cell>
        </row>
        <row r="360">
          <cell r="A360">
            <v>7757</v>
          </cell>
          <cell r="B360" t="str">
            <v>SINAPI</v>
          </cell>
          <cell r="C360"/>
          <cell r="D360" t="str">
            <v>Tubo de concreto armado para aguas pluviais, classe PA-1, com encaixe ponta e bolsa, diâmetro nominal de 1,20 m (1.133,00 kg/m) - Aquisição</v>
          </cell>
          <cell r="E360"/>
          <cell r="F360" t="str">
            <v xml:space="preserve">M     </v>
          </cell>
          <cell r="G360">
            <v>719.2</v>
          </cell>
          <cell r="H360" t="str">
            <v>-</v>
          </cell>
        </row>
        <row r="361">
          <cell r="A361">
            <v>7758</v>
          </cell>
          <cell r="B361" t="str">
            <v>SINAPI</v>
          </cell>
          <cell r="C361"/>
          <cell r="D361" t="str">
            <v>Tubo de concreto armado para aguas pluviais, classe PA-1, com encaixe ponta e bolsa, diâmetro nominal de 1,50 m (1.933,00 kg/m) - Aquisição</v>
          </cell>
          <cell r="E361"/>
          <cell r="F361" t="str">
            <v xml:space="preserve">M     </v>
          </cell>
          <cell r="G361">
            <v>1041.96</v>
          </cell>
          <cell r="H361" t="str">
            <v>-</v>
          </cell>
        </row>
        <row r="362">
          <cell r="A362">
            <v>7759</v>
          </cell>
          <cell r="B362" t="str">
            <v>SINAPI</v>
          </cell>
          <cell r="C362"/>
          <cell r="D362" t="str">
            <v>Tubo de concreto armado para aguas pluviais, classe PA-1, com encaixe ponta e bolsa, diâmetro nominal de 2,00 m - Aquisição</v>
          </cell>
          <cell r="E362"/>
          <cell r="F362" t="str">
            <v xml:space="preserve">M     </v>
          </cell>
          <cell r="G362">
            <v>2887.28</v>
          </cell>
          <cell r="H362" t="str">
            <v>-</v>
          </cell>
        </row>
        <row r="363">
          <cell r="A363">
            <v>7762</v>
          </cell>
          <cell r="B363" t="str">
            <v>SINAPI</v>
          </cell>
          <cell r="C363"/>
          <cell r="D363" t="str">
            <v>Tubo de concreto armado para aguas pluviais, classe PA-2, com encaixe ponta e bolsa, diâmetro nominal de 0,60 m (373,00 kg/m) - Aquisição</v>
          </cell>
          <cell r="E363" t="str">
            <v>TUBO DE CONCRETO
PA-2</v>
          </cell>
          <cell r="F363" t="str">
            <v xml:space="preserve">M     </v>
          </cell>
          <cell r="G363">
            <v>214.3</v>
          </cell>
          <cell r="H363" t="str">
            <v>-</v>
          </cell>
        </row>
        <row r="364">
          <cell r="A364">
            <v>7763</v>
          </cell>
          <cell r="B364" t="str">
            <v>SINAPI</v>
          </cell>
          <cell r="C364"/>
          <cell r="D364" t="str">
            <v>Tubo de concreto armado para aguas pluviais, classe PA-2, com encaixe ponta e bolsa, diâmetro nominal de 0,80 m (620,00 kg/m) - Aquisição</v>
          </cell>
          <cell r="E364"/>
          <cell r="F364" t="str">
            <v xml:space="preserve">M     </v>
          </cell>
          <cell r="G364">
            <v>399.55</v>
          </cell>
          <cell r="H364" t="str">
            <v>-</v>
          </cell>
        </row>
        <row r="365">
          <cell r="A365">
            <v>7765</v>
          </cell>
          <cell r="B365" t="str">
            <v>SINAPI</v>
          </cell>
          <cell r="C365"/>
          <cell r="D365" t="str">
            <v>Tubo de concreto armado para aguas pluviais, classe PA-2, com encaixe ponta e bolsa, diâmetro nominal de 1,00 m (900,00 kg/m) - Aquisição</v>
          </cell>
          <cell r="E365"/>
          <cell r="F365" t="str">
            <v xml:space="preserve">M     </v>
          </cell>
          <cell r="G365">
            <v>529.28</v>
          </cell>
          <cell r="H365" t="str">
            <v>-</v>
          </cell>
        </row>
        <row r="366">
          <cell r="A366">
            <v>7766</v>
          </cell>
          <cell r="B366" t="str">
            <v>SINAPI</v>
          </cell>
          <cell r="C366"/>
          <cell r="D366" t="str">
            <v>Tubo de concreto armado para aguas pluviais, classe PA-2, com encaixe ponta e bolsa, diâmetro nominal de 1,20 m (1.333,00 kg/m) - Aquisição</v>
          </cell>
          <cell r="E366"/>
          <cell r="F366" t="str">
            <v xml:space="preserve">M     </v>
          </cell>
          <cell r="G366">
            <v>776.28</v>
          </cell>
          <cell r="H366" t="str">
            <v>-</v>
          </cell>
        </row>
        <row r="367">
          <cell r="A367">
            <v>7767</v>
          </cell>
          <cell r="B367" t="str">
            <v>SINAPI</v>
          </cell>
          <cell r="C367"/>
          <cell r="D367" t="str">
            <v>Tubo de concreto armado para aguas pluviais, classe PA-2, com encaixe ponta e bolsa, diâmetro nominal de 1,50 m (2.253,00 kg/m) - Aquisição</v>
          </cell>
          <cell r="E367"/>
          <cell r="F367" t="str">
            <v xml:space="preserve">M     </v>
          </cell>
          <cell r="G367">
            <v>1114.6099999999999</v>
          </cell>
          <cell r="H367" t="str">
            <v>-</v>
          </cell>
        </row>
        <row r="368">
          <cell r="A368">
            <v>7767</v>
          </cell>
          <cell r="B368" t="str">
            <v>SINAPI</v>
          </cell>
          <cell r="C368"/>
          <cell r="D368" t="str">
            <v>Tubo de concreto armado para aguas pluviais, classe PA-2, com encaixe ponta e bolsa, diâmetro nominal de 2,00 m - Aquisição</v>
          </cell>
          <cell r="E368"/>
          <cell r="F368" t="str">
            <v xml:space="preserve">M     </v>
          </cell>
          <cell r="G368">
            <v>1114.6099999999999</v>
          </cell>
          <cell r="H368" t="str">
            <v>-</v>
          </cell>
        </row>
        <row r="369">
          <cell r="A369">
            <v>92809</v>
          </cell>
          <cell r="B369" t="str">
            <v>SINAPI</v>
          </cell>
          <cell r="C369">
            <v>4.4000000000000004</v>
          </cell>
          <cell r="D369" t="str">
            <v>Assentamento de tubo de concreto para redes coletoras de águas pluviais, diâmetro nominal de 0,40 m, junta rígida em argamassa 1:3 cimento:areia, instalado em local com baixo nível de interferências (não inclui fornecimento). AF_12/2015</v>
          </cell>
          <cell r="E369" t="str">
            <v>TUBO DE CONCRETO
baixa Interferência</v>
          </cell>
          <cell r="F369" t="str">
            <v>M</v>
          </cell>
          <cell r="G369">
            <v>51.37</v>
          </cell>
          <cell r="H369" t="str">
            <v>-</v>
          </cell>
        </row>
        <row r="370">
          <cell r="A370">
            <v>92811</v>
          </cell>
          <cell r="B370" t="str">
            <v>SINAPI</v>
          </cell>
          <cell r="C370">
            <v>3.1</v>
          </cell>
          <cell r="D370" t="str">
            <v>Assentamento de tubo de concreto para redes coletoras de águas pluviais, diâmetro nominal de 0,60 m, junta rígida em argamassa 1:3 cimento:areia, instalado em local com baixo nível de interferências (não inclui fornecimento). AF_12/2015</v>
          </cell>
          <cell r="E370"/>
          <cell r="F370" t="str">
            <v>M</v>
          </cell>
          <cell r="G370">
            <v>74.510000000000005</v>
          </cell>
          <cell r="H370" t="str">
            <v>-</v>
          </cell>
        </row>
        <row r="371">
          <cell r="A371">
            <v>92813</v>
          </cell>
          <cell r="B371" t="str">
            <v>SINAPI</v>
          </cell>
          <cell r="C371">
            <v>2.4</v>
          </cell>
          <cell r="D371" t="str">
            <v>Assentamento de tubo de concreto para redes coletoras de águas pluviais, diâmetro nominal de 0,80 m, junta rígida em argamassa 1:3 cimento:areia, instalado em local com baixo nível de interferências (não inclui fornecimento). AF_12/2015</v>
          </cell>
          <cell r="E371"/>
          <cell r="F371" t="str">
            <v>M</v>
          </cell>
          <cell r="G371">
            <v>100.16</v>
          </cell>
          <cell r="H371" t="str">
            <v>-</v>
          </cell>
        </row>
        <row r="372">
          <cell r="A372">
            <v>92815</v>
          </cell>
          <cell r="B372" t="str">
            <v>SINAPI</v>
          </cell>
          <cell r="C372">
            <v>1.9</v>
          </cell>
          <cell r="D372" t="str">
            <v>Assentamento de tubo de concreto para redes coletoras de águas pluviais, diâmetro nominal de 1,00 m, junta rígida em argamassa 1:3 cimento:areia, instalado em local com baixo nível de interferências (não inclui fornecimento). AF_12/2015</v>
          </cell>
          <cell r="E372"/>
          <cell r="F372" t="str">
            <v>M</v>
          </cell>
          <cell r="G372">
            <v>131.46</v>
          </cell>
          <cell r="H372" t="str">
            <v>-</v>
          </cell>
        </row>
        <row r="373">
          <cell r="A373">
            <v>92817</v>
          </cell>
          <cell r="B373" t="str">
            <v>SINAPI</v>
          </cell>
          <cell r="C373">
            <v>1.5</v>
          </cell>
          <cell r="D373" t="str">
            <v>Assentamento de tubo de concreto para redes coletoras de águas pluviais, diâmetro nominal de 1,20 m, junta rígida em argamassa 1:3 cimento:areia, instalado em local com baixo nível de interferências (não inclui fornecimento). AF_12/2015</v>
          </cell>
          <cell r="E373"/>
          <cell r="F373" t="str">
            <v>M</v>
          </cell>
          <cell r="G373">
            <v>164.49</v>
          </cell>
          <cell r="H373" t="str">
            <v>-</v>
          </cell>
        </row>
        <row r="374">
          <cell r="A374">
            <v>92819</v>
          </cell>
          <cell r="B374" t="str">
            <v>SINAPI</v>
          </cell>
          <cell r="C374">
            <v>1.1000000000000001</v>
          </cell>
          <cell r="D374" t="str">
            <v>Assentamento de tubo de concreto para redes coletoras de águas pluviais, diâmetro nominal de 1,50 m, junta rígida em argamassa 1:3 cimento:areia, instalado em local com baixo nível de interferências (não inclui fornecimento). AF_12/2015</v>
          </cell>
          <cell r="E374"/>
          <cell r="F374" t="str">
            <v>M</v>
          </cell>
          <cell r="G374">
            <v>221.41</v>
          </cell>
          <cell r="H374" t="str">
            <v>-</v>
          </cell>
        </row>
        <row r="375">
          <cell r="A375">
            <v>92821</v>
          </cell>
          <cell r="B375" t="str">
            <v>SINAPI</v>
          </cell>
          <cell r="C375">
            <v>3.7</v>
          </cell>
          <cell r="D375" t="str">
            <v>Assentamento de tubo de concreto para redes coletoras de águas pluviais, diâmetro nominal de 0,40 m, junta rígida em argamassa 1:3 cimento:areia, instalado em local com alto nível de interferências (não inclui fornecimento). AF_12/2015</v>
          </cell>
          <cell r="E375" t="str">
            <v xml:space="preserve">TUBO DE CONCRETO
alta Interferência </v>
          </cell>
          <cell r="F375" t="str">
            <v>M</v>
          </cell>
          <cell r="G375">
            <v>61.24</v>
          </cell>
          <cell r="H375" t="str">
            <v>-</v>
          </cell>
        </row>
        <row r="376">
          <cell r="A376">
            <v>92824</v>
          </cell>
          <cell r="B376" t="str">
            <v>SINAPI</v>
          </cell>
          <cell r="C376">
            <v>2.6</v>
          </cell>
          <cell r="D376" t="str">
            <v>Assentamento de tubo de concreto para redes coletoras de águas pluviais, diâmetro nominal de 0,60 m, junta rígida em argamassa 1:3 cimento:areia, instalado em local com alto nível de interferências (não inclui fornecimento). AF_12/2015</v>
          </cell>
          <cell r="E376"/>
          <cell r="F376" t="str">
            <v>M</v>
          </cell>
          <cell r="G376">
            <v>88.83</v>
          </cell>
          <cell r="H376" t="str">
            <v>-</v>
          </cell>
        </row>
        <row r="377">
          <cell r="A377">
            <v>92826</v>
          </cell>
          <cell r="B377" t="str">
            <v>SINAPI</v>
          </cell>
          <cell r="C377">
            <v>2</v>
          </cell>
          <cell r="D377" t="str">
            <v>Assentamento de tubo de concreto para redes coletoras de águas pluviais, diâmetro nominal de 0,80 m, junta rígida em argamassa 1:3 cimento:areia, instalado em local com alto nível de interferências (não inclui fornecimento). AF_12/2015</v>
          </cell>
          <cell r="E377"/>
          <cell r="F377" t="str">
            <v>M</v>
          </cell>
          <cell r="G377">
            <v>118.8</v>
          </cell>
          <cell r="H377" t="str">
            <v>-</v>
          </cell>
        </row>
        <row r="378">
          <cell r="A378">
            <v>92828</v>
          </cell>
          <cell r="B378" t="str">
            <v>SINAPI</v>
          </cell>
          <cell r="C378">
            <v>1.6</v>
          </cell>
          <cell r="D378" t="str">
            <v>Assentamento de tubo de concreto para redes coletoras de águas pluviais, diâmetro nominal de 1,00 m, junta rígida em argamassa 1:3 cimento:areia, instalado em local com alto nível de interferências (não inclui fornecimento). AF_12/2015</v>
          </cell>
          <cell r="E378"/>
          <cell r="F378" t="str">
            <v>M</v>
          </cell>
          <cell r="G378">
            <v>154.6</v>
          </cell>
          <cell r="H378" t="str">
            <v>-</v>
          </cell>
        </row>
        <row r="379">
          <cell r="A379">
            <v>92830</v>
          </cell>
          <cell r="B379" t="str">
            <v>SINAPI</v>
          </cell>
          <cell r="C379">
            <v>1.3</v>
          </cell>
          <cell r="D379" t="str">
            <v>Assentamento de tubo de concreto para redes coletoras de águas pluviais, diâmetro nominal de 1,20 m, junta rígida em argamassa 1:3 cimento:areia, instalado em local com alto nível de interferências (não inclui fornecimento). AF_12/2015</v>
          </cell>
          <cell r="E379"/>
          <cell r="F379" t="str">
            <v>M</v>
          </cell>
          <cell r="G379">
            <v>191.78</v>
          </cell>
          <cell r="H379" t="str">
            <v>-</v>
          </cell>
        </row>
        <row r="380">
          <cell r="A380">
            <v>92832</v>
          </cell>
          <cell r="B380" t="str">
            <v>SINAPI</v>
          </cell>
          <cell r="C380">
            <v>1</v>
          </cell>
          <cell r="D380" t="str">
            <v>Assentamento de tubo de concreto para redes coletoras de águas pluviais, diâmetro nominal de 1,50 m, junta rígida em argamassa 1:3 cimento:areia, instalado em local com alto nível de interferências (não inclui fornecimento). AF_12/2015</v>
          </cell>
          <cell r="E380"/>
          <cell r="F380" t="str">
            <v>M</v>
          </cell>
          <cell r="G380">
            <v>254.94</v>
          </cell>
          <cell r="H380" t="str">
            <v>-</v>
          </cell>
        </row>
        <row r="381">
          <cell r="A381">
            <v>94869</v>
          </cell>
          <cell r="B381" t="str">
            <v>SINAPI</v>
          </cell>
          <cell r="C381"/>
          <cell r="D381" t="str">
            <v>Aquisição de tubo de PEAD corrugado com parede estruturada para drenagem de águas pluviais, DN/DI 0,25 m, PEAD com encaixe ponta e bolsa – JEI, parede dupla, interna lisa - fornecimento e assentamento. AF_01/2021</v>
          </cell>
          <cell r="E381"/>
          <cell r="F381" t="str">
            <v>M</v>
          </cell>
          <cell r="G381">
            <v>131.5</v>
          </cell>
          <cell r="H381" t="str">
            <v>-</v>
          </cell>
        </row>
        <row r="382">
          <cell r="A382">
            <v>94871</v>
          </cell>
          <cell r="B382" t="str">
            <v>SINAPI</v>
          </cell>
          <cell r="C382"/>
          <cell r="D382" t="str">
            <v>Aquisição de tubo de PEAD corrugado com parede estruturada para drenagem de águas pluviais, DN/DI 0,30 m, PEAD com encaixe ponta e bolsa – JEI, parede dupla, interna lisa - fornecimento e assentamento. AF_01/2021</v>
          </cell>
          <cell r="E382"/>
          <cell r="F382" t="str">
            <v>M</v>
          </cell>
          <cell r="G382">
            <v>205.64</v>
          </cell>
          <cell r="H382" t="str">
            <v>-</v>
          </cell>
        </row>
        <row r="383">
          <cell r="A383">
            <v>90708</v>
          </cell>
          <cell r="B383" t="str">
            <v>SINAPI</v>
          </cell>
          <cell r="C383">
            <v>90723</v>
          </cell>
          <cell r="D383" t="str">
            <v>Aquisição de tubo de PEAD corrugado com parede estruturada para drenagem de águas pluviais, DN/DI 0,60 m, PEAD com encaixe ponta e bolsa – JEI, parede dupla, interna lisa - fornecimento e assentamento. AF_01/2021</v>
          </cell>
          <cell r="E383"/>
          <cell r="F383" t="str">
            <v>M</v>
          </cell>
          <cell r="G383">
            <v>745.4</v>
          </cell>
          <cell r="H383" t="str">
            <v>-</v>
          </cell>
        </row>
        <row r="384">
          <cell r="A384">
            <v>94875</v>
          </cell>
          <cell r="B384" t="str">
            <v>SINAPI</v>
          </cell>
          <cell r="C384">
            <v>94891</v>
          </cell>
          <cell r="D384" t="str">
            <v>Aquisição de tubo de PEAD corrugado com parede estruturada para drenagem de águas pluviais, DN/DI 0,75 m, PEAD com encaixe ponta e bolsa – JEI, parede dupla, interna lisa - fornecimento e assentamento. AF_01/2021</v>
          </cell>
          <cell r="E384"/>
          <cell r="F384" t="str">
            <v>M</v>
          </cell>
          <cell r="G384">
            <v>1210.27</v>
          </cell>
          <cell r="H384" t="str">
            <v>-</v>
          </cell>
        </row>
        <row r="385">
          <cell r="A385">
            <v>94879</v>
          </cell>
          <cell r="B385" t="str">
            <v>SINAPI</v>
          </cell>
          <cell r="C385">
            <v>94895</v>
          </cell>
          <cell r="D385" t="str">
            <v>Aquisição de tubo de PEAD corrugado com parede estruturada para drenagem de águas pluviais, DN/DI 1,00 m, PEAD com encaixe ponta e bolsa – JEI, parede dupla, interna lisa - fornecimento e assentamento. AF_06/2016</v>
          </cell>
          <cell r="E385"/>
          <cell r="F385" t="str">
            <v>M</v>
          </cell>
          <cell r="G385">
            <v>1863.28</v>
          </cell>
          <cell r="H385" t="str">
            <v>-</v>
          </cell>
        </row>
        <row r="386">
          <cell r="A386">
            <v>94881</v>
          </cell>
          <cell r="B386" t="str">
            <v>SINAPI</v>
          </cell>
          <cell r="C386">
            <v>94897</v>
          </cell>
          <cell r="D386" t="str">
            <v>Aquisição de tubo de PEAD corrugado com parede estruturada para drenagem de águas pluviais, DN/DI 1,20 m, PEAD com encaixe ponta e bolsa – JEI, parede dupla, interna lisa - fornecimento e assentamento. AF_06/2016</v>
          </cell>
          <cell r="E386"/>
          <cell r="F386" t="str">
            <v>M</v>
          </cell>
          <cell r="G386">
            <v>2565.6</v>
          </cell>
          <cell r="H386" t="str">
            <v>-</v>
          </cell>
        </row>
        <row r="387">
          <cell r="A387">
            <v>41781</v>
          </cell>
          <cell r="B387" t="str">
            <v>SINAPI</v>
          </cell>
          <cell r="C387"/>
          <cell r="D387" t="str">
            <v>Aquisição de tubo de PEAD corrugado com parede estruturada para drenagem de águas pluviais, DN/DI *0,40* m (*48* kg/6 m); PEAD virgem, para rede de drenagem, com encaixe ponta e bolsa – JEI, parede dupla, interna lisa, conforme norma DNIT 094/2014</v>
          </cell>
          <cell r="E387"/>
          <cell r="F387" t="str">
            <v xml:space="preserve">M     </v>
          </cell>
          <cell r="G387">
            <v>313.06</v>
          </cell>
          <cell r="H387" t="str">
            <v>-</v>
          </cell>
        </row>
        <row r="388">
          <cell r="A388">
            <v>41782</v>
          </cell>
          <cell r="B388" t="str">
            <v>SINAPI</v>
          </cell>
          <cell r="C388"/>
          <cell r="D388" t="str">
            <v>Aquisição de tubo de PEAD corrugado com parede estruturada para drenagem de águas pluviais, DN/DI 0,60 m (100 kg/6 m); PEAD virgem, para rede de drenagem, com encaixe ponta e bolsa – JEI, parede dupla, interna lisa, conforme norma DNIT 094/2014</v>
          </cell>
          <cell r="E388"/>
          <cell r="F388" t="str">
            <v xml:space="preserve">M     </v>
          </cell>
          <cell r="G388">
            <v>691.95</v>
          </cell>
          <cell r="H388" t="str">
            <v>-</v>
          </cell>
        </row>
        <row r="389">
          <cell r="A389">
            <v>41783</v>
          </cell>
          <cell r="B389" t="str">
            <v>SINAPI</v>
          </cell>
          <cell r="C389"/>
          <cell r="D389" t="str">
            <v>Aquisição de tubo de PEAD corrugado com parede estruturada para drenagem de águas pluviais, DN/DI *0,80* m (*174* kg/6 m); PEAD virgem, para rede de drenagem, com encaixe ponta e bolsa – JEI, parede dupla, interna lisa, conforme norma DNIT 094/2014</v>
          </cell>
          <cell r="E389"/>
          <cell r="F389" t="str">
            <v xml:space="preserve">M     </v>
          </cell>
          <cell r="G389">
            <v>1125.48</v>
          </cell>
          <cell r="H389" t="str">
            <v>-</v>
          </cell>
        </row>
        <row r="390">
          <cell r="A390">
            <v>41785</v>
          </cell>
          <cell r="B390" t="str">
            <v>SINAPI</v>
          </cell>
          <cell r="C390"/>
          <cell r="D390" t="str">
            <v>Aquisição de tubo de PEAD corrugado com parede estruturada para drenagem de águas pluviais, DN/DI *1,00* m (*230* kg/6 m); PEAD virgem, para rede de drenagem, com encaixe ponta e bolsa – JEI, parede dupla, interna lisa, conforme norma DNIT 094/2014</v>
          </cell>
          <cell r="E390"/>
          <cell r="F390" t="str">
            <v xml:space="preserve">M     </v>
          </cell>
          <cell r="G390">
            <v>1733.78</v>
          </cell>
          <cell r="H390" t="str">
            <v>-</v>
          </cell>
        </row>
        <row r="391">
          <cell r="A391">
            <v>41786</v>
          </cell>
          <cell r="B391" t="str">
            <v>SINAPI</v>
          </cell>
          <cell r="C391"/>
          <cell r="D391" t="str">
            <v>Aquisição de tubo de PEAD corrugado com parede estruturada para drenagem de águas pluviais, DN/DI 1,20 m (293 kg/6 m); PEAD virgem, para rede de drenagem, com encaixe ponta e bolsa – JEI, parede dupla, interna lisa, conforme norma DNIT 094/2014</v>
          </cell>
          <cell r="E391"/>
          <cell r="F391" t="str">
            <v xml:space="preserve">M     </v>
          </cell>
          <cell r="G391">
            <v>2396.1999999999998</v>
          </cell>
          <cell r="H391" t="str">
            <v>-</v>
          </cell>
        </row>
        <row r="392">
          <cell r="A392" t="str">
            <v>DR/0700</v>
          </cell>
          <cell r="B392" t="str">
            <v>COTAÇÃO - SICRO</v>
          </cell>
          <cell r="D392" t="str">
            <v>Aquisição de tubo PEAD com paredes estruturadas para drenagem de águas pluviais - D = 400 mm (48,00 kg/6 m); DN/DI, em PEAD virgem para rede de drenagem, ponta e bolsa – JEI, parede dupla, interna lisa, conforme norma DNIT 094/2014 (REF. SICRO COD. M0131)</v>
          </cell>
          <cell r="E392" t="str">
            <v>M0131</v>
          </cell>
          <cell r="F392" t="str">
            <v>m</v>
          </cell>
          <cell r="G392">
            <v>205.90530000000001</v>
          </cell>
          <cell r="H392" t="str">
            <v>-</v>
          </cell>
        </row>
        <row r="393">
          <cell r="A393" t="str">
            <v>DR/0710</v>
          </cell>
          <cell r="B393" t="str">
            <v>COTAÇÃO - SICRO</v>
          </cell>
          <cell r="D393" t="str">
            <v>Aquisição de tubo PEAD com paredes estruturadas para drenagem de águas pluviais - D = 500 mm (68,00 kg/6 m); DN/DI, em PEAD virgem para rede de drenagem, ponta e bolsa – JEI, parede dupla, interna lisa, conforme norma DNIT 094/2014 (REF. SICRO COD. M0133)</v>
          </cell>
          <cell r="E393" t="str">
            <v>M0133</v>
          </cell>
          <cell r="F393" t="str">
            <v>m</v>
          </cell>
          <cell r="G393">
            <v>338.03089999999997</v>
          </cell>
          <cell r="H393" t="str">
            <v>-</v>
          </cell>
        </row>
        <row r="394">
          <cell r="A394" t="str">
            <v>DR/0720</v>
          </cell>
          <cell r="B394" t="str">
            <v>COTAÇÃO - SICRO</v>
          </cell>
          <cell r="D394" t="str">
            <v>Aquisição de tubo PEAD com paredes estruturadas para drenagem de águas pluviais - D = 600 mm (100,00 kg/6 m); DN/DI, em PEAD virgem para rede de drenagem, ponta e bolsa – JEI, parede dupla, interna lisa, conforme norma DNIT 094/2014 (REF. SICRO COD. M0134)</v>
          </cell>
          <cell r="E394" t="str">
            <v>M0134</v>
          </cell>
          <cell r="F394" t="str">
            <v>m</v>
          </cell>
          <cell r="G394">
            <v>493.61329999999998</v>
          </cell>
          <cell r="H394" t="str">
            <v>-</v>
          </cell>
        </row>
        <row r="395">
          <cell r="A395" t="str">
            <v>DR/0730</v>
          </cell>
          <cell r="B395" t="str">
            <v>COTAÇÃO - SICRO</v>
          </cell>
          <cell r="D395" t="str">
            <v>Aquisição de tubo PEAD com paredes estruturadas para drenagem de águas pluviais - D = 750 mm (142,00 kg/6 m); DN/DI, em PEAD virgem para rede de drenagem, ponta e bolsa – JEI, parede dupla, interna lisa, conforme norma DNIT 094/2014 (REF. SICRO COD. M0135)</v>
          </cell>
          <cell r="E395" t="str">
            <v>M0135</v>
          </cell>
          <cell r="F395" t="str">
            <v>m</v>
          </cell>
          <cell r="G395">
            <v>683.87049999999999</v>
          </cell>
          <cell r="H395" t="str">
            <v>-</v>
          </cell>
        </row>
        <row r="396">
          <cell r="A396" t="str">
            <v>DR/0735</v>
          </cell>
          <cell r="B396" t="str">
            <v>COTAÇÃO - SICRO</v>
          </cell>
          <cell r="D396" t="str">
            <v>Aquisição de tubo PEAD com paredes estruturadas para drenagem de águas pluviais - D = 800 mm (174,00 kg /6 m); DN/DI, em PEAD virgem para rede de drenagem, ponta e bolsa – JEI, parede dupla, interna lisa, conforme norma DNIT 094/2014 (REF. SICRO COD. M0136)</v>
          </cell>
          <cell r="E396" t="str">
            <v>M0136</v>
          </cell>
          <cell r="F396" t="str">
            <v>m</v>
          </cell>
          <cell r="G396">
            <v>721.16010000000006</v>
          </cell>
          <cell r="H396" t="str">
            <v>-</v>
          </cell>
        </row>
        <row r="397">
          <cell r="A397" t="str">
            <v>DR/0740</v>
          </cell>
          <cell r="B397" t="str">
            <v>COTAÇÃO - SICRO</v>
          </cell>
          <cell r="D397" t="str">
            <v>Aquisição de tubo PEAD com paredes estruturadas para drenagem de águas pluviais - D = 900 mm (195,00 kg /6 m); DN/DI, em PEAD virgem para rede de drenagem, ponta e bolsa – JEI, parede dupla, interna lisa, conforme norma DNIT 094/2014 (REF. SICRO COD. M0137)</v>
          </cell>
          <cell r="E397" t="str">
            <v>M0137</v>
          </cell>
          <cell r="F397" t="str">
            <v>m</v>
          </cell>
          <cell r="G397">
            <v>923.12440000000004</v>
          </cell>
          <cell r="H397" t="str">
            <v>-</v>
          </cell>
        </row>
        <row r="398">
          <cell r="A398" t="str">
            <v>DR/0750</v>
          </cell>
          <cell r="B398" t="str">
            <v>COTAÇÃO - SICRO</v>
          </cell>
          <cell r="D398" t="str">
            <v>Aquisição de tubo PEAD com paredes estruturadas para drenagem de águas pluviais - D = 1.000 mm (230,00 kg /6 m); DN/DI, em PEAD virgem para rede de drenagem, ponta e bolsa – JEI, parede dupla, interna lisa, conforme norma DNIT 094/2014 (REF. SICRO COD. M0139)</v>
          </cell>
          <cell r="E398" t="str">
            <v>M0139</v>
          </cell>
          <cell r="F398" t="str">
            <v>m</v>
          </cell>
          <cell r="G398">
            <v>1285.0968</v>
          </cell>
          <cell r="H398" t="str">
            <v>-</v>
          </cell>
        </row>
        <row r="399">
          <cell r="A399" t="str">
            <v>DR/0760</v>
          </cell>
          <cell r="B399" t="str">
            <v>COTAÇÃO - SICRO</v>
          </cell>
          <cell r="D399" t="str">
            <v>Aquisição de tubo PEAD com paredes estruturadas para drenagem de águas pluviais - D = 1.200 mm (293,00 kg /6 m); DN/DI, em PEAD virgem para rede de drenagem, ponta e bolsa – JEI, parede dupla, interna lisa, conforme norma DNIT 094/2014 (REF. SICRO COD. M0142)</v>
          </cell>
          <cell r="E399" t="str">
            <v>M0142</v>
          </cell>
          <cell r="F399" t="str">
            <v>m</v>
          </cell>
          <cell r="G399">
            <v>1705.635</v>
          </cell>
          <cell r="H399" t="str">
            <v>-</v>
          </cell>
        </row>
        <row r="400">
          <cell r="A400" t="str">
            <v>DR/0770</v>
          </cell>
          <cell r="B400" t="str">
            <v>COTAÇÃO - SICRO</v>
          </cell>
          <cell r="D400" t="str">
            <v>Aquisição de tubo PEAD com paredes estruturadas para drenagem de águas pluviais - D = 1.500 mm (400,00 kg /6 m); DN/DI, em PEAD virgem para rede de drenagem, ponta e bolsa – JEI, parede dupla, interna lisa, conforme norma DNIT 094/2014 (REF. SICRO COD. M0143)</v>
          </cell>
          <cell r="E400" t="str">
            <v>M0143</v>
          </cell>
          <cell r="F400" t="str">
            <v>m</v>
          </cell>
          <cell r="G400">
            <v>2204.8613999999998</v>
          </cell>
          <cell r="H400" t="str">
            <v>-</v>
          </cell>
        </row>
        <row r="401">
          <cell r="A401" t="str">
            <v>SEL -100</v>
          </cell>
          <cell r="B401" t="str">
            <v>COTAÇÃO - SEL</v>
          </cell>
          <cell r="C401"/>
          <cell r="D401" t="str">
            <v>Aquisição de Tubo PEAD com paredes estruturadas para drenagem - D = 400 mm (48 kg/6 m); DN/DI, em PEAD virgem para rede de drenagem, ponta e bolsa – JEI, parede dupla, interna lisa, conforme norma DNIT 094/2014 (REF. SICRO COD. M0131). Posto Três Lagoas/MS.</v>
          </cell>
          <cell r="E401" t="str">
            <v>SEL -100</v>
          </cell>
          <cell r="F401" t="str">
            <v>M</v>
          </cell>
          <cell r="G401">
            <v>0</v>
          </cell>
          <cell r="H401" t="str">
            <v>ERRO</v>
          </cell>
        </row>
        <row r="402">
          <cell r="A402" t="str">
            <v>SEL -101</v>
          </cell>
          <cell r="B402" t="str">
            <v>COTAÇÃO - SEL</v>
          </cell>
          <cell r="C402"/>
          <cell r="D402" t="str">
            <v>Aquisição de Tubo PEAD com paredes estruturadas para drenagem - D = 600 mm (100 kg/6 m); DN/DI, em PEAD virgem para rede de drenagem, ponta e bolsa – JEI, parede dupla, interna lisa, conforme norma DNIT 094/2014 (REF. SICRO COD. M0134)Posto Três Lagoas/MS.</v>
          </cell>
          <cell r="E402" t="str">
            <v>SEL -101</v>
          </cell>
          <cell r="F402" t="str">
            <v>M</v>
          </cell>
          <cell r="G402" t="e">
            <v>#DIV/0!</v>
          </cell>
          <cell r="H402" t="str">
            <v>VER COMP</v>
          </cell>
        </row>
        <row r="403">
          <cell r="A403" t="str">
            <v>SEL -102</v>
          </cell>
          <cell r="B403" t="str">
            <v>COTAÇÃO - SEL</v>
          </cell>
          <cell r="C403"/>
          <cell r="D403" t="str">
            <v>Aquisição de Tubo PEAD com paredes estruturadas para drenagem - D = 750 mm (142 kg/6 m); DN/DI, em PEAD virgem para rede de drenagem, ponta e bolsa – JEI, parede dupla, interna lisa, conforme norma DNIT 094/2014 (REF. SICRO COD. M0135) Posto Três Lagoas/MS.</v>
          </cell>
          <cell r="E403" t="str">
            <v>SEL -102</v>
          </cell>
          <cell r="F403" t="str">
            <v>M</v>
          </cell>
          <cell r="G403" t="e">
            <v>#DIV/0!</v>
          </cell>
          <cell r="H403" t="str">
            <v>VER COMP</v>
          </cell>
        </row>
        <row r="404">
          <cell r="A404" t="str">
            <v>SEL -103</v>
          </cell>
          <cell r="B404" t="str">
            <v>COTAÇÃO - SEL</v>
          </cell>
          <cell r="C404"/>
          <cell r="D404" t="str">
            <v>Aquisição de Tubo PEAD com paredes estruturadas para drenagem - D = 900 mm (195 kg /6 m); DN/DI, em PEAD virgem para rede de drenagem, ponta e bolsa – JEI, parede dupla, interna lisa, conforme norma DNIT 094/2014 (REF. SICRO COD. M0137) Posto Três Lagoas/MS.</v>
          </cell>
          <cell r="E404" t="str">
            <v>SEL -103</v>
          </cell>
          <cell r="F404" t="str">
            <v>M</v>
          </cell>
          <cell r="G404" t="e">
            <v>#DIV/0!</v>
          </cell>
          <cell r="H404" t="str">
            <v>VER COMP</v>
          </cell>
        </row>
        <row r="405">
          <cell r="A405" t="str">
            <v>SEL -104</v>
          </cell>
          <cell r="B405" t="str">
            <v>COTAÇÃO - SEL</v>
          </cell>
          <cell r="C405"/>
          <cell r="D405" t="str">
            <v>Aquisição de Tubo PEAD com paredes estruturadas para drenagem - D = 1.000 mm (230 kg /6 m); DN/DI, em PEAD virgem para rede de drenagem, ponta e bolsa – JEI, parede dupla, interna lisa, conforme norma DNIT 094/2014 (REF. SICRO COD. M0139).Posto Três Lagoas/MS.</v>
          </cell>
          <cell r="E405" t="str">
            <v>SEL -104</v>
          </cell>
          <cell r="F405" t="str">
            <v>M</v>
          </cell>
          <cell r="G405" t="e">
            <v>#DIV/0!</v>
          </cell>
          <cell r="H405" t="str">
            <v>VER COMP</v>
          </cell>
        </row>
        <row r="406">
          <cell r="A406" t="str">
            <v>SEL -105</v>
          </cell>
          <cell r="B406" t="str">
            <v>COTAÇÃO - SEL</v>
          </cell>
          <cell r="C406"/>
          <cell r="D406" t="str">
            <v>Aquisição de Tubo PEAD com paredes estruturadas para drenagem - D = 1.200 mm (293 kg /6 m); DN/DI, em PEAD virgem para rede de drenagem, ponta e bolsa – JEI, parede dupla, interna lisa, conforme norma DNIT 094/2014 (REF. SICRO COD. M0142). Posto Três Lagoas/MS.</v>
          </cell>
          <cell r="E406" t="str">
            <v>SEL -105</v>
          </cell>
          <cell r="F406" t="str">
            <v>M</v>
          </cell>
          <cell r="G406" t="e">
            <v>#DIV/0!</v>
          </cell>
          <cell r="H406" t="str">
            <v>VER COMP</v>
          </cell>
        </row>
        <row r="407">
          <cell r="A407" t="str">
            <v>SEL -106</v>
          </cell>
          <cell r="B407" t="str">
            <v>COTAÇÃO - SEL</v>
          </cell>
          <cell r="C407"/>
          <cell r="D407" t="str">
            <v>Aquisição de Tubo PEAD com paredes estruturadas para drenagem - D = 1.500 mm (400 kg /6 m); DN/DI, em PEAD virgem para rede de drenagem, ponta e bolsa – JEI, parede dupla, interna lisa, conforme norma DNIT 094/2014 (REF. SICRO COD. M0143) Posto Três Lagoas/MS.</v>
          </cell>
          <cell r="E407" t="str">
            <v>SEL -106</v>
          </cell>
          <cell r="F407" t="str">
            <v>M</v>
          </cell>
          <cell r="G407" t="e">
            <v>#DIV/0!</v>
          </cell>
          <cell r="H407" t="str">
            <v>VER COMP</v>
          </cell>
        </row>
        <row r="408">
          <cell r="A408" t="str">
            <v>SEL -120</v>
          </cell>
          <cell r="B408" t="str">
            <v>COTAÇÃO - SEL</v>
          </cell>
          <cell r="C408"/>
          <cell r="D408" t="str">
            <v>Tubo de concreto simples, D = 0,40m (180kg/m), PB, Classe PS-1, aquisição. Posto Três Lagoas/MS.</v>
          </cell>
          <cell r="E408" t="str">
            <v>SEL -120</v>
          </cell>
          <cell r="F408" t="str">
            <v>M</v>
          </cell>
          <cell r="G408">
            <v>0</v>
          </cell>
          <cell r="H408" t="str">
            <v>ERRO</v>
          </cell>
        </row>
        <row r="409">
          <cell r="A409" t="str">
            <v>SEL -121</v>
          </cell>
          <cell r="B409" t="str">
            <v>COTAÇÃO - SEL</v>
          </cell>
          <cell r="C409"/>
          <cell r="D409" t="str">
            <v>Tubo de concreto simples, D = 0,60m (347kg/m), PB, Classe PS-1, aquisição. Posto Três Lagoas/MS.</v>
          </cell>
          <cell r="E409" t="str">
            <v>SEL -121</v>
          </cell>
          <cell r="F409" t="str">
            <v>M</v>
          </cell>
          <cell r="G409">
            <v>0</v>
          </cell>
          <cell r="H409" t="str">
            <v>ERRO</v>
          </cell>
        </row>
        <row r="410">
          <cell r="A410" t="str">
            <v>SEL -122</v>
          </cell>
          <cell r="B410" t="str">
            <v>COTAÇÃO - SEL</v>
          </cell>
          <cell r="C410"/>
          <cell r="D410" t="str">
            <v>Tubo de concreto armado para aguas pluviais, classe PA-1, com encaixe ponta e bolsa, diametro nominal de 0,80 m (533 kg/m) - Aquisição. Posto Três Lagoas/MS.</v>
          </cell>
          <cell r="E410" t="str">
            <v>SEL -122</v>
          </cell>
          <cell r="F410" t="str">
            <v>M</v>
          </cell>
          <cell r="G410">
            <v>0</v>
          </cell>
          <cell r="H410" t="str">
            <v>ERRO</v>
          </cell>
        </row>
        <row r="411">
          <cell r="A411" t="str">
            <v>SEL -123</v>
          </cell>
          <cell r="B411" t="str">
            <v>COTAÇÃO - SEL</v>
          </cell>
          <cell r="C411"/>
          <cell r="D411" t="str">
            <v>Tubo de concreto armado para aguas pluviais, classe PA-1, com encaixe ponta e bolsa, diametro nominal de 1,00 m (800 kg/m) - Aquisição. Posto Três Lagoas/MS.</v>
          </cell>
          <cell r="E411" t="str">
            <v>SEL -123</v>
          </cell>
          <cell r="F411" t="str">
            <v>M</v>
          </cell>
          <cell r="G411">
            <v>0</v>
          </cell>
          <cell r="H411" t="str">
            <v>ERRO</v>
          </cell>
        </row>
        <row r="412">
          <cell r="A412" t="str">
            <v>SEL -124</v>
          </cell>
          <cell r="B412" t="str">
            <v>COTAÇÃO - SEL</v>
          </cell>
          <cell r="C412"/>
          <cell r="D412" t="str">
            <v>Tubo de concreto armado para aguas pluviais, classe PA-1, com encaixe ponta e bolsa, diametro nominal de 1,20 m (1133 kg/m) - Aquisição. Posto Três Lagoas/MS.</v>
          </cell>
          <cell r="E412" t="str">
            <v>SEL -124</v>
          </cell>
          <cell r="F412" t="str">
            <v>M</v>
          </cell>
          <cell r="G412">
            <v>0</v>
          </cell>
          <cell r="H412" t="str">
            <v>ERRO</v>
          </cell>
        </row>
        <row r="413">
          <cell r="A413" t="str">
            <v>SEL -125</v>
          </cell>
          <cell r="B413" t="str">
            <v>COTAÇÃO - SEL</v>
          </cell>
          <cell r="C413"/>
          <cell r="D413" t="str">
            <v>Tubo de concreto armado para aguas pluviais, classe PA-1, com encaixe ponta e bolsa, diametro nominal de 1,50 m (1933 kg/m) - Aquisição. Posto Três Lagoas/MS.</v>
          </cell>
          <cell r="E413" t="str">
            <v>SEL -125</v>
          </cell>
          <cell r="F413" t="str">
            <v>M</v>
          </cell>
          <cell r="G413">
            <v>0</v>
          </cell>
          <cell r="H413" t="str">
            <v>ERRO</v>
          </cell>
        </row>
        <row r="414">
          <cell r="A414" t="str">
            <v>SEL -126</v>
          </cell>
          <cell r="B414" t="str">
            <v>COTAÇÃO - SEL</v>
          </cell>
          <cell r="C414"/>
          <cell r="D414" t="str">
            <v>Tubo de concreto armado para aguas pluviais, classe PA-2, com encaixe ponta e bolsa, diametro nominal de 1,20 m (1333 kg/m) - Aquisição. Posto Três Lagoas/MS.</v>
          </cell>
          <cell r="E414" t="str">
            <v>SEL -126</v>
          </cell>
          <cell r="F414" t="str">
            <v>M</v>
          </cell>
          <cell r="G414">
            <v>0</v>
          </cell>
          <cell r="H414" t="str">
            <v>ERRO</v>
          </cell>
        </row>
        <row r="415">
          <cell r="A415">
            <v>94870</v>
          </cell>
          <cell r="B415" t="str">
            <v>SINAPI</v>
          </cell>
          <cell r="C415"/>
          <cell r="D415" t="str">
            <v>Assentamento de tubo de PEAD corrugado com parede estruturada para drenagem de águas pluviais, DN/DI 0,25 m; PEAD virgem para rede de drenagem, com encaixei ponta e bolsa – JEI, conforme norma DNIT 094/2014 (não inclui fornecimento). AF_01/2021</v>
          </cell>
          <cell r="E415"/>
          <cell r="F415" t="str">
            <v>M</v>
          </cell>
          <cell r="G415">
            <v>2.0499999999999998</v>
          </cell>
          <cell r="H415" t="str">
            <v>-</v>
          </cell>
        </row>
        <row r="416">
          <cell r="A416">
            <v>94872</v>
          </cell>
          <cell r="B416" t="str">
            <v>SINAPI</v>
          </cell>
          <cell r="C416"/>
          <cell r="D416" t="str">
            <v>Assentamento de tubo de PEAD corrugado com parede estruturada para drenagem de águas pluviais, DN/DI 0,30 m; PEAD virgem para rede de drenagem, com encaixei ponta e bolsa – JEI, conforme norma DNIT 094/2014 (não inclui fornecimento). AF_01/2021</v>
          </cell>
          <cell r="E416"/>
          <cell r="F416" t="str">
            <v>M</v>
          </cell>
          <cell r="G416">
            <v>2.83</v>
          </cell>
          <cell r="H416" t="str">
            <v>-</v>
          </cell>
        </row>
        <row r="417">
          <cell r="A417" t="str">
            <v>DR/0060</v>
          </cell>
          <cell r="B417" t="str">
            <v>COMPOSIÇÃO</v>
          </cell>
          <cell r="C417" t="str">
            <v>90760
24,6 m/h</v>
          </cell>
          <cell r="D417" t="str">
            <v>Assentamento de tubo de PEAD corrugado com parede estruturada para drenagem de águas pluviais, DN/DI 0,40 m; PEAD virgem para rede de drenagem, com encaixei ponta e bolsa – JEI, conforme norma DNIT 094/2014 (não inclui fornecimento) (REF. SINAPI COD. 90746)</v>
          </cell>
          <cell r="E417"/>
          <cell r="F417" t="str">
            <v>M</v>
          </cell>
          <cell r="G417">
            <v>2.74</v>
          </cell>
          <cell r="H417" t="str">
            <v>-</v>
          </cell>
        </row>
        <row r="418">
          <cell r="A418">
            <v>90746</v>
          </cell>
          <cell r="B418" t="str">
            <v>SINAPI</v>
          </cell>
          <cell r="C418">
            <v>25.6</v>
          </cell>
          <cell r="D418" t="str">
            <v>Assentamento de tubo de PEAD corrugado com parede estruturada para drenagem de águas pluviais, DN/DI 0,45 m; PEAD virgem para rede de drenagem, com encaixei ponta e bolsa – JEI, conforme norma DNIT 094/2014 (não inclui fornecimento). AF_01/2021</v>
          </cell>
          <cell r="E418"/>
          <cell r="F418" t="str">
            <v>M</v>
          </cell>
          <cell r="G418">
            <v>3.62</v>
          </cell>
          <cell r="H418" t="str">
            <v>-</v>
          </cell>
        </row>
        <row r="419">
          <cell r="A419" t="str">
            <v>DR/0070</v>
          </cell>
          <cell r="B419" t="str">
            <v>COMPOSIÇÃO</v>
          </cell>
          <cell r="C419" t="str">
            <v>DR/0075
18,9 m/h</v>
          </cell>
          <cell r="D419" t="str">
            <v>Assentamento de tubo de PEAD corrugado com parede estruturada para drenagem de águas pluviais, DN/DI 0,50 m; PEAD virgem para rede de drenagem, com encaixei ponta e bolsa – JEI, conforme norma DNIT 094/2014 (não inclui fornecimento) (REF. SINAPI COD. 90746 E 90747)</v>
          </cell>
          <cell r="E419"/>
          <cell r="F419" t="str">
            <v>M</v>
          </cell>
          <cell r="G419">
            <v>4.71</v>
          </cell>
          <cell r="H419" t="str">
            <v>-</v>
          </cell>
        </row>
        <row r="420">
          <cell r="A420">
            <v>90747</v>
          </cell>
          <cell r="B420" t="str">
            <v>SINAPI</v>
          </cell>
          <cell r="C420" t="str">
            <v>90762
14,6 m/h</v>
          </cell>
          <cell r="D420" t="str">
            <v>Assentamento de tubo de PEAD corrugado com parede estruturada para drenagem de águas pluviais, DN/DI 0,60 m; PEAD virgem para rede de drenagem, com encaixei ponta e bolsa – JEI, conforme norma DNIT 094/2014 (não inclui fornecimento). AF_01/2021</v>
          </cell>
          <cell r="E420"/>
          <cell r="F420" t="str">
            <v>M</v>
          </cell>
          <cell r="G420">
            <v>16.71</v>
          </cell>
          <cell r="H420" t="str">
            <v>-</v>
          </cell>
        </row>
        <row r="421">
          <cell r="A421" t="str">
            <v>DR/0080</v>
          </cell>
          <cell r="B421" t="str">
            <v>COMPOSIÇÃO</v>
          </cell>
          <cell r="C421" t="str">
            <v>94892
8,3 m/h</v>
          </cell>
          <cell r="D421" t="str">
            <v>Assentamento de tubo de PEAD corrugado com parede estruturada para drenagem de águas pluviais, DN/DI 0,75 m; PEAD virgem para rede de drenagem, com encaixei ponta e bolsa – JEI, conforme norma DNIT 094/2014 (não inclui fornecimento) (REF. SINAPI COD. 90746 E 90747)</v>
          </cell>
          <cell r="E421"/>
          <cell r="F421" t="str">
            <v>M</v>
          </cell>
          <cell r="G421">
            <v>27.5</v>
          </cell>
          <cell r="H421" t="str">
            <v>-</v>
          </cell>
        </row>
        <row r="422">
          <cell r="A422">
            <v>94876</v>
          </cell>
          <cell r="B422" t="str">
            <v>SINAPI</v>
          </cell>
          <cell r="C422" t="str">
            <v>DR/0085
15,7 m/h</v>
          </cell>
          <cell r="D422" t="str">
            <v>Assentamento de tubo de PEAD corrugado com parede estruturada para drenagem de águas pluviais, DN/DI 0,80 m; PEAD virgem para rede de drenagem, com encaixei ponta e bolsa – JEI, conforme norma DNIT 094/2014 (não inclui fornecimento). AF_01/2021</v>
          </cell>
          <cell r="E422"/>
          <cell r="F422" t="str">
            <v>M</v>
          </cell>
          <cell r="G422">
            <v>28.52</v>
          </cell>
          <cell r="H422" t="str">
            <v>-</v>
          </cell>
        </row>
        <row r="423">
          <cell r="A423">
            <v>94878</v>
          </cell>
          <cell r="B423" t="str">
            <v>SINAPI</v>
          </cell>
          <cell r="C423" t="str">
            <v>94894
13,4 m/h</v>
          </cell>
          <cell r="D423" t="str">
            <v>Assentamento de tubo de PEAD corrugado com parede estruturada para drenagem de águas pluviais, DN/DI 0,90 m; PEAD virgem para rede de drenagem, com encaixei ponta e bolsa – JEI, conforme norma DNIT 094/2014 (não inclui fornecimento). AF_06/2016</v>
          </cell>
          <cell r="E423"/>
          <cell r="F423" t="str">
            <v>M</v>
          </cell>
          <cell r="G423">
            <v>32.92</v>
          </cell>
          <cell r="H423" t="str">
            <v>-</v>
          </cell>
        </row>
        <row r="424">
          <cell r="A424">
            <v>94880</v>
          </cell>
          <cell r="B424" t="str">
            <v>SINAPI</v>
          </cell>
          <cell r="C424" t="str">
            <v>94896
6,7 m/h</v>
          </cell>
          <cell r="D424" t="str">
            <v>Assentamento de tubo de PEAD corrugado com parede estruturada para drenagem de águas pluviais, DN/DI 1,00 m; PEAD virgem para rede de drenagem, com encaixei ponta e bolsa – JEI, conforme norma DNIT 094/2014 (não inclui fornecimento). AF_06/2016</v>
          </cell>
          <cell r="E424"/>
          <cell r="F424" t="str">
            <v>M</v>
          </cell>
          <cell r="G424">
            <v>42.82</v>
          </cell>
          <cell r="H424" t="str">
            <v>-</v>
          </cell>
        </row>
        <row r="425">
          <cell r="A425">
            <v>94882</v>
          </cell>
          <cell r="B425" t="str">
            <v>SINAPI</v>
          </cell>
          <cell r="C425" t="str">
            <v>94898
9,2 m/h</v>
          </cell>
          <cell r="D425" t="str">
            <v>Assentamento de tubo de PEAD corrugado com parede estruturada para drenagem de águas pluviais, DN/DI 1,20 m; PEAD virgem para rede de drenagem, com encaixei ponta e bolsa – JEI, conforme norma DNIT 094/2014 (não inclui fornecimento). AF_06/2016</v>
          </cell>
          <cell r="E425"/>
          <cell r="F425" t="str">
            <v>M</v>
          </cell>
          <cell r="G425">
            <v>49.59</v>
          </cell>
          <cell r="H425" t="str">
            <v>-</v>
          </cell>
        </row>
        <row r="426">
          <cell r="A426">
            <v>94884</v>
          </cell>
          <cell r="B426" t="str">
            <v>SINAPI</v>
          </cell>
          <cell r="C426" t="str">
            <v>94900
4,3 m/h</v>
          </cell>
          <cell r="D426" t="str">
            <v>Assentamento de tubo de PEAD corrugado com parede estruturada para drenagem de águas pluviais, DN/DI 1,50 m; PEAD virgem para rede de drenagem, com encaixei ponta e bolsa – JEI, conforme norma DNIT 094/2014 (não inclui fornecimento). AF_06/2016</v>
          </cell>
          <cell r="E426"/>
          <cell r="F426" t="str">
            <v>M</v>
          </cell>
          <cell r="G426">
            <v>63.3</v>
          </cell>
          <cell r="H426" t="str">
            <v>-</v>
          </cell>
        </row>
        <row r="427">
          <cell r="A427">
            <v>37476</v>
          </cell>
          <cell r="B427" t="str">
            <v>SINAPI</v>
          </cell>
          <cell r="C427"/>
          <cell r="D427" t="str">
            <v xml:space="preserve">Aduela/ galeria pre-moldada de concreto armado, secao quadrada interna de 1,50 x 1,50 m (l x a), misula de 20 x 20 cm, c = 1,00 m, espessura min = 15 cm, tb-45 e FCK do concreto = 30 MPA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    </cell>
          <cell r="E427"/>
          <cell r="F427" t="str">
            <v xml:space="preserve">UN    </v>
          </cell>
          <cell r="G427">
            <v>4109.74</v>
          </cell>
          <cell r="H427" t="str">
            <v>-</v>
          </cell>
        </row>
        <row r="428">
          <cell r="A428">
            <v>37478</v>
          </cell>
          <cell r="B428" t="str">
            <v>SINAPI</v>
          </cell>
          <cell r="C428"/>
          <cell r="D428" t="str">
            <v xml:space="preserve">Aduela/ galeria pre-moldada de concreto armado, secao retangular interna de 2,00 x 2,00 m (l x a), misula de 20 x 20 cm, c = 1,00 m, espessura min = 15 cm, tb-45 e FCK do concreto = 30 MPA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    </cell>
          <cell r="E428"/>
          <cell r="F428" t="str">
            <v xml:space="preserve">UN    </v>
          </cell>
          <cell r="G428">
            <v>5147.5600000000004</v>
          </cell>
          <cell r="H428" t="str">
            <v>-</v>
          </cell>
        </row>
        <row r="429">
          <cell r="A429">
            <v>37477</v>
          </cell>
          <cell r="B429" t="str">
            <v>SINAPI</v>
          </cell>
          <cell r="C429"/>
          <cell r="D429" t="str">
            <v xml:space="preserve">Aduela/ galeria pre-moldada de concreto armado, secao retangular interna de 2,50 x 2,50 m (l x a), misula de 20 x 20 cm, c = 1,00 m, espessura min = 15 cm, tb-45 e FCK do concreto = 30 MPA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    </cell>
          <cell r="E429"/>
          <cell r="F429" t="str">
            <v xml:space="preserve">UN    </v>
          </cell>
          <cell r="G429">
            <v>6974.11</v>
          </cell>
          <cell r="H429" t="str">
            <v>-</v>
          </cell>
        </row>
        <row r="430">
          <cell r="A430">
            <v>37479</v>
          </cell>
          <cell r="B430" t="str">
            <v>SINAPI</v>
          </cell>
          <cell r="C430"/>
          <cell r="D430" t="str">
            <v xml:space="preserve">Aduela/ galeria pre-moldada de concreto armado, secao retangular interna de 3,00 x 3,00 m (l x a), misula de 20 x 20 cm, c = 1.00 m, espessura min = 20 cm, tb-45 e FCK do concreto = 30 MPA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    </cell>
          <cell r="E430"/>
          <cell r="F430" t="str">
            <v xml:space="preserve">UN    </v>
          </cell>
          <cell r="G430">
            <v>8271.3799999999992</v>
          </cell>
          <cell r="H430" t="str">
            <v>-</v>
          </cell>
        </row>
        <row r="431">
          <cell r="A431"/>
          <cell r="B431" t="str">
            <v>COMPOSIÇÃO</v>
          </cell>
          <cell r="C431" t="str">
            <v>DR/0090</v>
          </cell>
          <cell r="D431" t="str">
            <v>SUBSTITUIR PELA COMPOSIÇÃO DR/0091 + 37476</v>
          </cell>
          <cell r="E431">
            <v>3.32</v>
          </cell>
          <cell r="F431" t="e">
            <v>#REF!</v>
          </cell>
          <cell r="G431" t="e">
            <v>#REF!</v>
          </cell>
          <cell r="H431" t="str">
            <v/>
          </cell>
        </row>
        <row r="432">
          <cell r="A432"/>
          <cell r="B432" t="str">
            <v>COMPOSIÇÃO</v>
          </cell>
          <cell r="C432" t="str">
            <v>DR/0095</v>
          </cell>
          <cell r="D432" t="str">
            <v>SUBSTITUIR PELA COMPOSIÇÃO DR/0096 + 37478</v>
          </cell>
          <cell r="E432">
            <v>2.85</v>
          </cell>
          <cell r="F432" t="e">
            <v>#REF!</v>
          </cell>
          <cell r="G432" t="e">
            <v>#REF!</v>
          </cell>
          <cell r="H432" t="str">
            <v/>
          </cell>
        </row>
        <row r="433">
          <cell r="A433"/>
          <cell r="B433" t="str">
            <v>COMPOSIÇÃO</v>
          </cell>
          <cell r="C433" t="str">
            <v>DR/0100</v>
          </cell>
          <cell r="D433" t="str">
            <v>SUBSTITUIR PELA COMPOSIÇÃO DR/0101 + 37477</v>
          </cell>
          <cell r="E433">
            <v>2.4900000000000002</v>
          </cell>
          <cell r="F433" t="e">
            <v>#REF!</v>
          </cell>
          <cell r="G433" t="e">
            <v>#REF!</v>
          </cell>
          <cell r="H433" t="str">
            <v/>
          </cell>
        </row>
        <row r="434">
          <cell r="A434"/>
          <cell r="B434" t="str">
            <v>COMPOSIÇÃO</v>
          </cell>
          <cell r="C434" t="str">
            <v>DR/0105</v>
          </cell>
          <cell r="D434" t="str">
            <v>SUBSTITUIR PELA COMPOSIÇÃO DR/0106 + 37479</v>
          </cell>
          <cell r="E434">
            <v>1.99</v>
          </cell>
          <cell r="F434" t="e">
            <v>#REF!</v>
          </cell>
          <cell r="G434" t="e">
            <v>#REF!</v>
          </cell>
          <cell r="H434" t="str">
            <v/>
          </cell>
        </row>
        <row r="435">
          <cell r="A435" t="str">
            <v>DR/0091</v>
          </cell>
          <cell r="B435" t="str">
            <v>COMPOSIÇÃO</v>
          </cell>
          <cell r="C435">
            <v>3.32</v>
          </cell>
          <cell r="D435" t="str">
            <v>Galeria celular em aduela pré-moldada em concreto armado, 1,50m x 1,50m (2950kg/m), assentamento e rejuntamento. Exclusive aquisição e transporte.</v>
          </cell>
          <cell r="E435">
            <v>3.32</v>
          </cell>
          <cell r="F435" t="str">
            <v>M</v>
          </cell>
          <cell r="G435">
            <v>107.35</v>
          </cell>
          <cell r="H435" t="str">
            <v>-</v>
          </cell>
        </row>
        <row r="436">
          <cell r="A436" t="str">
            <v>DR/0096</v>
          </cell>
          <cell r="B436" t="str">
            <v>COMPOSIÇÃO</v>
          </cell>
          <cell r="C436">
            <v>2.85</v>
          </cell>
          <cell r="D436" t="str">
            <v>Galeria celular em aduela pré-moldada em concreto armado, 2,00m x 2,00m (4080kg/m), assentamento e rejuntamento. Exclusive aquisição e transporte.</v>
          </cell>
          <cell r="E436">
            <v>2.85</v>
          </cell>
          <cell r="F436" t="str">
            <v>M</v>
          </cell>
          <cell r="G436">
            <v>142.36000000000001</v>
          </cell>
          <cell r="H436" t="str">
            <v>-</v>
          </cell>
        </row>
        <row r="437">
          <cell r="A437" t="str">
            <v>DR/0101</v>
          </cell>
          <cell r="B437" t="str">
            <v>COMPOSIÇÃO</v>
          </cell>
          <cell r="C437">
            <v>2.4900000000000002</v>
          </cell>
          <cell r="D437" t="str">
            <v>Galeria celular em aduela pré-moldada em concreto armado, 2,50m x 2,50m (5000kg/m), assentamento e rejuntamento. Exclusive aquisição e transporte.</v>
          </cell>
          <cell r="E437">
            <v>2.4900000000000002</v>
          </cell>
          <cell r="F437" t="str">
            <v>M</v>
          </cell>
          <cell r="G437">
            <v>214.52</v>
          </cell>
          <cell r="H437" t="str">
            <v>-</v>
          </cell>
        </row>
        <row r="438">
          <cell r="A438" t="str">
            <v>DR/0106</v>
          </cell>
          <cell r="B438" t="str">
            <v>COMPOSIÇÃO</v>
          </cell>
          <cell r="C438">
            <v>1.99</v>
          </cell>
          <cell r="D438" t="str">
            <v>Galeria celular em aduela pré-moldada em concreto armado, 3,00m x 3,00m (6700kg/m), assentamento e rejuntamento. Exclusive aquisição e transporte.</v>
          </cell>
          <cell r="E438">
            <v>1.99</v>
          </cell>
          <cell r="F438" t="str">
            <v>M</v>
          </cell>
          <cell r="G438">
            <v>287.25</v>
          </cell>
          <cell r="H438" t="str">
            <v>-</v>
          </cell>
        </row>
        <row r="439">
          <cell r="A439" t="str">
            <v>DR/0110</v>
          </cell>
          <cell r="B439" t="str">
            <v>COMPOSIÇÃO</v>
          </cell>
          <cell r="C439"/>
          <cell r="D439" t="str">
            <v>Bueiro metálico sem interrupção de tráfego, no diâmetro de 1,20m, chapa metálica com revestimento Epóxi HR, espessura de chapa (aço + revestimento) 2,20mm, recobrimento máximo de 9,00m. Incluindo montagem e consolidação externa com injeção de nata de solo-cimento, fornecimento da estrutura tunnel liner. Exclusive ventilação, iluminação, escavação e bota-fora (REF. SICRO COD. 0605571)</v>
          </cell>
          <cell r="E439"/>
          <cell r="F439" t="str">
            <v>M</v>
          </cell>
          <cell r="G439">
            <v>5661.01</v>
          </cell>
          <cell r="H439" t="str">
            <v>-</v>
          </cell>
        </row>
        <row r="440">
          <cell r="A440" t="str">
            <v>DR/0115</v>
          </cell>
          <cell r="B440" t="str">
            <v>COMPOSIÇÃO</v>
          </cell>
          <cell r="C440"/>
          <cell r="D440" t="str">
            <v>Bueiro metálico sem interrupção de tráfego, no diâmetro de 1,60m, chapa metálica com revestimento Epóxi HR, espessura de chapa (aço + revestimento) 2,2mm, recobrimento máximo de 6,70m. Incluindo montagem e consolidação externa com injeção de nata de solo-cimento, fornecimento da estrutura tunnel liner. Exclusive ventilação, iluminação, escavação e bota-fora (REF. SICRO COD. 0605573)</v>
          </cell>
          <cell r="E440"/>
          <cell r="F440" t="str">
            <v>M</v>
          </cell>
          <cell r="G440">
            <v>7613.88</v>
          </cell>
          <cell r="H440" t="str">
            <v>-</v>
          </cell>
        </row>
        <row r="441">
          <cell r="A441" t="str">
            <v>DR/0120</v>
          </cell>
          <cell r="B441" t="str">
            <v>COMPOSIÇÃO</v>
          </cell>
          <cell r="C441"/>
          <cell r="D441" t="str">
            <v>Bueiro metálico sem interrupção de tráfego, no diâmetro de 1,80m, chapa metálica com revestimento Epóxi HR, espessura de chapa (aço + revestimento) 2,2mm, recobrimento máximo de 6,00m. Incluindo montagem e consolidação externa com injeção de nata de solo-cimento, fornecimento da estrutura tunnel liner. Exclusive ventilação, iluminação, escavação e bota-fora (REF. SICRO COD. 0605574)</v>
          </cell>
          <cell r="E441"/>
          <cell r="F441" t="str">
            <v>M</v>
          </cell>
          <cell r="G441">
            <v>8502.6299999999992</v>
          </cell>
          <cell r="H441" t="str">
            <v>-</v>
          </cell>
        </row>
        <row r="442">
          <cell r="A442" t="str">
            <v>DR/0125</v>
          </cell>
          <cell r="B442" t="str">
            <v>COMPOSIÇÃO</v>
          </cell>
          <cell r="C442"/>
          <cell r="D442" t="str">
            <v>Bueiro metálico sem interrupção de tráfego, no diâmetro de 2,00m, chapa metálica com revestimento Epóxi HR, espessura de chapa (aço + revestimento) 2,20mm, recobrimento máximo de 5,40m. Incluindo montagem e consolidação externa com injeção de nata de solo-cimento, fornecimento da estrutura tunnel liner. Exclusive ventilação, iluminação, escavação e bota-fora (REF. SICRO COD. 0605575)</v>
          </cell>
          <cell r="E442"/>
          <cell r="F442" t="str">
            <v>M</v>
          </cell>
          <cell r="G442">
            <v>9437.84</v>
          </cell>
          <cell r="H442" t="str">
            <v>-</v>
          </cell>
        </row>
        <row r="443">
          <cell r="A443" t="str">
            <v>DR/0130</v>
          </cell>
          <cell r="B443" t="str">
            <v>COMPOSIÇÃO</v>
          </cell>
          <cell r="C443"/>
          <cell r="D443" t="str">
            <v>Bueiro metálico sem interrupção de tráfego, no diâmetro de 2,60m, chapa metálica com revestimento Epóxi HR, espessura de chapa (aço + revestimento) 2,20mm, recobrimento máximo de 4,10m. Incluindo montagem e consolidação externa com injeção de nata de solo-cimento, fornecimento da estrutura tunnel liner. Exclusive ventilação, iluminação, escavação e bota-fora (REF. SICRO COD. 0605578)</v>
          </cell>
          <cell r="E443"/>
          <cell r="F443" t="str">
            <v>M</v>
          </cell>
          <cell r="G443">
            <v>12167.31</v>
          </cell>
          <cell r="H443" t="str">
            <v>-</v>
          </cell>
        </row>
        <row r="444">
          <cell r="A444" t="str">
            <v>DR/0135</v>
          </cell>
          <cell r="B444" t="str">
            <v>COMPOSIÇÃO</v>
          </cell>
          <cell r="C444" t="str">
            <v>DR/145</v>
          </cell>
          <cell r="D444" t="str">
            <v>PV-1 - Poço de Visita, com dimensões internas de 1,98m x 1,98m x 1,50m (bxbxh), em alvenaria de bloco de concreto estrutural FBK 14mpa, conforme projeto tipo. Exclusive pescoço e tampão</v>
          </cell>
          <cell r="E444"/>
          <cell r="F444" t="str">
            <v>UN</v>
          </cell>
          <cell r="G444">
            <v>6413.35</v>
          </cell>
          <cell r="H444" t="str">
            <v>-</v>
          </cell>
        </row>
        <row r="445">
          <cell r="A445" t="str">
            <v>DR/0140</v>
          </cell>
          <cell r="B445" t="str">
            <v>COMPOSIÇÃO</v>
          </cell>
          <cell r="C445"/>
          <cell r="D445" t="str">
            <v>PV-2 - Poço de Visita, com dimensões internas de 1,98m x 2,68m x 2,00m (bxbxh), em alvenaria de bloco de concreto estrutural FBK 14mpa, conforme projeto tipo. Exclusive pescoço e tampão</v>
          </cell>
          <cell r="E445"/>
          <cell r="F445" t="str">
            <v>UN</v>
          </cell>
          <cell r="G445">
            <v>8671.56</v>
          </cell>
          <cell r="H445" t="str">
            <v>-</v>
          </cell>
        </row>
        <row r="446">
          <cell r="A446" t="str">
            <v>DR/0145</v>
          </cell>
          <cell r="B446" t="str">
            <v>COMPOSIÇÃO</v>
          </cell>
          <cell r="C446"/>
          <cell r="D446" t="str">
            <v>PV-3 - Poço de Visita, com dimensões internas de 1,98m x 3,48m x 2,00m (bxbxh), em alvenaria de bloco de concreto estrutural FBK 14mpa, conforme projeto tipo. Exclusive pescoço e tampão</v>
          </cell>
          <cell r="E446"/>
          <cell r="F446" t="str">
            <v>UN</v>
          </cell>
          <cell r="G446">
            <v>10398.6</v>
          </cell>
          <cell r="H446" t="str">
            <v>-</v>
          </cell>
        </row>
        <row r="447">
          <cell r="A447" t="str">
            <v>DR/0150</v>
          </cell>
          <cell r="B447" t="str">
            <v>COMPOSIÇÃO</v>
          </cell>
          <cell r="C447"/>
          <cell r="D447" t="str">
            <v>PV-4 - Poço de Visita, com dimensões internas de 1,98m x 4,98m x 2,00m (bxbxh), em alvenaria de bloco de concreto estrutural FBK 14mpa, conforme projeto tipo. Exclusive pescoço e tampão</v>
          </cell>
          <cell r="E447"/>
          <cell r="F447" t="str">
            <v>UN</v>
          </cell>
          <cell r="G447">
            <v>13636.81</v>
          </cell>
          <cell r="H447" t="str">
            <v>-</v>
          </cell>
        </row>
        <row r="448">
          <cell r="A448" t="str">
            <v>DR/0155</v>
          </cell>
          <cell r="B448" t="str">
            <v>COMPOSIÇÃO</v>
          </cell>
          <cell r="C448"/>
          <cell r="D448" t="str">
            <v>PV-5 - Poço de Visita, com dimensões internas de 1,98m x 6,58m x 2,00m (bxbxh), em alvenaria de bloco de concreto estrutural FBK 14mpa, conforme projeto tipo. Exclusive pescoço e tampão</v>
          </cell>
          <cell r="E448"/>
          <cell r="F448" t="str">
            <v>UN</v>
          </cell>
          <cell r="G448">
            <v>17090.900000000001</v>
          </cell>
          <cell r="H448" t="str">
            <v>-</v>
          </cell>
        </row>
        <row r="449">
          <cell r="A449" t="str">
            <v>DR/0160</v>
          </cell>
          <cell r="B449" t="str">
            <v>COMPOSIÇÃO</v>
          </cell>
          <cell r="C449"/>
          <cell r="D449" t="str">
            <v>PV-6 - Poço de Visita, com dimensões internas de 1,98m x 8,78m x 2,00m (bxbxh), em alvenaria de bloco de concreto estrutural FBK 14mpa, conforme projeto tipo. Exclusive pescoço e tampão</v>
          </cell>
          <cell r="E449"/>
          <cell r="F449" t="str">
            <v>UN</v>
          </cell>
          <cell r="G449">
            <v>21840.28</v>
          </cell>
          <cell r="H449" t="str">
            <v>-</v>
          </cell>
        </row>
        <row r="450">
          <cell r="A450" t="str">
            <v>DR/0165</v>
          </cell>
          <cell r="B450" t="str">
            <v>COMPOSIÇÃO</v>
          </cell>
          <cell r="C450"/>
          <cell r="D450" t="str">
            <v>PV-0 - Poço de Visita Circular, com dimensão interna de Ø 0,80m, em alvenaria de tijolo comum de 1 vez assentada e revestida internamente com argamassa de cimento e areia 1:3, conforme projeto tipo. Exclusive tampão</v>
          </cell>
          <cell r="E450"/>
          <cell r="F450" t="str">
            <v>UN</v>
          </cell>
          <cell r="G450">
            <v>1742.84</v>
          </cell>
          <cell r="H450" t="str">
            <v>-</v>
          </cell>
        </row>
        <row r="451">
          <cell r="A451">
            <v>98050</v>
          </cell>
          <cell r="B451" t="str">
            <v>SINAPI</v>
          </cell>
          <cell r="C451"/>
          <cell r="D451" t="str">
            <v>Chaminé circular para poço de visita para esgoto, em concreto pré-moldado, diâmetro interno = 0,6 m. af_12/2020</v>
          </cell>
          <cell r="E451"/>
          <cell r="F451" t="str">
            <v>M</v>
          </cell>
          <cell r="G451">
            <v>303.52999999999997</v>
          </cell>
          <cell r="H451" t="str">
            <v>-</v>
          </cell>
        </row>
        <row r="452">
          <cell r="A452">
            <v>98051</v>
          </cell>
          <cell r="B452" t="str">
            <v>SINAPI</v>
          </cell>
          <cell r="C452"/>
          <cell r="D452" t="str">
            <v>Chaminé circular para poço de visita para esgoto, em alvenaria com tijolos cerâmicos maciços, diâmetro interno = 0,6 m. af_12/2020</v>
          </cell>
          <cell r="E452"/>
          <cell r="F452" t="str">
            <v>M</v>
          </cell>
          <cell r="G452">
            <v>913.22</v>
          </cell>
          <cell r="H452" t="str">
            <v>-</v>
          </cell>
        </row>
        <row r="453">
          <cell r="A453">
            <v>99318</v>
          </cell>
          <cell r="B453" t="str">
            <v>SINAPI</v>
          </cell>
          <cell r="C453"/>
          <cell r="D453" t="str">
            <v>Chaminé circular para poço de visita para drenagem, em concreto pré-moldado, diâmetro interno = 0,6 m. af_12/2020</v>
          </cell>
          <cell r="E453"/>
          <cell r="F453" t="str">
            <v>M</v>
          </cell>
          <cell r="G453">
            <v>302.5</v>
          </cell>
          <cell r="H453" t="str">
            <v>-</v>
          </cell>
        </row>
        <row r="454">
          <cell r="A454">
            <v>99319</v>
          </cell>
          <cell r="B454" t="str">
            <v>SINAPI</v>
          </cell>
          <cell r="C454"/>
          <cell r="D454" t="str">
            <v>Chaminé circular para poço de visita para drenagem, em alvenaria com tijolos cerâmicos maciços, diâmetro interno = 0,6 m. af_12/2020</v>
          </cell>
          <cell r="E454"/>
          <cell r="F454" t="str">
            <v>M</v>
          </cell>
          <cell r="G454">
            <v>845.83</v>
          </cell>
          <cell r="H454" t="str">
            <v>-</v>
          </cell>
        </row>
        <row r="455">
          <cell r="A455" t="str">
            <v>DR/0170</v>
          </cell>
          <cell r="B455" t="str">
            <v>COMPOSIÇÃO</v>
          </cell>
          <cell r="C455"/>
          <cell r="D455" t="str">
            <v>APV-1 - Acréscimo para Poço de Visita, com dimensões internas de 1,98m x 1,98m, em alvenaria de bloco de concreto estrutural FBK 14mpa, conforme projeto tipo</v>
          </cell>
          <cell r="E455"/>
          <cell r="F455" t="str">
            <v>M</v>
          </cell>
          <cell r="G455">
            <v>1607.96</v>
          </cell>
          <cell r="H455" t="str">
            <v>-</v>
          </cell>
        </row>
        <row r="456">
          <cell r="A456" t="str">
            <v>DR/0175</v>
          </cell>
          <cell r="B456" t="str">
            <v>COMPOSIÇÃO</v>
          </cell>
          <cell r="C456"/>
          <cell r="D456" t="str">
            <v>APV-2 - Acréscimo para Poço de Visita, com dimensões internas de 1,98m x 2,68m, em alvenaria de bloco de concreto estrutural FBK 14mpa, conforme projeto tipo</v>
          </cell>
          <cell r="E456"/>
          <cell r="F456" t="str">
            <v>M</v>
          </cell>
          <cell r="G456">
            <v>1859.93</v>
          </cell>
          <cell r="H456" t="str">
            <v>-</v>
          </cell>
        </row>
        <row r="457">
          <cell r="A457" t="str">
            <v>DR/0180</v>
          </cell>
          <cell r="B457" t="str">
            <v>COMPOSIÇÃO</v>
          </cell>
          <cell r="C457"/>
          <cell r="D457" t="str">
            <v>APV-3 - Acréscimo para Poço de Visita, com dimensões internas de 1,98m x 3,48m, em alvenaria de bloco de concreto estrutural FBK 14mpa, conforme projeto tipo</v>
          </cell>
          <cell r="E457"/>
          <cell r="F457" t="str">
            <v>M</v>
          </cell>
          <cell r="G457">
            <v>2147.91</v>
          </cell>
          <cell r="H457" t="str">
            <v>-</v>
          </cell>
        </row>
        <row r="458">
          <cell r="A458" t="str">
            <v>DR/0185</v>
          </cell>
          <cell r="B458" t="str">
            <v>COMPOSIÇÃO</v>
          </cell>
          <cell r="C458"/>
          <cell r="D458" t="str">
            <v>APV-4 - Acréscimo para Poço de Visita, com dimensões internas de 1,98m x 4,98m, em alvenaria de bloco de concreto estrutural FBK 14mpa, conforme projeto tipo</v>
          </cell>
          <cell r="E458"/>
          <cell r="F458" t="str">
            <v>M</v>
          </cell>
          <cell r="G458">
            <v>2687.86</v>
          </cell>
          <cell r="H458" t="str">
            <v>-</v>
          </cell>
        </row>
        <row r="459">
          <cell r="A459" t="str">
            <v>DR/0190</v>
          </cell>
          <cell r="B459" t="str">
            <v>COMPOSIÇÃO</v>
          </cell>
          <cell r="C459"/>
          <cell r="D459" t="str">
            <v>APV-5 - Acréscimo para Poço de Visita, com dimensões internas de 1,98m x 6,58m, em alvenaria de bloco de concreto estrutural FBK 14mpa, conforme projeto tipo</v>
          </cell>
          <cell r="E459"/>
          <cell r="F459" t="str">
            <v>M</v>
          </cell>
          <cell r="G459">
            <v>3263.81</v>
          </cell>
          <cell r="H459" t="str">
            <v>-</v>
          </cell>
        </row>
        <row r="460">
          <cell r="A460" t="str">
            <v>DR/0195</v>
          </cell>
          <cell r="B460" t="str">
            <v>COMPOSIÇÃO</v>
          </cell>
          <cell r="C460"/>
          <cell r="D460" t="str">
            <v>APV-6 - Acréscimo para Poço de Visita, com dimensões internas de 1,98m x 8,78m, em alvenaria de bloco de concreto estrutural FBK 14mpa, conforme projeto tipo</v>
          </cell>
          <cell r="E460"/>
          <cell r="F460" t="str">
            <v>M</v>
          </cell>
          <cell r="G460">
            <v>4055.74</v>
          </cell>
          <cell r="H460" t="str">
            <v>-</v>
          </cell>
        </row>
        <row r="461">
          <cell r="A461" t="str">
            <v>DR/0200</v>
          </cell>
          <cell r="B461" t="str">
            <v>COMPOSIÇÃO</v>
          </cell>
          <cell r="C461"/>
          <cell r="D461" t="str">
            <v>Antecâmara para poço de visita, com dimensões internas de 1,98m x 1,00m x 1,50m (bxbxh), em alvenaria de bloco de concreto estrutural FBK 14mpa, conforme projeto tipo</v>
          </cell>
          <cell r="E461"/>
          <cell r="F461" t="str">
            <v>UN</v>
          </cell>
          <cell r="G461">
            <v>2562.67</v>
          </cell>
          <cell r="H461" t="str">
            <v>-</v>
          </cell>
        </row>
        <row r="462">
          <cell r="A462" t="str">
            <v>DR/0205</v>
          </cell>
          <cell r="B462" t="str">
            <v>COMPOSIÇÃO</v>
          </cell>
          <cell r="C462"/>
          <cell r="D462" t="str">
            <v>CP-1 - Caixa de Passagem, com dimensões internas de  1,92m x 1,92m x 1,60m (bxbxh), em alvenaria de bloco de concreto estrutural FBK 8 MPa, conforme projeto tipo</v>
          </cell>
          <cell r="E462"/>
          <cell r="F462" t="str">
            <v>UN</v>
          </cell>
          <cell r="G462">
            <v>6086.26</v>
          </cell>
          <cell r="H462" t="str">
            <v>-</v>
          </cell>
        </row>
        <row r="463">
          <cell r="A463" t="str">
            <v>DR/0210</v>
          </cell>
          <cell r="B463" t="str">
            <v>COMPOSIÇÃO</v>
          </cell>
          <cell r="C463"/>
          <cell r="D463" t="str">
            <v>CP-2 - Caixa de Passagem, com dimensões internas de  1,92m x 2,82m x 2,00m (bxbxh), em alvenaria de bloco de concreto estrutural FBK 8 MPa, conforme projeto tipo</v>
          </cell>
          <cell r="E463"/>
          <cell r="F463" t="str">
            <v>UN</v>
          </cell>
          <cell r="G463">
            <v>8706.94</v>
          </cell>
          <cell r="H463" t="str">
            <v>-</v>
          </cell>
        </row>
        <row r="464">
          <cell r="A464" t="str">
            <v>DR/0215</v>
          </cell>
          <cell r="B464" t="str">
            <v>COMPOSIÇÃO</v>
          </cell>
          <cell r="C464"/>
          <cell r="D464" t="str">
            <v>CP-3 - Caixa de Passagem, com dimensões internas de 1,98m x 3,48m x 2,00m (bxbxh), em alvenaria de bloco de concreto estrutural FBK 14mpa, conforme projeto tipo</v>
          </cell>
          <cell r="E464"/>
          <cell r="F464" t="str">
            <v>UN</v>
          </cell>
          <cell r="G464">
            <v>10241.59</v>
          </cell>
          <cell r="H464" t="str">
            <v>-</v>
          </cell>
        </row>
        <row r="465">
          <cell r="A465" t="str">
            <v>DR/0220</v>
          </cell>
          <cell r="B465" t="str">
            <v>COMPOSIÇÃO</v>
          </cell>
          <cell r="C465"/>
          <cell r="D465" t="str">
            <v>CP-4 - Caixa de Passagem, com dimensões internas de 1,98m x 4,98m x 2,00m (bxbxh), em alvenaria de bloco de concreto estrutural FBK 14mpa, conforme projeto tipo</v>
          </cell>
          <cell r="E465"/>
          <cell r="F465" t="str">
            <v>UN</v>
          </cell>
          <cell r="G465">
            <v>13436.67</v>
          </cell>
          <cell r="H465" t="str">
            <v>-</v>
          </cell>
        </row>
        <row r="466">
          <cell r="A466" t="str">
            <v>DR/0225</v>
          </cell>
          <cell r="B466" t="str">
            <v>COMPOSIÇÃO</v>
          </cell>
          <cell r="C466"/>
          <cell r="D466" t="str">
            <v>CP-5 - Caixa de Passagem, com dimensões internas de 1,98m x 6,58m x 2,00m (bxbxh), em alvenaria de bloco de concreto estrutural FBK 14mpa, conforme projeto tipo</v>
          </cell>
          <cell r="E466"/>
          <cell r="F466" t="str">
            <v>UN</v>
          </cell>
          <cell r="G466">
            <v>15335.92</v>
          </cell>
          <cell r="H466" t="str">
            <v>-</v>
          </cell>
        </row>
        <row r="467">
          <cell r="A467" t="str">
            <v>DR/0230</v>
          </cell>
          <cell r="B467" t="str">
            <v>COMPOSIÇÃO</v>
          </cell>
          <cell r="C467"/>
          <cell r="D467" t="str">
            <v>CP-6 - Caixa de Passagem, com dimensões internas de  1,98m x 8,78m x 2,00m (bxbxh), em alvenaria de bloco de concreto estrutural FBK 14mpa, conforme projeto tipo</v>
          </cell>
          <cell r="E467"/>
          <cell r="F467" t="str">
            <v>UN</v>
          </cell>
          <cell r="G467">
            <v>19657.7</v>
          </cell>
          <cell r="H467" t="str">
            <v>-</v>
          </cell>
        </row>
        <row r="468">
          <cell r="A468" t="str">
            <v>DR/0235</v>
          </cell>
          <cell r="B468" t="str">
            <v>COMPOSIÇÃO</v>
          </cell>
          <cell r="C468"/>
          <cell r="D468" t="str">
            <v>CC 1 - Caixa Coletora  2,32x2,32m, com dimensões internas de 2,32m x 2,32m x 1,50m (bxbxh), em alvenaria de bloco de concreto estrutural FBK 14mpa, inclusive grelha (0,60X0,6)m no centro, conforme projeto tipo. Exclusive pescoço.</v>
          </cell>
          <cell r="E468"/>
          <cell r="F468" t="str">
            <v>UN</v>
          </cell>
          <cell r="G468">
            <v>4663.18</v>
          </cell>
          <cell r="H468" t="str">
            <v>-</v>
          </cell>
        </row>
        <row r="469">
          <cell r="A469" t="str">
            <v>DR/0240</v>
          </cell>
          <cell r="B469" t="str">
            <v>CRIAR COMPOSIÇÃO</v>
          </cell>
          <cell r="C469"/>
          <cell r="D469" t="str">
            <v>CC 2 - Caixa Coletora  1,70 x 1,70m, inclusive grelha, conforme projeto tipo</v>
          </cell>
          <cell r="E469"/>
          <cell r="F469" t="str">
            <v>-</v>
          </cell>
          <cell r="G469" t="str">
            <v>-</v>
          </cell>
          <cell r="H469" t="str">
            <v>-</v>
          </cell>
        </row>
        <row r="470">
          <cell r="A470" t="str">
            <v>DR/0245</v>
          </cell>
          <cell r="B470" t="str">
            <v>COMPOSIÇÃO</v>
          </cell>
          <cell r="C470"/>
          <cell r="D470" t="str">
            <v xml:space="preserve">Caixa de inspeção, conjugada com boca de lobo no passeio, em concreto armado FCK 20 mpa, incluindo forma, escavação, laje e tampão em F°F° para passeio 47 x 70cm, conforme projeto </v>
          </cell>
          <cell r="E470"/>
          <cell r="F470" t="str">
            <v>UN</v>
          </cell>
          <cell r="G470">
            <v>5346.42</v>
          </cell>
          <cell r="H470" t="str">
            <v>-</v>
          </cell>
        </row>
        <row r="471">
          <cell r="A471" t="str">
            <v>DR/0250</v>
          </cell>
          <cell r="B471" t="str">
            <v>COMPOSIÇÃO</v>
          </cell>
          <cell r="C471"/>
          <cell r="D471" t="str">
            <v xml:space="preserve">BLSP - Boca-de-lobo simples com caixa no passeio, em concreto simples FCK 20 mpa, incluindo forma, escavação, laje e tampão em F°F° para passeio 47 x 70cm, conforme projeto </v>
          </cell>
          <cell r="E471" t="str">
            <v>BOCA DE LOBO
no passeio</v>
          </cell>
          <cell r="F471" t="str">
            <v>UN</v>
          </cell>
          <cell r="G471">
            <v>1428.37</v>
          </cell>
          <cell r="H471" t="str">
            <v>-</v>
          </cell>
        </row>
        <row r="472">
          <cell r="A472" t="str">
            <v>DR/0255</v>
          </cell>
          <cell r="B472" t="str">
            <v>COMPOSIÇÃO</v>
          </cell>
          <cell r="C472"/>
          <cell r="D472" t="str">
            <v xml:space="preserve">BLDP - Boca-de-lobo dupla com caixa no passeio, em concreto simples FCK 20 mpa, incluindo forma, escavação, laje e tampão em F°F° para passeio 47 x 70cm, conforme projeto </v>
          </cell>
          <cell r="E472"/>
          <cell r="F472" t="str">
            <v>UN</v>
          </cell>
          <cell r="G472">
            <v>2385.19</v>
          </cell>
          <cell r="H472" t="str">
            <v>-</v>
          </cell>
        </row>
        <row r="473">
          <cell r="A473" t="str">
            <v>DR/0260</v>
          </cell>
          <cell r="B473" t="str">
            <v>COMPOSIÇÃO</v>
          </cell>
          <cell r="C473"/>
          <cell r="D473" t="str">
            <v xml:space="preserve">BLTP - Boca-de-lobo tripla com caixa no passeio, em concreto simples FCK 20 mpa, incluindo forma, escavação, laje e tampão em F°F° para passeio 47 x 70cm, conforme projeto </v>
          </cell>
          <cell r="E473"/>
          <cell r="F473" t="str">
            <v>UN</v>
          </cell>
          <cell r="G473">
            <v>3341.39</v>
          </cell>
          <cell r="H473" t="str">
            <v>-</v>
          </cell>
        </row>
        <row r="474">
          <cell r="A474" t="str">
            <v>DR/0265</v>
          </cell>
          <cell r="B474" t="str">
            <v>COMPOSIÇÃO</v>
          </cell>
          <cell r="C474"/>
          <cell r="D474" t="str">
            <v xml:space="preserve">BLSC - Boca-de-lobo simples em concreto simples FCK 20 mpa, incluindo forma, escavação, sarjeta de contorno (chama) em concreto e grelha em F°F° tipo pesada, conforme projeto </v>
          </cell>
          <cell r="E474" t="str">
            <v>BOCA DE LOBO
em concreto</v>
          </cell>
          <cell r="F474" t="str">
            <v>UN</v>
          </cell>
          <cell r="G474">
            <v>1696.3</v>
          </cell>
          <cell r="H474" t="str">
            <v>-</v>
          </cell>
        </row>
        <row r="475">
          <cell r="A475" t="str">
            <v>DR/0267</v>
          </cell>
          <cell r="B475" t="str">
            <v>COMPOSIÇÃO</v>
          </cell>
          <cell r="C475"/>
          <cell r="D475" t="str">
            <v xml:space="preserve">BLEC - Boca-de-lobo especial em concreto estrutural FCK 30 mpa, incluindo forma, escavação, grelha de concreto pré-moldada e instalação no local, conforme projeto </v>
          </cell>
          <cell r="E475"/>
          <cell r="F475" t="str">
            <v>UN</v>
          </cell>
          <cell r="G475">
            <v>721.45</v>
          </cell>
          <cell r="H475" t="str">
            <v>-</v>
          </cell>
        </row>
        <row r="476">
          <cell r="A476" t="str">
            <v>DR/0270</v>
          </cell>
          <cell r="B476" t="str">
            <v>COMPOSIÇÃO</v>
          </cell>
          <cell r="C476"/>
          <cell r="D476" t="str">
            <v xml:space="preserve">BLDC - Boca-de-lobo dupla em concreto simples FCK 20 mpa, incluindo forma, escavação, sarjeta de contorno (chama) em concreto e grelhas em F°F° tipo pesada, conforme projeto </v>
          </cell>
          <cell r="E476"/>
          <cell r="F476" t="str">
            <v>UN</v>
          </cell>
          <cell r="G476">
            <v>3181.83</v>
          </cell>
          <cell r="H476" t="str">
            <v>-</v>
          </cell>
        </row>
        <row r="477">
          <cell r="A477" t="str">
            <v>DR/0275</v>
          </cell>
          <cell r="B477" t="str">
            <v>COMPOSIÇÃO</v>
          </cell>
          <cell r="C477"/>
          <cell r="D477" t="str">
            <v xml:space="preserve">BLTC - Boca-de-lobo tripla em concreto simples FCK 20 mpa, incluindo forma, escavação, sarjeta de contorno (chama) em concreto e grelhas em F°F° tipo pesada, conforme projeto </v>
          </cell>
          <cell r="E477"/>
          <cell r="F477" t="str">
            <v>UN</v>
          </cell>
          <cell r="G477">
            <v>4667.38</v>
          </cell>
          <cell r="H477" t="str">
            <v>-</v>
          </cell>
        </row>
        <row r="478">
          <cell r="A478" t="str">
            <v>DR/0280</v>
          </cell>
          <cell r="B478" t="str">
            <v>COMPOSIÇÃO</v>
          </cell>
          <cell r="C478"/>
          <cell r="D478" t="str">
            <v>Reforma de boca de lobo simples, incluindo demolições, reconstrução da sarjeta de contorno (chama) em concreto simples FCK 20mpa, uma guia chapéu pré-moldada e uma grelha articulada em F°F° tipo pesada, conforme projeto tipo</v>
          </cell>
          <cell r="E478" t="str">
            <v>BOCA DE LOBO
reforma</v>
          </cell>
          <cell r="F478" t="str">
            <v>UN</v>
          </cell>
          <cell r="G478">
            <v>970.37</v>
          </cell>
          <cell r="H478" t="str">
            <v>-</v>
          </cell>
        </row>
        <row r="479">
          <cell r="A479" t="str">
            <v>DR/0285</v>
          </cell>
          <cell r="B479" t="str">
            <v>COMPOSIÇÃO</v>
          </cell>
          <cell r="C479"/>
          <cell r="D479" t="str">
            <v>Reforma de boca de lobo dupla, incluindo demolições, reconstrução da sarjeta de contorno (chama) em concreto simples FCK 20mpa, duas guias chapéu pré-moldadas e duas grelhas articuladas em F°F° tipo pesada, conforme projeto tipo</v>
          </cell>
          <cell r="E479"/>
          <cell r="F479" t="str">
            <v>UN</v>
          </cell>
          <cell r="G479">
            <v>1817.61</v>
          </cell>
          <cell r="H479" t="str">
            <v>-</v>
          </cell>
        </row>
        <row r="480">
          <cell r="A480" t="str">
            <v>DR/0290</v>
          </cell>
          <cell r="B480" t="str">
            <v>COMPOSIÇÃO</v>
          </cell>
          <cell r="C480"/>
          <cell r="D480" t="str">
            <v>Reforma de boca de lobo simples, incluindo demolições, reconstrução da sarjeta de contorno (chama) em concreto simples FCK 20mpa, uma guia chapéu pré-moldada e uma grelha articulada em F°F° tipo pesada, conforme projeto tipo</v>
          </cell>
          <cell r="E480"/>
          <cell r="F480" t="str">
            <v>UN</v>
          </cell>
          <cell r="G480">
            <v>2664.76</v>
          </cell>
          <cell r="H480" t="str">
            <v>-</v>
          </cell>
        </row>
        <row r="481">
          <cell r="A481" t="str">
            <v>DR/0292</v>
          </cell>
          <cell r="B481" t="str">
            <v>COMPOSIÇÃO</v>
          </cell>
          <cell r="C481" t="str">
            <v>73882/1</v>
          </cell>
          <cell r="D481" t="str">
            <v>Meia cana em concreto simples, D = 0,20m (35kg/m), PB, Classe P-1, fornecimento, assentamento e rejuntamento, ref SINAPI 73882/001, data: 01/2020</v>
          </cell>
          <cell r="E481"/>
          <cell r="F481" t="str">
            <v>M</v>
          </cell>
          <cell r="G481">
            <v>37.42</v>
          </cell>
          <cell r="H481" t="str">
            <v>-</v>
          </cell>
        </row>
        <row r="482">
          <cell r="A482" t="str">
            <v>DR/0295</v>
          </cell>
          <cell r="B482" t="str">
            <v>COMPOSIÇÃO</v>
          </cell>
          <cell r="C482" t="str">
            <v>73882/3</v>
          </cell>
          <cell r="D482" t="str">
            <v>Meia cana em concreto simples, D = 0,40m (90kg/m), PB, Classe P-1, fornecimento, assentamento e rejuntamento, ref SINAPI 73882/003, data: 08/2016</v>
          </cell>
          <cell r="E482"/>
          <cell r="F482" t="str">
            <v>M</v>
          </cell>
          <cell r="G482">
            <v>58.53</v>
          </cell>
          <cell r="H482" t="str">
            <v>-</v>
          </cell>
        </row>
        <row r="483">
          <cell r="A483" t="str">
            <v>DR/0296</v>
          </cell>
          <cell r="B483" t="str">
            <v>COMPOSIÇÃO</v>
          </cell>
          <cell r="C483" t="str">
            <v>73882/5</v>
          </cell>
          <cell r="D483" t="str">
            <v>Meia cana em concreto simples, D = 0,60m (174kg/m), PB, Classe P-1, fornecimento, assentamento e rejuntamento, ref SINAPI 73882/005, data: 01/2020</v>
          </cell>
          <cell r="E483"/>
          <cell r="F483" t="str">
            <v>M</v>
          </cell>
          <cell r="G483">
            <v>121.02</v>
          </cell>
          <cell r="H483" t="str">
            <v>-</v>
          </cell>
        </row>
        <row r="484">
          <cell r="A484" t="str">
            <v>DR/0300</v>
          </cell>
          <cell r="B484" t="str">
            <v>COMPOSIÇÃO</v>
          </cell>
          <cell r="C484"/>
          <cell r="D484" t="str">
            <v>Valeta de concreto com concreto moldado in loco, acabamento convencional, armado, com seção trapezoidal 1,00m x 0,30m (b x h), espessura 6cm, com junta seca de dilatação a cada 3m</v>
          </cell>
          <cell r="E484"/>
          <cell r="F484" t="str">
            <v>M</v>
          </cell>
          <cell r="G484">
            <v>126.05</v>
          </cell>
          <cell r="H484" t="str">
            <v>-</v>
          </cell>
        </row>
        <row r="485">
          <cell r="A485" t="str">
            <v>DR/0305</v>
          </cell>
          <cell r="B485" t="str">
            <v>COMPOSIÇÃO</v>
          </cell>
          <cell r="C485">
            <v>0.308</v>
          </cell>
          <cell r="D485" t="str">
            <v>Boca-de-bueiro simples tubular - BBST  D = 0,40m, em concreto ciclópico com 30% de pedra-de-mão, conforme projeto tipo (0,66m³/un)</v>
          </cell>
          <cell r="E485"/>
          <cell r="F485" t="str">
            <v xml:space="preserve">UN </v>
          </cell>
          <cell r="G485">
            <v>934.06</v>
          </cell>
          <cell r="H485" t="str">
            <v>-</v>
          </cell>
        </row>
        <row r="486">
          <cell r="A486">
            <v>102737</v>
          </cell>
          <cell r="B486" t="str">
            <v>SINAPI</v>
          </cell>
          <cell r="C486" t="str">
            <v>73856/1</v>
          </cell>
          <cell r="D486" t="str">
            <v>Boca para bueiro simples tubular D = 40 cm em concreto, alas com esconsidade de 0°, incluindo fôrmas e materiais. AF_07/2021</v>
          </cell>
          <cell r="E486"/>
          <cell r="F486" t="str">
            <v>UN</v>
          </cell>
          <cell r="G486">
            <v>1052.3900000000001</v>
          </cell>
          <cell r="H486" t="str">
            <v>-</v>
          </cell>
        </row>
        <row r="487">
          <cell r="A487">
            <v>102738</v>
          </cell>
          <cell r="B487" t="str">
            <v>SINAPI</v>
          </cell>
          <cell r="C487" t="str">
            <v>73856/2</v>
          </cell>
          <cell r="D487" t="str">
            <v>Boca para bueiro simples tubular D = 60 cm em concreto, alas com esconsidade de 0°, incluindo fôrmas e materiais. AF_07/2021</v>
          </cell>
          <cell r="E487"/>
          <cell r="F487" t="str">
            <v>UN</v>
          </cell>
          <cell r="G487">
            <v>2163.91</v>
          </cell>
          <cell r="H487" t="str">
            <v>-</v>
          </cell>
        </row>
        <row r="488">
          <cell r="A488" t="str">
            <v>DR/0310</v>
          </cell>
          <cell r="B488" t="str">
            <v>COMPOSIÇÃO</v>
          </cell>
          <cell r="C488">
            <v>0.59099999999999997</v>
          </cell>
          <cell r="D488" t="str">
            <v>Boca-de-bueiro simples tubular - BBST  D = 0,60m, em concreto ciclópico com 30% de pedra-de-mão, conforme projeto tipo (1,24m³/un)</v>
          </cell>
          <cell r="E488"/>
          <cell r="F488" t="str">
            <v xml:space="preserve">UN </v>
          </cell>
          <cell r="G488">
            <v>1538.97</v>
          </cell>
          <cell r="H488" t="str">
            <v>-</v>
          </cell>
        </row>
        <row r="489">
          <cell r="A489">
            <v>102739</v>
          </cell>
          <cell r="B489" t="str">
            <v>SINAPI</v>
          </cell>
          <cell r="C489" t="str">
            <v>73856/3</v>
          </cell>
          <cell r="D489" t="str">
            <v>Boca para bueiro simples tubular D = 80 cm em concreto, alas com esconsidade de 0°, incluindo fôrmas e materiais. AF_07/2021</v>
          </cell>
          <cell r="E489"/>
          <cell r="F489" t="str">
            <v>UN</v>
          </cell>
          <cell r="G489">
            <v>3633.68</v>
          </cell>
          <cell r="H489" t="str">
            <v>-</v>
          </cell>
        </row>
        <row r="490">
          <cell r="A490" t="str">
            <v>DR/0315</v>
          </cell>
          <cell r="B490" t="str">
            <v>COMPOSIÇÃO</v>
          </cell>
          <cell r="C490">
            <v>0.99199999999999999</v>
          </cell>
          <cell r="D490" t="str">
            <v>Boca-de-bueiro simples tubular - BBST  D = 0,80m, em concreto ciclópico com 30% de pedra-de-mão, conforme projeto tipo (2,23m³/un)</v>
          </cell>
          <cell r="E490"/>
          <cell r="F490" t="str">
            <v xml:space="preserve">UN </v>
          </cell>
          <cell r="G490">
            <v>2483.4</v>
          </cell>
          <cell r="H490" t="str">
            <v>-</v>
          </cell>
        </row>
        <row r="491">
          <cell r="A491" t="str">
            <v>DR/0320</v>
          </cell>
          <cell r="B491" t="str">
            <v>COMPOSIÇÃO</v>
          </cell>
          <cell r="C491">
            <v>1.5289999999999999</v>
          </cell>
          <cell r="D491" t="str">
            <v>Boca-de-bueiro simples tubular - BBST  D = 1,00m, em concreto ciclópico com 30% de pedra-de-mão, conforme projeto tipo (3,63m³/un)</v>
          </cell>
          <cell r="E491"/>
          <cell r="F491" t="str">
            <v xml:space="preserve">UN </v>
          </cell>
          <cell r="G491">
            <v>3720.42</v>
          </cell>
          <cell r="H491" t="str">
            <v>-</v>
          </cell>
        </row>
        <row r="492">
          <cell r="A492">
            <v>102740</v>
          </cell>
          <cell r="B492" t="str">
            <v>SINAPI</v>
          </cell>
          <cell r="C492" t="str">
            <v>73856/4</v>
          </cell>
          <cell r="D492" t="str">
            <v>Boca para bueiro simples tubular D = 100 cm em concreto, alas com esconsidade de 0°, incluindo fôrmas e materiais. AF_07/2021</v>
          </cell>
          <cell r="E492"/>
          <cell r="F492" t="str">
            <v>UN</v>
          </cell>
          <cell r="G492">
            <v>5458.96</v>
          </cell>
          <cell r="H492" t="str">
            <v>-</v>
          </cell>
        </row>
        <row r="493">
          <cell r="A493" t="str">
            <v>DR/0325</v>
          </cell>
          <cell r="B493" t="str">
            <v>COMPOSIÇÃO</v>
          </cell>
          <cell r="C493">
            <v>2.16</v>
          </cell>
          <cell r="D493" t="str">
            <v>Boca-de-bueiro simples tubular - BBST  D = 1,20m, em concreto ciclópico com 30% de pedra-de-mão, conforme projeto tipo (5,40m³/un)</v>
          </cell>
          <cell r="E493"/>
          <cell r="F493" t="str">
            <v xml:space="preserve">UN </v>
          </cell>
          <cell r="G493">
            <v>5198.8999999999996</v>
          </cell>
          <cell r="H493" t="str">
            <v>-</v>
          </cell>
        </row>
        <row r="494">
          <cell r="A494" t="str">
            <v>DR/0330</v>
          </cell>
          <cell r="B494" t="str">
            <v>COMPOSIÇÃO</v>
          </cell>
          <cell r="C494"/>
          <cell r="D494" t="str">
            <v>Boca-de-bueiro simples tubular - BBST  D = 1,50m, em concreto ciclópico com 30% de pedra-de-mão, conforme projeto tipo (8,95m³/un)</v>
          </cell>
          <cell r="E494"/>
          <cell r="F494" t="str">
            <v xml:space="preserve">UN </v>
          </cell>
          <cell r="G494">
            <v>8010.25</v>
          </cell>
          <cell r="H494" t="str">
            <v>-</v>
          </cell>
        </row>
        <row r="495">
          <cell r="A495" t="str">
            <v>DR/0335</v>
          </cell>
          <cell r="B495" t="str">
            <v>COMPOSIÇÃO</v>
          </cell>
          <cell r="C495"/>
          <cell r="D495" t="str">
            <v>Boca-de-bueiro simples celular - 1,50m x 1,50m, em concreto armado FCK 20 mpa, conforme projeto tipo (REF. SICRO COD. 0705225)</v>
          </cell>
          <cell r="E495"/>
          <cell r="F495" t="str">
            <v xml:space="preserve">UN </v>
          </cell>
          <cell r="G495">
            <v>16057.3</v>
          </cell>
          <cell r="H495" t="str">
            <v>-</v>
          </cell>
        </row>
        <row r="496">
          <cell r="A496" t="str">
            <v>DR/0340</v>
          </cell>
          <cell r="B496" t="str">
            <v>COMPOSIÇÃO</v>
          </cell>
          <cell r="C496"/>
          <cell r="D496" t="str">
            <v>Boca-de-bueiro simples celular - 2,00m x 2,00m, em concreto armado FCK 20 mpa, conforme projeto tipo (REF. SICRO COD. 0705233)</v>
          </cell>
          <cell r="E496"/>
          <cell r="F496" t="str">
            <v xml:space="preserve">UN </v>
          </cell>
          <cell r="G496">
            <v>24636.44</v>
          </cell>
          <cell r="H496" t="str">
            <v>-</v>
          </cell>
        </row>
        <row r="497">
          <cell r="A497" t="str">
            <v>DR/0341</v>
          </cell>
          <cell r="B497" t="str">
            <v>COMPOSIÇÃO</v>
          </cell>
          <cell r="C497"/>
          <cell r="D497" t="str">
            <v>Boca de BTCC 2,00 x 2,00 m - esconsidade 0° - areia e brita comerciais, conforme projeto tipo (REF. SICRO COD. 0705411)</v>
          </cell>
          <cell r="E497"/>
          <cell r="F497" t="str">
            <v xml:space="preserve">UN </v>
          </cell>
          <cell r="G497">
            <v>28367.32</v>
          </cell>
          <cell r="H497" t="str">
            <v>-</v>
          </cell>
        </row>
        <row r="498">
          <cell r="A498" t="str">
            <v>DR/0345</v>
          </cell>
          <cell r="B498" t="str">
            <v>COMPOSIÇÃO</v>
          </cell>
          <cell r="C498"/>
          <cell r="D498" t="str">
            <v>Boca-de-bueiro simples celular - 2,50m x 2,50m, em concreto armado FCK 20 mpa, conforme projeto tipo (REF. SICRO COD. 0705238)</v>
          </cell>
          <cell r="E498"/>
          <cell r="F498" t="str">
            <v xml:space="preserve">UN </v>
          </cell>
          <cell r="G498">
            <v>32917.199999999997</v>
          </cell>
          <cell r="H498" t="str">
            <v>-</v>
          </cell>
        </row>
        <row r="499">
          <cell r="A499" t="str">
            <v>DR/0350</v>
          </cell>
          <cell r="B499" t="str">
            <v>COMPOSIÇÃO</v>
          </cell>
          <cell r="C499"/>
          <cell r="D499" t="str">
            <v>Boca-de-bueiro simples celular - 3,00m x 3,00m, em concreto armado FCK 20 mpa, conforme projeto tipo (REF. SICRO COD. 0705249)</v>
          </cell>
          <cell r="E499"/>
          <cell r="F499" t="str">
            <v xml:space="preserve">UN </v>
          </cell>
          <cell r="G499">
            <v>45999.17</v>
          </cell>
          <cell r="H499" t="str">
            <v>-</v>
          </cell>
        </row>
        <row r="500">
          <cell r="A500" t="str">
            <v>DR/0355</v>
          </cell>
          <cell r="B500" t="str">
            <v>COMPOSIÇÃO</v>
          </cell>
          <cell r="C500">
            <v>53</v>
          </cell>
          <cell r="D500" t="str">
            <v>Tampão F°F° articulado, classe D400, carga máxima 40 T, redondo tampa 600 mm para rede pluvial/esgoto. Incluindo fornecimento, assentamento e requadro em concreto FCK 20mpa, de 1,00m x 1,00m x 0,20m</v>
          </cell>
          <cell r="E500"/>
          <cell r="F500" t="str">
            <v xml:space="preserve">UN </v>
          </cell>
          <cell r="G500">
            <v>761.89</v>
          </cell>
          <cell r="H500" t="str">
            <v>-</v>
          </cell>
        </row>
        <row r="501">
          <cell r="A501" t="str">
            <v>DR/0360</v>
          </cell>
          <cell r="B501" t="str">
            <v>COTAÇÃO - SEL</v>
          </cell>
          <cell r="C501"/>
          <cell r="D501" t="str">
            <v>Tampão F°F° articulado, classe D400, carga máxima 40 T, redondo tampa 600 mm para rede pluvial/esgoto, NBR 10160 e NBR 6916 / FE 42012</v>
          </cell>
          <cell r="E501" t="str">
            <v>SEL-012</v>
          </cell>
          <cell r="F501" t="str">
            <v xml:space="preserve">UN </v>
          </cell>
          <cell r="G501">
            <v>549.15</v>
          </cell>
          <cell r="H501" t="str">
            <v>-</v>
          </cell>
        </row>
        <row r="502">
          <cell r="A502">
            <v>11301</v>
          </cell>
          <cell r="B502" t="str">
            <v>SINAPI</v>
          </cell>
          <cell r="C502">
            <v>42.5</v>
          </cell>
          <cell r="D502" t="str">
            <v>Tampão FºFº articulado, classe B125 carga máxima 12,5 T, redondo taMPA 0,60 m, rede pluvial/esgoto. Exclusive assentamento</v>
          </cell>
          <cell r="E502"/>
          <cell r="F502" t="str">
            <v xml:space="preserve">UN    </v>
          </cell>
          <cell r="G502">
            <v>629.09</v>
          </cell>
          <cell r="H502" t="str">
            <v>-</v>
          </cell>
        </row>
        <row r="503">
          <cell r="A503">
            <v>98114</v>
          </cell>
          <cell r="B503" t="str">
            <v>SINAPI</v>
          </cell>
          <cell r="C503">
            <v>83627</v>
          </cell>
          <cell r="D503" t="str">
            <v>Tampão FºFº articulado, classe B125 carga máxima 12,5 T, redondo taMPA 0,60 m, rede pluvial/esgoto, para chaminé, caixa de areia e poço visita assentado com concreto FCK = 20MPA, fornecimento e assentamento</v>
          </cell>
          <cell r="E503"/>
          <cell r="F503" t="str">
            <v>UN</v>
          </cell>
          <cell r="G503">
            <v>683.26</v>
          </cell>
          <cell r="H503" t="str">
            <v>-</v>
          </cell>
        </row>
        <row r="504">
          <cell r="A504" t="str">
            <v>DR/0365</v>
          </cell>
          <cell r="B504" t="str">
            <v>COMPOSIÇÃO</v>
          </cell>
          <cell r="C504"/>
          <cell r="D504" t="str">
            <v>Substituição de tampão de PV, incluindo fornecimento de tampão de FºFº articulado, Classe B400, carga máxima 40 T, redondo tampa 600 mm para rede pluvial/esgoto, e requadro em concreto simples FCK 20mpa, de 1,00m x 1,00m x 0,20m</v>
          </cell>
          <cell r="E504"/>
          <cell r="F504" t="str">
            <v xml:space="preserve">UN </v>
          </cell>
          <cell r="G504">
            <v>827.27</v>
          </cell>
          <cell r="H504" t="str">
            <v>-</v>
          </cell>
        </row>
        <row r="505">
          <cell r="A505" t="str">
            <v>DR/0370</v>
          </cell>
          <cell r="B505" t="str">
            <v>COMPOSIÇÃO</v>
          </cell>
          <cell r="C505"/>
          <cell r="D505" t="str">
            <v>Remoção e reassentamento de tampão em F°F° para PV, com  reaproveitamento, incluindo recorte, demolição e requadro em concreto simples FCK 20mpa, de 1,00m x 1,00m x 0,20m</v>
          </cell>
          <cell r="E505"/>
          <cell r="F505" t="str">
            <v xml:space="preserve">UN </v>
          </cell>
          <cell r="G505">
            <v>212.74</v>
          </cell>
          <cell r="H505" t="str">
            <v>-</v>
          </cell>
        </row>
        <row r="506">
          <cell r="A506" t="str">
            <v>DR/0375</v>
          </cell>
          <cell r="B506" t="str">
            <v>COMPOSIÇÃO</v>
          </cell>
          <cell r="C506"/>
          <cell r="D506" t="str">
            <v>Grelha articulada fofo articulada, classe D400, carga máxima 40 T, 415 x 955 mm, para boca de lobo, NBR 10160 e NBR 6916 / FE 42012 - fornecimento e assentamento</v>
          </cell>
          <cell r="E506"/>
          <cell r="F506" t="str">
            <v xml:space="preserve">UN </v>
          </cell>
          <cell r="G506">
            <v>837.47</v>
          </cell>
          <cell r="H506" t="str">
            <v>-</v>
          </cell>
        </row>
        <row r="507">
          <cell r="A507" t="str">
            <v>DR/0380</v>
          </cell>
          <cell r="B507" t="str">
            <v>COTAÇÃO - SEL</v>
          </cell>
          <cell r="C507"/>
          <cell r="D507" t="str">
            <v>Grelha articulada fofo articulada, classe D400, carga máxima 40 T, 45 x 100 cm, para boca de lobo, NBR 10160 e NBR 6916 / FE 42012</v>
          </cell>
          <cell r="E507" t="str">
            <v>SEL-011</v>
          </cell>
          <cell r="F507" t="str">
            <v xml:space="preserve">UN </v>
          </cell>
          <cell r="G507">
            <v>727.28</v>
          </cell>
          <cell r="H507" t="str">
            <v>-</v>
          </cell>
        </row>
        <row r="508">
          <cell r="A508" t="str">
            <v>DR/0385</v>
          </cell>
          <cell r="B508" t="str">
            <v>COMPOSIÇÃO</v>
          </cell>
          <cell r="C508"/>
          <cell r="D508" t="str">
            <v>Substituição de quadro e grelha articulada em F°F°, classe D400, carga máxima 40 T, 415 x 955 mm para boca de lobo, incluindo demolição e implantação da sarjeta de contorno (chama) em concreto FCK = 20 mpa</v>
          </cell>
          <cell r="E508"/>
          <cell r="F508" t="str">
            <v xml:space="preserve">UN </v>
          </cell>
          <cell r="G508">
            <v>939.44</v>
          </cell>
          <cell r="H508" t="str">
            <v>-</v>
          </cell>
        </row>
        <row r="509">
          <cell r="A509" t="str">
            <v>DR/0390</v>
          </cell>
          <cell r="B509" t="str">
            <v>COMPOSIÇÃO</v>
          </cell>
          <cell r="C509"/>
          <cell r="D509" t="str">
            <v>Remoção e reassentamento de quadro e grelha articulada em F°F° para boca de lobo, incluindo demolição e implantação da sarjeta de contorno (chama) em concreto FCK = 20 Mpa</v>
          </cell>
          <cell r="E509"/>
          <cell r="F509" t="str">
            <v xml:space="preserve">UN </v>
          </cell>
          <cell r="G509">
            <v>206.43</v>
          </cell>
          <cell r="H509" t="str">
            <v>-</v>
          </cell>
        </row>
        <row r="510">
          <cell r="A510" t="str">
            <v>DR/0395</v>
          </cell>
          <cell r="B510" t="str">
            <v>COMPOSIÇÃO</v>
          </cell>
          <cell r="C510"/>
          <cell r="D510" t="str">
            <v>Tampão F°F° articulado T9, classe B125, carga máxima 12,5 T, redondo tampa 100 mm para registro de água. Incluindo fornecimento, assentamento e requadro em concreto FCK 20mpa, de 0,50m x 0,50m x 0,20m</v>
          </cell>
          <cell r="E510"/>
          <cell r="F510" t="str">
            <v xml:space="preserve">UN </v>
          </cell>
          <cell r="G510">
            <v>608.5</v>
          </cell>
          <cell r="H510" t="str">
            <v>-</v>
          </cell>
        </row>
        <row r="511">
          <cell r="A511" t="str">
            <v>DR/0400</v>
          </cell>
          <cell r="B511" t="str">
            <v>COMPOSIÇÃO</v>
          </cell>
          <cell r="C511"/>
          <cell r="D511" t="str">
            <v>Substituição de tampão de registro de água, incluindo fornecimento de tampão de FºFº articulado T9, Classe B125, carga máxima 12,5 T, redondo tampa 100 mm e requadro em concreto simples FCK 20mpa, de 0,50m x 0,50m x 0,20m</v>
          </cell>
          <cell r="E511"/>
          <cell r="F511" t="str">
            <v xml:space="preserve">UN </v>
          </cell>
          <cell r="G511">
            <v>1257.74</v>
          </cell>
          <cell r="H511" t="str">
            <v>-</v>
          </cell>
        </row>
        <row r="512">
          <cell r="A512" t="str">
            <v>DR/0405</v>
          </cell>
          <cell r="B512" t="str">
            <v>COTAÇÃO - SEL</v>
          </cell>
          <cell r="C512"/>
          <cell r="D512" t="str">
            <v>Tampão fofo articulado T12, classe B125, carga máxima 12,5 T, DN 150 mm, para registro de água, NBR 10160 e NBR 6916 / FE 42012</v>
          </cell>
          <cell r="E512" t="str">
            <v>SEL-014</v>
          </cell>
          <cell r="F512" t="str">
            <v xml:space="preserve">UN </v>
          </cell>
          <cell r="G512">
            <v>216.46</v>
          </cell>
          <cell r="H512" t="str">
            <v>-</v>
          </cell>
        </row>
        <row r="513">
          <cell r="A513" t="str">
            <v>DR/0410</v>
          </cell>
          <cell r="B513" t="str">
            <v>COMPOSIÇÃO</v>
          </cell>
          <cell r="C513"/>
          <cell r="D513" t="str">
            <v>Entrada para descida d'água - EDA 01 (REF. SICRO COD. 2003384, db 01-2023)</v>
          </cell>
          <cell r="E513"/>
          <cell r="F513" t="str">
            <v xml:space="preserve">UN </v>
          </cell>
          <cell r="G513">
            <v>90.13</v>
          </cell>
          <cell r="H513" t="str">
            <v>-</v>
          </cell>
        </row>
        <row r="514">
          <cell r="A514" t="str">
            <v>DR/0411</v>
          </cell>
          <cell r="B514" t="str">
            <v>COMPOSIÇÃO</v>
          </cell>
          <cell r="C514"/>
          <cell r="D514" t="str">
            <v>Entrada para descida d'água - EDA 02 (REF. SICRO COD. 2003387, db 01-2023)</v>
          </cell>
          <cell r="E514"/>
          <cell r="F514" t="str">
            <v xml:space="preserve">UN </v>
          </cell>
          <cell r="G514">
            <v>111.35</v>
          </cell>
          <cell r="H514" t="str">
            <v>-</v>
          </cell>
        </row>
        <row r="515">
          <cell r="A515" t="str">
            <v>DR/0415</v>
          </cell>
          <cell r="B515" t="str">
            <v>COMPOSIÇÃO</v>
          </cell>
          <cell r="C515"/>
          <cell r="D515" t="str">
            <v>Descida d'água tipo rápido, seção retangular - DAR 02 (REF. SICRO COD. 2003391, JAN/2020)</v>
          </cell>
          <cell r="E515"/>
          <cell r="F515" t="str">
            <v>M</v>
          </cell>
          <cell r="G515">
            <v>208.52</v>
          </cell>
          <cell r="H515" t="str">
            <v>-</v>
          </cell>
        </row>
        <row r="516">
          <cell r="A516" t="str">
            <v>DR/0420</v>
          </cell>
          <cell r="B516" t="str">
            <v>COMPOSIÇÃO</v>
          </cell>
          <cell r="C516"/>
          <cell r="D516" t="str">
            <v>Grade de ferro em barra chata e cantoneira (1,35 x 0,55) m, conforme projeto, inclui fornecimento e instalação</v>
          </cell>
          <cell r="E516"/>
          <cell r="F516" t="str">
            <v>UN</v>
          </cell>
          <cell r="G516">
            <v>634.05999999999995</v>
          </cell>
          <cell r="H516" t="str">
            <v>-</v>
          </cell>
        </row>
        <row r="517">
          <cell r="A517" t="str">
            <v>DR/0421</v>
          </cell>
          <cell r="B517" t="str">
            <v>COMPOSIÇÃO</v>
          </cell>
          <cell r="C517"/>
          <cell r="D517" t="str">
            <v>Grade de ferro em barra chata e cantoneira (1,74 x 0,94) m, conforme projeto, inclui fornecimento e instalação. Ref. SINAPI 99861 DB 06-21</v>
          </cell>
          <cell r="E517"/>
          <cell r="F517" t="str">
            <v>UN</v>
          </cell>
          <cell r="G517">
            <v>665.17</v>
          </cell>
          <cell r="H517" t="str">
            <v>-</v>
          </cell>
        </row>
        <row r="518">
          <cell r="A518" t="str">
            <v>DR/0430</v>
          </cell>
          <cell r="B518" t="str">
            <v>COMPOSIÇÃO</v>
          </cell>
          <cell r="C518"/>
          <cell r="D518" t="str">
            <v>Fornecimento e instalação de comporta deslizante de parede ‐ DN: 1100x1100 (mm) ‐ material de construção: ASTM a 240 TP 304 (AISI 304) ‐ elevação: 4000mm ‐ pressão: 3,00 Mca ‐ pedestal de manobras: incluso ‐ acionamento: manual volante. Posto obra / Caarapó</v>
          </cell>
          <cell r="E518"/>
          <cell r="F518" t="str">
            <v>UN</v>
          </cell>
          <cell r="G518">
            <v>251.61</v>
          </cell>
          <cell r="H518" t="str">
            <v>-</v>
          </cell>
        </row>
        <row r="519">
          <cell r="A519" t="str">
            <v>DR/0440</v>
          </cell>
          <cell r="B519" t="str">
            <v>COMPOSIÇÃO</v>
          </cell>
          <cell r="C519"/>
          <cell r="D519" t="str">
            <v>Reaterro manual hidraúlico de valas utilizando areia para aterro e compactação mecanizada, não inclui fornecimento de material. REF SINAPI 94342, DB 03-23</v>
          </cell>
          <cell r="E519"/>
          <cell r="F519" t="str">
            <v>M³</v>
          </cell>
          <cell r="G519">
            <v>28.47</v>
          </cell>
          <cell r="H519" t="str">
            <v>-</v>
          </cell>
        </row>
        <row r="520">
          <cell r="A520" t="str">
            <v>DR/0450</v>
          </cell>
          <cell r="B520" t="str">
            <v>COMPOSIÇÃO</v>
          </cell>
          <cell r="C520"/>
          <cell r="D520" t="str">
            <v>Valeta de proteção de corte sem revestimento - VPCT 120-30 - escavação mecânica. REF SICRO 2003296, DB 04-23</v>
          </cell>
          <cell r="E520"/>
          <cell r="F520" t="str">
            <v>M</v>
          </cell>
          <cell r="G520">
            <v>12.26</v>
          </cell>
          <cell r="H520" t="str">
            <v>-</v>
          </cell>
        </row>
        <row r="521">
          <cell r="A521" t="str">
            <v>DR/0470</v>
          </cell>
          <cell r="B521" t="str">
            <v>COMPOSIÇÃO</v>
          </cell>
          <cell r="C521"/>
          <cell r="D521" t="str">
            <v>Terraço (curva de nível) tipo Mangum - base média (± 7,00 m), topo  (± 1,00 m) e altura  (± 1,00 m). Ref SICRO 4011211, DB 04-2023</v>
          </cell>
          <cell r="E521"/>
          <cell r="F521" t="str">
            <v>M³</v>
          </cell>
          <cell r="G521">
            <v>0.87</v>
          </cell>
          <cell r="H521" t="str">
            <v>-</v>
          </cell>
        </row>
        <row r="522">
          <cell r="A522"/>
          <cell r="B522"/>
          <cell r="C522"/>
          <cell r="D522"/>
          <cell r="E522"/>
          <cell r="F522"/>
          <cell r="G522"/>
          <cell r="H522"/>
        </row>
        <row r="523">
          <cell r="A523"/>
          <cell r="B523"/>
          <cell r="C523" t="str">
            <v>7.0</v>
          </cell>
          <cell r="D523" t="str">
            <v>SERVIÇOS DE ESTRUTURAS E CONTENÇÕES</v>
          </cell>
          <cell r="E523"/>
          <cell r="F523"/>
          <cell r="G523"/>
          <cell r="H523" t="str">
            <v/>
          </cell>
        </row>
        <row r="524">
          <cell r="A524">
            <v>102487</v>
          </cell>
          <cell r="B524" t="str">
            <v>SINAPI</v>
          </cell>
          <cell r="C524">
            <v>73361</v>
          </cell>
          <cell r="D524" t="str">
            <v>Concreto ciclópico FCK = 15 MPA, 30% pedra de mão em volume real, inclusive lançamento</v>
          </cell>
          <cell r="E524"/>
          <cell r="F524" t="str">
            <v>M3</v>
          </cell>
          <cell r="G524">
            <v>537.87</v>
          </cell>
          <cell r="H524" t="str">
            <v>-</v>
          </cell>
        </row>
        <row r="525">
          <cell r="A525">
            <v>94962</v>
          </cell>
          <cell r="B525" t="str">
            <v>SINAPI</v>
          </cell>
          <cell r="C525"/>
          <cell r="D525" t="str">
            <v>Concreto magro para lastro, traço 1:4,5:4,5 (cimento/ areia média/ brita 1) - preparo mecânico com betoneira 400 l. AF_07/2016</v>
          </cell>
          <cell r="E525"/>
          <cell r="F525" t="str">
            <v>M3</v>
          </cell>
          <cell r="G525">
            <v>377.26</v>
          </cell>
          <cell r="H525" t="str">
            <v>-</v>
          </cell>
        </row>
        <row r="526">
          <cell r="A526">
            <v>94963</v>
          </cell>
          <cell r="B526" t="str">
            <v>SINAPI</v>
          </cell>
          <cell r="C526"/>
          <cell r="D526" t="str">
            <v>Concreto FCK = 15 MPA, traço 1:3,4:3,5 (cimento/ areia média/ brita 1) - preparo mecânico com betoneira 400 l. AF_07/2016</v>
          </cell>
          <cell r="E526"/>
          <cell r="F526" t="str">
            <v>M3</v>
          </cell>
          <cell r="G526">
            <v>423.66</v>
          </cell>
          <cell r="H526" t="str">
            <v>-</v>
          </cell>
        </row>
        <row r="527">
          <cell r="A527">
            <v>94964</v>
          </cell>
          <cell r="B527" t="str">
            <v>SINAPI</v>
          </cell>
          <cell r="C527"/>
          <cell r="D527" t="str">
            <v>Concreto FCK = 20 MPA, traço 1:2,7:3 (cimento/ areia média/ brita 1) - preparo mecânico com betoneira 400 l. AF_07/2016</v>
          </cell>
          <cell r="E527"/>
          <cell r="F527" t="str">
            <v>M3</v>
          </cell>
          <cell r="G527">
            <v>466.55</v>
          </cell>
          <cell r="H527" t="str">
            <v>-</v>
          </cell>
        </row>
        <row r="528">
          <cell r="A528">
            <v>94965</v>
          </cell>
          <cell r="B528" t="str">
            <v>SINAPI</v>
          </cell>
          <cell r="C528"/>
          <cell r="D528" t="str">
            <v>Concreto FCK = 25 MPA, traço 1:2,3:2,7 (cimento/ areia média/ brita 1) - preparo mecânico com betoneira 400 l. AF_07/2016</v>
          </cell>
          <cell r="E528"/>
          <cell r="F528" t="str">
            <v>M3</v>
          </cell>
          <cell r="G528">
            <v>489.06</v>
          </cell>
          <cell r="H528" t="str">
            <v>-</v>
          </cell>
        </row>
        <row r="529">
          <cell r="A529">
            <v>94966</v>
          </cell>
          <cell r="B529" t="str">
            <v>SINAPI</v>
          </cell>
          <cell r="C529"/>
          <cell r="D529" t="str">
            <v>Concreto FCK = 30 MPA, traço 1:2,1:2,5 (cimento/ areia média/ brita 1) - preparo mecânico com betoneira 400 l. AF_07/2016</v>
          </cell>
          <cell r="E529"/>
          <cell r="F529" t="str">
            <v>M3</v>
          </cell>
          <cell r="G529">
            <v>507.66</v>
          </cell>
          <cell r="H529" t="str">
            <v>-</v>
          </cell>
        </row>
        <row r="530">
          <cell r="A530">
            <v>94967</v>
          </cell>
          <cell r="B530" t="str">
            <v>SINAPI</v>
          </cell>
          <cell r="C530"/>
          <cell r="D530" t="str">
            <v>Concreto FCK = 40 MPA, traço 1:1,6:1,9 (cimento/ areia média/ brita 1) - preparo mecânico com betoneira 400 l. AF_07/2016</v>
          </cell>
          <cell r="E530"/>
          <cell r="F530" t="str">
            <v>M3</v>
          </cell>
          <cell r="G530">
            <v>584.58000000000004</v>
          </cell>
          <cell r="H530" t="str">
            <v>-</v>
          </cell>
        </row>
        <row r="531">
          <cell r="A531">
            <v>11146</v>
          </cell>
          <cell r="B531" t="str">
            <v>SINAPI</v>
          </cell>
          <cell r="C531"/>
          <cell r="D531" t="str">
            <v>Concreto autoadensável (CAA) classe de resistência C15, espalhamento SF2, inclui serviço de bombeamento (NBR 15823)</v>
          </cell>
          <cell r="E531"/>
          <cell r="F531" t="str">
            <v xml:space="preserve">M3    </v>
          </cell>
          <cell r="G531">
            <v>613.26</v>
          </cell>
          <cell r="H531" t="str">
            <v>-</v>
          </cell>
        </row>
        <row r="532">
          <cell r="A532">
            <v>34492</v>
          </cell>
          <cell r="B532" t="str">
            <v>SINAPI</v>
          </cell>
          <cell r="C532"/>
          <cell r="D532" t="str">
            <v>Concreto usinado bombeável, classe de resistência C20, com brita 0,00 e 1, slump = 100 +/- 20 mm, exclui serviço de bombeamento (NBR 8953)</v>
          </cell>
          <cell r="E532"/>
          <cell r="F532" t="str">
            <v xml:space="preserve">M3    </v>
          </cell>
          <cell r="G532">
            <v>545</v>
          </cell>
          <cell r="H532" t="str">
            <v>-</v>
          </cell>
        </row>
        <row r="533">
          <cell r="A533">
            <v>34493</v>
          </cell>
          <cell r="B533" t="str">
            <v>SINAPI</v>
          </cell>
          <cell r="C533"/>
          <cell r="D533" t="str">
            <v>Concreto usinado bombeável, classe de resistência C25, com brita 0,00 e 1, slump = 100 +/- 20 mm, exclui serviço de bombeamento (NBR 8953)</v>
          </cell>
          <cell r="E533"/>
          <cell r="F533" t="str">
            <v xml:space="preserve">M3    </v>
          </cell>
          <cell r="G533">
            <v>560.36</v>
          </cell>
          <cell r="H533" t="str">
            <v>-</v>
          </cell>
        </row>
        <row r="534">
          <cell r="A534">
            <v>34494</v>
          </cell>
          <cell r="B534" t="str">
            <v>SINAPI</v>
          </cell>
          <cell r="C534"/>
          <cell r="D534" t="str">
            <v>Concreto usinado bombeável, classe de resistência C30, com brita 0,00 e 1, slump = 100 +/- 20 mm, exclui serviço de bombeamento (NBR 8953)</v>
          </cell>
          <cell r="E534"/>
          <cell r="F534" t="str">
            <v xml:space="preserve">M3    </v>
          </cell>
          <cell r="G534">
            <v>579.04</v>
          </cell>
          <cell r="H534" t="str">
            <v>-</v>
          </cell>
        </row>
        <row r="535">
          <cell r="A535">
            <v>34495</v>
          </cell>
          <cell r="B535" t="str">
            <v>SINAPI</v>
          </cell>
          <cell r="C535"/>
          <cell r="D535" t="str">
            <v>Concreto usinado bombeável, classe de resistência C35, com brita 0,00 e 1, slump = 100 +/- 20 mm, exclui serviço de bombeamento (NBR 8953)</v>
          </cell>
          <cell r="E535"/>
          <cell r="F535" t="str">
            <v xml:space="preserve">M3    </v>
          </cell>
          <cell r="G535">
            <v>597.71</v>
          </cell>
          <cell r="H535" t="str">
            <v>-</v>
          </cell>
        </row>
        <row r="536">
          <cell r="A536">
            <v>90280</v>
          </cell>
          <cell r="B536" t="str">
            <v>SINAPI</v>
          </cell>
          <cell r="C536"/>
          <cell r="D536" t="str">
            <v>Graute FGK = 25 MPA; traço 1:0,02:1,2:1,5 (cimento/ cal/ areia grossa/ brita 0) - preparo mecânico com betoneira 400 l. AF_02/2015</v>
          </cell>
          <cell r="E536"/>
          <cell r="F536" t="str">
            <v>M3</v>
          </cell>
          <cell r="G536">
            <v>628.05999999999995</v>
          </cell>
          <cell r="H536" t="str">
            <v>-</v>
          </cell>
        </row>
        <row r="537">
          <cell r="A537">
            <v>90284</v>
          </cell>
          <cell r="B537" t="str">
            <v>SINAPI</v>
          </cell>
          <cell r="C537"/>
          <cell r="D537" t="str">
            <v>Graute FGK = 25 MPA; traço 1:1,2:1,5 (cimento/ areia grossa/ brita 0/ aditivo) - preparo mecânico com betoneira 400 l. AF_02/2015</v>
          </cell>
          <cell r="E537"/>
          <cell r="F537" t="str">
            <v>M3</v>
          </cell>
          <cell r="G537">
            <v>621.39</v>
          </cell>
          <cell r="H537" t="str">
            <v>-</v>
          </cell>
        </row>
        <row r="538">
          <cell r="A538">
            <v>103670</v>
          </cell>
          <cell r="B538" t="str">
            <v>SINAPI</v>
          </cell>
          <cell r="C538" t="str">
            <v>74157/4
EC/0001
92873</v>
          </cell>
          <cell r="D538" t="str">
            <v>Lançamento com uso de baldes, adensamento e acabamento de concreto em estruturas. AF_12/2015</v>
          </cell>
          <cell r="E538"/>
          <cell r="F538" t="str">
            <v>M3</v>
          </cell>
          <cell r="G538">
            <v>240.79</v>
          </cell>
          <cell r="H538" t="str">
            <v>-</v>
          </cell>
        </row>
        <row r="539">
          <cell r="A539">
            <v>103673</v>
          </cell>
          <cell r="B539" t="str">
            <v>SINAPI</v>
          </cell>
          <cell r="C539">
            <v>92874</v>
          </cell>
          <cell r="D539" t="str">
            <v>Lançamento com uso de bomba, adensamento e acabamento de concreto em estruturas. AF_12/2015</v>
          </cell>
          <cell r="E539"/>
          <cell r="F539" t="str">
            <v>M3</v>
          </cell>
          <cell r="G539">
            <v>33.86</v>
          </cell>
          <cell r="H539" t="str">
            <v>-</v>
          </cell>
        </row>
        <row r="540">
          <cell r="A540">
            <v>41805</v>
          </cell>
          <cell r="B540" t="str">
            <v>COTAÇÃO - SINAPI</v>
          </cell>
          <cell r="C540"/>
          <cell r="D540" t="str">
            <v>Locação de andaime suspenso ou balancim manual, capacidade de carga total de aproximadamente 250 kg/m2, plataforma de 1,50 m x 0,80 m (c x l), cabo de 45 m</v>
          </cell>
          <cell r="E540"/>
          <cell r="F540" t="str">
            <v xml:space="preserve">MES   </v>
          </cell>
          <cell r="G540">
            <v>668.43</v>
          </cell>
          <cell r="H540" t="str">
            <v>-</v>
          </cell>
        </row>
        <row r="541">
          <cell r="A541">
            <v>10527</v>
          </cell>
          <cell r="B541" t="str">
            <v>SINAPI</v>
          </cell>
          <cell r="C541">
            <v>20193</v>
          </cell>
          <cell r="D541" t="str">
            <v>Locação de andaime metálico tubular de encaixe, tipo de torre, com largura de 1 ate 1,50 m e altura de *1,00* m (incluso sapatas fixas ou rodízios)</v>
          </cell>
          <cell r="E541"/>
          <cell r="F541" t="str">
            <v xml:space="preserve">MXMES </v>
          </cell>
          <cell r="G541">
            <v>23.25</v>
          </cell>
          <cell r="H541" t="str">
            <v>-</v>
          </cell>
        </row>
        <row r="542">
          <cell r="A542">
            <v>97064</v>
          </cell>
          <cell r="B542" t="str">
            <v>SINAPI</v>
          </cell>
          <cell r="C542">
            <v>97063</v>
          </cell>
          <cell r="D542" t="str">
            <v>Montagem e desmontagem de andaime tubular tipo torre (exclusive andaime e limpeza). AF_11/2017</v>
          </cell>
          <cell r="E542"/>
          <cell r="F542" t="str">
            <v>M</v>
          </cell>
          <cell r="G542">
            <v>16.96</v>
          </cell>
          <cell r="H542" t="str">
            <v>-</v>
          </cell>
        </row>
        <row r="543">
          <cell r="A543">
            <v>90439</v>
          </cell>
          <cell r="B543" t="str">
            <v>SINAPI</v>
          </cell>
          <cell r="C543"/>
          <cell r="D543" t="str">
            <v>Furo em concreto para diâmetros menores ou iguais a 40 mm. AF_05/2015</v>
          </cell>
          <cell r="E543"/>
          <cell r="F543" t="str">
            <v>UN</v>
          </cell>
          <cell r="G543">
            <v>61.02</v>
          </cell>
          <cell r="H543" t="str">
            <v>-</v>
          </cell>
        </row>
        <row r="544">
          <cell r="A544">
            <v>90440</v>
          </cell>
          <cell r="B544" t="str">
            <v>SINAPI</v>
          </cell>
          <cell r="C544"/>
          <cell r="D544" t="str">
            <v>Furo em concreto para diâmetros maiores que 40 mm e menores ou iguais a 75 mm. AF_05/2015</v>
          </cell>
          <cell r="E544"/>
          <cell r="F544" t="str">
            <v>UN</v>
          </cell>
          <cell r="G544">
            <v>97.72</v>
          </cell>
          <cell r="H544" t="str">
            <v>-</v>
          </cell>
        </row>
        <row r="545">
          <cell r="A545">
            <v>90441</v>
          </cell>
          <cell r="B545" t="str">
            <v>SINAPI</v>
          </cell>
          <cell r="C545"/>
          <cell r="D545" t="str">
            <v>Furo em concreto para diâmetros maiores que 75 mm. AF_05/2015</v>
          </cell>
          <cell r="E545"/>
          <cell r="F545" t="str">
            <v>UN</v>
          </cell>
          <cell r="G545">
            <v>124.81</v>
          </cell>
          <cell r="H545" t="str">
            <v>-</v>
          </cell>
        </row>
        <row r="546">
          <cell r="A546">
            <v>93959</v>
          </cell>
          <cell r="B546" t="str">
            <v>SINAPI</v>
          </cell>
          <cell r="C546"/>
          <cell r="D546" t="str">
            <v>Execução de grampo para solo grampeado com comprimento maior que 6 m e menor ou igual a 8 m, diâmetro nominal de 10 cm, perfuração com equipamento manual e armadura com diâmetro nominal de 20 mm. AF_05/2016</v>
          </cell>
          <cell r="E546"/>
          <cell r="F546" t="str">
            <v>M</v>
          </cell>
          <cell r="G546">
            <v>212.46</v>
          </cell>
          <cell r="H546" t="str">
            <v>-</v>
          </cell>
        </row>
        <row r="547">
          <cell r="A547">
            <v>93960</v>
          </cell>
          <cell r="B547" t="str">
            <v>SINAPI</v>
          </cell>
          <cell r="C547"/>
          <cell r="D547" t="str">
            <v>Execução de grampo para solo grampeado com comprimento maior que 8 m e menor ou igual a 10 m, diâmetro nominal de 10 cm, perfuração com equipamento manual e armadura com diâmetro nominal de 20 mm. AF_05/2016</v>
          </cell>
          <cell r="E547"/>
          <cell r="F547" t="str">
            <v>M</v>
          </cell>
          <cell r="G547">
            <v>205.82</v>
          </cell>
          <cell r="H547" t="str">
            <v>-</v>
          </cell>
        </row>
        <row r="548">
          <cell r="A548">
            <v>91074</v>
          </cell>
          <cell r="B548" t="str">
            <v>SINAPI</v>
          </cell>
          <cell r="C548"/>
          <cell r="D548" t="str">
            <v>Execução de revestimento de concreto projetado com espessura de 10 cm, armado com tela, inclinação menor que 90°, aplicação contínua, utilizando equipamento de projeção com 3 m³/h de capacidade. AF_01/2016</v>
          </cell>
          <cell r="E548" t="str">
            <v>AREIA MÉDIA
0,1345 m³/m³
BRITA
0,069 m³/m³</v>
          </cell>
          <cell r="F548" t="str">
            <v>M2</v>
          </cell>
          <cell r="G548">
            <v>141.22</v>
          </cell>
          <cell r="H548" t="str">
            <v>-</v>
          </cell>
        </row>
        <row r="549">
          <cell r="A549">
            <v>91099</v>
          </cell>
          <cell r="B549" t="str">
            <v>SINAPI</v>
          </cell>
          <cell r="C549"/>
          <cell r="D549" t="str">
            <v>Execução de revestimento de concreto projetado com espessura de 10 cm, armado com fibras de aço, inclinação menor que 90°, aplicação descontínua, utilizando equipamento de projeção com 3 m³/h de capacidade. AF_01/2016</v>
          </cell>
          <cell r="E549"/>
          <cell r="F549" t="str">
            <v>M2</v>
          </cell>
          <cell r="G549">
            <v>178.01</v>
          </cell>
          <cell r="H549" t="str">
            <v>-</v>
          </cell>
        </row>
        <row r="550">
          <cell r="A550" t="str">
            <v>EC/0005</v>
          </cell>
          <cell r="B550" t="str">
            <v>COMPOSIÇÃO</v>
          </cell>
          <cell r="C550" t="str">
            <v>DESATIVADA</v>
          </cell>
          <cell r="D550" t="e">
            <v>#REF!</v>
          </cell>
          <cell r="E550"/>
          <cell r="F550" t="e">
            <v>#REF!</v>
          </cell>
          <cell r="G550" t="e">
            <v>#REF!</v>
          </cell>
          <cell r="H550" t="str">
            <v>VER COMP</v>
          </cell>
        </row>
        <row r="551">
          <cell r="A551" t="str">
            <v>EC/0010</v>
          </cell>
          <cell r="B551" t="str">
            <v>COMPOSIÇÃO</v>
          </cell>
          <cell r="C551"/>
          <cell r="D551" t="str">
            <v>Execução de grampo para solo grampeado com comprimento maior que 10 m, diâmetro de 7 cm, perfuração com equipamento manual. Incluindo armadura dupla CA-50 de 2Ø16 mm, centralizadores, tubos de injeção multifases, válvula de injeção, pintura anticorrosiva e injeção de calda de cimento (REF. SINAPI COD. 93966)</v>
          </cell>
          <cell r="E551"/>
          <cell r="F551" t="str">
            <v>M</v>
          </cell>
          <cell r="G551">
            <v>192.83</v>
          </cell>
          <cell r="H551" t="str">
            <v>-</v>
          </cell>
        </row>
        <row r="552">
          <cell r="A552">
            <v>92415</v>
          </cell>
          <cell r="B552" t="str">
            <v>SINAPI</v>
          </cell>
          <cell r="C552"/>
          <cell r="D552" t="str">
            <v>Montagem e desmontagem de fôrma de pilares retangulares e estruturas similares, pé-direito simples, em chapa de madeira compensada resinada, 2 utilizações. AF_09/2020</v>
          </cell>
          <cell r="E552"/>
          <cell r="F552" t="str">
            <v>M2</v>
          </cell>
          <cell r="G552">
            <v>131.25</v>
          </cell>
          <cell r="H552" t="str">
            <v>-</v>
          </cell>
        </row>
        <row r="553">
          <cell r="A553">
            <v>92419</v>
          </cell>
          <cell r="B553" t="str">
            <v>SINAPI</v>
          </cell>
          <cell r="C553"/>
          <cell r="D553" t="str">
            <v>Montagem e desmontagem de fôrma de pilares retangulares e estruturas similares, pé-direito simples, em chapa de madeira compensada resinada, 4 utilizações. AF_09/2020</v>
          </cell>
          <cell r="E553"/>
          <cell r="F553" t="str">
            <v>M2</v>
          </cell>
          <cell r="G553">
            <v>81.709999999999994</v>
          </cell>
          <cell r="H553" t="str">
            <v>-</v>
          </cell>
        </row>
        <row r="554">
          <cell r="A554">
            <v>92423</v>
          </cell>
          <cell r="B554" t="str">
            <v>SINAPI</v>
          </cell>
          <cell r="C554"/>
          <cell r="D554" t="str">
            <v>Montagem e desmontagem de fôrma de pilares retangulares e estruturas similares, pé-direito simples, em chapa de madeira compensada resinada, 6 utilizações. AF_09/2020</v>
          </cell>
          <cell r="E554"/>
          <cell r="F554" t="str">
            <v>M2</v>
          </cell>
          <cell r="G554">
            <v>66.53</v>
          </cell>
          <cell r="H554" t="str">
            <v>-</v>
          </cell>
        </row>
        <row r="555">
          <cell r="A555">
            <v>92431</v>
          </cell>
          <cell r="B555" t="str">
            <v>SINAPI</v>
          </cell>
          <cell r="C555"/>
          <cell r="D555" t="str">
            <v>Montagem e desmontagem de fôrma de pilares retangulares e estruturas similares, pé-direito simples, em chapa de madeira compensada plastificada, 10 utilizações. AF_09/2020</v>
          </cell>
          <cell r="E555"/>
          <cell r="F555" t="str">
            <v>M2</v>
          </cell>
          <cell r="G555">
            <v>56.3</v>
          </cell>
          <cell r="H555" t="str">
            <v>-</v>
          </cell>
        </row>
        <row r="556">
          <cell r="A556">
            <v>92439</v>
          </cell>
          <cell r="B556" t="str">
            <v>SINAPI</v>
          </cell>
          <cell r="C556"/>
          <cell r="D556" t="str">
            <v>Montagem e desmontagem de fôrma de pilares retangulares e estruturas similares, pé-direito simples, em chapa de madeira compensada plastificada, 14 utilizações. AF_09/2020</v>
          </cell>
          <cell r="E556"/>
          <cell r="F556" t="str">
            <v>M2</v>
          </cell>
          <cell r="G556">
            <v>51.16</v>
          </cell>
          <cell r="H556" t="str">
            <v>-</v>
          </cell>
        </row>
        <row r="557">
          <cell r="A557">
            <v>92915</v>
          </cell>
          <cell r="B557" t="str">
            <v>SINAPI</v>
          </cell>
          <cell r="C557"/>
          <cell r="D557" t="str">
            <v>Armação de estruturas de concreto armado, exceto vigas, pilares, lajes e fundações, utilizando aço CA-60 de 5,0 mm - montagem. AF_12/2015</v>
          </cell>
          <cell r="E557"/>
          <cell r="F557" t="str">
            <v>KG</v>
          </cell>
          <cell r="G557">
            <v>15.62</v>
          </cell>
          <cell r="H557" t="str">
            <v>-</v>
          </cell>
        </row>
        <row r="558">
          <cell r="A558">
            <v>92916</v>
          </cell>
          <cell r="B558" t="str">
            <v>SINAPI</v>
          </cell>
          <cell r="C558"/>
          <cell r="D558" t="str">
            <v>Armação de estruturas de concreto armado, exceto vigas, pilares, lajes e fundações, utilizando aço CA-50 de 6,3 mm - montagem. AF_12/2015</v>
          </cell>
          <cell r="E558"/>
          <cell r="F558" t="str">
            <v>KG</v>
          </cell>
          <cell r="G558">
            <v>14.65</v>
          </cell>
          <cell r="H558" t="str">
            <v>-</v>
          </cell>
        </row>
        <row r="559">
          <cell r="A559">
            <v>92917</v>
          </cell>
          <cell r="B559" t="str">
            <v>SINAPI</v>
          </cell>
          <cell r="C559"/>
          <cell r="D559" t="str">
            <v>Armação de estruturas de concreto armado, exceto vigas, pilares, lajes e fundações, utilizando aço CA-50 de 8,0 mm - montagem. AF_12/2015</v>
          </cell>
          <cell r="E559"/>
          <cell r="F559" t="str">
            <v>KG</v>
          </cell>
          <cell r="G559">
            <v>13.62</v>
          </cell>
          <cell r="H559" t="str">
            <v>-</v>
          </cell>
        </row>
        <row r="560">
          <cell r="A560">
            <v>92919</v>
          </cell>
          <cell r="B560" t="str">
            <v>SINAPI</v>
          </cell>
          <cell r="C560"/>
          <cell r="D560" t="str">
            <v>Armação de estruturas de concreto armado, exceto vigas, pilares, lajes e fundações, utilizando aço CA-50 de 10,0 mm - montagem. AF_12/2015</v>
          </cell>
          <cell r="E560"/>
          <cell r="F560" t="str">
            <v>KG</v>
          </cell>
          <cell r="G560">
            <v>12.05</v>
          </cell>
          <cell r="H560" t="str">
            <v>-</v>
          </cell>
        </row>
        <row r="561">
          <cell r="A561">
            <v>92921</v>
          </cell>
          <cell r="B561" t="str">
            <v>SINAPI</v>
          </cell>
          <cell r="C561"/>
          <cell r="D561" t="str">
            <v>Armação de estruturas de concreto armado, exceto vigas, pilares, lajes e fundações, utilizando aço CA-50 de 12,5 mm - montagem. AF_12/2015</v>
          </cell>
          <cell r="E561"/>
          <cell r="F561" t="str">
            <v>KG</v>
          </cell>
          <cell r="G561">
            <v>10.039999999999999</v>
          </cell>
          <cell r="H561" t="str">
            <v>-</v>
          </cell>
        </row>
        <row r="562">
          <cell r="A562">
            <v>92922</v>
          </cell>
          <cell r="B562" t="str">
            <v>SINAPI</v>
          </cell>
          <cell r="C562"/>
          <cell r="D562" t="str">
            <v>Armação de estruturas de concreto armado, exceto vigas, pilares, lajes e fundações, utilizando aço CA-50 de 16,0 mm - montagem. AF_12/2015</v>
          </cell>
          <cell r="E562"/>
          <cell r="F562" t="str">
            <v>KG</v>
          </cell>
          <cell r="G562">
            <v>9.66</v>
          </cell>
          <cell r="H562" t="str">
            <v>-</v>
          </cell>
        </row>
        <row r="563">
          <cell r="A563">
            <v>92923</v>
          </cell>
          <cell r="B563" t="str">
            <v>SINAPI</v>
          </cell>
          <cell r="C563"/>
          <cell r="D563" t="str">
            <v>Armação de estruturas de concreto armado, exceto vigas, pilares, lajes e fundações, utilizando aço CA-50 de 20,0 mm - montagem. AF_12/2015</v>
          </cell>
          <cell r="E563"/>
          <cell r="F563" t="str">
            <v>KG</v>
          </cell>
          <cell r="G563">
            <v>10.93</v>
          </cell>
          <cell r="H563" t="str">
            <v>-</v>
          </cell>
        </row>
        <row r="564">
          <cell r="A564">
            <v>92924</v>
          </cell>
          <cell r="B564" t="str">
            <v>SINAPI</v>
          </cell>
          <cell r="C564"/>
          <cell r="D564" t="str">
            <v>Armação de estruturas de concreto armado, exceto vigas, pilares, lajes e fundações, utilizando aço CA-50 de 25,0 mm - montagem. AF_12/2015</v>
          </cell>
          <cell r="E564"/>
          <cell r="F564" t="str">
            <v>KG</v>
          </cell>
          <cell r="G564">
            <v>10.78</v>
          </cell>
          <cell r="H564" t="str">
            <v>-</v>
          </cell>
        </row>
        <row r="565">
          <cell r="A565">
            <v>91007</v>
          </cell>
          <cell r="B565"/>
          <cell r="C565"/>
          <cell r="D565" t="str">
            <v>SUBSTITUIR PELA COMPOSIÇÃO EC/0130</v>
          </cell>
          <cell r="E565" t="str">
            <v>ATENÇÃO
fôrma metálica</v>
          </cell>
          <cell r="F565" t="str">
            <v>-</v>
          </cell>
          <cell r="G565" t="str">
            <v>-</v>
          </cell>
          <cell r="H565" t="str">
            <v>-</v>
          </cell>
        </row>
        <row r="566">
          <cell r="A566">
            <v>92409</v>
          </cell>
          <cell r="B566" t="str">
            <v>SINAPI</v>
          </cell>
          <cell r="C566"/>
          <cell r="D566" t="str">
            <v>Montagem e desmontagem de fôrma de pilares retangulares e estruturas similares, pé-direito simples, em madeira serrada, 1 utilização. AF_09/2020</v>
          </cell>
          <cell r="E566"/>
          <cell r="F566" t="str">
            <v>M2</v>
          </cell>
          <cell r="G566">
            <v>198.86</v>
          </cell>
          <cell r="H566" t="str">
            <v>-</v>
          </cell>
        </row>
        <row r="567">
          <cell r="A567">
            <v>92411</v>
          </cell>
          <cell r="B567" t="str">
            <v>SINAPI</v>
          </cell>
          <cell r="C567"/>
          <cell r="D567" t="str">
            <v>Montagem e desmontagem de fôrma de pilares retangulares e estruturas similares, pé-direito simples, em madeira serrada, 2 utilizações. AF_09/2020</v>
          </cell>
          <cell r="E567"/>
          <cell r="F567" t="str">
            <v>M2</v>
          </cell>
          <cell r="G567">
            <v>131.35</v>
          </cell>
          <cell r="H567" t="str">
            <v>-</v>
          </cell>
        </row>
        <row r="568">
          <cell r="A568">
            <v>92413</v>
          </cell>
          <cell r="B568" t="str">
            <v>SINAPI</v>
          </cell>
          <cell r="C568"/>
          <cell r="D568" t="str">
            <v>Montagem e desmontagem de fôrma de pilares retangulares e estruturas similares, pé-direito simples, em madeira serrada, 4 utilizações. AF_09/2020</v>
          </cell>
          <cell r="E568"/>
          <cell r="F568" t="str">
            <v>M2</v>
          </cell>
          <cell r="G568">
            <v>85.37</v>
          </cell>
          <cell r="H568" t="str">
            <v>-</v>
          </cell>
        </row>
        <row r="569">
          <cell r="A569">
            <v>96534</v>
          </cell>
          <cell r="B569" t="str">
            <v>SINAPI</v>
          </cell>
          <cell r="C569"/>
          <cell r="D569" t="str">
            <v>Fabricação, montagem e desmontagem de fôrma para bloco de coroamento, em madeira serrada, e = 25 mm, 4 utilizações. AF_06/2017</v>
          </cell>
          <cell r="E569"/>
          <cell r="F569" t="str">
            <v>M2</v>
          </cell>
          <cell r="G569">
            <v>84.18</v>
          </cell>
          <cell r="H569" t="str">
            <v>-</v>
          </cell>
        </row>
        <row r="570">
          <cell r="A570">
            <v>96543</v>
          </cell>
          <cell r="B570" t="str">
            <v>SINAPI</v>
          </cell>
          <cell r="C570"/>
          <cell r="D570" t="str">
            <v>Armação de bloco, viga baldrame e sapata utilizando aço CA-60 de 5 mm - montagem. AF_06/2017</v>
          </cell>
          <cell r="E570"/>
          <cell r="F570" t="str">
            <v>KG</v>
          </cell>
          <cell r="G570">
            <v>16.38</v>
          </cell>
          <cell r="H570" t="str">
            <v>-</v>
          </cell>
        </row>
        <row r="571">
          <cell r="A571">
            <v>100342</v>
          </cell>
          <cell r="B571" t="str">
            <v>SINAPI</v>
          </cell>
          <cell r="C571"/>
          <cell r="D571" t="str">
            <v>Armação de cortina de contenção em concreto armado, com aço CA-50 de 6,3 mm - montagem. AF_07/2019</v>
          </cell>
          <cell r="E571"/>
          <cell r="F571" t="str">
            <v>KG</v>
          </cell>
          <cell r="G571">
            <v>13.77</v>
          </cell>
          <cell r="H571" t="str">
            <v>-</v>
          </cell>
        </row>
        <row r="572">
          <cell r="A572">
            <v>100343</v>
          </cell>
          <cell r="B572" t="str">
            <v>SINAPI</v>
          </cell>
          <cell r="C572"/>
          <cell r="D572" t="str">
            <v>Armação de cortina de contenção em concreto armado, com aço CA-50 de 8 mm - montagem. AF_07/2019</v>
          </cell>
          <cell r="E572"/>
          <cell r="F572" t="str">
            <v>KG</v>
          </cell>
          <cell r="G572">
            <v>13.09</v>
          </cell>
          <cell r="H572" t="str">
            <v>-</v>
          </cell>
        </row>
        <row r="573">
          <cell r="A573">
            <v>100344</v>
          </cell>
          <cell r="B573" t="str">
            <v>SINAPI</v>
          </cell>
          <cell r="C573"/>
          <cell r="D573" t="str">
            <v>Armação de cortina de contenção em concreto armado, com aço CA-50 de 10 mm - montagem. AF_07/2019</v>
          </cell>
          <cell r="E573"/>
          <cell r="F573" t="str">
            <v>KG</v>
          </cell>
          <cell r="G573">
            <v>11.78</v>
          </cell>
          <cell r="H573" t="str">
            <v>-</v>
          </cell>
        </row>
        <row r="574">
          <cell r="A574">
            <v>100345</v>
          </cell>
          <cell r="B574" t="str">
            <v>SINAPI</v>
          </cell>
          <cell r="C574"/>
          <cell r="D574" t="str">
            <v>Armação de cortina de contenção em concreto armado, com aço CA-50 de 12,5 mm - montagem. AF_07/2019</v>
          </cell>
          <cell r="E574"/>
          <cell r="F574" t="str">
            <v>KG</v>
          </cell>
          <cell r="G574">
            <v>9.99</v>
          </cell>
          <cell r="H574" t="str">
            <v>-</v>
          </cell>
        </row>
        <row r="575">
          <cell r="A575">
            <v>100346</v>
          </cell>
          <cell r="B575" t="str">
            <v>SINAPI</v>
          </cell>
          <cell r="C575"/>
          <cell r="D575" t="str">
            <v>Armação de cortina de contenção em concreto armado, com aço CA-50 de 16 mm - montagem. AF_07/2019</v>
          </cell>
          <cell r="E575"/>
          <cell r="F575" t="str">
            <v>KG</v>
          </cell>
          <cell r="G575">
            <v>9.5299999999999994</v>
          </cell>
          <cell r="H575" t="str">
            <v>-</v>
          </cell>
        </row>
        <row r="576">
          <cell r="A576">
            <v>100347</v>
          </cell>
          <cell r="B576" t="str">
            <v>SINAPI</v>
          </cell>
          <cell r="C576"/>
          <cell r="D576" t="str">
            <v>Armação de cortina de contenção em concreto armado, com aço CA-50 de 20 mm - montagem. AF_07/2019</v>
          </cell>
          <cell r="E576"/>
          <cell r="F576" t="str">
            <v>KG</v>
          </cell>
          <cell r="G576">
            <v>10.74</v>
          </cell>
          <cell r="H576" t="str">
            <v>-</v>
          </cell>
        </row>
        <row r="577">
          <cell r="A577">
            <v>100348</v>
          </cell>
          <cell r="B577" t="str">
            <v>SINAPI</v>
          </cell>
          <cell r="C577"/>
          <cell r="D577" t="str">
            <v>Armação de cortina de contenção em concreto armado, com aço CA-50 de 25 mm - montagem. AF_07/2019</v>
          </cell>
          <cell r="E577"/>
          <cell r="F577" t="str">
            <v>KG</v>
          </cell>
          <cell r="G577">
            <v>10.53</v>
          </cell>
          <cell r="H577" t="str">
            <v>-</v>
          </cell>
        </row>
        <row r="578">
          <cell r="A578">
            <v>91593</v>
          </cell>
          <cell r="B578" t="str">
            <v>SINAPI</v>
          </cell>
          <cell r="C578"/>
          <cell r="D578" t="str">
            <v>Armação do sistema de paredes de concreto, executada em paredes de edificações de múltiplos pavimentos, tela Q-138. AF_06/2019</v>
          </cell>
          <cell r="E578"/>
          <cell r="F578" t="str">
            <v>KG</v>
          </cell>
          <cell r="G578">
            <v>9.67</v>
          </cell>
          <cell r="H578" t="str">
            <v>-</v>
          </cell>
        </row>
        <row r="579">
          <cell r="A579">
            <v>91594</v>
          </cell>
          <cell r="B579" t="str">
            <v>SINAPI</v>
          </cell>
          <cell r="C579">
            <v>85662</v>
          </cell>
          <cell r="D579" t="str">
            <v>Armação em tela soldada nervurada Q-92 (15x15cm) #4,2x4,2mm (1,48kg/m²), aço CA-60, para estrutura, fornecimento e aplicação</v>
          </cell>
          <cell r="E579"/>
          <cell r="F579" t="str">
            <v>KG</v>
          </cell>
          <cell r="G579">
            <v>10.029999999999999</v>
          </cell>
          <cell r="H579" t="str">
            <v>-</v>
          </cell>
        </row>
        <row r="580">
          <cell r="A580" t="str">
            <v>EC/0015</v>
          </cell>
          <cell r="B580" t="str">
            <v>COMPOSIÇÃO</v>
          </cell>
          <cell r="C580"/>
          <cell r="D580" t="str">
            <v>Montagem/Desmontagem de estrutura em peças pré-moldadas de concreto na obra, inclusive guincho 500 T. REF SICRO 3806423</v>
          </cell>
          <cell r="E580"/>
          <cell r="F580" t="str">
            <v>T</v>
          </cell>
          <cell r="G580">
            <v>102.6</v>
          </cell>
          <cell r="H580" t="str">
            <v>-</v>
          </cell>
        </row>
        <row r="581">
          <cell r="A581">
            <v>101792</v>
          </cell>
          <cell r="B581" t="str">
            <v>SINAPI</v>
          </cell>
          <cell r="C581"/>
          <cell r="D581" t="str">
            <v>Escoramento de fôrmas de laje em madeira não aparelhada, pé-direito simples, incluso travamento, 4 utilizações. AF_09/2020</v>
          </cell>
          <cell r="E581"/>
          <cell r="F581" t="str">
            <v>M3</v>
          </cell>
          <cell r="G581">
            <v>15.33</v>
          </cell>
          <cell r="H581" t="str">
            <v>-</v>
          </cell>
        </row>
        <row r="582">
          <cell r="A582">
            <v>101793</v>
          </cell>
          <cell r="B582" t="str">
            <v>SINAPI</v>
          </cell>
          <cell r="C582"/>
          <cell r="D582" t="str">
            <v>Escoramento de fôrmas de laje em madeira não aparelhada, pé-direito duplo, incluso travamento, 4 utilizações. AF_09/2020</v>
          </cell>
          <cell r="E582"/>
          <cell r="F582" t="str">
            <v>M3</v>
          </cell>
          <cell r="G582">
            <v>23.12</v>
          </cell>
          <cell r="H582" t="str">
            <v>-</v>
          </cell>
        </row>
        <row r="583">
          <cell r="A583">
            <v>92743</v>
          </cell>
          <cell r="B583" t="str">
            <v>SINAPI</v>
          </cell>
          <cell r="C583"/>
          <cell r="D583" t="str">
            <v>Muro de gabião, enchimento com pedra de mão tipo rachão, de gravidade, com gaiolas de comprimento igual a 2 m, para muros com altura menor ou igual a 4 m  fornecimento e execução. AF_12/2015</v>
          </cell>
          <cell r="E583" t="str">
            <v>SEM PVC</v>
          </cell>
          <cell r="F583" t="str">
            <v>M3</v>
          </cell>
          <cell r="G583">
            <v>577.95000000000005</v>
          </cell>
          <cell r="H583" t="str">
            <v>-</v>
          </cell>
        </row>
        <row r="584">
          <cell r="A584">
            <v>92745</v>
          </cell>
          <cell r="B584" t="str">
            <v>SINAPI</v>
          </cell>
          <cell r="C584"/>
          <cell r="D584" t="str">
            <v>Muro de gabião, enchimento com pedra de mão tipo rachão, de gravidade, com gaiolas de comprimento igual a 2 m, para muros com altura maior que 4 m e menor ou igual a 6 m  fornecimento e execução. AF_12/2015</v>
          </cell>
          <cell r="E584"/>
          <cell r="F584" t="str">
            <v>M3</v>
          </cell>
          <cell r="G584">
            <v>702.58</v>
          </cell>
          <cell r="H584" t="str">
            <v>-</v>
          </cell>
        </row>
        <row r="585">
          <cell r="A585">
            <v>92747</v>
          </cell>
          <cell r="B585" t="str">
            <v>SINAPI</v>
          </cell>
          <cell r="C585"/>
          <cell r="D585" t="str">
            <v>Muro de gabião, enchimento com pedra de mão tipo rachão, de gravidade, com gaiolas de comprimento igual a 2 m, para muros com altura maior que 6 m e menor ou igual a 10 m fornecimento e execução. AF_12/2015</v>
          </cell>
          <cell r="E585"/>
          <cell r="F585" t="str">
            <v>M3</v>
          </cell>
          <cell r="G585">
            <v>772.63</v>
          </cell>
          <cell r="H585" t="str">
            <v>-</v>
          </cell>
        </row>
        <row r="586">
          <cell r="A586" t="str">
            <v>EC/0020</v>
          </cell>
          <cell r="B586" t="str">
            <v>COMPOSIÇÃO</v>
          </cell>
          <cell r="C586"/>
          <cell r="D586" t="str">
            <v>Muro de gabião, enchimento com pedra de mão tipo rachão, de gravidade, com gaiolas (ZN/AL+PVC # 8x10cm Ø2.4mm) de comprimento igual a 2 metros, altura do muro de até 4 metros, geotêxtil RT10 - fornecimento e execução. Exclusive transporte  (REF. SINAPI COD. 92743)</v>
          </cell>
          <cell r="E586"/>
          <cell r="F586" t="str">
            <v>M3</v>
          </cell>
          <cell r="G586">
            <v>698.76</v>
          </cell>
          <cell r="H586" t="str">
            <v>-</v>
          </cell>
        </row>
        <row r="587">
          <cell r="A587" t="str">
            <v>EC/0025</v>
          </cell>
          <cell r="B587" t="str">
            <v>COMPOSIÇÃO</v>
          </cell>
          <cell r="C587"/>
          <cell r="D587" t="str">
            <v>Muro de gabião, enchimento com pedra de mão tipo rachão, de gravidade, com gaiolas (ZN/AL+PVC # 8x10cm Ø2.4mm) de comprimento igual a 2 metros, altura do muro acima de 4 metros e até 6 metros, geotêxtil RT10 - fornecimento e execução. Exclusive transporte  (REF. SINAPI COD. 92745)</v>
          </cell>
          <cell r="E587"/>
          <cell r="F587" t="str">
            <v>M3</v>
          </cell>
          <cell r="G587">
            <v>815.81</v>
          </cell>
          <cell r="H587" t="str">
            <v>-</v>
          </cell>
        </row>
        <row r="588">
          <cell r="A588" t="str">
            <v>EC/0030</v>
          </cell>
          <cell r="B588" t="str">
            <v>COMPOSIÇÃO</v>
          </cell>
          <cell r="C588"/>
          <cell r="D588" t="str">
            <v>Muro de gabião, enchimento com pedra de mão tipo rachão, de gravidade, com gaiolas (ZN/AL+PVC # 8x10cm Ø2.4mm) de comprimento igual a 2 metros, altura do muro acima de 6 metros e até 10 metros, geotêxtil RT10 - fornecimento e execução. Exclusive transporte  (REF. SINAPI COD. 92747)</v>
          </cell>
          <cell r="E588"/>
          <cell r="F588" t="str">
            <v>M3</v>
          </cell>
          <cell r="G588">
            <v>881.57</v>
          </cell>
          <cell r="H588" t="str">
            <v>-</v>
          </cell>
        </row>
        <row r="589">
          <cell r="A589" t="str">
            <v>EC/0031</v>
          </cell>
          <cell r="B589" t="str">
            <v>COMPOSIÇÃO</v>
          </cell>
          <cell r="C589"/>
          <cell r="D589" t="str">
            <v>Muro de gabião tipo caixa, enchimento com pedra de mão tipo rachão, para solo reforçado com gaiolas com painel de ancoragem de 4 m (ZN/AL+PVC # 8x10cm Ø2.7mm), dimensões 2,0x1,0x0,5m, geotêxtil RT10 - fornecimento e execução. Exclusive transporte. REF SINAPI 92745, DB 04-2023</v>
          </cell>
          <cell r="E589"/>
          <cell r="F589" t="str">
            <v>M3</v>
          </cell>
          <cell r="G589">
            <v>910.07</v>
          </cell>
          <cell r="H589" t="str">
            <v>-</v>
          </cell>
        </row>
        <row r="590">
          <cell r="A590" t="str">
            <v>EC/0032</v>
          </cell>
          <cell r="B590" t="str">
            <v>COMPOSIÇÃO</v>
          </cell>
          <cell r="C590"/>
          <cell r="D590" t="str">
            <v>Muro de gabião tipo caixa, enchimento com pedra de mão tipo rachão, para solo reforçado com gaiolas com painel de ancoragem de 4 m (ZN/AL+PVC # 8x10cm Ø2.7mm), dimensões 2,0x1,0x1,0m, geotêxtil RT10 - fornecimento e execução. Exclusive transporte. REF SINAPI 92745, DB 04-2023</v>
          </cell>
          <cell r="E590"/>
          <cell r="F590" t="str">
            <v>M3</v>
          </cell>
          <cell r="G590">
            <v>715.16</v>
          </cell>
          <cell r="H590" t="str">
            <v>-</v>
          </cell>
        </row>
        <row r="591">
          <cell r="A591">
            <v>92749</v>
          </cell>
          <cell r="B591" t="str">
            <v>SINAPI</v>
          </cell>
          <cell r="C591"/>
          <cell r="D591" t="str">
            <v>Muro de gabião, enchimento com pedra de mão tipo rachão, com solo reforçado, para muros com altura menor ou igual a 4 m fornecimento e execução. AF_12/2015</v>
          </cell>
          <cell r="E591" t="str">
            <v>TERRAMESH
14,85 kg/m³</v>
          </cell>
          <cell r="F591" t="str">
            <v>M3</v>
          </cell>
          <cell r="G591">
            <v>799.58</v>
          </cell>
          <cell r="H591" t="str">
            <v>-</v>
          </cell>
        </row>
        <row r="592">
          <cell r="A592">
            <v>92750</v>
          </cell>
          <cell r="B592" t="str">
            <v>SINAPI</v>
          </cell>
          <cell r="C592"/>
          <cell r="D592" t="str">
            <v>Muro de gabião, enchimento com pedra de mão tipo rachão, com solo reforçado, para muros com altura maior que 4 m e menor ou igual a 12 m fornecimento e execução. AF_12/2015</v>
          </cell>
          <cell r="E592"/>
          <cell r="F592" t="str">
            <v>M3</v>
          </cell>
          <cell r="G592">
            <v>1325.03</v>
          </cell>
          <cell r="H592" t="str">
            <v>-</v>
          </cell>
        </row>
        <row r="593">
          <cell r="A593" t="str">
            <v>EC-0033</v>
          </cell>
          <cell r="B593" t="str">
            <v>COMPOSIÇÃO</v>
          </cell>
          <cell r="C593"/>
          <cell r="D593" t="str">
            <v>Muro de gabião, enchimento com pedra de mão tipo rachão, para solo reforçado com gaiolas com painel de ancoragem de 4 m (ZN/AL+PVC # 8x10cm Ø2.7mm) e geotêxtil RT10, altura do muro acima de 4 e até 12 metros - fornecimento e execução. Exclusive transporte. REF SINAPI CÓD 92750, DATA 05/2020</v>
          </cell>
          <cell r="E593"/>
          <cell r="F593" t="str">
            <v>M3</v>
          </cell>
          <cell r="G593">
            <v>848.84</v>
          </cell>
          <cell r="H593" t="str">
            <v>-</v>
          </cell>
        </row>
        <row r="594">
          <cell r="A594" t="str">
            <v>EC/0035</v>
          </cell>
          <cell r="B594" t="str">
            <v>COMPOSIÇÃO</v>
          </cell>
          <cell r="C594"/>
          <cell r="D594" t="str">
            <v>Muro de gabião, enchimento com pedra de mão tipo rachão, para solo reforçado com gaiolas com painel de ancoragem de 5 m (ZN/AL+PVC # 8x10cm Ø2.7mm), altura do muro acima de 4 e até 12 metros, geotêxtil RT10 - fornecimento e execução. Exclusive transporte.REF SINAPI CÓD 92750</v>
          </cell>
          <cell r="E594"/>
          <cell r="F594" t="str">
            <v>M3</v>
          </cell>
          <cell r="G594">
            <v>1088.6300000000001</v>
          </cell>
          <cell r="H594" t="str">
            <v>-</v>
          </cell>
        </row>
        <row r="595">
          <cell r="A595" t="str">
            <v>EC/0036</v>
          </cell>
          <cell r="B595" t="str">
            <v>COMPOSIÇÃO</v>
          </cell>
          <cell r="C595"/>
          <cell r="D595" t="str">
            <v>Muro de gabião tipo caixa, enchimento com pedra de mão tipo rachão, de gravidade, com gaiolas  (ZN/AL # 8x10cm Ø2.7mm), H=0,5 M, geotêxtil RT10 - fornecimento e execução. Exclusive transporte. REF SINAPI 92745, DB 04-2023</v>
          </cell>
          <cell r="E595"/>
          <cell r="F595" t="str">
            <v>M3</v>
          </cell>
          <cell r="G595">
            <v>782</v>
          </cell>
          <cell r="H595" t="str">
            <v>-</v>
          </cell>
        </row>
        <row r="596">
          <cell r="A596" t="str">
            <v>EC/0037</v>
          </cell>
          <cell r="B596" t="str">
            <v>COMPOSIÇÃO</v>
          </cell>
          <cell r="C596"/>
          <cell r="D596" t="str">
            <v>Muro de gabião tipo caixa, enchimento com pedra de mão tipo rachão, para solo reforçado com gaiolas com painel de ancoragem de 5 m (ZN/AL+PVC # 8x10cm Ø2.7mm), dimensões 2,0x1,0x0,5m, geotêxtil RT10 - fornecimento e execução. Exclusive transporte. REF SINAPI 92745, DB 04-2023</v>
          </cell>
          <cell r="E596"/>
          <cell r="F596" t="str">
            <v>M3</v>
          </cell>
          <cell r="G596">
            <v>1250.68</v>
          </cell>
          <cell r="H596" t="str">
            <v>-</v>
          </cell>
        </row>
        <row r="597">
          <cell r="A597" t="str">
            <v>EC/0038</v>
          </cell>
          <cell r="B597" t="str">
            <v>COMPOSIÇÃO</v>
          </cell>
          <cell r="C597"/>
          <cell r="D597" t="str">
            <v>Muro de gabião tipo caixa, enchimento com pedra de mão tipo rachão, para solo reforçado com gaiolas com painel de ancoragem de 6 m (ZN/AL+PVC # 8x10cm Ø2.7mm), dimensões 2,0x1,0x0,5m, geotêxtil RT10 - fornecimento e execução. Exclusive transporte. REF SINAPI 92745, DB 04-2023</v>
          </cell>
          <cell r="E597"/>
          <cell r="F597" t="str">
            <v>M3</v>
          </cell>
          <cell r="G597">
            <v>1348.77</v>
          </cell>
          <cell r="H597" t="str">
            <v>-</v>
          </cell>
        </row>
        <row r="598">
          <cell r="A598" t="str">
            <v>EC/0039</v>
          </cell>
          <cell r="B598" t="str">
            <v>COMPOSIÇÃO</v>
          </cell>
          <cell r="C598"/>
          <cell r="D598" t="str">
            <v>Muro de gabião tipo caixa, enchimento com pedra de mão tipo rachão, para solo reforçado com gaiolas com painel de ancoragem de 5 m (ZN/AL+PVC # 8x10cm Ø2.7mm), dimensões 2,0x1,0x1,0m, geotêxtil RT10 - fornecimento e execução. Exclusive transporte. REF SINAPI 92745, DB 04-2023</v>
          </cell>
          <cell r="E598"/>
          <cell r="F598" t="str">
            <v>M3</v>
          </cell>
          <cell r="G598">
            <v>900.66</v>
          </cell>
          <cell r="H598" t="str">
            <v>-</v>
          </cell>
        </row>
        <row r="599">
          <cell r="A599" t="str">
            <v>EC/0040</v>
          </cell>
          <cell r="B599" t="str">
            <v>COMPOSIÇÃO</v>
          </cell>
          <cell r="C599"/>
          <cell r="D599" t="str">
            <v>Muro de gabião, enchimento com pedra de mão tipo rachão, para solo reforçado com gaiolas com painel de ancoragem de 6 m (ZN/AL+PVC # 8x10cm Ø2.7mm), altura do muro acima de 4 e até 12 metros, geotêxtil RT10 - fornecimento e execução. Exclusive transporte. REF SINAPI 92750</v>
          </cell>
          <cell r="E599"/>
          <cell r="F599" t="str">
            <v>M3</v>
          </cell>
          <cell r="G599">
            <v>1153.97</v>
          </cell>
          <cell r="H599" t="str">
            <v>-</v>
          </cell>
        </row>
        <row r="600">
          <cell r="A600" t="str">
            <v>EC/0041</v>
          </cell>
          <cell r="B600" t="str">
            <v>COMPOSIÇÃO</v>
          </cell>
          <cell r="C600"/>
          <cell r="D600" t="str">
            <v>Muro de gabião tipo caixa, enchimento com pedra de mão tipo rachão, para solo reforçado com gaiolas com painel de ancoragem de 6 m (ZN/AL+PVC # 8x10cm Ø2.7mm), dimensões 2,0x1,0x1,0m, geotêxtil RT10 - fornecimento e execução. Exclusive transporte. REF SINAPI 92745, DB 04-2023</v>
          </cell>
          <cell r="E600"/>
          <cell r="F600" t="str">
            <v>M3</v>
          </cell>
          <cell r="G600">
            <v>948.36</v>
          </cell>
          <cell r="H600" t="str">
            <v>-</v>
          </cell>
        </row>
        <row r="601">
          <cell r="A601">
            <v>92755</v>
          </cell>
          <cell r="B601" t="str">
            <v>SINAPI</v>
          </cell>
          <cell r="C601"/>
          <cell r="D601" t="str">
            <v>Proteção superficial de canal em gabião tipo colchão, altura de 17 centímetros, enchimento com pedra de mão tipo rachão - fornecimento e execução. AF_12/2015</v>
          </cell>
          <cell r="E601"/>
          <cell r="F601" t="str">
            <v>M2</v>
          </cell>
          <cell r="G601">
            <v>207.42</v>
          </cell>
          <cell r="H601" t="str">
            <v>-</v>
          </cell>
        </row>
        <row r="602">
          <cell r="A602">
            <v>92756</v>
          </cell>
          <cell r="B602" t="str">
            <v>SINAPI</v>
          </cell>
          <cell r="C602"/>
          <cell r="D602" t="str">
            <v>Proteção superficial de canal em gabião tipo colchão, altura de 23 centímetros, enchimento com pedra de mão tipo rachão - fornecimento e execução. AF_12/2015</v>
          </cell>
          <cell r="E602"/>
          <cell r="F602" t="str">
            <v>M2</v>
          </cell>
          <cell r="G602">
            <v>236.7</v>
          </cell>
          <cell r="H602" t="str">
            <v>-</v>
          </cell>
        </row>
        <row r="603">
          <cell r="A603">
            <v>92757</v>
          </cell>
          <cell r="B603" t="str">
            <v>SINAPI</v>
          </cell>
          <cell r="C603"/>
          <cell r="D603" t="str">
            <v>Proteção superficial de canal em gabião tipo colchão, altura de 30 centímetros, enchimento com pedra de mão tipo rachão - fornecimento e execução. AF_12/2015</v>
          </cell>
          <cell r="E603"/>
          <cell r="F603" t="str">
            <v>M2</v>
          </cell>
          <cell r="G603">
            <v>272.08999999999997</v>
          </cell>
          <cell r="H603" t="str">
            <v>-</v>
          </cell>
        </row>
        <row r="604">
          <cell r="A604">
            <v>92758</v>
          </cell>
          <cell r="B604" t="str">
            <v>SINAPI</v>
          </cell>
          <cell r="C604"/>
          <cell r="D604" t="str">
            <v>Proteção superficial de canal em gabião tipo saco (ZN/AL+PVC # 8x10cm Ø2,4mm), diâmetro de 65 centímetros, enchimento manual com pedra de mão tipo rachão - fornecimento e execução. Exclusive transporte AF_12/2015</v>
          </cell>
          <cell r="E604"/>
          <cell r="F604" t="str">
            <v>M3</v>
          </cell>
          <cell r="G604">
            <v>605.64</v>
          </cell>
          <cell r="H604" t="str">
            <v>-</v>
          </cell>
        </row>
        <row r="605">
          <cell r="A605" t="str">
            <v>73881/1</v>
          </cell>
          <cell r="B605" t="str">
            <v>SINAPI</v>
          </cell>
          <cell r="C605"/>
          <cell r="D605" t="str">
            <v>VERIFICAR CÓDIGOS: 102712, 10713, 102715. Execução de dreno com manta geotêxtil 200 g/m2</v>
          </cell>
          <cell r="E605"/>
          <cell r="F605" t="e">
            <v>#N/A</v>
          </cell>
          <cell r="G605" t="e">
            <v>#N/A</v>
          </cell>
          <cell r="H605" t="str">
            <v>VER COMP</v>
          </cell>
        </row>
        <row r="606">
          <cell r="A606">
            <v>102712</v>
          </cell>
          <cell r="B606" t="str">
            <v>SINAPI</v>
          </cell>
          <cell r="C606"/>
          <cell r="D606" t="str">
            <v>Geotêxtil não tecido 100% poliéster, resistência a tração de 9 kn/m (RT - 9), instalado em dreno - fornecimento e instalação. AF_07/2021</v>
          </cell>
          <cell r="E606"/>
          <cell r="F606" t="str">
            <v>M2</v>
          </cell>
          <cell r="G606">
            <v>13.72</v>
          </cell>
          <cell r="H606" t="str">
            <v>-</v>
          </cell>
        </row>
        <row r="607">
          <cell r="A607">
            <v>102713</v>
          </cell>
          <cell r="B607" t="str">
            <v>SINAPI</v>
          </cell>
          <cell r="C607"/>
          <cell r="D607" t="str">
            <v>Geotêxtil não tecido 100% poliéster, resistência a tração de 14 kn/m (RT - 14), instalado em dreno - fornecimento e instalação. AF_07/2021</v>
          </cell>
          <cell r="E607"/>
          <cell r="F607" t="str">
            <v>M2</v>
          </cell>
          <cell r="G607">
            <v>18.97</v>
          </cell>
          <cell r="H607" t="str">
            <v>-</v>
          </cell>
        </row>
        <row r="608">
          <cell r="A608">
            <v>102715</v>
          </cell>
          <cell r="B608" t="str">
            <v>SINAPI</v>
          </cell>
          <cell r="C608"/>
          <cell r="D608" t="str">
            <v>Geotêxtil não tecido 100% poliéster, resistência a tração de 26 kn/m (RT - 26), instalado em dreno - fornecimento e instalação. AF_07/2021</v>
          </cell>
          <cell r="E608"/>
          <cell r="F608" t="str">
            <v>M2</v>
          </cell>
          <cell r="G608">
            <v>37.86</v>
          </cell>
          <cell r="H608" t="str">
            <v>-</v>
          </cell>
        </row>
        <row r="609">
          <cell r="A609">
            <v>102670</v>
          </cell>
          <cell r="B609" t="str">
            <v>SINAPI</v>
          </cell>
          <cell r="C609"/>
          <cell r="D609" t="str">
            <v>Dreno profundo (seção 0,50 x 1,50 m), com tubo de PEAD corrugado perfurado, DN 100 mm, enchimento com areia, com selo de argila. AF_07/2021</v>
          </cell>
          <cell r="E609"/>
          <cell r="F609" t="str">
            <v>M</v>
          </cell>
          <cell r="G609">
            <v>96.17</v>
          </cell>
          <cell r="H609" t="str">
            <v>-</v>
          </cell>
        </row>
        <row r="610">
          <cell r="A610">
            <v>102673</v>
          </cell>
          <cell r="B610" t="str">
            <v>SINAPI</v>
          </cell>
          <cell r="C610"/>
          <cell r="D610" t="str">
            <v>Dreno profundo (seção 0,50 x 1,50 m), com tubo de concreto simples poroso, DN 200 mm, enchimento com areia, com selo de argila. AF_07/2021</v>
          </cell>
          <cell r="E610"/>
          <cell r="F610" t="str">
            <v>M</v>
          </cell>
          <cell r="G610">
            <v>148.06</v>
          </cell>
          <cell r="H610" t="str">
            <v>-</v>
          </cell>
        </row>
        <row r="611">
          <cell r="A611">
            <v>102674</v>
          </cell>
          <cell r="B611" t="str">
            <v>SINAPI</v>
          </cell>
          <cell r="C611"/>
          <cell r="D611" t="str">
            <v>Dreno profundo (seção 0,50 x 1,50 m), com tubo de PEAD corrugado perfurado, DN 100 mm, enchimento com areia. AF_07/2021</v>
          </cell>
          <cell r="E611"/>
          <cell r="F611" t="str">
            <v>M</v>
          </cell>
          <cell r="G611">
            <v>105.7</v>
          </cell>
          <cell r="H611" t="str">
            <v>-</v>
          </cell>
        </row>
        <row r="612">
          <cell r="A612">
            <v>102677</v>
          </cell>
          <cell r="B612" t="str">
            <v>SINAPI</v>
          </cell>
          <cell r="C612"/>
          <cell r="D612" t="str">
            <v>Dreno profundo (seção 0,50 x 1,50 m), com tubo de concreto simples poroso, DN 200 mm, enchimento com areia. AF_07/2021</v>
          </cell>
          <cell r="E612"/>
          <cell r="F612" t="str">
            <v>M</v>
          </cell>
          <cell r="G612">
            <v>138.79</v>
          </cell>
          <cell r="H612" t="str">
            <v>-</v>
          </cell>
        </row>
        <row r="613">
          <cell r="A613">
            <v>102678</v>
          </cell>
          <cell r="B613" t="str">
            <v>SINAPI</v>
          </cell>
          <cell r="C613"/>
          <cell r="D613" t="str">
            <v>Dreno profundo (seção 0,50 x 1,50 m), cego, enchimento de brita, envolvido com manta geotêxtil, com selo de argila. AF_07/2021</v>
          </cell>
          <cell r="E613"/>
          <cell r="F613" t="str">
            <v>M</v>
          </cell>
          <cell r="G613">
            <v>162.30000000000001</v>
          </cell>
          <cell r="H613" t="str">
            <v>-</v>
          </cell>
        </row>
        <row r="614">
          <cell r="A614">
            <v>102679</v>
          </cell>
          <cell r="B614" t="str">
            <v>SINAPI</v>
          </cell>
          <cell r="C614"/>
          <cell r="D614" t="str">
            <v>Dreno profundo (seção 0,50 x 1,50 m), cego, enchimento de brita, envolvido com manta geotêxtil. AF_07/2021</v>
          </cell>
          <cell r="E614"/>
          <cell r="F614" t="str">
            <v>M</v>
          </cell>
          <cell r="G614">
            <v>176.15</v>
          </cell>
          <cell r="H614" t="str">
            <v>-</v>
          </cell>
        </row>
        <row r="615">
          <cell r="A615">
            <v>102680</v>
          </cell>
          <cell r="B615" t="str">
            <v>SINAPI</v>
          </cell>
          <cell r="C615"/>
          <cell r="D615" t="str">
            <v>Dreno profundo (seção 0,50 x 1,50 m), com tubo de PEAD corrugado perfurado, DN 100 mm, enchimento com brita, envolvido com manta geotêxtil, com selo de argila. AF_07/2021</v>
          </cell>
          <cell r="E615"/>
          <cell r="F615" t="str">
            <v>M</v>
          </cell>
          <cell r="G615">
            <v>174.85</v>
          </cell>
          <cell r="H615" t="str">
            <v>-</v>
          </cell>
        </row>
        <row r="616">
          <cell r="A616">
            <v>102683</v>
          </cell>
          <cell r="B616" t="str">
            <v>SINAPI</v>
          </cell>
          <cell r="C616"/>
          <cell r="D616" t="str">
            <v>Dreno profundo (seção 0,50 x 1,50 m), com tubo de concreto simples poroso, DN 200 mm, enchimento com brita, envolvido com manta geotêxtil, com selo de argila. AF_07/2021</v>
          </cell>
          <cell r="E616"/>
          <cell r="F616" t="str">
            <v>M</v>
          </cell>
          <cell r="G616">
            <v>212.16</v>
          </cell>
          <cell r="H616" t="str">
            <v>-</v>
          </cell>
        </row>
        <row r="617">
          <cell r="A617">
            <v>102684</v>
          </cell>
          <cell r="B617" t="str">
            <v>SINAPI</v>
          </cell>
          <cell r="C617"/>
          <cell r="D617" t="str">
            <v>Dreno profundo (seção 0,50 x 1,50 m), com tubo de PEAD corrugado perfurado, DN 100 mm, enchimento com brita, envolvido com manta geotêxtil. AF_07/2021</v>
          </cell>
          <cell r="E617"/>
          <cell r="F617" t="str">
            <v>M</v>
          </cell>
          <cell r="G617">
            <v>188.69</v>
          </cell>
          <cell r="H617" t="str">
            <v>-</v>
          </cell>
        </row>
        <row r="618">
          <cell r="A618">
            <v>102687</v>
          </cell>
          <cell r="B618" t="str">
            <v>SINAPI</v>
          </cell>
          <cell r="C618"/>
          <cell r="D618" t="str">
            <v>Dreno profundo (seção 0,50 x 1,50 m), com tubo de concreto simples poroso, DN 200 mm, enchimento com brita, envolvido com manta geotêxtil. AF_07/2021</v>
          </cell>
          <cell r="E618"/>
          <cell r="F618" t="str">
            <v>M</v>
          </cell>
          <cell r="G618">
            <v>221.43</v>
          </cell>
          <cell r="H618" t="str">
            <v>-</v>
          </cell>
        </row>
        <row r="619">
          <cell r="A619">
            <v>102688</v>
          </cell>
          <cell r="B619" t="str">
            <v>SINAPI</v>
          </cell>
          <cell r="C619"/>
          <cell r="D619" t="str">
            <v>Dreno espinha de peixe (seção (0,40 x 0,40 m), com tubo de PEAD corrugado perfurado, DN 100 mm, enchimento com areia, inclusive conexões. AF_07/2021</v>
          </cell>
          <cell r="E619"/>
          <cell r="F619" t="str">
            <v>M</v>
          </cell>
          <cell r="G619">
            <v>38.86</v>
          </cell>
          <cell r="H619" t="str">
            <v>-</v>
          </cell>
        </row>
        <row r="620">
          <cell r="A620">
            <v>102690</v>
          </cell>
          <cell r="B620" t="str">
            <v>SINAPI</v>
          </cell>
          <cell r="C620"/>
          <cell r="D620" t="str">
            <v>Dreno espinha de peixe (seção (0,40 x 0,40 m), com tubo de PEAD corrugado perfurado, DN 100 mm, enchimento com brita, envolvido com manta geotêxtil, inclusive conexões. AF_07/2021</v>
          </cell>
          <cell r="E620"/>
          <cell r="F620" t="str">
            <v>M</v>
          </cell>
          <cell r="G620">
            <v>76.92</v>
          </cell>
          <cell r="H620" t="str">
            <v>-</v>
          </cell>
        </row>
        <row r="621">
          <cell r="A621">
            <v>102694</v>
          </cell>
          <cell r="B621" t="str">
            <v>SINAPI</v>
          </cell>
          <cell r="C621"/>
          <cell r="D621" t="str">
            <v>Dreno espinha de peixe seção (0,50 x 0,80 m), com tubo de PEAD corrugado perfurado, DN 100 mm, enchimento com areia, inclusive conexões. AF_07/2021</v>
          </cell>
          <cell r="E621"/>
          <cell r="F621" t="str">
            <v>M</v>
          </cell>
          <cell r="G621">
            <v>72.42</v>
          </cell>
          <cell r="H621" t="str">
            <v>-</v>
          </cell>
        </row>
        <row r="622">
          <cell r="A622">
            <v>102697</v>
          </cell>
          <cell r="B622" t="str">
            <v>SINAPI</v>
          </cell>
          <cell r="C622"/>
          <cell r="D622" t="str">
            <v>Dreno espinha de peixe seção (0,50 x 0,80 m), com tubo de PEAD corrugado perfurado, DN 100 mm, enchimento com brita, envolvido com manta geotêxtil, inclusive conexões. AF_07/2021</v>
          </cell>
          <cell r="E622"/>
          <cell r="F622" t="str">
            <v>M</v>
          </cell>
          <cell r="G622">
            <v>127.17</v>
          </cell>
          <cell r="H622" t="str">
            <v>-</v>
          </cell>
        </row>
        <row r="623">
          <cell r="A623" t="str">
            <v>EC/0043</v>
          </cell>
          <cell r="B623" t="str">
            <v>COMPOSIÇÃO</v>
          </cell>
          <cell r="C623">
            <v>83669</v>
          </cell>
          <cell r="D623" t="str">
            <v>Manta de geotêxtil tecida com resistência à tração longitudinal de 16 kN/m (RT-16), incluindo perda do transpasse (REF. SINAPI COD. 102713)</v>
          </cell>
          <cell r="E623"/>
          <cell r="F623" t="str">
            <v>M2</v>
          </cell>
          <cell r="G623">
            <v>22.72</v>
          </cell>
          <cell r="H623" t="str">
            <v>-</v>
          </cell>
        </row>
        <row r="624">
          <cell r="A624">
            <v>4012</v>
          </cell>
          <cell r="B624" t="str">
            <v>COTAÇÃO - SINAPI</v>
          </cell>
          <cell r="C624" t="str">
            <v>73881/3</v>
          </cell>
          <cell r="D624" t="str">
            <v>Geotêxtil não tecido agulhado de filamentos contínuos 100% poliéster, resistência a tração = 21 kn/m</v>
          </cell>
          <cell r="E624"/>
          <cell r="F624" t="str">
            <v xml:space="preserve">M2    </v>
          </cell>
          <cell r="G624">
            <v>24.74</v>
          </cell>
          <cell r="H624" t="str">
            <v>-</v>
          </cell>
        </row>
        <row r="625">
          <cell r="A625">
            <v>101173</v>
          </cell>
          <cell r="B625" t="str">
            <v>SINAPI</v>
          </cell>
          <cell r="C625">
            <v>98228</v>
          </cell>
          <cell r="D625" t="str">
            <v>Estaca broca de concreto, diâmetro nominal de 20 cm, escavação manual com trado concha, com armadura de arranque. AF_05/2020</v>
          </cell>
          <cell r="E625"/>
          <cell r="F625" t="str">
            <v>M</v>
          </cell>
          <cell r="G625">
            <v>55.33</v>
          </cell>
          <cell r="H625" t="str">
            <v>-</v>
          </cell>
        </row>
        <row r="626">
          <cell r="A626">
            <v>101174</v>
          </cell>
          <cell r="B626" t="str">
            <v>SINAPI</v>
          </cell>
          <cell r="C626">
            <v>98229</v>
          </cell>
          <cell r="D626" t="str">
            <v>Estaca broca de concreto, diâmetro nominal de 25 cm, escavação manual com trado concha, com armadura de arranque. AF_05/2020</v>
          </cell>
          <cell r="E626"/>
          <cell r="F626" t="str">
            <v>M</v>
          </cell>
          <cell r="G626">
            <v>76.739999999999995</v>
          </cell>
          <cell r="H626" t="str">
            <v>-</v>
          </cell>
        </row>
        <row r="627">
          <cell r="A627">
            <v>101175</v>
          </cell>
          <cell r="B627" t="str">
            <v>SINAPI</v>
          </cell>
          <cell r="C627">
            <v>98230</v>
          </cell>
          <cell r="D627" t="str">
            <v>Estaca broca de concreto, diâmetro nominal de 30 cm, escavação manual com trado concha, com armadura de arranque. AF_05/2020</v>
          </cell>
          <cell r="E627"/>
          <cell r="F627" t="str">
            <v>M</v>
          </cell>
          <cell r="G627">
            <v>104.88</v>
          </cell>
          <cell r="H627" t="str">
            <v>-</v>
          </cell>
        </row>
        <row r="628">
          <cell r="A628">
            <v>89480</v>
          </cell>
          <cell r="B628" t="str">
            <v>SINAPI</v>
          </cell>
          <cell r="C628"/>
          <cell r="D628" t="str">
            <v>Alvenaria de blocos de concreto estrutural 14x19x29 cm, (espessura 14 cm) FBK = 14,0 MPA, para paredes com área líquida menor que 6 m², sem vãos, utilizando colher de pedreiro. AF_12/2014</v>
          </cell>
          <cell r="E628"/>
          <cell r="F628" t="str">
            <v>M2</v>
          </cell>
          <cell r="G628">
            <v>143.66</v>
          </cell>
          <cell r="H628" t="str">
            <v>-</v>
          </cell>
        </row>
        <row r="629">
          <cell r="A629">
            <v>103320</v>
          </cell>
          <cell r="B629" t="str">
            <v>SINAPI</v>
          </cell>
          <cell r="C629">
            <v>87452</v>
          </cell>
          <cell r="D629" t="str">
            <v>Alvenaria de vedação de blocos vazados de concreto de 19x19x39 cm (espessura 19 cm) e argamassa de assentamento com preparo em betoneira. AF_12/2021</v>
          </cell>
          <cell r="E629"/>
          <cell r="F629" t="str">
            <v>M2</v>
          </cell>
          <cell r="G629">
            <v>109.36</v>
          </cell>
          <cell r="H629" t="str">
            <v>-</v>
          </cell>
        </row>
        <row r="630">
          <cell r="A630">
            <v>101159</v>
          </cell>
          <cell r="B630" t="str">
            <v>SINAPI</v>
          </cell>
          <cell r="C630">
            <v>72132</v>
          </cell>
          <cell r="D630" t="str">
            <v>Alvenaria de vedação de blocos cerâmicos maciços de 5x10x20 cm (espessura 10 cm) e argamassa de assentamento com preparo em betoneira. AF_05/2020</v>
          </cell>
          <cell r="E630"/>
          <cell r="F630" t="str">
            <v>M2</v>
          </cell>
          <cell r="G630">
            <v>131.63</v>
          </cell>
          <cell r="H630" t="str">
            <v>-</v>
          </cell>
        </row>
        <row r="631">
          <cell r="A631" t="str">
            <v>EC/0044</v>
          </cell>
          <cell r="B631" t="str">
            <v>COMPOSIÇÃO</v>
          </cell>
          <cell r="C631">
            <v>72131</v>
          </cell>
          <cell r="D631" t="str">
            <v>Alvenaria em tijolo cerâmico maciço 5x10x20cm 1 vez (espessura 20cm), assentado com argamassa de betoneira, traço 1:2:8 (cimento, cal e areia), REF SINAPI 72131, DATA 04/2020</v>
          </cell>
          <cell r="E631"/>
          <cell r="F631" t="str">
            <v>M2</v>
          </cell>
          <cell r="G631">
            <v>199.02</v>
          </cell>
          <cell r="H631" t="str">
            <v>-</v>
          </cell>
        </row>
        <row r="632">
          <cell r="A632">
            <v>101159</v>
          </cell>
          <cell r="B632" t="str">
            <v>SINAPI</v>
          </cell>
          <cell r="C632">
            <v>72133</v>
          </cell>
          <cell r="D632" t="str">
            <v>Alvenaria de vedação de blocos cerâmicos maciços de 5x10x20cm (espessura 10cm) e argamassa de assentamento com preparo em betoneira. AF_05/2020</v>
          </cell>
          <cell r="E632"/>
          <cell r="F632" t="str">
            <v>M2</v>
          </cell>
          <cell r="G632">
            <v>131.63</v>
          </cell>
          <cell r="H632" t="str">
            <v>-</v>
          </cell>
        </row>
        <row r="633">
          <cell r="A633">
            <v>87878</v>
          </cell>
          <cell r="B633" t="str">
            <v>SINAPI</v>
          </cell>
          <cell r="C633"/>
          <cell r="D633" t="str">
            <v>Chapisco aplicado em alvenarias e estruturas de concreto internas, com colher de pedreiro. Argamassa traço 1:3 com preparo manual. AF_06/2014</v>
          </cell>
          <cell r="E633"/>
          <cell r="F633" t="str">
            <v>M2</v>
          </cell>
          <cell r="G633">
            <v>4.24</v>
          </cell>
          <cell r="H633" t="str">
            <v>-</v>
          </cell>
        </row>
        <row r="634">
          <cell r="A634">
            <v>87897</v>
          </cell>
          <cell r="B634" t="str">
            <v>SINAPI</v>
          </cell>
          <cell r="C634"/>
          <cell r="D634" t="str">
            <v>Chapisco aplicado em alvenaria (sem presença de vãos) e estruturas de concreto de fachada, com equipamento de projeção. Argamassa traço 1:3 com preparo em betoneira 400 l. AF_06/2014</v>
          </cell>
          <cell r="E634"/>
          <cell r="F634" t="str">
            <v>M2</v>
          </cell>
          <cell r="G634">
            <v>4.5</v>
          </cell>
          <cell r="H634" t="str">
            <v>-</v>
          </cell>
        </row>
        <row r="635">
          <cell r="A635">
            <v>87530</v>
          </cell>
          <cell r="B635" t="str">
            <v>SINAPI</v>
          </cell>
          <cell r="C635"/>
          <cell r="D635" t="str">
            <v>Massa única, para recebimento de pintura, em argamassa traço 1:2:8, preparo manual, aplicada manualmente em faces internas de paredes, espessura de 20mm, com execução de taliscas. AF_06/2014</v>
          </cell>
          <cell r="E635"/>
          <cell r="F635" t="str">
            <v>M2</v>
          </cell>
          <cell r="G635">
            <v>38.18</v>
          </cell>
          <cell r="H635" t="str">
            <v>-</v>
          </cell>
        </row>
        <row r="636">
          <cell r="A636">
            <v>87313</v>
          </cell>
          <cell r="B636" t="str">
            <v>SINAPI</v>
          </cell>
          <cell r="C636"/>
          <cell r="D636" t="str">
            <v>Argamassa traço 1:3 (em volume de cimento e areia grossa úmida) para chapisco convencional, preparo mecânico com betoneira 400 l. AF_08/2019</v>
          </cell>
          <cell r="E636"/>
          <cell r="F636" t="str">
            <v>M3</v>
          </cell>
          <cell r="G636">
            <v>516.94000000000005</v>
          </cell>
          <cell r="H636" t="str">
            <v>-</v>
          </cell>
        </row>
        <row r="637">
          <cell r="A637">
            <v>88629</v>
          </cell>
          <cell r="B637" t="str">
            <v>SINAPI</v>
          </cell>
          <cell r="C637"/>
          <cell r="D637" t="str">
            <v>Argamassa traço 1:3 (em volume de cimento e areia média úmida), preparo manual. AF_08/2019</v>
          </cell>
          <cell r="E637"/>
          <cell r="F637" t="str">
            <v>M3</v>
          </cell>
          <cell r="G637">
            <v>634.69000000000005</v>
          </cell>
          <cell r="H637" t="str">
            <v>-</v>
          </cell>
        </row>
        <row r="638">
          <cell r="A638">
            <v>98560</v>
          </cell>
          <cell r="B638" t="str">
            <v>SINAPI</v>
          </cell>
          <cell r="C638"/>
          <cell r="D638" t="str">
            <v>Impermeabilização de piso com argamassa de cimento e areia, com aditivo impermeabilizante, e = 2 cm. AF_06/2018</v>
          </cell>
          <cell r="E638"/>
          <cell r="F638" t="str">
            <v>M2</v>
          </cell>
          <cell r="G638">
            <v>43.86</v>
          </cell>
          <cell r="H638" t="str">
            <v>-</v>
          </cell>
        </row>
        <row r="639">
          <cell r="A639">
            <v>10931</v>
          </cell>
          <cell r="B639" t="str">
            <v>COTAÇÃO - SINAPI</v>
          </cell>
          <cell r="C639"/>
          <cell r="D639" t="str">
            <v>Tela de arame galvanizada, hexagonal, fio 0,56 mm (24 bwg), malha 1/2", h = 1 m</v>
          </cell>
          <cell r="E639"/>
          <cell r="F639" t="str">
            <v xml:space="preserve">M2    </v>
          </cell>
          <cell r="G639">
            <v>13.85</v>
          </cell>
          <cell r="H639" t="str">
            <v>-</v>
          </cell>
        </row>
        <row r="640">
          <cell r="A640" t="str">
            <v>EC/0045</v>
          </cell>
          <cell r="B640" t="str">
            <v>COMPOSIÇÃO</v>
          </cell>
          <cell r="C640"/>
          <cell r="D640" t="str">
            <v>Muro de Arrimo com bloco de concreto estrutural FBK 14,0 Mpa de 19x19x39 cm com acabamento aparente, incluindo concreto armado 25 mpa, com cintas baldrame/intermediária/respaldo, pilares (19x20 cm) e brocas (Ø 20cm x 1,80 m) a cada 2m</v>
          </cell>
          <cell r="E640"/>
          <cell r="F640" t="str">
            <v>M2</v>
          </cell>
          <cell r="G640">
            <v>0</v>
          </cell>
          <cell r="H640" t="str">
            <v>ERRO</v>
          </cell>
        </row>
        <row r="641">
          <cell r="A641" t="str">
            <v>EC/0050</v>
          </cell>
          <cell r="B641" t="str">
            <v>COMPOSIÇÃO</v>
          </cell>
          <cell r="C641"/>
          <cell r="D641" t="str">
            <v>Geocélula de PEAD, paredes perfuradas, soldadas - altura de 200 mm e 250 cm² de área de célula, conforme NBR 12553 da ABNT, incluindo 2 grampos tipo U em aço CA-50 Ø 6,3mm para cada 1,00m². Exclusive preparo do terreno e material de enchimento. Ref SICRO 1516306, DB 04-2023</v>
          </cell>
          <cell r="E641"/>
          <cell r="F641" t="str">
            <v>M2</v>
          </cell>
          <cell r="G641">
            <v>81.69</v>
          </cell>
          <cell r="H641" t="str">
            <v>-</v>
          </cell>
        </row>
        <row r="642">
          <cell r="A642" t="str">
            <v>EC/0051</v>
          </cell>
          <cell r="B642" t="str">
            <v>COMPOSIÇÃO</v>
          </cell>
          <cell r="C642"/>
          <cell r="D642" t="str">
            <v>Geocélula de PEAD, paredes perfuradas, soldadas - altura de 15 mm e 289 cm² de área de célula, conforme NBR 12553 da ABNT, incluindo 2 grampos tipo U em aço CA-50 Ø 6,3mm para cada 1,00m². Exclusive preparo do terreno e material de enchimento. (REF SICRO 1516305, DB 04-2023)</v>
          </cell>
          <cell r="E642"/>
          <cell r="F642" t="str">
            <v>M2</v>
          </cell>
          <cell r="G642">
            <v>70.87</v>
          </cell>
          <cell r="H642" t="str">
            <v>-</v>
          </cell>
        </row>
        <row r="643">
          <cell r="A643" t="str">
            <v>EC/0052</v>
          </cell>
          <cell r="B643" t="str">
            <v>COMPOSIÇÃO</v>
          </cell>
          <cell r="C643"/>
          <cell r="D643" t="str">
            <v>Geocélula de PEAD, paredes perfuradas, soldadas - altura de 100 mm e 289 cm² de área de célula, conforme NBR 12553 da ABNT, incluindo 2 grampos tipo U em aço CA-50 Ø 6,3mm para cada 1,00m². Exclusive preparo do terreno e material de enchimento. (REF SICRO 1516304, DB 04-2023)</v>
          </cell>
          <cell r="E643"/>
          <cell r="F643" t="str">
            <v>M2</v>
          </cell>
          <cell r="G643">
            <v>60.5</v>
          </cell>
          <cell r="H643" t="str">
            <v>-</v>
          </cell>
        </row>
        <row r="644">
          <cell r="A644" t="str">
            <v>EC/0053</v>
          </cell>
          <cell r="B644" t="str">
            <v>COMPOSIÇÃO</v>
          </cell>
          <cell r="C644"/>
          <cell r="D644" t="str">
            <v>Geocélula de PEAD, paredes perfuradas, soldadas - altura de 75 mm e 1206 cm² de área de célula, conforme NBR 12553 da ABNT, incluindo 2 grampos tipo U em aço CA-50 Ø 6,3mm para cada 1,00m². Exclusive preparo do terreno e material de enchimento. (REF SICRO 1516311, DB 04-2023)</v>
          </cell>
          <cell r="E644"/>
          <cell r="F644" t="str">
            <v>M2</v>
          </cell>
          <cell r="G644">
            <v>39.590000000000003</v>
          </cell>
          <cell r="H644" t="str">
            <v>-</v>
          </cell>
        </row>
        <row r="645">
          <cell r="A645" t="str">
            <v>EC/0055</v>
          </cell>
          <cell r="B645" t="str">
            <v>COMPOSIÇÃO</v>
          </cell>
          <cell r="C645"/>
          <cell r="D645" t="str">
            <v>RIP-RAP de saco com solo de jazida. Exclusive fornecimento e transporte de solo. REF SICRO 1513940  DB 04-2023 / SINAPI 100974 DB 06-2023 / SINAPI 73698 DB 01/2020</v>
          </cell>
          <cell r="E645"/>
          <cell r="F645" t="str">
            <v>M3</v>
          </cell>
          <cell r="G645">
            <v>303.43</v>
          </cell>
          <cell r="H645" t="str">
            <v>-</v>
          </cell>
        </row>
        <row r="646">
          <cell r="A646" t="str">
            <v>EC/0060</v>
          </cell>
          <cell r="B646" t="str">
            <v>COMPOSIÇÃO</v>
          </cell>
          <cell r="C646"/>
          <cell r="D646" t="str">
            <v>Contenção (RIP-RAP) em solo-cimento ensacado com mistura de solo de jazida com 8% de cimento,  inclusive confecção e assentamento. Exclusive fornecimento e transporte de solo. Ref SICRO CÓD. 1513940, DB 04-2023 e  SINAPI 100974 DB 06-2023</v>
          </cell>
          <cell r="E646"/>
          <cell r="F646" t="str">
            <v>M3</v>
          </cell>
          <cell r="G646">
            <v>378.06</v>
          </cell>
          <cell r="H646" t="str">
            <v>-</v>
          </cell>
        </row>
        <row r="647">
          <cell r="A647" t="str">
            <v>EC/0065</v>
          </cell>
          <cell r="B647" t="str">
            <v>COMPOSIÇÃO</v>
          </cell>
          <cell r="C647"/>
          <cell r="D647" t="str">
            <v>Cabo de aço 1/2" (13mm) 6x25 AF/AFA, incluindo esticador e grampos (clips). Ref SICRO 3806425, DB 04-23</v>
          </cell>
          <cell r="E647"/>
          <cell r="F647" t="str">
            <v>M</v>
          </cell>
          <cell r="G647">
            <v>88.47</v>
          </cell>
          <cell r="H647" t="str">
            <v>-</v>
          </cell>
        </row>
        <row r="648">
          <cell r="A648" t="str">
            <v>EC/0070</v>
          </cell>
          <cell r="B648" t="str">
            <v>COMPOSIÇÃO</v>
          </cell>
          <cell r="C648"/>
          <cell r="D648" t="str">
            <v>Trilho tipo ferrovia semi-novo para estacas, aquisição. Exclusive transporte, aplicação e perdas</v>
          </cell>
          <cell r="E648"/>
          <cell r="F648" t="str">
            <v>KG</v>
          </cell>
          <cell r="G648">
            <v>5.16</v>
          </cell>
          <cell r="H648" t="str">
            <v>-</v>
          </cell>
        </row>
        <row r="649">
          <cell r="A649" t="str">
            <v>EC/0075</v>
          </cell>
          <cell r="B649" t="str">
            <v>COMPOSIÇÃO</v>
          </cell>
          <cell r="C649" t="str">
            <v>DESATIVADA</v>
          </cell>
          <cell r="D649" t="e">
            <v>#REF!</v>
          </cell>
          <cell r="E649"/>
          <cell r="F649" t="e">
            <v>#REF!</v>
          </cell>
          <cell r="G649" t="e">
            <v>#REF!</v>
          </cell>
          <cell r="H649" t="str">
            <v>VER COMP</v>
          </cell>
        </row>
        <row r="650">
          <cell r="A650" t="str">
            <v>EC/0080</v>
          </cell>
          <cell r="B650" t="str">
            <v>COMPOSIÇÃO</v>
          </cell>
          <cell r="C650" t="str">
            <v>DESATIVADA</v>
          </cell>
          <cell r="D650" t="e">
            <v>#REF!</v>
          </cell>
          <cell r="E650"/>
          <cell r="F650" t="e">
            <v>#REF!</v>
          </cell>
          <cell r="G650" t="e">
            <v>#REF!</v>
          </cell>
          <cell r="H650" t="str">
            <v>VER COMP</v>
          </cell>
        </row>
        <row r="651">
          <cell r="A651" t="str">
            <v>EC/0085</v>
          </cell>
          <cell r="B651" t="str">
            <v>COMPOSIÇÃO</v>
          </cell>
          <cell r="C651"/>
          <cell r="D651" t="str">
            <v>Cravação de estaca de madeira com escavadeira hidráulica com martelo hidráulico em solo de baixa resistência. Exclusive fornecimento de estaca (escora)</v>
          </cell>
          <cell r="E651"/>
          <cell r="F651" t="str">
            <v>M</v>
          </cell>
          <cell r="G651">
            <v>22.44</v>
          </cell>
          <cell r="H651" t="str">
            <v>-</v>
          </cell>
        </row>
        <row r="652">
          <cell r="A652" t="str">
            <v>EC/0090</v>
          </cell>
          <cell r="B652" t="str">
            <v>COMPOSIÇÃO</v>
          </cell>
          <cell r="C652"/>
          <cell r="D652" t="str">
            <v>Cravação com bate-estaca de estaca metálica, prancha ou trilho TR, em terreno de media resistencia a penetracao, inclusive um corte ao maçarico. Exclusive fornecimento da estaca</v>
          </cell>
          <cell r="E652"/>
          <cell r="F652" t="str">
            <v>M</v>
          </cell>
          <cell r="G652">
            <v>74.819999999999993</v>
          </cell>
          <cell r="H652" t="str">
            <v>-</v>
          </cell>
        </row>
        <row r="653">
          <cell r="A653">
            <v>100656</v>
          </cell>
          <cell r="B653" t="str">
            <v>SINAPI</v>
          </cell>
          <cell r="D653" t="str">
            <v>Estaca pré-moldada de concreto, seção quadrada, capacidade de 25 toneladas, incluso emenda (exclusive mobilização e desmobilização). AF_12/2019</v>
          </cell>
          <cell r="E653" t="str">
            <v>25 x 25 cm²</v>
          </cell>
          <cell r="F653" t="str">
            <v>M</v>
          </cell>
          <cell r="G653">
            <v>115.35</v>
          </cell>
          <cell r="H653" t="str">
            <v>-</v>
          </cell>
        </row>
        <row r="654">
          <cell r="A654">
            <v>95601</v>
          </cell>
          <cell r="B654" t="str">
            <v>SINAPI</v>
          </cell>
          <cell r="C654"/>
          <cell r="D654" t="str">
            <v>Arrasamento mecânico de estaca de concreto armado, diâmetros de até 40 cm. AF_11/2016</v>
          </cell>
          <cell r="E654"/>
          <cell r="F654" t="str">
            <v>UN</v>
          </cell>
          <cell r="G654">
            <v>16.260000000000002</v>
          </cell>
          <cell r="H654" t="str">
            <v>-</v>
          </cell>
        </row>
        <row r="655">
          <cell r="A655">
            <v>43082</v>
          </cell>
          <cell r="B655" t="str">
            <v>COTAÇÃO - SINAPI</v>
          </cell>
          <cell r="C655"/>
          <cell r="D655" t="str">
            <v>Perfil "I" de aço laminado, abas paralelas, "W", qualquer bitola</v>
          </cell>
          <cell r="E655"/>
          <cell r="F655" t="str">
            <v xml:space="preserve">KG    </v>
          </cell>
          <cell r="G655">
            <v>12.47</v>
          </cell>
          <cell r="H655" t="str">
            <v>-</v>
          </cell>
        </row>
        <row r="656">
          <cell r="A656">
            <v>98746</v>
          </cell>
          <cell r="B656" t="str">
            <v>SINAPI</v>
          </cell>
          <cell r="C656"/>
          <cell r="D656" t="str">
            <v>Solda de topo em chapa/perfil/tubo de aço chanfrado, espessura = 1/4''. AF_06/2018</v>
          </cell>
          <cell r="E656"/>
          <cell r="F656" t="str">
            <v>M</v>
          </cell>
          <cell r="G656">
            <v>62.81</v>
          </cell>
          <cell r="H656" t="str">
            <v>-</v>
          </cell>
        </row>
        <row r="657">
          <cell r="A657">
            <v>92341</v>
          </cell>
          <cell r="B657" t="str">
            <v>SINAPI</v>
          </cell>
          <cell r="C657"/>
          <cell r="D657" t="str">
            <v>Tubo de aço galvanizado com costura, classe média, diâmetro nominal de 50 (2"), conexão rosqueada, instalado em prumadas - fornecimento e instalação. AF_10/2020</v>
          </cell>
          <cell r="E657"/>
          <cell r="F657" t="str">
            <v>M</v>
          </cell>
          <cell r="G657">
            <v>94.61</v>
          </cell>
          <cell r="H657" t="str">
            <v>-</v>
          </cell>
        </row>
        <row r="658">
          <cell r="A658" t="str">
            <v>EC/0100</v>
          </cell>
          <cell r="B658" t="str">
            <v>COMPOSIÇÃO</v>
          </cell>
          <cell r="C658"/>
          <cell r="D658" t="str">
            <v>Fornecimento e aplicação de adesivo estrutural à base de resina epóxi. (REF SICRO COD 2407972, DB 04-2021)</v>
          </cell>
          <cell r="E658"/>
          <cell r="F658" t="str">
            <v>KG</v>
          </cell>
          <cell r="G658">
            <v>67.47</v>
          </cell>
          <cell r="H658" t="str">
            <v>-</v>
          </cell>
        </row>
        <row r="659">
          <cell r="A659" t="str">
            <v>EC/0110</v>
          </cell>
          <cell r="B659" t="str">
            <v>COMPOSIÇÃO</v>
          </cell>
          <cell r="C659"/>
          <cell r="D659" t="str">
            <v># # #REVER COTAÇÃO DE TRILHO# # # Estacas trilho TR 68 - com emenda - fornecimento e cravação. REF SICRO CÓD 2306113, DATA 04/2021</v>
          </cell>
          <cell r="E659"/>
          <cell r="F659" t="str">
            <v>m</v>
          </cell>
          <cell r="G659">
            <v>28.63</v>
          </cell>
          <cell r="H659" t="str">
            <v>-</v>
          </cell>
        </row>
        <row r="660">
          <cell r="A660" t="str">
            <v>EC/0130</v>
          </cell>
          <cell r="B660" t="str">
            <v>COMPOSIÇÃO</v>
          </cell>
          <cell r="C660"/>
          <cell r="D660" t="str">
            <v>Fôrma metálica em chapa 3/16" reforçada com nervuras de 40 mm x 3/16" dispostas em grelhas de 40 x 60 cm - utilização de 100 vezes - confecção, instalação e retirada. REF SICRO CÓD 3108072, DATA 04/2021</v>
          </cell>
          <cell r="E660"/>
          <cell r="F660" t="str">
            <v>M²</v>
          </cell>
          <cell r="G660">
            <v>13.64</v>
          </cell>
          <cell r="H660" t="str">
            <v>-</v>
          </cell>
        </row>
        <row r="661">
          <cell r="A661" t="str">
            <v>EC/0135</v>
          </cell>
          <cell r="B661" t="str">
            <v>COMPOSIÇÃO</v>
          </cell>
          <cell r="C661"/>
          <cell r="D661" t="str">
            <v>Corte de chapas de aço com espessura de 5 mm com maçarico oxiacetileno. REF SICRO CÓD 1400974, DATA 04/2021</v>
          </cell>
          <cell r="E661"/>
          <cell r="F661" t="str">
            <v>M</v>
          </cell>
          <cell r="G661">
            <v>3.8</v>
          </cell>
          <cell r="H661" t="str">
            <v>-</v>
          </cell>
        </row>
        <row r="662">
          <cell r="A662" t="str">
            <v>EC/0136</v>
          </cell>
          <cell r="B662" t="str">
            <v>COMPOSIÇÃO</v>
          </cell>
          <cell r="C662"/>
          <cell r="D662" t="str">
            <v>Corte de barras de aço CA-50 com maçarico oxiacetileno. REF SICRO CÓD 1416201, DATA 01/2023</v>
          </cell>
          <cell r="E662"/>
          <cell r="F662" t="str">
            <v>CM²</v>
          </cell>
          <cell r="G662">
            <v>0.21</v>
          </cell>
          <cell r="H662" t="str">
            <v>-</v>
          </cell>
        </row>
        <row r="663">
          <cell r="A663" t="str">
            <v>EC/0145</v>
          </cell>
          <cell r="B663" t="str">
            <v>COMPOSIÇÃO</v>
          </cell>
          <cell r="C663"/>
          <cell r="D663" t="str">
            <v>Geogrelha unidirecional com resistência à tração de 100 kN/m - fornecimento e instalação. REF SICRO CÓD 1516298, DATA 01/2023</v>
          </cell>
          <cell r="E663"/>
          <cell r="F663" t="str">
            <v>M²</v>
          </cell>
          <cell r="G663">
            <v>28.72</v>
          </cell>
          <cell r="H663" t="str">
            <v>-</v>
          </cell>
        </row>
        <row r="664">
          <cell r="A664" t="str">
            <v>EC/0150</v>
          </cell>
          <cell r="B664" t="str">
            <v>COMPOSIÇÃO</v>
          </cell>
          <cell r="C664"/>
          <cell r="D664" t="str">
            <v>Geogrelha unidirecional com resistência à tração de 150 kN/m - fornecimento e instalação. REF SICRO CÓD 1516299, DATA 01/2023</v>
          </cell>
          <cell r="E664"/>
          <cell r="F664" t="str">
            <v>M²</v>
          </cell>
          <cell r="G664">
            <v>30.81</v>
          </cell>
          <cell r="H664" t="str">
            <v>-</v>
          </cell>
        </row>
        <row r="665">
          <cell r="A665" t="str">
            <v>EC/0155</v>
          </cell>
          <cell r="B665" t="str">
            <v>COMPOSIÇÃO</v>
          </cell>
          <cell r="C665"/>
          <cell r="D665" t="str">
            <v>Geogrelha unidirecional com resistência à tração de 200 kN/m - fornecimento e instalação. REF SICRO CÓD 1516300, DATA 01/2023</v>
          </cell>
          <cell r="E665"/>
          <cell r="F665" t="str">
            <v>M²</v>
          </cell>
          <cell r="G665">
            <v>40.799999999999997</v>
          </cell>
          <cell r="H665" t="str">
            <v>-</v>
          </cell>
        </row>
        <row r="666">
          <cell r="A666" t="str">
            <v>EC/0165</v>
          </cell>
          <cell r="B666" t="str">
            <v>COMPOSIÇÃO</v>
          </cell>
          <cell r="C666"/>
          <cell r="D666" t="str">
            <v>Muro de face em tela metálica dobrada em L para solo reforçado - C = 2,0 m, L = 0,4 m e H = 0,4 m - fornecimento e instalação. REF SICRO CÓD 1516318, DATA 01/2023</v>
          </cell>
          <cell r="E666"/>
          <cell r="F666" t="str">
            <v>M²</v>
          </cell>
          <cell r="G666">
            <v>472.21</v>
          </cell>
          <cell r="H666" t="str">
            <v>-</v>
          </cell>
        </row>
        <row r="667">
          <cell r="A667" t="str">
            <v>EC/0170</v>
          </cell>
          <cell r="B667" t="str">
            <v>COMPOSIÇÃO</v>
          </cell>
          <cell r="C667"/>
          <cell r="D667" t="str">
            <v>Escoramento com pontaletes D = 15 cm - utilização de 1 vez - confecção e instalação. Ref SICRO cód 2108169</v>
          </cell>
          <cell r="E667"/>
          <cell r="F667" t="str">
            <v>M³</v>
          </cell>
          <cell r="G667">
            <v>49.38</v>
          </cell>
          <cell r="H667" t="str">
            <v>-</v>
          </cell>
        </row>
        <row r="668">
          <cell r="A668" t="str">
            <v>EC/0180</v>
          </cell>
          <cell r="B668" t="str">
            <v>COMPOSIÇÃO</v>
          </cell>
          <cell r="C668"/>
          <cell r="D668" t="str">
            <v>Cordoalha CP 190 RB D = 15,2 mm - fornecimento e instalação (REF. SICRO COD. 4507957, DB 01-2023)</v>
          </cell>
          <cell r="E668"/>
          <cell r="F668" t="str">
            <v>KG</v>
          </cell>
          <cell r="G668">
            <v>13.35</v>
          </cell>
          <cell r="H668" t="str">
            <v>-</v>
          </cell>
        </row>
        <row r="669">
          <cell r="A669" t="str">
            <v>EC/0190</v>
          </cell>
          <cell r="B669" t="str">
            <v>COMPOSIÇÃO</v>
          </cell>
          <cell r="C669"/>
          <cell r="D669" t="str">
            <v>Lançamento de viga pré-moldada de 980 a 1.225 kN com utilização de treliça lançadeira (REF. SICRO COD. 3806425, DB 01-2023)</v>
          </cell>
          <cell r="E669"/>
          <cell r="F669" t="str">
            <v>UN</v>
          </cell>
          <cell r="G669">
            <v>3569.41</v>
          </cell>
          <cell r="H669" t="str">
            <v>-</v>
          </cell>
        </row>
        <row r="670">
          <cell r="A670" t="str">
            <v>EC/0200</v>
          </cell>
          <cell r="B670" t="str">
            <v>COMPOSIÇÃO</v>
          </cell>
          <cell r="C670"/>
          <cell r="D670" t="str">
            <v>Ancoragem ativa com 12 cordoalhas aderentes D = 15,2 mm - fornecimento e instalação (REF. SICRO COD. 4507756, DB 01-2023)</v>
          </cell>
          <cell r="E670"/>
          <cell r="F670" t="str">
            <v>UN</v>
          </cell>
          <cell r="G670">
            <v>1486.57</v>
          </cell>
          <cell r="H670" t="str">
            <v>-</v>
          </cell>
        </row>
        <row r="671">
          <cell r="A671" t="str">
            <v>EC/0210</v>
          </cell>
          <cell r="B671" t="str">
            <v>COMPOSIÇÃO</v>
          </cell>
          <cell r="C671"/>
          <cell r="D671" t="str">
            <v>Nicho de madeira para dispositivo de ancoragem de protensão - confecção e instalação (REF. SICRO COD. 4516137, DB 01-2023)</v>
          </cell>
          <cell r="E671"/>
          <cell r="F671" t="str">
            <v>M²</v>
          </cell>
          <cell r="G671">
            <v>119.11</v>
          </cell>
          <cell r="H671" t="str">
            <v>-</v>
          </cell>
        </row>
        <row r="672">
          <cell r="A672" t="str">
            <v>EC/0220</v>
          </cell>
          <cell r="B672" t="str">
            <v>COMPOSIÇÃO</v>
          </cell>
          <cell r="C672"/>
          <cell r="D672" t="str">
            <v>Bainha metálica redonda D = 80 mm para 12 cordoalhas D = 15,2 mm - fornecimento, instalação e injeção de nata de cimento (REF. SICRO COD. 4507842, DB 01-2023)</v>
          </cell>
          <cell r="E672"/>
          <cell r="F672" t="str">
            <v>M</v>
          </cell>
          <cell r="G672">
            <v>118.64</v>
          </cell>
          <cell r="H672" t="str">
            <v>-</v>
          </cell>
        </row>
        <row r="673">
          <cell r="A673" t="str">
            <v>EC/0230</v>
          </cell>
          <cell r="B673" t="str">
            <v>COMPOSIÇÃO</v>
          </cell>
          <cell r="C673"/>
          <cell r="D673" t="str">
            <v>Junta de dilatação em elastômero  de EPDM modelo  TJ2030W OAE - fornecimento e instalação (REF. SICRO COD. 0307733, DB 01-2023)</v>
          </cell>
          <cell r="E673"/>
          <cell r="F673" t="str">
            <v>M</v>
          </cell>
          <cell r="G673">
            <v>155.26</v>
          </cell>
          <cell r="H673" t="str">
            <v>-</v>
          </cell>
        </row>
        <row r="674">
          <cell r="A674" t="str">
            <v>EC/0240</v>
          </cell>
          <cell r="B674" t="str">
            <v>COMPOSIÇÃO</v>
          </cell>
          <cell r="C674"/>
          <cell r="D674" t="str">
            <v>Lábios poliméricos em junta de pavimento de concreto - L = 50 mm e H = 30 mm - confecção e assentamento (REF. SICRO COD. 0307084, DB 01-2023)</v>
          </cell>
          <cell r="E674"/>
          <cell r="F674" t="str">
            <v>M</v>
          </cell>
          <cell r="G674">
            <v>44.37</v>
          </cell>
          <cell r="H674" t="str">
            <v>-</v>
          </cell>
        </row>
        <row r="675">
          <cell r="A675" t="str">
            <v>SEL -128</v>
          </cell>
          <cell r="B675" t="str">
            <v>COTAÇÃO - SEL</v>
          </cell>
          <cell r="C675"/>
          <cell r="D675" t="str">
            <v>Fabricação de viga pré-moldada armada tipo PROT 19,2/45- h = 107 cm, conforme projeto.</v>
          </cell>
          <cell r="E675" t="str">
            <v>SEL -128</v>
          </cell>
          <cell r="F675" t="str">
            <v>UN</v>
          </cell>
          <cell r="G675">
            <v>0</v>
          </cell>
          <cell r="H675" t="str">
            <v>ERRO</v>
          </cell>
        </row>
        <row r="676">
          <cell r="A676" t="str">
            <v>SEL -129</v>
          </cell>
          <cell r="B676" t="str">
            <v>COTAÇÃO - SEL</v>
          </cell>
          <cell r="C676"/>
          <cell r="D676" t="str">
            <v>Transporte com carreta ls de viga pré-moldada armada tipo PCT 9,20/45 – h = 107cm.</v>
          </cell>
          <cell r="E676" t="str">
            <v>SEL -129</v>
          </cell>
          <cell r="F676" t="str">
            <v>UN</v>
          </cell>
          <cell r="G676">
            <v>0</v>
          </cell>
          <cell r="H676" t="str">
            <v>ERRO</v>
          </cell>
        </row>
        <row r="677">
          <cell r="A677" t="str">
            <v>SEL -130</v>
          </cell>
          <cell r="B677" t="str">
            <v>COTAÇÃO - SEL</v>
          </cell>
          <cell r="C677"/>
          <cell r="D677" t="str">
            <v>Transporte com carreta extensiva de viga pré moldada armada tipo PROT 19,2/45 - h = 107 cm</v>
          </cell>
          <cell r="E677" t="str">
            <v>SEL -130</v>
          </cell>
          <cell r="F677" t="str">
            <v>UN</v>
          </cell>
          <cell r="G677">
            <v>0</v>
          </cell>
          <cell r="H677" t="str">
            <v>ERRO</v>
          </cell>
        </row>
        <row r="678">
          <cell r="A678" t="str">
            <v>SEL -131</v>
          </cell>
          <cell r="B678" t="str">
            <v>COTAÇÃO - SEL</v>
          </cell>
          <cell r="C678"/>
          <cell r="D678" t="str">
            <v>Lançamento com treliça lançadeira de 44 vigas pré-moldada armadas tipo pct 9,20/45 – h = 107cm e 22 vigas pré-moldada tipo PROT 19,20/45 – h = 107cm – 3 tramo - incluso guindauto de 45. Incluso transporte da treliça lançadeira carreta especial com guindauto, inclusive montagem e desmontagem da treliça.</v>
          </cell>
          <cell r="E678" t="str">
            <v>SEL -131</v>
          </cell>
          <cell r="F678" t="str">
            <v>UN</v>
          </cell>
          <cell r="G678">
            <v>0</v>
          </cell>
          <cell r="H678" t="str">
            <v>ERRO</v>
          </cell>
        </row>
        <row r="679">
          <cell r="A679" t="str">
            <v>SEL-301</v>
          </cell>
          <cell r="B679" t="str">
            <v>COTAÇÃO - SEL</v>
          </cell>
          <cell r="C679"/>
          <cell r="D679" t="str">
            <v>Fabricação das Vigas pré-fabricadas protendidas 19,20m – H = 100cm. COTAÇÃO MARACAJU/MS</v>
          </cell>
          <cell r="E679" t="str">
            <v>SEL-301</v>
          </cell>
          <cell r="F679" t="str">
            <v>UN</v>
          </cell>
          <cell r="G679">
            <v>30236</v>
          </cell>
          <cell r="H679" t="str">
            <v>-</v>
          </cell>
        </row>
        <row r="680">
          <cell r="A680" t="str">
            <v>SEL-302</v>
          </cell>
          <cell r="B680" t="str">
            <v>COTAÇÃO - SEL</v>
          </cell>
          <cell r="C680"/>
          <cell r="D680" t="str">
            <v>Transporte com carreta extensiva das Vigas Pré-fabricadas 19,20m – H = 100cm. COTAÇÃO MARACAJU/MS</v>
          </cell>
          <cell r="E680" t="str">
            <v>SEL-302</v>
          </cell>
          <cell r="F680" t="str">
            <v>UN</v>
          </cell>
          <cell r="G680">
            <v>2600</v>
          </cell>
          <cell r="H680" t="str">
            <v>-</v>
          </cell>
        </row>
        <row r="681">
          <cell r="A681" t="str">
            <v>SEL-303</v>
          </cell>
          <cell r="B681" t="str">
            <v>COTAÇÃO - SEL</v>
          </cell>
          <cell r="C681"/>
          <cell r="D681" t="str">
            <v>Lançamento das vigas Pré-fabricadas – H = 100cm – 2 tramos – Guindastes com mobilização. COTAÇÃO MARACAJU/MS</v>
          </cell>
          <cell r="E681" t="str">
            <v>SEL-303</v>
          </cell>
          <cell r="F681" t="str">
            <v>UN</v>
          </cell>
          <cell r="G681">
            <v>4895</v>
          </cell>
          <cell r="H681" t="str">
            <v>-</v>
          </cell>
        </row>
        <row r="682">
          <cell r="A682" t="str">
            <v>SEL-304</v>
          </cell>
          <cell r="B682" t="str">
            <v>COTAÇÃO - SEL</v>
          </cell>
          <cell r="C682"/>
          <cell r="D682" t="str">
            <v>Vigas T (20/102x5/150x1920) cm TB 45</v>
          </cell>
          <cell r="E682" t="str">
            <v>SEL-304</v>
          </cell>
          <cell r="F682" t="str">
            <v>UN</v>
          </cell>
          <cell r="G682">
            <v>36644.5</v>
          </cell>
          <cell r="H682" t="str">
            <v>-</v>
          </cell>
        </row>
        <row r="683">
          <cell r="A683" t="str">
            <v>SEL-305</v>
          </cell>
          <cell r="B683" t="str">
            <v>COTAÇÃO - SEL</v>
          </cell>
          <cell r="C683"/>
          <cell r="D683" t="str">
            <v>Transporte com carreta extensiva das Vigas T (20/102x5/150x1920) cm TB 45</v>
          </cell>
          <cell r="E683" t="str">
            <v>SEL-305</v>
          </cell>
          <cell r="F683" t="str">
            <v>UN</v>
          </cell>
          <cell r="G683">
            <v>3663.5</v>
          </cell>
          <cell r="H683" t="str">
            <v>-</v>
          </cell>
        </row>
        <row r="684">
          <cell r="A684" t="str">
            <v>SEL-306</v>
          </cell>
          <cell r="B684" t="str">
            <v>COTAÇÃO - SEL</v>
          </cell>
          <cell r="C684"/>
          <cell r="D684" t="str">
            <v>Lançamento das vigas Pré-fabricadas – H = 150cm – 2 tramos – Guindastes com mobilização.</v>
          </cell>
          <cell r="E684" t="str">
            <v>SEL-306</v>
          </cell>
          <cell r="F684" t="str">
            <v>UN</v>
          </cell>
          <cell r="G684">
            <v>5395</v>
          </cell>
          <cell r="H684" t="str">
            <v>-</v>
          </cell>
        </row>
        <row r="685">
          <cell r="A685" t="str">
            <v>SEL-307</v>
          </cell>
          <cell r="B685" t="str">
            <v>COTAÇÃO - SEL</v>
          </cell>
          <cell r="C685"/>
          <cell r="D685" t="str">
            <v>CONCRETO USINADO BOMBEAVEL, CLASSE DE RESISTENCIA C30, BRITA 0 E 1, SLUMP = 100 +/- 20 MM, COM BOMBEAMENTO (DISPONIBILIZACAO DE BOMBA), SEM O LANCAMENTO (NBR 8953). POSTO MARACAJU MS</v>
          </cell>
          <cell r="E685" t="str">
            <v>SEL-307</v>
          </cell>
          <cell r="F685" t="str">
            <v>M3</v>
          </cell>
          <cell r="G685">
            <v>700</v>
          </cell>
          <cell r="H685" t="str">
            <v>-</v>
          </cell>
        </row>
        <row r="686">
          <cell r="A686" t="str">
            <v>SEL-308</v>
          </cell>
          <cell r="B686" t="str">
            <v>COTAÇÃO - SEL</v>
          </cell>
          <cell r="C686"/>
          <cell r="D686" t="str">
            <v>CONCRETO USINADO BOMBEAVEL, CLASSE DE RESISTENCIA C40, BRITA 0 E 1, SLUMP = 100 +/- 20 MM, COM BOMBEAMENTO (DISPONIBILIZACAO DE BOMBA), SEM O LANCAMENTO (NBR 8953). POSTO MARACAJU MS</v>
          </cell>
          <cell r="E686" t="str">
            <v>SEL-308</v>
          </cell>
          <cell r="F686" t="str">
            <v>M3</v>
          </cell>
          <cell r="G686">
            <v>730</v>
          </cell>
          <cell r="H686" t="str">
            <v>-</v>
          </cell>
        </row>
        <row r="687">
          <cell r="A687"/>
          <cell r="B687"/>
          <cell r="C687"/>
          <cell r="D687"/>
          <cell r="E687"/>
          <cell r="F687"/>
          <cell r="G687"/>
          <cell r="H687"/>
        </row>
        <row r="688">
          <cell r="A688"/>
          <cell r="B688"/>
          <cell r="C688" t="str">
            <v>8.0</v>
          </cell>
          <cell r="D688" t="str">
            <v>PAVIMENTAÇÃO - RESTAURAÇÃO, REMENDO E FRESAGEM</v>
          </cell>
          <cell r="E688"/>
          <cell r="F688"/>
          <cell r="G688"/>
          <cell r="H688" t="str">
            <v/>
          </cell>
        </row>
        <row r="689">
          <cell r="A689">
            <v>96001</v>
          </cell>
          <cell r="B689" t="str">
            <v>SINAPI</v>
          </cell>
          <cell r="C689"/>
          <cell r="D689" t="str">
            <v>Fresagem de pavimento asfáltico (profundidade até 5,0 cm) - exclusive transporte. AF_11/2019</v>
          </cell>
          <cell r="E689"/>
          <cell r="F689" t="str">
            <v>M2</v>
          </cell>
          <cell r="G689">
            <v>7.6</v>
          </cell>
          <cell r="H689" t="str">
            <v>-</v>
          </cell>
        </row>
        <row r="690">
          <cell r="A690"/>
          <cell r="B690" t="str">
            <v>REPETIDO</v>
          </cell>
          <cell r="C690">
            <v>95875</v>
          </cell>
          <cell r="D690" t="str">
            <v>Transporte com caminhão basculante de 10 m3, em via urbana pavimentada, DMT até 30 km. AF_12/2016</v>
          </cell>
          <cell r="E690" t="str">
            <v>ATENÇÃO
medir empolado
com 50%</v>
          </cell>
          <cell r="F690" t="str">
            <v>-</v>
          </cell>
          <cell r="G690" t="str">
            <v>-</v>
          </cell>
          <cell r="H690" t="str">
            <v/>
          </cell>
        </row>
        <row r="691">
          <cell r="A691" t="str">
            <v>RE/0005</v>
          </cell>
          <cell r="B691" t="str">
            <v>COMPOSIÇÃO</v>
          </cell>
          <cell r="C691">
            <v>30.39</v>
          </cell>
          <cell r="D691" t="str">
            <v>Fresagem de pavimento asfáltico para abertura de vala, profundidade até 30 cm, em locais com nível baixo de interferência (REF. SICRO COD. 4011480, data 01/2020 e SINAPI 96001, data 08/2020)</v>
          </cell>
          <cell r="E691"/>
          <cell r="F691" t="str">
            <v>M3</v>
          </cell>
          <cell r="G691">
            <v>79.89</v>
          </cell>
          <cell r="H691" t="str">
            <v>-</v>
          </cell>
        </row>
        <row r="692">
          <cell r="A692" t="str">
            <v>RE/0010</v>
          </cell>
          <cell r="B692" t="str">
            <v>COMPOSIÇÃO</v>
          </cell>
          <cell r="C692"/>
          <cell r="D692" t="str">
            <v>Correção de defeitos por fresagem descontínua, com emprego de fresadora e minicarregadeira (REF. SICRO COD. 4915705, data 01/2020)</v>
          </cell>
          <cell r="E692"/>
          <cell r="F692" t="str">
            <v>M3</v>
          </cell>
          <cell r="G692">
            <v>316.47000000000003</v>
          </cell>
          <cell r="H692" t="str">
            <v>-</v>
          </cell>
        </row>
        <row r="693">
          <cell r="A693" t="str">
            <v>RE/0015</v>
          </cell>
          <cell r="B693" t="str">
            <v>COMPOSIÇÃO</v>
          </cell>
          <cell r="C693"/>
          <cell r="D693" t="str">
            <v>Remendo superfcial (tapa buraco), com requadramento mecânico, escavação, compactação da mistura betuminosa e carga do entulho. Exclusive materiais e bota-fora (REF. SICRO COD. 4915757)</v>
          </cell>
          <cell r="E693"/>
          <cell r="F693" t="str">
            <v>M3</v>
          </cell>
          <cell r="G693">
            <v>199.99</v>
          </cell>
          <cell r="H693" t="str">
            <v>-</v>
          </cell>
        </row>
        <row r="694">
          <cell r="A694" t="str">
            <v>RE/0020</v>
          </cell>
          <cell r="B694" t="str">
            <v>COMPOSIÇÃO</v>
          </cell>
          <cell r="C694"/>
          <cell r="D694" t="str">
            <v>Remendo profundo, com requadramento mecânico, escavação, compactação do material de base e da mistura betuminosa e carga do entulho. Exclusive materiais e bota-fora (REF. SICRO COD. 4915746)</v>
          </cell>
          <cell r="E694"/>
          <cell r="F694" t="str">
            <v>M3</v>
          </cell>
          <cell r="G694">
            <v>116.4</v>
          </cell>
          <cell r="H694" t="str">
            <v>-</v>
          </cell>
        </row>
        <row r="695">
          <cell r="A695" t="str">
            <v>RE/0025</v>
          </cell>
          <cell r="B695" t="str">
            <v>COMPOSIÇÃO</v>
          </cell>
          <cell r="C695"/>
          <cell r="D695" t="str">
            <v>Remoção mecanizada de revestimento betuminoso, com motoniveladora. Exclusive carga e bota-fora (REF. SICRO COD. 4915667)</v>
          </cell>
          <cell r="E695"/>
          <cell r="F695" t="str">
            <v>M3</v>
          </cell>
          <cell r="G695">
            <v>15.27</v>
          </cell>
          <cell r="H695" t="str">
            <v>-</v>
          </cell>
        </row>
        <row r="696">
          <cell r="A696" t="str">
            <v>RE/0030</v>
          </cell>
          <cell r="B696" t="str">
            <v>COMPOSIÇÃO</v>
          </cell>
          <cell r="C696"/>
          <cell r="D696" t="str">
            <v>Remoção mecanizada de camada granular do pavimento, com mototoniveladora. Exclusive carga e bota-fora (REF. SICRO COD. 4915669)</v>
          </cell>
          <cell r="E696"/>
          <cell r="F696" t="str">
            <v>M3</v>
          </cell>
          <cell r="G696">
            <v>14.87</v>
          </cell>
          <cell r="H696" t="str">
            <v>-</v>
          </cell>
        </row>
        <row r="697">
          <cell r="A697">
            <v>94319</v>
          </cell>
          <cell r="B697" t="str">
            <v>SINAPI</v>
          </cell>
          <cell r="C697"/>
          <cell r="D697" t="str">
            <v>Aterro manual de valas com solo argilo-arenoso e compactação mecanizada. AF_05/2016</v>
          </cell>
          <cell r="E697"/>
          <cell r="F697" t="str">
            <v>M3</v>
          </cell>
          <cell r="G697">
            <v>72.41</v>
          </cell>
          <cell r="H697" t="str">
            <v>-</v>
          </cell>
        </row>
        <row r="698">
          <cell r="A698">
            <v>101835</v>
          </cell>
          <cell r="B698" t="str">
            <v>SINAPI</v>
          </cell>
          <cell r="C698"/>
          <cell r="D698" t="str">
            <v>Recomposição de base e ou sub-base para remendo profundo de brita graduada simples - incluso retirada e colocação do material. AF_12/2020</v>
          </cell>
          <cell r="E698"/>
          <cell r="F698" t="str">
            <v>M3</v>
          </cell>
          <cell r="G698">
            <v>266.55</v>
          </cell>
          <cell r="H698" t="str">
            <v>-</v>
          </cell>
        </row>
        <row r="699">
          <cell r="A699">
            <v>101827</v>
          </cell>
          <cell r="B699" t="str">
            <v>SINAPI</v>
          </cell>
          <cell r="C699"/>
          <cell r="D699" t="str">
            <v>Recomposição de base e ou sub-base para remendo profundo de solo brita (40/60) - incluso retirada e colocação do material. AF_12/2020</v>
          </cell>
          <cell r="E699"/>
          <cell r="F699" t="str">
            <v>M3</v>
          </cell>
          <cell r="G699">
            <v>187.87</v>
          </cell>
          <cell r="H699" t="str">
            <v>-</v>
          </cell>
        </row>
        <row r="700">
          <cell r="A700">
            <v>101849</v>
          </cell>
          <cell r="B700" t="str">
            <v>SINAPI</v>
          </cell>
          <cell r="C700"/>
          <cell r="D700" t="str">
            <v>Recomposição de base e ou sub-base para fechamento de valas de brita graduada simples - incluso retirada e colocação do material. AF_12/2020</v>
          </cell>
          <cell r="E700"/>
          <cell r="F700" t="str">
            <v>M3</v>
          </cell>
          <cell r="G700">
            <v>189.94</v>
          </cell>
          <cell r="H700" t="str">
            <v>-</v>
          </cell>
        </row>
        <row r="701">
          <cell r="A701">
            <v>95606</v>
          </cell>
          <cell r="B701" t="str">
            <v>SINAPI</v>
          </cell>
          <cell r="C701"/>
          <cell r="D701" t="str">
            <v>Umidificação de material para valas com caminhão pipa 10000l. AF_11/2016</v>
          </cell>
          <cell r="E701"/>
          <cell r="F701" t="e">
            <v>#N/A</v>
          </cell>
          <cell r="G701" t="e">
            <v>#N/A</v>
          </cell>
          <cell r="H701" t="str">
            <v>VER COMP</v>
          </cell>
        </row>
        <row r="702">
          <cell r="A702" t="str">
            <v>RE/0035</v>
          </cell>
          <cell r="B702" t="str">
            <v>COMPOSIÇÃO</v>
          </cell>
          <cell r="C702"/>
          <cell r="D702" t="str">
            <v>Recomposição manual de base para pavimentação - execução. Exclusive fornecimento de material e transporte</v>
          </cell>
          <cell r="E702" t="str">
            <v>ATENÇÃO
medir volume geométrico</v>
          </cell>
          <cell r="F702" t="str">
            <v>M3</v>
          </cell>
          <cell r="G702">
            <v>34.46</v>
          </cell>
          <cell r="H702" t="str">
            <v>-</v>
          </cell>
        </row>
        <row r="703">
          <cell r="A703" t="str">
            <v>RE/0040</v>
          </cell>
          <cell r="B703" t="str">
            <v>COMPOSIÇÃO</v>
          </cell>
          <cell r="C703"/>
          <cell r="D703" t="str">
            <v>Execução de pré-misturado a frio - PMF, faixa C (semidenso), com emulsão asfáltica RL-1C, aplicação manual em fechamento de vala e remendos. Incluindo fornecimento dos materiais, usinagem e compactação com rolo tandem compacto. Exclusive transporte</v>
          </cell>
          <cell r="E703" t="str">
            <v>B: 1,02222 m³/m²
A: 0,37968 m³/m²
CAL: 87,61905 kg/m²
E = 0,18254 T/m³</v>
          </cell>
          <cell r="F703" t="str">
            <v>M3</v>
          </cell>
          <cell r="G703">
            <v>1037.18</v>
          </cell>
          <cell r="H703" t="str">
            <v>-</v>
          </cell>
        </row>
        <row r="704">
          <cell r="A704" t="str">
            <v>RE/0045</v>
          </cell>
          <cell r="B704" t="str">
            <v>COMPOSIÇÃO</v>
          </cell>
          <cell r="C704"/>
          <cell r="D704" t="str">
            <v>Execução de pré-misturado a frio - PMF, faixa C (semidenso), com emulsão asfáltica RL-1C, aplicação com motoniveladora (reperfilamento). Incluindo fornecimento de materiais. Exclusive transporte</v>
          </cell>
          <cell r="E704"/>
          <cell r="F704" t="str">
            <v>M3</v>
          </cell>
          <cell r="G704">
            <v>1063.08</v>
          </cell>
          <cell r="H704" t="str">
            <v>-</v>
          </cell>
        </row>
        <row r="705">
          <cell r="A705" t="str">
            <v>RE/0050</v>
          </cell>
          <cell r="B705" t="str">
            <v>COMPOSIÇÃO</v>
          </cell>
          <cell r="C705"/>
          <cell r="D705" t="str">
            <v>CBUQ (usina comercial) - aplicação manual em fechamento de vala e remendos. Incluindo fornecimento dos materiais e compactação com rolo tandem compacto. Exclusive transporte. Ref BP 09.05.0500 RIO SCO</v>
          </cell>
          <cell r="E705"/>
          <cell r="F705" t="str">
            <v>M3</v>
          </cell>
          <cell r="G705">
            <v>1542.19</v>
          </cell>
          <cell r="H705" t="str">
            <v>-</v>
          </cell>
        </row>
        <row r="706">
          <cell r="A706" t="str">
            <v>RE/0051</v>
          </cell>
          <cell r="B706" t="str">
            <v>COMPOSIÇÃO</v>
          </cell>
          <cell r="C706"/>
          <cell r="D706" t="str">
            <v>CBUQ (usina comercial) - aplicação manual em fechamento de vala e remendos. Incluindo fornecimento dos materiais e compactação com rolo tandem compacto. Exclusive transporte</v>
          </cell>
          <cell r="E706"/>
          <cell r="F706" t="str">
            <v>M3</v>
          </cell>
          <cell r="G706">
            <v>1170.9000000000001</v>
          </cell>
          <cell r="H706" t="str">
            <v>-</v>
          </cell>
        </row>
        <row r="707">
          <cell r="A707" t="str">
            <v>RE/0052</v>
          </cell>
          <cell r="B707" t="str">
            <v>COMPOSIÇÃO</v>
          </cell>
          <cell r="C707"/>
          <cell r="D707" t="str">
            <v>CBUQ (usina comercial) - aplicação manual em fechamento de vala e remendos. Incluindo fornecimento dos materiais e compactação com rolo tandem compacto. Exclusive transporte</v>
          </cell>
          <cell r="E707"/>
          <cell r="F707" t="str">
            <v>M3</v>
          </cell>
          <cell r="G707">
            <v>1512.89</v>
          </cell>
          <cell r="H707" t="str">
            <v>-</v>
          </cell>
        </row>
        <row r="708">
          <cell r="A708" t="str">
            <v>RE/0053</v>
          </cell>
          <cell r="B708" t="str">
            <v>COMPOSIÇÃO</v>
          </cell>
          <cell r="C708"/>
          <cell r="D708" t="str">
            <v>CBUQ (usina comercial) - aplicação manual em fechamento de vala e remendos. Incluindo fornecimento dos materiais e compactação com rolo tandem compacto. Exclusive transporte</v>
          </cell>
          <cell r="E708"/>
          <cell r="F708" t="str">
            <v>M3</v>
          </cell>
          <cell r="G708">
            <v>1199.9000000000001</v>
          </cell>
          <cell r="H708" t="str">
            <v>-</v>
          </cell>
        </row>
        <row r="709">
          <cell r="A709" t="str">
            <v>RE/0055</v>
          </cell>
          <cell r="B709" t="str">
            <v>COMPOSIÇÃO</v>
          </cell>
          <cell r="C709"/>
          <cell r="D709" t="str">
            <v>CBUQ (usina comercial) - aplicação com motoniveladora (reperfilamento). Incluindo fornecimento de materiais. Exclusive transporte</v>
          </cell>
          <cell r="E709"/>
          <cell r="F709" t="str">
            <v>M3</v>
          </cell>
          <cell r="G709">
            <v>1570.13</v>
          </cell>
          <cell r="H709" t="str">
            <v>-</v>
          </cell>
        </row>
        <row r="710">
          <cell r="A710" t="str">
            <v>RE/0056</v>
          </cell>
          <cell r="B710" t="str">
            <v>COMPOSIÇÃO</v>
          </cell>
          <cell r="C710"/>
          <cell r="D710" t="str">
            <v>CBUQ (usina comercial) - aplicação com motoniveladora (reperfilamento). Incluindo fornecimento de materiais. Exclusive transporte</v>
          </cell>
          <cell r="E710"/>
          <cell r="F710" t="str">
            <v>M3</v>
          </cell>
          <cell r="G710">
            <v>1198.8399999999999</v>
          </cell>
          <cell r="H710" t="str">
            <v>-</v>
          </cell>
        </row>
        <row r="711">
          <cell r="A711" t="str">
            <v>RE/0057</v>
          </cell>
          <cell r="B711" t="str">
            <v>COMPOSIÇÃO</v>
          </cell>
          <cell r="C711"/>
          <cell r="D711" t="str">
            <v>CBUQ (usina comercial) - aplicação com motoniveladora (reperfilamento). Incluindo fornecimento de materiais. Exclusive transporte</v>
          </cell>
          <cell r="E711"/>
          <cell r="F711" t="str">
            <v>M3</v>
          </cell>
          <cell r="G711">
            <v>1540.82</v>
          </cell>
          <cell r="H711" t="str">
            <v>-</v>
          </cell>
        </row>
        <row r="712">
          <cell r="A712" t="str">
            <v>RE/0058</v>
          </cell>
          <cell r="B712" t="str">
            <v>COMPOSIÇÃO</v>
          </cell>
          <cell r="C712"/>
          <cell r="D712" t="str">
            <v>CBUQ (usina comercial) - aplicação com motoniveladora (reperfilamento). Incluindo fornecimento de materiais. Exclusive transporte</v>
          </cell>
          <cell r="E712"/>
          <cell r="F712" t="str">
            <v>M3</v>
          </cell>
          <cell r="G712">
            <v>1227.83</v>
          </cell>
          <cell r="H712" t="str">
            <v>-</v>
          </cell>
        </row>
        <row r="713">
          <cell r="A713" t="str">
            <v>RE/0060</v>
          </cell>
          <cell r="B713" t="str">
            <v>COMPOSIÇÃO</v>
          </cell>
          <cell r="C713"/>
          <cell r="D713" t="str">
            <v>Reciclagem simples com incorporação do revestimento asfáltico à base (REF. SICRO COD. 4011481)</v>
          </cell>
          <cell r="E713" t="str">
            <v>ATENÇÃO
medir volume geométrico</v>
          </cell>
          <cell r="F713" t="str">
            <v>M3</v>
          </cell>
          <cell r="G713">
            <v>39.56</v>
          </cell>
          <cell r="H713" t="str">
            <v>-</v>
          </cell>
        </row>
        <row r="714">
          <cell r="A714" t="str">
            <v>RE/0065</v>
          </cell>
          <cell r="B714" t="str">
            <v>COMPOSIÇÃO</v>
          </cell>
          <cell r="C714"/>
          <cell r="D714" t="str">
            <v>Reciclagem com adição de cimento e incorporação do revestimento asfáltico à base. Exclusive fornecimento de cimento (REF. SICRO COD. 4011482)</v>
          </cell>
          <cell r="E714"/>
          <cell r="F714" t="str">
            <v>M3</v>
          </cell>
          <cell r="G714">
            <v>41.19</v>
          </cell>
          <cell r="H714" t="str">
            <v>-</v>
          </cell>
        </row>
        <row r="715">
          <cell r="A715" t="str">
            <v>RE/0070</v>
          </cell>
          <cell r="B715" t="str">
            <v>COMPOSIÇÃO</v>
          </cell>
          <cell r="C715"/>
          <cell r="D715" t="str">
            <v>Reciclagem com adição de brita e incorporação do revestimento asfáltico à base. Exclusive fornecimento de brita (REF. SICRO COD. 4011484)</v>
          </cell>
          <cell r="E715"/>
          <cell r="F715" t="str">
            <v>M3</v>
          </cell>
          <cell r="G715">
            <v>42.37</v>
          </cell>
          <cell r="H715" t="str">
            <v>-</v>
          </cell>
        </row>
        <row r="716">
          <cell r="A716" t="str">
            <v>RE/0075</v>
          </cell>
          <cell r="B716" t="str">
            <v>COMPOSIÇÃO</v>
          </cell>
          <cell r="C716"/>
          <cell r="D716" t="str">
            <v>Microrrevestimento a frio - Microflex, espessura 0,8 cm, com emulsão asfáltica polimerizada RC-1C-E, execução e fornecimento de materiais. Exclusive transportes de insumos e do ligante betuminoso (REF. SICRO COD. 4011408)</v>
          </cell>
          <cell r="E716" t="str">
            <v>pó pedra: 0,012m³/m²
emulsão:0,00194T/m²
calcário: 0,00012m³/m²</v>
          </cell>
          <cell r="F716" t="str">
            <v>M2</v>
          </cell>
          <cell r="G716">
            <v>10.9</v>
          </cell>
          <cell r="H716" t="str">
            <v>-</v>
          </cell>
        </row>
        <row r="717">
          <cell r="A717" t="str">
            <v>RE/0080</v>
          </cell>
          <cell r="B717" t="str">
            <v>COMPOSIÇÃO</v>
          </cell>
          <cell r="C717"/>
          <cell r="D717" t="str">
            <v>Microrrevestimento a frio - Microflex, espessura 1,5 cm, com emulsão asfáltica polimerizada RC-1C-E, execução e fornecimento de materiais. Exclusive transportes de insumos e do ligante betuminoso (REF. SICRO COD. 4011410)</v>
          </cell>
          <cell r="E717" t="str">
            <v>pó pedra: 0,0225m³/m² emulsão:0,0032T/m² calcário: 0,000225m³/m²</v>
          </cell>
          <cell r="F717" t="str">
            <v>M2</v>
          </cell>
          <cell r="G717">
            <v>18.22</v>
          </cell>
          <cell r="H717" t="str">
            <v>-</v>
          </cell>
        </row>
        <row r="718">
          <cell r="A718" t="str">
            <v>RE/0085</v>
          </cell>
          <cell r="B718" t="str">
            <v>COMPOSIÇÃO</v>
          </cell>
          <cell r="C718"/>
          <cell r="D718" t="str">
            <v>Microrrevestimento a frio - Microflex, espessura 2,0 cm, com emulsão asfáltica polimerizada RC-1C-E, execução e fornecimento de materiais. Exclusive transportes de insumos e do ligante betuminoso (REF. SICRO COD. 4011412)</v>
          </cell>
          <cell r="E718"/>
          <cell r="F718" t="str">
            <v>M2</v>
          </cell>
          <cell r="G718">
            <v>22.65</v>
          </cell>
          <cell r="H718" t="str">
            <v>-</v>
          </cell>
        </row>
        <row r="719">
          <cell r="A719" t="str">
            <v>RE/0090</v>
          </cell>
          <cell r="B719" t="str">
            <v>COMPOSIÇÃO</v>
          </cell>
          <cell r="C719"/>
          <cell r="D719" t="str">
            <v>Reciclagem com adição de cimento e incorporação do revestimento asfáltico à base. Exclusive fornecimento de cimento (REF. SICRO COD. 4011482, DB 01/2020)</v>
          </cell>
          <cell r="E719"/>
          <cell r="F719" t="str">
            <v>M3</v>
          </cell>
          <cell r="G719">
            <v>37.26</v>
          </cell>
          <cell r="H719" t="str">
            <v>-</v>
          </cell>
        </row>
        <row r="720">
          <cell r="A720">
            <v>1379</v>
          </cell>
          <cell r="B720" t="str">
            <v>COTAÇÃO - SINAPI</v>
          </cell>
          <cell r="C720"/>
          <cell r="D720" t="str">
            <v>Cimento portland composto CP II-32</v>
          </cell>
          <cell r="E720"/>
          <cell r="F720" t="str">
            <v xml:space="preserve">KG    </v>
          </cell>
          <cell r="G720">
            <v>0.8</v>
          </cell>
          <cell r="H720" t="str">
            <v>-</v>
          </cell>
        </row>
        <row r="721">
          <cell r="A721">
            <v>4721</v>
          </cell>
          <cell r="B721" t="str">
            <v>COTAÇÃO - SINAPI</v>
          </cell>
          <cell r="C721"/>
          <cell r="D721" t="str">
            <v>Pedra britada n. 1 (9,5 A 19 mm) posto pedreira/fornecedor, sem frete</v>
          </cell>
          <cell r="E721"/>
          <cell r="F721" t="str">
            <v xml:space="preserve">M3    </v>
          </cell>
          <cell r="G721">
            <v>104.45</v>
          </cell>
          <cell r="H721" t="str">
            <v>-</v>
          </cell>
        </row>
        <row r="722">
          <cell r="A722">
            <v>4730</v>
          </cell>
          <cell r="B722" t="str">
            <v>COTAÇÃO - SINAPI</v>
          </cell>
          <cell r="C722"/>
          <cell r="D722" t="str">
            <v>Pedra de mão ou pedra rachão para arrimo/fundação (posto pedreira/fornecedor, sem frete)</v>
          </cell>
          <cell r="E722"/>
          <cell r="F722" t="str">
            <v xml:space="preserve">M3    </v>
          </cell>
          <cell r="G722">
            <v>98.17</v>
          </cell>
          <cell r="H722" t="str">
            <v>-</v>
          </cell>
        </row>
        <row r="723">
          <cell r="A723"/>
          <cell r="B723"/>
          <cell r="C723"/>
          <cell r="D723"/>
          <cell r="E723"/>
          <cell r="F723"/>
          <cell r="G723"/>
          <cell r="H723"/>
        </row>
        <row r="724">
          <cell r="A724"/>
          <cell r="B724"/>
          <cell r="C724" t="str">
            <v>9.0</v>
          </cell>
          <cell r="D724" t="str">
            <v>IMPLANTAÇÃO ASFÁLTICA - TERRAPLENAGEM</v>
          </cell>
          <cell r="E724"/>
          <cell r="F724"/>
          <cell r="G724"/>
          <cell r="H724" t="str">
            <v/>
          </cell>
        </row>
        <row r="725">
          <cell r="A725" t="str">
            <v>PA/0005</v>
          </cell>
          <cell r="B725" t="str">
            <v>COMPOSIÇÃO</v>
          </cell>
          <cell r="C725">
            <v>42</v>
          </cell>
          <cell r="D725" t="str">
            <v>Preparo do subleito, escavação e carga. Exclusive transporte</v>
          </cell>
          <cell r="E725"/>
          <cell r="F725" t="str">
            <v>M3</v>
          </cell>
          <cell r="G725">
            <v>5.7</v>
          </cell>
          <cell r="H725" t="str">
            <v>-</v>
          </cell>
        </row>
        <row r="726">
          <cell r="A726" t="str">
            <v>PA/0006</v>
          </cell>
          <cell r="B726" t="str">
            <v>COMPOSIÇÃO</v>
          </cell>
          <cell r="C726"/>
          <cell r="D726" t="str">
            <v>Reforço do subleito com material de jazida. Ref SICRO cód 4011211, db 01-23</v>
          </cell>
          <cell r="E726"/>
          <cell r="F726" t="str">
            <v>M3</v>
          </cell>
          <cell r="G726">
            <v>15.1</v>
          </cell>
          <cell r="H726" t="str">
            <v>-</v>
          </cell>
        </row>
        <row r="727">
          <cell r="A727"/>
          <cell r="B727" t="str">
            <v>REPETIDO</v>
          </cell>
          <cell r="C727" t="str">
            <v>74205/1</v>
          </cell>
          <cell r="D727" t="str">
            <v>Escavação mecânica de material 1a categoria, proveniente de corte de subleito (com trator esteiras 160HP). Exclusive carga e transporte</v>
          </cell>
          <cell r="E727" t="str">
            <v>ATENÇÃO
medir empolado
com 30%</v>
          </cell>
          <cell r="F727" t="str">
            <v>-</v>
          </cell>
          <cell r="G727" t="str">
            <v>-</v>
          </cell>
          <cell r="H727" t="str">
            <v/>
          </cell>
        </row>
        <row r="728">
          <cell r="A728" t="str">
            <v>PA/0010</v>
          </cell>
          <cell r="B728" t="str">
            <v>COMPOSIÇÃO</v>
          </cell>
          <cell r="C728">
            <v>34.479999999999997</v>
          </cell>
          <cell r="D728" t="str">
            <v>Colchão de rachão e/ou pedra-de-mão, com camada final de pedra brita. Fornecimento e execução. Exclusive transporte da pedra</v>
          </cell>
          <cell r="E728" t="str">
            <v>ATENÇÃO
não medir
com empolado</v>
          </cell>
          <cell r="F728" t="str">
            <v>M3</v>
          </cell>
          <cell r="G728">
            <v>147.65</v>
          </cell>
          <cell r="H728" t="str">
            <v>-</v>
          </cell>
        </row>
        <row r="729">
          <cell r="A729" t="str">
            <v>PA/0015</v>
          </cell>
          <cell r="B729" t="str">
            <v>COMPOSIÇÃO</v>
          </cell>
          <cell r="C729"/>
          <cell r="D729" t="str">
            <v>Escavação, carga e transporte de solos moles em campo aberto com escavadeira hidráulica com esteira e caminhão basculante, DMT de 50 a 200m em leito natural (REF. SICRO2 COD. 5502899)</v>
          </cell>
          <cell r="E729"/>
          <cell r="F729" t="str">
            <v>M3</v>
          </cell>
          <cell r="G729">
            <v>16.920000000000002</v>
          </cell>
          <cell r="H729" t="str">
            <v>-</v>
          </cell>
        </row>
        <row r="730">
          <cell r="A730">
            <v>101115</v>
          </cell>
          <cell r="B730" t="str">
            <v>SINAPI</v>
          </cell>
          <cell r="C730"/>
          <cell r="D730" t="str">
            <v>Escavação horizontal em solo de 1a categoria com trator de esteiras (150 HP /lâmina: 3,18 m3). AF_07/2020</v>
          </cell>
          <cell r="E730"/>
          <cell r="F730" t="str">
            <v>M3</v>
          </cell>
          <cell r="G730">
            <v>3.27</v>
          </cell>
          <cell r="H730" t="str">
            <v>-</v>
          </cell>
        </row>
        <row r="731">
          <cell r="A731">
            <v>101125</v>
          </cell>
          <cell r="B731" t="str">
            <v>SINAPI</v>
          </cell>
          <cell r="C731" t="str">
            <v>74151/1</v>
          </cell>
          <cell r="D731" t="str">
            <v>Escavação horizontal, incluindo carga e descarga em solo de 1a categoria com trator de esteiras (150 HP / lâmina: 3,18 m3). AF_07/2020</v>
          </cell>
          <cell r="E731"/>
          <cell r="F731" t="str">
            <v>M3</v>
          </cell>
          <cell r="G731">
            <v>13.39</v>
          </cell>
          <cell r="H731" t="str">
            <v>-</v>
          </cell>
        </row>
        <row r="732">
          <cell r="A732">
            <v>101135</v>
          </cell>
          <cell r="B732" t="str">
            <v>SINAPI</v>
          </cell>
          <cell r="C732"/>
          <cell r="D732" t="str">
            <v>Escavação horizontal, incluindo carga, descarga e transporte em solo de 1a categoria com trator de esteiras (150HP/lâmina: 3,18m3) e caminhão basculante de 10m3, DMT até 200m. AF_07/2020</v>
          </cell>
          <cell r="E732"/>
          <cell r="F732" t="str">
            <v>M3</v>
          </cell>
          <cell r="G732">
            <v>14.02</v>
          </cell>
          <cell r="H732" t="str">
            <v>-</v>
          </cell>
        </row>
        <row r="733">
          <cell r="A733">
            <v>101147</v>
          </cell>
          <cell r="B733" t="str">
            <v>SINAPI</v>
          </cell>
          <cell r="C733"/>
          <cell r="D733" t="str">
            <v>Escavação horizontal, incluindo carga, descarga e transporte em solo de 1a categoria com trator de esteiras (347HP/lâmina: 8,70m3) e caminhão basculante de 14m3, DMT até 200m. AF_07/2020</v>
          </cell>
          <cell r="E733"/>
          <cell r="F733" t="str">
            <v>M3</v>
          </cell>
          <cell r="G733">
            <v>13.8</v>
          </cell>
          <cell r="H733" t="str">
            <v>-</v>
          </cell>
        </row>
        <row r="734">
          <cell r="A734" t="str">
            <v>PA/00xx</v>
          </cell>
          <cell r="B734" t="str">
            <v>CRIAR COMPOSIÇÃO</v>
          </cell>
          <cell r="C734"/>
          <cell r="D734" t="str">
            <v>Escavação vertical a céu aberto, em obras de infraestrutura, incluindo carga, descarga e transporte, em solo de 1a categoria com escavadeira hidráulica (caçamba: 0,80 m3 / 111HP), frota de 3 caminhões basculantes de 6 m3, DMT até 1 km e velocidade média 14km/h. AF_05/2020</v>
          </cell>
          <cell r="E734"/>
          <cell r="F734" t="str">
            <v>-</v>
          </cell>
          <cell r="G734" t="str">
            <v>-</v>
          </cell>
          <cell r="H734" t="str">
            <v>-</v>
          </cell>
        </row>
        <row r="735">
          <cell r="A735">
            <v>101266</v>
          </cell>
          <cell r="B735" t="str">
            <v>SINAPI</v>
          </cell>
          <cell r="C735">
            <v>74.63</v>
          </cell>
          <cell r="D735" t="str">
            <v>Escavação vertical a céu aberto, em obras de infraestrutura, incluindo carga, descarga e transporte, em solo de 1a categoria com escavadeira hidráulica (caçamba: 0,80 m3 / 111 HP), frota de 3 caminhões basculantes de 10 m3, DMT até 1 km e velocidade média 14 km/h. AF_05/2020</v>
          </cell>
          <cell r="E735"/>
          <cell r="F735" t="str">
            <v>M3</v>
          </cell>
          <cell r="G735">
            <v>10.74</v>
          </cell>
          <cell r="H735" t="str">
            <v>-</v>
          </cell>
        </row>
        <row r="736">
          <cell r="A736">
            <v>101268</v>
          </cell>
          <cell r="B736" t="str">
            <v>SINAPI</v>
          </cell>
          <cell r="C736">
            <v>74.63</v>
          </cell>
          <cell r="D736" t="str">
            <v>Escavação vertical a céu aberto, em obras de infraestrutura, incluindo carga, descarga e transporte, em solo de 1a categoria com escavadeira hidráulica (caçamba: 0,80 m3 / 111 HP), frota de 5 caminhões basculantes de 10 m3, DMT de 1,50 km e velocidade média 18 km/h. AF_05/2020</v>
          </cell>
          <cell r="E736"/>
          <cell r="F736" t="str">
            <v>M3</v>
          </cell>
          <cell r="G736">
            <v>16.940000000000001</v>
          </cell>
          <cell r="H736" t="str">
            <v>-</v>
          </cell>
        </row>
        <row r="737">
          <cell r="A737">
            <v>101269</v>
          </cell>
          <cell r="B737" t="str">
            <v>SINAPI</v>
          </cell>
          <cell r="C737">
            <v>74.63</v>
          </cell>
          <cell r="D737" t="str">
            <v>Escavação vertical a céu aberto, em obras de infraestrutura, incluindo carga, descarga e transporte, em solo de 1a categoria com escavadeira hidráulica (caçamba: 0,80 m3 / 111 HP), frota de 6 caminhões basculantes de 10 m3, DMT de 2 km e velocidade média 19 km/h. AF_05/2020</v>
          </cell>
          <cell r="E737"/>
          <cell r="F737" t="str">
            <v>M3</v>
          </cell>
          <cell r="G737">
            <v>18.86</v>
          </cell>
          <cell r="H737" t="str">
            <v>-</v>
          </cell>
        </row>
        <row r="738">
          <cell r="A738">
            <v>101270</v>
          </cell>
          <cell r="B738" t="str">
            <v>SINAPI</v>
          </cell>
          <cell r="C738">
            <v>74.63</v>
          </cell>
          <cell r="D738" t="str">
            <v>Escavação vertical a céu aberto, em obras de infraestrutura, incluindo carga, descarga e transporte, em solo de 1a categoria com escavadeira hidráulica (caçamba: 0,80 m3 / 111 HP), frota de 7 caminhões basculantes de 10 m3, DMT de 3 km e velocidade média 20 km/h. AF_05/2020</v>
          </cell>
          <cell r="E738"/>
          <cell r="F738" t="str">
            <v>M3</v>
          </cell>
          <cell r="G738">
            <v>21.84</v>
          </cell>
          <cell r="H738" t="str">
            <v>-</v>
          </cell>
        </row>
        <row r="739">
          <cell r="A739">
            <v>101271</v>
          </cell>
          <cell r="B739" t="str">
            <v>SINAPI</v>
          </cell>
          <cell r="C739">
            <v>74.63</v>
          </cell>
          <cell r="D739" t="str">
            <v>Escavação vertical a céu aberto, em obras de infraestrutura, incluindo carga, descarga e transporte, em solo de 1a categoria com escavadeira hidráulica (caçamba: 0,80 m3 / 111 HP), frota de 8 caminhões basculantes de 10 m3, DMT de 4 km e velocidade média 22 km/h. AF_05/2020</v>
          </cell>
          <cell r="E739"/>
          <cell r="F739" t="str">
            <v>M3</v>
          </cell>
          <cell r="G739">
            <v>24.22</v>
          </cell>
          <cell r="H739" t="str">
            <v>-</v>
          </cell>
        </row>
        <row r="740">
          <cell r="A740">
            <v>101272</v>
          </cell>
          <cell r="B740" t="str">
            <v>SINAPI</v>
          </cell>
          <cell r="C740">
            <v>74.63</v>
          </cell>
          <cell r="D740" t="str">
            <v>Escavação vertical a céu aberto, em obras de infraestrutura, incluindo carga, descarga e transporte, em solo de 1a categoria com escavadeira hidráulica (caçamba: 0,80 m3 / 111 HP), frota de 10 caminhões basculantes de 10 m3, DMT de 6 km e velocidade média 22 km/h. AF_05/2020</v>
          </cell>
          <cell r="E740"/>
          <cell r="F740" t="str">
            <v>M3</v>
          </cell>
          <cell r="G740">
            <v>30.23</v>
          </cell>
          <cell r="H740" t="str">
            <v>-</v>
          </cell>
        </row>
        <row r="741">
          <cell r="A741">
            <v>101230</v>
          </cell>
          <cell r="B741" t="str">
            <v>SINAPI</v>
          </cell>
          <cell r="C741" t="str">
            <v>83338
52,08 m3/h</v>
          </cell>
          <cell r="D741" t="str">
            <v>Escavação vertical a céu aberto, em obras de infraestrutura, incluindo carga, descarga e transporte, em solo de 1a categoria com escavadeira hidráulica (caçamba: 0,80 m3 / 111 HP), frota de 3 caminhões basculantes de 14 m3, DMT até 1 km e velocidade média 14 km/h. AF_05/2020</v>
          </cell>
          <cell r="E741" t="str">
            <v>ATENÇÃO
usar em jazida</v>
          </cell>
          <cell r="F741" t="str">
            <v>M3</v>
          </cell>
          <cell r="G741">
            <v>10.59</v>
          </cell>
          <cell r="H741" t="str">
            <v>-</v>
          </cell>
        </row>
        <row r="742">
          <cell r="A742">
            <v>101232</v>
          </cell>
          <cell r="B742" t="str">
            <v>SINAPI</v>
          </cell>
          <cell r="C742">
            <v>109.89</v>
          </cell>
          <cell r="D742" t="str">
            <v>Escavação vertical a céu aberto, em obras de infraestrutura, incluindo carga, descarga e transporte, em solo de 1a categoria com escavadeira hidráulica (caçamba: 1,20 m3 / 155 HP), frota de 3 caminhões basculantes de 14 m3, DMT até 1 km e velocidade média 14 km/h. AF_05/2020</v>
          </cell>
          <cell r="E742"/>
          <cell r="F742" t="str">
            <v>M3</v>
          </cell>
          <cell r="G742">
            <v>9.06</v>
          </cell>
          <cell r="H742" t="str">
            <v>-</v>
          </cell>
        </row>
        <row r="743">
          <cell r="A743">
            <v>101244</v>
          </cell>
          <cell r="B743" t="str">
            <v>SINAPI</v>
          </cell>
          <cell r="C743">
            <v>109.89</v>
          </cell>
          <cell r="D743" t="str">
            <v>Escavação vertical a céu aberto, em obras de infraestrutura, incluindo carga, descarga e transporte, em solo de 1a categoria com escavadeira hidráulica (caçamba: 1,20 m3 / 155 HP), frota de 6 caminhões basculantes de 14 m3, DMT de 1,50 km e velocidade média 18 km/h. AF_05/2020</v>
          </cell>
          <cell r="E743"/>
          <cell r="F743" t="str">
            <v>M3</v>
          </cell>
          <cell r="G743">
            <v>15.22</v>
          </cell>
          <cell r="H743" t="str">
            <v>-</v>
          </cell>
        </row>
        <row r="744">
          <cell r="A744">
            <v>101245</v>
          </cell>
          <cell r="B744" t="str">
            <v>SINAPI</v>
          </cell>
          <cell r="C744">
            <v>109.89</v>
          </cell>
          <cell r="D744" t="str">
            <v>Escavação vertical a céu aberto, em obras de infraestrutura, incluindo carga, descarga e transporte, em solo de 1a categoria com escavadeira hidráulica (caçamba: 1,20 m3 / 155 HP), frota de 6 caminhões basculantes de 14 m3, DMT de 2 km e velocidade média 19 km/h. AF_05/2020</v>
          </cell>
          <cell r="E744"/>
          <cell r="F744" t="str">
            <v>M3</v>
          </cell>
          <cell r="G744">
            <v>16.100000000000001</v>
          </cell>
          <cell r="H744" t="str">
            <v>-</v>
          </cell>
        </row>
        <row r="745">
          <cell r="A745">
            <v>101246</v>
          </cell>
          <cell r="B745" t="str">
            <v>SINAPI</v>
          </cell>
          <cell r="C745">
            <v>109.89</v>
          </cell>
          <cell r="D745" t="str">
            <v>Escavação vertical a céu aberto, em obras de infraestrutura, incluindo carga, descarga e transporte, em solo de 1a categoria com escavadeira hidráulica (caçamba: 1,20 m3 / 155 HP), frota de 7 caminhões basculantes de 14 m3, DMT de 3 km e velocidade média 20 km/h. AF_05/2020</v>
          </cell>
          <cell r="E745"/>
          <cell r="F745" t="str">
            <v>M3</v>
          </cell>
          <cell r="G745">
            <v>18.72</v>
          </cell>
          <cell r="H745" t="str">
            <v>-</v>
          </cell>
        </row>
        <row r="746">
          <cell r="A746">
            <v>101247</v>
          </cell>
          <cell r="B746" t="str">
            <v>SINAPI</v>
          </cell>
          <cell r="C746">
            <v>109.89</v>
          </cell>
          <cell r="D746" t="str">
            <v>Escavação vertical a céu aberto, em obras de infraestrutura, incluindo carga, descarga e transporte, em solo de 1a categoria com escavadeira hidráulica (caçamba: 1,20 m3 / 155 HP), frota de 8 caminhões basculantes de 14 m3, DMT de 4 km e velocidade média 22 km/h. AF_05/2020</v>
          </cell>
          <cell r="E746"/>
          <cell r="F746" t="str">
            <v>M3</v>
          </cell>
          <cell r="G746">
            <v>20.78</v>
          </cell>
          <cell r="H746" t="str">
            <v>-</v>
          </cell>
        </row>
        <row r="747">
          <cell r="A747">
            <v>101248</v>
          </cell>
          <cell r="B747" t="str">
            <v>SINAPI</v>
          </cell>
          <cell r="C747">
            <v>109.89</v>
          </cell>
          <cell r="D747" t="str">
            <v>Escavação vertical a céu aberto, em obras de infraestrutura, incluindo carga, descarga e transporte, em solo de 1a categoria com escavadeira hidráulica (caçamba: 1,20 m3 / 155 HP), frota de 10 caminhões basculantes de 14 m3, DMT de 6 km e velocidade média 22km/h. AF_05/2020</v>
          </cell>
          <cell r="E747"/>
          <cell r="F747" t="str">
            <v>M3</v>
          </cell>
          <cell r="G747">
            <v>26.02</v>
          </cell>
          <cell r="H747" t="str">
            <v>-</v>
          </cell>
        </row>
        <row r="748">
          <cell r="A748">
            <v>96385</v>
          </cell>
          <cell r="B748" t="str">
            <v>SINAPI</v>
          </cell>
          <cell r="C748">
            <v>30.3</v>
          </cell>
          <cell r="D748" t="str">
            <v>Execução e compactação de aterro com solo predominantemente argiloso - exclusive solo, escavação, carga e transporte. AF_11/2019</v>
          </cell>
          <cell r="E748"/>
          <cell r="F748" t="str">
            <v>M3</v>
          </cell>
          <cell r="G748">
            <v>10.88</v>
          </cell>
          <cell r="H748" t="str">
            <v>-</v>
          </cell>
        </row>
        <row r="749">
          <cell r="A749">
            <v>96386</v>
          </cell>
          <cell r="B749" t="str">
            <v>SINAPI</v>
          </cell>
          <cell r="C749">
            <v>47.62</v>
          </cell>
          <cell r="D749" t="str">
            <v>Execução e compactação de aterro com solo predominantemente arenoso - exclusive solo, escavação, carga e transporte. AF_11/2019</v>
          </cell>
          <cell r="E749"/>
          <cell r="F749" t="str">
            <v>M3</v>
          </cell>
          <cell r="G749">
            <v>8.2200000000000006</v>
          </cell>
          <cell r="H749" t="str">
            <v>-</v>
          </cell>
        </row>
        <row r="750">
          <cell r="A750"/>
          <cell r="B750" t="str">
            <v>REPETIDO</v>
          </cell>
          <cell r="C750">
            <v>100574</v>
          </cell>
          <cell r="D750" t="str">
            <v>Espalhamento de material, com utilização de trator de esteiras de 165 HP</v>
          </cell>
          <cell r="E750"/>
          <cell r="F750" t="str">
            <v>-</v>
          </cell>
          <cell r="G750" t="str">
            <v>-</v>
          </cell>
          <cell r="H750" t="str">
            <v/>
          </cell>
        </row>
        <row r="751">
          <cell r="A751"/>
          <cell r="B751" t="str">
            <v>REPETIDO</v>
          </cell>
          <cell r="C751">
            <v>6079</v>
          </cell>
          <cell r="D751" t="str">
            <v>Argila, argila vermelha, argila arenosa ou arenito  (posto jazida / fornecedor, sem frete)</v>
          </cell>
          <cell r="E751" t="str">
            <v>ATENÇÃO
medir empolado com 25%</v>
          </cell>
          <cell r="F751" t="str">
            <v>-</v>
          </cell>
          <cell r="G751" t="str">
            <v>-</v>
          </cell>
          <cell r="H751" t="str">
            <v/>
          </cell>
        </row>
        <row r="752">
          <cell r="A752">
            <v>4746</v>
          </cell>
          <cell r="B752" t="str">
            <v>COTAÇÃO - SINAPI</v>
          </cell>
          <cell r="C752"/>
          <cell r="D752" t="str">
            <v>Pedregulho ou piçarra de jazida, ao natural, para base de pavimentação (retirado na jazida, sem transporte)</v>
          </cell>
          <cell r="E752" t="str">
            <v>ATENÇÃO
medir empolado com 30%</v>
          </cell>
          <cell r="F752" t="str">
            <v xml:space="preserve">M3    </v>
          </cell>
          <cell r="G752">
            <v>73.319999999999993</v>
          </cell>
          <cell r="H752" t="str">
            <v>-</v>
          </cell>
        </row>
        <row r="753">
          <cell r="A753"/>
          <cell r="B753" t="str">
            <v>REPETIDO</v>
          </cell>
          <cell r="C753">
            <v>368</v>
          </cell>
          <cell r="D753" t="str">
            <v>Areia para aterro - posto jazida / fornecedor (sem frete)</v>
          </cell>
          <cell r="E753"/>
          <cell r="F753" t="str">
            <v>-</v>
          </cell>
          <cell r="G753" t="str">
            <v>-</v>
          </cell>
          <cell r="H753" t="str">
            <v/>
          </cell>
        </row>
        <row r="754">
          <cell r="A754"/>
          <cell r="B754"/>
          <cell r="C754"/>
          <cell r="D754"/>
          <cell r="E754"/>
          <cell r="F754"/>
          <cell r="G754"/>
          <cell r="H754"/>
        </row>
        <row r="755">
          <cell r="A755"/>
          <cell r="B755"/>
          <cell r="C755" t="str">
            <v>10.0</v>
          </cell>
          <cell r="D755" t="str">
            <v>IMPLANTAÇÃO ASFÁLTICA - PAVIMENTAÇÃO</v>
          </cell>
          <cell r="E755"/>
          <cell r="F755"/>
          <cell r="G755"/>
          <cell r="H755" t="str">
            <v/>
          </cell>
        </row>
        <row r="756">
          <cell r="A756">
            <v>100576</v>
          </cell>
          <cell r="B756" t="str">
            <v>SINAPI</v>
          </cell>
          <cell r="C756">
            <v>125</v>
          </cell>
          <cell r="D756" t="str">
            <v>Regularização e compactação de subleito de solo predominantemente argiloso. AF_11/2019</v>
          </cell>
          <cell r="E756"/>
          <cell r="F756" t="str">
            <v>M2</v>
          </cell>
          <cell r="G756">
            <v>2.35</v>
          </cell>
          <cell r="H756" t="str">
            <v>-</v>
          </cell>
        </row>
        <row r="757">
          <cell r="A757">
            <v>100577</v>
          </cell>
          <cell r="B757" t="str">
            <v>SINAPI</v>
          </cell>
          <cell r="C757">
            <v>333.33</v>
          </cell>
          <cell r="D757" t="str">
            <v>Regularização e compactação de subleito de solo predominantemente arenoso. AF_11/2019</v>
          </cell>
          <cell r="E757"/>
          <cell r="F757" t="str">
            <v>M2</v>
          </cell>
          <cell r="G757">
            <v>1.1499999999999999</v>
          </cell>
          <cell r="H757" t="str">
            <v>-</v>
          </cell>
        </row>
        <row r="758">
          <cell r="A758" t="str">
            <v>PA/0007</v>
          </cell>
          <cell r="B758" t="str">
            <v>COMPOSIÇÃO</v>
          </cell>
          <cell r="C758"/>
          <cell r="D758" t="str">
            <v>Regularização do subleito. Ref  SICRO cód 4011209, db 01-23</v>
          </cell>
          <cell r="E758"/>
          <cell r="F758" t="str">
            <v>M²</v>
          </cell>
          <cell r="G758">
            <v>0.94</v>
          </cell>
          <cell r="H758" t="str">
            <v>-</v>
          </cell>
        </row>
        <row r="759">
          <cell r="A759" t="str">
            <v>PA/0008</v>
          </cell>
          <cell r="B759" t="str">
            <v>COMPOSIÇÃO</v>
          </cell>
          <cell r="C759">
            <v>125</v>
          </cell>
          <cell r="D759" t="str">
            <v>Regularização e compactação de subleito de solo predominantemente argiloso. Ref  SICRO cód 4011209 e SINAPI CÓD 100576, db 01-23</v>
          </cell>
          <cell r="E759"/>
          <cell r="F759" t="str">
            <v>M²</v>
          </cell>
          <cell r="G759">
            <v>2.58</v>
          </cell>
          <cell r="H759" t="str">
            <v>-</v>
          </cell>
        </row>
        <row r="760">
          <cell r="A760"/>
          <cell r="B760" t="str">
            <v>REPETIDO</v>
          </cell>
          <cell r="C760">
            <v>4746</v>
          </cell>
          <cell r="D760" t="str">
            <v>Pedregulho ou piçarra de jazida, ao natural, para base de pavimentação (posto jazida / fornecedor, sem frete)</v>
          </cell>
          <cell r="E760" t="str">
            <v>ATENÇÃO
medir empolado com 30%</v>
          </cell>
          <cell r="F760" t="str">
            <v>-</v>
          </cell>
          <cell r="G760" t="str">
            <v>-</v>
          </cell>
          <cell r="H760" t="str">
            <v/>
          </cell>
        </row>
        <row r="761">
          <cell r="A761">
            <v>4729</v>
          </cell>
          <cell r="B761" t="str">
            <v>COTAÇÃO - SINAPI</v>
          </cell>
          <cell r="C761"/>
          <cell r="D761" t="str">
            <v>Pedra britada graduada, classificada (posto pedreira/fornecedor, sem frete)</v>
          </cell>
          <cell r="E761" t="str">
            <v>ATENÇÃO
medir empolado com 46,67%</v>
          </cell>
          <cell r="F761" t="str">
            <v xml:space="preserve">M3    </v>
          </cell>
          <cell r="G761">
            <v>105.24</v>
          </cell>
          <cell r="H761" t="str">
            <v>-</v>
          </cell>
        </row>
        <row r="762">
          <cell r="A762">
            <v>4743</v>
          </cell>
          <cell r="B762" t="str">
            <v>COTAÇÃO - SINAPI</v>
          </cell>
          <cell r="C762"/>
          <cell r="D762" t="str">
            <v>Cascalho de cava</v>
          </cell>
          <cell r="E762" t="str">
            <v>ATENÇÃO
medir empolado com 25%</v>
          </cell>
          <cell r="F762" t="str">
            <v xml:space="preserve">M3    </v>
          </cell>
          <cell r="G762">
            <v>60.9</v>
          </cell>
          <cell r="H762" t="str">
            <v>-</v>
          </cell>
        </row>
        <row r="763">
          <cell r="A763">
            <v>4748</v>
          </cell>
          <cell r="B763" t="str">
            <v>COTAÇÃO - SINAPI</v>
          </cell>
          <cell r="C763"/>
          <cell r="D763" t="str">
            <v>Pedra britada ou bica corrida, não classificada (posto pedreira/fornecedor, sem frete)</v>
          </cell>
          <cell r="E763" t="str">
            <v>ATENÇÃO
medir empolado com 37,5%</v>
          </cell>
          <cell r="F763" t="str">
            <v xml:space="preserve">M3    </v>
          </cell>
          <cell r="G763">
            <v>96.47</v>
          </cell>
          <cell r="H763" t="str">
            <v>-</v>
          </cell>
        </row>
        <row r="764">
          <cell r="A764">
            <v>96396</v>
          </cell>
          <cell r="B764" t="str">
            <v>SINAPI</v>
          </cell>
          <cell r="C764">
            <v>33.33</v>
          </cell>
          <cell r="D764" t="str">
            <v>Execução e compactação de base e ou sub base para pavimentação de brita graduada simples - exclusive carga e transporte. AF_11/2019</v>
          </cell>
          <cell r="E764"/>
          <cell r="F764" t="str">
            <v>M3</v>
          </cell>
          <cell r="G764">
            <v>177.8</v>
          </cell>
          <cell r="H764" t="str">
            <v>-</v>
          </cell>
        </row>
        <row r="765">
          <cell r="A765" t="str">
            <v>PA/0018</v>
          </cell>
          <cell r="B765" t="str">
            <v>COMPOSIÇÃO</v>
          </cell>
          <cell r="C765">
            <v>33.33</v>
          </cell>
          <cell r="D765" t="str">
            <v>Usinagem de brita graduada simples, exclusive fornecimento de materiais (REF. SINAPI COD. 96393, DB 05-2021)</v>
          </cell>
          <cell r="E765"/>
          <cell r="F765" t="str">
            <v>M3</v>
          </cell>
          <cell r="G765">
            <v>6.09</v>
          </cell>
          <cell r="H765" t="str">
            <v>-</v>
          </cell>
        </row>
        <row r="766">
          <cell r="A766" t="str">
            <v>PA/0020</v>
          </cell>
          <cell r="B766" t="str">
            <v>COMPOSIÇÃO</v>
          </cell>
          <cell r="C766">
            <v>33.33</v>
          </cell>
          <cell r="D766" t="str">
            <v>Execução e compactação de base e ou sub-base com material produto de britagem. Exclusive fornecimento e transporte de materiais (REF. SINAPI COD. 96396)</v>
          </cell>
          <cell r="E766"/>
          <cell r="F766" t="str">
            <v>M3</v>
          </cell>
          <cell r="G766">
            <v>13</v>
          </cell>
          <cell r="H766" t="str">
            <v>-</v>
          </cell>
        </row>
        <row r="767">
          <cell r="A767">
            <v>96397</v>
          </cell>
          <cell r="B767" t="str">
            <v>SINAPI</v>
          </cell>
          <cell r="C767">
            <v>28.57</v>
          </cell>
          <cell r="D767" t="str">
            <v>Execução e compactação de base e ou sub base para pavimentação de brita graduada simples tratada com cimento - exclusive carga e transporte. AF_11/2019</v>
          </cell>
          <cell r="E767"/>
          <cell r="F767" t="str">
            <v>M3</v>
          </cell>
          <cell r="G767">
            <v>246.56</v>
          </cell>
          <cell r="H767" t="str">
            <v>-</v>
          </cell>
        </row>
        <row r="768">
          <cell r="A768" t="str">
            <v>PA/0019</v>
          </cell>
          <cell r="B768" t="str">
            <v>COMPOSIÇÃO</v>
          </cell>
          <cell r="C768"/>
          <cell r="D768" t="str">
            <v>Execução e compactação de base e ou sub-base com material produto de britagem, tratada com cimento. Exclusive transporte de materiais e fornecimento de brita (REF. SINAPI COD. 96397/96394)</v>
          </cell>
          <cell r="E768"/>
          <cell r="F768" t="str">
            <v>M3</v>
          </cell>
          <cell r="G768">
            <v>89.86</v>
          </cell>
          <cell r="H768" t="str">
            <v>-</v>
          </cell>
        </row>
        <row r="769">
          <cell r="A769">
            <v>96388</v>
          </cell>
          <cell r="B769" t="str">
            <v>SINAPI</v>
          </cell>
          <cell r="C769">
            <v>38.46</v>
          </cell>
          <cell r="D769" t="str">
            <v>Execução e compactação de base e ou sub base para pavimentação de solos de comportamento laterítico (arenoso) - exclusive solo, escavação, carga e transporte. AF_11/2019</v>
          </cell>
          <cell r="E769"/>
          <cell r="F769" t="str">
            <v>M3</v>
          </cell>
          <cell r="G769">
            <v>11.61</v>
          </cell>
          <cell r="H769" t="str">
            <v>-</v>
          </cell>
        </row>
        <row r="770">
          <cell r="A770">
            <v>96389</v>
          </cell>
          <cell r="B770" t="str">
            <v>SINAPI</v>
          </cell>
          <cell r="C770">
            <v>38.46</v>
          </cell>
          <cell r="D770" t="str">
            <v>Execução e compactação de base e ou sub base para pavimentação de solo (predominantemente arenoso) com cimento (teor de 2%) - exclusive solo, escavação, carga e transporte. AF_11/2019</v>
          </cell>
          <cell r="E770" t="str">
            <v>???
48,1741</v>
          </cell>
          <cell r="F770" t="str">
            <v>M3</v>
          </cell>
          <cell r="G770">
            <v>54.54</v>
          </cell>
          <cell r="H770" t="str">
            <v>-</v>
          </cell>
        </row>
        <row r="771">
          <cell r="A771">
            <v>96390</v>
          </cell>
          <cell r="B771" t="str">
            <v>SINAPI</v>
          </cell>
          <cell r="C771">
            <v>38.46</v>
          </cell>
          <cell r="D771" t="str">
            <v>Execução e compactação de base e ou sub base para pavimentação de solo (predominantemente arenoso) com cimento (teor de 4%) - exclusive solo, escavação, carga e transporte. AF_11/2019</v>
          </cell>
          <cell r="E771" t="str">
            <v>???
93,0233</v>
          </cell>
          <cell r="F771" t="str">
            <v>M3</v>
          </cell>
          <cell r="G771">
            <v>88.71</v>
          </cell>
          <cell r="H771" t="str">
            <v>-</v>
          </cell>
        </row>
        <row r="772">
          <cell r="A772">
            <v>96391</v>
          </cell>
          <cell r="B772" t="str">
            <v>SINAPI</v>
          </cell>
          <cell r="C772">
            <v>38.46</v>
          </cell>
          <cell r="D772" t="str">
            <v>Execução e compactação de base e ou sub base para pavimentação de solo (predominantemente arenoso) com cimento (teor de 6%) - exclusive solo, escavação, carga e transporte. AF_11/2019</v>
          </cell>
          <cell r="E772" t="str">
            <v>???
136,6637</v>
          </cell>
          <cell r="F772" t="str">
            <v>M3</v>
          </cell>
          <cell r="G772">
            <v>124.37</v>
          </cell>
          <cell r="H772" t="str">
            <v>-</v>
          </cell>
        </row>
        <row r="773">
          <cell r="A773">
            <v>96392</v>
          </cell>
          <cell r="B773" t="str">
            <v>SINAPI</v>
          </cell>
          <cell r="C773">
            <v>38.46</v>
          </cell>
          <cell r="D773" t="str">
            <v>Execução e compactação de base e ou sub base para pavimentação de solo (predominantemente arenoso) com cimento (teor de 8%) - exclusive solo, escavação, carga e transporte. AF_11/2019</v>
          </cell>
          <cell r="E773" t="str">
            <v>???
188,2884</v>
          </cell>
          <cell r="F773" t="str">
            <v>M3</v>
          </cell>
          <cell r="G773">
            <v>158.82</v>
          </cell>
          <cell r="H773" t="str">
            <v>-</v>
          </cell>
        </row>
        <row r="774">
          <cell r="A774">
            <v>96398</v>
          </cell>
          <cell r="B774" t="str">
            <v>SINAPI</v>
          </cell>
          <cell r="C774"/>
          <cell r="D774" t="str">
            <v>Execução e compactação de base e ou sub base para pavimentação de concreto coMPActado com rolo - exclusive carga e transporte. AF_11/2019</v>
          </cell>
          <cell r="E774"/>
          <cell r="F774" t="str">
            <v>M3</v>
          </cell>
          <cell r="G774">
            <v>337.06</v>
          </cell>
          <cell r="H774" t="str">
            <v>-</v>
          </cell>
        </row>
        <row r="775">
          <cell r="A775">
            <v>96399</v>
          </cell>
          <cell r="B775" t="str">
            <v>SINAPI</v>
          </cell>
          <cell r="C775"/>
          <cell r="D775" t="str">
            <v>Execução e compactação de base e ou sub base para pavimentação de pedra rachão  - exclusive carga e transporte. AF_11/2019</v>
          </cell>
          <cell r="E775"/>
          <cell r="F775" t="str">
            <v>M3</v>
          </cell>
          <cell r="G775">
            <v>122.19</v>
          </cell>
          <cell r="H775" t="str">
            <v>-</v>
          </cell>
        </row>
        <row r="776">
          <cell r="A776">
            <v>96400</v>
          </cell>
          <cell r="B776" t="str">
            <v>SINAPI</v>
          </cell>
          <cell r="C776"/>
          <cell r="D776" t="str">
            <v>Execução e compactação de base e ou sub base para pavimentação de macadame seco - exclusive carga e transporte. AF_11/2019</v>
          </cell>
          <cell r="E776"/>
          <cell r="F776" t="str">
            <v>M3</v>
          </cell>
          <cell r="G776">
            <v>159.06</v>
          </cell>
          <cell r="H776" t="str">
            <v>-</v>
          </cell>
        </row>
        <row r="777">
          <cell r="A777">
            <v>100564</v>
          </cell>
          <cell r="B777" t="str">
            <v>SINAPI</v>
          </cell>
          <cell r="C777"/>
          <cell r="D777" t="str">
            <v>Execução e compactação de base e ou sub-base para pavimentação de solo (predominantemente arenoso) brita - 40/60 - exclusive solo, escavação, carga e transporte. AF_11/2019</v>
          </cell>
          <cell r="E777"/>
          <cell r="F777" t="str">
            <v>M3</v>
          </cell>
          <cell r="G777">
            <v>107.81</v>
          </cell>
          <cell r="H777" t="str">
            <v>-</v>
          </cell>
        </row>
        <row r="778">
          <cell r="A778">
            <v>100565</v>
          </cell>
          <cell r="B778" t="str">
            <v>SINAPI</v>
          </cell>
          <cell r="C778"/>
          <cell r="D778" t="str">
            <v>Execução e compactação de base e ou sub-base para pavimentação de solo (predominantemente arenoso) brita - 50/50 - exclusive solo, escavação, carga e transporte. AF_11/2019</v>
          </cell>
          <cell r="E778"/>
          <cell r="F778" t="str">
            <v>M3</v>
          </cell>
          <cell r="G778">
            <v>93.5</v>
          </cell>
          <cell r="H778" t="str">
            <v>-</v>
          </cell>
        </row>
        <row r="779">
          <cell r="A779">
            <v>100566</v>
          </cell>
          <cell r="B779" t="str">
            <v>SINAPI</v>
          </cell>
          <cell r="C779"/>
          <cell r="D779" t="str">
            <v>Execução e compactação de base e ou sub-base para pavimentação de solo (predominantemente arenoso) brita - 40/60 com cimento (teor de 4%) - exclusive solo, escavação, carga e transporte. AF_11/2019</v>
          </cell>
          <cell r="E779"/>
          <cell r="F779" t="str">
            <v>M3</v>
          </cell>
          <cell r="G779">
            <v>178.77</v>
          </cell>
          <cell r="H779" t="str">
            <v>-</v>
          </cell>
        </row>
        <row r="780">
          <cell r="A780">
            <v>100567</v>
          </cell>
          <cell r="B780" t="str">
            <v>SINAPI</v>
          </cell>
          <cell r="C780"/>
          <cell r="D780" t="str">
            <v>Execução e compactação de base e ou sub-base para pavimentação de solo (predominantemente arenoso) brita - 40/60 com cimento (teor de 6%) - exclusive solo, escavação, carga e transporte. AF_11/2019</v>
          </cell>
          <cell r="E780"/>
          <cell r="F780" t="str">
            <v>M3</v>
          </cell>
          <cell r="G780">
            <v>212.02</v>
          </cell>
          <cell r="H780" t="str">
            <v>-</v>
          </cell>
        </row>
        <row r="781">
          <cell r="A781">
            <v>100568</v>
          </cell>
          <cell r="B781" t="str">
            <v>SINAPI</v>
          </cell>
          <cell r="C781"/>
          <cell r="D781" t="str">
            <v>Execução e compactação de base e ou sub-base para pavimentação de solo (predominantemente arenoso) brita - 40/60 com cimento (teor de 8%) - exclusive solo, escavação, carga e transporte. AF_11/2019</v>
          </cell>
          <cell r="E781"/>
          <cell r="F781" t="str">
            <v>M3</v>
          </cell>
          <cell r="G781">
            <v>244.69</v>
          </cell>
          <cell r="H781" t="str">
            <v>-</v>
          </cell>
        </row>
        <row r="782">
          <cell r="A782">
            <v>100569</v>
          </cell>
          <cell r="B782" t="str">
            <v>SINAPI</v>
          </cell>
          <cell r="C782"/>
          <cell r="D782" t="str">
            <v>Execução e compactação de base e ou sub-base para pavimentação de solo (predominantemente arenoso) brita - 50/50 com cimento (teor de 4%)  - exclusive solo, escavação, carga e transporte. AF_11/2019</v>
          </cell>
          <cell r="E782"/>
          <cell r="F782" t="str">
            <v>M3</v>
          </cell>
          <cell r="G782">
            <v>164.98</v>
          </cell>
          <cell r="H782" t="str">
            <v>-</v>
          </cell>
        </row>
        <row r="783">
          <cell r="A783">
            <v>100570</v>
          </cell>
          <cell r="B783" t="str">
            <v>SINAPI</v>
          </cell>
          <cell r="C783"/>
          <cell r="D783" t="str">
            <v>Execução e compactação de base e ou sub-base para pavimentação de solo (predominantemente arenoso) brita - 50/50 com cimento (teor de 6%) - exclusive solo, escavação, carga e transporte. AF_11/2019</v>
          </cell>
          <cell r="E783"/>
          <cell r="F783" t="str">
            <v>M3</v>
          </cell>
          <cell r="G783">
            <v>200.65</v>
          </cell>
          <cell r="H783" t="str">
            <v>-</v>
          </cell>
        </row>
        <row r="784">
          <cell r="A784">
            <v>100571</v>
          </cell>
          <cell r="B784" t="str">
            <v>SINAPI</v>
          </cell>
          <cell r="C784"/>
          <cell r="D784" t="str">
            <v>Execução e compactação de base e ou sub-base para pavimentação de solo (predominantemente arenoso) brita - 50/50 com cimento (teor de 8%) - exclusive solo, escavação, carga e transporte. AF_11/2019</v>
          </cell>
          <cell r="E784"/>
          <cell r="F784" t="str">
            <v>M3</v>
          </cell>
          <cell r="G784">
            <v>231.53</v>
          </cell>
          <cell r="H784" t="str">
            <v>-</v>
          </cell>
        </row>
        <row r="785">
          <cell r="A785">
            <v>100572</v>
          </cell>
          <cell r="B785" t="str">
            <v>SINAPI</v>
          </cell>
          <cell r="C785"/>
          <cell r="D785" t="str">
            <v>Execução e compactação de base e ou sub-base para pavimentação de solo (predominantemente argiloso) brita - 40/60 - exclusive solo, escavação, carga e transporte. AF_11/2019</v>
          </cell>
          <cell r="E785"/>
          <cell r="F785" t="str">
            <v>M3</v>
          </cell>
          <cell r="G785">
            <v>112.35</v>
          </cell>
          <cell r="H785" t="str">
            <v>-</v>
          </cell>
        </row>
        <row r="786">
          <cell r="A786">
            <v>100573</v>
          </cell>
          <cell r="B786" t="str">
            <v>SINAPI</v>
          </cell>
          <cell r="C786"/>
          <cell r="D786" t="str">
            <v>Execução e compactação de base e ou sub-base para pavimentação de solo (predominantemente argiloso) brita - 50/50 - exclusive solo, escavação, carga e transporte. AF_11/2019</v>
          </cell>
          <cell r="E786"/>
          <cell r="F786" t="str">
            <v>M3</v>
          </cell>
          <cell r="G786">
            <v>98.04</v>
          </cell>
          <cell r="H786" t="str">
            <v>-</v>
          </cell>
        </row>
        <row r="787">
          <cell r="A787">
            <v>101767</v>
          </cell>
          <cell r="B787" t="str">
            <v>SINAPI</v>
          </cell>
          <cell r="C787" t="str">
            <v>PA/0022
20 m3/h</v>
          </cell>
          <cell r="D787" t="str">
            <v>Execução e compactação de base e ou sub base para pavimentação de solos estabilizados granulometricamente com mistura de solos em pista - exclusive solo, escavação, carga e transporte. AF_11/2019</v>
          </cell>
          <cell r="E787"/>
          <cell r="F787" t="str">
            <v>M3</v>
          </cell>
          <cell r="G787">
            <v>26.16</v>
          </cell>
          <cell r="H787" t="str">
            <v>-</v>
          </cell>
        </row>
        <row r="788">
          <cell r="A788">
            <v>101768</v>
          </cell>
          <cell r="B788" t="str">
            <v>SINAPI</v>
          </cell>
          <cell r="C788"/>
          <cell r="D788" t="str">
            <v>Execução e compactação de base e ou sub base para pavimentação de solo estabilizado granulometricamente sem mistura de solos - exclusive solo, escavação, carga e transporte. AF_11/2019</v>
          </cell>
          <cell r="E788"/>
          <cell r="F788" t="str">
            <v>M3</v>
          </cell>
          <cell r="G788">
            <v>39.950000000000003</v>
          </cell>
          <cell r="H788" t="str">
            <v>-</v>
          </cell>
        </row>
        <row r="789">
          <cell r="A789" t="str">
            <v>PA/0021</v>
          </cell>
          <cell r="B789" t="str">
            <v>COMPOSIÇÃO</v>
          </cell>
          <cell r="C789">
            <v>28.75</v>
          </cell>
          <cell r="D789" t="str">
            <v>Execução e compactação de base e ou sub-base, estabilizado granulometricamente, sem mistura, com material de jazida. Exclusive fornecimento e transporte (REF. SINAPI COD. 4011219)</v>
          </cell>
          <cell r="E789"/>
          <cell r="F789" t="str">
            <v>M3</v>
          </cell>
          <cell r="G789">
            <v>18.510000000000002</v>
          </cell>
          <cell r="H789" t="str">
            <v>-</v>
          </cell>
        </row>
        <row r="790">
          <cell r="A790" t="str">
            <v>PA/0025</v>
          </cell>
          <cell r="B790" t="str">
            <v>COMPOSIÇÃO</v>
          </cell>
          <cell r="C790">
            <v>96401</v>
          </cell>
          <cell r="D790" t="str">
            <v>Imprimação da base, execução e fornecimento de emulsão asfáltica EAI (REF. SINAPI COD. 102470)</v>
          </cell>
          <cell r="E790"/>
          <cell r="F790" t="str">
            <v>M2</v>
          </cell>
          <cell r="G790">
            <v>5.18</v>
          </cell>
          <cell r="H790" t="str">
            <v>-</v>
          </cell>
        </row>
        <row r="791">
          <cell r="A791" t="str">
            <v>PA/0025</v>
          </cell>
          <cell r="B791" t="str">
            <v>COMPOSIÇÃO</v>
          </cell>
          <cell r="C791">
            <v>102100</v>
          </cell>
          <cell r="D791" t="str">
            <v>Imprimação da base, execução e fornecimento de emulsão asfáltica EAI (REF. SINAPI COD. 102470)</v>
          </cell>
          <cell r="E791"/>
          <cell r="F791" t="str">
            <v>M2</v>
          </cell>
          <cell r="G791">
            <v>5.18</v>
          </cell>
          <cell r="H791" t="str">
            <v>-</v>
          </cell>
        </row>
        <row r="792">
          <cell r="A792" t="str">
            <v>PA/0025</v>
          </cell>
          <cell r="B792" t="str">
            <v>COMPOSIÇÃO</v>
          </cell>
          <cell r="C792"/>
          <cell r="D792" t="str">
            <v>Imprimação da base, execução e fornecimento de emulsão asfáltica EAI (REF. SINAPI COD. 102470)</v>
          </cell>
          <cell r="E792"/>
          <cell r="F792" t="str">
            <v>M2</v>
          </cell>
          <cell r="G792">
            <v>5.18</v>
          </cell>
          <cell r="H792" t="str">
            <v>-</v>
          </cell>
        </row>
        <row r="793">
          <cell r="A793" t="str">
            <v>PA/0023</v>
          </cell>
          <cell r="B793" t="str">
            <v>COMPOSIÇÃO</v>
          </cell>
          <cell r="C793"/>
          <cell r="D793" t="str">
            <v>Pintura de ligação, execução e fornecimento de emulsão asfáltica RR-1C (ref SINAPI cód 104375)</v>
          </cell>
          <cell r="E793"/>
          <cell r="F793" t="str">
            <v>M2</v>
          </cell>
          <cell r="G793">
            <v>2.4700000000000002</v>
          </cell>
          <cell r="H793" t="str">
            <v>-</v>
          </cell>
        </row>
        <row r="794">
          <cell r="A794">
            <v>96402</v>
          </cell>
          <cell r="B794" t="str">
            <v>SINAPI</v>
          </cell>
          <cell r="C794"/>
          <cell r="D794" t="str">
            <v>Execução de pintura de ligação com emulsão asfáltica RR-2C. AF_11/2019</v>
          </cell>
          <cell r="E794"/>
          <cell r="F794" t="e">
            <v>#N/A</v>
          </cell>
          <cell r="G794" t="e">
            <v>#N/A</v>
          </cell>
          <cell r="H794" t="str">
            <v>VER COMP</v>
          </cell>
        </row>
        <row r="795">
          <cell r="A795">
            <v>102101</v>
          </cell>
          <cell r="B795" t="str">
            <v>SINAPI</v>
          </cell>
          <cell r="C795"/>
          <cell r="D795" t="str">
            <v>Execução de pintura de ligação com emulsão asfáltica RR-2C, para o fechamento de valas. AF_12/2020</v>
          </cell>
          <cell r="E795"/>
          <cell r="F795" t="e">
            <v>#N/A</v>
          </cell>
          <cell r="G795" t="e">
            <v>#N/A</v>
          </cell>
          <cell r="H795" t="str">
            <v>VER COMP</v>
          </cell>
        </row>
        <row r="796">
          <cell r="A796" t="str">
            <v>PA/0030</v>
          </cell>
          <cell r="B796" t="str">
            <v>COMPOSIÇÃO</v>
          </cell>
          <cell r="C796"/>
          <cell r="D796" t="str">
            <v>Selagem de trincas mecanizada em pavimento flexível com emulsão, incluindo fornecimentos e execução. Exclusive transporte (REF. SICRO COD. 4915626)</v>
          </cell>
          <cell r="E796" t="str">
            <v>ATENÇÃO
areia
0,00064m³/m</v>
          </cell>
          <cell r="F796" t="str">
            <v>M</v>
          </cell>
          <cell r="G796">
            <v>3.92</v>
          </cell>
          <cell r="H796" t="str">
            <v>-</v>
          </cell>
        </row>
        <row r="797">
          <cell r="A797" t="str">
            <v>PA/0035</v>
          </cell>
          <cell r="B797" t="str">
            <v>COMPOSIÇÃO</v>
          </cell>
          <cell r="C797"/>
          <cell r="D797" t="str">
            <v>Capa selante para agulhamento na base, execução e fornecimento de emulsão asfáltica RR-2C. Exclusive transporte (REF. SICRO COD. 4915636)</v>
          </cell>
          <cell r="E797" t="str">
            <v>ATENÇÃO
pedrisco
0,006m³/m²</v>
          </cell>
          <cell r="F797" t="str">
            <v>M2</v>
          </cell>
          <cell r="G797">
            <v>4.9000000000000004</v>
          </cell>
          <cell r="H797" t="str">
            <v>-</v>
          </cell>
        </row>
        <row r="798">
          <cell r="A798">
            <v>34770</v>
          </cell>
          <cell r="B798" t="str">
            <v>COTAÇÃO - SINAPI</v>
          </cell>
          <cell r="C798"/>
          <cell r="D798" t="str">
            <v>Concreto betuminoso usinado a quente (CBUQ) para pavimentação asfáltica, padrão DNIT, faixa C, com CAP 30/45 - Aquisição posto usina</v>
          </cell>
          <cell r="E798"/>
          <cell r="F798" t="str">
            <v xml:space="preserve">T     </v>
          </cell>
          <cell r="G798">
            <v>588.53</v>
          </cell>
          <cell r="H798" t="str">
            <v>-</v>
          </cell>
        </row>
        <row r="799">
          <cell r="A799">
            <v>1518</v>
          </cell>
          <cell r="B799" t="str">
            <v>COTAÇÃO - SINAPI</v>
          </cell>
          <cell r="C799"/>
          <cell r="D799" t="str">
            <v>Concreto betuminoso usinado a quente (CBUQ) para pavimentação asfáltica, padrão DNIT, faixa C, com CAP 50/70 - Aquisição posto usina</v>
          </cell>
          <cell r="E799"/>
          <cell r="F799" t="str">
            <v xml:space="preserve">T     </v>
          </cell>
          <cell r="G799">
            <v>600</v>
          </cell>
          <cell r="H799" t="str">
            <v>-</v>
          </cell>
        </row>
        <row r="800">
          <cell r="A800">
            <v>41965</v>
          </cell>
          <cell r="B800" t="str">
            <v>COTAÇÃO - SINAPI</v>
          </cell>
          <cell r="C800"/>
          <cell r="D800" t="str">
            <v>Concreto betuminoso usinado a quente (CBUQ) para pavimentação asfáltica, padrão DNIT, para binder, com CAP 50/70 - Aquisição posto usina</v>
          </cell>
          <cell r="E800"/>
          <cell r="F800" t="str">
            <v xml:space="preserve">T     </v>
          </cell>
          <cell r="G800">
            <v>526.1</v>
          </cell>
          <cell r="H800" t="str">
            <v>-</v>
          </cell>
        </row>
        <row r="801">
          <cell r="A801">
            <v>101020</v>
          </cell>
          <cell r="B801" t="str">
            <v>SINAPI</v>
          </cell>
          <cell r="C801"/>
          <cell r="D801" t="str">
            <v>Usinagem de concreto asfáltico com CAP 50/70, para camada de binder, padrão DNIT faixa B, em usina de asfalto contínua de 80 ton/h. AF_03/2020</v>
          </cell>
          <cell r="E801"/>
          <cell r="F801" t="e">
            <v>#N/A</v>
          </cell>
          <cell r="G801" t="e">
            <v>#N/A</v>
          </cell>
          <cell r="H801" t="str">
            <v>VER COMP</v>
          </cell>
        </row>
        <row r="802">
          <cell r="A802">
            <v>97802</v>
          </cell>
          <cell r="B802" t="str">
            <v>SINAPI</v>
          </cell>
          <cell r="C802"/>
          <cell r="D802" t="str">
            <v>SUBSTITUIR PELA COMPOSIÇÃO PA/0140</v>
          </cell>
          <cell r="E802"/>
          <cell r="F802" t="e">
            <v>#N/A</v>
          </cell>
          <cell r="G802" t="e">
            <v>#N/A</v>
          </cell>
          <cell r="H802" t="str">
            <v>VER COMP</v>
          </cell>
        </row>
        <row r="803">
          <cell r="A803" t="str">
            <v>PA/0140</v>
          </cell>
          <cell r="B803" t="str">
            <v>COMPOSIÇÃO</v>
          </cell>
          <cell r="C803"/>
          <cell r="D803" t="str">
            <v>PAVIMENTO COM TRATAMENTO SUPERFICIAL SIMPLES, COM EMULSÃO ASFÁLTICA RR-2C (REF. SINAPI COD. 03.PAVI.TSUP.002/01-104376 DB 09-21)</v>
          </cell>
          <cell r="E803"/>
          <cell r="F803" t="str">
            <v>M2</v>
          </cell>
          <cell r="G803">
            <v>6.93</v>
          </cell>
          <cell r="H803" t="str">
            <v>-</v>
          </cell>
        </row>
        <row r="804">
          <cell r="A804">
            <v>97805</v>
          </cell>
          <cell r="B804" t="str">
            <v>SINAPI</v>
          </cell>
          <cell r="C804"/>
          <cell r="D804" t="str">
            <v>SUBSTITUIR PELA COMPOSIÇÃO PA/0150</v>
          </cell>
          <cell r="E804"/>
          <cell r="F804" t="e">
            <v>#N/A</v>
          </cell>
          <cell r="G804" t="e">
            <v>#N/A</v>
          </cell>
          <cell r="H804" t="str">
            <v>VER COMP</v>
          </cell>
        </row>
        <row r="805">
          <cell r="A805" t="str">
            <v>PA/0150</v>
          </cell>
          <cell r="B805" t="str">
            <v>COMPOSIÇÃO</v>
          </cell>
          <cell r="C805"/>
          <cell r="D805" t="str">
            <v>PAVIMENTO COM TRATAMENTO SUPERFICIAL DUPLO, COM EMULSÃO ASFÁLTICA RR-2C (REF. SINAPI COD. 03.PAVI.TSUP.005/01-104389 DB 09-21)</v>
          </cell>
          <cell r="E805"/>
          <cell r="F805" t="str">
            <v>M2</v>
          </cell>
          <cell r="G805">
            <v>15.86</v>
          </cell>
          <cell r="H805" t="str">
            <v>-</v>
          </cell>
        </row>
        <row r="806">
          <cell r="A806" t="str">
            <v>PA/0160</v>
          </cell>
          <cell r="B806" t="str">
            <v>COMPOSIÇÃO</v>
          </cell>
          <cell r="C806"/>
          <cell r="D806" t="str">
            <v>PAVIMENTO COM TRATAMENTO SUPERFICIAL TRIPLO, COM EMULSÃO ASFÁLTICA RR-2C (REF. SINAPI COD. 03.PAVI.TSUP.009/01-104380 DB 09-21)</v>
          </cell>
          <cell r="E806"/>
          <cell r="F806" t="str">
            <v>M2</v>
          </cell>
          <cell r="G806">
            <v>19.54</v>
          </cell>
          <cell r="H806" t="str">
            <v>-</v>
          </cell>
        </row>
        <row r="807">
          <cell r="A807">
            <v>97807</v>
          </cell>
          <cell r="B807" t="str">
            <v>SINAPI</v>
          </cell>
          <cell r="C807"/>
          <cell r="D807" t="str">
            <v>Pavimento com tratamento superficial duplo, com emulsão asfáltica RR-2C, com capa selante. AF_01/2020</v>
          </cell>
          <cell r="E807" t="str">
            <v>ATENÇÃO
0,0247 m³/m²
2,3 kg/m²</v>
          </cell>
          <cell r="F807" t="e">
            <v>#N/A</v>
          </cell>
          <cell r="G807" t="e">
            <v>#N/A</v>
          </cell>
          <cell r="H807" t="str">
            <v>VER COMP</v>
          </cell>
        </row>
        <row r="808">
          <cell r="A808">
            <v>101021</v>
          </cell>
          <cell r="B808" t="str">
            <v>SINAPI</v>
          </cell>
          <cell r="C808"/>
          <cell r="D808" t="str">
            <v>Usinagem de concreto asfáltico com cap 50/70, para camada de rolamento, padrão DNit faixa C, em usina de asfalto contínua de 80 ton/h. AF_03/2020</v>
          </cell>
          <cell r="E808"/>
          <cell r="F808" t="e">
            <v>#N/A</v>
          </cell>
          <cell r="G808" t="e">
            <v>#N/A</v>
          </cell>
          <cell r="H808" t="str">
            <v>VER COMP</v>
          </cell>
        </row>
        <row r="809">
          <cell r="A809" t="str">
            <v>PA/0036</v>
          </cell>
          <cell r="B809" t="str">
            <v>COMPOSIÇÃO</v>
          </cell>
          <cell r="C809"/>
          <cell r="D809" t="str">
            <v>Usinagem de Concreto Betuminoso Usinado à Quente - CBUQ - FAIXA "C" - para revestimento asfáltico, CAP 50-70, posto usina comercial. Exclusive mobilização, instalação, desmobilização e transporte dos insumos (REF. SINAPI COD. 101021)</v>
          </cell>
          <cell r="E809"/>
          <cell r="F809" t="str">
            <v>T</v>
          </cell>
          <cell r="G809">
            <v>454.67</v>
          </cell>
          <cell r="H809" t="str">
            <v>-</v>
          </cell>
        </row>
        <row r="810">
          <cell r="A810">
            <v>101025</v>
          </cell>
          <cell r="B810" t="str">
            <v>SINAPI</v>
          </cell>
          <cell r="C810"/>
          <cell r="D810" t="str">
            <v>Usinagem de concreto asfáltico com CAP 50/70 para camada de rolamento, padrão DNIT faixa C, em usina de asfalto gravimétrica de 150 ton/h. AF_03/2020_P</v>
          </cell>
          <cell r="E810"/>
          <cell r="F810" t="e">
            <v>#N/A</v>
          </cell>
          <cell r="G810" t="e">
            <v>#N/A</v>
          </cell>
          <cell r="H810" t="str">
            <v>VER COMP</v>
          </cell>
        </row>
        <row r="811">
          <cell r="A811" t="str">
            <v>PA/0037</v>
          </cell>
          <cell r="B811" t="str">
            <v>COMPOSIÇÃO</v>
          </cell>
          <cell r="C811"/>
          <cell r="D811" t="str">
            <v>Usinagem de Concreto Betuminoso Usinado à Quente - CBUQ - FAIXA "C" - para revestimento asfáltico, CAP 30-45, em usina de asfalto contínua de 80 TON/H. Exclusive mobilização, instalação, desmobilização e transporte dos insumos (REF. SINAPI COD. 104359)</v>
          </cell>
          <cell r="E811"/>
          <cell r="F811" t="str">
            <v>T</v>
          </cell>
          <cell r="G811">
            <v>466.02</v>
          </cell>
          <cell r="H811" t="str">
            <v>-</v>
          </cell>
        </row>
        <row r="812">
          <cell r="A812" t="str">
            <v>PA/0040</v>
          </cell>
          <cell r="B812" t="str">
            <v>COMPOSIÇÃO</v>
          </cell>
          <cell r="C812"/>
          <cell r="D812" t="str">
            <v>Construção de pavimento com aplicação de concreto betuminoso usinado à quente (CBUQ - faixa C - CAP 30/45 - usina comercial), camada de rolamento, exclusive transporte da mistura (REF. SINAPI COD. 95995)</v>
          </cell>
          <cell r="E812"/>
          <cell r="F812" t="str">
            <v>M3</v>
          </cell>
          <cell r="G812">
            <v>1618.68</v>
          </cell>
          <cell r="H812" t="str">
            <v>-</v>
          </cell>
        </row>
        <row r="813">
          <cell r="A813" t="str">
            <v>PA/0041</v>
          </cell>
          <cell r="B813" t="str">
            <v>COMPOSIÇÃO</v>
          </cell>
          <cell r="C813"/>
          <cell r="D813" t="str">
            <v>Construção de pavimento com aplicação de concreto betuminoso usinado à quente (CBUQ - faixa C - CAP 30/45 - usina comercial), camada de rolamento, exclusive transporte da mistura (REF. SINAPI COD. 95995)</v>
          </cell>
          <cell r="E813"/>
          <cell r="F813" t="str">
            <v>M3</v>
          </cell>
          <cell r="G813">
            <v>1318.33</v>
          </cell>
          <cell r="H813" t="str">
            <v>-</v>
          </cell>
        </row>
        <row r="814">
          <cell r="A814" t="str">
            <v>PA/0042</v>
          </cell>
          <cell r="B814" t="str">
            <v>COMPOSIÇÃO</v>
          </cell>
          <cell r="C814"/>
          <cell r="D814" t="str">
            <v>Construção de pavimento com aplicação de concreto betuminoso usinado à quente (CBUQ - faixa C - CAP 50/70 - usina comercial), camada de rolamento, exclusive transporte da mistura (REF. SINAPI COD. 95995)</v>
          </cell>
          <cell r="E814"/>
          <cell r="F814" t="str">
            <v>M3</v>
          </cell>
          <cell r="G814">
            <v>1289.3399999999999</v>
          </cell>
          <cell r="H814" t="str">
            <v>-</v>
          </cell>
        </row>
        <row r="815">
          <cell r="A815" t="str">
            <v>PA/0045</v>
          </cell>
          <cell r="B815" t="str">
            <v>COMPOSIÇÃO</v>
          </cell>
          <cell r="C815"/>
          <cell r="D815" t="str">
            <v>Construção de pavimento com aplicação de concreto betuminoso usinado à quente modificado por polímero elastomérico - CBUQ (p) - CAP 60-85-E - FAIXA "C", camada de rolamento. Exclusive transporte da mistura (REF. SINAPI COD. 95995)</v>
          </cell>
          <cell r="E815"/>
          <cell r="F815" t="str">
            <v>M3</v>
          </cell>
          <cell r="G815">
            <v>1870.35</v>
          </cell>
          <cell r="H815" t="str">
            <v>-</v>
          </cell>
        </row>
        <row r="816">
          <cell r="A816">
            <v>95995</v>
          </cell>
          <cell r="B816" t="str">
            <v>SINAPI</v>
          </cell>
          <cell r="C816"/>
          <cell r="D816" t="str">
            <v>Construção de pavimento com aplicação de concreto betuminoso usinado à quente (CBUQ - faixa C - CAP 50/70 - usina comercial), camada de rolamento. Exclusive transporte da mistura. Af_11/2019</v>
          </cell>
          <cell r="E816"/>
          <cell r="F816" t="str">
            <v>M3</v>
          </cell>
          <cell r="G816">
            <v>1647.93</v>
          </cell>
          <cell r="H816" t="str">
            <v>-</v>
          </cell>
        </row>
        <row r="817">
          <cell r="A817">
            <v>95996</v>
          </cell>
          <cell r="B817" t="str">
            <v>SINAPI</v>
          </cell>
          <cell r="C817"/>
          <cell r="D817" t="str">
            <v>Execução de pavimento com aplicação de concreto asfáltico, camada de binder - exclusive carga e transporte. AF_11/2019</v>
          </cell>
          <cell r="E817"/>
          <cell r="F817" t="str">
            <v>M3</v>
          </cell>
          <cell r="G817">
            <v>1427.05</v>
          </cell>
          <cell r="H817" t="str">
            <v>-</v>
          </cell>
        </row>
        <row r="818">
          <cell r="A818" t="str">
            <v>PA/0050</v>
          </cell>
          <cell r="B818" t="str">
            <v>COMPOSIÇÃO</v>
          </cell>
          <cell r="C818"/>
          <cell r="D818" t="str">
            <v>Aplicação com vibroacabadora de massa asfáltica quente. Exclusive fornecimento e transporte da mistura betuminosa (REF. SINAPI COD. 95995)</v>
          </cell>
          <cell r="E818"/>
          <cell r="F818" t="str">
            <v>M3</v>
          </cell>
          <cell r="G818">
            <v>127.74</v>
          </cell>
          <cell r="H818" t="str">
            <v>-</v>
          </cell>
        </row>
        <row r="819">
          <cell r="A819">
            <v>101027</v>
          </cell>
          <cell r="B819" t="str">
            <v>SINAPI</v>
          </cell>
          <cell r="C819"/>
          <cell r="D819" t="str">
            <v>Usinagem de pré misturado a frio, para camada de rolamento, padrão DNIT faixa C. AF_03/2020_P</v>
          </cell>
          <cell r="E819"/>
          <cell r="F819" t="e">
            <v>#N/A</v>
          </cell>
          <cell r="G819" t="e">
            <v>#N/A</v>
          </cell>
          <cell r="H819" t="str">
            <v>VER COMP</v>
          </cell>
        </row>
        <row r="820">
          <cell r="A820" t="str">
            <v>PA/0055</v>
          </cell>
          <cell r="B820" t="str">
            <v>COMPOSIÇÃO</v>
          </cell>
          <cell r="C820"/>
          <cell r="D820" t="str">
            <v>Execução de pré-misturado a frio - PMF, faixa C (semidenso), com emulsão asfáltica RL-1C, para revestimento, aplicação com vibroacabadora. Exclusive transporte</v>
          </cell>
          <cell r="E820" t="str">
            <v>B: 0,94921 m³/m²
A: 0,44527 m³/m²
CAL: 87,61905 kg/m²
E = 0,18254 T/m³</v>
          </cell>
          <cell r="F820" t="str">
            <v>M3</v>
          </cell>
          <cell r="G820">
            <v>1100.22</v>
          </cell>
          <cell r="H820" t="str">
            <v>-</v>
          </cell>
        </row>
        <row r="821">
          <cell r="A821">
            <v>100624</v>
          </cell>
          <cell r="B821" t="str">
            <v>SINAPI</v>
          </cell>
          <cell r="C821"/>
          <cell r="D821" t="str">
            <v>Execução de pavimento com aplicação de pré-misturado a frio, camada de rolamento - exclusive carga e transporte. AF_11/2019</v>
          </cell>
          <cell r="E821"/>
          <cell r="F821" t="e">
            <v>#N/A</v>
          </cell>
          <cell r="G821" t="e">
            <v>#N/A</v>
          </cell>
          <cell r="H821" t="str">
            <v>VER COMP</v>
          </cell>
        </row>
        <row r="822">
          <cell r="A822">
            <v>100625</v>
          </cell>
          <cell r="B822" t="str">
            <v>SINAPI</v>
          </cell>
          <cell r="C822"/>
          <cell r="D822" t="str">
            <v>Execução de pavimento com aplicação de pré-misturado a frio, camada de binder - exclusive carga e transporte. AF_11/2019</v>
          </cell>
          <cell r="E822"/>
          <cell r="F822" t="e">
            <v>#N/A</v>
          </cell>
          <cell r="G822" t="e">
            <v>#N/A</v>
          </cell>
          <cell r="H822" t="str">
            <v>VER COMP</v>
          </cell>
        </row>
        <row r="823">
          <cell r="A823">
            <v>92393</v>
          </cell>
          <cell r="B823" t="str">
            <v>SINAPI</v>
          </cell>
          <cell r="C823" t="str">
            <v>PISO SEXTAVADO</v>
          </cell>
          <cell r="D823" t="str">
            <v>Execução de pavimento em piso intertravado, com bloco sextavado de 25 x 25 cm, espessura 6 cm. AF_12/2015</v>
          </cell>
          <cell r="E823" t="str">
            <v>areia empolada
0,082 m³/m²</v>
          </cell>
          <cell r="F823" t="str">
            <v>M2</v>
          </cell>
          <cell r="G823">
            <v>59.93</v>
          </cell>
          <cell r="H823" t="str">
            <v>-</v>
          </cell>
        </row>
        <row r="824">
          <cell r="A824">
            <v>92394</v>
          </cell>
          <cell r="B824" t="str">
            <v>SINAPI</v>
          </cell>
          <cell r="C824"/>
          <cell r="D824" t="str">
            <v>Execução de pavimento em piso intertravado, com bloco sextavado de 25 x 25 cm, espessura 8 cm. AF_12/2015</v>
          </cell>
          <cell r="E824" t="str">
            <v>areia empolada
0,085 m³/m²</v>
          </cell>
          <cell r="F824" t="str">
            <v>M2</v>
          </cell>
          <cell r="G824">
            <v>74.48</v>
          </cell>
          <cell r="H824" t="str">
            <v>-</v>
          </cell>
        </row>
        <row r="825">
          <cell r="A825">
            <v>92395</v>
          </cell>
          <cell r="B825" t="str">
            <v>SINAPI</v>
          </cell>
          <cell r="C825"/>
          <cell r="D825" t="str">
            <v>Execução de pavimento em piso intertravado, com bloco sextavado de 25 x 25 cm, espessura 10 cm. AF_12/2015</v>
          </cell>
          <cell r="E825" t="str">
            <v>areia empolada
0,088 m³/m²</v>
          </cell>
          <cell r="F825" t="str">
            <v>M2</v>
          </cell>
          <cell r="G825">
            <v>89.34</v>
          </cell>
          <cell r="H825" t="str">
            <v>-</v>
          </cell>
        </row>
        <row r="826">
          <cell r="A826">
            <v>101820</v>
          </cell>
          <cell r="B826" t="str">
            <v>SINAPI</v>
          </cell>
          <cell r="C826"/>
          <cell r="D826" t="str">
            <v>Recomposição de pavimento em piso intertravado sextavado, com reaproveitamento dos blocos sextavado, para o fechamento de valas. AF_12/2020</v>
          </cell>
          <cell r="E826"/>
          <cell r="F826" t="str">
            <v>M2</v>
          </cell>
          <cell r="G826">
            <v>34.18</v>
          </cell>
          <cell r="H826" t="str">
            <v>-</v>
          </cell>
        </row>
        <row r="827">
          <cell r="A827">
            <v>101857</v>
          </cell>
          <cell r="B827" t="str">
            <v>SINAPI</v>
          </cell>
          <cell r="C827"/>
          <cell r="D827" t="str">
            <v>Reassentamento de blocos sextavado para piso intertravado, espessura de 6 cm, em calçada, com reaproveitamento dos blocos sextavados. AF_12/2020</v>
          </cell>
          <cell r="E827"/>
          <cell r="F827" t="str">
            <v>M2</v>
          </cell>
          <cell r="G827">
            <v>26.73</v>
          </cell>
          <cell r="H827" t="str">
            <v>-</v>
          </cell>
        </row>
        <row r="828">
          <cell r="A828">
            <v>101858</v>
          </cell>
          <cell r="B828" t="str">
            <v>SINAPI</v>
          </cell>
          <cell r="C828"/>
          <cell r="D828" t="str">
            <v>Reassentamento de blocos sextavado para piso intertravado, espessura de 6 cm, em via/estacionamento, com reaproveitamento dos blocos sextavado. AF_12/2020</v>
          </cell>
          <cell r="E828"/>
          <cell r="F828" t="str">
            <v>M2</v>
          </cell>
          <cell r="G828">
            <v>21.84</v>
          </cell>
          <cell r="H828" t="str">
            <v>-</v>
          </cell>
        </row>
        <row r="829">
          <cell r="A829">
            <v>101859</v>
          </cell>
          <cell r="B829" t="str">
            <v>SINAPI</v>
          </cell>
          <cell r="C829"/>
          <cell r="D829" t="str">
            <v>Reassentamento de blocos sextavado para piso intertravado, espessura de 8 cm, em via/estacionamento, com reaproveitamento dos blocos sextavado. AF_12/2020</v>
          </cell>
          <cell r="E829"/>
          <cell r="F829" t="str">
            <v>M2</v>
          </cell>
          <cell r="G829">
            <v>24.14</v>
          </cell>
          <cell r="H829" t="str">
            <v>-</v>
          </cell>
        </row>
        <row r="830">
          <cell r="A830">
            <v>101860</v>
          </cell>
          <cell r="B830" t="str">
            <v>SINAPI</v>
          </cell>
          <cell r="C830"/>
          <cell r="D830" t="str">
            <v>Reassentamento de blocos sextavado para piso intertravado, espessura de 10 cm, em via/estacionamento, com reaproveitamento dos blocos sextavado. AF_12/2020</v>
          </cell>
          <cell r="E830"/>
          <cell r="F830" t="str">
            <v>M2</v>
          </cell>
          <cell r="G830">
            <v>27.75</v>
          </cell>
          <cell r="H830" t="str">
            <v>-</v>
          </cell>
        </row>
        <row r="831">
          <cell r="A831">
            <v>92400</v>
          </cell>
          <cell r="B831" t="str">
            <v>SINAPI</v>
          </cell>
          <cell r="C831" t="str">
            <v>PISO PARA PÁTIO / ESTACIONAMENTO</v>
          </cell>
          <cell r="D831" t="str">
            <v>Execução de pavimento em piso intertravado, com bloco retangular de 20 x 10 cm, espessura 10 cm. AF_10/2022</v>
          </cell>
          <cell r="E831" t="str">
            <v>areia empolada
0,088 m³/m²</v>
          </cell>
          <cell r="F831" t="str">
            <v>M2</v>
          </cell>
          <cell r="G831">
            <v>91.77</v>
          </cell>
          <cell r="H831" t="str">
            <v>-</v>
          </cell>
        </row>
        <row r="832">
          <cell r="A832">
            <v>93680</v>
          </cell>
          <cell r="B832" t="str">
            <v>SINAPI</v>
          </cell>
          <cell r="C832"/>
          <cell r="D832" t="str">
            <v>Execução de pavimento em piso intertravado, com bloco retangular colorido de 20 x 10 cm, espessura 6 cm. AF_10/2022</v>
          </cell>
          <cell r="E832" t="str">
            <v>areia empolada
0,082 m³/m²</v>
          </cell>
          <cell r="F832" t="str">
            <v>M2</v>
          </cell>
          <cell r="G832">
            <v>70.709999999999994</v>
          </cell>
          <cell r="H832" t="str">
            <v>-</v>
          </cell>
        </row>
        <row r="833">
          <cell r="A833">
            <v>93681</v>
          </cell>
          <cell r="B833" t="str">
            <v>SINAPI</v>
          </cell>
          <cell r="C833"/>
          <cell r="D833" t="str">
            <v>Execução de pavimento em piso intertravado, com bloco retangular colorido de 20 x 10 cm, espessura 8 cm. AF_10/2022</v>
          </cell>
          <cell r="E833" t="str">
            <v>areia empolada
0,085 m³/m²</v>
          </cell>
          <cell r="F833" t="str">
            <v>M2</v>
          </cell>
          <cell r="G833">
            <v>84.47</v>
          </cell>
          <cell r="H833" t="str">
            <v>-</v>
          </cell>
        </row>
        <row r="834">
          <cell r="A834">
            <v>92397</v>
          </cell>
          <cell r="B834" t="str">
            <v>SINAPI</v>
          </cell>
          <cell r="C834"/>
          <cell r="D834" t="str">
            <v>Execução de pavimento em piso intertravado, com bloco retangular cor natural de 20 x 10 cm, espessura 6 cm. AF_10/2022</v>
          </cell>
          <cell r="E834" t="str">
            <v>areia empolada
0,082 m³/m²</v>
          </cell>
          <cell r="F834" t="str">
            <v>M2</v>
          </cell>
          <cell r="G834">
            <v>62.94</v>
          </cell>
          <cell r="H834" t="str">
            <v>-</v>
          </cell>
        </row>
        <row r="835">
          <cell r="A835">
            <v>92398</v>
          </cell>
          <cell r="B835" t="str">
            <v>SINAPI</v>
          </cell>
          <cell r="C835"/>
          <cell r="D835" t="str">
            <v>Execução de pavimento em piso intertravado, com bloco retangular cor natural de 20 x 10 cm, espessura 8 cm. AF_10/2022</v>
          </cell>
          <cell r="E835" t="str">
            <v>areia empolada
0,085 m³/m²</v>
          </cell>
          <cell r="F835" t="str">
            <v>M2</v>
          </cell>
          <cell r="G835">
            <v>78.27</v>
          </cell>
          <cell r="H835" t="str">
            <v>-</v>
          </cell>
        </row>
        <row r="836">
          <cell r="A836">
            <v>92403</v>
          </cell>
          <cell r="B836" t="str">
            <v>SINAPI</v>
          </cell>
          <cell r="C836"/>
          <cell r="D836" t="str">
            <v>Execução de pavimento em piso intertravado, com bloco 16 faces de 22 x 11 cm, espessura 6 cm. AF_10/2022</v>
          </cell>
          <cell r="E836" t="str">
            <v>areia empolada
 0,082 m³/m²</v>
          </cell>
          <cell r="F836" t="str">
            <v>M2</v>
          </cell>
          <cell r="G836">
            <v>60.98</v>
          </cell>
          <cell r="H836" t="str">
            <v>-</v>
          </cell>
        </row>
        <row r="837">
          <cell r="A837">
            <v>92404</v>
          </cell>
          <cell r="B837" t="str">
            <v>SINAPI</v>
          </cell>
          <cell r="C837"/>
          <cell r="D837" t="str">
            <v>Execução de pavimento em piso intertravado, com bloco 16 faces de 22 x 11 cm, espessura 8 cm. AF_10/2022</v>
          </cell>
          <cell r="E837" t="str">
            <v>areia empolada
0,085 m³/m²</v>
          </cell>
          <cell r="F837" t="str">
            <v>M2</v>
          </cell>
          <cell r="G837">
            <v>76.290000000000006</v>
          </cell>
          <cell r="H837" t="str">
            <v>-</v>
          </cell>
        </row>
        <row r="838">
          <cell r="A838">
            <v>92406</v>
          </cell>
          <cell r="B838" t="str">
            <v>SINAPI</v>
          </cell>
          <cell r="C838"/>
          <cell r="D838" t="str">
            <v>Execução de pavimento em piso intertravado, com bloco 16 faces de 22 x 11 cm, espessura 10 cm. AF_10/2022</v>
          </cell>
          <cell r="E838" t="str">
            <v>areia empolada
0,088 m³/m²</v>
          </cell>
          <cell r="F838" t="str">
            <v>M2</v>
          </cell>
          <cell r="G838">
            <v>91.4</v>
          </cell>
          <cell r="H838" t="str">
            <v>-</v>
          </cell>
        </row>
        <row r="839">
          <cell r="A839">
            <v>93681</v>
          </cell>
          <cell r="B839" t="str">
            <v>SINAPI</v>
          </cell>
          <cell r="C839">
            <v>93682</v>
          </cell>
          <cell r="D839" t="str">
            <v>Execução de pavimento em piso intertravado, com bloco retangular colorido de 20 x 10 cm, espessura 8 cm. AF_10/2022</v>
          </cell>
          <cell r="E839" t="str">
            <v>areia empolada
0,085 m³/m²</v>
          </cell>
          <cell r="F839" t="str">
            <v>M2</v>
          </cell>
          <cell r="G839">
            <v>84.47</v>
          </cell>
          <cell r="H839" t="str">
            <v>-</v>
          </cell>
        </row>
        <row r="840">
          <cell r="A840">
            <v>92398</v>
          </cell>
          <cell r="B840" t="str">
            <v>SINAPI</v>
          </cell>
          <cell r="C840">
            <v>92399</v>
          </cell>
          <cell r="D840" t="str">
            <v>Execução de pavimento em piso intertravado, com bloco retangular cor natural de 20 x 10 cm, espessura 8 cm. AF_10/2022</v>
          </cell>
          <cell r="E840" t="str">
            <v>areia empolada
0,085 m³/m²</v>
          </cell>
          <cell r="F840" t="str">
            <v>M2</v>
          </cell>
          <cell r="G840">
            <v>78.27</v>
          </cell>
          <cell r="H840" t="str">
            <v>-</v>
          </cell>
        </row>
        <row r="841">
          <cell r="A841">
            <v>92400</v>
          </cell>
          <cell r="B841" t="str">
            <v>SINAPI</v>
          </cell>
          <cell r="C841">
            <v>92401</v>
          </cell>
          <cell r="D841" t="str">
            <v>Execução de pavimento em piso intertravado, com bloco retangular de 20 x 10 cm, espessura 10 cm. AF_10/2022</v>
          </cell>
          <cell r="E841" t="str">
            <v>areia empolada
0,088 m³/m²</v>
          </cell>
          <cell r="F841" t="str">
            <v>M2</v>
          </cell>
          <cell r="G841">
            <v>91.77</v>
          </cell>
          <cell r="H841" t="str">
            <v>-</v>
          </cell>
        </row>
        <row r="842">
          <cell r="A842">
            <v>92404</v>
          </cell>
          <cell r="B842" t="str">
            <v>SINAPI</v>
          </cell>
          <cell r="C842">
            <v>92405</v>
          </cell>
          <cell r="D842" t="str">
            <v>Execução de pavimento em piso intertravado, com bloco 16 faces de 22 x 11 cm, espessura 8 cm. AF_12/2015</v>
          </cell>
          <cell r="E842" t="str">
            <v>areia empolada
0,085 m³/m²</v>
          </cell>
          <cell r="F842" t="str">
            <v>M2</v>
          </cell>
          <cell r="G842">
            <v>76.290000000000006</v>
          </cell>
          <cell r="H842" t="str">
            <v>-</v>
          </cell>
        </row>
        <row r="843">
          <cell r="A843">
            <v>92406</v>
          </cell>
          <cell r="B843" t="str">
            <v>SINAPI</v>
          </cell>
          <cell r="C843">
            <v>92406</v>
          </cell>
          <cell r="D843" t="str">
            <v>Execução de pavimento em piso intertravado, com bloco 16 faces de 22 x 11 cm, espessura 10 cm. AF_12/2015</v>
          </cell>
          <cell r="E843" t="str">
            <v>areia empolada
0,088 m³/m²</v>
          </cell>
          <cell r="F843" t="str">
            <v>M2</v>
          </cell>
          <cell r="G843">
            <v>91.4</v>
          </cell>
          <cell r="H843" t="str">
            <v>-</v>
          </cell>
        </row>
        <row r="844">
          <cell r="A844">
            <v>101863</v>
          </cell>
          <cell r="B844" t="str">
            <v>SINAPI</v>
          </cell>
          <cell r="D844" t="str">
            <v>Reassentamento de blocos retangular para piso intertravado, espessura de 6 cm, em via/estacionamento, com reaproveitamento dos blocos retangular. AF_12/2020</v>
          </cell>
          <cell r="E844"/>
          <cell r="F844" t="str">
            <v>M2</v>
          </cell>
          <cell r="G844">
            <v>22.16</v>
          </cell>
          <cell r="H844" t="str">
            <v>-</v>
          </cell>
        </row>
        <row r="845">
          <cell r="A845">
            <v>101864</v>
          </cell>
          <cell r="B845" t="str">
            <v>SINAPI</v>
          </cell>
          <cell r="D845" t="str">
            <v>Reassentamento de blocos retangular para piso intertravado, espessura de 8 cm, em via/estacionamento, com reaproveitamento dos blocos retangular. AF_12/2020</v>
          </cell>
          <cell r="E845"/>
          <cell r="F845" t="str">
            <v>M2</v>
          </cell>
          <cell r="G845">
            <v>25.78</v>
          </cell>
          <cell r="H845" t="str">
            <v>-</v>
          </cell>
        </row>
        <row r="846">
          <cell r="A846">
            <v>101865</v>
          </cell>
          <cell r="B846" t="str">
            <v>SINAPI</v>
          </cell>
          <cell r="D846" t="str">
            <v>Reassentamento de blocos retangular para piso intertravado, espessura de 10 cm, em via/estacionamento, com reaproveitamento dos blocos retangular. AF_12/2020</v>
          </cell>
          <cell r="E846"/>
          <cell r="F846" t="str">
            <v>M2</v>
          </cell>
          <cell r="G846">
            <v>29.38</v>
          </cell>
          <cell r="H846" t="str">
            <v>-</v>
          </cell>
        </row>
        <row r="847">
          <cell r="A847">
            <v>101868</v>
          </cell>
          <cell r="B847" t="str">
            <v>SINAPI</v>
          </cell>
          <cell r="D847" t="str">
            <v>Reassentamento de blocos 16 faces para piso intertravado, espessura de 6 cm, em via/estacionamento, com reaproveitamento dos blocos 16 faces. AF_12/2020</v>
          </cell>
          <cell r="E847"/>
          <cell r="F847" t="str">
            <v>M2</v>
          </cell>
          <cell r="G847">
            <v>23.61</v>
          </cell>
          <cell r="H847" t="str">
            <v>-</v>
          </cell>
        </row>
        <row r="848">
          <cell r="A848">
            <v>101869</v>
          </cell>
          <cell r="B848" t="str">
            <v>SINAPI</v>
          </cell>
          <cell r="D848" t="str">
            <v>Reassentamento de blocos 16 faces para piso intertravado, espessura de 8 cm, em via/estacionamento, com reaproveitamento dos blocos 16 faces. AF_12/2020</v>
          </cell>
          <cell r="E848"/>
          <cell r="F848" t="str">
            <v>M2</v>
          </cell>
          <cell r="G848">
            <v>27.22</v>
          </cell>
          <cell r="H848" t="str">
            <v>-</v>
          </cell>
        </row>
        <row r="849">
          <cell r="A849">
            <v>101870</v>
          </cell>
          <cell r="B849" t="str">
            <v>SINAPI</v>
          </cell>
          <cell r="D849" t="str">
            <v>Reassentamento de blocos 16 faces para piso intertravado, espessura de 10 cm, em via/estacionamento, com reaproveitamento dos blocos 16 faces. AF_12/2020</v>
          </cell>
          <cell r="E849"/>
          <cell r="F849" t="str">
            <v>M2</v>
          </cell>
          <cell r="G849">
            <v>30.83</v>
          </cell>
          <cell r="H849" t="str">
            <v>-</v>
          </cell>
        </row>
        <row r="850">
          <cell r="A850" t="str">
            <v>PA/0060</v>
          </cell>
          <cell r="B850" t="str">
            <v>COMPOSIÇÃO</v>
          </cell>
          <cell r="C850">
            <v>25.91</v>
          </cell>
          <cell r="D850" t="str">
            <v>Execução de pavimento de concreto simples (PCS), FCK = 40 mpa, camada com espessura de 20 cm. Incluindo cordão de polietileno expandido, selante elástico, barra de transferência e treliça (03.PAVI.PAVC.005/01)</v>
          </cell>
          <cell r="E850"/>
          <cell r="F850" t="str">
            <v>M2</v>
          </cell>
          <cell r="G850">
            <v>176.39</v>
          </cell>
          <cell r="H850" t="str">
            <v>-</v>
          </cell>
        </row>
        <row r="851">
          <cell r="A851" t="str">
            <v>PA/0070</v>
          </cell>
          <cell r="B851" t="str">
            <v>COMPOSIÇÃO</v>
          </cell>
          <cell r="C851"/>
          <cell r="D851" t="str">
            <v>Construção de pavimento com aplicação de concreto betuminoso usinado à quente (CBUQ - faixa B - CAP 30/45 - usina comercial), camada de rolamento, exclusive transporte da mistura (REF. SICRO COD.4011459, data 01/2021)</v>
          </cell>
          <cell r="E851"/>
          <cell r="F851" t="str">
            <v>T</v>
          </cell>
          <cell r="G851">
            <v>488.99</v>
          </cell>
          <cell r="H851" t="str">
            <v>-</v>
          </cell>
        </row>
        <row r="852">
          <cell r="A852" t="str">
            <v>PA/0080</v>
          </cell>
          <cell r="B852" t="str">
            <v>COMPOSIÇÃO</v>
          </cell>
          <cell r="C852"/>
          <cell r="D852" t="str">
            <v>Usinagem de Concreto Betuminoso Usinado à Quente - CBUQ - FAIXA "B" - para revestimento asfáltico, CAP 30-45, posto usina comercial. Exclusive mobilização, instalação, desmobilização e transporte dos insumos (REF. SICRO COD. 6416143, DB 01/2021)</v>
          </cell>
          <cell r="E852"/>
          <cell r="F852" t="str">
            <v>T</v>
          </cell>
          <cell r="G852">
            <v>470.45</v>
          </cell>
          <cell r="H852" t="str">
            <v>-</v>
          </cell>
        </row>
        <row r="853">
          <cell r="A853" t="str">
            <v>PA/0090</v>
          </cell>
          <cell r="B853" t="str">
            <v>COMPOSIÇÃO</v>
          </cell>
          <cell r="C853"/>
          <cell r="D853" t="str">
            <v>Construção de pavimento com aplicação de concreto betuminoso usinado à quente (CBUQ - faixa B - CAP 60/85 E - usina comercial), camada de rolamento, exclusive transporte da mistura (REF. SICRO COD.4011461, data 01/2021)</v>
          </cell>
          <cell r="E853"/>
          <cell r="F853" t="str">
            <v>T</v>
          </cell>
          <cell r="G853">
            <v>561.54999999999995</v>
          </cell>
          <cell r="H853" t="str">
            <v>-</v>
          </cell>
        </row>
        <row r="854">
          <cell r="A854" t="str">
            <v>PA/0100</v>
          </cell>
          <cell r="B854" t="str">
            <v>COMPOSIÇÃO</v>
          </cell>
          <cell r="C854"/>
          <cell r="D854" t="str">
            <v>Usinagem de Concreto Betuminoso Usinado à Quente - CBUQ - FAIXA "B" - para revestimento asfáltico com asfalto polímero, CAP 60-85 E, posto usina comercial. Exclusive mobilização, instalação, desmobilização e transporte dos insumos (REF. SICRO COD. 6416246, DB 01/2021)</v>
          </cell>
          <cell r="E854"/>
          <cell r="F854" t="str">
            <v>T</v>
          </cell>
          <cell r="G854">
            <v>541.58000000000004</v>
          </cell>
          <cell r="H854" t="str">
            <v>-</v>
          </cell>
        </row>
        <row r="855">
          <cell r="A855" t="str">
            <v>PA/0110</v>
          </cell>
          <cell r="B855" t="str">
            <v>COMPOSIÇÃO</v>
          </cell>
          <cell r="C855"/>
          <cell r="D855" t="str">
            <v>Construção de pavimento com aplicação de concreto betuminoso usinado à quente (CBUQ - faixa B - CAP 30/45 - usina comercial), camada de rolamento, exclusive transporte da mistura (REF. SINAPI COD. 95995, DB 04-2021)</v>
          </cell>
          <cell r="E855"/>
          <cell r="F855" t="str">
            <v>M3</v>
          </cell>
          <cell r="G855">
            <v>115.1</v>
          </cell>
          <cell r="H855" t="str">
            <v>-</v>
          </cell>
        </row>
        <row r="856">
          <cell r="A856" t="str">
            <v>PA/0120</v>
          </cell>
          <cell r="B856" t="str">
            <v>COMPOSIÇÃO</v>
          </cell>
          <cell r="C856"/>
          <cell r="D856" t="str">
            <v>Construção de pavimento com aplicação de concreto betuminoso usinado à quente modificado por polímero elastomérico - CBUQ (p) - CAP 60-85-E - FAIXA "B", camada de rolamento. Exclusive transporte da mistura (REF. SINAPI COD. 95995, DB 04-2021)</v>
          </cell>
          <cell r="E856"/>
          <cell r="F856" t="str">
            <v>M3</v>
          </cell>
          <cell r="G856">
            <v>115.1</v>
          </cell>
          <cell r="H856" t="str">
            <v>-</v>
          </cell>
        </row>
        <row r="857">
          <cell r="A857" t="str">
            <v>PA/0130</v>
          </cell>
          <cell r="B857" t="str">
            <v>COMPOSIÇÃO</v>
          </cell>
          <cell r="C857"/>
          <cell r="D857" t="str">
            <v>Construção de pavimento com aplicação de concreto betuminoso usinado à quente (CBUQ -usina comercial), camada de rolamento, exclusive transporte e fornecimento de mistura de CBUQ (REF. SINAPI COD. 95995, DB 04-2021)</v>
          </cell>
          <cell r="E857"/>
          <cell r="F857" t="str">
            <v>M3</v>
          </cell>
          <cell r="G857">
            <v>115.1</v>
          </cell>
          <cell r="H857" t="str">
            <v>-</v>
          </cell>
        </row>
        <row r="858">
          <cell r="A858" t="str">
            <v>SEL -134</v>
          </cell>
          <cell r="B858" t="str">
            <v>COTAÇÃO - SEL</v>
          </cell>
          <cell r="C858"/>
          <cell r="D858" t="str">
            <v>Fornecimento de concreto betuminoso usinado a quente (CBUQ) para pavimentacao asfaltica, padrao DNIT, faixa B, com CAP 30/45 - aquisicao posto usina</v>
          </cell>
          <cell r="E858" t="str">
            <v>SEL -134</v>
          </cell>
          <cell r="F858" t="str">
            <v>T</v>
          </cell>
          <cell r="G858">
            <v>0</v>
          </cell>
          <cell r="H858" t="str">
            <v>ERRO</v>
          </cell>
        </row>
        <row r="859">
          <cell r="A859" t="str">
            <v>SEL -135</v>
          </cell>
          <cell r="B859" t="str">
            <v>COTAÇÃO - SEL</v>
          </cell>
          <cell r="C859"/>
          <cell r="D859" t="str">
            <v>Fornecimento de concreto betuminoso usinado a quente (CBUQ) para pavimentacao asfaltica, padrao DNIT, faixa B, com CAP 60-85-E (Cimento Asfáltico de Petróleo modificado por polímeros elastomérico), camada de rolamento - aquisicao posto usina</v>
          </cell>
          <cell r="E859" t="str">
            <v>SEL -135</v>
          </cell>
          <cell r="F859" t="str">
            <v>T</v>
          </cell>
          <cell r="G859">
            <v>0</v>
          </cell>
          <cell r="H859" t="str">
            <v>ERRO</v>
          </cell>
        </row>
        <row r="860">
          <cell r="A860">
            <v>97104</v>
          </cell>
          <cell r="B860" t="str">
            <v>SINAPI</v>
          </cell>
          <cell r="C860"/>
          <cell r="D860" t="str">
            <v>Execução de pavimento de concreto simples (PCS), FCK = 40 MPA, camada com espessura de 15,0 cm. AF_11/2017</v>
          </cell>
          <cell r="E860" t="str">
            <v>ATENÇÃO
verificar barras de transferência</v>
          </cell>
          <cell r="F860" t="str">
            <v>M2</v>
          </cell>
          <cell r="G860">
            <v>139.44999999999999</v>
          </cell>
          <cell r="H860" t="str">
            <v>-</v>
          </cell>
        </row>
        <row r="861">
          <cell r="A861">
            <v>97105</v>
          </cell>
          <cell r="B861" t="str">
            <v>SINAPI</v>
          </cell>
          <cell r="C861"/>
          <cell r="D861" t="str">
            <v>Execução de pavimento de concreto simples (PCS), FCK = 40 MPA, camada com espessura de 17,5 cm. AF_11/2017</v>
          </cell>
          <cell r="E861"/>
          <cell r="F861" t="str">
            <v>M2</v>
          </cell>
          <cell r="G861">
            <v>158.18</v>
          </cell>
          <cell r="H861" t="str">
            <v>-</v>
          </cell>
        </row>
        <row r="862">
          <cell r="A862">
            <v>97106</v>
          </cell>
          <cell r="B862" t="str">
            <v>SINAPI</v>
          </cell>
          <cell r="C862"/>
          <cell r="D862" t="str">
            <v>Execução de pavimento de concreto simples (PCS), FCK = 40 MPA, camada com espessura de 20,0 cm. AF_11/2017</v>
          </cell>
          <cell r="E862"/>
          <cell r="F862" t="str">
            <v>M2</v>
          </cell>
          <cell r="G862">
            <v>176.06</v>
          </cell>
          <cell r="H862" t="str">
            <v>-</v>
          </cell>
        </row>
        <row r="863">
          <cell r="A863">
            <v>97107</v>
          </cell>
          <cell r="B863" t="str">
            <v>SINAPI</v>
          </cell>
          <cell r="C863"/>
          <cell r="D863" t="str">
            <v>Execução de pavimento de concreto simples (PCS), FCK = 40 MPA, camada com espessura de 22,5 cm. AF_11/2017</v>
          </cell>
          <cell r="E863"/>
          <cell r="F863" t="str">
            <v>M2</v>
          </cell>
          <cell r="G863">
            <v>201.08</v>
          </cell>
          <cell r="H863" t="str">
            <v>-</v>
          </cell>
        </row>
        <row r="864">
          <cell r="A864">
            <v>97108</v>
          </cell>
          <cell r="B864" t="str">
            <v>SINAPI</v>
          </cell>
          <cell r="C864"/>
          <cell r="D864" t="str">
            <v>Execução de pavimento de concreto simples (PCS), FCK = 40 MPA, camada com espessura de 25,0 cm. AF_11/2017</v>
          </cell>
          <cell r="E864"/>
          <cell r="F864" t="str">
            <v>M2</v>
          </cell>
          <cell r="G864">
            <v>229.61</v>
          </cell>
          <cell r="H864" t="str">
            <v>-</v>
          </cell>
        </row>
        <row r="865">
          <cell r="A865">
            <v>97109</v>
          </cell>
          <cell r="B865" t="str">
            <v>SINAPI</v>
          </cell>
          <cell r="C865"/>
          <cell r="D865" t="str">
            <v>Execução de pavimento de concreto simples (PCS), FCK = 40 MPA, camada com espessura de 27,5 cm. AF_11/2017</v>
          </cell>
          <cell r="E865"/>
          <cell r="F865" t="str">
            <v>M2</v>
          </cell>
          <cell r="G865">
            <v>253.81</v>
          </cell>
          <cell r="H865" t="str">
            <v>-</v>
          </cell>
        </row>
        <row r="866">
          <cell r="A866">
            <v>97111</v>
          </cell>
          <cell r="B866" t="str">
            <v>SINAPI</v>
          </cell>
          <cell r="C866"/>
          <cell r="D866" t="str">
            <v>Execução de pavimento de concreto armado (PCA), FCK = 40 MPA, camada com espessura de 15,0 cm. AF_11/2017</v>
          </cell>
          <cell r="E866"/>
          <cell r="F866" t="str">
            <v>M2</v>
          </cell>
          <cell r="G866">
            <v>246.88</v>
          </cell>
          <cell r="H866" t="str">
            <v>-</v>
          </cell>
        </row>
        <row r="867">
          <cell r="A867">
            <v>97112</v>
          </cell>
          <cell r="B867" t="str">
            <v>SINAPI</v>
          </cell>
          <cell r="C867"/>
          <cell r="D867" t="str">
            <v>Execução de pavimento de concreto armado (PCA), FCK = 40 MPA, camada com espessura de 17,5 cm. AF_11/2017</v>
          </cell>
          <cell r="E867"/>
          <cell r="F867" t="str">
            <v>M2</v>
          </cell>
          <cell r="G867">
            <v>221.67</v>
          </cell>
          <cell r="H867" t="str">
            <v>-</v>
          </cell>
        </row>
        <row r="868">
          <cell r="A868"/>
          <cell r="B868"/>
          <cell r="C868"/>
          <cell r="D868"/>
          <cell r="E868"/>
          <cell r="F868"/>
          <cell r="G868"/>
          <cell r="H868"/>
        </row>
        <row r="869">
          <cell r="A869"/>
          <cell r="B869"/>
          <cell r="C869" t="str">
            <v>11.0</v>
          </cell>
          <cell r="D869" t="str">
            <v>SERVIÇOS COMPLEMENTARES, PASSEIOS E ACESSIBILIDADE</v>
          </cell>
          <cell r="E869"/>
          <cell r="F869"/>
          <cell r="G869"/>
          <cell r="H869" t="str">
            <v/>
          </cell>
        </row>
        <row r="870">
          <cell r="A870" t="str">
            <v>SC/0005</v>
          </cell>
          <cell r="B870" t="str">
            <v>COMPOSIÇÃO</v>
          </cell>
          <cell r="C870">
            <v>11.06</v>
          </cell>
          <cell r="D870" t="str">
            <v>Meio-fio (guia) com sarjeta, concreto FCK = 15mpa, seção 615 cm², moldado no local, inclusive escavação e pintura a cal em uma demão</v>
          </cell>
          <cell r="E870" t="str">
            <v>MANUAL</v>
          </cell>
          <cell r="F870" t="str">
            <v>M</v>
          </cell>
          <cell r="G870">
            <v>51.27</v>
          </cell>
          <cell r="H870" t="str">
            <v>-</v>
          </cell>
        </row>
        <row r="871">
          <cell r="A871" t="str">
            <v>SC/0007</v>
          </cell>
          <cell r="B871" t="str">
            <v>COMPOSIÇÃO</v>
          </cell>
          <cell r="C871">
            <v>11.06</v>
          </cell>
          <cell r="D871" t="str">
            <v>Meio-fio (guia) com sarjeta, concreto FCK = 15mpa, seção 615 cm², concreto usinado, inclusive escavação e pintura a cal em uma demão</v>
          </cell>
          <cell r="E871"/>
          <cell r="F871" t="str">
            <v>M</v>
          </cell>
          <cell r="G871">
            <v>46.9</v>
          </cell>
          <cell r="H871" t="str">
            <v>-</v>
          </cell>
        </row>
        <row r="872">
          <cell r="A872" t="str">
            <v>SC/0006</v>
          </cell>
          <cell r="B872" t="str">
            <v>COMPOSIÇÃO</v>
          </cell>
          <cell r="C872">
            <v>11.06</v>
          </cell>
          <cell r="D872" t="str">
            <v>Meio-fio (guia tipo americana) com sarjeta, concreto FCK = 15mpa, seção 470 cm², moldado no local, inclusive escavação e pintura a cal em uma demão</v>
          </cell>
          <cell r="E872"/>
          <cell r="F872" t="str">
            <v>M</v>
          </cell>
          <cell r="G872">
            <v>38.770000000000003</v>
          </cell>
          <cell r="H872" t="str">
            <v>-</v>
          </cell>
        </row>
        <row r="873">
          <cell r="A873" t="str">
            <v>SC/0008</v>
          </cell>
          <cell r="B873" t="str">
            <v>COMPOSIÇÃO</v>
          </cell>
          <cell r="C873">
            <v>11.06</v>
          </cell>
          <cell r="D873" t="str">
            <v>Meio-fio (guia tipo americana) com sarjeta, concreto FCK = 15mpa, seção 470 cm², concreto usinado, inclusive escavação e pintura a cal em uma demão</v>
          </cell>
          <cell r="E873"/>
          <cell r="F873" t="str">
            <v>M</v>
          </cell>
          <cell r="G873">
            <v>35.44</v>
          </cell>
          <cell r="H873" t="str">
            <v>-</v>
          </cell>
        </row>
        <row r="874">
          <cell r="A874" t="str">
            <v>SC/0010</v>
          </cell>
          <cell r="B874" t="str">
            <v>COMPOSIÇÃO</v>
          </cell>
          <cell r="C874">
            <v>23.86</v>
          </cell>
          <cell r="D874" t="str">
            <v>Meio-fio (guia) simples, concreto FCK = 15mpa, seção 285cm2, moldado no local, inclusive escavação e pintura a cal em uma demão</v>
          </cell>
          <cell r="E874"/>
          <cell r="F874" t="str">
            <v>M</v>
          </cell>
          <cell r="G874">
            <v>24.8</v>
          </cell>
          <cell r="H874" t="str">
            <v>-</v>
          </cell>
        </row>
        <row r="875">
          <cell r="A875" t="str">
            <v>SC/0011</v>
          </cell>
          <cell r="B875" t="str">
            <v>COMPOSIÇÃO</v>
          </cell>
          <cell r="C875">
            <v>11.06</v>
          </cell>
          <cell r="D875" t="str">
            <v>Meio-fio (guia) simples, concreto FCK = 15mpa, seção 285cm2, concreto usinado, inclusive escavação e pintura a cal em uma demão</v>
          </cell>
          <cell r="E875"/>
          <cell r="F875" t="str">
            <v>M</v>
          </cell>
          <cell r="G875">
            <v>22.78</v>
          </cell>
          <cell r="H875" t="str">
            <v>-</v>
          </cell>
        </row>
        <row r="876">
          <cell r="A876" t="str">
            <v>SC/0015</v>
          </cell>
          <cell r="B876" t="str">
            <v>COMPOSIÇÃO</v>
          </cell>
          <cell r="C876">
            <v>13.6</v>
          </cell>
          <cell r="D876" t="str">
            <v>Meio-fio (guia) para estação de embarque, concreto FCK = 15mpa, seção 500cm2, moldado no local, inclusive escavação e pintura a cal em uma demão</v>
          </cell>
          <cell r="E876"/>
          <cell r="F876" t="str">
            <v>M</v>
          </cell>
          <cell r="G876">
            <v>43.9</v>
          </cell>
          <cell r="H876" t="str">
            <v>-</v>
          </cell>
        </row>
        <row r="877">
          <cell r="A877" t="str">
            <v>SC/0016</v>
          </cell>
          <cell r="B877" t="str">
            <v>COMPOSIÇÃO</v>
          </cell>
          <cell r="C877">
            <v>13.6</v>
          </cell>
          <cell r="D877" t="str">
            <v>Meio-fio (guia) para estação de embarque, concreto FCK = 15mpa, seção 500cm2, concreto usinado, inclusive escavação e pintura a cal em uma demão</v>
          </cell>
          <cell r="E877"/>
          <cell r="F877" t="str">
            <v>M</v>
          </cell>
          <cell r="G877">
            <v>40.35</v>
          </cell>
          <cell r="H877" t="str">
            <v>-</v>
          </cell>
        </row>
        <row r="878">
          <cell r="A878" t="str">
            <v>SC/0020</v>
          </cell>
          <cell r="B878" t="str">
            <v>COMPOSIÇÃO</v>
          </cell>
          <cell r="C878">
            <v>7.77</v>
          </cell>
          <cell r="D878" t="str">
            <v>Meio-fio (guia) para rotatórias e ilhas, concreto FCK = 15mpa, seção 875cm2, moldado no local, inclusive escavação e pintura a cal em uma demão</v>
          </cell>
          <cell r="E878"/>
          <cell r="F878" t="str">
            <v>M</v>
          </cell>
          <cell r="G878">
            <v>74.42</v>
          </cell>
          <cell r="H878" t="str">
            <v>-</v>
          </cell>
        </row>
        <row r="879">
          <cell r="A879" t="str">
            <v>SC/0021</v>
          </cell>
          <cell r="B879" t="str">
            <v>COMPOSIÇÃO</v>
          </cell>
          <cell r="C879">
            <v>7.77</v>
          </cell>
          <cell r="D879" t="str">
            <v>Meio-fio (guia) para rotatórias e ilhas, concreto FCK = 15mpa, seção 875cm2, concreto usinado, inclusive escavação e pintura a cal em uma demão</v>
          </cell>
          <cell r="E879"/>
          <cell r="F879" t="str">
            <v>M</v>
          </cell>
          <cell r="G879">
            <v>68.2</v>
          </cell>
          <cell r="H879" t="str">
            <v>-</v>
          </cell>
        </row>
        <row r="880">
          <cell r="A880" t="str">
            <v>SC/0025</v>
          </cell>
          <cell r="B880" t="str">
            <v>COMPOSIÇÃO</v>
          </cell>
          <cell r="C880">
            <v>45.33</v>
          </cell>
          <cell r="D880" t="str">
            <v>Guia para canteiro e ciclovia, concreto FCK = 15mpa, seção 150cm2, moldado no local, inclusive escavação e pintura a cal em uma demão</v>
          </cell>
          <cell r="E880"/>
          <cell r="F880" t="str">
            <v>M</v>
          </cell>
          <cell r="G880">
            <v>27.52</v>
          </cell>
          <cell r="H880" t="str">
            <v>-</v>
          </cell>
        </row>
        <row r="881">
          <cell r="A881" t="str">
            <v>SC/0026</v>
          </cell>
          <cell r="B881" t="str">
            <v>COMPOSIÇÃO</v>
          </cell>
          <cell r="C881">
            <v>45.33</v>
          </cell>
          <cell r="D881" t="str">
            <v>Guia para canteiro e ciclovia, concreto FCK = 15mpa, seção 150cm2, concreto usinado, inclusive escavação e pintura a cal em uma demão</v>
          </cell>
          <cell r="E881"/>
          <cell r="F881" t="str">
            <v>M</v>
          </cell>
          <cell r="G881">
            <v>26.46</v>
          </cell>
          <cell r="H881" t="str">
            <v>-</v>
          </cell>
        </row>
        <row r="882">
          <cell r="A882" t="str">
            <v>SC/0030</v>
          </cell>
          <cell r="B882" t="str">
            <v>COMPOSIÇÃO</v>
          </cell>
          <cell r="C882">
            <v>20.61</v>
          </cell>
          <cell r="D882" t="str">
            <v xml:space="preserve">Tento (acabamento de limpa-rodas), concreto FCK = 15 mpa, seção 330cm², moldado no local, inclusive escavação </v>
          </cell>
          <cell r="E882"/>
          <cell r="F882" t="str">
            <v>M</v>
          </cell>
          <cell r="G882">
            <v>27.62</v>
          </cell>
          <cell r="H882" t="str">
            <v>-</v>
          </cell>
        </row>
        <row r="883">
          <cell r="A883" t="str">
            <v>SC/0031</v>
          </cell>
          <cell r="B883" t="str">
            <v>COMPOSIÇÃO</v>
          </cell>
          <cell r="C883">
            <v>20.61</v>
          </cell>
          <cell r="D883" t="str">
            <v xml:space="preserve">Tento (acabamento de limpa-rodas), concreto FCK = 15 mpa, seção 330cm², concreto usinado, inclusive escavação </v>
          </cell>
          <cell r="E883"/>
          <cell r="F883" t="str">
            <v>M</v>
          </cell>
          <cell r="G883">
            <v>25.28</v>
          </cell>
          <cell r="H883" t="str">
            <v>-</v>
          </cell>
        </row>
        <row r="884">
          <cell r="A884" t="str">
            <v>SC/0035</v>
          </cell>
          <cell r="B884" t="str">
            <v>COMPOSIÇÃO</v>
          </cell>
          <cell r="C884">
            <v>20.61</v>
          </cell>
          <cell r="D884" t="str">
            <v>Sarjeta em concreto FCK = 15mpa, seção 330cm², moldada no local, exclusive escavação</v>
          </cell>
          <cell r="E884"/>
          <cell r="F884" t="str">
            <v>M</v>
          </cell>
          <cell r="G884">
            <v>29.85</v>
          </cell>
          <cell r="H884" t="str">
            <v>-</v>
          </cell>
        </row>
        <row r="885">
          <cell r="A885" t="str">
            <v>SC/0036</v>
          </cell>
          <cell r="B885" t="str">
            <v>COMPOSIÇÃO</v>
          </cell>
          <cell r="C885">
            <v>20.61</v>
          </cell>
          <cell r="D885" t="str">
            <v>Sarjeta em concreto FCK = 15mpa, seção 330cm², concreto usinado, exclusive escavação</v>
          </cell>
          <cell r="E885"/>
          <cell r="F885" t="str">
            <v>M</v>
          </cell>
          <cell r="G885">
            <v>27.5</v>
          </cell>
          <cell r="H885" t="str">
            <v>-</v>
          </cell>
        </row>
        <row r="886">
          <cell r="A886" t="str">
            <v>SC/0040</v>
          </cell>
          <cell r="B886" t="str">
            <v>COMPOSIÇÃO</v>
          </cell>
          <cell r="C886">
            <v>15.11</v>
          </cell>
          <cell r="D886" t="str">
            <v>Sarjeta tipo americana em concreto FCK = 15mpa, seção 455cm², moldada no local, exclusive escavação</v>
          </cell>
          <cell r="E886"/>
          <cell r="F886" t="str">
            <v>M</v>
          </cell>
          <cell r="G886">
            <v>39.409999999999997</v>
          </cell>
          <cell r="H886" t="str">
            <v>-</v>
          </cell>
        </row>
        <row r="887">
          <cell r="A887" t="str">
            <v>SC/0045</v>
          </cell>
          <cell r="B887" t="str">
            <v>COMPOSIÇÃO</v>
          </cell>
          <cell r="C887">
            <v>9.26</v>
          </cell>
          <cell r="D887" t="str">
            <v>Meio-fio (guia) com sarjeta, concreto FCK = 20mpa, seção 615 cm², moldado no local com extrusora, inclusive e pintura a cal em uma demão</v>
          </cell>
          <cell r="E887" t="str">
            <v>EXTRUSÃO</v>
          </cell>
          <cell r="F887" t="str">
            <v>M</v>
          </cell>
          <cell r="G887">
            <v>60.54</v>
          </cell>
          <cell r="H887" t="str">
            <v>-</v>
          </cell>
        </row>
        <row r="888">
          <cell r="A888" t="str">
            <v>SC/0050</v>
          </cell>
          <cell r="B888" t="str">
            <v>COMPOSIÇÃO</v>
          </cell>
          <cell r="C888">
            <v>6.41</v>
          </cell>
          <cell r="D888" t="str">
            <v>Meio-fio (guia) com sarjeta, concreto FCK = 20mpa, seção 615 cm², moldado no local em trecho curvo (R≤10 m) com extrusora, inclusive pintura a cal em uma demão</v>
          </cell>
          <cell r="E888"/>
          <cell r="F888" t="str">
            <v>M</v>
          </cell>
          <cell r="G888">
            <v>64.430000000000007</v>
          </cell>
          <cell r="H888" t="str">
            <v>-</v>
          </cell>
        </row>
        <row r="889">
          <cell r="A889" t="str">
            <v>SC/0055</v>
          </cell>
          <cell r="B889" t="str">
            <v>COMPOSIÇÃO</v>
          </cell>
          <cell r="C889">
            <v>11.9</v>
          </cell>
          <cell r="D889" t="str">
            <v>Meio-fio (guia) simples, concreto FCK = 20mpa, seção 285 cm², moldado no local em trecho reto com extrusora, inclusive pintura a cal em uma demão</v>
          </cell>
          <cell r="E889"/>
          <cell r="F889" t="str">
            <v>M</v>
          </cell>
          <cell r="G889">
            <v>35.57</v>
          </cell>
          <cell r="H889" t="str">
            <v>-</v>
          </cell>
        </row>
        <row r="890">
          <cell r="A890" t="str">
            <v>SC/0060</v>
          </cell>
          <cell r="B890" t="str">
            <v>COMPOSIÇÃO</v>
          </cell>
          <cell r="C890">
            <v>7.94</v>
          </cell>
          <cell r="D890" t="str">
            <v>Meio-fio (guia) simples, concreto FCK = 20mpa, seção 285 cm², moldado no local em trecho curvo (R≤10 m) com extrusora, inclusive pintura a cal em uma demão</v>
          </cell>
          <cell r="E890"/>
          <cell r="F890" t="str">
            <v>M</v>
          </cell>
          <cell r="G890">
            <v>38.71</v>
          </cell>
          <cell r="H890" t="str">
            <v>-</v>
          </cell>
        </row>
        <row r="891">
          <cell r="A891" t="str">
            <v>SC/0065</v>
          </cell>
          <cell r="B891" t="str">
            <v>COMPOSIÇÃO</v>
          </cell>
          <cell r="C891">
            <v>26.88</v>
          </cell>
          <cell r="D891" t="str">
            <v>Guia para canteiro e ciclovia, concreto FCK = 15mpa, seção 150cm², moldado no local com extrusora, inclusive pintura a cal em uma demão</v>
          </cell>
          <cell r="E891"/>
          <cell r="F891" t="str">
            <v>M</v>
          </cell>
          <cell r="G891">
            <v>15.72</v>
          </cell>
          <cell r="H891" t="str">
            <v>-</v>
          </cell>
        </row>
        <row r="892">
          <cell r="A892">
            <v>104737</v>
          </cell>
          <cell r="B892" t="str">
            <v>SINAPI</v>
          </cell>
          <cell r="C892">
            <v>96995</v>
          </cell>
          <cell r="D892" t="str">
            <v>Reaterro manual de valas, com placa vibratória. AF_08/2023</v>
          </cell>
          <cell r="E892"/>
          <cell r="F892" t="str">
            <v>M3</v>
          </cell>
          <cell r="G892">
            <v>18.12</v>
          </cell>
          <cell r="H892" t="str">
            <v>-</v>
          </cell>
        </row>
        <row r="893">
          <cell r="A893" t="str">
            <v>SC/0067</v>
          </cell>
          <cell r="B893" t="str">
            <v>COMPOSIÇÃO</v>
          </cell>
          <cell r="C893">
            <v>119.63076</v>
          </cell>
          <cell r="D893" t="str">
            <v>Execução e compactação de aterro com solo predominantemente argiloso, utilizando minicarregadeira sobre rodas - exclusive solo, escavação, carga e transporte.</v>
          </cell>
          <cell r="E893"/>
          <cell r="F893" t="str">
            <v>M3</v>
          </cell>
          <cell r="G893">
            <v>13.91</v>
          </cell>
          <cell r="H893" t="str">
            <v>-</v>
          </cell>
        </row>
        <row r="894">
          <cell r="A894">
            <v>97084</v>
          </cell>
          <cell r="B894" t="str">
            <v>SINAPI</v>
          </cell>
          <cell r="C894">
            <v>52.63</v>
          </cell>
          <cell r="D894" t="str">
            <v>Compactação mecânica de solo para execução de radier, com compactador de solos tipo placa vibratória. AF_09/2021</v>
          </cell>
          <cell r="E894"/>
          <cell r="F894" t="str">
            <v>M2</v>
          </cell>
          <cell r="G894">
            <v>0.56000000000000005</v>
          </cell>
          <cell r="H894" t="str">
            <v>-</v>
          </cell>
        </row>
        <row r="895">
          <cell r="A895" t="str">
            <v>SC/0068</v>
          </cell>
          <cell r="B895" t="str">
            <v>COMPOSIÇÃO</v>
          </cell>
          <cell r="C895">
            <v>79472</v>
          </cell>
          <cell r="D895" t="str">
            <v>Revestimento de pátio com pedra britada com espessura de 5 cm com regularização do terreno com motoniveladora. Exclusive transporte. (REF SINAPI COD 100575)</v>
          </cell>
          <cell r="E895"/>
          <cell r="F895" t="str">
            <v>M2</v>
          </cell>
          <cell r="G895">
            <v>5.44</v>
          </cell>
          <cell r="H895" t="str">
            <v>-</v>
          </cell>
        </row>
        <row r="896">
          <cell r="A896" t="str">
            <v>SC/0069</v>
          </cell>
          <cell r="B896" t="str">
            <v>COMPOSIÇÃO</v>
          </cell>
          <cell r="C896">
            <v>79472</v>
          </cell>
          <cell r="D896" t="str">
            <v>Lastro de brita comercial - espalhamento mecânico. (REF SICRO COD 0903845)</v>
          </cell>
          <cell r="E896"/>
          <cell r="F896" t="str">
            <v>M3</v>
          </cell>
          <cell r="G896">
            <v>111.44</v>
          </cell>
          <cell r="H896" t="str">
            <v>-</v>
          </cell>
        </row>
        <row r="897">
          <cell r="A897">
            <v>100575</v>
          </cell>
          <cell r="B897" t="str">
            <v>SINAPI</v>
          </cell>
          <cell r="C897">
            <v>909.09</v>
          </cell>
          <cell r="D897" t="str">
            <v>Regularização de superfícies com motoniveladora. AF_11/2019</v>
          </cell>
          <cell r="E897"/>
          <cell r="F897" t="str">
            <v>M2</v>
          </cell>
          <cell r="G897">
            <v>0.12</v>
          </cell>
          <cell r="H897" t="str">
            <v>-</v>
          </cell>
        </row>
        <row r="898">
          <cell r="A898"/>
          <cell r="B898" t="str">
            <v>REPETIDO</v>
          </cell>
          <cell r="C898">
            <v>94962</v>
          </cell>
          <cell r="D898" t="str">
            <v>Concreto magro para lastro, traço 1:4,5:4,5 (cimento/ areia média/ brita 1) - preparo mecânico com betoneira 400 l. AF_07/2016</v>
          </cell>
          <cell r="E898"/>
          <cell r="F898" t="str">
            <v>-</v>
          </cell>
          <cell r="G898" t="str">
            <v>-</v>
          </cell>
          <cell r="H898" t="str">
            <v/>
          </cell>
        </row>
        <row r="899">
          <cell r="A899">
            <v>94968</v>
          </cell>
          <cell r="B899" t="str">
            <v>SINAPI</v>
          </cell>
          <cell r="C899"/>
          <cell r="D899" t="str">
            <v>Concreto magro para lastro, traço 1:4,5:4,5 (cimento/ areia média/ brita 1) - preparo mecânico com betoneira 600 l. AF_07/2016</v>
          </cell>
          <cell r="E899"/>
          <cell r="F899" t="str">
            <v>M3</v>
          </cell>
          <cell r="G899">
            <v>375</v>
          </cell>
          <cell r="H899" t="str">
            <v>-</v>
          </cell>
        </row>
        <row r="900">
          <cell r="A900">
            <v>94974</v>
          </cell>
          <cell r="B900" t="str">
            <v>SINAPI</v>
          </cell>
          <cell r="C900"/>
          <cell r="D900" t="str">
            <v>Concreto magro para lastro, traço 1:4,5:4,5 (cimento/ areia média/ brita 1)  - preparo manual. AF_07/2016</v>
          </cell>
          <cell r="E900"/>
          <cell r="F900" t="str">
            <v>M3</v>
          </cell>
          <cell r="G900">
            <v>425.85</v>
          </cell>
          <cell r="H900" t="str">
            <v>-</v>
          </cell>
        </row>
        <row r="901">
          <cell r="A901">
            <v>100324</v>
          </cell>
          <cell r="B901" t="str">
            <v>SINAPI</v>
          </cell>
          <cell r="C901"/>
          <cell r="D901" t="str">
            <v>Lastro com material granular (pedra britada n.1 e pedra britada n.2), aplicado em pisos ou radiers, espessura de *10 cm*. AF_07/2019</v>
          </cell>
          <cell r="E901"/>
          <cell r="F901" t="str">
            <v>M3</v>
          </cell>
          <cell r="G901">
            <v>147.47</v>
          </cell>
          <cell r="H901" t="str">
            <v>-</v>
          </cell>
        </row>
        <row r="902">
          <cell r="A902"/>
          <cell r="B902" t="str">
            <v>REPETIDO</v>
          </cell>
          <cell r="C902">
            <v>96620</v>
          </cell>
          <cell r="D902" t="str">
            <v>Lastro de concreto magro, aplicado em pisos ou radiers. AF_08/2017</v>
          </cell>
          <cell r="E902"/>
          <cell r="F902" t="str">
            <v>-</v>
          </cell>
          <cell r="G902" t="str">
            <v>-</v>
          </cell>
          <cell r="H902" t="str">
            <v/>
          </cell>
        </row>
        <row r="903">
          <cell r="A903">
            <v>92396</v>
          </cell>
          <cell r="B903" t="str">
            <v>SINAPI</v>
          </cell>
          <cell r="C903" t="str">
            <v>PISO INTERTRAVADO</v>
          </cell>
          <cell r="D903" t="str">
            <v>Execução de passeio em piso intertravado, com bloco retangular cor natural de 20 x 10 cm, espessura 6 cm. AF_12/2015</v>
          </cell>
          <cell r="E903" t="str">
            <v>areia empolada
0,082 m³/m²</v>
          </cell>
          <cell r="F903" t="str">
            <v>M2</v>
          </cell>
          <cell r="G903">
            <v>71.31</v>
          </cell>
          <cell r="H903" t="str">
            <v>-</v>
          </cell>
        </row>
        <row r="904">
          <cell r="A904">
            <v>93679</v>
          </cell>
          <cell r="B904" t="str">
            <v>SINAPI</v>
          </cell>
          <cell r="C904"/>
          <cell r="D904" t="str">
            <v>Execução de passeio em piso intertravado, com bloco retangular colorido de 20 x 10 cm, espessura 6 cm. AF_12/2015</v>
          </cell>
          <cell r="E904"/>
          <cell r="F904" t="str">
            <v>M2</v>
          </cell>
          <cell r="G904">
            <v>79.27</v>
          </cell>
          <cell r="H904" t="str">
            <v>-</v>
          </cell>
        </row>
        <row r="905">
          <cell r="A905">
            <v>92402</v>
          </cell>
          <cell r="B905" t="str">
            <v>SINAPI</v>
          </cell>
          <cell r="C905"/>
          <cell r="D905" t="str">
            <v>Execução de passeio em piso intertravado, com bloco 16 faces de 22 x 11 cm, espessura 6 cm. AF_12/2015</v>
          </cell>
          <cell r="E905"/>
          <cell r="F905" t="str">
            <v>M2</v>
          </cell>
          <cell r="G905">
            <v>69.63</v>
          </cell>
          <cell r="H905" t="str">
            <v>-</v>
          </cell>
        </row>
        <row r="906">
          <cell r="A906">
            <v>101862</v>
          </cell>
          <cell r="B906" t="str">
            <v>SINAPI</v>
          </cell>
          <cell r="C906"/>
          <cell r="D906" t="str">
            <v>Reassentamento de blocos retangular para piso intertravado, espessura de 6 cm, em calçada, com reaproveitamento dos blocos retangular. AF_12/2020</v>
          </cell>
          <cell r="E906"/>
          <cell r="F906" t="str">
            <v>M2</v>
          </cell>
          <cell r="G906">
            <v>28.29</v>
          </cell>
          <cell r="H906" t="str">
            <v>-</v>
          </cell>
        </row>
        <row r="907">
          <cell r="A907">
            <v>101867</v>
          </cell>
          <cell r="B907" t="str">
            <v>SINAPI</v>
          </cell>
          <cell r="C907"/>
          <cell r="D907" t="str">
            <v>Reassentamento de blocos 16 faces para piso intertravado, espessura de 6 cm, em calçada, com reaproveitamento dos blocos 16 faces. AF_12/2020</v>
          </cell>
          <cell r="E907"/>
          <cell r="F907" t="str">
            <v>M2</v>
          </cell>
          <cell r="G907">
            <v>29.73</v>
          </cell>
          <cell r="H907" t="str">
            <v>-</v>
          </cell>
        </row>
        <row r="908">
          <cell r="A908">
            <v>94990</v>
          </cell>
          <cell r="B908" t="str">
            <v>SINAPI</v>
          </cell>
          <cell r="C908" t="str">
            <v>CALÇADA</v>
          </cell>
          <cell r="D908" t="str">
            <v>Execução de passeio (calçada) ou piso de concreto com concreto moldado in loco, feito em obra, acabamento convencional, não armado. AF_07/2016</v>
          </cell>
          <cell r="E908" t="str">
            <v>ATENÇÃO
M3</v>
          </cell>
          <cell r="F908" t="str">
            <v>M3</v>
          </cell>
          <cell r="G908">
            <v>720.96</v>
          </cell>
          <cell r="H908" t="str">
            <v>-</v>
          </cell>
        </row>
        <row r="909">
          <cell r="A909">
            <v>94991</v>
          </cell>
          <cell r="B909" t="str">
            <v>SINAPI</v>
          </cell>
          <cell r="C909"/>
          <cell r="D909" t="str">
            <v>Execução de passeio (calçada) ou piso de concreto com concreto moldado in loco, usinado, acabamento convencional, não armado. AF_07/2016</v>
          </cell>
          <cell r="E909"/>
          <cell r="F909" t="str">
            <v>M3</v>
          </cell>
          <cell r="G909">
            <v>767.43</v>
          </cell>
          <cell r="H909" t="str">
            <v>-</v>
          </cell>
        </row>
        <row r="910">
          <cell r="A910">
            <v>94994</v>
          </cell>
          <cell r="B910" t="str">
            <v>SINAPI</v>
          </cell>
          <cell r="C910"/>
          <cell r="D910" t="str">
            <v>Execução de passeio (calçada) ou piso de concreto com concreto moldado in loco, feito em obra, acabamento convencional, espessura 8 cm, armado. AF_07/2016</v>
          </cell>
          <cell r="E910" t="str">
            <v>ATENÇÃO
concreto armado</v>
          </cell>
          <cell r="F910" t="str">
            <v>M2</v>
          </cell>
          <cell r="G910">
            <v>88.52</v>
          </cell>
          <cell r="H910" t="str">
            <v>-</v>
          </cell>
        </row>
        <row r="911">
          <cell r="A911">
            <v>94995</v>
          </cell>
          <cell r="B911" t="str">
            <v>SINAPI</v>
          </cell>
          <cell r="C911"/>
          <cell r="D911" t="str">
            <v>Execução de passeio (calçada) ou piso de concreto com concreto moldado in loco, usinado, acabamento convencional, espessura 8 cm, armado. AF_07/2016</v>
          </cell>
          <cell r="E911"/>
          <cell r="F911" t="str">
            <v>M2</v>
          </cell>
          <cell r="G911">
            <v>92.25</v>
          </cell>
          <cell r="H911" t="str">
            <v>-</v>
          </cell>
        </row>
        <row r="912">
          <cell r="A912">
            <v>94994</v>
          </cell>
          <cell r="B912" t="str">
            <v>SINAPI</v>
          </cell>
          <cell r="C912"/>
          <cell r="D912" t="str">
            <v>Execução de passeio (calçada) ou piso de concreto com concreto moldado in loco, feito em obra, acabamento convencional, espessura 10 cm, armado. AF_07/2016</v>
          </cell>
          <cell r="E912"/>
          <cell r="F912" t="str">
            <v>M2</v>
          </cell>
          <cell r="G912">
            <v>88.52</v>
          </cell>
          <cell r="H912" t="str">
            <v>-</v>
          </cell>
        </row>
        <row r="913">
          <cell r="A913">
            <v>94995</v>
          </cell>
          <cell r="B913" t="str">
            <v>SINAPI</v>
          </cell>
          <cell r="C913"/>
          <cell r="D913" t="str">
            <v>Execução de passeio (calçada) ou piso de concreto com concreto moldado in loco, usinado, acabamento convencional, espessura 10 cm, armado. AF_07/2016</v>
          </cell>
          <cell r="E913"/>
          <cell r="F913" t="str">
            <v>M2</v>
          </cell>
          <cell r="G913">
            <v>92.25</v>
          </cell>
          <cell r="H913" t="str">
            <v>-</v>
          </cell>
        </row>
        <row r="914">
          <cell r="A914">
            <v>101747</v>
          </cell>
          <cell r="B914" t="str">
            <v>SINAPI</v>
          </cell>
          <cell r="C914">
            <v>68333</v>
          </cell>
          <cell r="D914" t="str">
            <v>Piso em concreto 20 MPA preparo mecânico, espessura 7cm. AF_09/2020</v>
          </cell>
          <cell r="E914"/>
          <cell r="F914" t="str">
            <v>M2</v>
          </cell>
          <cell r="G914">
            <v>87.23</v>
          </cell>
          <cell r="H914" t="str">
            <v>-</v>
          </cell>
        </row>
        <row r="915">
          <cell r="A915" t="str">
            <v>SC/0070</v>
          </cell>
          <cell r="B915" t="str">
            <v>COMPOSIÇÃO</v>
          </cell>
          <cell r="C915"/>
          <cell r="D915" t="str">
            <v>Acabamento sobre superfícies em concreto, argamassa e outros com pigmento com 210g/m² de pó para coloração (REF. SINAPI COD. 73676)</v>
          </cell>
          <cell r="E915"/>
          <cell r="F915" t="str">
            <v>M2</v>
          </cell>
          <cell r="G915" t="e">
            <v>#N/A</v>
          </cell>
          <cell r="H915" t="str">
            <v>VER COMP</v>
          </cell>
        </row>
        <row r="916">
          <cell r="A916" t="str">
            <v>SC/0075</v>
          </cell>
          <cell r="B916" t="str">
            <v>COMPOSIÇÃO</v>
          </cell>
          <cell r="C916"/>
          <cell r="D916" t="str">
            <v>Piso tátil de alerta ou direcional com lajota cimentícia  25x25x2cm, nas cores da NBR 16537, assentado com argamassa de cimento e areia 1:3</v>
          </cell>
          <cell r="E916"/>
          <cell r="F916" t="str">
            <v>M</v>
          </cell>
          <cell r="G916">
            <v>36.520000000000003</v>
          </cell>
          <cell r="H916" t="str">
            <v>-</v>
          </cell>
        </row>
        <row r="917">
          <cell r="A917" t="str">
            <v>SC/0080</v>
          </cell>
          <cell r="B917" t="str">
            <v>COMPOSIÇÃO</v>
          </cell>
          <cell r="C917"/>
          <cell r="D917" t="str">
            <v>Piso tátil de alerta ou direcional com lajota cimentícia  40x40x2,5cm, nas cores da NBR 16537, assentado com argamassa de cimento e areia 1:3</v>
          </cell>
          <cell r="E917"/>
          <cell r="F917" t="str">
            <v>M</v>
          </cell>
          <cell r="G917">
            <v>58.13</v>
          </cell>
          <cell r="H917" t="str">
            <v>-</v>
          </cell>
        </row>
        <row r="918">
          <cell r="A918">
            <v>101094</v>
          </cell>
          <cell r="B918" t="str">
            <v>SINAPI</v>
          </cell>
          <cell r="C918"/>
          <cell r="D918" t="str">
            <v>Piso podotátil, direcional ou alerta, assentado sobre argamassa. AF_05/2020</v>
          </cell>
          <cell r="E918"/>
          <cell r="F918" t="str">
            <v>M</v>
          </cell>
          <cell r="G918">
            <v>171.91</v>
          </cell>
          <cell r="H918" t="str">
            <v>-</v>
          </cell>
        </row>
        <row r="919">
          <cell r="A919">
            <v>92391</v>
          </cell>
          <cell r="B919" t="str">
            <v>SINAPI</v>
          </cell>
          <cell r="C919"/>
          <cell r="D919" t="str">
            <v>Execução de pavimento em piso intertravado, com bloco pisograma de 35 x 25 cm, espessura 6 cm. AF_12/2015</v>
          </cell>
          <cell r="E919"/>
          <cell r="F919" t="str">
            <v>M2</v>
          </cell>
          <cell r="G919">
            <v>60.88</v>
          </cell>
          <cell r="H919" t="str">
            <v>-</v>
          </cell>
        </row>
        <row r="920">
          <cell r="A920">
            <v>92392</v>
          </cell>
          <cell r="B920" t="str">
            <v>SINAPI</v>
          </cell>
          <cell r="C920"/>
          <cell r="D920" t="str">
            <v>Execução de pavimento em piso intertravado, com bloco pisograma de 35 x 25 cm, espessura 8 cm. AF_12/2015</v>
          </cell>
          <cell r="E920"/>
          <cell r="F920" t="str">
            <v>M2</v>
          </cell>
          <cell r="G920">
            <v>126.22</v>
          </cell>
          <cell r="H920" t="str">
            <v>-</v>
          </cell>
        </row>
        <row r="921">
          <cell r="A921">
            <v>101856</v>
          </cell>
          <cell r="B921" t="str">
            <v>SINAPI</v>
          </cell>
          <cell r="C921"/>
          <cell r="D921" t="str">
            <v>Reassentamento de blocos pisograma para piso intertravado, com reaproveitamento dos blocos pisograma. AF_12/2020</v>
          </cell>
          <cell r="E921"/>
          <cell r="F921" t="str">
            <v>M2</v>
          </cell>
          <cell r="G921">
            <v>21.39</v>
          </cell>
          <cell r="H921" t="str">
            <v>-</v>
          </cell>
        </row>
        <row r="922">
          <cell r="A922">
            <v>98503</v>
          </cell>
          <cell r="B922" t="str">
            <v>SINAPI</v>
          </cell>
          <cell r="C922"/>
          <cell r="D922" t="str">
            <v>Plantio de grama em pavimento concregrama. AF_05/2018</v>
          </cell>
          <cell r="E922"/>
          <cell r="F922" t="str">
            <v>M2</v>
          </cell>
          <cell r="G922">
            <v>23.22</v>
          </cell>
          <cell r="H922" t="str">
            <v>-</v>
          </cell>
        </row>
        <row r="923">
          <cell r="A923">
            <v>98504</v>
          </cell>
          <cell r="B923" t="str">
            <v>SINAPI</v>
          </cell>
          <cell r="C923"/>
          <cell r="D923" t="str">
            <v>Plantio de grama em placas. AF_05/2018</v>
          </cell>
          <cell r="E923"/>
          <cell r="F923" t="str">
            <v>M2</v>
          </cell>
          <cell r="G923">
            <v>9.68</v>
          </cell>
          <cell r="H923" t="str">
            <v>-</v>
          </cell>
        </row>
        <row r="924">
          <cell r="A924">
            <v>98505</v>
          </cell>
          <cell r="B924" t="str">
            <v>SINAPI</v>
          </cell>
          <cell r="C924"/>
          <cell r="D924" t="str">
            <v>Plantio de forração. Af_05/2018</v>
          </cell>
          <cell r="E924"/>
          <cell r="F924" t="str">
            <v>M2</v>
          </cell>
          <cell r="G924">
            <v>64.75</v>
          </cell>
          <cell r="H924" t="str">
            <v>-</v>
          </cell>
        </row>
        <row r="925">
          <cell r="A925">
            <v>98520</v>
          </cell>
          <cell r="B925" t="str">
            <v>SINAPI</v>
          </cell>
          <cell r="C925"/>
          <cell r="D925" t="str">
            <v>Aplicação de adubo em solo. AF_05/2018</v>
          </cell>
          <cell r="E925"/>
          <cell r="F925" t="str">
            <v>M2</v>
          </cell>
          <cell r="G925">
            <v>7.64</v>
          </cell>
          <cell r="H925" t="str">
            <v>-</v>
          </cell>
        </row>
        <row r="926">
          <cell r="A926" t="str">
            <v>SC/0082</v>
          </cell>
          <cell r="B926" t="str">
            <v>COMPOSIÇÃO</v>
          </cell>
          <cell r="C926">
            <v>85180</v>
          </cell>
          <cell r="D926" t="str">
            <v>Grama em placas, tipo esmeralda, incluindo plantio, adubo, fertilizante, calcário, terra orgânica e irrigação</v>
          </cell>
          <cell r="E926"/>
          <cell r="F926" t="str">
            <v>M2</v>
          </cell>
          <cell r="G926">
            <v>21.59</v>
          </cell>
          <cell r="H926" t="str">
            <v>-</v>
          </cell>
        </row>
        <row r="927">
          <cell r="A927">
            <v>98509</v>
          </cell>
          <cell r="B927" t="str">
            <v>SINAPI</v>
          </cell>
          <cell r="C927"/>
          <cell r="D927" t="str">
            <v>Plantio de arbusto ou cerca viva. AF_05/2018</v>
          </cell>
          <cell r="E927"/>
          <cell r="F927" t="str">
            <v>UN</v>
          </cell>
          <cell r="G927">
            <v>45.03</v>
          </cell>
          <cell r="H927" t="str">
            <v>-</v>
          </cell>
        </row>
        <row r="928">
          <cell r="A928">
            <v>98510</v>
          </cell>
          <cell r="B928" t="str">
            <v>SINAPI</v>
          </cell>
          <cell r="C928"/>
          <cell r="D928" t="str">
            <v>Plantio de árvore ornamental com altura de muda menor ou igual a 2,00 m. AF_05/2018</v>
          </cell>
          <cell r="E928"/>
          <cell r="F928" t="str">
            <v>UN</v>
          </cell>
          <cell r="G928">
            <v>67.41</v>
          </cell>
          <cell r="H928" t="str">
            <v>-</v>
          </cell>
        </row>
        <row r="929">
          <cell r="A929">
            <v>98511</v>
          </cell>
          <cell r="B929" t="str">
            <v>SINAPI</v>
          </cell>
          <cell r="C929"/>
          <cell r="D929" t="str">
            <v>Plantio de árvore ornamental com altura de muda maior que 2,00 m e menor ou igual a 4,00 m. AF_05/2018</v>
          </cell>
          <cell r="E929"/>
          <cell r="F929" t="str">
            <v>UN</v>
          </cell>
          <cell r="G929">
            <v>128.25</v>
          </cell>
          <cell r="H929" t="str">
            <v>-</v>
          </cell>
        </row>
        <row r="930">
          <cell r="A930">
            <v>98516</v>
          </cell>
          <cell r="B930" t="str">
            <v>SINAPI</v>
          </cell>
          <cell r="C930"/>
          <cell r="D930" t="str">
            <v>Plantio de palmeira com altura de muda menor ou igual a 2,00 m. AF_05/2018</v>
          </cell>
          <cell r="E930"/>
          <cell r="F930" t="str">
            <v>UN</v>
          </cell>
          <cell r="G930">
            <v>334.66</v>
          </cell>
          <cell r="H930" t="str">
            <v>-</v>
          </cell>
        </row>
        <row r="931">
          <cell r="A931" t="str">
            <v>SC/0085</v>
          </cell>
          <cell r="B931" t="str">
            <v>COMPOSIÇÃO</v>
          </cell>
          <cell r="C931"/>
          <cell r="D931" t="str">
            <v>Dispositivo de segurança na travessia de pedestre - guarda corpo em tubo de aço galvanizado Ø 3", pintado com esmalte sintético em duas demãos</v>
          </cell>
          <cell r="E931"/>
          <cell r="F931" t="str">
            <v xml:space="preserve">UN </v>
          </cell>
          <cell r="G931">
            <v>1365.2</v>
          </cell>
          <cell r="H931" t="str">
            <v>-</v>
          </cell>
        </row>
        <row r="932">
          <cell r="A932" t="str">
            <v>SC/0090</v>
          </cell>
          <cell r="B932" t="str">
            <v>COMPOSIÇÃO</v>
          </cell>
          <cell r="C932"/>
          <cell r="D932" t="str">
            <v>Defensa metálica semi-maleável tipo simples, em chapa de aço, padrão DNIT, incluindo fornecimento, montagem e refletivos (30x5cm) (REF. SICRO COD. 3713604)</v>
          </cell>
          <cell r="E932"/>
          <cell r="F932" t="str">
            <v>M</v>
          </cell>
          <cell r="G932">
            <v>495.04</v>
          </cell>
          <cell r="H932" t="str">
            <v>-</v>
          </cell>
        </row>
        <row r="933">
          <cell r="A933" t="str">
            <v>SC/0091</v>
          </cell>
          <cell r="B933" t="str">
            <v>COMPOSIÇÃO</v>
          </cell>
          <cell r="C933"/>
          <cell r="D933" t="str">
            <v>Implantação de Defensa metálica semi-maleável tipo simples, em chapa de aço, padrão DNIT, excluindo fornecimento e refletivos (30x5cm) (REF. SICRO COD. 3713604, DB 01/2021)</v>
          </cell>
          <cell r="E933"/>
          <cell r="F933" t="str">
            <v>M</v>
          </cell>
          <cell r="G933">
            <v>5.84</v>
          </cell>
          <cell r="H933" t="str">
            <v>-</v>
          </cell>
        </row>
        <row r="934">
          <cell r="A934" t="str">
            <v>SC/0092</v>
          </cell>
          <cell r="B934" t="str">
            <v>COMPOSIÇÃO</v>
          </cell>
          <cell r="C934"/>
          <cell r="D934" t="str">
            <v>Fornecimento de Defensa metálica semi-maleável tipo simples, em chapa de aço, padrão DNIT, incluindo fornecimento e refletivos (30x5cm), excluindo montagem (REF. SICRO COD. 3713604, DB 01/2021)</v>
          </cell>
          <cell r="E934"/>
          <cell r="F934" t="str">
            <v>M</v>
          </cell>
          <cell r="G934">
            <v>488.92</v>
          </cell>
          <cell r="H934" t="str">
            <v>-</v>
          </cell>
        </row>
        <row r="935">
          <cell r="A935" t="str">
            <v>SC/0095</v>
          </cell>
          <cell r="B935" t="str">
            <v>COMPOSIÇÃO</v>
          </cell>
          <cell r="C935"/>
          <cell r="D935" t="str">
            <v>Defensa metálica semi-maleável tipo dupla, em chapa de aço, padrão DNIT, incluindo fornecimento, montagem e refletivos (30x5cm) (REF. SICRO COD. 3713606)</v>
          </cell>
          <cell r="E935"/>
          <cell r="F935" t="str">
            <v>M</v>
          </cell>
          <cell r="G935">
            <v>688.39</v>
          </cell>
          <cell r="H935" t="str">
            <v>-</v>
          </cell>
        </row>
        <row r="936">
          <cell r="A936" t="str">
            <v>SC/0096</v>
          </cell>
          <cell r="B936" t="str">
            <v>COMPOSIÇÃO</v>
          </cell>
          <cell r="C936"/>
          <cell r="D936" t="str">
            <v>Instalação de Defensa metálica semi-maleável tipo dupla, em chapa de aço, padrão DNIT, excluindo fornecimento e refletivos (30x5cm) (REF. SICRO COD. 3713606, DB 01/2021)</v>
          </cell>
          <cell r="E936"/>
          <cell r="F936" t="str">
            <v>M</v>
          </cell>
          <cell r="G936">
            <v>14.01</v>
          </cell>
          <cell r="H936" t="str">
            <v>-</v>
          </cell>
        </row>
        <row r="937">
          <cell r="A937" t="str">
            <v>SC/0097</v>
          </cell>
          <cell r="B937" t="str">
            <v>COMPOSIÇÃO</v>
          </cell>
          <cell r="C937"/>
          <cell r="D937" t="str">
            <v>Fornecimento de Defensa metálica semi-maleável tipo dupla, em chapa de aço, padrão DNIT, incluindo fornecimento e refletivos (30x5cm) (REF. SICRO COD. 3713606, DB 01/2021), excluindo montagem e transporte</v>
          </cell>
          <cell r="E937"/>
          <cell r="F937" t="str">
            <v>M</v>
          </cell>
          <cell r="G937">
            <v>674.38</v>
          </cell>
          <cell r="H937" t="str">
            <v>-</v>
          </cell>
        </row>
        <row r="938">
          <cell r="A938" t="str">
            <v>SC/0100</v>
          </cell>
          <cell r="B938" t="str">
            <v>COMPOSIÇÃO</v>
          </cell>
          <cell r="C938"/>
          <cell r="D938" t="str">
            <v>Tubo aço galvanizado com costura para guarda-corpo, classe leve, DN 40 mm (1 1/2"),  DIN 2440 / NBR 5580 classe leve, espessura 3,00 mm, *3,48* kg/m</v>
          </cell>
          <cell r="E938"/>
          <cell r="F938" t="str">
            <v>M</v>
          </cell>
          <cell r="G938">
            <v>54.93</v>
          </cell>
          <cell r="H938" t="str">
            <v>-</v>
          </cell>
        </row>
        <row r="939">
          <cell r="A939" t="str">
            <v>SC/0105</v>
          </cell>
          <cell r="B939" t="str">
            <v>COMPOSIÇÃO</v>
          </cell>
          <cell r="C939"/>
          <cell r="D939" t="str">
            <v>Tubo aço galvanizado com costura para guarda-corpo, classe leve, DN 50 mm (2"),  DIN 2440 / NBR 5580 classe leve, espessura 3,00 mm, *4,40* kg/m</v>
          </cell>
          <cell r="E939"/>
          <cell r="F939" t="str">
            <v>M</v>
          </cell>
          <cell r="G939">
            <v>71.7</v>
          </cell>
          <cell r="H939" t="str">
            <v>-</v>
          </cell>
        </row>
        <row r="940">
          <cell r="A940">
            <v>89512</v>
          </cell>
          <cell r="B940" t="str">
            <v>SINAPI</v>
          </cell>
          <cell r="C940"/>
          <cell r="D940" t="str">
            <v>Tubo pvc, série r, água pluvial, diâmetro nominal de 100 mm, fornecido e instalado em ramal de encaminhamento. AF_12/2014</v>
          </cell>
          <cell r="E940"/>
          <cell r="F940" t="str">
            <v>M</v>
          </cell>
          <cell r="G940">
            <v>49.01</v>
          </cell>
          <cell r="H940" t="str">
            <v>-</v>
          </cell>
        </row>
        <row r="941">
          <cell r="A941" t="str">
            <v>SC/0130</v>
          </cell>
          <cell r="B941" t="str">
            <v>COMPOSIÇÃO</v>
          </cell>
          <cell r="C941">
            <v>3.5</v>
          </cell>
          <cell r="D941" t="str">
            <v>Tampão fofo articulado, classe A15, carga máxima 1,5 T, 200 x 200 mm. Incluindo fornecimento, assentamento e requadro com argamassa</v>
          </cell>
          <cell r="E941"/>
          <cell r="F941" t="str">
            <v xml:space="preserve">UN </v>
          </cell>
          <cell r="G941">
            <v>125.14</v>
          </cell>
          <cell r="H941" t="str">
            <v>-</v>
          </cell>
        </row>
        <row r="942">
          <cell r="A942" t="str">
            <v>SC/0135</v>
          </cell>
          <cell r="B942" t="str">
            <v>COMPOSIÇÃO</v>
          </cell>
          <cell r="C942">
            <v>5.8</v>
          </cell>
          <cell r="D942" t="str">
            <v>Tampão fofo simples com base, classe A15, carga máxima 1,5 T, 300 x 300 mm. Incluindo fornecimento, assentamento e requadro com argamassa</v>
          </cell>
          <cell r="E942"/>
          <cell r="F942" t="str">
            <v xml:space="preserve">UN </v>
          </cell>
          <cell r="G942">
            <v>188.99</v>
          </cell>
          <cell r="H942" t="str">
            <v>-</v>
          </cell>
        </row>
        <row r="943">
          <cell r="A943" t="str">
            <v>SC/0140</v>
          </cell>
          <cell r="B943" t="str">
            <v>COMPOSIÇÃO</v>
          </cell>
          <cell r="C943">
            <v>9</v>
          </cell>
          <cell r="D943" t="str">
            <v>Tampão fofo simples com base, classe A15, carga máxima 1,5 T, 400 x 400 mm. Incluindo fornecimento, assentamento e requadro com argamassa</v>
          </cell>
          <cell r="E943"/>
          <cell r="F943" t="str">
            <v xml:space="preserve">UN </v>
          </cell>
          <cell r="G943">
            <v>274.97000000000003</v>
          </cell>
          <cell r="H943" t="str">
            <v>-</v>
          </cell>
        </row>
        <row r="944">
          <cell r="A944" t="str">
            <v>SC/0145</v>
          </cell>
          <cell r="B944" t="str">
            <v>COMPOSIÇÃO</v>
          </cell>
          <cell r="C944">
            <v>12</v>
          </cell>
          <cell r="D944" t="str">
            <v>Tampão fofo simples com base, classe A15, carga máxima 1,5 T, 400 x 400 mm. Incluindo fornecimento, assentamento e requadro com argamassa</v>
          </cell>
          <cell r="E944"/>
          <cell r="F944" t="str">
            <v xml:space="preserve">UN </v>
          </cell>
          <cell r="G944">
            <v>281.19</v>
          </cell>
          <cell r="H944" t="str">
            <v>-</v>
          </cell>
        </row>
        <row r="945">
          <cell r="A945" t="str">
            <v>SC/0150</v>
          </cell>
          <cell r="B945" t="str">
            <v>COMPOSIÇÃO</v>
          </cell>
          <cell r="C945">
            <v>15</v>
          </cell>
          <cell r="D945" t="str">
            <v>Tampão fofo simples com base, classe A15, carga máxima 1,5 T, 400 x 600 mm. Incluindo fornecimento, assentamento e requadro com argamassa</v>
          </cell>
          <cell r="E945"/>
          <cell r="F945" t="str">
            <v xml:space="preserve">UN </v>
          </cell>
          <cell r="G945">
            <v>378.68</v>
          </cell>
          <cell r="H945" t="str">
            <v>-</v>
          </cell>
        </row>
        <row r="946">
          <cell r="A946">
            <v>101798</v>
          </cell>
          <cell r="B946" t="str">
            <v>SINAPI</v>
          </cell>
          <cell r="C946" t="str">
            <v>84798
18 kg/un</v>
          </cell>
          <cell r="D946" t="str">
            <v>Tampão fofo p/ caixa R1 padrão telebrás completo - fornecimento e instalação</v>
          </cell>
          <cell r="E946"/>
          <cell r="F946" t="str">
            <v>UN</v>
          </cell>
          <cell r="G946">
            <v>360.4</v>
          </cell>
          <cell r="H946" t="str">
            <v>-</v>
          </cell>
        </row>
        <row r="947">
          <cell r="A947">
            <v>101799</v>
          </cell>
          <cell r="B947" t="str">
            <v>SINAPI</v>
          </cell>
          <cell r="C947" t="str">
            <v>84796
45,375 kg/un</v>
          </cell>
          <cell r="D947" t="str">
            <v>tampão fofo p/ caixa R2 padrão telebrás completo - fornecimento e instalação</v>
          </cell>
          <cell r="E947"/>
          <cell r="F947" t="str">
            <v>UN</v>
          </cell>
          <cell r="G947">
            <v>879.99</v>
          </cell>
          <cell r="H947" t="str">
            <v>-</v>
          </cell>
        </row>
        <row r="948">
          <cell r="A948" t="str">
            <v>SC/0155</v>
          </cell>
          <cell r="B948" t="str">
            <v>COMPOSIÇÃO</v>
          </cell>
          <cell r="C948"/>
          <cell r="D948" t="str">
            <v>Tampão completo para TIL, em PVC,  DN 100 mm, para rede coletora de esgoto. Incluindo fornecimento, assentamento e requadro com argamassa</v>
          </cell>
          <cell r="E948"/>
          <cell r="F948" t="str">
            <v xml:space="preserve">UN </v>
          </cell>
          <cell r="G948" t="e">
            <v>#N/A</v>
          </cell>
          <cell r="H948" t="str">
            <v>VER COMP</v>
          </cell>
        </row>
        <row r="949">
          <cell r="A949" t="str">
            <v>SC/0160</v>
          </cell>
          <cell r="B949" t="str">
            <v>COMPOSIÇÃO</v>
          </cell>
          <cell r="C949"/>
          <cell r="D949" t="str">
            <v>Tampa de concreto armado para caixa de passeio, na espessura de 5cm (REF. SINAPI COD. 6171)</v>
          </cell>
          <cell r="E949"/>
          <cell r="F949" t="str">
            <v>M2</v>
          </cell>
          <cell r="G949">
            <v>103.68</v>
          </cell>
          <cell r="H949" t="str">
            <v>-</v>
          </cell>
        </row>
        <row r="950">
          <cell r="A950">
            <v>101166</v>
          </cell>
          <cell r="B950" t="str">
            <v>SINAPI</v>
          </cell>
          <cell r="C950">
            <v>95474</v>
          </cell>
          <cell r="D950" t="str">
            <v>Alvenaria de embasamento com bloco estrutural de cerâmica, de 14x19x29cm e argamassa de assentamento com preparo em betoneira. AF_05/2020</v>
          </cell>
          <cell r="E950"/>
          <cell r="F950" t="str">
            <v>M3</v>
          </cell>
          <cell r="G950">
            <v>637.16</v>
          </cell>
          <cell r="H950" t="str">
            <v>-</v>
          </cell>
        </row>
        <row r="951">
          <cell r="A951">
            <v>94964</v>
          </cell>
          <cell r="B951" t="str">
            <v>SINAPI</v>
          </cell>
          <cell r="C951"/>
          <cell r="D951" t="str">
            <v>Concreto FCK = 20MPA, traço 1:2,7:3 (cimento/ areia média/ brita 1) - preparo mecânico com betoneira 400 l. AF_07/2016</v>
          </cell>
          <cell r="E951"/>
          <cell r="F951" t="str">
            <v>M3</v>
          </cell>
          <cell r="G951">
            <v>466.55</v>
          </cell>
          <cell r="H951" t="str">
            <v>-</v>
          </cell>
        </row>
        <row r="952">
          <cell r="A952">
            <v>98524</v>
          </cell>
          <cell r="B952" t="str">
            <v>SINAPI</v>
          </cell>
          <cell r="C952">
            <v>85422</v>
          </cell>
          <cell r="D952" t="str">
            <v>Limpeza manual de vegetação em terreno com enxada. AF_05/2018</v>
          </cell>
          <cell r="E952"/>
          <cell r="F952" t="str">
            <v>M2</v>
          </cell>
          <cell r="G952">
            <v>2.64</v>
          </cell>
          <cell r="H952" t="str">
            <v>-</v>
          </cell>
        </row>
        <row r="953">
          <cell r="A953">
            <v>96542</v>
          </cell>
          <cell r="B953" t="str">
            <v>SINAPI</v>
          </cell>
          <cell r="C953"/>
          <cell r="D953" t="str">
            <v>Fabricação, montagem e desmontagem de fôrma para viga baldrame, em chapa de madeira compensada resinada, e=17 mm, 4 utilizações. AF_06/2017</v>
          </cell>
          <cell r="E953"/>
          <cell r="F953" t="str">
            <v>M2</v>
          </cell>
          <cell r="G953">
            <v>83.41</v>
          </cell>
          <cell r="H953" t="str">
            <v>-</v>
          </cell>
        </row>
        <row r="954">
          <cell r="A954" t="str">
            <v>SC/0210</v>
          </cell>
          <cell r="B954" t="str">
            <v>COMPOSIÇÃO</v>
          </cell>
          <cell r="C954">
            <v>83693</v>
          </cell>
          <cell r="D954" t="str">
            <v>Caiação com fixador de cal. Ref SICRO CÓD  4915723, DB 01-2021</v>
          </cell>
          <cell r="E954"/>
          <cell r="F954" t="str">
            <v>M2</v>
          </cell>
          <cell r="G954">
            <v>3.24</v>
          </cell>
          <cell r="H954" t="str">
            <v>-</v>
          </cell>
        </row>
        <row r="955">
          <cell r="A955">
            <v>102218</v>
          </cell>
          <cell r="B955" t="str">
            <v>SINAPI</v>
          </cell>
          <cell r="C955">
            <v>84659</v>
          </cell>
          <cell r="D955" t="str">
            <v>Pintura esmalte fosco em madeira, duas demãos</v>
          </cell>
          <cell r="E955"/>
          <cell r="F955" t="str">
            <v>M2</v>
          </cell>
          <cell r="G955">
            <v>13.47</v>
          </cell>
          <cell r="H955" t="str">
            <v>-</v>
          </cell>
        </row>
        <row r="956">
          <cell r="A956">
            <v>100749</v>
          </cell>
          <cell r="B956" t="str">
            <v>SINAPI</v>
          </cell>
          <cell r="C956"/>
          <cell r="D956" t="str">
            <v>Pintura com tinta alquídica de acabamento (esmalte sintético fosco) pulverizada sobre superfícies metálicas (exceto perfil) executado em obra (por demão). AF_01/2020</v>
          </cell>
          <cell r="E956"/>
          <cell r="F956" t="str">
            <v>M2</v>
          </cell>
          <cell r="G956">
            <v>20.34</v>
          </cell>
          <cell r="H956" t="str">
            <v>-</v>
          </cell>
        </row>
        <row r="957">
          <cell r="A957">
            <v>100750</v>
          </cell>
          <cell r="B957" t="str">
            <v>SINAPI</v>
          </cell>
          <cell r="C957"/>
          <cell r="D957" t="str">
            <v>Pintura com tinta alquídica de acabamento (esmalte sintético fosco) aplicada a rolo ou pincel sobre superfícies metálicas (exceto perfil) executado em obra (por demão). AF_01/2020</v>
          </cell>
          <cell r="E957"/>
          <cell r="F957" t="str">
            <v>M2</v>
          </cell>
          <cell r="G957">
            <v>20.32</v>
          </cell>
          <cell r="H957" t="str">
            <v>-</v>
          </cell>
        </row>
        <row r="958">
          <cell r="A958">
            <v>88489</v>
          </cell>
          <cell r="B958" t="str">
            <v>SINAPI</v>
          </cell>
          <cell r="C958"/>
          <cell r="D958" t="str">
            <v>APLICAÇÃO MANUAL DE PINTURA COM TINTA LÁTEX ACRÍLICA EM PAREDES, DUAS DEMÃOS. AF_06/2014</v>
          </cell>
          <cell r="E958"/>
          <cell r="F958" t="str">
            <v>M2</v>
          </cell>
          <cell r="G958">
            <v>11.15</v>
          </cell>
          <cell r="H958" t="str">
            <v>-</v>
          </cell>
        </row>
        <row r="959">
          <cell r="A959">
            <v>101190</v>
          </cell>
          <cell r="B959" t="str">
            <v>SINAPI</v>
          </cell>
          <cell r="C959"/>
          <cell r="D959" t="str">
            <v>Cerca com mourões de concreto, reto, h=3,00 m, espaçamento de 2,50 m, cravados 0,5 m, com 4 fios de arame de aço ovalado 15x17 - fornecimento e instalação. AF_05/2020</v>
          </cell>
          <cell r="E959"/>
          <cell r="F959" t="str">
            <v>M</v>
          </cell>
          <cell r="G959">
            <v>59.08</v>
          </cell>
          <cell r="H959" t="str">
            <v>-</v>
          </cell>
        </row>
        <row r="960">
          <cell r="A960">
            <v>101193</v>
          </cell>
          <cell r="B960" t="str">
            <v>SINAPI</v>
          </cell>
          <cell r="C960"/>
          <cell r="D960" t="str">
            <v>Cerca com mourões de concreto, reto, h=2,30 m, espaçamento de 2,50 m, cravados 0,5 m, com 4 fios de arame de aço ovalado 15x17 - fornecimento e instalação. AF_05/2020</v>
          </cell>
          <cell r="E960"/>
          <cell r="F960" t="str">
            <v>M</v>
          </cell>
          <cell r="G960">
            <v>53.65</v>
          </cell>
          <cell r="H960" t="str">
            <v>-</v>
          </cell>
        </row>
        <row r="961">
          <cell r="A961">
            <v>101199</v>
          </cell>
          <cell r="B961" t="str">
            <v>SINAPI</v>
          </cell>
          <cell r="C961"/>
          <cell r="D961" t="str">
            <v>Cerca com mourões de concreto, seção "t" ponta inclinada, 10x10cm, espaçamento de 2,5m, cravados 0,5m, com 11 fios de arame misto - fornecimento e instalação. AF_05/2020</v>
          </cell>
          <cell r="E961"/>
          <cell r="F961" t="str">
            <v>M</v>
          </cell>
          <cell r="G961">
            <v>80.19</v>
          </cell>
          <cell r="H961" t="str">
            <v>-</v>
          </cell>
        </row>
        <row r="962">
          <cell r="A962">
            <v>102362</v>
          </cell>
          <cell r="B962" t="str">
            <v>SINAPI</v>
          </cell>
          <cell r="C962"/>
          <cell r="D962" t="str">
            <v>Alambrado para quadra poliesportiva, estruturado por tubos de aco galvanizado, (montantes com diametro 2", travessas e escoras com diâmetro 1 ¼), com tela de arame galvanizado, fio 14 bwg e malha quadrada 5x5cm (exceto mureta). AF_03/2021</v>
          </cell>
          <cell r="E962"/>
          <cell r="F962" t="str">
            <v>M2</v>
          </cell>
          <cell r="G962">
            <v>153.30000000000001</v>
          </cell>
          <cell r="H962" t="str">
            <v>-</v>
          </cell>
        </row>
        <row r="963">
          <cell r="A963">
            <v>102364</v>
          </cell>
          <cell r="B963" t="str">
            <v>SINAPI</v>
          </cell>
          <cell r="C963"/>
          <cell r="D963" t="str">
            <v>Alambrado para quadra poliesportiva, estruturado por tubos de aco galvanizado, (montantes com diametro 2", travessas e escoras com diâmetro 1 ¼), com tela de arame galvanizado, fio 10 bwg e malha quadrada 5x5cm (exceto mureta). af_03/2021</v>
          </cell>
          <cell r="E963"/>
          <cell r="F963" t="str">
            <v>M2</v>
          </cell>
          <cell r="G963">
            <v>189.57</v>
          </cell>
          <cell r="H963" t="str">
            <v>-</v>
          </cell>
        </row>
        <row r="964">
          <cell r="A964" t="str">
            <v>SC/0110</v>
          </cell>
          <cell r="B964" t="str">
            <v>COMPOSIÇÃO</v>
          </cell>
          <cell r="C964" t="str">
            <v>74142/3
SC/0120</v>
          </cell>
          <cell r="D964" t="str">
            <v>Cerca com mourões de madeira roliça Ø 11cm, espaçamento de 2,00m, altura livre de 1,50m, cravado 0,50m, com 5 fios de arame liso ovalado 15x17, conforme projeto</v>
          </cell>
          <cell r="E964"/>
          <cell r="F964" t="str">
            <v>M</v>
          </cell>
          <cell r="G964">
            <v>33.33</v>
          </cell>
          <cell r="H964" t="str">
            <v>-</v>
          </cell>
        </row>
        <row r="965">
          <cell r="A965" t="str">
            <v>SC/0115</v>
          </cell>
          <cell r="B965" t="str">
            <v>COMPOSIÇÃO</v>
          </cell>
          <cell r="C965" t="str">
            <v>SC/0110</v>
          </cell>
          <cell r="D965" t="str">
            <v>Alambrado com tela de aço galvanizado, fio 14, malha 1½" , três fios de arame liso, poste curvo de concreto com altura livre de 1,80m, mureta de concreto com altura de 30cm, conforme projeto. REF SINAPI 98522</v>
          </cell>
          <cell r="E965"/>
          <cell r="F965" t="str">
            <v>M</v>
          </cell>
          <cell r="G965">
            <v>250.12</v>
          </cell>
          <cell r="H965" t="str">
            <v>-</v>
          </cell>
        </row>
        <row r="966">
          <cell r="A966" t="str">
            <v>SC/0120</v>
          </cell>
          <cell r="B966" t="str">
            <v>COMPOSIÇÃO</v>
          </cell>
          <cell r="C966" t="str">
            <v>SC/0125</v>
          </cell>
          <cell r="D966" t="str">
            <v>Portão para veículos em tela arame galvanizado n.12 malha 2" e moldura em tubos de aco com duas folhas de abrir, incluso ferragens (REF. SINAPI COD. 74238/2 - Descontinuado)</v>
          </cell>
          <cell r="E966"/>
          <cell r="F966" t="str">
            <v>M2</v>
          </cell>
          <cell r="G966">
            <v>944.99</v>
          </cell>
          <cell r="H966" t="str">
            <v>-</v>
          </cell>
        </row>
        <row r="967">
          <cell r="A967" t="str">
            <v>SC/0125</v>
          </cell>
          <cell r="B967" t="str">
            <v>COMPOSIÇÃO</v>
          </cell>
          <cell r="C967" t="str">
            <v>SC/0130</v>
          </cell>
          <cell r="D967" t="str">
            <v>Orla de madeira de 2,5 x 5 cm, para grama, fornecimento e aplicação em áreas inclinadas</v>
          </cell>
          <cell r="E967"/>
          <cell r="F967" t="str">
            <v>M</v>
          </cell>
          <cell r="G967">
            <v>10.65</v>
          </cell>
          <cell r="H967" t="str">
            <v>-</v>
          </cell>
        </row>
        <row r="968">
          <cell r="A968" t="str">
            <v>SC/0200</v>
          </cell>
          <cell r="B968" t="str">
            <v>COMPOSIÇÃO</v>
          </cell>
          <cell r="C968" t="str">
            <v>SC/0130</v>
          </cell>
          <cell r="D968" t="str">
            <v>Meio fio de concreto - MFC 03 - areia e brita comerciais - fôrma de madeira.Ref SICRO CÓD  2003373, DB 07-2020</v>
          </cell>
          <cell r="E968"/>
          <cell r="F968" t="str">
            <v>M</v>
          </cell>
          <cell r="G968">
            <v>39.049999999999997</v>
          </cell>
          <cell r="H968" t="str">
            <v>-</v>
          </cell>
        </row>
        <row r="969">
          <cell r="A969" t="str">
            <v>SC/0205</v>
          </cell>
          <cell r="B969" t="str">
            <v>COMPOSIÇÃO</v>
          </cell>
          <cell r="C969" t="str">
            <v>SC/0205</v>
          </cell>
          <cell r="D969" t="str">
            <v>Enchimento de junta de concreto com argamassa asfáltica de densidade 1.700 kg/m³ - espessura de 1 cm.Ref SICRO CÓD  2003842, DB 07-2020</v>
          </cell>
          <cell r="E969"/>
          <cell r="F969" t="str">
            <v>KG</v>
          </cell>
          <cell r="G969">
            <v>89.71</v>
          </cell>
          <cell r="H969" t="str">
            <v>-</v>
          </cell>
        </row>
        <row r="970">
          <cell r="A970" t="str">
            <v>SC/0210</v>
          </cell>
          <cell r="B970" t="str">
            <v>COMPOSIÇÃO</v>
          </cell>
          <cell r="C970" t="str">
            <v>SC/0210</v>
          </cell>
          <cell r="D970" t="str">
            <v>Caiação com fixador de cal. Ref SICRO CÓD  4915723, DB 01-2021</v>
          </cell>
          <cell r="E970"/>
          <cell r="F970" t="str">
            <v>M2</v>
          </cell>
          <cell r="G970">
            <v>3.24</v>
          </cell>
          <cell r="H970" t="str">
            <v>-</v>
          </cell>
        </row>
        <row r="971">
          <cell r="A971" t="str">
            <v>SC/0220</v>
          </cell>
          <cell r="B971" t="str">
            <v>COMPOSIÇÃO</v>
          </cell>
          <cell r="C971" t="str">
            <v>SC/0220</v>
          </cell>
          <cell r="D971" t="str">
            <v>Balizador de concreto - areia e brita comerciais - fornecimento e implantação. Ref SICRO CÓD  5213368, DB 01-2021</v>
          </cell>
          <cell r="E971"/>
          <cell r="F971" t="str">
            <v>UN</v>
          </cell>
          <cell r="G971">
            <v>25.55</v>
          </cell>
          <cell r="H971" t="str">
            <v>-</v>
          </cell>
        </row>
        <row r="972">
          <cell r="A972" t="str">
            <v>SC/0230</v>
          </cell>
          <cell r="B972" t="str">
            <v>COMPOSIÇÃO</v>
          </cell>
          <cell r="C972" t="str">
            <v>SC/0230</v>
          </cell>
          <cell r="D972" t="str">
            <v>Fabricação de balizador de concreto - seção circular de 10 cm - areia e brita comerciais. Ref SICRO CÓD  5216116, DB 01-2021</v>
          </cell>
          <cell r="E972"/>
          <cell r="F972" t="str">
            <v>UN</v>
          </cell>
          <cell r="G972">
            <v>13.82</v>
          </cell>
          <cell r="H972" t="str">
            <v>-</v>
          </cell>
        </row>
        <row r="973">
          <cell r="A973" t="str">
            <v>SC/0240</v>
          </cell>
          <cell r="B973" t="str">
            <v>COMPOSIÇÃO</v>
          </cell>
          <cell r="C973" t="str">
            <v>SC/0230</v>
          </cell>
          <cell r="D973" t="str">
            <v>Barreira simples de concreto, não armada, moldada no local (perfil New Jersey) - H = 810 + 100 mm. Ref SICRO CÓD  3713617, DB 01-2021</v>
          </cell>
          <cell r="E973"/>
          <cell r="F973" t="str">
            <v>M</v>
          </cell>
          <cell r="G973">
            <v>215.67</v>
          </cell>
          <cell r="H973" t="str">
            <v>-</v>
          </cell>
        </row>
        <row r="974">
          <cell r="A974" t="str">
            <v>SC/0250</v>
          </cell>
          <cell r="B974" t="str">
            <v>COMPOSIÇÃO</v>
          </cell>
          <cell r="C974" t="str">
            <v>SC/0230</v>
          </cell>
          <cell r="D974" t="str">
            <v>Hidrossemeadura. Ref SICRO CÓD  4413905, DB 04-2021</v>
          </cell>
          <cell r="E974"/>
          <cell r="F974" t="str">
            <v>M2</v>
          </cell>
          <cell r="G974">
            <v>6.59</v>
          </cell>
          <cell r="H974" t="str">
            <v>-</v>
          </cell>
        </row>
        <row r="975">
          <cell r="A975" t="str">
            <v>SC/0260</v>
          </cell>
          <cell r="B975" t="str">
            <v>COMPOSIÇÃO</v>
          </cell>
          <cell r="C975" t="str">
            <v>SC/0230</v>
          </cell>
          <cell r="D975" t="str">
            <v>Banco concreto armado pré moldado, acabamento com silicone, dimensões 120x50x45cm, apoiado em bloco de concreto moldado in loco à 5 cm acima do nível do piso intertravado, com pintura na parte externa em tinta acrílica para piso acabamento fosco, cor preta, dimensões 110x40x11cm</v>
          </cell>
          <cell r="E975"/>
          <cell r="F975" t="str">
            <v>UN</v>
          </cell>
          <cell r="G975">
            <v>615.98</v>
          </cell>
          <cell r="H975" t="str">
            <v>-</v>
          </cell>
        </row>
        <row r="976">
          <cell r="A976" t="str">
            <v>SC/0270</v>
          </cell>
          <cell r="B976" t="str">
            <v>COMPOSIÇÃO</v>
          </cell>
          <cell r="C976" t="str">
            <v>SC/0230</v>
          </cell>
          <cell r="D976" t="str">
            <v>Floreira concreto armado 60x60x70cm, apoiado no pavimento e paredes e fundo interno com 3 demãos de impermeabilizante base cimento polimerico inclusive dreno com brita</v>
          </cell>
          <cell r="E976"/>
          <cell r="F976" t="str">
            <v>UN</v>
          </cell>
          <cell r="G976">
            <v>689.41</v>
          </cell>
          <cell r="H976" t="str">
            <v>-</v>
          </cell>
        </row>
        <row r="977">
          <cell r="A977"/>
          <cell r="B977"/>
          <cell r="C977"/>
          <cell r="D977"/>
          <cell r="E977"/>
          <cell r="F977"/>
          <cell r="G977"/>
          <cell r="H977"/>
        </row>
        <row r="978">
          <cell r="A978"/>
          <cell r="B978"/>
          <cell r="C978" t="str">
            <v>12.0</v>
          </cell>
          <cell r="D978" t="str">
            <v>DRENAGEM DE LENÇOL FREÁTICO</v>
          </cell>
          <cell r="E978"/>
          <cell r="F978"/>
          <cell r="G978"/>
          <cell r="H978" t="str">
            <v/>
          </cell>
        </row>
        <row r="979">
          <cell r="A979"/>
          <cell r="B979" t="str">
            <v>REPETIDO</v>
          </cell>
          <cell r="C979">
            <v>101570</v>
          </cell>
          <cell r="D979" t="str">
            <v>Escoramento de vala, tipo pontaleteamento, com profundidade de 0,00 a 1,50 m, largura menor que 1,50 m. AF_08/2020</v>
          </cell>
          <cell r="E979"/>
          <cell r="F979" t="str">
            <v>-</v>
          </cell>
          <cell r="G979" t="str">
            <v>-</v>
          </cell>
          <cell r="H979" t="str">
            <v/>
          </cell>
        </row>
        <row r="980">
          <cell r="A980"/>
          <cell r="B980" t="str">
            <v>REPETIDO</v>
          </cell>
          <cell r="C980" t="str">
            <v>90106
14,99 m3/h</v>
          </cell>
          <cell r="D980" t="str">
            <v>Escavação mecanizada de vala com profundidade até 1,50 m (média entre montante e jusante/uma composição por trecho), com retroescavadeira (0,26 m3/88 HP), largura de 0,80 m a 1,50 m, em solo de 1a categoria, em locais com baixo nível de interferência. AF_01/2015</v>
          </cell>
          <cell r="E980"/>
          <cell r="F980" t="str">
            <v>-</v>
          </cell>
          <cell r="G980" t="str">
            <v>-</v>
          </cell>
          <cell r="H980" t="str">
            <v/>
          </cell>
        </row>
        <row r="981">
          <cell r="A981" t="str">
            <v>LF/0005</v>
          </cell>
          <cell r="B981" t="str">
            <v>COMPOSIÇÃO</v>
          </cell>
          <cell r="C981">
            <v>2.33</v>
          </cell>
          <cell r="D981" t="str">
            <v>Escavação mecânica de vala para drenagem com mimiescavadeira em material de 1a categoria (REF. SINAPI COD. 96525)</v>
          </cell>
          <cell r="E981"/>
          <cell r="F981" t="str">
            <v>M3</v>
          </cell>
          <cell r="G981">
            <v>42.29</v>
          </cell>
          <cell r="H981" t="str">
            <v>-</v>
          </cell>
        </row>
        <row r="982">
          <cell r="A982" t="str">
            <v>DR/0050</v>
          </cell>
          <cell r="B982" t="str">
            <v>COMPOSIÇÃO</v>
          </cell>
          <cell r="C982"/>
          <cell r="D982" t="str">
            <v>Esgotamento de água com bomba submersa (REF. SICRO COD. 2003864)</v>
          </cell>
          <cell r="E982"/>
          <cell r="F982" t="str">
            <v>H</v>
          </cell>
          <cell r="G982">
            <v>22.01</v>
          </cell>
          <cell r="H982" t="str">
            <v>-</v>
          </cell>
        </row>
        <row r="983">
          <cell r="A983"/>
          <cell r="B983" t="str">
            <v>REPETIDO</v>
          </cell>
          <cell r="C983">
            <v>93382</v>
          </cell>
          <cell r="D983" t="str">
            <v>Reaterro manual de valas com compactação mecanizada. AF_04/2016</v>
          </cell>
          <cell r="E983"/>
          <cell r="F983" t="str">
            <v>-</v>
          </cell>
          <cell r="G983" t="str">
            <v>-</v>
          </cell>
          <cell r="H983" t="str">
            <v/>
          </cell>
        </row>
        <row r="984">
          <cell r="A984" t="str">
            <v>LF/0006</v>
          </cell>
          <cell r="B984" t="str">
            <v>CRIAR COMPOSIÇÃO</v>
          </cell>
          <cell r="C984" t="str">
            <v>73883/1</v>
          </cell>
          <cell r="D984" t="str">
            <v>Execução de dreno francês (vertical) com areia média. Exclusive transporte da areia  e bota-fora</v>
          </cell>
          <cell r="E984"/>
          <cell r="F984" t="str">
            <v>-</v>
          </cell>
          <cell r="G984" t="str">
            <v>-</v>
          </cell>
          <cell r="H984" t="str">
            <v>-</v>
          </cell>
        </row>
        <row r="985">
          <cell r="A985" t="str">
            <v>73883/2</v>
          </cell>
          <cell r="B985" t="str">
            <v>SINAPI</v>
          </cell>
          <cell r="C985"/>
          <cell r="D985" t="str">
            <v>VERIFICAR CÓDIGOS:  102670 a 102697. Execução de dreno francês com brita num 2</v>
          </cell>
          <cell r="E985"/>
          <cell r="F985" t="e">
            <v>#N/A</v>
          </cell>
          <cell r="G985" t="e">
            <v>#N/A</v>
          </cell>
          <cell r="H985" t="str">
            <v>VER COMP</v>
          </cell>
        </row>
        <row r="986">
          <cell r="A986" t="str">
            <v>73881/1</v>
          </cell>
          <cell r="B986" t="str">
            <v>SINAPI</v>
          </cell>
          <cell r="C986"/>
          <cell r="D986" t="str">
            <v>VERIFICAR CÓDIGOS: 102712, 10713, 102715. Execução de dreno com manta geotêxtil 200 g/m2</v>
          </cell>
          <cell r="E986" t="str">
            <v>200 g/m²</v>
          </cell>
          <cell r="F986" t="e">
            <v>#N/A</v>
          </cell>
          <cell r="G986" t="e">
            <v>#N/A</v>
          </cell>
          <cell r="H986" t="str">
            <v>VER COMP</v>
          </cell>
        </row>
        <row r="987">
          <cell r="A987">
            <v>44507</v>
          </cell>
          <cell r="B987" t="str">
            <v>SINAPI</v>
          </cell>
          <cell r="C987">
            <v>25863</v>
          </cell>
          <cell r="D987" t="str">
            <v>Manta termoplastica, PEAD, geomembrana lisa, e = 1,00 mm ( NBR 15352)</v>
          </cell>
          <cell r="E987" t="str">
            <v>200 g/m²</v>
          </cell>
          <cell r="F987" t="str">
            <v xml:space="preserve">M2    </v>
          </cell>
          <cell r="G987">
            <v>28.23</v>
          </cell>
          <cell r="H987" t="str">
            <v>-</v>
          </cell>
        </row>
        <row r="988">
          <cell r="A988" t="str">
            <v>LF/0007</v>
          </cell>
          <cell r="B988" t="str">
            <v>COMPOSIÇÃO</v>
          </cell>
          <cell r="C988">
            <v>88549</v>
          </cell>
          <cell r="D988" t="str">
            <v>Brita n. 2 para dreno, lançamento manual, em local com nível baixo de interferência. Fornecimento, exclusive transporte</v>
          </cell>
          <cell r="E988"/>
          <cell r="F988" t="str">
            <v>M3</v>
          </cell>
          <cell r="G988">
            <v>183.24</v>
          </cell>
          <cell r="H988" t="str">
            <v>-</v>
          </cell>
        </row>
        <row r="989">
          <cell r="A989" t="str">
            <v>LF/0008</v>
          </cell>
          <cell r="B989" t="str">
            <v>COMPOSIÇÃO</v>
          </cell>
          <cell r="C989">
            <v>83680</v>
          </cell>
          <cell r="D989" t="str">
            <v>Barbacã em tubo de PVC diâmetro nominal de 75 mm (3"), incluindo material drenante. Exclusive transporte da pedra</v>
          </cell>
          <cell r="E989"/>
          <cell r="F989" t="str">
            <v>M</v>
          </cell>
          <cell r="G989">
            <v>25.93</v>
          </cell>
          <cell r="H989" t="str">
            <v>-</v>
          </cell>
        </row>
        <row r="990">
          <cell r="A990" t="str">
            <v>LF/0010</v>
          </cell>
          <cell r="B990" t="str">
            <v>COMPOSIÇÃO</v>
          </cell>
          <cell r="C990">
            <v>16.600000000000001</v>
          </cell>
          <cell r="D990" t="str">
            <v>Dreno sub-horizontal profundo, incluindo tubo de PVC soldável DN 50 mm, perfuração sub-horizontal, geossintético RT-14</v>
          </cell>
          <cell r="E990"/>
          <cell r="F990" t="str">
            <v>M</v>
          </cell>
          <cell r="G990">
            <v>124.33</v>
          </cell>
          <cell r="H990" t="str">
            <v>-</v>
          </cell>
        </row>
        <row r="991">
          <cell r="A991" t="str">
            <v>LF/0015</v>
          </cell>
          <cell r="B991" t="str">
            <v>COMPOSIÇÃO</v>
          </cell>
          <cell r="C991">
            <v>173</v>
          </cell>
          <cell r="D991" t="str">
            <v>Dreno longitudinal de pavimento, Tipo GH040, altura 0,40 m, com brita (20x20cm), geocomposto drenante e tubo PEAD corrugado perfurado DN 100 mm, inclusive escavação e reaterro (REF. SICRO COD. 2004509)</v>
          </cell>
          <cell r="E991"/>
          <cell r="F991" t="str">
            <v>M</v>
          </cell>
          <cell r="G991">
            <v>35.31</v>
          </cell>
          <cell r="H991" t="str">
            <v>-</v>
          </cell>
        </row>
        <row r="992">
          <cell r="A992" t="str">
            <v>LF/0020</v>
          </cell>
          <cell r="B992" t="str">
            <v>COMPOSIÇÃO</v>
          </cell>
          <cell r="C992">
            <v>132</v>
          </cell>
          <cell r="D992" t="str">
            <v>Dreno longitudinal de pavimento, Tipo GH100, altura 1,00 m, com brita (20x20cm), geocomposto drenante e tubo PEAD corrugado perfurado DN 100 mm, inclusive escavação e reaterro (REF. SICRO COD. 2004511)</v>
          </cell>
          <cell r="E992"/>
          <cell r="F992" t="str">
            <v>M</v>
          </cell>
          <cell r="G992">
            <v>60.69</v>
          </cell>
          <cell r="H992" t="str">
            <v>-</v>
          </cell>
        </row>
        <row r="993">
          <cell r="A993" t="str">
            <v>LF/0025</v>
          </cell>
          <cell r="B993" t="str">
            <v>COMPOSIÇÃO</v>
          </cell>
          <cell r="C993">
            <v>113</v>
          </cell>
          <cell r="D993" t="str">
            <v>Dreno longitudinal de pavimento, Tipo GH150, altura 1,50 m, com brita (20x20cm), geocomposto drenante e tubo PEAD corrugado perfurado DN 100 mm, inclusive escavação e reaterro (REF. SICRO COD. 2004512)</v>
          </cell>
          <cell r="E993"/>
          <cell r="F993" t="str">
            <v>M</v>
          </cell>
          <cell r="G993">
            <v>81.8</v>
          </cell>
          <cell r="H993" t="str">
            <v>-</v>
          </cell>
        </row>
        <row r="994">
          <cell r="A994" t="str">
            <v>LF/0030</v>
          </cell>
          <cell r="B994" t="str">
            <v>COMPOSIÇÃO</v>
          </cell>
          <cell r="C994">
            <v>29.98</v>
          </cell>
          <cell r="D994" t="str">
            <v>Dreno francês de lençol freático, Tipo FH100, com tubo PEAD Ø 100mm e brita (50x50cm), incluindo escavação (h=100cm), reaterro e geotextil RT-09. Exclusive transporte e bota-fora</v>
          </cell>
          <cell r="E994"/>
          <cell r="F994" t="str">
            <v>M</v>
          </cell>
          <cell r="G994">
            <v>99.96</v>
          </cell>
          <cell r="H994" t="str">
            <v>-</v>
          </cell>
        </row>
        <row r="995">
          <cell r="A995" t="str">
            <v>LF/0035</v>
          </cell>
          <cell r="B995" t="str">
            <v>COMPOSIÇÃO</v>
          </cell>
          <cell r="C995">
            <v>19.989999999999998</v>
          </cell>
          <cell r="D995" t="str">
            <v>Dreno francês de lençol freático, Tipo FH150, com tubo PEAD Ø 150mm e brita (50x100cm), incluindo escavação (h=150cm), reaterro e geotextil RT-09. Exclusive transporte e bota-fora</v>
          </cell>
          <cell r="E995"/>
          <cell r="F995" t="str">
            <v>M</v>
          </cell>
          <cell r="G995">
            <v>177.85</v>
          </cell>
          <cell r="H995" t="str">
            <v>-</v>
          </cell>
        </row>
        <row r="996">
          <cell r="A996" t="str">
            <v>LF/0040</v>
          </cell>
          <cell r="B996" t="str">
            <v>COMPOSIÇÃO</v>
          </cell>
          <cell r="C996">
            <v>83651</v>
          </cell>
          <cell r="D996" t="str">
            <v>Tubo dreno, corrugado, espiralado, flexível, perfurado, em polietileno de alta densidade (PEAD), DN 100 mm para drenagem – fornecimento e assentamento em vala</v>
          </cell>
          <cell r="E996"/>
          <cell r="F996" t="str">
            <v>M</v>
          </cell>
          <cell r="G996">
            <v>30.69</v>
          </cell>
          <cell r="H996" t="str">
            <v>-</v>
          </cell>
        </row>
        <row r="997">
          <cell r="A997" t="str">
            <v>LF/0045</v>
          </cell>
          <cell r="B997" t="str">
            <v>COMPOSIÇÃO</v>
          </cell>
          <cell r="C997" t="str">
            <v>75029/1</v>
          </cell>
          <cell r="D997" t="str">
            <v>Tubo dreno, corrugado, espiralado, flexível, perfurado, em polietileno de alta densidade (PEAD), DN 150 mm para drenagem – fornecimento e assentamento em vala</v>
          </cell>
          <cell r="E997"/>
          <cell r="F997" t="str">
            <v>M</v>
          </cell>
          <cell r="G997">
            <v>43.31</v>
          </cell>
          <cell r="H997" t="str">
            <v>-</v>
          </cell>
        </row>
        <row r="998">
          <cell r="A998">
            <v>38052</v>
          </cell>
          <cell r="B998" t="str">
            <v>COTAÇÃO - SINAPI</v>
          </cell>
          <cell r="C998">
            <v>9833</v>
          </cell>
          <cell r="D998" t="str">
            <v>Tubo dreno, corrugado, espiralado, flexivel, perfurado, em polietileno de alta densidade (PEAD), DN 100 mm, (4") para drenagem - em rolo (norma DNIT 093/2006 - E.M)</v>
          </cell>
          <cell r="E998"/>
          <cell r="F998" t="str">
            <v xml:space="preserve">M     </v>
          </cell>
          <cell r="G998">
            <v>11.85</v>
          </cell>
          <cell r="H998" t="str">
            <v>-</v>
          </cell>
        </row>
        <row r="999">
          <cell r="A999">
            <v>38053</v>
          </cell>
          <cell r="B999" t="str">
            <v>COTAÇÃO - SINAPI</v>
          </cell>
          <cell r="C999">
            <v>9834</v>
          </cell>
          <cell r="D999" t="str">
            <v>Tubo dreno, corrugado, espiralado, flexivel, perfurado, em polietileno de alta densidade (PEAD), DN *160* mm, (6") para drenagem - em barra (norma DNIT 093/2006 - E.M.)</v>
          </cell>
          <cell r="E999"/>
          <cell r="F999" t="str">
            <v xml:space="preserve">M     </v>
          </cell>
          <cell r="G999">
            <v>24.47</v>
          </cell>
          <cell r="H999" t="str">
            <v>-</v>
          </cell>
        </row>
        <row r="1000">
          <cell r="A1000">
            <v>89578</v>
          </cell>
          <cell r="B1000" t="str">
            <v>SINAPI</v>
          </cell>
          <cell r="C1000"/>
          <cell r="D1000" t="str">
            <v>Tubo pvc, série R4, água pluvial, diâmetro nominal de 100 mm, fornecido e instalado em condutores verticais de águas pluviais. AF_12/2014</v>
          </cell>
          <cell r="E1000"/>
          <cell r="F1000" t="str">
            <v>M</v>
          </cell>
          <cell r="G1000">
            <v>36.15</v>
          </cell>
          <cell r="H1000" t="str">
            <v>-</v>
          </cell>
        </row>
        <row r="1001">
          <cell r="A1001">
            <v>89580</v>
          </cell>
          <cell r="B1001" t="str">
            <v>SINAPI</v>
          </cell>
          <cell r="C1001"/>
          <cell r="D1001" t="str">
            <v>Tubo PVC, série R, água pluvial, diâmetro nominal de 150 mm, fornecido e instalado em condutores verticais de águas pluviais. AF_12/2014</v>
          </cell>
          <cell r="E1001"/>
          <cell r="F1001" t="str">
            <v>M</v>
          </cell>
          <cell r="G1001">
            <v>75.2</v>
          </cell>
          <cell r="H1001" t="str">
            <v>-</v>
          </cell>
        </row>
        <row r="1002">
          <cell r="A1002">
            <v>89571</v>
          </cell>
          <cell r="B1002" t="str">
            <v>SINAPI</v>
          </cell>
          <cell r="C1002"/>
          <cell r="D1002" t="str">
            <v>Tê, PVC, serie R, água pluvial, diâmetro nominal de 100 x 100 mm, junta elástica, fornecido e instalado em ramal de encaminhamento. AF_12/2014</v>
          </cell>
          <cell r="E1002"/>
          <cell r="F1002" t="str">
            <v>UN</v>
          </cell>
          <cell r="G1002">
            <v>72.48</v>
          </cell>
          <cell r="H1002" t="str">
            <v>-</v>
          </cell>
        </row>
        <row r="1003">
          <cell r="A1003">
            <v>89704</v>
          </cell>
          <cell r="B1003" t="str">
            <v>SINAPI</v>
          </cell>
          <cell r="C1003"/>
          <cell r="D1003" t="str">
            <v>Tê, PVC, serie R, água pluvial, diâmetro nominal de 150 x 100 mm, junta elástica, fornecido e instalado em condutores verticais de águas pluviais. AF_12/2014</v>
          </cell>
          <cell r="E1003"/>
          <cell r="F1003" t="str">
            <v>UN</v>
          </cell>
          <cell r="G1003">
            <v>154.94999999999999</v>
          </cell>
          <cell r="H1003" t="str">
            <v>-</v>
          </cell>
        </row>
        <row r="1004">
          <cell r="A1004"/>
          <cell r="B1004"/>
          <cell r="C1004"/>
          <cell r="D1004"/>
          <cell r="E1004"/>
          <cell r="F1004"/>
          <cell r="G1004"/>
          <cell r="H1004"/>
        </row>
        <row r="1005">
          <cell r="A1005"/>
          <cell r="B1005"/>
          <cell r="C1005" t="str">
            <v>13.0</v>
          </cell>
          <cell r="D1005" t="str">
            <v>SINALIZAÇÃO VIÁRIA DEFINITIVA</v>
          </cell>
          <cell r="E1005"/>
          <cell r="F1005"/>
          <cell r="G1005"/>
          <cell r="H1005" t="str">
            <v/>
          </cell>
        </row>
        <row r="1006">
          <cell r="A1006" t="str">
            <v>SV/0005</v>
          </cell>
          <cell r="B1006" t="str">
            <v>COMPOSIÇÃO</v>
          </cell>
          <cell r="C1006"/>
          <cell r="D1006" t="str">
            <v>Pintura de faixas de pedestres e retenção e de zebrados - termoplástico por extrusão - espessura de 3,0 mm (REF. SICRO COD. 5213408 e 5213409)</v>
          </cell>
          <cell r="E1006"/>
          <cell r="F1006" t="str">
            <v>M2</v>
          </cell>
          <cell r="G1006">
            <v>85.36</v>
          </cell>
          <cell r="H1006" t="str">
            <v>-</v>
          </cell>
        </row>
        <row r="1007">
          <cell r="A1007" t="str">
            <v>SV/0010</v>
          </cell>
          <cell r="B1007" t="str">
            <v>COMPOSIÇÃO</v>
          </cell>
          <cell r="C1007"/>
          <cell r="D1007" t="str">
            <v>Pintura de setas e legendas - termoplástico por extrusão - espessura de 3,0 mm (REF. SICRO COD. 5213409, DB 04-21)</v>
          </cell>
          <cell r="E1007"/>
          <cell r="F1007" t="str">
            <v>M2</v>
          </cell>
          <cell r="G1007">
            <v>97.06</v>
          </cell>
          <cell r="H1007" t="str">
            <v>-</v>
          </cell>
        </row>
        <row r="1008">
          <cell r="A1008" t="str">
            <v>SV/0012</v>
          </cell>
          <cell r="B1008" t="str">
            <v>COMPOSIÇÃO</v>
          </cell>
          <cell r="C1008"/>
          <cell r="D1008" t="str">
            <v>Pintura de setas e legendas - tinta base acrílica emulsionada em água - espessura de 0,5 mm (REF. SICRO COD. 5213407, DB 04-21)</v>
          </cell>
          <cell r="E1008" t="str">
            <v>ATENÇÃO
indicado para as
cidades do interior</v>
          </cell>
          <cell r="F1008" t="str">
            <v>M2</v>
          </cell>
          <cell r="G1008">
            <v>37.11</v>
          </cell>
          <cell r="H1008" t="str">
            <v>-</v>
          </cell>
        </row>
        <row r="1009">
          <cell r="A1009" t="str">
            <v>SV/0015</v>
          </cell>
          <cell r="B1009" t="str">
            <v>COMPOSIÇÃO</v>
          </cell>
          <cell r="C1009"/>
          <cell r="D1009" t="str">
            <v>Pintura de faixa - termoplástico por aspersão Hot Spray - espessura de 1,5 mm (REF. SICRO COD. 5213408, DB 04-21)</v>
          </cell>
          <cell r="E1009"/>
          <cell r="F1009" t="str">
            <v>M2</v>
          </cell>
          <cell r="G1009">
            <v>50.22</v>
          </cell>
          <cell r="H1009" t="str">
            <v>-</v>
          </cell>
        </row>
        <row r="1010">
          <cell r="A1010" t="str">
            <v>SV/0020</v>
          </cell>
          <cell r="B1010" t="str">
            <v>COMPOSIÇÃO</v>
          </cell>
          <cell r="C1010"/>
          <cell r="D1010" t="str">
            <v>Pintura de faixa - termoplástico em alto relevo tipo II - relevo simples ranhurado - base (REF. SICRO COD. 5214004, DB 04-21)</v>
          </cell>
          <cell r="E1010"/>
          <cell r="F1010" t="str">
            <v>M2</v>
          </cell>
          <cell r="G1010">
            <v>173.07</v>
          </cell>
          <cell r="H1010" t="str">
            <v>-</v>
          </cell>
        </row>
        <row r="1011">
          <cell r="A1011" t="str">
            <v>SV/0025</v>
          </cell>
          <cell r="B1011" t="str">
            <v>COMPOSIÇÃO</v>
          </cell>
          <cell r="C1011"/>
          <cell r="D1011" t="str">
            <v>Pintura de piso para ciclofaixa - plástico a frio bicomponente à base de resinas metacrílicas - espessura de 1,5 mm - plano (REF. SICRO COD. 5214009, DB 04-21)</v>
          </cell>
          <cell r="E1011"/>
          <cell r="F1011" t="str">
            <v>M2</v>
          </cell>
          <cell r="G1011">
            <v>114.03</v>
          </cell>
          <cell r="H1011" t="str">
            <v>-</v>
          </cell>
        </row>
        <row r="1012">
          <cell r="A1012" t="str">
            <v>SV/0030</v>
          </cell>
          <cell r="B1012" t="str">
            <v>COMPOSIÇÃO</v>
          </cell>
          <cell r="C1012"/>
          <cell r="D1012" t="str">
            <v>Pintura de faixa para ciclovia - tinta base acrílica emulsionada em água - espessura de 0,3 mm (REF. SICRO COD. 5214001, DB 04-21)</v>
          </cell>
          <cell r="E1012"/>
          <cell r="F1012" t="str">
            <v>M2</v>
          </cell>
          <cell r="G1012">
            <v>14.95</v>
          </cell>
          <cell r="H1012" t="str">
            <v>-</v>
          </cell>
        </row>
        <row r="1013">
          <cell r="A1013" t="str">
            <v>SV/0035</v>
          </cell>
          <cell r="B1013" t="str">
            <v>COMPOSIÇÃO</v>
          </cell>
          <cell r="C1013"/>
          <cell r="D1013" t="str">
            <v>Pintura de piso de ciclovia - tinta base acrílica emulsionada em água - espessura de 0,3 mm (REF. SICRO COD. 5214002, DB 04-21)</v>
          </cell>
          <cell r="E1013"/>
          <cell r="F1013" t="str">
            <v>M2</v>
          </cell>
          <cell r="G1013">
            <v>32.020000000000003</v>
          </cell>
          <cell r="H1013" t="str">
            <v>-</v>
          </cell>
        </row>
        <row r="1014">
          <cell r="A1014" t="str">
            <v>SV/0037</v>
          </cell>
          <cell r="B1014" t="str">
            <v>COMPOSIÇÃO</v>
          </cell>
          <cell r="C1014"/>
          <cell r="D1014" t="str">
            <v>Pintura de faixa - tinta base acrílica emulsionada em água - espessura de 0,5 mm (REF. SICRO COD. 5213403, DB 04-21)</v>
          </cell>
          <cell r="E1014" t="str">
            <v>ATENÇÃO
indicado para as
cidades do interior</v>
          </cell>
          <cell r="F1014" t="str">
            <v>M2</v>
          </cell>
          <cell r="G1014">
            <v>20.58</v>
          </cell>
          <cell r="H1014" t="str">
            <v>-</v>
          </cell>
        </row>
        <row r="1015">
          <cell r="A1015" t="str">
            <v>SV/0040</v>
          </cell>
          <cell r="B1015" t="str">
            <v>COMPOSIÇÃO</v>
          </cell>
          <cell r="C1015"/>
          <cell r="D1015" t="str">
            <v>Laminado elastoplástico para legendas, com 1,5mm de espessura e com medidas diversas, em cores, com micro-esferas de vidro. Em projetos que utilizem entre 150 e 500m2 do material. Fornecimento e aplicação (REF. SCO/RJ COD. ST 75.15.0050)</v>
          </cell>
          <cell r="E1015"/>
          <cell r="F1015" t="str">
            <v>M2</v>
          </cell>
          <cell r="G1015">
            <v>366.12</v>
          </cell>
          <cell r="H1015" t="str">
            <v>-</v>
          </cell>
        </row>
        <row r="1016">
          <cell r="A1016" t="str">
            <v>SV/0045</v>
          </cell>
          <cell r="B1016" t="str">
            <v>COMPOSIÇÃO</v>
          </cell>
          <cell r="C1016"/>
          <cell r="D1016" t="str">
            <v>Aplicação de selante asfáltico a base de resina acrílica para pavimentos de concreto, usado como imprimador para material termoplástico, inclusive fornecimento dos materiais necessários conforme especificação AGETRAN / PMCG (CET-RIO COD. ST 74.05.0600)</v>
          </cell>
          <cell r="E1016"/>
          <cell r="F1016" t="str">
            <v>M2</v>
          </cell>
          <cell r="G1016">
            <v>32.47</v>
          </cell>
          <cell r="H1016" t="str">
            <v>-</v>
          </cell>
        </row>
        <row r="1017">
          <cell r="A1017" t="str">
            <v>SV/0050</v>
          </cell>
          <cell r="B1017" t="str">
            <v>COMPOSIÇÃO</v>
          </cell>
          <cell r="C1017"/>
          <cell r="D1017" t="str">
            <v>Retirada de pintura a base de resina acrilica (CET-RIO COD. ST 74.05.0550)</v>
          </cell>
          <cell r="E1017"/>
          <cell r="F1017" t="str">
            <v>M2</v>
          </cell>
          <cell r="G1017">
            <v>6.63</v>
          </cell>
          <cell r="H1017" t="str">
            <v>-</v>
          </cell>
        </row>
        <row r="1018">
          <cell r="A1018" t="str">
            <v>SV/0055</v>
          </cell>
          <cell r="B1018" t="str">
            <v>COMPOSIÇÃO</v>
          </cell>
          <cell r="C1018"/>
          <cell r="D1018" t="str">
            <v>Tacha refletiva em plástico injetado - monodirecional tipo I - com um pino - fornecimento e colocação, padrão DNIT, fixada com cola polister (REF. SICRO COD. 5219627, DB 04-21)</v>
          </cell>
          <cell r="E1018"/>
          <cell r="F1018" t="str">
            <v xml:space="preserve">UN </v>
          </cell>
          <cell r="G1018">
            <v>43.87</v>
          </cell>
          <cell r="H1018" t="str">
            <v>-</v>
          </cell>
        </row>
        <row r="1019">
          <cell r="A1019" t="str">
            <v>SV/0060</v>
          </cell>
          <cell r="B1019" t="str">
            <v>COMPOSIÇÃO</v>
          </cell>
          <cell r="C1019"/>
          <cell r="D1019" t="str">
            <v>Tachão refletivo monodirecional, padrão DNIT, fornecimento e fixada com cola polister (REF. SICRO COD. 5219644)</v>
          </cell>
          <cell r="E1019"/>
          <cell r="F1019" t="str">
            <v xml:space="preserve">UN </v>
          </cell>
          <cell r="G1019">
            <v>77.69</v>
          </cell>
          <cell r="H1019" t="str">
            <v>-</v>
          </cell>
        </row>
        <row r="1020">
          <cell r="A1020" t="str">
            <v>SV/0065</v>
          </cell>
          <cell r="B1020" t="str">
            <v>COMPOSIÇÃO</v>
          </cell>
          <cell r="C1020"/>
          <cell r="D1020" t="str">
            <v>Tacha refletiva bidirecional, padrão DNIT, fornecimento e fixada com cola polister (REF. SICRO COD. 5219619)</v>
          </cell>
          <cell r="E1020"/>
          <cell r="F1020" t="str">
            <v xml:space="preserve">UN </v>
          </cell>
          <cell r="G1020">
            <v>42.64</v>
          </cell>
          <cell r="H1020" t="str">
            <v>-</v>
          </cell>
        </row>
        <row r="1021">
          <cell r="A1021" t="str">
            <v>SV/0070</v>
          </cell>
          <cell r="B1021" t="str">
            <v>COMPOSIÇÃO</v>
          </cell>
          <cell r="C1021"/>
          <cell r="D1021" t="str">
            <v>Tachão refletivo bidirecional, padrão DNIT, fornecimento e fixada com cola polister (REF. SICRO COD. 5219643)</v>
          </cell>
          <cell r="E1021"/>
          <cell r="F1021" t="str">
            <v xml:space="preserve">UN </v>
          </cell>
          <cell r="G1021">
            <v>79.42</v>
          </cell>
          <cell r="H1021" t="str">
            <v>-</v>
          </cell>
        </row>
        <row r="1022">
          <cell r="A1022" t="str">
            <v>SV/0075</v>
          </cell>
          <cell r="B1022" t="str">
            <v>COMPOSIÇÃO</v>
          </cell>
          <cell r="C1022"/>
          <cell r="D1022" t="str">
            <v>Fornecimento e implantação de coluna de aço cônica contínua, tipo I, para até 4 braços projetados capaz de sustentar, cada um, semáforo e placa de 3m²; coluna galvanizada a fogo; altura útil total de 5,00m; diâmetro na base igual a 187mm; conforme especificação da AGETRAN / PMCG</v>
          </cell>
          <cell r="E1022"/>
          <cell r="F1022" t="str">
            <v xml:space="preserve">UN </v>
          </cell>
          <cell r="G1022">
            <v>8223.7199999999993</v>
          </cell>
          <cell r="H1022" t="str">
            <v>-</v>
          </cell>
        </row>
        <row r="1023">
          <cell r="A1023" t="str">
            <v>SV/0080</v>
          </cell>
          <cell r="B1023" t="str">
            <v>COMPOSIÇÃO</v>
          </cell>
          <cell r="C1023"/>
          <cell r="D1023" t="str">
            <v>Fornecimento e implantação de braço projetado de aço para sustentação de semáforo e placa até 3m², galvanizado a fogo; para fixação em coluna cônica continua tipo I, projeção de 4,70m; diâmetro junto a flange de 123mm; conforme especificação da AGETRAN / PMCG</v>
          </cell>
          <cell r="E1023"/>
          <cell r="F1023" t="str">
            <v xml:space="preserve">UN </v>
          </cell>
          <cell r="G1023">
            <v>4817.82</v>
          </cell>
          <cell r="H1023" t="str">
            <v>-</v>
          </cell>
        </row>
        <row r="1024">
          <cell r="A1024" t="str">
            <v>SV/0085</v>
          </cell>
          <cell r="B1024" t="str">
            <v>COMPOSIÇÃO</v>
          </cell>
          <cell r="C1024"/>
          <cell r="D1024" t="str">
            <v>Poste simples madeira de lei aparelhada 75 x 75 x 3500 mm para suporte de placa de sinalização, pintado com esmalte sintético e fixado em base de concreto estrutural -fornecimento e implantação. Inclusive serviço de implantação da placa de sinalização</v>
          </cell>
          <cell r="E1024"/>
          <cell r="F1024" t="str">
            <v xml:space="preserve">UN </v>
          </cell>
          <cell r="G1024">
            <v>228.85</v>
          </cell>
          <cell r="H1024" t="str">
            <v>-</v>
          </cell>
        </row>
        <row r="1025">
          <cell r="A1025" t="str">
            <v>SV/0090</v>
          </cell>
          <cell r="B1025" t="str">
            <v>COMPOSIÇÃO</v>
          </cell>
          <cell r="C1025"/>
          <cell r="D1025" t="str">
            <v>Coluna simples de 50,8 mm (2") de diâmetro, espessura da parede 2,75mm, altura total de 3500mm, em aço galvanizado por imersão à quente para suporte de placa de sinalização e fixado em base de concreto estrutural  - fornecimento e implantação. Inclusive serviço de implantação da placa de sinalização</v>
          </cell>
          <cell r="E1025"/>
          <cell r="F1025" t="str">
            <v xml:space="preserve">UN </v>
          </cell>
          <cell r="G1025">
            <v>435.71</v>
          </cell>
          <cell r="H1025" t="str">
            <v>-</v>
          </cell>
        </row>
        <row r="1026">
          <cell r="A1026" t="str">
            <v>SV/0091</v>
          </cell>
          <cell r="B1026" t="str">
            <v>COMPOSIÇÃO</v>
          </cell>
          <cell r="C1026"/>
          <cell r="D1026" t="str">
            <v>Coluna simples de 50,8 mm (2") de diâmetro, espessura da parede 3,00mm, altura total de 3500mm, em aço galvanizado por imersão à quente para suporte de placa de sinalização e fixado em base de concreto estrutural  - fornecimento e implantação. Inclusive serviço de implantação da placa de sinalização e elementos de fixação, exclusive fornecimento da placa. Ref SICRO 5213863 e 5213464</v>
          </cell>
          <cell r="E1026"/>
          <cell r="F1026" t="str">
            <v xml:space="preserve">UN </v>
          </cell>
          <cell r="G1026">
            <v>374.87</v>
          </cell>
          <cell r="H1026" t="str">
            <v>-</v>
          </cell>
        </row>
        <row r="1027">
          <cell r="A1027" t="str">
            <v>SV/0095</v>
          </cell>
          <cell r="B1027" t="str">
            <v>COMPOSIÇÃO</v>
          </cell>
          <cell r="C1027"/>
          <cell r="D1027" t="str">
            <v>Implantação de placa de sinalização em poste de energia elétrica, incluindo elementos de fixação</v>
          </cell>
          <cell r="E1027"/>
          <cell r="F1027" t="str">
            <v xml:space="preserve">UN </v>
          </cell>
          <cell r="G1027">
            <v>81.739999999999995</v>
          </cell>
          <cell r="H1027" t="str">
            <v>-</v>
          </cell>
        </row>
        <row r="1028">
          <cell r="A1028" t="str">
            <v>SV/0100</v>
          </cell>
          <cell r="B1028" t="str">
            <v>COMPOSIÇÃO</v>
          </cell>
          <cell r="C1028"/>
          <cell r="D1028" t="str">
            <v>Implantação de placa de sinalização em braço projetado, incluindo elementos de fixação</v>
          </cell>
          <cell r="E1028"/>
          <cell r="F1028" t="str">
            <v xml:space="preserve">UN </v>
          </cell>
          <cell r="G1028">
            <v>636.83000000000004</v>
          </cell>
          <cell r="H1028" t="str">
            <v>-</v>
          </cell>
        </row>
        <row r="1029">
          <cell r="A1029" t="str">
            <v>SV/0105</v>
          </cell>
          <cell r="B1029" t="str">
            <v>COMPOSIÇÃO</v>
          </cell>
          <cell r="C1029"/>
          <cell r="D1029" t="str">
            <v>Placa de sinalização de alumínio, espessura 1,5 mm, com fundo, símbolos e tarjas em película refletiva com esferas inclusas tipo I-A da NBR 14644 (GT/GT), inclusive elementos de fixação, conforme especificação AGETRAN/PMCG - Incluso fornecimento</v>
          </cell>
          <cell r="E1029"/>
          <cell r="F1029" t="str">
            <v>M2</v>
          </cell>
          <cell r="G1029">
            <v>760</v>
          </cell>
          <cell r="H1029" t="str">
            <v>-</v>
          </cell>
        </row>
        <row r="1030">
          <cell r="A1030" t="str">
            <v>SV/0106</v>
          </cell>
          <cell r="B1030" t="str">
            <v>COMPOSIÇÃO</v>
          </cell>
          <cell r="C1030"/>
          <cell r="D1030" t="str">
            <v>Placa de sinalização de alumínio, espessura 2mm, com fundo, símbolos e tarjas em película refletiva com esferas inclusas tipo I-A da NBR 14644 (GT/GT), inclusive elementos de fixação, conforme especificação AGETRAN/PMCG - fornecimento</v>
          </cell>
          <cell r="E1030"/>
          <cell r="F1030" t="str">
            <v>M2</v>
          </cell>
          <cell r="G1030">
            <v>720</v>
          </cell>
          <cell r="H1030" t="str">
            <v>-</v>
          </cell>
        </row>
        <row r="1031">
          <cell r="A1031" t="str">
            <v>SV/0110</v>
          </cell>
          <cell r="B1031" t="str">
            <v>COMPOSIÇÃO</v>
          </cell>
          <cell r="C1031"/>
          <cell r="D1031" t="str">
            <v>Placa de sinalização modulada de alumínio, espessura 2,0mm, com fundo em película refletiva com esferas inclusas tipo I-A da NBR 14644, símbolos e tarjas em película refletiva com esferas encapsuladas tipo II-A da NBR 14644 (AI/AI), inclusive elementos de fixação, conforme especificação AGETRAN/PMCG - fornecimento</v>
          </cell>
          <cell r="E1031"/>
          <cell r="F1031" t="str">
            <v>M2</v>
          </cell>
          <cell r="G1031">
            <v>1069</v>
          </cell>
          <cell r="H1031" t="str">
            <v>-</v>
          </cell>
        </row>
        <row r="1032">
          <cell r="A1032">
            <v>13521</v>
          </cell>
          <cell r="B1032" t="str">
            <v>COTAÇÃO - SINAPI</v>
          </cell>
          <cell r="C1032"/>
          <cell r="D1032" t="str">
            <v>Placa de aço esmaltada para identificação de rua, dimensões *45x20* cm</v>
          </cell>
          <cell r="E1032"/>
          <cell r="F1032" t="str">
            <v xml:space="preserve">UN    </v>
          </cell>
          <cell r="G1032">
            <v>82.5</v>
          </cell>
          <cell r="H1032" t="str">
            <v>-</v>
          </cell>
        </row>
        <row r="1033">
          <cell r="A1033" t="str">
            <v>SV/0115</v>
          </cell>
          <cell r="B1033" t="str">
            <v>COMPOSIÇÃO</v>
          </cell>
          <cell r="C1033"/>
          <cell r="D1033" t="str">
            <v>Fornecimento e implantação de linha de duto espiral flexível em polietileno de alta densidade, tipo Kanalex ou similar, diâmetro de 75mm (3"), lançado diretamente ao solo com arame-guia galvanizado revestido em PVC&gt; Inclusive emendas e tamponamento, recorte do pavimento, escavação, reaterro, envelopamento de duto com concreto (30x30cm), base de brita graduada, remoção e bota-fora de entulhos</v>
          </cell>
          <cell r="E1033"/>
          <cell r="F1033" t="str">
            <v>M</v>
          </cell>
          <cell r="G1033">
            <v>128.41</v>
          </cell>
          <cell r="H1033" t="str">
            <v>-</v>
          </cell>
        </row>
        <row r="1034">
          <cell r="A1034" t="str">
            <v>SV/0120</v>
          </cell>
          <cell r="B1034" t="str">
            <v>COMPOSIÇÃO</v>
          </cell>
          <cell r="C1034"/>
          <cell r="D1034" t="str">
            <v>Caixa enterrada elétrica retangular, em alvenaria com tijolos cerâmicos maciços, 1/2 vez, fundo com brita, dimensões internas: 0,40x0,40x0,40 m; Tampão fofo simples com base, classe A15 carga máxima 1,5 t, 400 x 400 mm (REF. SINAPI COD. 97887)</v>
          </cell>
          <cell r="E1034"/>
          <cell r="F1034" t="str">
            <v xml:space="preserve">UN </v>
          </cell>
          <cell r="G1034">
            <v>430.94</v>
          </cell>
          <cell r="H1034" t="str">
            <v>-</v>
          </cell>
        </row>
        <row r="1035">
          <cell r="A1035">
            <v>99837</v>
          </cell>
          <cell r="B1035" t="str">
            <v>SINAPI</v>
          </cell>
          <cell r="C1035"/>
          <cell r="D1035" t="str">
            <v>Guarda-corpo de aço galvanizado de 1,10m, montantes tubulares de 1.1/4" espaçados de 1,20m, travessa superior de 1.1/2", gradil formado por tubos horizontais de 1" e verticais de 3/4", fixado com chumbador mecânico. AF_04/2019_P</v>
          </cell>
          <cell r="E1035"/>
          <cell r="F1035" t="str">
            <v>M</v>
          </cell>
          <cell r="G1035">
            <v>533.61</v>
          </cell>
          <cell r="H1035" t="str">
            <v>-</v>
          </cell>
        </row>
        <row r="1036">
          <cell r="A1036">
            <v>99855</v>
          </cell>
          <cell r="B1036" t="str">
            <v>SINAPI</v>
          </cell>
          <cell r="C1036"/>
          <cell r="D1036" t="str">
            <v>Corrimão simples, diâmetro externo = 1 1/2", em aço galvanizado. AF_04/2019_p</v>
          </cell>
          <cell r="E1036"/>
          <cell r="F1036" t="str">
            <v>M</v>
          </cell>
          <cell r="G1036">
            <v>95.04</v>
          </cell>
          <cell r="H1036" t="str">
            <v>-</v>
          </cell>
        </row>
        <row r="1037">
          <cell r="A1037" t="str">
            <v>SV/0125</v>
          </cell>
          <cell r="B1037" t="str">
            <v>COMPOSIÇÃO</v>
          </cell>
          <cell r="C1037"/>
          <cell r="D1037" t="str">
            <v>Retirada de tachão em resina para sinalização horizontal, inclusive bota fora. Ref SICRO CÓD  5219623, DB 01-2021</v>
          </cell>
          <cell r="E1037"/>
          <cell r="F1037" t="str">
            <v>UN</v>
          </cell>
          <cell r="G1037">
            <v>8.8699999999999992</v>
          </cell>
          <cell r="H1037" t="str">
            <v>-</v>
          </cell>
        </row>
        <row r="1038">
          <cell r="A1038" t="str">
            <v>SV/0130</v>
          </cell>
          <cell r="B1038" t="str">
            <v>COMPOSIÇÃO</v>
          </cell>
          <cell r="C1038"/>
          <cell r="D1038" t="str">
            <v>Instalação e fornecimento de delineador refletivo para defensa metálica. Ref SICRO CÓD  5219623, DB 01-2021</v>
          </cell>
          <cell r="E1038"/>
          <cell r="F1038" t="str">
            <v>UN</v>
          </cell>
          <cell r="G1038">
            <v>8.8699999999999992</v>
          </cell>
          <cell r="H1038" t="str">
            <v>-</v>
          </cell>
        </row>
        <row r="1039">
          <cell r="A1039" t="str">
            <v>SV/0140</v>
          </cell>
          <cell r="B1039" t="str">
            <v>COMPOSIÇÃO</v>
          </cell>
          <cell r="C1039"/>
          <cell r="D1039" t="str">
            <v>Remoção de defensa metálica. Ref SICRO CÓD  3713705, DB 01-2021</v>
          </cell>
          <cell r="E1039"/>
          <cell r="F1039" t="str">
            <v>M</v>
          </cell>
          <cell r="G1039">
            <v>22.81</v>
          </cell>
          <cell r="H1039" t="str">
            <v>-</v>
          </cell>
        </row>
        <row r="1040">
          <cell r="A1040" t="str">
            <v>SV/0150</v>
          </cell>
          <cell r="B1040" t="str">
            <v>COMPOSIÇÃO</v>
          </cell>
          <cell r="C1040"/>
          <cell r="D1040" t="str">
            <v>Guarda-corpo de aço galvanizado de 1,10m, duplo corrimão, montantes tubulares de 1.1/4" espaçados 1,20m, travessa superior de 1.1/2", fixado com chumbador mecânico. Ref SINAPI CÓD  01.ESQV.GCFE.011/01, DB 04-2021</v>
          </cell>
          <cell r="E1040"/>
          <cell r="F1040" t="str">
            <v>M</v>
          </cell>
          <cell r="G1040">
            <v>306.45</v>
          </cell>
          <cell r="H1040" t="str">
            <v>-</v>
          </cell>
        </row>
        <row r="1041">
          <cell r="A1041" t="str">
            <v>SV/0160</v>
          </cell>
          <cell r="B1041" t="str">
            <v>COMPOSIÇÃO</v>
          </cell>
          <cell r="C1041"/>
          <cell r="D1041" t="str">
            <v>Pórtico metálico com vão de 15,9 m, vento de 40 m/s, área de exposição de até 23,85 m², tensão admissível solo &gt; 200 kN/m²- fornecimento e implantação - areia e brita comerciais. Ref SICRO CÓD  5213718, DB 04-2021</v>
          </cell>
          <cell r="E1041"/>
          <cell r="F1041" t="str">
            <v>UN</v>
          </cell>
          <cell r="G1041">
            <v>125306.13</v>
          </cell>
          <cell r="H1041" t="str">
            <v>-</v>
          </cell>
        </row>
        <row r="1042">
          <cell r="A1042" t="str">
            <v>SV/0170</v>
          </cell>
          <cell r="B1042" t="str">
            <v>COMPOSIÇÃO</v>
          </cell>
          <cell r="C1042"/>
          <cell r="D1042" t="str">
            <v>Remoção de placa de sinalização. Ref SICRO CÓD  5213364, DB 01-2021</v>
          </cell>
          <cell r="E1042"/>
          <cell r="F1042" t="str">
            <v>M2</v>
          </cell>
          <cell r="G1042">
            <v>26.89</v>
          </cell>
          <cell r="H1042" t="str">
            <v>-</v>
          </cell>
        </row>
        <row r="1043">
          <cell r="A1043" t="str">
            <v>SV/0180</v>
          </cell>
          <cell r="B1043" t="str">
            <v>COMPOSIÇÃO</v>
          </cell>
          <cell r="C1043"/>
          <cell r="D1043" t="str">
            <v>Guarda-corpo com altura 1,15m, pilares espaçados a cada 2m, com tubos de aço galvanizado na horizontal, fixados em peças metalicas de aço pintado a esmalte e parafusados.</v>
          </cell>
          <cell r="E1043"/>
          <cell r="F1043" t="str">
            <v>M</v>
          </cell>
          <cell r="G1043">
            <v>394.81</v>
          </cell>
          <cell r="H1043" t="str">
            <v>-</v>
          </cell>
        </row>
        <row r="1044">
          <cell r="A1044"/>
          <cell r="B1044"/>
          <cell r="C1044"/>
          <cell r="D1044"/>
          <cell r="E1044"/>
          <cell r="F1044"/>
          <cell r="G1044"/>
          <cell r="H1044"/>
        </row>
        <row r="1045">
          <cell r="A1045"/>
          <cell r="B1045"/>
          <cell r="C1045" t="str">
            <v>14.0</v>
          </cell>
          <cell r="D1045" t="str">
            <v>ADMINISTRAÇÃO LOCAL</v>
          </cell>
          <cell r="E1045"/>
          <cell r="F1045"/>
          <cell r="G1045"/>
          <cell r="H1045" t="str">
            <v/>
          </cell>
        </row>
        <row r="1046">
          <cell r="A1046">
            <v>90766</v>
          </cell>
          <cell r="B1046" t="str">
            <v>SINAPI</v>
          </cell>
          <cell r="C1046"/>
          <cell r="D1046" t="str">
            <v>Almoxarife com encargos complementares (horista)</v>
          </cell>
          <cell r="E1046"/>
          <cell r="F1046" t="str">
            <v>H</v>
          </cell>
          <cell r="G1046">
            <v>18.7</v>
          </cell>
          <cell r="H1046" t="str">
            <v>-</v>
          </cell>
        </row>
        <row r="1047">
          <cell r="A1047">
            <v>93563</v>
          </cell>
          <cell r="B1047" t="str">
            <v>SINAPI</v>
          </cell>
          <cell r="C1047"/>
          <cell r="D1047" t="str">
            <v>Almoxarife com encargos complementares (mensalista)</v>
          </cell>
          <cell r="E1047"/>
          <cell r="F1047" t="str">
            <v>MES</v>
          </cell>
          <cell r="G1047">
            <v>3293.59</v>
          </cell>
          <cell r="H1047" t="str">
            <v>-</v>
          </cell>
        </row>
        <row r="1048">
          <cell r="A1048">
            <v>90767</v>
          </cell>
          <cell r="B1048" t="str">
            <v>SINAPI</v>
          </cell>
          <cell r="C1048"/>
          <cell r="D1048" t="str">
            <v>Apontador ou apropriador com encargos complementares (horista)</v>
          </cell>
          <cell r="E1048"/>
          <cell r="F1048" t="str">
            <v>H</v>
          </cell>
          <cell r="G1048">
            <v>18.34</v>
          </cell>
          <cell r="H1048" t="str">
            <v>-</v>
          </cell>
        </row>
        <row r="1049">
          <cell r="A1049">
            <v>93564</v>
          </cell>
          <cell r="B1049" t="str">
            <v>SINAPI</v>
          </cell>
          <cell r="C1049"/>
          <cell r="D1049" t="str">
            <v>Apontador ou apropriador com encargos complementares (mensalista)</v>
          </cell>
          <cell r="E1049"/>
          <cell r="F1049" t="str">
            <v>MES</v>
          </cell>
          <cell r="G1049">
            <v>3219.81</v>
          </cell>
          <cell r="H1049" t="str">
            <v>-</v>
          </cell>
        </row>
        <row r="1050">
          <cell r="A1050">
            <v>93566</v>
          </cell>
          <cell r="B1050" t="str">
            <v>SINAPI</v>
          </cell>
          <cell r="C1050"/>
          <cell r="D1050" t="str">
            <v>Auxiliar de escritorio com encargos complementares</v>
          </cell>
          <cell r="E1050"/>
          <cell r="F1050" t="str">
            <v>MES</v>
          </cell>
          <cell r="G1050">
            <v>2867.74</v>
          </cell>
          <cell r="H1050" t="str">
            <v>-</v>
          </cell>
        </row>
        <row r="1051">
          <cell r="A1051">
            <v>93562</v>
          </cell>
          <cell r="B1051" t="str">
            <v>SINAPI</v>
          </cell>
          <cell r="C1051"/>
          <cell r="D1051" t="str">
            <v>Auxiliar de desenhista com encargos complementares</v>
          </cell>
          <cell r="E1051"/>
          <cell r="F1051" t="str">
            <v>MES</v>
          </cell>
          <cell r="G1051">
            <v>2624.04</v>
          </cell>
          <cell r="H1051" t="str">
            <v>-</v>
          </cell>
        </row>
        <row r="1052">
          <cell r="A1052">
            <v>101385</v>
          </cell>
          <cell r="B1052" t="str">
            <v>SINAPI</v>
          </cell>
          <cell r="C1052"/>
          <cell r="D1052" t="str">
            <v>Auxiliar de laboratorista de solos e de concreto com encargos complementares (mensalista)</v>
          </cell>
          <cell r="E1052"/>
          <cell r="F1052" t="str">
            <v>MES</v>
          </cell>
          <cell r="G1052">
            <v>4031.31</v>
          </cell>
          <cell r="H1052" t="str">
            <v>-</v>
          </cell>
        </row>
        <row r="1053">
          <cell r="A1053">
            <v>88249</v>
          </cell>
          <cell r="B1053" t="str">
            <v>SINAPI</v>
          </cell>
          <cell r="C1053"/>
          <cell r="D1053" t="str">
            <v>Auxiliar de laboratório com encargos complementares (horista)</v>
          </cell>
          <cell r="E1053"/>
          <cell r="F1053" t="str">
            <v>H</v>
          </cell>
          <cell r="G1053">
            <v>22.95</v>
          </cell>
          <cell r="H1053" t="str">
            <v>-</v>
          </cell>
        </row>
        <row r="1054">
          <cell r="A1054">
            <v>41090</v>
          </cell>
          <cell r="B1054" t="str">
            <v>SINAPI</v>
          </cell>
          <cell r="C1054"/>
          <cell r="D1054" t="str">
            <v>Auxiliar de laboratório com encargos complementares (mensalista)</v>
          </cell>
          <cell r="E1054"/>
          <cell r="F1054" t="str">
            <v xml:space="preserve">MES   </v>
          </cell>
          <cell r="G1054">
            <v>3627.74</v>
          </cell>
          <cell r="H1054" t="str">
            <v>-</v>
          </cell>
        </row>
        <row r="1055">
          <cell r="A1055">
            <v>88253</v>
          </cell>
          <cell r="B1055" t="str">
            <v>SINAPI</v>
          </cell>
          <cell r="C1055"/>
          <cell r="D1055" t="str">
            <v>Auxiliar de topografia com encargos complementares (horista)</v>
          </cell>
          <cell r="E1055"/>
          <cell r="F1055" t="str">
            <v>H</v>
          </cell>
          <cell r="G1055">
            <v>10.96</v>
          </cell>
          <cell r="H1055" t="str">
            <v>-</v>
          </cell>
        </row>
        <row r="1056">
          <cell r="A1056">
            <v>41093</v>
          </cell>
          <cell r="B1056" t="str">
            <v>SINAPI</v>
          </cell>
          <cell r="C1056"/>
          <cell r="D1056" t="str">
            <v>Auxiliar de topografia com encargos complementares (mensalista)</v>
          </cell>
          <cell r="E1056"/>
          <cell r="F1056" t="str">
            <v xml:space="preserve">MES   </v>
          </cell>
          <cell r="G1056">
            <v>1562.62</v>
          </cell>
          <cell r="H1056" t="str">
            <v>-</v>
          </cell>
        </row>
        <row r="1057">
          <cell r="A1057">
            <v>101389</v>
          </cell>
          <cell r="B1057" t="str">
            <v>SINAPI</v>
          </cell>
          <cell r="C1057"/>
          <cell r="D1057" t="str">
            <v>Auxiliar de topógrafo com encargos complementares (mensalista)</v>
          </cell>
          <cell r="E1057"/>
          <cell r="F1057" t="str">
            <v>MES</v>
          </cell>
          <cell r="G1057">
            <v>1943.21</v>
          </cell>
          <cell r="H1057" t="str">
            <v>-</v>
          </cell>
        </row>
        <row r="1058">
          <cell r="A1058">
            <v>101390</v>
          </cell>
          <cell r="B1058" t="str">
            <v>SINAPI</v>
          </cell>
          <cell r="C1058"/>
          <cell r="D1058" t="str">
            <v>Auxiliar técnico / assistente de engenharia com encargos complementares</v>
          </cell>
          <cell r="E1058"/>
          <cell r="F1058" t="str">
            <v>MES</v>
          </cell>
          <cell r="G1058">
            <v>5738.49</v>
          </cell>
          <cell r="H1058" t="str">
            <v>-</v>
          </cell>
        </row>
        <row r="1059">
          <cell r="A1059">
            <v>100317</v>
          </cell>
          <cell r="B1059" t="str">
            <v>SINAPI</v>
          </cell>
          <cell r="C1059"/>
          <cell r="D1059" t="str">
            <v>Coordenador / gerente de obra com encargos complementares</v>
          </cell>
          <cell r="E1059"/>
          <cell r="F1059" t="str">
            <v>MES</v>
          </cell>
          <cell r="G1059">
            <v>24677.43</v>
          </cell>
          <cell r="H1059" t="str">
            <v>-</v>
          </cell>
        </row>
        <row r="1060">
          <cell r="A1060">
            <v>93559</v>
          </cell>
          <cell r="B1060" t="str">
            <v>SINAPI</v>
          </cell>
          <cell r="C1060"/>
          <cell r="D1060" t="str">
            <v>Desenhista detalhista com encargos complementares</v>
          </cell>
          <cell r="E1060"/>
          <cell r="F1060" t="str">
            <v>MES</v>
          </cell>
          <cell r="G1060">
            <v>3676.43</v>
          </cell>
          <cell r="H1060" t="str">
            <v>-</v>
          </cell>
        </row>
        <row r="1061">
          <cell r="A1061">
            <v>90777</v>
          </cell>
          <cell r="B1061" t="str">
            <v>SINAPI</v>
          </cell>
          <cell r="C1061"/>
          <cell r="D1061" t="str">
            <v>Engenheiro civil de obra júnior com encargos complementares (horista)</v>
          </cell>
          <cell r="E1061"/>
          <cell r="F1061" t="str">
            <v>H</v>
          </cell>
          <cell r="G1061">
            <v>97.88</v>
          </cell>
          <cell r="H1061" t="str">
            <v>-</v>
          </cell>
        </row>
        <row r="1062">
          <cell r="A1062">
            <v>93565</v>
          </cell>
          <cell r="B1062" t="str">
            <v>SINAPI</v>
          </cell>
          <cell r="C1062"/>
          <cell r="D1062" t="str">
            <v>Engenheiro civil de obra júnior com encargos complementares (mensalista)</v>
          </cell>
          <cell r="E1062"/>
          <cell r="F1062" t="str">
            <v>MES</v>
          </cell>
          <cell r="G1062">
            <v>17076.25</v>
          </cell>
          <cell r="H1062" t="str">
            <v>-</v>
          </cell>
        </row>
        <row r="1063">
          <cell r="A1063">
            <v>90778</v>
          </cell>
          <cell r="B1063" t="str">
            <v>SINAPI</v>
          </cell>
          <cell r="C1063"/>
          <cell r="D1063" t="str">
            <v>Engenheiro civil de obra pleno com encargos complementares (horista)</v>
          </cell>
          <cell r="E1063"/>
          <cell r="F1063" t="str">
            <v>H</v>
          </cell>
          <cell r="G1063">
            <v>111.12</v>
          </cell>
          <cell r="H1063" t="str">
            <v>-</v>
          </cell>
        </row>
        <row r="1064">
          <cell r="A1064">
            <v>93567</v>
          </cell>
          <cell r="B1064" t="str">
            <v>SINAPI</v>
          </cell>
          <cell r="C1064"/>
          <cell r="D1064" t="str">
            <v>Engenheiro civil de obra pleno com encargos complementares (mensalista)</v>
          </cell>
          <cell r="E1064"/>
          <cell r="F1064" t="str">
            <v>MES</v>
          </cell>
          <cell r="G1064">
            <v>19385.919999999998</v>
          </cell>
          <cell r="H1064" t="str">
            <v>-</v>
          </cell>
        </row>
        <row r="1065">
          <cell r="A1065">
            <v>90779</v>
          </cell>
          <cell r="B1065" t="str">
            <v>SINAPI</v>
          </cell>
          <cell r="C1065"/>
          <cell r="D1065" t="str">
            <v>Engenheiro civil de obra sênior com encargos complementares (horista)</v>
          </cell>
          <cell r="E1065"/>
          <cell r="F1065" t="str">
            <v>H</v>
          </cell>
          <cell r="G1065">
            <v>151.21</v>
          </cell>
          <cell r="H1065" t="str">
            <v>-</v>
          </cell>
        </row>
        <row r="1066">
          <cell r="A1066">
            <v>93568</v>
          </cell>
          <cell r="B1066" t="str">
            <v>SINAPI</v>
          </cell>
          <cell r="C1066"/>
          <cell r="D1066" t="str">
            <v>Engenheiro civil de obra sênior com encargos complementares (mensalista)</v>
          </cell>
          <cell r="E1066"/>
          <cell r="F1066" t="str">
            <v>MES</v>
          </cell>
          <cell r="G1066">
            <v>26366.29</v>
          </cell>
          <cell r="H1066" t="str">
            <v>-</v>
          </cell>
        </row>
        <row r="1067">
          <cell r="A1067">
            <v>100319</v>
          </cell>
          <cell r="B1067" t="str">
            <v>SINAPI</v>
          </cell>
          <cell r="C1067"/>
          <cell r="D1067" t="str">
            <v>Engenheiro civil júnior com encargos complementares</v>
          </cell>
          <cell r="E1067"/>
          <cell r="F1067" t="str">
            <v>MES</v>
          </cell>
          <cell r="G1067">
            <v>17277.310000000001</v>
          </cell>
          <cell r="H1067" t="str">
            <v>-</v>
          </cell>
        </row>
        <row r="1068">
          <cell r="A1068">
            <v>101403</v>
          </cell>
          <cell r="B1068" t="str">
            <v>SINAPI</v>
          </cell>
          <cell r="C1068"/>
          <cell r="D1068" t="str">
            <v>Engenheiro civil sênior com encargos complementares</v>
          </cell>
          <cell r="E1068"/>
          <cell r="F1068" t="str">
            <v>MES</v>
          </cell>
          <cell r="G1068">
            <v>26513.21</v>
          </cell>
          <cell r="H1068" t="str">
            <v>-</v>
          </cell>
        </row>
        <row r="1069">
          <cell r="A1069">
            <v>90780</v>
          </cell>
          <cell r="B1069" t="str">
            <v>SINAPI</v>
          </cell>
          <cell r="C1069"/>
          <cell r="D1069" t="str">
            <v>Mestre de obras com encargos complementares (horista)</v>
          </cell>
          <cell r="E1069"/>
          <cell r="F1069" t="str">
            <v>H</v>
          </cell>
          <cell r="G1069">
            <v>31.4</v>
          </cell>
          <cell r="H1069" t="str">
            <v>-</v>
          </cell>
        </row>
        <row r="1070">
          <cell r="A1070">
            <v>94295</v>
          </cell>
          <cell r="B1070" t="str">
            <v>SINAPI</v>
          </cell>
          <cell r="C1070"/>
          <cell r="D1070" t="str">
            <v>Mestre de obras com encargos complementares (mensalista)</v>
          </cell>
          <cell r="E1070"/>
          <cell r="F1070" t="str">
            <v>MES</v>
          </cell>
          <cell r="G1070">
            <v>5500.99</v>
          </cell>
          <cell r="H1070" t="str">
            <v>-</v>
          </cell>
        </row>
        <row r="1071">
          <cell r="A1071">
            <v>88288</v>
          </cell>
          <cell r="B1071" t="str">
            <v>SINAPI</v>
          </cell>
          <cell r="C1071"/>
          <cell r="D1071" t="str">
            <v>Nivelador/Greidista com encargos complementares (horista)</v>
          </cell>
          <cell r="E1071"/>
          <cell r="F1071" t="str">
            <v>H</v>
          </cell>
          <cell r="G1071">
            <v>13.44</v>
          </cell>
          <cell r="H1071" t="str">
            <v>-</v>
          </cell>
        </row>
        <row r="1072">
          <cell r="A1072">
            <v>41024</v>
          </cell>
          <cell r="B1072" t="str">
            <v>SINAPI</v>
          </cell>
          <cell r="C1072"/>
          <cell r="D1072" t="str">
            <v>Nivelador/Greidista com encargos complementares (mensalista)</v>
          </cell>
          <cell r="E1072"/>
          <cell r="F1072" t="str">
            <v xml:space="preserve">MES   </v>
          </cell>
          <cell r="G1072">
            <v>4264.82</v>
          </cell>
          <cell r="H1072" t="str">
            <v>-</v>
          </cell>
        </row>
        <row r="1073">
          <cell r="A1073">
            <v>88321</v>
          </cell>
          <cell r="B1073" t="str">
            <v>SINAPI</v>
          </cell>
          <cell r="C1073"/>
          <cell r="D1073" t="str">
            <v>Técnico de laboratório com encargos complementares (horista)</v>
          </cell>
          <cell r="E1073"/>
          <cell r="F1073" t="str">
            <v>H</v>
          </cell>
          <cell r="G1073">
            <v>27.22</v>
          </cell>
          <cell r="H1073" t="str">
            <v>-</v>
          </cell>
        </row>
        <row r="1074">
          <cell r="A1074">
            <v>101456</v>
          </cell>
          <cell r="B1074" t="str">
            <v>SINAPI</v>
          </cell>
          <cell r="C1074"/>
          <cell r="D1074" t="str">
            <v>Técnico de laboratório e campo de construção com encargos complementares (mensalista)</v>
          </cell>
          <cell r="E1074"/>
          <cell r="F1074" t="str">
            <v>MES</v>
          </cell>
          <cell r="G1074">
            <v>4779.8900000000003</v>
          </cell>
          <cell r="H1074" t="str">
            <v>-</v>
          </cell>
        </row>
        <row r="1075">
          <cell r="A1075">
            <v>40943</v>
          </cell>
          <cell r="B1075" t="str">
            <v>SINAPI</v>
          </cell>
          <cell r="C1075"/>
          <cell r="D1075" t="str">
            <v>Técnico de segurança do trabalho (horista)</v>
          </cell>
          <cell r="E1075"/>
          <cell r="F1075" t="str">
            <v xml:space="preserve">H     </v>
          </cell>
          <cell r="G1075">
            <v>24.03</v>
          </cell>
          <cell r="H1075" t="str">
            <v>-</v>
          </cell>
        </row>
        <row r="1076">
          <cell r="A1076">
            <v>100321</v>
          </cell>
          <cell r="B1076" t="str">
            <v>SINAPI</v>
          </cell>
          <cell r="C1076"/>
          <cell r="D1076" t="str">
            <v>Técnico de segurança do trabalho com encargos complementares (mensalista)</v>
          </cell>
          <cell r="E1076"/>
          <cell r="F1076" t="str">
            <v>MES</v>
          </cell>
          <cell r="G1076">
            <v>4642.7299999999996</v>
          </cell>
          <cell r="H1076" t="str">
            <v>-</v>
          </cell>
        </row>
        <row r="1077">
          <cell r="A1077">
            <v>90781</v>
          </cell>
          <cell r="B1077" t="str">
            <v>SINAPI</v>
          </cell>
          <cell r="C1077"/>
          <cell r="D1077" t="str">
            <v>Topografo com encargos complementares (horista)</v>
          </cell>
          <cell r="E1077"/>
          <cell r="F1077" t="str">
            <v>H</v>
          </cell>
          <cell r="G1077">
            <v>21.99</v>
          </cell>
          <cell r="H1077" t="str">
            <v>-</v>
          </cell>
        </row>
        <row r="1078">
          <cell r="A1078">
            <v>94296</v>
          </cell>
          <cell r="B1078" t="str">
            <v>SINAPI</v>
          </cell>
          <cell r="C1078"/>
          <cell r="D1078" t="str">
            <v>Topografo com encargos complementares (mensalista)</v>
          </cell>
          <cell r="E1078"/>
          <cell r="F1078" t="str">
            <v>MES</v>
          </cell>
          <cell r="G1078">
            <v>3865.41</v>
          </cell>
          <cell r="H1078" t="str">
            <v>-</v>
          </cell>
        </row>
        <row r="1079">
          <cell r="A1079">
            <v>41096</v>
          </cell>
          <cell r="B1079" t="str">
            <v>SINAPI</v>
          </cell>
          <cell r="C1079"/>
          <cell r="D1079" t="str">
            <v>Vigia Diurno com encargos complementares (mensalista)</v>
          </cell>
          <cell r="E1079"/>
          <cell r="F1079" t="str">
            <v xml:space="preserve">MES   </v>
          </cell>
          <cell r="G1079">
            <v>2102.14</v>
          </cell>
          <cell r="H1079" t="str">
            <v>-</v>
          </cell>
        </row>
        <row r="1080">
          <cell r="A1080">
            <v>101460</v>
          </cell>
          <cell r="B1080" t="str">
            <v>SINAPI</v>
          </cell>
          <cell r="C1080"/>
          <cell r="D1080" t="str">
            <v>Vigia Diurno com encargos complementares (mensalista)</v>
          </cell>
          <cell r="E1080"/>
          <cell r="F1080" t="str">
            <v>MES</v>
          </cell>
          <cell r="G1080">
            <v>3139.97</v>
          </cell>
          <cell r="H1080" t="str">
            <v>-</v>
          </cell>
        </row>
        <row r="1081">
          <cell r="A1081">
            <v>88326</v>
          </cell>
          <cell r="B1081" t="str">
            <v>SINAPI</v>
          </cell>
          <cell r="C1081"/>
          <cell r="D1081" t="str">
            <v>Vigia Noturno com encargos complementares (horista)</v>
          </cell>
          <cell r="E1081"/>
          <cell r="F1081" t="str">
            <v>H</v>
          </cell>
          <cell r="G1081">
            <v>22.02</v>
          </cell>
          <cell r="H1081" t="str">
            <v>-</v>
          </cell>
        </row>
        <row r="1082">
          <cell r="A1082" t="str">
            <v>AD/0001</v>
          </cell>
          <cell r="B1082" t="str">
            <v>COMPOSIÇÃO</v>
          </cell>
          <cell r="C1082" t="str">
            <v>DESATIVADA</v>
          </cell>
          <cell r="D1082" t="str">
            <v>Entrada provisória de energia elétrica aérea, trifásica 40A, em poste de madeira</v>
          </cell>
          <cell r="E1082"/>
          <cell r="F1082" t="e">
            <v>#REF!</v>
          </cell>
          <cell r="G1082" t="e">
            <v>#REF!</v>
          </cell>
          <cell r="H1082" t="str">
            <v>VER COMP</v>
          </cell>
        </row>
        <row r="1083">
          <cell r="A1083">
            <v>101509</v>
          </cell>
          <cell r="B1083" t="str">
            <v>SINAPI</v>
          </cell>
          <cell r="C1083"/>
          <cell r="D1083" t="str">
            <v>Tarifa de consumo de energia elétrica comercial, baixa tensão</v>
          </cell>
          <cell r="E1083" t="str">
            <v>498 kW/h/mês</v>
          </cell>
          <cell r="F1083" t="str">
            <v>UN</v>
          </cell>
          <cell r="G1083">
            <v>1721.14</v>
          </cell>
          <cell r="H1083" t="str">
            <v>-</v>
          </cell>
        </row>
        <row r="1084">
          <cell r="A1084">
            <v>5059</v>
          </cell>
          <cell r="B1084" t="str">
            <v>SINAPI</v>
          </cell>
          <cell r="C1084"/>
          <cell r="D1084" t="str">
            <v>Tarifa de consumo de energia elétrica comercial, baixa tensão</v>
          </cell>
          <cell r="E1084" t="str">
            <v>499 kW/h/mês</v>
          </cell>
          <cell r="F1084" t="str">
            <v xml:space="preserve">UN    </v>
          </cell>
          <cell r="G1084">
            <v>1397.44</v>
          </cell>
          <cell r="H1084" t="str">
            <v>-</v>
          </cell>
        </row>
        <row r="1085">
          <cell r="A1085">
            <v>14250</v>
          </cell>
          <cell r="B1085" t="str">
            <v>SINAPI</v>
          </cell>
          <cell r="C1085"/>
          <cell r="D1085" t="str">
            <v>Tarifa de consumo de energia elétrica comercial, baixa tensão</v>
          </cell>
          <cell r="E1085" t="str">
            <v>500 kW/h/mês</v>
          </cell>
          <cell r="F1085" t="str">
            <v xml:space="preserve">KWH   </v>
          </cell>
          <cell r="G1085">
            <v>1.17</v>
          </cell>
          <cell r="H1085" t="str">
            <v>-</v>
          </cell>
        </row>
        <row r="1086">
          <cell r="A1086">
            <v>44480</v>
          </cell>
          <cell r="B1086" t="str">
            <v>SINAPI</v>
          </cell>
          <cell r="C1086"/>
          <cell r="D1086" t="str">
            <v>Tarifa "A" entre 0,00 a 20m3/mês, fornecimento de água</v>
          </cell>
          <cell r="E1086"/>
          <cell r="F1086" t="str">
            <v xml:space="preserve">M3    </v>
          </cell>
          <cell r="G1086">
            <v>22.13</v>
          </cell>
          <cell r="H1086" t="str">
            <v>-</v>
          </cell>
        </row>
        <row r="1087">
          <cell r="A1087" t="str">
            <v>AD/0002</v>
          </cell>
          <cell r="B1087" t="str">
            <v>COMPOSIÇÃO</v>
          </cell>
          <cell r="C1087" t="str">
            <v>V0</v>
          </cell>
          <cell r="D1087" t="str">
            <v xml:space="preserve"> VEÍCULO LEVE - 53 KW (SEM MOTORISTA) (116,49h CPI + 66h CHP - 182,49h MDO)(REF. SICRO COD. E9512)</v>
          </cell>
          <cell r="E1087"/>
          <cell r="F1087" t="str">
            <v>UN.MÊS</v>
          </cell>
          <cell r="G1087">
            <v>2914.22</v>
          </cell>
          <cell r="H1087" t="str">
            <v>-</v>
          </cell>
        </row>
        <row r="1088">
          <cell r="A1088" t="str">
            <v>AD/0003</v>
          </cell>
          <cell r="B1088" t="str">
            <v>COMPOSIÇÃO</v>
          </cell>
          <cell r="C1088" t="str">
            <v>V1</v>
          </cell>
          <cell r="D1088" t="str">
            <v xml:space="preserve"> CAMINHONETE - 101/104 CV (SEM MOTORISTA) (116,49h CPI + 66h CHP)(REF. SINAPI COD. 92145 E 92146)</v>
          </cell>
          <cell r="E1088"/>
          <cell r="F1088" t="str">
            <v>UN.MÊS</v>
          </cell>
          <cell r="G1088">
            <v>4030.05</v>
          </cell>
          <cell r="H1088" t="str">
            <v>-</v>
          </cell>
        </row>
        <row r="1089">
          <cell r="A1089" t="str">
            <v>AD/0004</v>
          </cell>
          <cell r="B1089" t="str">
            <v>COMPOSIÇÃO</v>
          </cell>
          <cell r="C1089" t="str">
            <v>V2</v>
          </cell>
          <cell r="D1089" t="str">
            <v xml:space="preserve"> VEÍCULO LEVE PICAPE 4X4 - 147 KW (SEM MOTORISTA) (116,49h CPI + 66h CHP - 182,49h MDO)(REF. SICRO COD. E9512)</v>
          </cell>
          <cell r="E1089"/>
          <cell r="F1089" t="str">
            <v>UN.MÊS</v>
          </cell>
          <cell r="G1089">
            <v>9112.98</v>
          </cell>
          <cell r="H1089" t="str">
            <v>-</v>
          </cell>
        </row>
        <row r="1090">
          <cell r="A1090" t="str">
            <v>AD/0005</v>
          </cell>
          <cell r="B1090" t="str">
            <v>COMPOSIÇÃO</v>
          </cell>
          <cell r="C1090" t="str">
            <v>V3</v>
          </cell>
          <cell r="D1090" t="str">
            <v xml:space="preserve"> VAN - 93 KW (COM MOTORISTA) (116,49h CPI + 66h CHP). CAPACIDADE DE 10 PESSOAS (REF. SICRO COD. E9125)</v>
          </cell>
          <cell r="E1090"/>
          <cell r="F1090" t="str">
            <v>UN.MÊS</v>
          </cell>
          <cell r="G1090">
            <v>9532.91</v>
          </cell>
          <cell r="H1090" t="str">
            <v>-</v>
          </cell>
        </row>
        <row r="1091">
          <cell r="A1091" t="str">
            <v>AD/0006</v>
          </cell>
          <cell r="B1091" t="str">
            <v>COMPOSIÇÃO</v>
          </cell>
          <cell r="C1091"/>
          <cell r="D1091" t="str">
            <v>CAMINHONETE COM MOTOR A DIESEL, POTÊNCIA 180 CV, CABINE DUPLA, 4X4  (SEM MOTORISTA) (116,49h CPI + 66h CHP)(REF. SINAPI COD. 92138 E 92139)</v>
          </cell>
          <cell r="E1091"/>
          <cell r="F1091" t="str">
            <v>UN.MÊS</v>
          </cell>
          <cell r="G1091">
            <v>6689.85</v>
          </cell>
          <cell r="H1091" t="str">
            <v>-</v>
          </cell>
        </row>
        <row r="1092">
          <cell r="A1092" t="str">
            <v>AD/0007</v>
          </cell>
          <cell r="B1092" t="str">
            <v>COMPOSIÇÃO</v>
          </cell>
          <cell r="C1092"/>
          <cell r="D1092" t="str">
            <v>CAMINHÃO PIPA 6.000 L, PESO BRUTO TOTAL 13.000 KG, DISTÂNCIA ENTRE EIXOS 4,80 M, POTÊNCIA 189 CV INCLUSIVE TANQUE DE AÇO PARA TRANSPORTE DE ÁGUA, CAPACIDADE 6 M3(116,49h CPI + 66h CHP)</v>
          </cell>
          <cell r="E1092"/>
          <cell r="F1092" t="str">
            <v>UN.MÊS</v>
          </cell>
          <cell r="G1092">
            <v>21981.53</v>
          </cell>
          <cell r="H1092" t="str">
            <v>-</v>
          </cell>
        </row>
        <row r="1093">
          <cell r="A1093" t="str">
            <v>B8958</v>
          </cell>
          <cell r="B1093" t="str">
            <v>DNIT/Consultoria</v>
          </cell>
          <cell r="C1093"/>
          <cell r="D1093" t="str">
            <v xml:space="preserve">Topografia </v>
          </cell>
          <cell r="E1093"/>
          <cell r="F1093" t="str">
            <v>mês</v>
          </cell>
          <cell r="G1093">
            <v>3265.25</v>
          </cell>
          <cell r="H1093" t="str">
            <v>-</v>
          </cell>
        </row>
        <row r="1094">
          <cell r="A1094" t="str">
            <v>B8957</v>
          </cell>
          <cell r="B1094" t="str">
            <v>DNIT/Consultoria</v>
          </cell>
          <cell r="C1094"/>
          <cell r="D1094" t="str">
            <v xml:space="preserve">Laboratório de solos </v>
          </cell>
          <cell r="E1094"/>
          <cell r="F1094" t="str">
            <v>mês</v>
          </cell>
          <cell r="G1094">
            <v>4491.67</v>
          </cell>
          <cell r="H1094" t="str">
            <v>-</v>
          </cell>
        </row>
        <row r="1095">
          <cell r="A1095" t="str">
            <v>E9512</v>
          </cell>
          <cell r="B1095" t="str">
            <v>SICRO</v>
          </cell>
          <cell r="C1095"/>
          <cell r="D1095" t="str">
            <v>Veículo leve - 53 kW (CHI)</v>
          </cell>
          <cell r="E1095"/>
          <cell r="F1095" t="str">
            <v>CHI</v>
          </cell>
          <cell r="G1095">
            <v>29.601299999999998</v>
          </cell>
          <cell r="H1095" t="str">
            <v>-</v>
          </cell>
        </row>
        <row r="1096">
          <cell r="A1096" t="str">
            <v>E9512</v>
          </cell>
          <cell r="B1096" t="str">
            <v>SICRO</v>
          </cell>
          <cell r="C1096"/>
          <cell r="D1096" t="str">
            <v>Veículo leve - 53 kW (CHP)</v>
          </cell>
          <cell r="E1096"/>
          <cell r="F1096" t="str">
            <v>CHP</v>
          </cell>
          <cell r="G1096">
            <v>56.1327</v>
          </cell>
          <cell r="H1096" t="str">
            <v>-</v>
          </cell>
        </row>
        <row r="1097">
          <cell r="A1097" t="str">
            <v>E9512</v>
          </cell>
          <cell r="B1097" t="str">
            <v>SICRO</v>
          </cell>
          <cell r="C1097"/>
          <cell r="D1097" t="str">
            <v>Veículo leve - 53 kW (MDO)</v>
          </cell>
          <cell r="E1097"/>
          <cell r="F1097" t="str">
            <v>H</v>
          </cell>
          <cell r="G1097">
            <v>23.227499999999999</v>
          </cell>
          <cell r="H1097" t="str">
            <v>-</v>
          </cell>
        </row>
        <row r="1098">
          <cell r="A1098" t="str">
            <v>E9684</v>
          </cell>
          <cell r="B1098" t="str">
            <v>SICRO</v>
          </cell>
          <cell r="C1098"/>
          <cell r="D1098" t="str">
            <v>Veículo leve Pick Up 4 x 4 - 147 kW (CHI)</v>
          </cell>
          <cell r="E1098"/>
          <cell r="F1098" t="str">
            <v>CHI</v>
          </cell>
          <cell r="G1098">
            <v>51.284100000000002</v>
          </cell>
          <cell r="H1098" t="str">
            <v>-</v>
          </cell>
        </row>
        <row r="1099">
          <cell r="A1099" t="str">
            <v>E9684</v>
          </cell>
          <cell r="B1099" t="str">
            <v>SICRO</v>
          </cell>
          <cell r="C1099"/>
          <cell r="D1099" t="str">
            <v>Veículo leve Pick Up 4 x 4 - 147 kW (CHP)</v>
          </cell>
          <cell r="E1099"/>
          <cell r="F1099" t="str">
            <v>CHP</v>
          </cell>
          <cell r="G1099">
            <v>111.78319999999999</v>
          </cell>
          <cell r="H1099" t="str">
            <v>-</v>
          </cell>
        </row>
        <row r="1100">
          <cell r="A1100" t="str">
            <v>E9684</v>
          </cell>
          <cell r="B1100" t="str">
            <v>SICRO</v>
          </cell>
          <cell r="C1100"/>
          <cell r="D1100" t="str">
            <v>Veículo leve Pick Up 4 x 4 - 147 kW (MDO)</v>
          </cell>
          <cell r="E1100"/>
          <cell r="F1100" t="str">
            <v>H</v>
          </cell>
          <cell r="G1100">
            <v>23.227499999999999</v>
          </cell>
          <cell r="H1100" t="str">
            <v>-</v>
          </cell>
        </row>
        <row r="1101">
          <cell r="A1101" t="str">
            <v>E9125</v>
          </cell>
          <cell r="B1101" t="str">
            <v>SICRO</v>
          </cell>
          <cell r="C1101"/>
          <cell r="D1101" t="str">
            <v>Van furgão - 93 kW (CHI)</v>
          </cell>
          <cell r="E1101"/>
          <cell r="F1101" t="str">
            <v>CHI</v>
          </cell>
          <cell r="G1101">
            <v>39.0687</v>
          </cell>
          <cell r="H1101" t="str">
            <v>-</v>
          </cell>
        </row>
        <row r="1102">
          <cell r="A1102" t="str">
            <v>E9125</v>
          </cell>
          <cell r="B1102" t="str">
            <v>SICRO</v>
          </cell>
          <cell r="C1102"/>
          <cell r="D1102" t="str">
            <v>Van furgão - 93 kW (CHP)</v>
          </cell>
          <cell r="E1102"/>
          <cell r="F1102" t="str">
            <v>CHP</v>
          </cell>
          <cell r="G1102">
            <v>75.481800000000007</v>
          </cell>
          <cell r="H1102" t="str">
            <v>-</v>
          </cell>
        </row>
        <row r="1103">
          <cell r="A1103">
            <v>92145</v>
          </cell>
          <cell r="B1103" t="str">
            <v>SINAPI</v>
          </cell>
          <cell r="C1103"/>
          <cell r="D1103" t="str">
            <v>Caminhonete cabine simples com motor 1.6 FLEX, câmbio manual, potência 101/104 CV, 2 portas - CHP diurno. AF_11/2015</v>
          </cell>
          <cell r="E1103"/>
          <cell r="F1103" t="str">
            <v>CHP</v>
          </cell>
          <cell r="G1103">
            <v>68.680000000000007</v>
          </cell>
          <cell r="H1103" t="str">
            <v>-</v>
          </cell>
        </row>
        <row r="1104">
          <cell r="A1104">
            <v>92146</v>
          </cell>
          <cell r="B1104" t="str">
            <v>SINAPI</v>
          </cell>
          <cell r="C1104"/>
          <cell r="D1104" t="str">
            <v>Caminhonete cabine simples com motor 1.6 FLEX, câmbio manual, potência 101/104 CV, 2 portas - CHI diurno. AF_11/2015</v>
          </cell>
          <cell r="E1104"/>
          <cell r="F1104" t="str">
            <v>CHI</v>
          </cell>
          <cell r="G1104">
            <v>26.78</v>
          </cell>
          <cell r="H1104" t="str">
            <v>-</v>
          </cell>
        </row>
        <row r="1105">
          <cell r="A1105">
            <v>88284</v>
          </cell>
          <cell r="B1105" t="str">
            <v>SINAPI</v>
          </cell>
          <cell r="C1105"/>
          <cell r="D1105" t="str">
            <v>Motorista de veículo leve com encargos complementares</v>
          </cell>
          <cell r="E1105"/>
          <cell r="F1105" t="str">
            <v>H</v>
          </cell>
          <cell r="G1105">
            <v>19.850000000000001</v>
          </cell>
          <cell r="H1105" t="str">
            <v>-</v>
          </cell>
        </row>
        <row r="1106">
          <cell r="A1106"/>
          <cell r="B1106"/>
          <cell r="C1106"/>
          <cell r="D1106"/>
          <cell r="E1106"/>
          <cell r="F1106"/>
          <cell r="G1106"/>
          <cell r="H1106"/>
        </row>
        <row r="1107">
          <cell r="A1107"/>
          <cell r="B1107"/>
          <cell r="C1107" t="str">
            <v>15.0</v>
          </cell>
          <cell r="D1107" t="str">
            <v>SERVIÇOS DE ENGENHARIA DE PROJETOS DE INFRAESTRUTURA URBANA</v>
          </cell>
          <cell r="E1107"/>
          <cell r="F1107"/>
          <cell r="G1107" t="str">
            <v>agosto/2023</v>
          </cell>
          <cell r="H1107" t="str">
            <v/>
          </cell>
        </row>
        <row r="1108">
          <cell r="A1108" t="str">
            <v>ADM0002</v>
          </cell>
          <cell r="B1108" t="str">
            <v>COMPOSIÇÃO</v>
          </cell>
          <cell r="C1108" t="str">
            <v>AGESUL</v>
          </cell>
          <cell r="D1108" t="str">
            <v>Reprografia e montagem de relatório (texto e desenho)</v>
          </cell>
          <cell r="E1108">
            <v>0</v>
          </cell>
          <cell r="F1108" t="str">
            <v xml:space="preserve">un </v>
          </cell>
          <cell r="G1108">
            <v>675.66</v>
          </cell>
          <cell r="H1108" t="str">
            <v>-</v>
          </cell>
        </row>
        <row r="1109">
          <cell r="A1109" t="str">
            <v>ADM0001</v>
          </cell>
          <cell r="B1109" t="str">
            <v>COMPOSIÇÃO</v>
          </cell>
          <cell r="C1109" t="str">
            <v>AGESUL</v>
          </cell>
          <cell r="D1109" t="str">
            <v>Mobilização e desmobilização de equipe de técnica, distância acima de 20km</v>
          </cell>
          <cell r="E1109" t="str">
            <v>ATENÇÃO
Distância da Sede à obra</v>
          </cell>
          <cell r="F1109" t="str">
            <v>km</v>
          </cell>
          <cell r="G1109">
            <v>15.4</v>
          </cell>
          <cell r="H1109" t="str">
            <v>-</v>
          </cell>
        </row>
        <row r="1110">
          <cell r="A1110" t="str">
            <v>EG0005</v>
          </cell>
          <cell r="B1110" t="str">
            <v>COMPOSIÇÃO</v>
          </cell>
          <cell r="C1110" t="str">
            <v>AGESUL</v>
          </cell>
          <cell r="D1110" t="str">
            <v>Mobilização e desmobilização de equipe de geotecnia, distância maior que 20km</v>
          </cell>
          <cell r="E1110" t="str">
            <v>ATENÇÃO
Distância da Sede à obra</v>
          </cell>
          <cell r="F1110" t="str">
            <v>km</v>
          </cell>
          <cell r="G1110">
            <v>7.82</v>
          </cell>
          <cell r="H1110" t="str">
            <v>-</v>
          </cell>
        </row>
        <row r="1111">
          <cell r="A1111" t="str">
            <v>ET0003</v>
          </cell>
          <cell r="B1111" t="str">
            <v>COMPOSIÇÃO</v>
          </cell>
          <cell r="C1111" t="str">
            <v>AGESUL</v>
          </cell>
          <cell r="D1111" t="str">
            <v>Mobilização e desmobilização de equipe de topografia, distância maior que 20km</v>
          </cell>
          <cell r="E1111" t="str">
            <v>ATENÇÃO
Distância da Sede à obra</v>
          </cell>
          <cell r="F1111" t="str">
            <v>km</v>
          </cell>
          <cell r="G1111">
            <v>6.1</v>
          </cell>
          <cell r="H1111" t="str">
            <v>-</v>
          </cell>
        </row>
        <row r="1112">
          <cell r="A1112" t="str">
            <v>ARQ0003</v>
          </cell>
          <cell r="B1112" t="str">
            <v>COMPOSIÇÃO</v>
          </cell>
          <cell r="C1112" t="str">
            <v>AGESUL</v>
          </cell>
          <cell r="D1112" t="str">
            <v>Estudo conceitual para implantação de parque público - master plan</v>
          </cell>
          <cell r="E1112">
            <v>0</v>
          </cell>
          <cell r="F1112" t="str">
            <v xml:space="preserve">ha </v>
          </cell>
          <cell r="G1112">
            <v>1570.75</v>
          </cell>
          <cell r="H1112" t="str">
            <v>-</v>
          </cell>
        </row>
        <row r="1113">
          <cell r="A1113" t="str">
            <v>PFIU001</v>
          </cell>
          <cell r="B1113" t="str">
            <v>COMPOSIÇÃO</v>
          </cell>
          <cell r="C1113" t="str">
            <v>AGESUL</v>
          </cell>
          <cell r="D1113" t="str">
            <v>Elaboração de estudos de viabilidade para projetos de pavimentação, drenagem, sinalização viária, acessibilidade e orçamento</v>
          </cell>
          <cell r="E1113">
            <v>0</v>
          </cell>
          <cell r="F1113" t="str">
            <v>m²</v>
          </cell>
          <cell r="G1113">
            <v>0.49330000000000002</v>
          </cell>
          <cell r="H1113" t="str">
            <v>-</v>
          </cell>
        </row>
        <row r="1114">
          <cell r="A1114" t="str">
            <v>PFIU002</v>
          </cell>
          <cell r="B1114" t="str">
            <v>COMPOSIÇÃO</v>
          </cell>
          <cell r="C1114" t="str">
            <v>AGESUL</v>
          </cell>
          <cell r="D1114" t="str">
            <v>Elaboração de estudos de viabilidade para projetos de pavimentação, drenagem, sinalização viária, acessibilidade e orçamento</v>
          </cell>
          <cell r="E1114">
            <v>0</v>
          </cell>
          <cell r="F1114" t="str">
            <v>km</v>
          </cell>
          <cell r="G1114">
            <v>3455.9738000000002</v>
          </cell>
          <cell r="H1114" t="str">
            <v>-</v>
          </cell>
        </row>
        <row r="1115">
          <cell r="A1115" t="str">
            <v>PBPC001</v>
          </cell>
          <cell r="B1115" t="str">
            <v>COMPOSIÇÃO</v>
          </cell>
          <cell r="C1115" t="str">
            <v>AGESUL</v>
          </cell>
          <cell r="D1115" t="str">
            <v>Elaboração de estudos de viabilidade para projeto funcional de OAE (ponte) em concreto armado inclusive estudos hidrológico e projeto de acessibilidade e sinalização viária. Exclusive serviços topográficos e geotécnicos</v>
          </cell>
          <cell r="E1115">
            <v>0</v>
          </cell>
          <cell r="F1115" t="str">
            <v>m</v>
          </cell>
          <cell r="G1115">
            <v>622.97</v>
          </cell>
          <cell r="H1115" t="str">
            <v>-</v>
          </cell>
        </row>
        <row r="1116">
          <cell r="A1116" t="str">
            <v>EHAU001</v>
          </cell>
          <cell r="B1116" t="str">
            <v>COMPOSIÇÃO</v>
          </cell>
          <cell r="C1116" t="str">
            <v>AGESUL</v>
          </cell>
          <cell r="D1116" t="str">
            <v>Elaboração de estudo hidrológico de área urbanizada</v>
          </cell>
          <cell r="E1116">
            <v>0</v>
          </cell>
          <cell r="F1116" t="str">
            <v xml:space="preserve">ha </v>
          </cell>
          <cell r="G1116">
            <v>22.61</v>
          </cell>
          <cell r="H1116" t="str">
            <v>-</v>
          </cell>
        </row>
        <row r="1117">
          <cell r="A1117" t="str">
            <v>EHAU002</v>
          </cell>
          <cell r="B1117" t="str">
            <v>COMPOSIÇÃO</v>
          </cell>
          <cell r="C1117" t="str">
            <v>AGESUL</v>
          </cell>
          <cell r="D1117" t="str">
            <v>Elaboração de estudo hidrológico de área rural</v>
          </cell>
          <cell r="E1117">
            <v>0</v>
          </cell>
          <cell r="F1117" t="str">
            <v>km²</v>
          </cell>
          <cell r="G1117">
            <v>1300.25</v>
          </cell>
          <cell r="H1117" t="str">
            <v>-</v>
          </cell>
        </row>
        <row r="1118">
          <cell r="A1118" t="str">
            <v>EG0001</v>
          </cell>
          <cell r="B1118" t="str">
            <v>COMPOSIÇÃO</v>
          </cell>
          <cell r="C1118" t="str">
            <v>AGESUL</v>
          </cell>
          <cell r="D1118" t="str">
            <v>Serviços geotécnicos de sondagem à trado ( 1 un com 2m de prof.) e ensaios de solo de granulometria por peneiramento, limites de liquidez e plasticidade, compactação e ISC na energia modificada (1 cj)</v>
          </cell>
          <cell r="E1118">
            <v>0</v>
          </cell>
          <cell r="F1118" t="str">
            <v xml:space="preserve">un </v>
          </cell>
          <cell r="G1118">
            <v>965.29</v>
          </cell>
          <cell r="H1118" t="str">
            <v>-</v>
          </cell>
        </row>
        <row r="1119">
          <cell r="A1119" t="str">
            <v>EG0012</v>
          </cell>
          <cell r="B1119" t="str">
            <v>COMPOSIÇÃO</v>
          </cell>
          <cell r="C1119" t="str">
            <v>AGESUL</v>
          </cell>
          <cell r="D1119" t="str">
            <v>Serviços geotécnicos de sondagem à trado (1un com 2m de prof.) e ensaios de solo de granulometria por peneiramento, limites de liquidez e plasticidade, compactação e ISC na energia intermediária (1cj)</v>
          </cell>
          <cell r="E1119">
            <v>0</v>
          </cell>
          <cell r="F1119" t="str">
            <v xml:space="preserve">un </v>
          </cell>
          <cell r="G1119">
            <v>804.08</v>
          </cell>
          <cell r="H1119" t="str">
            <v>-</v>
          </cell>
        </row>
        <row r="1120">
          <cell r="A1120" t="str">
            <v>EG0014</v>
          </cell>
          <cell r="B1120" t="str">
            <v>COMPOSIÇÃO</v>
          </cell>
          <cell r="C1120" t="str">
            <v>AGESUL</v>
          </cell>
          <cell r="D1120" t="str">
            <v>Serviços geotécnicos de sondagem à trado (1un com 2m de prof.) e ensaios de solo de granulometria por peneiramento, limites de liquidez e plasticidade, compactação e ISC na energia intermediária, com reuso de material (1cj)</v>
          </cell>
          <cell r="E1120">
            <v>0</v>
          </cell>
          <cell r="F1120" t="str">
            <v xml:space="preserve">un </v>
          </cell>
          <cell r="G1120">
            <v>603.04</v>
          </cell>
          <cell r="H1120" t="str">
            <v>-</v>
          </cell>
        </row>
        <row r="1121">
          <cell r="A1121" t="str">
            <v>EG0006</v>
          </cell>
          <cell r="B1121" t="str">
            <v>COMPOSIÇÃO</v>
          </cell>
          <cell r="C1121" t="str">
            <v>AGESUL</v>
          </cell>
          <cell r="D1121" t="str">
            <v>Deslocamento de equipamento entre furos em terreno plano, considerando a distância até 100m</v>
          </cell>
          <cell r="E1121"/>
          <cell r="F1121" t="str">
            <v xml:space="preserve">un </v>
          </cell>
          <cell r="G1121">
            <v>122.5</v>
          </cell>
          <cell r="H1121" t="str">
            <v>-</v>
          </cell>
        </row>
        <row r="1122">
          <cell r="A1122" t="str">
            <v>EG0007</v>
          </cell>
          <cell r="B1122" t="str">
            <v>COMPOSIÇÃO</v>
          </cell>
          <cell r="C1122" t="str">
            <v>AGESUL</v>
          </cell>
          <cell r="D1122" t="str">
            <v>Sondagem à percussão (SPT) com lavagem</v>
          </cell>
          <cell r="E1122">
            <v>0</v>
          </cell>
          <cell r="F1122" t="str">
            <v>m</v>
          </cell>
          <cell r="G1122">
            <v>173.66</v>
          </cell>
          <cell r="H1122" t="str">
            <v>-</v>
          </cell>
        </row>
        <row r="1123">
          <cell r="A1123" t="str">
            <v>EG0011</v>
          </cell>
          <cell r="B1123" t="str">
            <v>COMPOSIÇÃO</v>
          </cell>
          <cell r="C1123" t="str">
            <v>AGESUL</v>
          </cell>
          <cell r="D1123" t="str">
            <v>Avaliação e análise geotécnica de taludes e estabilidade de maciços em terra. Exclusive ensaios geotécnicos</v>
          </cell>
          <cell r="E1123">
            <v>0</v>
          </cell>
          <cell r="F1123" t="str">
            <v xml:space="preserve">un </v>
          </cell>
          <cell r="G1123">
            <v>15587.54</v>
          </cell>
          <cell r="H1123" t="str">
            <v>-</v>
          </cell>
        </row>
        <row r="1124">
          <cell r="A1124" t="str">
            <v>ETG0001</v>
          </cell>
          <cell r="B1124" t="str">
            <v>COMPOSIÇÃO</v>
          </cell>
          <cell r="C1124" t="str">
            <v>AGESUL</v>
          </cell>
          <cell r="D1124" t="str">
            <v>Elaboração de estudos topográficos e geotécnicos</v>
          </cell>
          <cell r="E1124">
            <v>0</v>
          </cell>
          <cell r="F1124" t="str">
            <v>km</v>
          </cell>
          <cell r="G1124">
            <v>11933.317500000001</v>
          </cell>
          <cell r="H1124" t="str">
            <v>-</v>
          </cell>
        </row>
        <row r="1125">
          <cell r="A1125" t="str">
            <v>ET0001</v>
          </cell>
          <cell r="B1125" t="str">
            <v>COMPOSIÇÃO</v>
          </cell>
          <cell r="C1125" t="str">
            <v>AGESUL</v>
          </cell>
          <cell r="D1125" t="str">
            <v>Levantamento topográfico por GPS ou voo aerofotogramétrico em áreas de difícil acesso, relevo acidentado e pouco habitada</v>
          </cell>
          <cell r="E1125">
            <v>0</v>
          </cell>
          <cell r="F1125" t="str">
            <v xml:space="preserve">ha </v>
          </cell>
          <cell r="G1125">
            <v>83.93</v>
          </cell>
          <cell r="H1125" t="str">
            <v>-</v>
          </cell>
        </row>
        <row r="1126">
          <cell r="A1126" t="str">
            <v>ET0002</v>
          </cell>
          <cell r="B1126" t="str">
            <v>COMPOSIÇÃO</v>
          </cell>
          <cell r="C1126" t="str">
            <v>AGESUL</v>
          </cell>
          <cell r="D1126" t="str">
            <v>Levantamento topográfico planialtimétrico semi-cadastral</v>
          </cell>
          <cell r="E1126">
            <v>0</v>
          </cell>
          <cell r="F1126" t="str">
            <v xml:space="preserve">ha </v>
          </cell>
          <cell r="G1126">
            <v>7854.16</v>
          </cell>
          <cell r="H1126" t="str">
            <v>-</v>
          </cell>
        </row>
        <row r="1127">
          <cell r="A1127" t="str">
            <v>PIU0001</v>
          </cell>
          <cell r="B1127" t="str">
            <v>COMPOSIÇÃO</v>
          </cell>
          <cell r="C1127" t="str">
            <v>AGESUL</v>
          </cell>
          <cell r="D1127" t="str">
            <v>Elaboração de projetos executivos geométrico, terraplenagem, pavimentação, drenagem superficial, galeria de água pluvial, sinalização viária e acessibilidade</v>
          </cell>
          <cell r="E1127" t="str">
            <v>ATENÇÃO                              Projeto com Drenagem</v>
          </cell>
          <cell r="F1127" t="str">
            <v>m²</v>
          </cell>
          <cell r="G1127">
            <v>3.38</v>
          </cell>
          <cell r="H1127" t="str">
            <v>-</v>
          </cell>
        </row>
        <row r="1128">
          <cell r="A1128" t="str">
            <v>PIU0006</v>
          </cell>
          <cell r="B1128" t="str">
            <v>COMPOSIÇÃO</v>
          </cell>
          <cell r="C1128" t="str">
            <v>AGESUL</v>
          </cell>
          <cell r="D1128" t="str">
            <v>Projeto executivo de terraplenagem, geométrico, pavimentação, sinalização viária e acessibilidade. Exclusive projeto de galeria de água pluvial</v>
          </cell>
          <cell r="E1128" t="str">
            <v>ATENÇÃO                              Projeto sem Drenagem</v>
          </cell>
          <cell r="F1128" t="str">
            <v>m²</v>
          </cell>
          <cell r="G1128">
            <v>2.61</v>
          </cell>
          <cell r="H1128" t="str">
            <v>-</v>
          </cell>
        </row>
        <row r="1129">
          <cell r="A1129" t="str">
            <v>PIU0004</v>
          </cell>
          <cell r="B1129" t="str">
            <v>COMPOSIÇÃO</v>
          </cell>
          <cell r="C1129" t="str">
            <v>AGESUL</v>
          </cell>
          <cell r="D1129" t="str">
            <v>Elaboração de projeto executivo de galerias de drenagem de águas pluviais. Exclusive serviços topográficos e geotécnicos</v>
          </cell>
          <cell r="E1129" t="str">
            <v>ATENÇÃO                                                trechos fora da pavimentação e em recapeamento</v>
          </cell>
          <cell r="F1129" t="str">
            <v>m</v>
          </cell>
          <cell r="G1129">
            <v>7.76</v>
          </cell>
          <cell r="H1129" t="str">
            <v>-</v>
          </cell>
        </row>
        <row r="1130">
          <cell r="A1130" t="str">
            <v>PIU0003</v>
          </cell>
          <cell r="B1130" t="str">
            <v>COMPOSIÇÃO</v>
          </cell>
          <cell r="C1130" t="str">
            <v>AGESUL</v>
          </cell>
          <cell r="D1130" t="str">
            <v>Elaboração de projetos executivo de interseção e adequação viária em até 3.000m² de área de intervenção. Incluindo projetos geométrico, terraplenagem, pavimentação, drenagem superficial e bueiros, sinalização viária e acessibilidade. Exclusive serviços topográficos e geotécnicos</v>
          </cell>
          <cell r="E1130">
            <v>0</v>
          </cell>
          <cell r="F1130" t="str">
            <v xml:space="preserve">un </v>
          </cell>
          <cell r="G1130">
            <v>38004.49</v>
          </cell>
          <cell r="H1130" t="str">
            <v>-</v>
          </cell>
        </row>
        <row r="1131">
          <cell r="A1131" t="str">
            <v>PIU0014</v>
          </cell>
          <cell r="B1131" t="str">
            <v>COMPOSIÇÃO</v>
          </cell>
          <cell r="C1131" t="str">
            <v>AGESUL</v>
          </cell>
          <cell r="D1131" t="str">
            <v>Elaboração projeto executivo de calçada em via urbana, incluindo estudos topográficos e acessibilidade</v>
          </cell>
          <cell r="E1131">
            <v>0</v>
          </cell>
          <cell r="F1131" t="str">
            <v>km</v>
          </cell>
          <cell r="G1131">
            <v>3279.22</v>
          </cell>
          <cell r="H1131" t="str">
            <v>-</v>
          </cell>
        </row>
        <row r="1132">
          <cell r="A1132" t="str">
            <v>PIU0015</v>
          </cell>
          <cell r="B1132" t="str">
            <v>COMPOSIÇÃO</v>
          </cell>
          <cell r="C1132" t="str">
            <v>AGESUL</v>
          </cell>
          <cell r="D1132" t="str">
            <v>Elaboração projeto executivo de ciclovia e ciclofaixa em via urbana, incluindo estudos topográficos e projeto de sinalização viária e acessibilidade</v>
          </cell>
          <cell r="E1132">
            <v>0</v>
          </cell>
          <cell r="F1132" t="str">
            <v>km</v>
          </cell>
          <cell r="G1132">
            <v>3697</v>
          </cell>
          <cell r="H1132" t="str">
            <v>-</v>
          </cell>
        </row>
        <row r="1133">
          <cell r="A1133" t="str">
            <v>PRIU003</v>
          </cell>
          <cell r="B1133" t="str">
            <v>COMPOSIÇÃO</v>
          </cell>
          <cell r="C1133" t="str">
            <v>AGESUL</v>
          </cell>
          <cell r="D1133" t="str">
            <v>Elaboração de estudo de avaliação estrutural do pavimento – viga benkelman e/ou Falling Weight Deflectometer - FWD. Extensão mínima 20 km</v>
          </cell>
          <cell r="E1133">
            <v>0</v>
          </cell>
          <cell r="F1133" t="str">
            <v>km.faixa</v>
          </cell>
          <cell r="G1133">
            <v>337.55</v>
          </cell>
          <cell r="H1133" t="str">
            <v>-</v>
          </cell>
        </row>
        <row r="1134">
          <cell r="A1134" t="str">
            <v>PRIU002</v>
          </cell>
          <cell r="B1134" t="str">
            <v>COMPOSIÇÃO</v>
          </cell>
          <cell r="C1134" t="str">
            <v>AGESUL</v>
          </cell>
          <cell r="D1134" t="str">
            <v>Elaboração projeto de restauração funcional do pavimento, incluindo estudos topográficos e geotécnicos, projetos drenagem superficial, sinalização viária e acessibilidade</v>
          </cell>
          <cell r="E1134">
            <v>0</v>
          </cell>
          <cell r="F1134" t="str">
            <v>m²</v>
          </cell>
          <cell r="G1134">
            <v>2.0699999999999998</v>
          </cell>
          <cell r="H1134" t="str">
            <v>-</v>
          </cell>
        </row>
        <row r="1135">
          <cell r="A1135" t="str">
            <v>PIP001</v>
          </cell>
          <cell r="B1135" t="str">
            <v>COMPOSIÇÃO</v>
          </cell>
          <cell r="C1135" t="str">
            <v>AGESUL</v>
          </cell>
          <cell r="D1135" t="str">
            <v>Elaboração projeto executivo de iluminação pública</v>
          </cell>
          <cell r="E1135">
            <v>0</v>
          </cell>
          <cell r="F1135" t="str">
            <v>km</v>
          </cell>
          <cell r="G1135">
            <v>3616.6</v>
          </cell>
          <cell r="H1135" t="str">
            <v>-</v>
          </cell>
        </row>
        <row r="1136">
          <cell r="A1136" t="str">
            <v>PEPC001</v>
          </cell>
          <cell r="B1136" t="str">
            <v>COMPOSIÇÃO</v>
          </cell>
          <cell r="C1136" t="str">
            <v>AGESUL</v>
          </cell>
          <cell r="D1136" t="str">
            <v>Elaboração de projeto estrutural de OAE (ponte) em concreto armado inclusive estudos hidrológico e projeto de acessibilidade e sinalização viária. Exclusive serviços topográficos e geotécnicos</v>
          </cell>
          <cell r="E1136">
            <v>0</v>
          </cell>
          <cell r="F1136" t="str">
            <v>m²</v>
          </cell>
          <cell r="G1136">
            <v>120.98</v>
          </cell>
          <cell r="H1136" t="str">
            <v>-</v>
          </cell>
        </row>
        <row r="1137">
          <cell r="A1137" t="str">
            <v>PIU0008</v>
          </cell>
          <cell r="B1137" t="str">
            <v>COMPOSIÇÃO</v>
          </cell>
          <cell r="C1137" t="str">
            <v>AGESUL</v>
          </cell>
          <cell r="D1137" t="str">
            <v>Elaboração de projeto executivo de controle de erosão, compreendendo concepção de obras estruturantes, terraplenagem, geometria e drenagem, incluindo serviços topográficos e geotécnicos (3 ensaios completos e 3 SPT). Exclusive levantamento aerofotogramétrico</v>
          </cell>
          <cell r="E1137">
            <v>0</v>
          </cell>
          <cell r="F1137" t="str">
            <v xml:space="preserve">ha </v>
          </cell>
          <cell r="G1137">
            <v>11483.07</v>
          </cell>
          <cell r="H1137" t="str">
            <v>-</v>
          </cell>
        </row>
        <row r="1138">
          <cell r="A1138" t="str">
            <v>PIU0011</v>
          </cell>
          <cell r="B1138" t="str">
            <v>COMPOSIÇÃO</v>
          </cell>
          <cell r="C1138" t="str">
            <v>AGESUL</v>
          </cell>
          <cell r="D1138" t="str">
            <v>Elaboração de projeto executivo de bacia de amortecimento de drenagem de águas pluviais. Exclusive serviços topográficos e geotécnicos e projeto estrutural de contenção de talude</v>
          </cell>
          <cell r="E1138">
            <v>0</v>
          </cell>
          <cell r="F1138" t="str">
            <v>m³</v>
          </cell>
          <cell r="G1138">
            <v>2.21</v>
          </cell>
          <cell r="H1138" t="str">
            <v>-</v>
          </cell>
        </row>
        <row r="1139">
          <cell r="A1139" t="str">
            <v>PIU0005</v>
          </cell>
          <cell r="B1139" t="str">
            <v>COMPOSIÇÃO</v>
          </cell>
          <cell r="C1139" t="str">
            <v>AGESUL</v>
          </cell>
          <cell r="D1139" t="str">
            <v>Elaboração de projeto executivo estrutural e hidráulico de dispositivos de controle de velocidade e vazão de águas pluviais em concreto ou similar, até 50 m³</v>
          </cell>
          <cell r="E1139">
            <v>0</v>
          </cell>
          <cell r="F1139" t="str">
            <v>m³</v>
          </cell>
          <cell r="G1139">
            <v>190.15</v>
          </cell>
          <cell r="H1139" t="str">
            <v>-</v>
          </cell>
        </row>
        <row r="1140">
          <cell r="A1140" t="str">
            <v>PIU0009</v>
          </cell>
          <cell r="B1140" t="str">
            <v>COMPOSIÇÃO</v>
          </cell>
          <cell r="C1140" t="str">
            <v>AGESUL</v>
          </cell>
          <cell r="D1140" t="str">
            <v>Elaboração de projeto estrutural de estabilização de taludes através de muro de arrimo de peso e/ou gabião. Exclusive serviços topográficos e geotécnicos</v>
          </cell>
          <cell r="E1140">
            <v>0</v>
          </cell>
          <cell r="F1140" t="str">
            <v>m²</v>
          </cell>
          <cell r="G1140">
            <v>12.28</v>
          </cell>
          <cell r="H1140" t="str">
            <v>-</v>
          </cell>
        </row>
        <row r="1141">
          <cell r="A1141" t="str">
            <v>PIU0010</v>
          </cell>
          <cell r="B1141" t="str">
            <v>COMPOSIÇÃO</v>
          </cell>
          <cell r="C1141" t="str">
            <v>AGESUL</v>
          </cell>
          <cell r="D1141" t="str">
            <v>Elaboração de projeto estrutural de estabilização de taludes através de muro em concreto armado e/ou cortina atirantada. Exclusive serviços topográficos e geotécnicos</v>
          </cell>
          <cell r="E1141">
            <v>0</v>
          </cell>
          <cell r="F1141" t="str">
            <v>m²</v>
          </cell>
          <cell r="G1141">
            <v>39.31</v>
          </cell>
          <cell r="H1141" t="str">
            <v>-</v>
          </cell>
        </row>
        <row r="1142">
          <cell r="A1142" t="str">
            <v>PIU0013</v>
          </cell>
          <cell r="B1142" t="str">
            <v>COMPOSIÇÃO</v>
          </cell>
          <cell r="C1142" t="str">
            <v>AGESUL</v>
          </cell>
          <cell r="D1142" t="str">
            <v>Elaboração de estudos e projetos executivo de adequação de capacidade hidráulica e estrutural de bueiro rodoviário. Exclusive serviços topográficos e geotécnicos</v>
          </cell>
          <cell r="E1142">
            <v>0</v>
          </cell>
          <cell r="F1142" t="str">
            <v xml:space="preserve">un </v>
          </cell>
          <cell r="G1142">
            <v>6637.32</v>
          </cell>
          <cell r="H1142" t="str">
            <v>-</v>
          </cell>
        </row>
        <row r="1143">
          <cell r="A1143" t="str">
            <v>ORINF</v>
          </cell>
          <cell r="B1143" t="str">
            <v>COMPOSIÇÃO</v>
          </cell>
          <cell r="C1143" t="str">
            <v>AGESUL</v>
          </cell>
          <cell r="D1143" t="str">
            <v>Orçamento de obras, cronograma, composições, cotações e plano de execução das obras</v>
          </cell>
          <cell r="E1143">
            <v>0</v>
          </cell>
          <cell r="F1143" t="str">
            <v>km</v>
          </cell>
          <cell r="G1143">
            <v>1292.8900000000001</v>
          </cell>
          <cell r="H1143" t="str">
            <v>-</v>
          </cell>
        </row>
        <row r="1144">
          <cell r="A1144" t="str">
            <v>LI-AMB</v>
          </cell>
          <cell r="B1144" t="str">
            <v>COMPOSIÇÃO</v>
          </cell>
          <cell r="C1144" t="str">
            <v>AGESUL</v>
          </cell>
          <cell r="D1144" t="str">
            <v>Licenciamento Ambiental para projeto de lançamento de drenagem de águas pluviais</v>
          </cell>
          <cell r="E1144">
            <v>0</v>
          </cell>
          <cell r="F1144" t="str">
            <v xml:space="preserve">un </v>
          </cell>
          <cell r="G1144">
            <v>26144.77</v>
          </cell>
          <cell r="H1144" t="str">
            <v>-</v>
          </cell>
        </row>
        <row r="1145">
          <cell r="A1145" t="str">
            <v>PIU0007</v>
          </cell>
          <cell r="B1145" t="str">
            <v>COMPOSIÇÃO</v>
          </cell>
          <cell r="C1145" t="str">
            <v>AGESUL</v>
          </cell>
          <cell r="D1145" t="str">
            <v>Elaboração de projeto executivo de combate e controle de erosão, compreendendo terraplenagem, geometria e drenagem. Exclusive projeto estrutural</v>
          </cell>
          <cell r="E1145">
            <v>0</v>
          </cell>
          <cell r="F1145" t="str">
            <v>m</v>
          </cell>
          <cell r="G1145" t="str">
            <v>descontinuada</v>
          </cell>
          <cell r="H1145" t="str">
            <v>-</v>
          </cell>
        </row>
        <row r="1146">
          <cell r="A1146" t="str">
            <v>PIU0012</v>
          </cell>
          <cell r="B1146" t="str">
            <v>COMPOSIÇÃO</v>
          </cell>
          <cell r="C1146" t="str">
            <v>AGESUL</v>
          </cell>
          <cell r="D1146" t="str">
            <v>Elaboração de projeto básico de controle de erosão, compreendendo concepção de obras estruturantes, terraplenagem, geometria e drenagem. Exclusive projeto estrutural</v>
          </cell>
          <cell r="E1146">
            <v>0</v>
          </cell>
          <cell r="F1146" t="str">
            <v>m</v>
          </cell>
          <cell r="G1146" t="str">
            <v>descontinuada</v>
          </cell>
          <cell r="H1146" t="str">
            <v>-</v>
          </cell>
        </row>
        <row r="1147">
          <cell r="A1147" t="str">
            <v>PIU0002</v>
          </cell>
          <cell r="B1147" t="str">
            <v>COMPOSIÇÃO</v>
          </cell>
          <cell r="C1147" t="str">
            <v>AGESUL</v>
          </cell>
          <cell r="D1147" t="str">
            <v>Elaboração de projeto executivo de drenagem em área de inundação</v>
          </cell>
          <cell r="E1147">
            <v>0</v>
          </cell>
          <cell r="F1147" t="str">
            <v>ha</v>
          </cell>
          <cell r="G1147" t="str">
            <v>descontinuada</v>
          </cell>
          <cell r="H1147" t="str">
            <v>-</v>
          </cell>
        </row>
        <row r="1163">
          <cell r="D1163"/>
          <cell r="E1163"/>
          <cell r="F1163"/>
          <cell r="G1163"/>
        </row>
        <row r="1164">
          <cell r="D1164"/>
          <cell r="E1164"/>
          <cell r="F1164"/>
          <cell r="G1164"/>
        </row>
        <row r="1165">
          <cell r="D1165"/>
          <cell r="E1165"/>
          <cell r="F1165"/>
          <cell r="G1165"/>
        </row>
        <row r="1166">
          <cell r="D1166"/>
          <cell r="E1166"/>
          <cell r="F1166"/>
          <cell r="G1166"/>
        </row>
        <row r="1167">
          <cell r="D1167"/>
          <cell r="E1167"/>
          <cell r="F1167"/>
          <cell r="G1167"/>
        </row>
        <row r="1168">
          <cell r="D1168"/>
          <cell r="E1168"/>
          <cell r="F1168"/>
          <cell r="G1168"/>
        </row>
        <row r="1169">
          <cell r="D1169"/>
          <cell r="E1169"/>
          <cell r="F1169"/>
          <cell r="G1169"/>
        </row>
        <row r="1170">
          <cell r="D1170"/>
          <cell r="E1170"/>
          <cell r="F1170"/>
          <cell r="G1170"/>
        </row>
        <row r="1171">
          <cell r="D1171"/>
          <cell r="E1171"/>
          <cell r="F1171"/>
          <cell r="G1171"/>
        </row>
        <row r="1172">
          <cell r="D1172"/>
          <cell r="E1172"/>
          <cell r="F1172"/>
          <cell r="G1172"/>
        </row>
        <row r="1173">
          <cell r="D1173"/>
          <cell r="E1173"/>
          <cell r="F1173"/>
          <cell r="G1173"/>
        </row>
        <row r="1174">
          <cell r="D1174"/>
          <cell r="E1174"/>
          <cell r="F1174"/>
          <cell r="G1174"/>
        </row>
        <row r="1175">
          <cell r="D1175"/>
          <cell r="E1175"/>
          <cell r="F1175"/>
          <cell r="G1175"/>
        </row>
        <row r="1176">
          <cell r="D1176"/>
          <cell r="E1176"/>
          <cell r="F1176"/>
          <cell r="G1176"/>
        </row>
        <row r="1177">
          <cell r="D1177"/>
          <cell r="E1177"/>
          <cell r="F1177"/>
          <cell r="G1177"/>
        </row>
        <row r="1178">
          <cell r="D1178"/>
          <cell r="E1178"/>
          <cell r="F1178"/>
          <cell r="G1178"/>
        </row>
        <row r="1179">
          <cell r="D1179"/>
          <cell r="E1179"/>
          <cell r="F1179"/>
          <cell r="G1179"/>
        </row>
        <row r="1180">
          <cell r="D1180"/>
          <cell r="E1180"/>
          <cell r="F1180"/>
          <cell r="G1180"/>
        </row>
        <row r="1181">
          <cell r="D1181"/>
          <cell r="E1181"/>
          <cell r="F1181"/>
          <cell r="G1181"/>
        </row>
        <row r="1182">
          <cell r="D1182"/>
          <cell r="E1182"/>
          <cell r="F1182"/>
          <cell r="G1182"/>
        </row>
        <row r="1183">
          <cell r="D1183"/>
          <cell r="E1183"/>
          <cell r="F1183"/>
          <cell r="G1183"/>
        </row>
        <row r="1184">
          <cell r="D1184"/>
          <cell r="E1184"/>
          <cell r="F1184"/>
          <cell r="G1184"/>
        </row>
        <row r="1185">
          <cell r="D1185"/>
          <cell r="E1185"/>
          <cell r="F1185"/>
          <cell r="G1185"/>
        </row>
        <row r="1186">
          <cell r="D1186"/>
          <cell r="E1186"/>
          <cell r="F1186"/>
          <cell r="G1186"/>
        </row>
        <row r="1187">
          <cell r="D1187"/>
          <cell r="E1187"/>
          <cell r="F1187"/>
          <cell r="G1187"/>
        </row>
        <row r="1188">
          <cell r="D1188"/>
          <cell r="E1188"/>
          <cell r="F1188"/>
          <cell r="G1188"/>
        </row>
        <row r="1189">
          <cell r="D1189"/>
          <cell r="E1189"/>
          <cell r="F1189"/>
          <cell r="G1189"/>
        </row>
        <row r="1190">
          <cell r="D1190"/>
          <cell r="E1190"/>
          <cell r="F1190"/>
          <cell r="G1190"/>
        </row>
        <row r="1191">
          <cell r="D1191"/>
          <cell r="E1191"/>
          <cell r="F1191"/>
          <cell r="G1191"/>
        </row>
        <row r="1192">
          <cell r="D1192"/>
          <cell r="E1192"/>
          <cell r="F1192"/>
          <cell r="G1192"/>
        </row>
        <row r="1193">
          <cell r="D1193"/>
          <cell r="E1193"/>
          <cell r="F1193"/>
          <cell r="G1193"/>
        </row>
        <row r="1194">
          <cell r="D1194"/>
          <cell r="E1194"/>
          <cell r="F1194"/>
          <cell r="G1194"/>
        </row>
        <row r="1195">
          <cell r="D1195"/>
          <cell r="E1195"/>
          <cell r="F1195"/>
          <cell r="G1195"/>
        </row>
        <row r="1196">
          <cell r="D1196"/>
          <cell r="E1196"/>
          <cell r="F1196"/>
          <cell r="G1196"/>
        </row>
        <row r="1197">
          <cell r="D1197"/>
          <cell r="E1197"/>
          <cell r="F1197"/>
          <cell r="G1197"/>
        </row>
        <row r="1198">
          <cell r="D1198"/>
          <cell r="E1198"/>
          <cell r="F1198"/>
          <cell r="G1198"/>
        </row>
        <row r="1199">
          <cell r="D1199"/>
          <cell r="E1199"/>
          <cell r="F1199"/>
          <cell r="G1199"/>
        </row>
        <row r="1200">
          <cell r="D1200"/>
          <cell r="E1200"/>
          <cell r="F1200"/>
          <cell r="G1200"/>
        </row>
        <row r="1201">
          <cell r="D1201"/>
          <cell r="E1201"/>
          <cell r="F1201"/>
          <cell r="G1201"/>
        </row>
        <row r="1202">
          <cell r="D1202"/>
          <cell r="E1202"/>
          <cell r="F1202"/>
          <cell r="G1202"/>
        </row>
        <row r="1203">
          <cell r="D1203"/>
          <cell r="E1203"/>
          <cell r="F1203"/>
          <cell r="G1203"/>
        </row>
        <row r="1204">
          <cell r="D1204"/>
          <cell r="E1204"/>
          <cell r="F1204"/>
          <cell r="G1204"/>
        </row>
        <row r="1205">
          <cell r="D1205"/>
          <cell r="E1205"/>
          <cell r="F1205"/>
          <cell r="G1205"/>
        </row>
        <row r="1206">
          <cell r="D1206"/>
          <cell r="E1206"/>
          <cell r="F1206"/>
          <cell r="G1206"/>
        </row>
        <row r="1207">
          <cell r="D1207"/>
          <cell r="E1207"/>
          <cell r="F1207"/>
          <cell r="G1207"/>
        </row>
        <row r="1208">
          <cell r="D1208"/>
          <cell r="E1208"/>
          <cell r="F1208"/>
          <cell r="G1208"/>
        </row>
        <row r="1209">
          <cell r="D1209"/>
          <cell r="E1209"/>
          <cell r="F1209"/>
          <cell r="G1209"/>
        </row>
        <row r="1210">
          <cell r="D1210"/>
          <cell r="E1210"/>
          <cell r="F1210"/>
          <cell r="G1210"/>
        </row>
        <row r="1211">
          <cell r="D1211"/>
          <cell r="E1211"/>
          <cell r="F1211"/>
          <cell r="G1211"/>
        </row>
        <row r="1212">
          <cell r="D1212"/>
          <cell r="E1212"/>
          <cell r="F1212"/>
          <cell r="G1212"/>
        </row>
        <row r="1213">
          <cell r="D1213"/>
          <cell r="E1213"/>
          <cell r="F1213"/>
          <cell r="G1213"/>
        </row>
        <row r="1214">
          <cell r="D1214"/>
          <cell r="E1214"/>
          <cell r="F1214"/>
          <cell r="G1214"/>
        </row>
        <row r="1215">
          <cell r="D1215"/>
          <cell r="E1215"/>
          <cell r="F1215"/>
          <cell r="G1215"/>
        </row>
        <row r="1216">
          <cell r="D1216"/>
          <cell r="E1216"/>
          <cell r="F1216"/>
          <cell r="G1216"/>
        </row>
        <row r="1217">
          <cell r="D1217"/>
          <cell r="E1217"/>
          <cell r="F1217"/>
          <cell r="G1217"/>
        </row>
        <row r="1218">
          <cell r="D1218"/>
          <cell r="E1218"/>
          <cell r="F1218"/>
          <cell r="G1218"/>
        </row>
        <row r="1219">
          <cell r="D1219"/>
          <cell r="E1219"/>
          <cell r="F1219"/>
          <cell r="G1219"/>
        </row>
        <row r="1220">
          <cell r="D1220"/>
          <cell r="E1220"/>
          <cell r="F1220"/>
          <cell r="G1220"/>
        </row>
        <row r="1221">
          <cell r="D1221"/>
          <cell r="E1221"/>
          <cell r="F1221"/>
          <cell r="G1221"/>
        </row>
        <row r="1222">
          <cell r="D1222"/>
          <cell r="E1222"/>
          <cell r="F1222"/>
          <cell r="G1222"/>
        </row>
        <row r="1223">
          <cell r="D1223"/>
          <cell r="E1223"/>
          <cell r="F1223"/>
          <cell r="G1223"/>
        </row>
        <row r="1224">
          <cell r="D1224"/>
          <cell r="E1224"/>
          <cell r="F1224"/>
          <cell r="G1224"/>
        </row>
        <row r="1225">
          <cell r="D1225"/>
          <cell r="E1225"/>
          <cell r="F1225"/>
          <cell r="G1225"/>
        </row>
        <row r="1226">
          <cell r="D1226"/>
          <cell r="E1226"/>
          <cell r="F1226"/>
          <cell r="G1226"/>
        </row>
        <row r="1227">
          <cell r="D1227"/>
          <cell r="E1227"/>
          <cell r="F1227"/>
          <cell r="G1227"/>
        </row>
        <row r="1228">
          <cell r="D1228"/>
          <cell r="E1228"/>
          <cell r="F1228"/>
          <cell r="G1228"/>
        </row>
        <row r="1229">
          <cell r="D1229"/>
          <cell r="E1229"/>
          <cell r="F1229"/>
          <cell r="G1229"/>
        </row>
        <row r="1230">
          <cell r="D1230"/>
          <cell r="E1230"/>
          <cell r="F1230"/>
          <cell r="G1230"/>
        </row>
        <row r="1231">
          <cell r="D1231"/>
          <cell r="E1231"/>
          <cell r="F1231"/>
          <cell r="G1231"/>
        </row>
        <row r="1232">
          <cell r="D1232"/>
          <cell r="E1232"/>
          <cell r="F1232"/>
          <cell r="G1232"/>
        </row>
        <row r="1233">
          <cell r="D1233"/>
          <cell r="E1233"/>
          <cell r="F1233"/>
          <cell r="G1233"/>
        </row>
        <row r="1234">
          <cell r="D1234"/>
          <cell r="E1234"/>
          <cell r="F1234"/>
          <cell r="G1234"/>
        </row>
        <row r="1235">
          <cell r="D1235"/>
          <cell r="E1235"/>
          <cell r="F1235"/>
          <cell r="G1235"/>
        </row>
        <row r="1236">
          <cell r="D1236"/>
          <cell r="E1236"/>
          <cell r="F1236"/>
          <cell r="G1236"/>
        </row>
        <row r="1237">
          <cell r="D1237"/>
          <cell r="E1237"/>
          <cell r="F1237"/>
          <cell r="G1237"/>
        </row>
        <row r="1238">
          <cell r="D1238"/>
          <cell r="E1238"/>
          <cell r="F1238"/>
          <cell r="G1238"/>
        </row>
        <row r="1239">
          <cell r="D1239"/>
          <cell r="E1239"/>
          <cell r="F1239"/>
          <cell r="G1239"/>
        </row>
        <row r="1240">
          <cell r="D1240"/>
          <cell r="E1240"/>
          <cell r="F1240"/>
          <cell r="G1240"/>
        </row>
        <row r="1241">
          <cell r="D1241"/>
          <cell r="E1241"/>
          <cell r="F1241"/>
          <cell r="G1241"/>
        </row>
        <row r="1242">
          <cell r="D1242"/>
          <cell r="E1242"/>
          <cell r="F1242"/>
          <cell r="G1242"/>
        </row>
        <row r="1243">
          <cell r="D1243"/>
          <cell r="E1243"/>
          <cell r="F1243"/>
          <cell r="G1243"/>
        </row>
        <row r="1244">
          <cell r="D1244"/>
          <cell r="E1244"/>
          <cell r="F1244"/>
          <cell r="G1244"/>
        </row>
        <row r="1245">
          <cell r="D1245"/>
          <cell r="E1245"/>
          <cell r="F1245"/>
          <cell r="G1245"/>
        </row>
        <row r="1246">
          <cell r="D1246"/>
          <cell r="E1246"/>
          <cell r="F1246"/>
          <cell r="G1246"/>
        </row>
        <row r="1247">
          <cell r="D1247"/>
          <cell r="E1247"/>
          <cell r="F1247"/>
          <cell r="G1247"/>
        </row>
        <row r="1248">
          <cell r="D1248"/>
          <cell r="E1248"/>
          <cell r="F1248"/>
          <cell r="G1248"/>
        </row>
        <row r="1249">
          <cell r="D1249"/>
          <cell r="E1249"/>
          <cell r="F1249"/>
          <cell r="G1249"/>
        </row>
        <row r="1250">
          <cell r="D1250"/>
          <cell r="E1250"/>
          <cell r="F1250"/>
          <cell r="G1250"/>
        </row>
        <row r="1251">
          <cell r="D1251"/>
          <cell r="E1251"/>
          <cell r="F1251"/>
          <cell r="G1251"/>
        </row>
        <row r="1252">
          <cell r="D1252"/>
          <cell r="E1252"/>
          <cell r="F1252"/>
          <cell r="G1252"/>
        </row>
        <row r="1253">
          <cell r="D1253"/>
          <cell r="E1253"/>
          <cell r="F1253"/>
          <cell r="G1253"/>
        </row>
        <row r="1254">
          <cell r="D1254"/>
          <cell r="E1254"/>
          <cell r="F1254"/>
          <cell r="G1254"/>
        </row>
        <row r="1255">
          <cell r="D1255"/>
          <cell r="E1255"/>
          <cell r="F1255"/>
          <cell r="G1255"/>
        </row>
        <row r="1256">
          <cell r="D1256"/>
          <cell r="E1256"/>
          <cell r="F1256"/>
          <cell r="G1256"/>
        </row>
        <row r="1257">
          <cell r="D1257"/>
          <cell r="E1257"/>
          <cell r="F1257"/>
          <cell r="G1257"/>
        </row>
        <row r="1258">
          <cell r="D1258"/>
          <cell r="E1258"/>
          <cell r="F1258"/>
          <cell r="G1258"/>
        </row>
        <row r="1259">
          <cell r="D1259"/>
          <cell r="E1259"/>
          <cell r="F1259"/>
          <cell r="G1259"/>
        </row>
        <row r="1260">
          <cell r="D1260"/>
          <cell r="E1260"/>
          <cell r="F1260"/>
          <cell r="G1260"/>
        </row>
        <row r="1261">
          <cell r="D1261"/>
          <cell r="E1261"/>
          <cell r="F1261"/>
          <cell r="G1261"/>
        </row>
        <row r="1262">
          <cell r="D1262"/>
          <cell r="E1262"/>
          <cell r="F1262"/>
          <cell r="G1262"/>
        </row>
        <row r="1263">
          <cell r="D1263"/>
          <cell r="E1263"/>
          <cell r="F1263"/>
          <cell r="G1263"/>
        </row>
        <row r="1264">
          <cell r="D1264"/>
          <cell r="E1264"/>
          <cell r="F1264"/>
          <cell r="G1264"/>
        </row>
        <row r="1265">
          <cell r="D1265"/>
          <cell r="E1265"/>
          <cell r="F1265"/>
          <cell r="G1265"/>
        </row>
        <row r="1266">
          <cell r="D1266"/>
          <cell r="E1266"/>
          <cell r="F1266"/>
          <cell r="G1266"/>
        </row>
        <row r="1267">
          <cell r="D1267"/>
          <cell r="E1267"/>
          <cell r="F1267"/>
          <cell r="G1267"/>
        </row>
        <row r="1268">
          <cell r="D1268"/>
          <cell r="E1268"/>
          <cell r="F1268"/>
          <cell r="G1268"/>
        </row>
        <row r="1269">
          <cell r="D1269"/>
          <cell r="E1269"/>
          <cell r="F1269"/>
          <cell r="G1269"/>
        </row>
        <row r="1270">
          <cell r="D1270"/>
          <cell r="E1270"/>
          <cell r="F1270"/>
          <cell r="G1270"/>
        </row>
        <row r="1271">
          <cell r="D1271"/>
          <cell r="E1271"/>
          <cell r="F1271"/>
          <cell r="G1271"/>
        </row>
        <row r="1272">
          <cell r="D1272"/>
          <cell r="E1272"/>
          <cell r="F1272"/>
          <cell r="G1272"/>
        </row>
        <row r="1273">
          <cell r="D1273"/>
          <cell r="E1273"/>
          <cell r="F1273"/>
          <cell r="G1273"/>
        </row>
        <row r="1274">
          <cell r="D1274"/>
          <cell r="E1274"/>
          <cell r="F1274"/>
          <cell r="G1274"/>
        </row>
        <row r="1275">
          <cell r="D1275"/>
          <cell r="E1275"/>
          <cell r="F1275"/>
          <cell r="G1275"/>
        </row>
        <row r="1276">
          <cell r="D1276"/>
          <cell r="E1276"/>
          <cell r="F1276"/>
          <cell r="G1276"/>
        </row>
        <row r="1277">
          <cell r="D1277"/>
          <cell r="E1277"/>
          <cell r="F1277"/>
          <cell r="G1277"/>
        </row>
        <row r="1278">
          <cell r="D1278"/>
          <cell r="E1278"/>
          <cell r="F1278"/>
          <cell r="G1278"/>
        </row>
        <row r="1279">
          <cell r="D1279"/>
          <cell r="E1279"/>
          <cell r="F1279"/>
          <cell r="G1279"/>
        </row>
        <row r="1280">
          <cell r="D1280"/>
          <cell r="E1280"/>
          <cell r="F1280"/>
          <cell r="G1280"/>
        </row>
        <row r="1281">
          <cell r="D1281"/>
          <cell r="E1281"/>
          <cell r="F1281"/>
          <cell r="G1281"/>
        </row>
        <row r="1282">
          <cell r="D1282"/>
          <cell r="E1282"/>
          <cell r="F1282"/>
          <cell r="G1282"/>
        </row>
        <row r="1283">
          <cell r="D1283"/>
          <cell r="E1283"/>
          <cell r="F1283"/>
          <cell r="G1283"/>
        </row>
        <row r="1284">
          <cell r="D1284"/>
          <cell r="E1284"/>
          <cell r="F1284"/>
          <cell r="G1284"/>
        </row>
        <row r="1285">
          <cell r="D1285"/>
          <cell r="E1285"/>
          <cell r="F1285"/>
          <cell r="G1285"/>
        </row>
        <row r="1286">
          <cell r="D1286"/>
          <cell r="E1286"/>
          <cell r="F1286"/>
          <cell r="G1286"/>
        </row>
        <row r="1287">
          <cell r="D1287"/>
          <cell r="E1287"/>
          <cell r="F1287"/>
          <cell r="G1287"/>
        </row>
        <row r="1288">
          <cell r="D1288"/>
          <cell r="E1288"/>
          <cell r="F1288"/>
          <cell r="G1288"/>
        </row>
        <row r="1289">
          <cell r="D1289"/>
          <cell r="E1289"/>
          <cell r="F1289"/>
          <cell r="G1289"/>
        </row>
        <row r="1290">
          <cell r="D1290"/>
          <cell r="E1290"/>
          <cell r="F1290"/>
          <cell r="G1290"/>
        </row>
        <row r="1291">
          <cell r="D1291"/>
          <cell r="E1291"/>
          <cell r="F1291"/>
          <cell r="G1291"/>
        </row>
        <row r="1292">
          <cell r="D1292"/>
          <cell r="E1292"/>
          <cell r="F1292"/>
          <cell r="G1292"/>
        </row>
        <row r="1293">
          <cell r="D1293"/>
          <cell r="E1293"/>
          <cell r="F1293"/>
          <cell r="G1293"/>
        </row>
        <row r="1294">
          <cell r="D1294"/>
          <cell r="E1294"/>
          <cell r="F1294"/>
          <cell r="G1294"/>
        </row>
        <row r="1295">
          <cell r="D1295"/>
          <cell r="E1295"/>
          <cell r="F1295"/>
          <cell r="G1295"/>
        </row>
        <row r="1296">
          <cell r="D1296"/>
          <cell r="E1296"/>
          <cell r="F1296"/>
          <cell r="G1296"/>
        </row>
        <row r="1297">
          <cell r="D1297"/>
          <cell r="E1297"/>
          <cell r="F1297"/>
          <cell r="G1297"/>
        </row>
        <row r="1298">
          <cell r="D1298"/>
          <cell r="E1298"/>
          <cell r="F1298"/>
          <cell r="G1298"/>
        </row>
        <row r="1299">
          <cell r="D1299"/>
          <cell r="E1299"/>
          <cell r="F1299"/>
          <cell r="G1299"/>
        </row>
        <row r="1300">
          <cell r="D1300"/>
          <cell r="E1300"/>
          <cell r="F1300"/>
          <cell r="G1300"/>
        </row>
        <row r="1301">
          <cell r="D1301"/>
          <cell r="E1301"/>
          <cell r="F1301"/>
          <cell r="G1301"/>
        </row>
        <row r="1302">
          <cell r="D1302"/>
          <cell r="E1302"/>
          <cell r="F1302"/>
          <cell r="G1302"/>
        </row>
        <row r="1303">
          <cell r="D1303"/>
          <cell r="E1303"/>
          <cell r="F1303"/>
          <cell r="G1303"/>
        </row>
        <row r="1304">
          <cell r="D1304"/>
          <cell r="E1304"/>
          <cell r="F1304"/>
          <cell r="G1304"/>
        </row>
        <row r="1305">
          <cell r="D1305"/>
          <cell r="E1305"/>
          <cell r="F1305"/>
          <cell r="G1305"/>
        </row>
        <row r="1306">
          <cell r="D1306"/>
          <cell r="E1306"/>
          <cell r="F1306"/>
          <cell r="G1306"/>
        </row>
        <row r="1307">
          <cell r="D1307"/>
          <cell r="E1307"/>
          <cell r="F1307"/>
          <cell r="G1307"/>
        </row>
        <row r="1308">
          <cell r="D1308"/>
          <cell r="E1308"/>
          <cell r="F1308"/>
          <cell r="G1308"/>
        </row>
        <row r="1309">
          <cell r="D1309"/>
          <cell r="E1309"/>
          <cell r="F1309"/>
          <cell r="G1309"/>
        </row>
        <row r="1310">
          <cell r="D1310"/>
          <cell r="E1310"/>
          <cell r="F1310"/>
          <cell r="G1310"/>
        </row>
        <row r="1311">
          <cell r="D1311"/>
          <cell r="E1311"/>
          <cell r="F1311"/>
          <cell r="G1311"/>
        </row>
        <row r="1312">
          <cell r="D1312"/>
          <cell r="E1312"/>
          <cell r="F1312"/>
          <cell r="G1312"/>
        </row>
        <row r="1313">
          <cell r="D1313"/>
          <cell r="E1313"/>
          <cell r="F1313"/>
          <cell r="G1313"/>
        </row>
        <row r="1314">
          <cell r="D1314"/>
          <cell r="E1314"/>
          <cell r="F1314"/>
          <cell r="G1314"/>
        </row>
        <row r="1315">
          <cell r="D1315"/>
          <cell r="E1315"/>
          <cell r="F1315"/>
          <cell r="G1315"/>
        </row>
        <row r="1316">
          <cell r="D1316"/>
          <cell r="E1316"/>
          <cell r="F1316"/>
          <cell r="G1316"/>
        </row>
        <row r="1317">
          <cell r="D1317"/>
          <cell r="E1317"/>
          <cell r="F1317"/>
          <cell r="G1317"/>
        </row>
        <row r="1318">
          <cell r="D1318"/>
          <cell r="E1318"/>
          <cell r="F1318"/>
          <cell r="G1318"/>
        </row>
        <row r="1319">
          <cell r="D1319"/>
          <cell r="E1319"/>
          <cell r="F1319"/>
          <cell r="G1319"/>
        </row>
        <row r="1320">
          <cell r="D1320"/>
          <cell r="E1320"/>
          <cell r="F1320"/>
          <cell r="G1320"/>
        </row>
        <row r="1321">
          <cell r="D1321"/>
          <cell r="E1321"/>
          <cell r="F1321"/>
          <cell r="G1321"/>
        </row>
        <row r="1322">
          <cell r="D1322"/>
          <cell r="E1322"/>
          <cell r="F1322"/>
          <cell r="G1322"/>
        </row>
        <row r="1323">
          <cell r="D1323"/>
          <cell r="E1323"/>
          <cell r="F1323"/>
          <cell r="G1323"/>
        </row>
        <row r="1324">
          <cell r="D1324"/>
          <cell r="E1324"/>
          <cell r="F1324"/>
          <cell r="G1324"/>
        </row>
        <row r="1325">
          <cell r="D1325"/>
          <cell r="E1325"/>
          <cell r="F1325"/>
          <cell r="G1325"/>
        </row>
        <row r="1326">
          <cell r="D1326"/>
          <cell r="E1326"/>
          <cell r="F1326"/>
          <cell r="G1326"/>
        </row>
        <row r="1327">
          <cell r="D1327"/>
          <cell r="E1327"/>
          <cell r="F1327"/>
          <cell r="G1327"/>
        </row>
        <row r="1328">
          <cell r="D1328"/>
          <cell r="E1328"/>
          <cell r="F1328"/>
          <cell r="G1328"/>
        </row>
        <row r="1329">
          <cell r="D1329"/>
          <cell r="E1329"/>
          <cell r="F1329"/>
          <cell r="G1329"/>
        </row>
        <row r="1330">
          <cell r="D1330"/>
          <cell r="E1330"/>
          <cell r="F1330"/>
          <cell r="G1330"/>
        </row>
        <row r="1331">
          <cell r="D1331"/>
          <cell r="E1331"/>
          <cell r="F1331"/>
          <cell r="G1331"/>
        </row>
        <row r="1332">
          <cell r="D1332"/>
          <cell r="E1332"/>
          <cell r="F1332"/>
          <cell r="G1332"/>
        </row>
        <row r="1333">
          <cell r="D1333"/>
          <cell r="E1333"/>
          <cell r="F1333"/>
          <cell r="G1333"/>
        </row>
        <row r="1334">
          <cell r="D1334"/>
          <cell r="E1334"/>
          <cell r="F1334"/>
          <cell r="G1334"/>
        </row>
        <row r="1335">
          <cell r="D1335"/>
          <cell r="E1335"/>
          <cell r="F1335"/>
          <cell r="G1335"/>
        </row>
        <row r="1336">
          <cell r="D1336"/>
          <cell r="E1336"/>
          <cell r="F1336"/>
          <cell r="G1336"/>
        </row>
        <row r="1337">
          <cell r="D1337"/>
          <cell r="E1337"/>
          <cell r="F1337"/>
          <cell r="G1337"/>
        </row>
      </sheetData>
      <sheetData sheetId="1"/>
      <sheetData sheetId="2"/>
      <sheetData sheetId="3"/>
      <sheetData sheetId="4">
        <row r="1">
          <cell r="C1" t="str">
            <v>PCI.817.01 - CUSTO DE COMPOSIÇÕES - SINTÉTICO                                               DATA DE EMISSÃO: 14/09/2023 23:37:25            DATA DE RT: 14/09/2023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RITA SILVA" id="{98EDF642-4B36-4D24-AA47-5833063B2A3E}" userId="RITA SILVA" providerId="None"/>
</personList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aulo Roberto Machado da Silva" refreshedDate="45531.744001157407" createdVersion="8" refreshedVersion="8" minRefreshableVersion="3" recordCount="107">
  <cacheSource type="worksheet">
    <worksheetSource ref="A1:F108" sheet="Orçamento auxliar"/>
  </cacheSource>
  <cacheFields count="6">
    <cacheField name="CÓDIGO" numFmtId="0">
      <sharedItems containsMixedTypes="1" containsNumber="1" containsInteger="1" minValue="4748" maxValue="104736" count="90">
        <s v="SP/0001"/>
        <n v="10775"/>
        <n v="10776"/>
        <n v="10777"/>
        <n v="93585"/>
        <s v="SP/0005"/>
        <n v="98525"/>
        <s v="SC/0068"/>
        <s v="SC/0110"/>
        <s v="SC/0120"/>
        <s v="SP/0020"/>
        <s v="SP/0025"/>
        <s v="SP/0030"/>
        <n v="13244"/>
        <s v="SP/0050"/>
        <s v="SP/0060"/>
        <n v="100575"/>
        <n v="100979"/>
        <n v="95876"/>
        <s v="SR/0020"/>
        <n v="97636"/>
        <s v="SR/0100"/>
        <n v="98526"/>
        <n v="98527"/>
        <n v="98529"/>
        <n v="98530"/>
        <n v="98533"/>
        <n v="98534"/>
        <n v="100983"/>
        <s v="ST/0070"/>
        <n v="100947"/>
        <n v="90100"/>
        <n v="90102"/>
        <n v="102278"/>
        <n v="90087"/>
        <n v="93358"/>
        <n v="101570"/>
        <n v="101573"/>
        <s v="ES/0010"/>
        <s v="ES/0015"/>
        <n v="101616"/>
        <n v="101617"/>
        <n v="104734"/>
        <n v="104736"/>
        <n v="104730"/>
        <n v="104732"/>
        <n v="100939"/>
        <n v="7781"/>
        <n v="7791"/>
        <n v="7750"/>
        <n v="7762"/>
        <n v="92821"/>
        <n v="92824"/>
        <n v="92826"/>
        <s v="DR/0135"/>
        <s v="DR/0200"/>
        <n v="98051"/>
        <s v="DR/0355"/>
        <s v="DR/0205"/>
        <s v="DR/0265"/>
        <s v="DR/0275"/>
        <n v="100952"/>
        <n v="90105"/>
        <n v="4748"/>
        <s v="PA/0020"/>
        <s v="PA/0025"/>
        <s v="RE/0050"/>
        <n v="95879"/>
        <n v="102332"/>
        <s v="PA/0005"/>
        <n v="96385"/>
        <n v="100576"/>
        <s v="PA/0021"/>
        <s v="PA/0023"/>
        <s v="PA/0040"/>
        <n v="101230"/>
        <s v="SC/0005"/>
        <s v="SC/0082"/>
        <n v="97084"/>
        <s v="SC/0080"/>
        <n v="94962"/>
        <n v="94991"/>
        <s v="SV/0005"/>
        <s v="SV/0010"/>
        <s v="SV/0015"/>
        <s v="SV/0090"/>
        <s v="SV/0105"/>
        <n v="13521"/>
        <s v="CPU Adm Local"/>
        <n v="7763" u="1"/>
      </sharedItems>
    </cacheField>
    <cacheField name="DISCRIMINAÇÃO" numFmtId="0">
      <sharedItems longText="1"/>
    </cacheField>
    <cacheField name="UNID." numFmtId="0">
      <sharedItems/>
    </cacheField>
    <cacheField name="QUANT." numFmtId="165">
      <sharedItems containsSemiMixedTypes="0" containsString="0" containsNumber="1" minValue="0.17" maxValue="82263.3"/>
    </cacheField>
    <cacheField name="PREÇO UNITÁRIO (R$)" numFmtId="165">
      <sharedItems containsSemiMixedTypes="0" containsString="0" containsNumber="1" minValue="0.14000000000000001" maxValue="167267.70000000001"/>
    </cacheField>
    <cacheField name="PREÇO TOTAL (R$)" numFmtId="165">
      <sharedItems containsSemiMixedTypes="0" containsString="0" containsNumber="1" minValue="0.4" maxValue="870093.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7">
  <r>
    <x v="0"/>
    <s v="Placa de identificação de obra pública, inclusive pintura e adesivos, estrutura e suporte de madeira. Incluso fornecimento de material e instalação. Ref SINAPI, CÓD 74209/001, DB 01/2020"/>
    <s v="M2"/>
    <n v="16"/>
    <n v="438.38"/>
    <n v="7014.08"/>
  </r>
  <r>
    <x v="1"/>
    <s v="Locação de container 2,30  x  6,00 m, alt. 2,50 m, com 1 sanitário, para escritório, completo, sem divisórias internas"/>
    <s v="MES   "/>
    <n v="6"/>
    <n v="1091.9000000000001"/>
    <n v="6551.4"/>
  </r>
  <r>
    <x v="2"/>
    <s v="Locação de container 2,30  x  6,00 m, alt. 2,50 m, para escritório, sem divisórias internas e sem sanitário"/>
    <s v="MES   "/>
    <n v="6"/>
    <n v="853.03"/>
    <n v="5118.18"/>
  </r>
  <r>
    <x v="3"/>
    <s v="Locação de container 2,30 x 4,30 m, alt. 2,50 m, para sanitário, com 3 bacias, 4 chuveiros, 1 lavatório e 1 mictório"/>
    <s v="MES   "/>
    <n v="6"/>
    <n v="1239.75"/>
    <n v="7438.5"/>
  </r>
  <r>
    <x v="4"/>
    <s v="Execução de guarita em canteiro de obra em chapa de madeira compensada, não incluso mobiliário. AF_04/2016"/>
    <s v="M2"/>
    <n v="4"/>
    <n v="1596.22"/>
    <n v="6384.88"/>
  </r>
  <r>
    <x v="5"/>
    <s v="Aluguel de banheiro quimico, incluindo transporte de ida e volta, manutencao e higienizacao 3 vezes por semana. Modelo Luxo, dimensões 2,31 x 1,15 x 1,15m"/>
    <s v="UN.MÊS"/>
    <n v="6"/>
    <n v="1464"/>
    <n v="8784"/>
  </r>
  <r>
    <x v="6"/>
    <s v="Limpeza mecanizada de camada vegetal, vegetação e pequenas árvores (diâmetro nominal de tronco menor que 0,20 m), com trator de esteiras. AF_05/2018"/>
    <s v="M2"/>
    <n v="10000"/>
    <n v="0.45"/>
    <n v="4500"/>
  </r>
  <r>
    <x v="7"/>
    <s v="Revestimento de pátio com pedra britada com espessura de 5 cm com regularização do terreno com motoniveladora. Exclusive transporte. (REF SINAPI COD 100575)"/>
    <s v="M2"/>
    <n v="2500"/>
    <n v="6.63"/>
    <n v="16575"/>
  </r>
  <r>
    <x v="8"/>
    <s v="Cerca com mourões de madeira roliça Ø 11cm, espaçamento de 2,00m, altura livre de 1,50m, cravado 0,50m, com 5 fios de arame liso ovalado 15x17, conforme projeto"/>
    <s v="M"/>
    <n v="400"/>
    <n v="42.12"/>
    <n v="16848"/>
  </r>
  <r>
    <x v="9"/>
    <s v="Portão para veículos em tela arame galvanizado n.12 malha 2&quot; e moldura em tubos de aco com duas folhas de abrir, incluso ferragens (REF. SINAPI COD. 74238/2 - Descontinuado)"/>
    <s v="M2"/>
    <n v="7.2"/>
    <n v="1219.28"/>
    <n v="8778.81"/>
  </r>
  <r>
    <x v="10"/>
    <s v="Segurança de trânsito - sinalização de advertência de obra com placa (fundo laranja) sobre cavalete, conforme ABNT - NBR-7678 Segurança na execução de obras e serviços de construção Ministério do Trabalho e da Previdência Social - NB-26 - Sinalização De Segurança CONTRAN - Manual De Noções De Normas De Trânsito"/>
    <s v="M2"/>
    <n v="13"/>
    <n v="173.6"/>
    <n v="2256.8000000000002"/>
  </r>
  <r>
    <x v="11"/>
    <s v="Segurança de trânsito - sinalização de advertência de obra com elemento luminoso (balde vermelho)"/>
    <s v="M"/>
    <n v="302.41000000000003"/>
    <n v="4.17"/>
    <n v="1261.04"/>
  </r>
  <r>
    <x v="12"/>
    <s v="Segurança de trânsito - isolamento de obra com tela cerquite plática laranja conforme ABNT - NBR-7678 Segurança na execução de obras e serviços de construção Ministério do Trabalho e da Previdência Social - NB-26 - Sinalização De Segurança CONTRAN - Manual De Noções De Normas De Trânsito"/>
    <s v="M"/>
    <n v="650.77"/>
    <n v="12.45"/>
    <n v="8102.08"/>
  </r>
  <r>
    <x v="13"/>
    <s v="Segurança de trânsito - cone de sinalização em pvc rígido com faixa refletiva, h = 70 / 76 cm"/>
    <s v="UN    "/>
    <n v="27"/>
    <n v="63.31"/>
    <n v="1709.37"/>
  </r>
  <r>
    <x v="14"/>
    <s v="Sondagem de investigação de interferências subterrâneas, incluindo escavações mecânica e manual e reaterro"/>
    <s v="UN "/>
    <n v="6"/>
    <n v="345.4"/>
    <n v="2072.4"/>
  </r>
  <r>
    <x v="15"/>
    <s v="Reparo em ramal de ligação predial de água"/>
    <s v="UN "/>
    <n v="12"/>
    <n v="299.97000000000003"/>
    <n v="3599.64"/>
  </r>
  <r>
    <x v="16"/>
    <s v="Regularização de superfícies com motoniveladora. AF_11/2019"/>
    <s v="M2"/>
    <n v="2322.67"/>
    <n v="0.14000000000000001"/>
    <n v="325.17"/>
  </r>
  <r>
    <x v="17"/>
    <s v="Carga, manobra e descarga de solos e materiais granulares em caminhão basculante 14 m3 - carga com escavadeira hidráulica (capacidade da caçamba: 1,20 m3 / potência: 155 HP) e descarga livre (unidade: m3). AF_07/2020"/>
    <s v="M3"/>
    <n v="2000"/>
    <n v="7.88"/>
    <n v="15760"/>
  </r>
  <r>
    <x v="18"/>
    <s v="Transporte com caminhão basculante de 14 m3, em via urbana pavimentada, DMT até 30,00 km (unidade: m3xkm). AF_07/2020"/>
    <s v="M3XKM"/>
    <n v="16000"/>
    <n v="2.52"/>
    <n v="40320"/>
  </r>
  <r>
    <x v="18"/>
    <s v="Transporte com caminhão basculante de 14 m3, em via urbana pavimentada, DMT até 30,00 km (unidade: m3xkm). AF_07/2020"/>
    <s v="M3XKM"/>
    <n v="3327.5"/>
    <n v="2.52"/>
    <n v="8385.2999999999993"/>
  </r>
  <r>
    <x v="19"/>
    <s v="Demolição de concreto simples, de forma mecanizada, sem reaproveitamento (REF. SICRO COD. 1600989, db 01-2023)"/>
    <s v="M3"/>
    <n v="76.150000000000006"/>
    <n v="307.27999999999997"/>
    <n v="23399.37"/>
  </r>
  <r>
    <x v="20"/>
    <s v="Demolição parcial de pavimento asfáltico, de forma mecanizada, sem reaproveitamento. AF_12/2017"/>
    <s v="M2"/>
    <n v="84.85"/>
    <n v="23.3"/>
    <n v="1977"/>
  </r>
  <r>
    <x v="21"/>
    <s v="Recorte mecânico de pavimento asfáltico ou piso de concreto, com serra de disco diamantado para piso/asfalto. REF SICRO 4011537, DB 04-2023"/>
    <s v="M"/>
    <n v="858.19"/>
    <n v="4.3899999999999997"/>
    <n v="3767.45"/>
  </r>
  <r>
    <x v="22"/>
    <s v="Remoção de raízes remanescentes de tronco de árvore com diâmetro maior ou igual a 0,20 m e menor que 0,40 m. AF_05/2018"/>
    <s v="UN"/>
    <n v="9"/>
    <n v="99.34"/>
    <n v="894.06"/>
  </r>
  <r>
    <x v="23"/>
    <s v="Remoção de raízes remanescentes de tronco de árvore com diâmetro maior ou igual a 0,40 m e menor que 0,60 m. AF_05/2018"/>
    <s v="UN"/>
    <n v="1"/>
    <n v="213.86"/>
    <n v="213.86"/>
  </r>
  <r>
    <x v="24"/>
    <s v="Corte raso e recorte de árvore com diâmetro nominal de tronco maior ou igual a 0,20 m e menor que 0,40 m. AF_05/2018"/>
    <s v="UN"/>
    <n v="9"/>
    <n v="77.5"/>
    <n v="697.5"/>
  </r>
  <r>
    <x v="25"/>
    <s v="Corte raso e recorte de árvore com diâmetro nominal de tronco maior ou igual a 0,40 m e menor que 0,60 m. AF_05/2018"/>
    <s v="UN"/>
    <n v="1"/>
    <n v="138.06"/>
    <n v="138.06"/>
  </r>
  <r>
    <x v="26"/>
    <s v="Poda em altura de árvore com diâmetro nominal de tronco maior ou igual a 0,20 m e menor que 0,40 m. AF_05/2018"/>
    <s v="UN"/>
    <n v="9"/>
    <n v="380.83"/>
    <n v="3427.47"/>
  </r>
  <r>
    <x v="27"/>
    <s v="Poda em altura de árvore com diâmetro nominal de tronco maior ou igual a 0,40 m e menor que 0,60 m. AF_05/2018"/>
    <s v="UN"/>
    <n v="1"/>
    <n v="976.62"/>
    <n v="976.62"/>
  </r>
  <r>
    <x v="28"/>
    <s v="Carga, manobra e descarga de entulho em caminhão basculante 14 m3 - carga com escavadeira hidráulica  (capacidade da caçamba: 0,80 m3 / potência: 111 HP) e descarga livre (unidade: m3). AF_07/2020"/>
    <s v="M3"/>
    <n v="98.51"/>
    <n v="10.67"/>
    <n v="1051.0999999999999"/>
  </r>
  <r>
    <x v="29"/>
    <s v="Carga, manobra e descarga de materiais diversos em caminhão carroceria - carga e descaga manuais (REF. SICRO COD. 5915474)"/>
    <s v="T"/>
    <n v="10"/>
    <n v="37.07"/>
    <n v="370.7"/>
  </r>
  <r>
    <x v="18"/>
    <s v="Transporte com caminhão basculante de 14 m3, em via urbana pavimentada, DMT até 30,00 km (unidade: m3xkm). AF_07/2020"/>
    <s v="M3XKM"/>
    <n v="788.08"/>
    <n v="2.52"/>
    <n v="1985.96"/>
  </r>
  <r>
    <x v="30"/>
    <s v="Transporte com caminhão carroceria 9t, em via urbana pavimentada, DMT até 30,00 km (unidade: txkm). AF_07/2020"/>
    <s v="TXKM"/>
    <n v="80"/>
    <n v="2.58"/>
    <n v="206.4"/>
  </r>
  <r>
    <x v="31"/>
    <s v="Escavação mecanizada de vala com profundidade até 1,50 m (média entre montante e jusante / uma composição por trecho), com retroescavadeira (capacidade da caçamba: 0,26 m3 / potência: 88 HP), largura de 0,80 m a 1,50 m, em solo de 1a categoria, em locais com alto nível de interferência. AF_01/2015"/>
    <s v="M3"/>
    <n v="307.39"/>
    <n v="16.010000000000002"/>
    <n v="4921.3100000000004"/>
  </r>
  <r>
    <x v="32"/>
    <s v="Escavação mecanizada de vala com profundidade maior que 1,50 m até 3,00 m (média entre montante e jusante / uma composição por trecho), com retroescavadeira (capacidade da caçamba: 0,26 m3 / potência: 88 HP), largura de 0,80 m a 1,50 m, em solo de 1a categoria, em locais com alto nível de interferência. AF_01/2015"/>
    <s v="M3"/>
    <n v="149.86000000000001"/>
    <n v="14.4"/>
    <n v="2157.98"/>
  </r>
  <r>
    <x v="33"/>
    <s v="Escavação mecanizada de vala com profundidade maior que 1,50 m até 3,00 m (média entre montante e jusante / uma composição por trecho), com escavadeira hidráulica (capacidade da caçamba: 1,2 m3 / potência: 155 HP), largura de 1,50 m a 2,50 m, em solo de 1a categoria, em locais com alto nível de interferência. AF_02/2021"/>
    <s v="M3"/>
    <n v="451.48"/>
    <n v="11.84"/>
    <n v="5345.52"/>
  </r>
  <r>
    <x v="34"/>
    <s v="Escavação mecanizada de vala com profundidade de 3,00 m até 4,50 m (média entre montante e jusante / uma composição por trecho), com escavadeira hidráulica (capacidade da caçamba: 1,20 m3 / potência: 155 HP), largura de 1,50 m a 2,50 m, em solo de 1a categoria, em locais com alto nível de interferência. AF_01/2015"/>
    <s v="M3"/>
    <n v="1132.3399999999999"/>
    <n v="11.37"/>
    <n v="12874.7"/>
  </r>
  <r>
    <x v="35"/>
    <s v="Escavação manual de vala com profundidade menor ou igual a 1,30 m. AF_03/2016"/>
    <s v="M3"/>
    <n v="102.05"/>
    <n v="95.31"/>
    <n v="9726.3799999999992"/>
  </r>
  <r>
    <x v="36"/>
    <s v="Escoramento de vala, tipo pontaleteamento, com profundidade de 0,00 a 1,50 m, largura menor que 1,50 m. AF_08/2020"/>
    <s v="M2"/>
    <n v="576.28"/>
    <n v="27.66"/>
    <n v="15939.9"/>
  </r>
  <r>
    <x v="37"/>
    <s v="Escoramento de vala, tipo pontaleteamento, com profundidade de 1,50 a 3,00 m, largura maior ou igual a 1,50 m e menor que 2,50 m. AF_08/2020"/>
    <s v="M2"/>
    <n v="578.66"/>
    <n v="31.56"/>
    <n v="18262.5"/>
  </r>
  <r>
    <x v="38"/>
    <s v="Escoramento de vala, tipo blindado, com profundidade de 1,5 a 3,0 m, largura maior ou igual a 1,5 m e menor que 2,5 m. Altura do escoramento igual a 2,4 m.  Execução e fornecimento, inclui material. (REF. SINAPI COD. 03.ESCO.VALA.040/01)"/>
    <s v="M2"/>
    <n v="216.19"/>
    <n v="28.54"/>
    <n v="6170.06"/>
  </r>
  <r>
    <x v="39"/>
    <s v="Escoramento de vala, tipo blindado, com profundidade de 3,0 a 4,5 m, largura maior ou igual a 1,5 m e menor que 2,5 m. Altura do escoramento igual a 2,4 m.  Execução e fornecimento, inclui material. (REF. SINAPI COD. 03.ESCO.VALA.042/01)"/>
    <s v="M2"/>
    <n v="870.24"/>
    <n v="24.42"/>
    <n v="21251.26"/>
  </r>
  <r>
    <x v="40"/>
    <s v="Preparo de fundo de vala com largura menor que 1,50 m (acerto do solo natural). AF_08/2020"/>
    <s v="M2"/>
    <n v="435.32"/>
    <n v="7.01"/>
    <n v="3051.59"/>
  </r>
  <r>
    <x v="41"/>
    <s v="Preparo de fundo de vala com largura maior ou igual a 1,50 m e menor que 2,50 m (acerto do solo natural). AF_08/2020"/>
    <s v="M2"/>
    <n v="290.08"/>
    <n v="3.46"/>
    <n v="1003.67"/>
  </r>
  <r>
    <x v="42"/>
    <s v="Reaterro mecanizado de vala com retroescavadeira (capacidade   da   caçamba   da retro: 0,26 M³/potência: 88 HP), largura de 0,8 a 1,5 m, profundidade até 1,5 m, com solo (sem substituição) de 1ª categoria, com placa vibratória. AF_08/2023"/>
    <s v="M3"/>
    <n v="268.3"/>
    <n v="16.37"/>
    <n v="4392.07"/>
  </r>
  <r>
    <x v="43"/>
    <s v="Reaterro mecanizado de vala com retroescavadeira (capacidade   da   caçamba   da retro: 0,26 M³/potência: 88 HP), largura de 0,8 a 1,5 m, profundidade de 1,5 a 3,0 m, com solo (sem substituição) de 1ª categoria, com placa vibratória. AF_08/2023"/>
    <s v="M3"/>
    <n v="131.53"/>
    <n v="10.02"/>
    <n v="1317.93"/>
  </r>
  <r>
    <x v="44"/>
    <s v="Reaterro mecanizado de vala com escavadeira hidráulica (capacidade da caçamba: 0,8 M³/potência: 111 HP), largura de 1,5 a 2,5 m, profundidade de 1,5 a 3,0 m, com solo (sem substituição) de 1ª categoria, com placa vibratória. AF_08/2023"/>
    <s v="M3"/>
    <n v="385.33"/>
    <n v="15.22"/>
    <n v="5864.72"/>
  </r>
  <r>
    <x v="45"/>
    <s v="Reaterro mecanizado de vala com escavadeira hidráulica (capacidade da caçamba: 0,8 M³/potência: 111 HP), largura de 1,5 a 2,5 m, profundidade de 3,0 a 6,0 m, com solo (sem substituição) de 1ª categoria, com placa vibratória. AF_08/2023"/>
    <s v="M3"/>
    <n v="1001.11"/>
    <n v="11.69"/>
    <n v="11702.97"/>
  </r>
  <r>
    <x v="17"/>
    <s v="Carga, manobra e descarga de solos e materiais granulares em caminhão basculante 14 m3 - carga com escavadeira hidráulica (capacidade da caçamba: 1,20 m3 / potência: 155 HP) e descarga livre (unidade: m3). AF_07/2020"/>
    <s v="M3"/>
    <n v="625.69000000000005"/>
    <n v="7.88"/>
    <n v="4930.43"/>
  </r>
  <r>
    <x v="46"/>
    <s v="Transporte com caminhão basculante de 14 m3, em via interna (dentro do canteiro - unidade:m3xkm). AF_07/2020"/>
    <s v="M3XKM"/>
    <n v="1126.25"/>
    <n v="7.67"/>
    <n v="8638.33"/>
  </r>
  <r>
    <x v="18"/>
    <s v="Transporte com caminhão basculante de 14 m3, em via urbana pavimentada, DMT até 30,00 km (unidade: m3xkm). AF_07/2020"/>
    <s v="M3XKM"/>
    <n v="2548"/>
    <n v="2.52"/>
    <n v="6420.96"/>
  </r>
  <r>
    <x v="47"/>
    <s v="Aquisição de tubo de concreto simples para aguas pluviais, classe PS-1, com encaixe ponta e bolsa, diâmetro nominal de 0,40 m (180 kg/m) - Aquisição"/>
    <s v="M     "/>
    <n v="216"/>
    <n v="81.73"/>
    <n v="17653.68"/>
  </r>
  <r>
    <x v="48"/>
    <s v="Aquisição de tubo de concreto simples para aguas pluviais, classe PS-1, com encaixe ponta e bolsa, diâmetro nominal de 0,60 m (347 kg/m) - Aquisição"/>
    <s v="M     "/>
    <n v="102.03999999999999"/>
    <n v="145.62"/>
    <n v="14859.06"/>
  </r>
  <r>
    <x v="49"/>
    <s v="Tubo de concreto armado para aguas pluviais, classe PA-1, com encaixe ponta e bolsa, diâmetro nominal de 0,80 m (533,00 kg/m) - Aquisição"/>
    <s v="M     "/>
    <n v="181.3"/>
    <n v="473.76"/>
    <n v="85892.68"/>
  </r>
  <r>
    <x v="50"/>
    <s v="Tubo de concreto armado para aguas pluviais, classe PA-2, com encaixe ponta e bolsa, diâmetro nominal de 0,60 m (373,00 kg/m) - Aquisição"/>
    <s v="M     "/>
    <n v="105.47"/>
    <n v="247.04"/>
    <n v="26055.3"/>
  </r>
  <r>
    <x v="51"/>
    <s v="Assentamento de tubo de concreto para redes coletoras de águas pluviais, diâmetro nominal de 0,40 m, junta rígida em argamassa 1:3 cimento:areia, instalado em local com alto nível de interferências (não inclui fornecimento). AF_12/2015"/>
    <s v="M"/>
    <n v="216"/>
    <n v="79.819999999999993"/>
    <n v="17241.12"/>
  </r>
  <r>
    <x v="52"/>
    <s v="Assentamento de tubo de concreto para redes coletoras de águas pluviais, diâmetro nominal de 0,60 m, junta rígida em argamassa 1:3 cimento:areia, instalado em local com alto nível de interferências (não inclui fornecimento). AF_12/2015"/>
    <s v="M"/>
    <n v="207.51"/>
    <n v="115.69"/>
    <n v="24006.83"/>
  </r>
  <r>
    <x v="53"/>
    <s v="Assentamento de tubo de concreto para redes coletoras de águas pluviais, diâmetro nominal de 0,80 m, junta rígida em argamassa 1:3 cimento:areia, instalado em local com alto nível de interferências (não inclui fornecimento). AF_12/2015"/>
    <s v="M"/>
    <n v="181.3"/>
    <n v="154.57"/>
    <n v="28023.54"/>
  </r>
  <r>
    <x v="54"/>
    <s v="PV-1 - Poço de Visita, com dimensões internas de 1,98m x 1,98m x 1,50m (bxbxh), em alvenaria de bloco de concreto estrutural FBK 14mpa, conforme projeto tipo. Exclusive pescoço e tampão"/>
    <s v="UN"/>
    <n v="10"/>
    <n v="8128.28"/>
    <n v="81282.8"/>
  </r>
  <r>
    <x v="55"/>
    <s v="Antecâmara para poço de visita, com dimensões internas de 1,98m x 1,00m x 1,50m (bxbxh), em alvenaria de bloco de concreto estrutural FBK 14mpa, conforme projeto tipo"/>
    <s v="UN"/>
    <n v="2"/>
    <n v="3233.92"/>
    <n v="6467.84"/>
  </r>
  <r>
    <x v="56"/>
    <s v="Chaminé circular para poço de visita para esgoto, em alvenaria com tijolos cerâmicos maciços, diâmetro interno = 0,6 m. af_12/2020"/>
    <s v="M"/>
    <n v="3.04"/>
    <n v="1170.99"/>
    <n v="3559.8"/>
  </r>
  <r>
    <x v="57"/>
    <s v="Tampão F°F° articulado, classe D400, carga máxima 40 T, redondo tampa 600 mm para rede pluvial/esgoto. Incluindo fornecimento, assentamento e requadro em concreto FCK 20mpa, de 1,00m x 1,00m x 0,20m"/>
    <s v="UN "/>
    <n v="10"/>
    <n v="949.53"/>
    <n v="9495.2999999999993"/>
  </r>
  <r>
    <x v="58"/>
    <s v="CP-1 - Caixa de Passagem, com dimensões internas de  1,92m x 1,92m x 1,60m (bxbxh), em alvenaria de bloco de concreto estrutural FBK 8 MPa, conforme projeto tipo"/>
    <s v="UN"/>
    <n v="2"/>
    <n v="7712.38"/>
    <n v="15424.76"/>
  </r>
  <r>
    <x v="59"/>
    <s v="BLSC - Boca-de-lobo simples em concreto simples FCK 20 mpa, incluindo forma, escavação, sarjeta de contorno (chama) em concreto e grelha em F°F° tipo pesada, conforme projeto "/>
    <s v="UN"/>
    <n v="15"/>
    <n v="2130.1999999999998"/>
    <n v="31953"/>
  </r>
  <r>
    <x v="60"/>
    <s v="BLTC - Boca-de-lobo tripla em concreto simples FCK 20 mpa, incluindo forma, escavação, sarjeta de contorno (chama) em concreto e grelhas em F°F° tipo pesada, conforme projeto "/>
    <s v="UN"/>
    <n v="15"/>
    <n v="5853.49"/>
    <n v="87802.35"/>
  </r>
  <r>
    <x v="18"/>
    <s v="Transporte com caminhão basculante de 14 m3, em via urbana pavimentada, DMT até 30,00 km (unidade: m3xkm). AF_07/2020"/>
    <s v="M3XKM"/>
    <n v="1359.56"/>
    <n v="2.52"/>
    <n v="3426.09"/>
  </r>
  <r>
    <x v="61"/>
    <s v="Transporte com caminhão carroceria com guindauto (munck), momento máximo de carga 11,7 tm, em via urbana pavimentada, DMT até 30,00 km (unidade: txkm). AF_07/2020"/>
    <s v="TXKM"/>
    <n v="4667.7700000000004"/>
    <n v="3.25"/>
    <n v="15170.25"/>
  </r>
  <r>
    <x v="62"/>
    <s v="Escavação mecanizada de vala com profundidade até 1,50 m (média entre montante e jusante / uma composição por trecho) com retroescavadeira (capacidade da caçamba: 0,26 m3 / potência: 88 HP), largura menor que 0,80 m, em solo de 1a categoria, locais com baixo nível de interferência. AF_01/2015"/>
    <s v="M3"/>
    <n v="1.01"/>
    <n v="10.39"/>
    <n v="10.49"/>
  </r>
  <r>
    <x v="63"/>
    <s v="Pedra britada ou bica corrida, não classificada (posto pedreira/fornecedor, sem frete)"/>
    <s v="M3    "/>
    <n v="1.1599999999999999"/>
    <n v="111.21"/>
    <n v="129"/>
  </r>
  <r>
    <x v="64"/>
    <s v="Execução e compactação de base e ou sub-base com material produto de britagem. Exclusive fornecimento e transporte de materiais (REF. SINAPI COD. 96396)"/>
    <s v="M3"/>
    <n v="0.84"/>
    <n v="16.39"/>
    <n v="13.76"/>
  </r>
  <r>
    <x v="65"/>
    <s v="Imprimação da base, execução e fornecimento de emulsão asfáltica EAI (REF. SINAPI COD. 102470)"/>
    <s v="M2"/>
    <n v="5.6"/>
    <n v="6.38"/>
    <n v="35.72"/>
  </r>
  <r>
    <x v="66"/>
    <s v="CBUQ (usina comercial) - aplicação manual em fechamento de vala e remendos. Incluindo fornecimento dos materiais e compactação com rolo tandem compacto. Exclusive transporte. Ref BP 09.05.0500 RIO SCO"/>
    <s v="M3"/>
    <n v="0.17"/>
    <n v="1882.05"/>
    <n v="319.94"/>
  </r>
  <r>
    <x v="18"/>
    <s v="Transporte com caminhão basculante de 14 m3, em via urbana pavimentada, DMT até 30,00 km (unidade: m3xkm). AF_07/2020"/>
    <s v="M3XKM"/>
    <n v="10.08"/>
    <n v="2.52"/>
    <n v="25.4"/>
  </r>
  <r>
    <x v="18"/>
    <s v="Transporte com caminhão basculante de 14 m3, em via urbana pavimentada, DMT até 30,00 km (unidade: m3xkm). AF_07/2020"/>
    <s v="M3XKM"/>
    <n v="28.07"/>
    <n v="2.52"/>
    <n v="70.73"/>
  </r>
  <r>
    <x v="67"/>
    <s v="Transporte com caminhão basculante de 14 m3, em via urbana pavimentada, DMT até 30,00 km (unidade: txkm). AF_07/2020"/>
    <s v="TXKM"/>
    <n v="8.17"/>
    <n v="1.7"/>
    <n v="13.88"/>
  </r>
  <r>
    <x v="68"/>
    <s v="Transporte com caminhão tanque de transporte de material asfáltico de 20.000 l, em via urbana pavimentada, DMT até 30,00 km (unidade: txkm). AF_07/2020"/>
    <s v="TXKM"/>
    <n v="0.19"/>
    <n v="2.13"/>
    <n v="0.4"/>
  </r>
  <r>
    <x v="69"/>
    <s v="Preparo do subleito, escavação e carga. Exclusive transporte"/>
    <s v="M3"/>
    <n v="5742.35"/>
    <n v="7.22"/>
    <n v="41459.760000000002"/>
  </r>
  <r>
    <x v="70"/>
    <s v="Execução e compactação de aterro com solo predominantemente argiloso - exclusive solo, escavação, carga e transporte. AF_11/2019"/>
    <s v="M3"/>
    <n v="6.95"/>
    <n v="13.73"/>
    <n v="95.42"/>
  </r>
  <r>
    <x v="17"/>
    <s v="Carga, manobra e descarga de solos e materiais granulares em caminhão basculante 14 m3 - carga com escavadeira hidráulica (capacidade da caçamba: 1,20 m3 / potência: 155 HP) e descarga livre (unidade: m3). AF_07/2020"/>
    <s v="M3"/>
    <n v="8.69"/>
    <n v="7.88"/>
    <n v="68.47"/>
  </r>
  <r>
    <x v="46"/>
    <s v="Transporte com caminhão basculante de 14 m3, em via interna (dentro do canteiro - unidade:m3xkm). AF_07/2020"/>
    <s v="M3XKM"/>
    <n v="17.38"/>
    <n v="7.67"/>
    <n v="133.30000000000001"/>
  </r>
  <r>
    <x v="18"/>
    <s v="Transporte com caminhão basculante de 14 m3, em via urbana pavimentada, DMT até 30,00 km (unidade: m3xkm). AF_07/2020"/>
    <s v="M3XKM"/>
    <n v="57353.919999999998"/>
    <n v="2.52"/>
    <n v="144531.87"/>
  </r>
  <r>
    <x v="71"/>
    <s v="Regularização e compactação de subleito de solo predominantemente argiloso. AF_11/2019"/>
    <s v="M2"/>
    <n v="14446.49"/>
    <n v="2.98"/>
    <n v="43050.54"/>
  </r>
  <r>
    <x v="72"/>
    <s v="Execução e compactação de base e ou sub-base, estabilizado granulometricamente, sem mistura, com material de jazida. Exclusive fornecimento e transporte (REF. SINAPI COD. 4011219)"/>
    <s v="M3"/>
    <n v="2166.9699999999998"/>
    <n v="23.33"/>
    <n v="50555.41"/>
  </r>
  <r>
    <x v="64"/>
    <s v="Execução e compactação de base e ou sub-base com material produto de britagem. Exclusive fornecimento e transporte de materiais (REF. SINAPI COD. 96396)"/>
    <s v="M3"/>
    <n v="2472.2199999999998"/>
    <n v="16.39"/>
    <n v="40519.68"/>
  </r>
  <r>
    <x v="65"/>
    <s v="Imprimação da base, execução e fornecimento de emulsão asfáltica EAI (REF. SINAPI COD. 102470)"/>
    <s v="M2"/>
    <n v="12682.57"/>
    <n v="6.38"/>
    <n v="80914.789999999994"/>
  </r>
  <r>
    <x v="73"/>
    <s v="Pintura de ligação, execução e fornecimento de emulsão asfáltica RR-1C (ref SINAPI cód 104375)"/>
    <s v="M2"/>
    <n v="12682.57"/>
    <n v="3.06"/>
    <n v="38808.660000000003"/>
  </r>
  <r>
    <x v="74"/>
    <s v="Construção de pavimento com aplicação de concreto betuminoso usinado à quente (CBUQ - faixa C - CAP 30/45 - usina comercial), camada de rolamento, exclusive transporte da mistura (REF. SINAPI COD. 95995)"/>
    <s v="M3"/>
    <n v="439.39"/>
    <n v="1980.23"/>
    <n v="870093.25"/>
  </r>
  <r>
    <x v="75"/>
    <s v="Escavação vertical a céu aberto, em obras de infraestrutura, incluindo carga, descarga e transporte, em solo de 1a categoria com escavadeira hidráulica (caçamba: 0,80 m3 / 111 HP), frota de 3 caminhões basculantes de 14 m3, DMT até 1 km e velocidade média 14 km/h. AF_05/2020"/>
    <s v="M3"/>
    <n v="2708.72"/>
    <n v="13.11"/>
    <n v="35511.31"/>
  </r>
  <r>
    <x v="63"/>
    <s v="Pedra britada ou bica corrida, não classificada (posto pedreira/fornecedor, sem frete)"/>
    <s v="M3    "/>
    <n v="3399.31"/>
    <n v="111.21"/>
    <n v="378037.26"/>
  </r>
  <r>
    <x v="18"/>
    <s v="Transporte com caminhão basculante de 14 m3, em via urbana pavimentada, DMT até 30,00 km (unidade: m3xkm). AF_07/2020"/>
    <s v="M3XKM"/>
    <n v="18961.04"/>
    <n v="2.52"/>
    <n v="47781.82"/>
  </r>
  <r>
    <x v="18"/>
    <s v="Transporte com caminhão basculante de 14 m3, em via urbana pavimentada, DMT até 30,00 km (unidade: m3xkm). AF_07/2020"/>
    <s v="M3XKM"/>
    <n v="82263.3"/>
    <n v="2.52"/>
    <n v="207303.51"/>
  </r>
  <r>
    <x v="67"/>
    <s v="Transporte com caminhão basculante de 14 m3, em via urbana pavimentada, DMT até 30,00 km (unidade: txkm). AF_07/2020"/>
    <s v="TXKM"/>
    <n v="21328.26"/>
    <n v="1.7"/>
    <n v="36258.04"/>
  </r>
  <r>
    <x v="68"/>
    <s v="Transporte com caminhão tanque de transporte de material asfáltico de 20.000 l, em via urbana pavimentada, DMT até 30,00 km (unidade: txkm). AF_07/2020"/>
    <s v="TXKM"/>
    <n v="409.64"/>
    <n v="2.13"/>
    <n v="872.53"/>
  </r>
  <r>
    <x v="76"/>
    <s v="Meio-fio (guia) com sarjeta, concreto FCK = 15mpa, seção 615 cm², moldado no local, inclusive escavação e pintura a cal em uma demão"/>
    <s v="M"/>
    <n v="3392.16"/>
    <n v="65.92"/>
    <n v="223611.18"/>
  </r>
  <r>
    <x v="77"/>
    <s v="Grama em placas, tipo esmeralda, incluindo plantio, adubo, fertilizante, calcário, terra orgânica e irrigação"/>
    <s v="M2"/>
    <n v="1338.35"/>
    <n v="26.86"/>
    <n v="35948.080000000002"/>
  </r>
  <r>
    <x v="78"/>
    <s v="Compactação mecânica de solo para execução de radier, com compactador de solos tipo placa vibratória. AF_09/2021"/>
    <s v="M2"/>
    <n v="5339.87"/>
    <n v="0.76"/>
    <n v="4058.3"/>
  </r>
  <r>
    <x v="79"/>
    <s v="Piso tátil de alerta ou direcional com lajota cimentícia  40x40x2,5cm, nas cores da NBR 16537, assentado com argamassa de cimento e areia 1:3"/>
    <s v="M"/>
    <n v="83.59"/>
    <n v="74.17"/>
    <n v="6199.87"/>
  </r>
  <r>
    <x v="80"/>
    <s v="Concreto magro para lastro, traço 1:4,5:4,5 (cimento/ areia média/ brita 1) - preparo mecânico com betoneira 400 l. AF_07/2016"/>
    <s v="M3"/>
    <n v="1"/>
    <n v="470.54"/>
    <n v="470.54"/>
  </r>
  <r>
    <x v="81"/>
    <s v="Execução de passeio (calçada) ou piso de concreto com concreto moldado in loco, usinado, acabamento convencional, não armado. AF_07/2016"/>
    <s v="M3"/>
    <n v="371.45"/>
    <n v="946.43"/>
    <n v="351551.42"/>
  </r>
  <r>
    <x v="30"/>
    <s v="Transporte com caminhão carroceria 9t, em via urbana pavimentada, DMT até 30,00 km (unidade: txkm). AF_07/2020"/>
    <s v="TXKM"/>
    <n v="35.520000000000003"/>
    <n v="2.58"/>
    <n v="91.64"/>
  </r>
  <r>
    <x v="82"/>
    <s v="Pintura de faixas de pedestres e retenção e de zebrados - termoplástico por extrusão - espessura de 3,0 mm (REF. SICRO COD. 5213408 e 5213409)"/>
    <s v="M2"/>
    <n v="26.84"/>
    <n v="104.46"/>
    <n v="2803.7"/>
  </r>
  <r>
    <x v="83"/>
    <s v="Pintura de setas e legendas - termoplástico por extrusão - espessura de 3,0 mm (REF. SICRO COD. 5213409, DB 04-21)"/>
    <s v="M2"/>
    <n v="35.04"/>
    <n v="119.07"/>
    <n v="4172.21"/>
  </r>
  <r>
    <x v="84"/>
    <s v="Pintura de faixa - termoplástico por aspersão Hot Spray - espessura de 1,5 mm (REF. SICRO COD. 5213408, DB 04-21)"/>
    <s v="M2"/>
    <n v="86.34"/>
    <n v="61.53"/>
    <n v="5312.5"/>
  </r>
  <r>
    <x v="85"/>
    <s v="Coluna simples de 50,8 mm (2&quot;) de diâmetro, espessura da parede 2,75mm, altura total de 3500mm, em aço galvanizado por imersão à quente para suporte de placa de sinalização e fixado em base de concreto estrutural  - fornecimento e implantação. Inclusive serviço de implantação da placa de sinalização"/>
    <s v="UN "/>
    <n v="51"/>
    <n v="536.99"/>
    <n v="27386.49"/>
  </r>
  <r>
    <x v="86"/>
    <s v="Placa de sinalização de alumínio, espessura 1,5 mm, com fundo, símbolos e tarjas em película refletiva com esferas inclusas tipo I-A da NBR 14644 (GT/GT), inclusive elementos de fixação, conforme especificação AGETRAN/PMCG - Incluso fornecimento"/>
    <s v="M2"/>
    <n v="9.4"/>
    <n v="927.2"/>
    <n v="8715.68"/>
  </r>
  <r>
    <x v="87"/>
    <s v="Placa de aço esmaltada para identificação de rua, dimensões *45x20* cm"/>
    <s v="UN    "/>
    <n v="36"/>
    <n v="100.65"/>
    <n v="3623.4"/>
  </r>
  <r>
    <x v="88"/>
    <s v="Administração local do canteiro de obras"/>
    <s v="UN "/>
    <n v="1"/>
    <n v="167267.70000000001"/>
    <n v="167267.7000000000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ela dinâmica4" cacheId="0" applyNumberFormats="0" applyBorderFormats="0" applyFontFormats="0" applyPatternFormats="0" applyAlignmentFormats="0" applyWidthHeightFormats="1" dataCaption="Valores" updatedVersion="8" minRefreshableVersion="3" useAutoFormatting="1" itemPrintTitles="1" createdVersion="6" indent="0" outline="1" outlineData="1" multipleFieldFilters="0">
  <location ref="A3:D93" firstHeaderRow="0" firstDataRow="1" firstDataCol="1"/>
  <pivotFields count="6">
    <pivotField axis="axisRow" showAll="0" sortType="descending">
      <items count="91">
        <item x="63"/>
        <item x="47"/>
        <item x="48"/>
        <item x="1"/>
        <item x="2"/>
        <item x="3"/>
        <item x="13"/>
        <item x="34"/>
        <item x="62"/>
        <item x="51"/>
        <item x="52"/>
        <item x="35"/>
        <item x="4"/>
        <item x="80"/>
        <item x="81"/>
        <item x="18"/>
        <item x="67"/>
        <item x="70"/>
        <item x="78"/>
        <item x="20"/>
        <item x="56"/>
        <item x="6"/>
        <item x="71"/>
        <item x="54"/>
        <item x="59"/>
        <item x="60"/>
        <item x="57"/>
        <item x="69"/>
        <item x="73"/>
        <item x="0"/>
        <item x="10"/>
        <item x="11"/>
        <item x="12"/>
        <item x="21"/>
        <item x="28"/>
        <item x="65"/>
        <item x="17"/>
        <item x="40"/>
        <item x="74"/>
        <item x="33"/>
        <item x="46"/>
        <item x="31"/>
        <item x="36"/>
        <item x="37"/>
        <item x="41"/>
        <item x="5"/>
        <item x="64"/>
        <item x="76"/>
        <item x="7"/>
        <item x="8"/>
        <item x="9"/>
        <item x="19"/>
        <item x="55"/>
        <item x="77"/>
        <item x="38"/>
        <item x="39"/>
        <item x="32"/>
        <item x="42"/>
        <item x="43"/>
        <item x="44"/>
        <item x="45"/>
        <item x="49"/>
        <item m="1" x="89"/>
        <item x="53"/>
        <item x="58"/>
        <item x="87"/>
        <item x="66"/>
        <item x="14"/>
        <item x="15"/>
        <item x="16"/>
        <item x="22"/>
        <item x="23"/>
        <item x="24"/>
        <item x="25"/>
        <item x="26"/>
        <item x="27"/>
        <item x="29"/>
        <item x="30"/>
        <item x="61"/>
        <item x="68"/>
        <item x="72"/>
        <item x="75"/>
        <item x="79"/>
        <item x="82"/>
        <item x="83"/>
        <item x="84"/>
        <item x="85"/>
        <item x="86"/>
        <item x="88"/>
        <item x="50"/>
        <item t="default"/>
      </items>
      <autoSortScope>
        <pivotArea dataOnly="0" outline="0" fieldPosition="0">
          <references count="1">
            <reference field="4294967294" count="1" selected="0">
              <x v="2"/>
            </reference>
          </references>
        </pivotArea>
      </autoSortScope>
    </pivotField>
    <pivotField subtotalTop="0" showAll="0"/>
    <pivotField subtotalTop="0" showAll="0"/>
    <pivotField dataField="1" subtotalTop="0" showAll="0"/>
    <pivotField numFmtId="165" subtotalTop="0" showAll="0"/>
    <pivotField dataField="1" numFmtId="165" subtotalTop="0" showAll="0"/>
  </pivotFields>
  <rowFields count="1">
    <field x="0"/>
  </rowFields>
  <rowItems count="90">
    <i>
      <x v="38"/>
    </i>
    <i>
      <x v="15"/>
    </i>
    <i>
      <x/>
    </i>
    <i>
      <x v="14"/>
    </i>
    <i>
      <x v="47"/>
    </i>
    <i>
      <x v="88"/>
    </i>
    <i>
      <x v="25"/>
    </i>
    <i>
      <x v="61"/>
    </i>
    <i>
      <x v="23"/>
    </i>
    <i>
      <x v="35"/>
    </i>
    <i>
      <x v="80"/>
    </i>
    <i>
      <x v="22"/>
    </i>
    <i>
      <x v="27"/>
    </i>
    <i>
      <x v="46"/>
    </i>
    <i>
      <x v="28"/>
    </i>
    <i>
      <x v="16"/>
    </i>
    <i>
      <x v="53"/>
    </i>
    <i>
      <x v="81"/>
    </i>
    <i>
      <x v="24"/>
    </i>
    <i>
      <x v="63"/>
    </i>
    <i>
      <x v="86"/>
    </i>
    <i>
      <x v="89"/>
    </i>
    <i>
      <x v="10"/>
    </i>
    <i>
      <x v="51"/>
    </i>
    <i>
      <x v="55"/>
    </i>
    <i>
      <x v="36"/>
    </i>
    <i>
      <x v="43"/>
    </i>
    <i>
      <x v="1"/>
    </i>
    <i>
      <x v="9"/>
    </i>
    <i>
      <x v="49"/>
    </i>
    <i>
      <x v="48"/>
    </i>
    <i>
      <x v="42"/>
    </i>
    <i>
      <x v="64"/>
    </i>
    <i>
      <x v="78"/>
    </i>
    <i>
      <x v="2"/>
    </i>
    <i>
      <x v="7"/>
    </i>
    <i>
      <x v="60"/>
    </i>
    <i>
      <x v="11"/>
    </i>
    <i>
      <x v="26"/>
    </i>
    <i>
      <x v="45"/>
    </i>
    <i>
      <x v="50"/>
    </i>
    <i>
      <x v="40"/>
    </i>
    <i>
      <x v="87"/>
    </i>
    <i>
      <x v="32"/>
    </i>
    <i>
      <x v="5"/>
    </i>
    <i>
      <x v="29"/>
    </i>
    <i>
      <x v="3"/>
    </i>
    <i>
      <x v="52"/>
    </i>
    <i>
      <x v="12"/>
    </i>
    <i>
      <x v="82"/>
    </i>
    <i>
      <x v="54"/>
    </i>
    <i>
      <x v="59"/>
    </i>
    <i>
      <x v="39"/>
    </i>
    <i>
      <x v="85"/>
    </i>
    <i>
      <x v="4"/>
    </i>
    <i>
      <x v="41"/>
    </i>
    <i>
      <x v="21"/>
    </i>
    <i>
      <x v="57"/>
    </i>
    <i>
      <x v="84"/>
    </i>
    <i>
      <x v="18"/>
    </i>
    <i>
      <x v="33"/>
    </i>
    <i>
      <x v="65"/>
    </i>
    <i>
      <x v="68"/>
    </i>
    <i>
      <x v="20"/>
    </i>
    <i>
      <x v="74"/>
    </i>
    <i>
      <x v="37"/>
    </i>
    <i>
      <x v="83"/>
    </i>
    <i>
      <x v="30"/>
    </i>
    <i>
      <x v="56"/>
    </i>
    <i>
      <x v="67"/>
    </i>
    <i>
      <x v="19"/>
    </i>
    <i>
      <x v="6"/>
    </i>
    <i>
      <x v="58"/>
    </i>
    <i>
      <x v="31"/>
    </i>
    <i>
      <x v="34"/>
    </i>
    <i>
      <x v="44"/>
    </i>
    <i>
      <x v="75"/>
    </i>
    <i>
      <x v="70"/>
    </i>
    <i>
      <x v="79"/>
    </i>
    <i>
      <x v="72"/>
    </i>
    <i>
      <x v="13"/>
    </i>
    <i>
      <x v="76"/>
    </i>
    <i>
      <x v="69"/>
    </i>
    <i>
      <x v="66"/>
    </i>
    <i>
      <x v="77"/>
    </i>
    <i>
      <x v="71"/>
    </i>
    <i>
      <x v="73"/>
    </i>
    <i>
      <x v="17"/>
    </i>
    <i>
      <x v="8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Contagem de QUANT." fld="3" subtotal="count" baseField="0" baseItem="4" numFmtId="167"/>
    <dataField name="Soma de QUANT.2" fld="3" baseField="0" baseItem="0" numFmtId="167"/>
    <dataField name="Soma de PREÇO TOTAL (R$)" fld="5" baseField="0" baseItem="0" numFmtId="167"/>
  </dataFields>
  <formats count="6">
    <format dxfId="650">
      <pivotArea field="0" type="button" dataOnly="0" labelOnly="1" outline="0" axis="axisRow" fieldPosition="0"/>
    </format>
    <format dxfId="649">
      <pivotArea dataOnly="0" labelOnly="1" fieldPosition="0">
        <references count="1">
          <reference field="0" count="1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</reference>
        </references>
      </pivotArea>
    </format>
    <format dxfId="648">
      <pivotArea dataOnly="0" labelOnly="1" fieldPosition="0">
        <references count="1">
          <reference field="0" count="11">
            <x v="12"/>
            <x v="13"/>
            <x v="14"/>
            <x v="15"/>
            <x v="16"/>
            <x v="17"/>
            <x v="18"/>
            <x v="19"/>
            <x v="20"/>
            <x v="21"/>
            <x v="22"/>
          </reference>
        </references>
      </pivotArea>
    </format>
    <format dxfId="647">
      <pivotArea dataOnly="0" labelOnly="1" fieldPosition="0">
        <references count="1">
          <reference field="0" count="6">
            <x v="23"/>
            <x v="24"/>
            <x v="25"/>
            <x v="26"/>
            <x v="27"/>
            <x v="28"/>
          </reference>
        </references>
      </pivotArea>
    </format>
    <format dxfId="646">
      <pivotArea dataOnly="0" labelOnly="1" fieldPosition="0">
        <references count="1">
          <reference field="0" count="5">
            <x v="29"/>
            <x v="30"/>
            <x v="31"/>
            <x v="32"/>
            <x v="33"/>
          </reference>
        </references>
      </pivotArea>
    </format>
    <format dxfId="645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208" dT="2021-05-20T17:12:05.77" personId="{98EDF642-4B36-4D24-AA47-5833063B2A3E}" id="{D6C78E67-F792-4BED-97F9-FA98DD7EEB4E}">
    <text>ITEM ALTERADO</text>
  </threadedComment>
  <threadedComment ref="F413" dT="2021-05-20T17:16:33.57" personId="{98EDF642-4B36-4D24-AA47-5833063B2A3E}" id="{F41E0493-AB36-47DC-88BA-B86AAF59DD26}">
    <text>PRANCHA 8</text>
  </threadedComment>
  <threadedComment ref="A502" dT="2021-05-20T17:19:22.90" personId="{98EDF642-4B36-4D24-AA47-5833063B2A3E}" id="{EF185630-6B6A-41F6-9197-11D42D0CEDBB}">
    <text>ESTAVA 16 UN, DAÍ FOI CORRIGIDO</text>
  </threadedComment>
  <threadedComment ref="F572" dT="2021-05-20T17:34:47.73" personId="{98EDF642-4B36-4D24-AA47-5833063B2A3E}" id="{EADCF8F0-C3F9-4F32-A9C7-B542AA7D7D4D}">
    <text>era 4,7</text>
  </threadedComment>
  <threadedComment ref="F577" dT="2021-05-20T17:34:37.18" personId="{98EDF642-4B36-4D24-AA47-5833063B2A3E}" id="{33411486-F9D4-48A8-9BA8-7C41BC3BBA49}">
    <text>era=4,7m</text>
  </threadedComment>
  <threadedComment ref="E582" dT="2021-05-20T17:33:46.79" personId="{98EDF642-4B36-4D24-AA47-5833063B2A3E}" id="{B9F00A82-ECAC-49F2-9993-41291C4C4C6E}">
    <text>era 3,5 m e foi alterado pois não correspondia com o projeto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2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3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4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5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4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9.xml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2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38.bin"/><Relationship Id="rId4" Type="http://schemas.openxmlformats.org/officeDocument/2006/relationships/comments" Target="../comments21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4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41.bin"/><Relationship Id="rId4" Type="http://schemas.openxmlformats.org/officeDocument/2006/relationships/comments" Target="../comments23.xml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1">
    <pageSetUpPr fitToPage="1"/>
  </sheetPr>
  <dimension ref="A1:N74"/>
  <sheetViews>
    <sheetView showGridLines="0" showZeros="0" workbookViewId="0">
      <selection activeCell="D1" sqref="D1"/>
    </sheetView>
  </sheetViews>
  <sheetFormatPr defaultColWidth="9" defaultRowHeight="12.75" customHeight="1" x14ac:dyDescent="0.2"/>
  <cols>
    <col min="1" max="13" width="9" customWidth="1"/>
    <col min="14" max="14" width="17.125" customWidth="1"/>
    <col min="15" max="18" width="9" customWidth="1"/>
  </cols>
  <sheetData>
    <row r="1" spans="1:14" ht="13.5" thickTop="1" x14ac:dyDescent="0.2">
      <c r="A1" s="267"/>
      <c r="B1" s="268"/>
      <c r="C1" s="268"/>
      <c r="D1" s="268"/>
      <c r="E1" s="268"/>
      <c r="F1" s="268"/>
      <c r="G1" s="268"/>
      <c r="H1" s="268"/>
      <c r="I1" s="268"/>
      <c r="J1" s="268"/>
      <c r="K1" s="268"/>
      <c r="L1" s="268"/>
      <c r="M1" s="268"/>
      <c r="N1" s="269"/>
    </row>
    <row r="2" spans="1:14" ht="12.75" customHeight="1" x14ac:dyDescent="0.2">
      <c r="A2" s="461"/>
      <c r="N2" s="270"/>
    </row>
    <row r="3" spans="1:14" ht="12.75" customHeight="1" x14ac:dyDescent="0.2">
      <c r="A3" s="461"/>
      <c r="N3" s="270"/>
    </row>
    <row r="4" spans="1:14" ht="12.75" customHeight="1" x14ac:dyDescent="0.2">
      <c r="A4" s="461"/>
      <c r="N4" s="270"/>
    </row>
    <row r="5" spans="1:14" ht="12.75" customHeight="1" x14ac:dyDescent="0.2">
      <c r="A5" s="461"/>
      <c r="N5" s="270"/>
    </row>
    <row r="6" spans="1:14" ht="12.75" customHeight="1" x14ac:dyDescent="0.2">
      <c r="A6" s="461"/>
      <c r="N6" s="270"/>
    </row>
    <row r="7" spans="1:14" ht="12.75" customHeight="1" x14ac:dyDescent="0.2">
      <c r="A7" s="461"/>
      <c r="N7" s="270"/>
    </row>
    <row r="8" spans="1:14" ht="12.75" customHeight="1" x14ac:dyDescent="0.2">
      <c r="A8" s="461"/>
      <c r="N8" s="270"/>
    </row>
    <row r="9" spans="1:14" ht="12.75" customHeight="1" x14ac:dyDescent="0.2">
      <c r="A9" s="461"/>
      <c r="N9" s="270"/>
    </row>
    <row r="10" spans="1:14" ht="12.75" customHeight="1" x14ac:dyDescent="0.2">
      <c r="A10" s="461"/>
      <c r="N10" s="270"/>
    </row>
    <row r="11" spans="1:14" ht="12.75" customHeight="1" x14ac:dyDescent="0.2">
      <c r="A11" s="461"/>
      <c r="N11" s="270"/>
    </row>
    <row r="12" spans="1:14" ht="12.75" customHeight="1" x14ac:dyDescent="0.2">
      <c r="A12" s="461"/>
      <c r="N12" s="270"/>
    </row>
    <row r="13" spans="1:14" ht="12.75" customHeight="1" x14ac:dyDescent="0.2">
      <c r="A13" s="461"/>
      <c r="N13" s="270"/>
    </row>
    <row r="14" spans="1:14" ht="12.75" customHeight="1" x14ac:dyDescent="0.2">
      <c r="A14" s="461"/>
      <c r="N14" s="270"/>
    </row>
    <row r="15" spans="1:14" ht="12.75" customHeight="1" x14ac:dyDescent="0.2">
      <c r="A15" s="461"/>
      <c r="N15" s="270"/>
    </row>
    <row r="16" spans="1:14" ht="12.75" customHeight="1" x14ac:dyDescent="0.2">
      <c r="A16" s="461"/>
      <c r="N16" s="270"/>
    </row>
    <row r="17" spans="1:14" ht="12.75" customHeight="1" x14ac:dyDescent="0.2">
      <c r="A17" s="461"/>
      <c r="N17" s="270"/>
    </row>
    <row r="18" spans="1:14" ht="12.75" customHeight="1" x14ac:dyDescent="0.2">
      <c r="A18" s="461"/>
      <c r="N18" s="270"/>
    </row>
    <row r="19" spans="1:14" ht="12.75" customHeight="1" x14ac:dyDescent="0.2">
      <c r="A19" s="461"/>
      <c r="N19" s="270"/>
    </row>
    <row r="20" spans="1:14" ht="12.75" customHeight="1" x14ac:dyDescent="0.2">
      <c r="A20" s="461"/>
      <c r="N20" s="270"/>
    </row>
    <row r="21" spans="1:14" ht="12.75" customHeight="1" x14ac:dyDescent="0.2">
      <c r="A21" s="461"/>
      <c r="N21" s="270"/>
    </row>
    <row r="22" spans="1:14" ht="12.75" customHeight="1" x14ac:dyDescent="0.2">
      <c r="A22" s="461"/>
      <c r="N22" s="270"/>
    </row>
    <row r="23" spans="1:14" ht="12.75" customHeight="1" x14ac:dyDescent="0.2">
      <c r="A23" s="461"/>
      <c r="N23" s="270"/>
    </row>
    <row r="24" spans="1:14" ht="12.75" customHeight="1" x14ac:dyDescent="0.2">
      <c r="A24" s="461"/>
      <c r="N24" s="270"/>
    </row>
    <row r="25" spans="1:14" ht="12.75" customHeight="1" x14ac:dyDescent="0.2">
      <c r="A25" s="461"/>
      <c r="N25" s="270"/>
    </row>
    <row r="26" spans="1:14" ht="12.75" customHeight="1" x14ac:dyDescent="0.2">
      <c r="A26" s="461"/>
      <c r="N26" s="270"/>
    </row>
    <row r="27" spans="1:14" ht="12.75" customHeight="1" x14ac:dyDescent="0.2">
      <c r="A27" s="461"/>
      <c r="N27" s="270"/>
    </row>
    <row r="28" spans="1:14" ht="12.75" customHeight="1" x14ac:dyDescent="0.2">
      <c r="A28" s="461"/>
      <c r="N28" s="270"/>
    </row>
    <row r="29" spans="1:14" ht="12.75" customHeight="1" x14ac:dyDescent="0.2">
      <c r="A29" s="461"/>
      <c r="N29" s="270"/>
    </row>
    <row r="30" spans="1:14" ht="12.75" customHeight="1" x14ac:dyDescent="0.2">
      <c r="A30" s="461"/>
      <c r="N30" s="270"/>
    </row>
    <row r="31" spans="1:14" ht="12.75" customHeight="1" x14ac:dyDescent="0.2">
      <c r="A31" s="461"/>
      <c r="N31" s="270"/>
    </row>
    <row r="32" spans="1:14" ht="12.75" customHeight="1" x14ac:dyDescent="0.2">
      <c r="A32" s="461"/>
      <c r="N32" s="270"/>
    </row>
    <row r="33" spans="1:14" ht="12.75" customHeight="1" x14ac:dyDescent="0.2">
      <c r="A33" s="461"/>
      <c r="N33" s="270"/>
    </row>
    <row r="34" spans="1:14" ht="12.75" customHeight="1" x14ac:dyDescent="0.2">
      <c r="A34" s="461"/>
      <c r="N34" s="270"/>
    </row>
    <row r="35" spans="1:14" ht="12.75" customHeight="1" x14ac:dyDescent="0.2">
      <c r="A35" s="461"/>
      <c r="N35" s="270"/>
    </row>
    <row r="36" spans="1:14" ht="12.75" customHeight="1" x14ac:dyDescent="0.2">
      <c r="A36" s="461"/>
      <c r="N36" s="270"/>
    </row>
    <row r="37" spans="1:14" ht="12.75" customHeight="1" x14ac:dyDescent="0.2">
      <c r="A37" s="461"/>
      <c r="N37" s="270"/>
    </row>
    <row r="38" spans="1:14" ht="12.75" customHeight="1" x14ac:dyDescent="0.2">
      <c r="A38" s="461"/>
      <c r="N38" s="270"/>
    </row>
    <row r="39" spans="1:14" ht="12.75" customHeight="1" x14ac:dyDescent="0.2">
      <c r="A39" s="461"/>
      <c r="N39" s="270"/>
    </row>
    <row r="40" spans="1:14" ht="12.75" customHeight="1" x14ac:dyDescent="0.2">
      <c r="A40" s="461"/>
      <c r="N40" s="270"/>
    </row>
    <row r="41" spans="1:14" ht="12.75" customHeight="1" x14ac:dyDescent="0.2">
      <c r="A41" s="461"/>
      <c r="N41" s="270"/>
    </row>
    <row r="42" spans="1:14" ht="12.75" customHeight="1" x14ac:dyDescent="0.2">
      <c r="A42" s="461"/>
      <c r="N42" s="270"/>
    </row>
    <row r="43" spans="1:14" ht="12.75" customHeight="1" x14ac:dyDescent="0.2">
      <c r="A43" s="461"/>
      <c r="N43" s="270"/>
    </row>
    <row r="44" spans="1:14" ht="12.75" customHeight="1" x14ac:dyDescent="0.2">
      <c r="A44" s="461"/>
      <c r="N44" s="270"/>
    </row>
    <row r="45" spans="1:14" ht="12.75" customHeight="1" x14ac:dyDescent="0.2">
      <c r="A45" s="461"/>
      <c r="N45" s="270"/>
    </row>
    <row r="46" spans="1:14" ht="12.75" customHeight="1" x14ac:dyDescent="0.2">
      <c r="A46" s="461"/>
      <c r="N46" s="270"/>
    </row>
    <row r="47" spans="1:14" ht="12.75" customHeight="1" x14ac:dyDescent="0.2">
      <c r="A47" s="461"/>
      <c r="N47" s="270"/>
    </row>
    <row r="48" spans="1:14" ht="12.75" customHeight="1" x14ac:dyDescent="0.2">
      <c r="A48" s="461"/>
      <c r="N48" s="270"/>
    </row>
    <row r="49" spans="1:14" ht="12.75" customHeight="1" x14ac:dyDescent="0.2">
      <c r="A49" s="461"/>
      <c r="N49" s="270"/>
    </row>
    <row r="50" spans="1:14" ht="12.75" customHeight="1" x14ac:dyDescent="0.2">
      <c r="A50" s="461"/>
      <c r="N50" s="270"/>
    </row>
    <row r="51" spans="1:14" ht="12.75" customHeight="1" x14ac:dyDescent="0.2">
      <c r="A51" s="461"/>
      <c r="N51" s="270"/>
    </row>
    <row r="52" spans="1:14" ht="12.75" customHeight="1" x14ac:dyDescent="0.2">
      <c r="A52" s="461"/>
      <c r="N52" s="270"/>
    </row>
    <row r="53" spans="1:14" x14ac:dyDescent="0.2">
      <c r="A53" s="461"/>
      <c r="N53" s="270"/>
    </row>
    <row r="54" spans="1:14" x14ac:dyDescent="0.2">
      <c r="A54" s="461"/>
      <c r="N54" s="270"/>
    </row>
    <row r="55" spans="1:14" ht="12.75" customHeight="1" x14ac:dyDescent="0.2">
      <c r="A55" s="461"/>
      <c r="N55" s="270"/>
    </row>
    <row r="56" spans="1:14" ht="12.75" customHeight="1" x14ac:dyDescent="0.2">
      <c r="A56" s="461"/>
      <c r="N56" s="270"/>
    </row>
    <row r="57" spans="1:14" ht="12.75" customHeight="1" x14ac:dyDescent="0.2">
      <c r="A57" s="461"/>
      <c r="N57" s="270"/>
    </row>
    <row r="58" spans="1:14" ht="12.75" customHeight="1" x14ac:dyDescent="0.2">
      <c r="A58" s="461"/>
      <c r="N58" s="270"/>
    </row>
    <row r="59" spans="1:14" ht="12.75" customHeight="1" x14ac:dyDescent="0.2">
      <c r="A59" s="461"/>
      <c r="N59" s="270"/>
    </row>
    <row r="60" spans="1:14" ht="12.75" customHeight="1" x14ac:dyDescent="0.2">
      <c r="A60" s="461"/>
      <c r="N60" s="270"/>
    </row>
    <row r="61" spans="1:14" ht="12.75" customHeight="1" x14ac:dyDescent="0.2">
      <c r="A61" s="461"/>
      <c r="N61" s="270"/>
    </row>
    <row r="62" spans="1:14" ht="12.75" customHeight="1" x14ac:dyDescent="0.2">
      <c r="A62" s="461"/>
      <c r="N62" s="270"/>
    </row>
    <row r="63" spans="1:14" ht="12.75" customHeight="1" x14ac:dyDescent="0.2">
      <c r="A63" s="461"/>
      <c r="N63" s="270"/>
    </row>
    <row r="64" spans="1:14" ht="12.75" customHeight="1" x14ac:dyDescent="0.2">
      <c r="A64" s="461"/>
      <c r="N64" s="270"/>
    </row>
    <row r="65" spans="1:14" ht="12.75" customHeight="1" x14ac:dyDescent="0.2">
      <c r="A65" s="461"/>
      <c r="N65" s="270"/>
    </row>
    <row r="66" spans="1:14" ht="12.75" customHeight="1" x14ac:dyDescent="0.2">
      <c r="A66" s="461"/>
      <c r="N66" s="270"/>
    </row>
    <row r="67" spans="1:14" ht="12.75" customHeight="1" x14ac:dyDescent="0.2">
      <c r="A67" s="461"/>
      <c r="N67" s="270"/>
    </row>
    <row r="68" spans="1:14" ht="12.75" customHeight="1" x14ac:dyDescent="0.2">
      <c r="A68" s="461"/>
      <c r="N68" s="270"/>
    </row>
    <row r="69" spans="1:14" ht="12.75" customHeight="1" x14ac:dyDescent="0.2">
      <c r="A69" s="461"/>
      <c r="N69" s="270"/>
    </row>
    <row r="70" spans="1:14" ht="12.75" customHeight="1" x14ac:dyDescent="0.2">
      <c r="A70" s="461"/>
      <c r="N70" s="270"/>
    </row>
    <row r="71" spans="1:14" ht="12.75" customHeight="1" x14ac:dyDescent="0.2">
      <c r="A71" s="461"/>
      <c r="N71" s="270"/>
    </row>
    <row r="72" spans="1:14" ht="12.75" customHeight="1" x14ac:dyDescent="0.2">
      <c r="A72" s="461"/>
      <c r="N72" s="270"/>
    </row>
    <row r="73" spans="1:14" ht="13.5" thickBot="1" x14ac:dyDescent="0.25">
      <c r="A73" s="271"/>
      <c r="B73" s="526"/>
      <c r="C73" s="526"/>
      <c r="D73" s="526"/>
      <c r="E73" s="526"/>
      <c r="F73" s="526"/>
      <c r="G73" s="526"/>
      <c r="H73" s="526"/>
      <c r="I73" s="526"/>
      <c r="J73" s="526"/>
      <c r="K73" s="526"/>
      <c r="L73" s="526"/>
      <c r="M73" s="526"/>
      <c r="N73" s="272"/>
    </row>
    <row r="74" spans="1:14" ht="13.5" thickTop="1" x14ac:dyDescent="0.2">
      <c r="A74" s="268"/>
      <c r="B74" s="268"/>
      <c r="C74" s="268"/>
      <c r="D74" s="268"/>
      <c r="E74" s="268"/>
      <c r="F74" s="268"/>
      <c r="G74" s="268"/>
      <c r="H74" s="268"/>
      <c r="I74" s="268"/>
      <c r="J74" s="268"/>
      <c r="K74" s="268"/>
      <c r="L74" s="268"/>
      <c r="M74" s="268"/>
      <c r="N74" s="268"/>
    </row>
  </sheetData>
  <pageMargins left="0.51181102362204722" right="0.51181102362204722" top="0.78740157480314965" bottom="0.78740157480314965" header="0.31496062992125984" footer="0.31496062992125984"/>
  <pageSetup paperSize="9" scale="7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2">
    <pageSetUpPr fitToPage="1"/>
  </sheetPr>
  <dimension ref="A1:V102"/>
  <sheetViews>
    <sheetView showZeros="0" zoomScale="85" zoomScaleNormal="85" workbookViewId="0"/>
  </sheetViews>
  <sheetFormatPr defaultColWidth="9" defaultRowHeight="12.75" x14ac:dyDescent="0.15"/>
  <cols>
    <col min="1" max="1" width="15.625" style="325" customWidth="1"/>
    <col min="2" max="2" width="90.625" style="325" customWidth="1"/>
    <col min="3" max="3" width="7.625" style="325" customWidth="1"/>
    <col min="4" max="4" width="6.5" style="325" customWidth="1"/>
    <col min="5" max="6" width="12.625" style="325" customWidth="1"/>
    <col min="7" max="7" width="18.25" style="325" customWidth="1"/>
    <col min="8" max="8" width="12.875" style="325" customWidth="1"/>
    <col min="9" max="9" width="8.25" style="325" customWidth="1"/>
    <col min="10" max="10" width="16" style="325" customWidth="1"/>
    <col min="11" max="11" width="10.625" style="325" customWidth="1"/>
    <col min="12" max="12" width="9" style="525" customWidth="1"/>
    <col min="13" max="13" width="13.25" style="525" customWidth="1"/>
    <col min="14" max="14" width="9" style="525" customWidth="1"/>
    <col min="15" max="17" width="9" style="325" customWidth="1"/>
    <col min="18" max="18" width="9" style="325"/>
    <col min="19" max="19" width="13.375" style="325" customWidth="1"/>
    <col min="20" max="16384" width="9" style="325"/>
  </cols>
  <sheetData>
    <row r="1" spans="1:22" s="4" customFormat="1" ht="24.95" customHeight="1" x14ac:dyDescent="0.15">
      <c r="A1" s="853" t="str">
        <f>Orçamento_Não_Deson!B1</f>
        <v>PREFEITURA MUNICIPAL DE CAMPO GRANDE - MS</v>
      </c>
      <c r="B1" s="459"/>
      <c r="C1" s="316"/>
      <c r="D1" s="316"/>
      <c r="H1" s="226"/>
      <c r="K1" s="872" t="s">
        <v>374</v>
      </c>
      <c r="L1" s="693" t="s">
        <v>764</v>
      </c>
      <c r="M1" s="317"/>
      <c r="N1" s="317"/>
      <c r="O1" s="317"/>
      <c r="P1" s="317"/>
    </row>
    <row r="2" spans="1:22" s="4" customFormat="1" ht="24.95" customHeight="1" x14ac:dyDescent="0.15">
      <c r="A2" s="460" t="str">
        <f>Orçamento_Não_Deson!B2</f>
        <v>SECRETARIA MUNICIPAL DE INFRAESTRUTURA E SERVIÇOS PÚBLICOS - SISEP</v>
      </c>
      <c r="B2" s="460"/>
      <c r="C2" s="318"/>
      <c r="D2" s="318"/>
      <c r="E2" s="319"/>
      <c r="H2" s="226"/>
      <c r="K2" s="872" t="s">
        <v>374</v>
      </c>
      <c r="L2" s="692" t="s">
        <v>2026</v>
      </c>
      <c r="M2" s="317"/>
    </row>
    <row r="3" spans="1:22" s="4" customFormat="1" ht="24.95" customHeight="1" x14ac:dyDescent="0.15">
      <c r="A3" s="320"/>
      <c r="B3" s="437"/>
      <c r="C3" s="318"/>
      <c r="D3" s="318"/>
      <c r="E3" s="319"/>
      <c r="H3" s="226"/>
      <c r="K3" s="872" t="s">
        <v>374</v>
      </c>
      <c r="L3" s="692" t="s">
        <v>765</v>
      </c>
      <c r="M3" s="317"/>
    </row>
    <row r="4" spans="1:22" s="4" customFormat="1" ht="24.95" customHeight="1" x14ac:dyDescent="0.15">
      <c r="A4" s="865">
        <f>Orçamento_Não_Deson!B4</f>
        <v>0</v>
      </c>
      <c r="B4" s="462">
        <f>Orçamento_Não_Deson!C4</f>
        <v>0</v>
      </c>
      <c r="C4" s="321"/>
      <c r="D4" s="321"/>
      <c r="E4" s="322"/>
      <c r="F4" s="226"/>
      <c r="G4" s="314"/>
      <c r="H4" s="226"/>
      <c r="K4" s="872" t="s">
        <v>374</v>
      </c>
      <c r="L4" s="692" t="s">
        <v>766</v>
      </c>
      <c r="M4" s="317"/>
    </row>
    <row r="5" spans="1:22" s="4" customFormat="1" ht="24.95" customHeight="1" x14ac:dyDescent="0.15">
      <c r="A5" s="865" t="str">
        <f>Orçamento_Não_Deson!B5</f>
        <v>OBRA :</v>
      </c>
      <c r="B5" s="462" t="str">
        <f>Orçamento_Não_Deson!C5</f>
        <v xml:space="preserve">INFRAESTRUTURA URBANA - PAVIMENTAÇÃO ASFÁLTICA E DRENAGEM DE ÁGUAS PLUVIAIS </v>
      </c>
      <c r="C5" s="438"/>
      <c r="D5" s="438"/>
      <c r="E5" s="323"/>
      <c r="F5" s="1678" t="s">
        <v>114</v>
      </c>
      <c r="G5" s="1692" t="str">
        <f>Orçamento_Não_Deson!J1</f>
        <v>Agosto/2023</v>
      </c>
      <c r="H5" s="226"/>
      <c r="K5" s="872" t="s">
        <v>374</v>
      </c>
      <c r="L5" s="317"/>
      <c r="M5" s="317"/>
    </row>
    <row r="6" spans="1:22" s="4" customFormat="1" ht="32.1" customHeight="1" x14ac:dyDescent="0.15">
      <c r="A6" s="865" t="str">
        <f>Orçamento_Não_Deson!B6</f>
        <v>LOCAL :</v>
      </c>
      <c r="B6" s="2377" t="str">
        <f>Orçamento_Não_Deson!C6</f>
        <v>JARDIM NASHIVILLE - ETAPA "B" - FASE 2</v>
      </c>
      <c r="C6" s="438"/>
      <c r="D6" s="438"/>
      <c r="E6" s="321"/>
      <c r="F6" s="1678" t="s">
        <v>420</v>
      </c>
      <c r="G6" s="1679" t="str">
        <f>Orçamento_Não_Deson!$J$2</f>
        <v>NÃO DESONERADA</v>
      </c>
      <c r="H6" s="226"/>
      <c r="K6" s="872" t="s">
        <v>374</v>
      </c>
      <c r="L6" s="692" t="s">
        <v>2027</v>
      </c>
    </row>
    <row r="7" spans="1:22" s="4" customFormat="1" ht="24.95" customHeight="1" x14ac:dyDescent="0.15">
      <c r="A7" s="865" t="str">
        <f>Orçamento_Não_Deson!B7</f>
        <v>MUNICÍPIO :</v>
      </c>
      <c r="B7" s="462" t="str">
        <f>Orçamento_Não_Deson!C7</f>
        <v>CAMPO GRANDE / MS</v>
      </c>
      <c r="C7" s="439"/>
      <c r="D7" s="439"/>
      <c r="E7" s="321"/>
      <c r="F7" s="321"/>
      <c r="G7" s="321"/>
      <c r="H7" s="324"/>
      <c r="K7" s="872" t="s">
        <v>374</v>
      </c>
      <c r="L7" s="692" t="s">
        <v>2028</v>
      </c>
    </row>
    <row r="8" spans="1:22" s="4" customFormat="1" ht="24.95" customHeight="1" x14ac:dyDescent="0.15">
      <c r="A8" s="323"/>
      <c r="B8" s="323"/>
      <c r="C8" s="439"/>
      <c r="D8" s="439"/>
      <c r="E8" s="321"/>
      <c r="F8" s="321"/>
      <c r="G8" s="321"/>
      <c r="I8" s="522" t="s">
        <v>74</v>
      </c>
      <c r="J8" s="483">
        <v>0.8</v>
      </c>
      <c r="K8" s="872" t="s">
        <v>374</v>
      </c>
      <c r="N8" s="317"/>
    </row>
    <row r="9" spans="1:22" s="4" customFormat="1" ht="24.95" customHeight="1" x14ac:dyDescent="0.15">
      <c r="B9" s="323"/>
      <c r="C9" s="323"/>
      <c r="D9" s="323"/>
      <c r="E9" s="321"/>
      <c r="F9" s="321"/>
      <c r="G9" s="321"/>
      <c r="I9" s="521" t="s">
        <v>73</v>
      </c>
      <c r="J9" s="482">
        <v>0.95</v>
      </c>
      <c r="K9" s="872" t="s">
        <v>374</v>
      </c>
      <c r="L9" s="525"/>
      <c r="M9" s="525"/>
      <c r="N9" s="525"/>
      <c r="O9" s="525"/>
      <c r="P9" s="525"/>
      <c r="Q9" s="525"/>
      <c r="R9" s="525"/>
      <c r="S9" s="525"/>
      <c r="T9" s="525"/>
      <c r="U9" s="525"/>
      <c r="V9" s="525"/>
    </row>
    <row r="10" spans="1:22" s="4" customFormat="1" ht="24.95" customHeight="1" x14ac:dyDescent="0.15">
      <c r="A10" s="516" t="s">
        <v>666</v>
      </c>
      <c r="B10" s="480"/>
      <c r="C10" s="480"/>
      <c r="D10" s="480"/>
      <c r="E10" s="321"/>
      <c r="F10" s="321"/>
      <c r="G10" s="321"/>
      <c r="I10" s="520" t="s">
        <v>72</v>
      </c>
      <c r="J10" s="481">
        <v>1</v>
      </c>
      <c r="K10" s="872" t="s">
        <v>374</v>
      </c>
      <c r="L10" s="525"/>
      <c r="M10" s="525"/>
      <c r="N10" s="525"/>
      <c r="O10" s="525"/>
      <c r="P10" s="525"/>
      <c r="Q10" s="525"/>
      <c r="R10" s="525"/>
      <c r="S10" s="525"/>
      <c r="T10" s="525"/>
      <c r="U10" s="525"/>
      <c r="V10" s="525"/>
    </row>
    <row r="11" spans="1:22" s="4" customFormat="1" ht="24.95" customHeight="1" thickBot="1" x14ac:dyDescent="0.2">
      <c r="K11" s="872" t="s">
        <v>374</v>
      </c>
      <c r="L11" s="525"/>
      <c r="M11" s="525"/>
      <c r="N11" s="525"/>
      <c r="O11" s="525"/>
      <c r="P11" s="525"/>
      <c r="Q11" s="525"/>
      <c r="R11" s="525"/>
      <c r="S11" s="525"/>
      <c r="T11" s="525"/>
      <c r="U11" s="525"/>
      <c r="V11" s="525"/>
    </row>
    <row r="12" spans="1:22" s="3" customFormat="1" ht="50.1" customHeight="1" thickTop="1" thickBot="1" x14ac:dyDescent="0.2">
      <c r="A12" s="684" t="s">
        <v>186</v>
      </c>
      <c r="B12" s="666" t="s">
        <v>40</v>
      </c>
      <c r="C12" s="666" t="s">
        <v>33</v>
      </c>
      <c r="D12" s="665" t="s">
        <v>667</v>
      </c>
      <c r="E12" s="665" t="s">
        <v>336</v>
      </c>
      <c r="F12" s="524" t="s">
        <v>664</v>
      </c>
      <c r="G12" s="524" t="s">
        <v>665</v>
      </c>
      <c r="H12" s="666" t="s">
        <v>769</v>
      </c>
      <c r="I12" s="685" t="s">
        <v>770</v>
      </c>
      <c r="J12" s="2366" t="s">
        <v>620</v>
      </c>
      <c r="L12" s="525"/>
      <c r="M12" s="525"/>
      <c r="N12" s="525"/>
      <c r="O12" s="525"/>
      <c r="P12" s="525"/>
      <c r="Q12" s="525"/>
      <c r="R12" s="525"/>
      <c r="S12" s="525"/>
      <c r="T12" s="525"/>
      <c r="U12" s="525"/>
      <c r="V12" s="525"/>
    </row>
    <row r="13" spans="1:22" ht="24.95" customHeight="1" thickTop="1" x14ac:dyDescent="0.15">
      <c r="A13" s="528"/>
      <c r="B13" s="527" t="s">
        <v>37</v>
      </c>
      <c r="C13" s="529"/>
      <c r="D13" s="713">
        <f>SUM(D14:D102)</f>
        <v>107</v>
      </c>
      <c r="E13" s="528"/>
      <c r="F13" s="327"/>
      <c r="G13" s="326">
        <f>SUM(G14:G102)</f>
        <v>3681004.5300000012</v>
      </c>
      <c r="H13" s="531" t="str">
        <f ca="1">IF(G13=Orçamento_Não_Deson!J12,"","ERRO SOMATÓRIO")</f>
        <v>ERRO SOMATÓRIO</v>
      </c>
      <c r="I13" s="530"/>
      <c r="J13" s="686">
        <f ca="1">G13-Orçamento_Não_Deson!J12</f>
        <v>1948.9500000011176</v>
      </c>
      <c r="K13" s="897" t="s">
        <v>374</v>
      </c>
      <c r="O13" s="525"/>
      <c r="P13" s="525"/>
      <c r="Q13" s="525"/>
      <c r="R13" s="525"/>
      <c r="S13" s="525"/>
      <c r="T13" s="525"/>
      <c r="U13" s="525"/>
      <c r="V13" s="525"/>
    </row>
    <row r="14" spans="1:22" ht="39.950000000000003" customHeight="1" x14ac:dyDescent="0.15">
      <c r="A14" s="317" t="str">
        <f>Planilha6!A4</f>
        <v>PA/0040</v>
      </c>
      <c r="B14" s="517" t="str">
        <f>VLOOKUP($A14,'Orçamento auxliar'!A:F,2,0)</f>
        <v>Construção de pavimento com aplicação de concreto betuminoso usinado à quente (CBUQ - faixa C - CAP 30/45 - usina comercial), camada de rolamento, exclusive transporte da mistura (REF. SINAPI COD. 95995)</v>
      </c>
      <c r="C14" s="687" t="str">
        <f>VLOOKUP($A14,'Orçamento auxliar'!A:F,3,0)</f>
        <v>M3</v>
      </c>
      <c r="D14" s="317">
        <f>VLOOKUP($A14,Planilha6!$A:$D,2,0)</f>
        <v>1</v>
      </c>
      <c r="E14" s="518">
        <f>VLOOKUP($A14,Planilha6!$A:$D,3,0)</f>
        <v>439.39</v>
      </c>
      <c r="F14" s="518">
        <f>VLOOKUP($A14,'Orçamento auxliar'!A:F,5,0)</f>
        <v>1980.23</v>
      </c>
      <c r="G14" s="518">
        <f>VLOOKUP($A14,Planilha6!$A:$E,4,0)</f>
        <v>870093.25</v>
      </c>
      <c r="H14" s="519">
        <f t="shared" ref="H14" si="0">G14/$G$13</f>
        <v>0.23637386015387482</v>
      </c>
      <c r="I14" s="519">
        <f t="shared" ref="I14" si="1">I13+H14</f>
        <v>0.23637386015387482</v>
      </c>
      <c r="J14" s="688" t="str">
        <f t="shared" ref="J14" si="2">IF(I14&lt;=$J$8,$I$8,IF(I14&lt;=$J$9,$I$9,$I$10))</f>
        <v>A</v>
      </c>
      <c r="K14" s="897" t="s">
        <v>374</v>
      </c>
    </row>
    <row r="15" spans="1:22" ht="30" customHeight="1" x14ac:dyDescent="0.15">
      <c r="A15" s="317">
        <f>Planilha6!A5</f>
        <v>95876</v>
      </c>
      <c r="B15" s="517" t="str">
        <f>VLOOKUP($A15,'Orçamento auxliar'!A:F,2,0)</f>
        <v>Transporte com caminhão basculante de 14 m3, em via urbana pavimentada, DMT até 30,00 km (unidade: m3xkm). AF_07/2020</v>
      </c>
      <c r="C15" s="687" t="str">
        <f>VLOOKUP($A15,'Orçamento auxliar'!A:F,3,0)</f>
        <v>M3XKM</v>
      </c>
      <c r="D15" s="317">
        <f>VLOOKUP($A15,Planilha6!$A:$D,2,0)</f>
        <v>10</v>
      </c>
      <c r="E15" s="518">
        <f>VLOOKUP($A15,Planilha6!$A:$D,3,0)</f>
        <v>182639.55</v>
      </c>
      <c r="F15" s="518">
        <f>VLOOKUP($A15,'Orçamento auxliar'!A:F,5,0)</f>
        <v>2.52</v>
      </c>
      <c r="G15" s="518">
        <f>VLOOKUP($A15,Planilha6!$A:$E,4,0)</f>
        <v>460251.64</v>
      </c>
      <c r="H15" s="519">
        <f t="shared" ref="H15:H78" si="3">G15/$G$13</f>
        <v>0.12503424982201797</v>
      </c>
      <c r="I15" s="519">
        <f t="shared" ref="I15:I78" si="4">I14+H15</f>
        <v>0.36140810997589279</v>
      </c>
      <c r="J15" s="688" t="str">
        <f t="shared" ref="J15:J78" si="5">IF(I15&lt;=$J$8,$I$8,IF(I15&lt;=$J$9,$I$9,$I$10))</f>
        <v>A</v>
      </c>
      <c r="K15" s="897" t="s">
        <v>374</v>
      </c>
    </row>
    <row r="16" spans="1:22" ht="30" customHeight="1" x14ac:dyDescent="0.15">
      <c r="A16" s="317">
        <f>Planilha6!A6</f>
        <v>4748</v>
      </c>
      <c r="B16" s="517" t="str">
        <f>VLOOKUP($A16,'Orçamento auxliar'!A:F,2,0)</f>
        <v>Pedra britada ou bica corrida, não classificada (posto pedreira/fornecedor, sem frete)</v>
      </c>
      <c r="C16" s="687" t="str">
        <f>VLOOKUP($A16,'Orçamento auxliar'!A:F,3,0)</f>
        <v xml:space="preserve">M3    </v>
      </c>
      <c r="D16" s="317">
        <f>VLOOKUP($A16,Planilha6!$A:$D,2,0)</f>
        <v>2</v>
      </c>
      <c r="E16" s="518">
        <f>VLOOKUP($A16,Planilha6!$A:$D,3,0)</f>
        <v>3400.47</v>
      </c>
      <c r="F16" s="518">
        <f>VLOOKUP($A16,'Orçamento auxliar'!A:F,5,0)</f>
        <v>111.21</v>
      </c>
      <c r="G16" s="518">
        <f>VLOOKUP($A16,Planilha6!$A:$E,4,0)</f>
        <v>378166.26</v>
      </c>
      <c r="H16" s="519">
        <f t="shared" si="3"/>
        <v>0.10273452719711809</v>
      </c>
      <c r="I16" s="519">
        <f t="shared" si="4"/>
        <v>0.46414263717301085</v>
      </c>
      <c r="J16" s="688" t="str">
        <f t="shared" si="5"/>
        <v>A</v>
      </c>
      <c r="K16" s="897" t="s">
        <v>374</v>
      </c>
    </row>
    <row r="17" spans="1:11" ht="39.950000000000003" customHeight="1" x14ac:dyDescent="0.15">
      <c r="A17" s="317">
        <f>Planilha6!A7</f>
        <v>94991</v>
      </c>
      <c r="B17" s="517" t="str">
        <f>VLOOKUP($A17,'Orçamento auxliar'!A:F,2,0)</f>
        <v>Execução de passeio (calçada) ou piso de concreto com concreto moldado in loco, usinado, acabamento convencional, não armado. AF_07/2016</v>
      </c>
      <c r="C17" s="687" t="str">
        <f>VLOOKUP($A17,'Orçamento auxliar'!A:F,3,0)</f>
        <v>M3</v>
      </c>
      <c r="D17" s="317">
        <f>VLOOKUP($A17,Planilha6!$A:$D,2,0)</f>
        <v>1</v>
      </c>
      <c r="E17" s="518">
        <f>VLOOKUP($A17,Planilha6!$A:$D,3,0)</f>
        <v>371.45</v>
      </c>
      <c r="F17" s="518">
        <f>VLOOKUP($A17,'Orçamento auxliar'!A:F,5,0)</f>
        <v>946.43</v>
      </c>
      <c r="G17" s="518">
        <f>VLOOKUP($A17,Planilha6!$A:$E,4,0)</f>
        <v>351551.42</v>
      </c>
      <c r="H17" s="519">
        <f t="shared" si="3"/>
        <v>9.5504207380043588E-2</v>
      </c>
      <c r="I17" s="519">
        <f t="shared" si="4"/>
        <v>0.55964684455305447</v>
      </c>
      <c r="J17" s="688" t="str">
        <f t="shared" si="5"/>
        <v>A</v>
      </c>
      <c r="K17" s="897" t="s">
        <v>374</v>
      </c>
    </row>
    <row r="18" spans="1:11" ht="39.950000000000003" customHeight="1" x14ac:dyDescent="0.15">
      <c r="A18" s="317" t="str">
        <f>Planilha6!A8</f>
        <v>SC/0005</v>
      </c>
      <c r="B18" s="517" t="str">
        <f>VLOOKUP($A18,'Orçamento auxliar'!A:F,2,0)</f>
        <v>Meio-fio (guia) com sarjeta, concreto FCK = 15mpa, seção 615 cm², moldado no local, inclusive escavação e pintura a cal em uma demão</v>
      </c>
      <c r="C18" s="687" t="str">
        <f>VLOOKUP($A18,'Orçamento auxliar'!A:F,3,0)</f>
        <v>M</v>
      </c>
      <c r="D18" s="317">
        <f>VLOOKUP($A18,Planilha6!$A:$D,2,0)</f>
        <v>1</v>
      </c>
      <c r="E18" s="518">
        <f>VLOOKUP($A18,Planilha6!$A:$D,3,0)</f>
        <v>3392.16</v>
      </c>
      <c r="F18" s="518">
        <f>VLOOKUP($A18,'Orçamento auxliar'!A:F,5,0)</f>
        <v>65.92</v>
      </c>
      <c r="G18" s="518">
        <f>VLOOKUP($A18,Planilha6!$A:$E,4,0)</f>
        <v>223611.18</v>
      </c>
      <c r="H18" s="519">
        <f t="shared" si="3"/>
        <v>6.0747325404676943E-2</v>
      </c>
      <c r="I18" s="519">
        <f t="shared" si="4"/>
        <v>0.62039416995773145</v>
      </c>
      <c r="J18" s="688" t="str">
        <f t="shared" si="5"/>
        <v>A</v>
      </c>
      <c r="K18" s="897" t="s">
        <v>374</v>
      </c>
    </row>
    <row r="19" spans="1:11" ht="30" customHeight="1" x14ac:dyDescent="0.15">
      <c r="A19" s="317" t="str">
        <f>Planilha6!A9</f>
        <v>CPU Adm Local</v>
      </c>
      <c r="B19" s="517" t="str">
        <f>VLOOKUP($A19,'Orçamento auxliar'!A:F,2,0)</f>
        <v>Administração local do canteiro de obras</v>
      </c>
      <c r="C19" s="687" t="str">
        <f>VLOOKUP($A19,'Orçamento auxliar'!A:F,3,0)</f>
        <v xml:space="preserve">un </v>
      </c>
      <c r="D19" s="317">
        <f>VLOOKUP($A19,Planilha6!$A:$D,2,0)</f>
        <v>1</v>
      </c>
      <c r="E19" s="518">
        <f>VLOOKUP($A19,Planilha6!$A:$D,3,0)</f>
        <v>1</v>
      </c>
      <c r="F19" s="518">
        <f>VLOOKUP($A19,'Orçamento auxliar'!A:F,5,0)</f>
        <v>167267.70000000001</v>
      </c>
      <c r="G19" s="518">
        <f>VLOOKUP($A19,Planilha6!$A:$E,4,0)</f>
        <v>167267.70000000001</v>
      </c>
      <c r="H19" s="519">
        <f t="shared" si="3"/>
        <v>4.5440775374432904E-2</v>
      </c>
      <c r="I19" s="519">
        <f t="shared" si="4"/>
        <v>0.66583494533216436</v>
      </c>
      <c r="J19" s="688" t="str">
        <f t="shared" si="5"/>
        <v>A</v>
      </c>
      <c r="K19" s="897" t="s">
        <v>374</v>
      </c>
    </row>
    <row r="20" spans="1:11" ht="39.950000000000003" customHeight="1" x14ac:dyDescent="0.15">
      <c r="A20" s="317" t="str">
        <f>Planilha6!A10</f>
        <v>DR/0275</v>
      </c>
      <c r="B20" s="517" t="str">
        <f>VLOOKUP($A20,'Orçamento auxliar'!A:F,2,0)</f>
        <v xml:space="preserve">BLTC - Boca-de-lobo tripla em concreto simples FCK 20 mpa, incluindo forma, escavação, sarjeta de contorno (chama) em concreto e grelhas em F°F° tipo pesada, conforme projeto </v>
      </c>
      <c r="C20" s="687" t="str">
        <f>VLOOKUP($A20,'Orçamento auxliar'!A:F,3,0)</f>
        <v>UN</v>
      </c>
      <c r="D20" s="317">
        <f>VLOOKUP($A20,Planilha6!$A:$D,2,0)</f>
        <v>1</v>
      </c>
      <c r="E20" s="518">
        <f>VLOOKUP($A20,Planilha6!$A:$D,3,0)</f>
        <v>15</v>
      </c>
      <c r="F20" s="518">
        <f>VLOOKUP($A20,'Orçamento auxliar'!A:F,5,0)</f>
        <v>5853.49</v>
      </c>
      <c r="G20" s="518">
        <f>VLOOKUP($A20,Planilha6!$A:$E,4,0)</f>
        <v>87802.35</v>
      </c>
      <c r="H20" s="519">
        <f t="shared" si="3"/>
        <v>2.385282313140755E-2</v>
      </c>
      <c r="I20" s="519">
        <f t="shared" si="4"/>
        <v>0.68968776846357194</v>
      </c>
      <c r="J20" s="688" t="str">
        <f t="shared" si="5"/>
        <v>A</v>
      </c>
      <c r="K20" s="897" t="s">
        <v>374</v>
      </c>
    </row>
    <row r="21" spans="1:11" ht="39.950000000000003" customHeight="1" x14ac:dyDescent="0.15">
      <c r="A21" s="317">
        <f>Planilha6!A11</f>
        <v>7750</v>
      </c>
      <c r="B21" s="517" t="str">
        <f>VLOOKUP($A21,'Orçamento auxliar'!A:F,2,0)</f>
        <v>Tubo de concreto armado para aguas pluviais, classe PA-1, com encaixe ponta e bolsa, diâmetro nominal de 0,80 m (533,00 kg/m) - Aquisição</v>
      </c>
      <c r="C21" s="687" t="str">
        <f>VLOOKUP($A21,'Orçamento auxliar'!A:F,3,0)</f>
        <v xml:space="preserve">M     </v>
      </c>
      <c r="D21" s="317">
        <f>VLOOKUP($A21,Planilha6!$A:$D,2,0)</f>
        <v>1</v>
      </c>
      <c r="E21" s="518">
        <f>VLOOKUP($A21,Planilha6!$A:$D,3,0)</f>
        <v>181.3</v>
      </c>
      <c r="F21" s="518">
        <f>VLOOKUP($A21,'Orçamento auxliar'!A:F,5,0)</f>
        <v>473.76</v>
      </c>
      <c r="G21" s="518">
        <f>VLOOKUP($A21,Planilha6!$A:$E,4,0)</f>
        <v>85892.68</v>
      </c>
      <c r="H21" s="519">
        <f t="shared" si="3"/>
        <v>2.3334032680475937E-2</v>
      </c>
      <c r="I21" s="519">
        <f t="shared" si="4"/>
        <v>0.7130218011440479</v>
      </c>
      <c r="J21" s="688" t="str">
        <f t="shared" si="5"/>
        <v>A</v>
      </c>
      <c r="K21" s="897" t="s">
        <v>374</v>
      </c>
    </row>
    <row r="22" spans="1:11" ht="39.950000000000003" customHeight="1" x14ac:dyDescent="0.15">
      <c r="A22" s="317" t="str">
        <f>Planilha6!A12</f>
        <v>DR/0135</v>
      </c>
      <c r="B22" s="517" t="str">
        <f>VLOOKUP($A22,'Orçamento auxliar'!A:F,2,0)</f>
        <v>PV-1 - Poço de Visita, com dimensões internas de 1,98m x 1,98m x 1,50m (bxbxh), em alvenaria de bloco de concreto estrutural FBK 14mpa, conforme projeto tipo. Exclusive pescoço e tampão</v>
      </c>
      <c r="C22" s="687" t="str">
        <f>VLOOKUP($A22,'Orçamento auxliar'!A:F,3,0)</f>
        <v>UN</v>
      </c>
      <c r="D22" s="317">
        <f>VLOOKUP($A22,Planilha6!$A:$D,2,0)</f>
        <v>1</v>
      </c>
      <c r="E22" s="518">
        <f>VLOOKUP($A22,Planilha6!$A:$D,3,0)</f>
        <v>10</v>
      </c>
      <c r="F22" s="518">
        <f>VLOOKUP($A22,'Orçamento auxliar'!A:F,5,0)</f>
        <v>8128.28</v>
      </c>
      <c r="G22" s="518">
        <f>VLOOKUP($A22,Planilha6!$A:$E,4,0)</f>
        <v>81282.8</v>
      </c>
      <c r="H22" s="519">
        <f t="shared" si="3"/>
        <v>2.2081689750053087E-2</v>
      </c>
      <c r="I22" s="519">
        <f t="shared" si="4"/>
        <v>0.73510349089410099</v>
      </c>
      <c r="J22" s="688" t="str">
        <f t="shared" si="5"/>
        <v>A</v>
      </c>
      <c r="K22" s="897" t="s">
        <v>374</v>
      </c>
    </row>
    <row r="23" spans="1:11" ht="30" customHeight="1" x14ac:dyDescent="0.15">
      <c r="A23" s="317" t="str">
        <f>Planilha6!A13</f>
        <v>PA/0025</v>
      </c>
      <c r="B23" s="517" t="str">
        <f>VLOOKUP($A23,'Orçamento auxliar'!A:F,2,0)</f>
        <v>Imprimação da base, execução e fornecimento de emulsão asfáltica EAI (REF. SINAPI COD. 102470)</v>
      </c>
      <c r="C23" s="687" t="str">
        <f>VLOOKUP($A23,'Orçamento auxliar'!A:F,3,0)</f>
        <v>M2</v>
      </c>
      <c r="D23" s="317">
        <f>VLOOKUP($A23,Planilha6!$A:$D,2,0)</f>
        <v>2</v>
      </c>
      <c r="E23" s="518">
        <f>VLOOKUP($A23,Planilha6!$A:$D,3,0)</f>
        <v>12688.17</v>
      </c>
      <c r="F23" s="518">
        <f>VLOOKUP($A23,'Orçamento auxliar'!A:F,5,0)</f>
        <v>6.38</v>
      </c>
      <c r="G23" s="518">
        <f>VLOOKUP($A23,Planilha6!$A:$E,4,0)</f>
        <v>80950.509999999995</v>
      </c>
      <c r="H23" s="519">
        <f t="shared" si="3"/>
        <v>2.1991418195836877E-2</v>
      </c>
      <c r="I23" s="519">
        <f t="shared" si="4"/>
        <v>0.75709490908993782</v>
      </c>
      <c r="J23" s="688" t="str">
        <f t="shared" si="5"/>
        <v>A</v>
      </c>
      <c r="K23" s="897" t="s">
        <v>374</v>
      </c>
    </row>
    <row r="24" spans="1:11" ht="39.950000000000003" customHeight="1" x14ac:dyDescent="0.15">
      <c r="A24" s="317" t="str">
        <f>Planilha6!A14</f>
        <v>PA/0021</v>
      </c>
      <c r="B24" s="517" t="str">
        <f>VLOOKUP($A24,'Orçamento auxliar'!A:F,2,0)</f>
        <v>Execução e compactação de base e ou sub-base, estabilizado granulometricamente, sem mistura, com material de jazida. Exclusive fornecimento e transporte (REF. SINAPI COD. 4011219)</v>
      </c>
      <c r="C24" s="687" t="str">
        <f>VLOOKUP($A24,'Orçamento auxliar'!A:F,3,0)</f>
        <v>M3</v>
      </c>
      <c r="D24" s="317">
        <f>VLOOKUP($A24,Planilha6!$A:$D,2,0)</f>
        <v>1</v>
      </c>
      <c r="E24" s="518">
        <f>VLOOKUP($A24,Planilha6!$A:$D,3,0)</f>
        <v>2166.9699999999998</v>
      </c>
      <c r="F24" s="518">
        <f>VLOOKUP($A24,'Orçamento auxliar'!A:F,5,0)</f>
        <v>23.33</v>
      </c>
      <c r="G24" s="518">
        <f>VLOOKUP($A24,Planilha6!$A:$E,4,0)</f>
        <v>50555.41</v>
      </c>
      <c r="H24" s="519">
        <f t="shared" si="3"/>
        <v>1.3734134144083759E-2</v>
      </c>
      <c r="I24" s="519">
        <f t="shared" si="4"/>
        <v>0.77082904323402157</v>
      </c>
      <c r="J24" s="688" t="str">
        <f t="shared" si="5"/>
        <v>A</v>
      </c>
      <c r="K24" s="897" t="s">
        <v>374</v>
      </c>
    </row>
    <row r="25" spans="1:11" ht="30" customHeight="1" x14ac:dyDescent="0.15">
      <c r="A25" s="317">
        <f>Planilha6!A15</f>
        <v>100576</v>
      </c>
      <c r="B25" s="517" t="str">
        <f>VLOOKUP($A25,'Orçamento auxliar'!A:F,2,0)</f>
        <v>Regularização e compactação de subleito de solo predominantemente argiloso. AF_11/2019</v>
      </c>
      <c r="C25" s="687" t="str">
        <f>VLOOKUP($A25,'Orçamento auxliar'!A:F,3,0)</f>
        <v>M2</v>
      </c>
      <c r="D25" s="317">
        <f>VLOOKUP($A25,Planilha6!$A:$D,2,0)</f>
        <v>1</v>
      </c>
      <c r="E25" s="518">
        <f>VLOOKUP($A25,Planilha6!$A:$D,3,0)</f>
        <v>14446.49</v>
      </c>
      <c r="F25" s="518">
        <f>VLOOKUP($A25,'Orçamento auxliar'!A:F,5,0)</f>
        <v>2.98</v>
      </c>
      <c r="G25" s="518">
        <f>VLOOKUP($A25,Planilha6!$A:$E,4,0)</f>
        <v>43050.54</v>
      </c>
      <c r="H25" s="519">
        <f t="shared" si="3"/>
        <v>1.1695323830530572E-2</v>
      </c>
      <c r="I25" s="519">
        <f t="shared" si="4"/>
        <v>0.7825243670645522</v>
      </c>
      <c r="J25" s="688" t="str">
        <f t="shared" si="5"/>
        <v>A</v>
      </c>
      <c r="K25" s="897" t="s">
        <v>374</v>
      </c>
    </row>
    <row r="26" spans="1:11" ht="30" customHeight="1" x14ac:dyDescent="0.15">
      <c r="A26" s="317" t="str">
        <f>Planilha6!A16</f>
        <v>PA/0005</v>
      </c>
      <c r="B26" s="517" t="str">
        <f>VLOOKUP($A26,'Orçamento auxliar'!A:F,2,0)</f>
        <v>Preparo do subleito, escavação e carga. Exclusive transporte</v>
      </c>
      <c r="C26" s="687" t="str">
        <f>VLOOKUP($A26,'Orçamento auxliar'!A:F,3,0)</f>
        <v>M3</v>
      </c>
      <c r="D26" s="317">
        <f>VLOOKUP($A26,Planilha6!$A:$D,2,0)</f>
        <v>1</v>
      </c>
      <c r="E26" s="518">
        <f>VLOOKUP($A26,Planilha6!$A:$D,3,0)</f>
        <v>5742.35</v>
      </c>
      <c r="F26" s="518">
        <f>VLOOKUP($A26,'Orçamento auxliar'!A:F,5,0)</f>
        <v>7.22</v>
      </c>
      <c r="G26" s="518">
        <f>VLOOKUP($A26,Planilha6!$A:$E,4,0)</f>
        <v>41459.760000000002</v>
      </c>
      <c r="H26" s="519">
        <f t="shared" si="3"/>
        <v>1.1263164623163338E-2</v>
      </c>
      <c r="I26" s="519">
        <f t="shared" si="4"/>
        <v>0.79378753168771554</v>
      </c>
      <c r="J26" s="688" t="str">
        <f t="shared" si="5"/>
        <v>A</v>
      </c>
      <c r="K26" s="897" t="s">
        <v>374</v>
      </c>
    </row>
    <row r="27" spans="1:11" ht="39.950000000000003" customHeight="1" x14ac:dyDescent="0.15">
      <c r="A27" s="317" t="str">
        <f>Planilha6!A17</f>
        <v>PA/0020</v>
      </c>
      <c r="B27" s="517" t="str">
        <f>VLOOKUP($A27,'Orçamento auxliar'!A:F,2,0)</f>
        <v>Execução e compactação de base e ou sub-base com material produto de britagem. Exclusive fornecimento e transporte de materiais (REF. SINAPI COD. 96396)</v>
      </c>
      <c r="C27" s="687" t="str">
        <f>VLOOKUP($A27,'Orçamento auxliar'!A:F,3,0)</f>
        <v>M3</v>
      </c>
      <c r="D27" s="317">
        <f>VLOOKUP($A27,Planilha6!$A:$D,2,0)</f>
        <v>2</v>
      </c>
      <c r="E27" s="518">
        <f>VLOOKUP($A27,Planilha6!$A:$D,3,0)</f>
        <v>2473.06</v>
      </c>
      <c r="F27" s="518">
        <f>VLOOKUP($A27,'Orçamento auxliar'!A:F,5,0)</f>
        <v>16.39</v>
      </c>
      <c r="G27" s="518">
        <f>VLOOKUP($A27,Planilha6!$A:$E,4,0)</f>
        <v>40533.440000000002</v>
      </c>
      <c r="H27" s="519">
        <f t="shared" si="3"/>
        <v>1.1011515924431637E-2</v>
      </c>
      <c r="I27" s="519">
        <f t="shared" si="4"/>
        <v>0.80479904761214716</v>
      </c>
      <c r="J27" s="688" t="str">
        <f t="shared" si="5"/>
        <v>B</v>
      </c>
      <c r="K27" s="897" t="s">
        <v>374</v>
      </c>
    </row>
    <row r="28" spans="1:11" ht="30" customHeight="1" x14ac:dyDescent="0.15">
      <c r="A28" s="317" t="str">
        <f>Planilha6!A18</f>
        <v>PA/0023</v>
      </c>
      <c r="B28" s="517" t="str">
        <f>VLOOKUP($A28,'Orçamento auxliar'!A:F,2,0)</f>
        <v>Pintura de ligação, execução e fornecimento de emulsão asfáltica RR-1C (ref SINAPI cód 104375)</v>
      </c>
      <c r="C28" s="687" t="str">
        <f>VLOOKUP($A28,'Orçamento auxliar'!A:F,3,0)</f>
        <v>M2</v>
      </c>
      <c r="D28" s="317">
        <f>VLOOKUP($A28,Planilha6!$A:$D,2,0)</f>
        <v>1</v>
      </c>
      <c r="E28" s="518">
        <f>VLOOKUP($A28,Planilha6!$A:$D,3,0)</f>
        <v>12682.57</v>
      </c>
      <c r="F28" s="518">
        <f>VLOOKUP($A28,'Orçamento auxliar'!A:F,5,0)</f>
        <v>3.06</v>
      </c>
      <c r="G28" s="518">
        <f>VLOOKUP($A28,Planilha6!$A:$E,4,0)</f>
        <v>38808.660000000003</v>
      </c>
      <c r="H28" s="519">
        <f t="shared" si="3"/>
        <v>1.0542953610546083E-2</v>
      </c>
      <c r="I28" s="519">
        <f t="shared" si="4"/>
        <v>0.81534200122269329</v>
      </c>
      <c r="J28" s="688" t="str">
        <f t="shared" si="5"/>
        <v>B</v>
      </c>
      <c r="K28" s="897" t="s">
        <v>374</v>
      </c>
    </row>
    <row r="29" spans="1:11" ht="30" customHeight="1" x14ac:dyDescent="0.15">
      <c r="A29" s="317">
        <f>Planilha6!A19</f>
        <v>95879</v>
      </c>
      <c r="B29" s="517" t="str">
        <f>VLOOKUP($A29,'Orçamento auxliar'!A:F,2,0)</f>
        <v>Transporte com caminhão basculante de 14 m3, em via urbana pavimentada, DMT até 30,00 km (unidade: txkm). AF_07/2020</v>
      </c>
      <c r="C29" s="687" t="str">
        <f>VLOOKUP($A29,'Orçamento auxliar'!A:F,3,0)</f>
        <v>TXKM</v>
      </c>
      <c r="D29" s="317">
        <f>VLOOKUP($A29,Planilha6!$A:$D,2,0)</f>
        <v>2</v>
      </c>
      <c r="E29" s="518">
        <f>VLOOKUP($A29,Planilha6!$A:$D,3,0)</f>
        <v>21336.429999999997</v>
      </c>
      <c r="F29" s="518">
        <f>VLOOKUP($A29,'Orçamento auxliar'!A:F,5,0)</f>
        <v>1.7</v>
      </c>
      <c r="G29" s="518">
        <f>VLOOKUP($A29,Planilha6!$A:$E,4,0)</f>
        <v>36271.919999999998</v>
      </c>
      <c r="H29" s="519">
        <f t="shared" si="3"/>
        <v>9.8538102043574469E-3</v>
      </c>
      <c r="I29" s="519">
        <f t="shared" si="4"/>
        <v>0.82519581142705078</v>
      </c>
      <c r="J29" s="688" t="str">
        <f t="shared" si="5"/>
        <v>B</v>
      </c>
      <c r="K29" s="897" t="s">
        <v>374</v>
      </c>
    </row>
    <row r="30" spans="1:11" ht="30" customHeight="1" x14ac:dyDescent="0.15">
      <c r="A30" s="317" t="str">
        <f>Planilha6!A20</f>
        <v>SC/0082</v>
      </c>
      <c r="B30" s="517" t="str">
        <f>VLOOKUP($A30,'Orçamento auxliar'!A:F,2,0)</f>
        <v>Grama em placas, tipo esmeralda, incluindo plantio, adubo, fertilizante, calcário, terra orgânica e irrigação</v>
      </c>
      <c r="C30" s="687" t="str">
        <f>VLOOKUP($A30,'Orçamento auxliar'!A:F,3,0)</f>
        <v>M2</v>
      </c>
      <c r="D30" s="317">
        <f>VLOOKUP($A30,Planilha6!$A:$D,2,0)</f>
        <v>1</v>
      </c>
      <c r="E30" s="518">
        <f>VLOOKUP($A30,Planilha6!$A:$D,3,0)</f>
        <v>1338.35</v>
      </c>
      <c r="F30" s="518">
        <f>VLOOKUP($A30,'Orçamento auxliar'!A:F,5,0)</f>
        <v>26.86</v>
      </c>
      <c r="G30" s="518">
        <f>VLOOKUP($A30,Planilha6!$A:$E,4,0)</f>
        <v>35948.080000000002</v>
      </c>
      <c r="H30" s="519">
        <f t="shared" si="3"/>
        <v>9.765834219171687E-3</v>
      </c>
      <c r="I30" s="519">
        <f t="shared" si="4"/>
        <v>0.83496164564622244</v>
      </c>
      <c r="J30" s="688" t="str">
        <f t="shared" si="5"/>
        <v>B</v>
      </c>
      <c r="K30" s="897" t="s">
        <v>374</v>
      </c>
    </row>
    <row r="31" spans="1:11" ht="50.1" customHeight="1" x14ac:dyDescent="0.15">
      <c r="A31" s="317">
        <f>Planilha6!A21</f>
        <v>101230</v>
      </c>
      <c r="B31" s="517" t="str">
        <f>VLOOKUP($A31,'Orçamento auxliar'!A:F,2,0)</f>
        <v>Escavação vertical a céu aberto, em obras de infraestrutura, incluindo carga, descarga e transporte, em solo de 1a categoria com escavadeira hidráulica (caçamba: 0,80 m3 / 111 HP), frota de 3 caminhões basculantes de 14 m3, DMT até 1 km e velocidade média 14 km/h. AF_05/2020</v>
      </c>
      <c r="C31" s="687" t="str">
        <f>VLOOKUP($A31,'Orçamento auxliar'!A:F,3,0)</f>
        <v>M3</v>
      </c>
      <c r="D31" s="317">
        <f>VLOOKUP($A31,Planilha6!$A:$D,2,0)</f>
        <v>1</v>
      </c>
      <c r="E31" s="518">
        <f>VLOOKUP($A31,Planilha6!$A:$D,3,0)</f>
        <v>2708.72</v>
      </c>
      <c r="F31" s="518">
        <f>VLOOKUP($A31,'Orçamento auxliar'!A:F,5,0)</f>
        <v>13.11</v>
      </c>
      <c r="G31" s="518">
        <f>VLOOKUP($A31,Planilha6!$A:$E,4,0)</f>
        <v>35511.31</v>
      </c>
      <c r="H31" s="519">
        <f t="shared" si="3"/>
        <v>9.64717910847015E-3</v>
      </c>
      <c r="I31" s="519">
        <f t="shared" si="4"/>
        <v>0.84460882475469257</v>
      </c>
      <c r="J31" s="688" t="str">
        <f t="shared" si="5"/>
        <v>B</v>
      </c>
      <c r="K31" s="897" t="s">
        <v>374</v>
      </c>
    </row>
    <row r="32" spans="1:11" ht="39.950000000000003" customHeight="1" x14ac:dyDescent="0.15">
      <c r="A32" s="317" t="str">
        <f>Planilha6!A22</f>
        <v>DR/0265</v>
      </c>
      <c r="B32" s="517" t="str">
        <f>VLOOKUP($A32,'Orçamento auxliar'!A:F,2,0)</f>
        <v xml:space="preserve">BLSC - Boca-de-lobo simples em concreto simples FCK 20 mpa, incluindo forma, escavação, sarjeta de contorno (chama) em concreto e grelha em F°F° tipo pesada, conforme projeto </v>
      </c>
      <c r="C32" s="687" t="str">
        <f>VLOOKUP($A32,'Orçamento auxliar'!A:F,3,0)</f>
        <v>UN</v>
      </c>
      <c r="D32" s="317">
        <f>VLOOKUP($A32,Planilha6!$A:$D,2,0)</f>
        <v>1</v>
      </c>
      <c r="E32" s="518">
        <f>VLOOKUP($A32,Planilha6!$A:$D,3,0)</f>
        <v>15</v>
      </c>
      <c r="F32" s="518">
        <f>VLOOKUP($A32,'Orçamento auxliar'!A:F,5,0)</f>
        <v>2130.1999999999998</v>
      </c>
      <c r="G32" s="518">
        <f>VLOOKUP($A32,Planilha6!$A:$E,4,0)</f>
        <v>31953</v>
      </c>
      <c r="H32" s="519">
        <f t="shared" si="3"/>
        <v>8.6805109147746664E-3</v>
      </c>
      <c r="I32" s="519">
        <f t="shared" si="4"/>
        <v>0.85328933566946719</v>
      </c>
      <c r="J32" s="688" t="str">
        <f t="shared" si="5"/>
        <v>B</v>
      </c>
      <c r="K32" s="897" t="s">
        <v>374</v>
      </c>
    </row>
    <row r="33" spans="1:11" ht="39.950000000000003" customHeight="1" x14ac:dyDescent="0.15">
      <c r="A33" s="317">
        <f>Planilha6!A23</f>
        <v>92826</v>
      </c>
      <c r="B33" s="517" t="str">
        <f>VLOOKUP($A33,'Orçamento auxliar'!A:F,2,0)</f>
        <v>Assentamento de tubo de concreto para redes coletoras de águas pluviais, diâmetro nominal de 0,80 m, junta rígida em argamassa 1:3 cimento:areia, instalado em local com alto nível de interferências (não inclui fornecimento). AF_12/2015</v>
      </c>
      <c r="C33" s="687" t="str">
        <f>VLOOKUP($A33,'Orçamento auxliar'!A:F,3,0)</f>
        <v>M</v>
      </c>
      <c r="D33" s="317">
        <f>VLOOKUP($A33,Planilha6!$A:$D,2,0)</f>
        <v>1</v>
      </c>
      <c r="E33" s="518">
        <f>VLOOKUP($A33,Planilha6!$A:$D,3,0)</f>
        <v>181.3</v>
      </c>
      <c r="F33" s="518">
        <f>VLOOKUP($A33,'Orçamento auxliar'!A:F,5,0)</f>
        <v>154.57</v>
      </c>
      <c r="G33" s="518">
        <f>VLOOKUP($A33,Planilha6!$A:$E,4,0)</f>
        <v>28023.54</v>
      </c>
      <c r="H33" s="519">
        <f t="shared" si="3"/>
        <v>7.6130142659726618E-3</v>
      </c>
      <c r="I33" s="519">
        <f t="shared" si="4"/>
        <v>0.86090234993543979</v>
      </c>
      <c r="J33" s="688" t="str">
        <f t="shared" si="5"/>
        <v>B</v>
      </c>
      <c r="K33" s="897" t="s">
        <v>374</v>
      </c>
    </row>
    <row r="34" spans="1:11" ht="50.1" customHeight="1" x14ac:dyDescent="0.15">
      <c r="A34" s="317" t="str">
        <f>Planilha6!A24</f>
        <v>SV/0090</v>
      </c>
      <c r="B34" s="517" t="str">
        <f>VLOOKUP($A34,'Orçamento auxliar'!A:F,2,0)</f>
        <v>Coluna simples de 50,8 mm (2") de diâmetro, espessura da parede 2,75mm, altura total de 3500mm, em aço galvanizado por imersão à quente para suporte de placa de sinalização e fixado em base de concreto estrutural  - fornecimento e implantação. Inclusive serviço de implantação da placa de sinalização</v>
      </c>
      <c r="C34" s="687" t="str">
        <f>VLOOKUP($A34,'Orçamento auxliar'!A:F,3,0)</f>
        <v xml:space="preserve">UN </v>
      </c>
      <c r="D34" s="317">
        <f>VLOOKUP($A34,Planilha6!$A:$D,2,0)</f>
        <v>1</v>
      </c>
      <c r="E34" s="518">
        <f>VLOOKUP($A34,Planilha6!$A:$D,3,0)</f>
        <v>51</v>
      </c>
      <c r="F34" s="518">
        <f>VLOOKUP($A34,'Orçamento auxliar'!A:F,5,0)</f>
        <v>536.99</v>
      </c>
      <c r="G34" s="518">
        <f>VLOOKUP($A34,Planilha6!$A:$E,4,0)</f>
        <v>27386.49</v>
      </c>
      <c r="H34" s="519">
        <f t="shared" si="3"/>
        <v>7.4399500942749427E-3</v>
      </c>
      <c r="I34" s="519">
        <f t="shared" si="4"/>
        <v>0.86834230002971469</v>
      </c>
      <c r="J34" s="688" t="str">
        <f t="shared" si="5"/>
        <v>B</v>
      </c>
      <c r="K34" s="897" t="s">
        <v>374</v>
      </c>
    </row>
    <row r="35" spans="1:11" ht="39.950000000000003" customHeight="1" x14ac:dyDescent="0.15">
      <c r="A35" s="317">
        <f>Planilha6!A25</f>
        <v>7762</v>
      </c>
      <c r="B35" s="517" t="str">
        <f>VLOOKUP($A35,'Orçamento auxliar'!A:F,2,0)</f>
        <v>Tubo de concreto armado para aguas pluviais, classe PA-2, com encaixe ponta e bolsa, diâmetro nominal de 0,60 m (373,00 kg/m) - Aquisição</v>
      </c>
      <c r="C35" s="687" t="str">
        <f>VLOOKUP($A35,'Orçamento auxliar'!A:F,3,0)</f>
        <v xml:space="preserve">M     </v>
      </c>
      <c r="D35" s="317">
        <f>VLOOKUP($A35,Planilha6!$A:$D,2,0)</f>
        <v>1</v>
      </c>
      <c r="E35" s="518">
        <f>VLOOKUP($A35,Planilha6!$A:$D,3,0)</f>
        <v>105.47</v>
      </c>
      <c r="F35" s="518">
        <f>VLOOKUP($A35,'Orçamento auxliar'!A:F,5,0)</f>
        <v>247.04</v>
      </c>
      <c r="G35" s="518">
        <f>VLOOKUP($A35,Planilha6!$A:$E,4,0)</f>
        <v>26055.3</v>
      </c>
      <c r="H35" s="519">
        <f t="shared" si="3"/>
        <v>7.0783123975128584E-3</v>
      </c>
      <c r="I35" s="519">
        <f t="shared" si="4"/>
        <v>0.87542061242722757</v>
      </c>
      <c r="J35" s="688" t="str">
        <f t="shared" si="5"/>
        <v>B</v>
      </c>
      <c r="K35" s="897" t="s">
        <v>374</v>
      </c>
    </row>
    <row r="36" spans="1:11" ht="39.950000000000003" customHeight="1" x14ac:dyDescent="0.15">
      <c r="A36" s="317">
        <f>Planilha6!A26</f>
        <v>92824</v>
      </c>
      <c r="B36" s="517" t="str">
        <f>VLOOKUP($A36,'Orçamento auxliar'!A:F,2,0)</f>
        <v>Assentamento de tubo de concreto para redes coletoras de águas pluviais, diâmetro nominal de 0,60 m, junta rígida em argamassa 1:3 cimento:areia, instalado em local com alto nível de interferências (não inclui fornecimento). AF_12/2015</v>
      </c>
      <c r="C36" s="687" t="str">
        <f>VLOOKUP($A36,'Orçamento auxliar'!A:F,3,0)</f>
        <v>M</v>
      </c>
      <c r="D36" s="317">
        <f>VLOOKUP($A36,Planilha6!$A:$D,2,0)</f>
        <v>1</v>
      </c>
      <c r="E36" s="518">
        <f>VLOOKUP($A36,Planilha6!$A:$D,3,0)</f>
        <v>207.51</v>
      </c>
      <c r="F36" s="518">
        <f>VLOOKUP($A36,'Orçamento auxliar'!A:F,5,0)</f>
        <v>115.69</v>
      </c>
      <c r="G36" s="518">
        <f>VLOOKUP($A36,Planilha6!$A:$E,4,0)</f>
        <v>24006.83</v>
      </c>
      <c r="H36" s="519">
        <f t="shared" si="3"/>
        <v>6.5218148481876476E-3</v>
      </c>
      <c r="I36" s="519">
        <f t="shared" si="4"/>
        <v>0.88194242727541527</v>
      </c>
      <c r="J36" s="688" t="str">
        <f t="shared" si="5"/>
        <v>B</v>
      </c>
      <c r="K36" s="897" t="s">
        <v>374</v>
      </c>
    </row>
    <row r="37" spans="1:11" ht="30" customHeight="1" x14ac:dyDescent="0.15">
      <c r="A37" s="317" t="str">
        <f>Planilha6!A27</f>
        <v>SR/0020</v>
      </c>
      <c r="B37" s="517" t="str">
        <f>VLOOKUP($A37,'Orçamento auxliar'!A:F,2,0)</f>
        <v>Demolição de concreto simples, de forma mecanizada, sem reaproveitamento (REF. SICRO COD. 1600989, db 01-2023)</v>
      </c>
      <c r="C37" s="687" t="str">
        <f>VLOOKUP($A37,'Orçamento auxliar'!A:F,3,0)</f>
        <v>M3</v>
      </c>
      <c r="D37" s="317">
        <f>VLOOKUP($A37,Planilha6!$A:$D,2,0)</f>
        <v>1</v>
      </c>
      <c r="E37" s="518">
        <f>VLOOKUP($A37,Planilha6!$A:$D,3,0)</f>
        <v>76.150000000000006</v>
      </c>
      <c r="F37" s="518">
        <f>VLOOKUP($A37,'Orçamento auxliar'!A:F,5,0)</f>
        <v>307.27999999999997</v>
      </c>
      <c r="G37" s="518">
        <f>VLOOKUP($A37,Planilha6!$A:$E,4,0)</f>
        <v>23399.37</v>
      </c>
      <c r="H37" s="519">
        <f t="shared" si="3"/>
        <v>6.3567892430711004E-3</v>
      </c>
      <c r="I37" s="519">
        <f t="shared" si="4"/>
        <v>0.88829921651848642</v>
      </c>
      <c r="J37" s="688" t="str">
        <f t="shared" si="5"/>
        <v>B</v>
      </c>
      <c r="K37" s="897" t="s">
        <v>374</v>
      </c>
    </row>
    <row r="38" spans="1:11" ht="39.950000000000003" customHeight="1" x14ac:dyDescent="0.15">
      <c r="A38" s="317" t="str">
        <f>Planilha6!A28</f>
        <v>ES/0015</v>
      </c>
      <c r="B38" s="517" t="str">
        <f>VLOOKUP($A38,'Orçamento auxliar'!A:F,2,0)</f>
        <v>Escoramento de vala, tipo blindado, com profundidade de 3,0 a 4,5 m, largura maior ou igual a 1,5 m e menor que 2,5 m. Altura do escoramento igual a 2,4 m.  Execução e fornecimento, inclui material. (REF. SINAPI COD. 03.ESCO.VALA.042/01)</v>
      </c>
      <c r="C38" s="687" t="str">
        <f>VLOOKUP($A38,'Orçamento auxliar'!A:F,3,0)</f>
        <v>M2</v>
      </c>
      <c r="D38" s="317">
        <f>VLOOKUP($A38,Planilha6!$A:$D,2,0)</f>
        <v>1</v>
      </c>
      <c r="E38" s="518">
        <f>VLOOKUP($A38,Planilha6!$A:$D,3,0)</f>
        <v>870.24</v>
      </c>
      <c r="F38" s="518">
        <f>VLOOKUP($A38,'Orçamento auxliar'!A:F,5,0)</f>
        <v>24.42</v>
      </c>
      <c r="G38" s="518">
        <f>VLOOKUP($A38,Planilha6!$A:$E,4,0)</f>
        <v>21251.26</v>
      </c>
      <c r="H38" s="519">
        <f t="shared" si="3"/>
        <v>5.773222995734806E-3</v>
      </c>
      <c r="I38" s="519">
        <f t="shared" si="4"/>
        <v>0.89407243951422122</v>
      </c>
      <c r="J38" s="688" t="str">
        <f t="shared" si="5"/>
        <v>B</v>
      </c>
      <c r="K38" s="897" t="s">
        <v>374</v>
      </c>
    </row>
    <row r="39" spans="1:11" ht="39.950000000000003" customHeight="1" x14ac:dyDescent="0.15">
      <c r="A39" s="317">
        <f>Planilha6!A29</f>
        <v>100979</v>
      </c>
      <c r="B39" s="517" t="str">
        <f>VLOOKUP($A39,'Orçamento auxliar'!A:F,2,0)</f>
        <v>Carga, manobra e descarga de solos e materiais granulares em caminhão basculante 14 m3 - carga com escavadeira hidráulica (capacidade da caçamba: 1,20 m3 / potência: 155 HP) e descarga livre (unidade: m3). AF_07/2020</v>
      </c>
      <c r="C39" s="687" t="str">
        <f>VLOOKUP($A39,'Orçamento auxliar'!A:F,3,0)</f>
        <v>M3</v>
      </c>
      <c r="D39" s="317">
        <f>VLOOKUP($A39,Planilha6!$A:$D,2,0)</f>
        <v>3</v>
      </c>
      <c r="E39" s="518">
        <f>VLOOKUP($A39,Planilha6!$A:$D,3,0)</f>
        <v>2634.38</v>
      </c>
      <c r="F39" s="518">
        <f>VLOOKUP($A39,'Orçamento auxliar'!A:F,5,0)</f>
        <v>7.88</v>
      </c>
      <c r="G39" s="518">
        <f>VLOOKUP($A39,Planilha6!$A:$E,4,0)</f>
        <v>20758.900000000001</v>
      </c>
      <c r="H39" s="519">
        <f t="shared" si="3"/>
        <v>5.6394660291276509E-3</v>
      </c>
      <c r="I39" s="519">
        <f t="shared" si="4"/>
        <v>0.8997119055433489</v>
      </c>
      <c r="J39" s="688" t="str">
        <f t="shared" si="5"/>
        <v>B</v>
      </c>
      <c r="K39" s="897" t="s">
        <v>374</v>
      </c>
    </row>
    <row r="40" spans="1:11" ht="39.950000000000003" customHeight="1" x14ac:dyDescent="0.15">
      <c r="A40" s="317">
        <f>Planilha6!A30</f>
        <v>101573</v>
      </c>
      <c r="B40" s="517" t="str">
        <f>VLOOKUP($A40,'Orçamento auxliar'!A:F,2,0)</f>
        <v>Escoramento de vala, tipo pontaleteamento, com profundidade de 1,50 a 3,00 m, largura maior ou igual a 1,50 m e menor que 2,50 m. AF_08/2020</v>
      </c>
      <c r="C40" s="687" t="str">
        <f>VLOOKUP($A40,'Orçamento auxliar'!A:F,3,0)</f>
        <v>M2</v>
      </c>
      <c r="D40" s="317">
        <f>VLOOKUP($A40,Planilha6!$A:$D,2,0)</f>
        <v>1</v>
      </c>
      <c r="E40" s="518">
        <f>VLOOKUP($A40,Planilha6!$A:$D,3,0)</f>
        <v>578.66</v>
      </c>
      <c r="F40" s="518">
        <f>VLOOKUP($A40,'Orçamento auxliar'!A:F,5,0)</f>
        <v>31.56</v>
      </c>
      <c r="G40" s="518">
        <f>VLOOKUP($A40,Planilha6!$A:$E,4,0)</f>
        <v>18262.5</v>
      </c>
      <c r="H40" s="519">
        <f t="shared" si="3"/>
        <v>4.9612815879908718E-3</v>
      </c>
      <c r="I40" s="519">
        <f t="shared" si="4"/>
        <v>0.90467318713133982</v>
      </c>
      <c r="J40" s="688" t="str">
        <f t="shared" si="5"/>
        <v>B</v>
      </c>
      <c r="K40" s="897" t="s">
        <v>374</v>
      </c>
    </row>
    <row r="41" spans="1:11" ht="39.950000000000003" customHeight="1" x14ac:dyDescent="0.15">
      <c r="A41" s="317">
        <f>Planilha6!A31</f>
        <v>7781</v>
      </c>
      <c r="B41" s="517" t="str">
        <f>VLOOKUP($A41,'Orçamento auxliar'!A:F,2,0)</f>
        <v>Aquisição de tubo de concreto simples para aguas pluviais, classe PS-1, com encaixe ponta e bolsa, diâmetro nominal de 0,40 m (180 kg/m) - Aquisição</v>
      </c>
      <c r="C41" s="687" t="str">
        <f>VLOOKUP($A41,'Orçamento auxliar'!A:F,3,0)</f>
        <v xml:space="preserve">M     </v>
      </c>
      <c r="D41" s="317">
        <f>VLOOKUP($A41,Planilha6!$A:$D,2,0)</f>
        <v>1</v>
      </c>
      <c r="E41" s="518">
        <f>VLOOKUP($A41,Planilha6!$A:$D,3,0)</f>
        <v>216</v>
      </c>
      <c r="F41" s="518">
        <f>VLOOKUP($A41,'Orçamento auxliar'!A:F,5,0)</f>
        <v>81.73</v>
      </c>
      <c r="G41" s="518">
        <f>VLOOKUP($A41,Planilha6!$A:$E,4,0)</f>
        <v>17653.68</v>
      </c>
      <c r="H41" s="519">
        <f t="shared" si="3"/>
        <v>4.7958865185096624E-3</v>
      </c>
      <c r="I41" s="519">
        <f t="shared" si="4"/>
        <v>0.90946907364984952</v>
      </c>
      <c r="J41" s="688" t="str">
        <f t="shared" si="5"/>
        <v>B</v>
      </c>
      <c r="K41" s="897" t="s">
        <v>374</v>
      </c>
    </row>
    <row r="42" spans="1:11" ht="39.950000000000003" customHeight="1" x14ac:dyDescent="0.15">
      <c r="A42" s="317">
        <f>Planilha6!A32</f>
        <v>92821</v>
      </c>
      <c r="B42" s="517" t="str">
        <f>VLOOKUP($A42,'Orçamento auxliar'!A:F,2,0)</f>
        <v>Assentamento de tubo de concreto para redes coletoras de águas pluviais, diâmetro nominal de 0,40 m, junta rígida em argamassa 1:3 cimento:areia, instalado em local com alto nível de interferências (não inclui fornecimento). AF_12/2015</v>
      </c>
      <c r="C42" s="687" t="str">
        <f>VLOOKUP($A42,'Orçamento auxliar'!A:F,3,0)</f>
        <v>M</v>
      </c>
      <c r="D42" s="317">
        <f>VLOOKUP($A42,Planilha6!$A:$D,2,0)</f>
        <v>1</v>
      </c>
      <c r="E42" s="518">
        <f>VLOOKUP($A42,Planilha6!$A:$D,3,0)</f>
        <v>216</v>
      </c>
      <c r="F42" s="518">
        <f>VLOOKUP($A42,'Orçamento auxliar'!A:F,5,0)</f>
        <v>79.819999999999993</v>
      </c>
      <c r="G42" s="518">
        <f>VLOOKUP($A42,Planilha6!$A:$E,4,0)</f>
        <v>17241.12</v>
      </c>
      <c r="H42" s="519">
        <f t="shared" si="3"/>
        <v>4.6838084168290862E-3</v>
      </c>
      <c r="I42" s="519">
        <f t="shared" si="4"/>
        <v>0.91415288206667866</v>
      </c>
      <c r="J42" s="688" t="str">
        <f t="shared" si="5"/>
        <v>B</v>
      </c>
      <c r="K42" s="897" t="s">
        <v>374</v>
      </c>
    </row>
    <row r="43" spans="1:11" ht="39.950000000000003" customHeight="1" x14ac:dyDescent="0.15">
      <c r="A43" s="317" t="str">
        <f>Planilha6!A33</f>
        <v>SC/0110</v>
      </c>
      <c r="B43" s="517" t="str">
        <f>VLOOKUP($A43,'Orçamento auxliar'!A:F,2,0)</f>
        <v>Cerca com mourões de madeira roliça Ø 11cm, espaçamento de 2,00m, altura livre de 1,50m, cravado 0,50m, com 5 fios de arame liso ovalado 15x17, conforme projeto</v>
      </c>
      <c r="C43" s="687" t="str">
        <f>VLOOKUP($A43,'Orçamento auxliar'!A:F,3,0)</f>
        <v>M</v>
      </c>
      <c r="D43" s="317">
        <f>VLOOKUP($A43,Planilha6!$A:$D,2,0)</f>
        <v>1</v>
      </c>
      <c r="E43" s="518">
        <f>VLOOKUP($A43,Planilha6!$A:$D,3,0)</f>
        <v>400</v>
      </c>
      <c r="F43" s="518">
        <f>VLOOKUP($A43,'Orçamento auxliar'!A:F,5,0)</f>
        <v>42.12</v>
      </c>
      <c r="G43" s="518">
        <f>VLOOKUP($A43,Planilha6!$A:$E,4,0)</f>
        <v>16848</v>
      </c>
      <c r="H43" s="519">
        <f t="shared" si="3"/>
        <v>4.5770114822434064E-3</v>
      </c>
      <c r="I43" s="519">
        <f t="shared" si="4"/>
        <v>0.91872989354892209</v>
      </c>
      <c r="J43" s="688" t="str">
        <f t="shared" si="5"/>
        <v>B</v>
      </c>
      <c r="K43" s="897" t="s">
        <v>374</v>
      </c>
    </row>
    <row r="44" spans="1:11" ht="39.950000000000003" customHeight="1" x14ac:dyDescent="0.15">
      <c r="A44" s="317" t="str">
        <f>Planilha6!A34</f>
        <v>SC/0068</v>
      </c>
      <c r="B44" s="517" t="str">
        <f>VLOOKUP($A44,'Orçamento auxliar'!A:F,2,0)</f>
        <v>Revestimento de pátio com pedra britada com espessura de 5 cm com regularização do terreno com motoniveladora. Exclusive transporte. (REF SINAPI COD 100575)</v>
      </c>
      <c r="C44" s="687" t="str">
        <f>VLOOKUP($A44,'Orçamento auxliar'!A:F,3,0)</f>
        <v>M2</v>
      </c>
      <c r="D44" s="317">
        <f>VLOOKUP($A44,Planilha6!$A:$D,2,0)</f>
        <v>1</v>
      </c>
      <c r="E44" s="518">
        <f>VLOOKUP($A44,Planilha6!$A:$D,3,0)</f>
        <v>2500</v>
      </c>
      <c r="F44" s="518">
        <f>VLOOKUP($A44,'Orçamento auxliar'!A:F,5,0)</f>
        <v>6.63</v>
      </c>
      <c r="G44" s="518">
        <f>VLOOKUP($A44,Planilha6!$A:$E,4,0)</f>
        <v>16575</v>
      </c>
      <c r="H44" s="519">
        <f t="shared" si="3"/>
        <v>4.5028469443366848E-3</v>
      </c>
      <c r="I44" s="519">
        <f t="shared" si="4"/>
        <v>0.92323274049325876</v>
      </c>
      <c r="J44" s="688" t="str">
        <f t="shared" si="5"/>
        <v>B</v>
      </c>
      <c r="K44" s="897" t="s">
        <v>374</v>
      </c>
    </row>
    <row r="45" spans="1:11" ht="30" customHeight="1" x14ac:dyDescent="0.15">
      <c r="A45" s="317">
        <f>Planilha6!A35</f>
        <v>101570</v>
      </c>
      <c r="B45" s="517" t="str">
        <f>VLOOKUP($A45,'Orçamento auxliar'!A:F,2,0)</f>
        <v>Escoramento de vala, tipo pontaleteamento, com profundidade de 0,00 a 1,50 m, largura menor que 1,50 m. AF_08/2020</v>
      </c>
      <c r="C45" s="687" t="str">
        <f>VLOOKUP($A45,'Orçamento auxliar'!A:F,3,0)</f>
        <v>M2</v>
      </c>
      <c r="D45" s="317">
        <f>VLOOKUP($A45,Planilha6!$A:$D,2,0)</f>
        <v>1</v>
      </c>
      <c r="E45" s="518">
        <f>VLOOKUP($A45,Planilha6!$A:$D,3,0)</f>
        <v>576.28</v>
      </c>
      <c r="F45" s="518">
        <f>VLOOKUP($A45,'Orçamento auxliar'!A:F,5,0)</f>
        <v>27.66</v>
      </c>
      <c r="G45" s="518">
        <f>VLOOKUP($A45,Planilha6!$A:$E,4,0)</f>
        <v>15939.9</v>
      </c>
      <c r="H45" s="519">
        <f t="shared" si="3"/>
        <v>4.3303125193383E-3</v>
      </c>
      <c r="I45" s="519">
        <f t="shared" si="4"/>
        <v>0.92756305301259712</v>
      </c>
      <c r="J45" s="688" t="str">
        <f t="shared" si="5"/>
        <v>B</v>
      </c>
      <c r="K45" s="897" t="s">
        <v>374</v>
      </c>
    </row>
    <row r="46" spans="1:11" ht="39.950000000000003" customHeight="1" x14ac:dyDescent="0.15">
      <c r="A46" s="317" t="str">
        <f>Planilha6!A36</f>
        <v>DR/0205</v>
      </c>
      <c r="B46" s="517" t="str">
        <f>VLOOKUP($A46,'Orçamento auxliar'!A:F,2,0)</f>
        <v>CP-1 - Caixa de Passagem, com dimensões internas de  1,92m x 1,92m x 1,60m (bxbxh), em alvenaria de bloco de concreto estrutural FBK 8 MPa, conforme projeto tipo</v>
      </c>
      <c r="C46" s="687" t="str">
        <f>VLOOKUP($A46,'Orçamento auxliar'!A:F,3,0)</f>
        <v>UN</v>
      </c>
      <c r="D46" s="317">
        <f>VLOOKUP($A46,Planilha6!$A:$D,2,0)</f>
        <v>1</v>
      </c>
      <c r="E46" s="518">
        <f>VLOOKUP($A46,Planilha6!$A:$D,3,0)</f>
        <v>2</v>
      </c>
      <c r="F46" s="518">
        <f>VLOOKUP($A46,'Orçamento auxliar'!A:F,5,0)</f>
        <v>7712.38</v>
      </c>
      <c r="G46" s="518">
        <f>VLOOKUP($A46,Planilha6!$A:$E,4,0)</f>
        <v>15424.76</v>
      </c>
      <c r="H46" s="519">
        <f t="shared" si="3"/>
        <v>4.1903670246230297E-3</v>
      </c>
      <c r="I46" s="519">
        <f t="shared" si="4"/>
        <v>0.93175342003722017</v>
      </c>
      <c r="J46" s="688" t="str">
        <f t="shared" si="5"/>
        <v>B</v>
      </c>
      <c r="K46" s="897" t="s">
        <v>374</v>
      </c>
    </row>
    <row r="47" spans="1:11" ht="39.950000000000003" customHeight="1" x14ac:dyDescent="0.15">
      <c r="A47" s="317">
        <f>Planilha6!A37</f>
        <v>100952</v>
      </c>
      <c r="B47" s="517" t="str">
        <f>VLOOKUP($A47,'Orçamento auxliar'!A:F,2,0)</f>
        <v>Transporte com caminhão carroceria com guindauto (munck), momento máximo de carga 11,7 tm, em via urbana pavimentada, DMT até 30,00 km (unidade: txkm). AF_07/2020</v>
      </c>
      <c r="C47" s="687" t="str">
        <f>VLOOKUP($A47,'Orçamento auxliar'!A:F,3,0)</f>
        <v>TXKM</v>
      </c>
      <c r="D47" s="317">
        <f>VLOOKUP($A47,Planilha6!$A:$D,2,0)</f>
        <v>1</v>
      </c>
      <c r="E47" s="518">
        <f>VLOOKUP($A47,Planilha6!$A:$D,3,0)</f>
        <v>4667.7700000000004</v>
      </c>
      <c r="F47" s="518">
        <f>VLOOKUP($A47,'Orçamento auxliar'!A:F,5,0)</f>
        <v>3.25</v>
      </c>
      <c r="G47" s="518">
        <f>VLOOKUP($A47,Planilha6!$A:$E,4,0)</f>
        <v>15170.25</v>
      </c>
      <c r="H47" s="519">
        <f t="shared" si="3"/>
        <v>4.1212255720858883E-3</v>
      </c>
      <c r="I47" s="519">
        <f t="shared" si="4"/>
        <v>0.93587464560930611</v>
      </c>
      <c r="J47" s="688" t="str">
        <f t="shared" si="5"/>
        <v>B</v>
      </c>
      <c r="K47" s="897" t="s">
        <v>374</v>
      </c>
    </row>
    <row r="48" spans="1:11" ht="39.950000000000003" customHeight="1" x14ac:dyDescent="0.15">
      <c r="A48" s="317">
        <f>Planilha6!A38</f>
        <v>7791</v>
      </c>
      <c r="B48" s="517" t="str">
        <f>VLOOKUP($A48,'Orçamento auxliar'!A:F,2,0)</f>
        <v>Aquisição de tubo de concreto simples para aguas pluviais, classe PS-1, com encaixe ponta e bolsa, diâmetro nominal de 0,60 m (347 kg/m) - Aquisição</v>
      </c>
      <c r="C48" s="687" t="str">
        <f>VLOOKUP($A48,'Orçamento auxliar'!A:F,3,0)</f>
        <v xml:space="preserve">M     </v>
      </c>
      <c r="D48" s="317">
        <f>VLOOKUP($A48,Planilha6!$A:$D,2,0)</f>
        <v>1</v>
      </c>
      <c r="E48" s="518">
        <f>VLOOKUP($A48,Planilha6!$A:$D,3,0)</f>
        <v>102.03999999999999</v>
      </c>
      <c r="F48" s="518">
        <f>VLOOKUP($A48,'Orçamento auxliar'!A:F,5,0)</f>
        <v>145.62</v>
      </c>
      <c r="G48" s="518">
        <f>VLOOKUP($A48,Planilha6!$A:$E,4,0)</f>
        <v>14859.06</v>
      </c>
      <c r="H48" s="519">
        <f t="shared" si="3"/>
        <v>4.036686148821445E-3</v>
      </c>
      <c r="I48" s="519">
        <f t="shared" si="4"/>
        <v>0.93991133175812758</v>
      </c>
      <c r="J48" s="688" t="str">
        <f t="shared" si="5"/>
        <v>B</v>
      </c>
      <c r="K48" s="897" t="s">
        <v>374</v>
      </c>
    </row>
    <row r="49" spans="1:11" ht="50.1" customHeight="1" x14ac:dyDescent="0.15">
      <c r="A49" s="317">
        <f>Planilha6!A39</f>
        <v>90087</v>
      </c>
      <c r="B49" s="517" t="str">
        <f>VLOOKUP($A49,'Orçamento auxliar'!A:F,2,0)</f>
        <v>Escavação mecanizada de vala com profundidade de 3,00 m até 4,50 m (média entre montante e jusante / uma composição por trecho), com escavadeira hidráulica (capacidade da caçamba: 1,20 m3 / potência: 155 HP), largura de 1,50 m a 2,50 m, em solo de 1a categoria, em locais com alto nível de interferência. AF_01/2015</v>
      </c>
      <c r="C49" s="687" t="str">
        <f>VLOOKUP($A49,'Orçamento auxliar'!A:F,3,0)</f>
        <v>M3</v>
      </c>
      <c r="D49" s="317">
        <f>VLOOKUP($A49,Planilha6!$A:$D,2,0)</f>
        <v>1</v>
      </c>
      <c r="E49" s="518">
        <f>VLOOKUP($A49,Planilha6!$A:$D,3,0)</f>
        <v>1132.3399999999999</v>
      </c>
      <c r="F49" s="518">
        <f>VLOOKUP($A49,'Orçamento auxliar'!A:F,5,0)</f>
        <v>11.37</v>
      </c>
      <c r="G49" s="518">
        <f>VLOOKUP($A49,Planilha6!$A:$E,4,0)</f>
        <v>12874.7</v>
      </c>
      <c r="H49" s="519">
        <f t="shared" si="3"/>
        <v>3.4976050409804837E-3</v>
      </c>
      <c r="I49" s="519">
        <f t="shared" si="4"/>
        <v>0.94340893679910809</v>
      </c>
      <c r="J49" s="688" t="str">
        <f t="shared" si="5"/>
        <v>B</v>
      </c>
      <c r="K49" s="897" t="s">
        <v>374</v>
      </c>
    </row>
    <row r="50" spans="1:11" ht="39.950000000000003" customHeight="1" x14ac:dyDescent="0.15">
      <c r="A50" s="317">
        <f>Planilha6!A40</f>
        <v>104732</v>
      </c>
      <c r="B50" s="517" t="str">
        <f>VLOOKUP($A50,'Orçamento auxliar'!A:F,2,0)</f>
        <v>Reaterro mecanizado de vala com escavadeira hidráulica (capacidade da caçamba: 0,8 M³/potência: 111 HP), largura de 1,5 a 2,5 m, profundidade de 3,0 a 6,0 m, com solo (sem substituição) de 1ª categoria, com placa vibratória. AF_08/2023</v>
      </c>
      <c r="C50" s="687" t="str">
        <f>VLOOKUP($A50,'Orçamento auxliar'!A:F,3,0)</f>
        <v>M3</v>
      </c>
      <c r="D50" s="317">
        <f>VLOOKUP($A50,Planilha6!$A:$D,2,0)</f>
        <v>1</v>
      </c>
      <c r="E50" s="518">
        <f>VLOOKUP($A50,Planilha6!$A:$D,3,0)</f>
        <v>1001.11</v>
      </c>
      <c r="F50" s="518">
        <f>VLOOKUP($A50,'Orçamento auxliar'!A:F,5,0)</f>
        <v>11.69</v>
      </c>
      <c r="G50" s="518">
        <f>VLOOKUP($A50,Planilha6!$A:$E,4,0)</f>
        <v>11702.97</v>
      </c>
      <c r="H50" s="519">
        <f t="shared" si="3"/>
        <v>3.179287040975197E-3</v>
      </c>
      <c r="I50" s="519">
        <f t="shared" si="4"/>
        <v>0.94658822384008323</v>
      </c>
      <c r="J50" s="688" t="str">
        <f t="shared" si="5"/>
        <v>B</v>
      </c>
      <c r="K50" s="897" t="s">
        <v>374</v>
      </c>
    </row>
    <row r="51" spans="1:11" ht="30" customHeight="1" x14ac:dyDescent="0.15">
      <c r="A51" s="317">
        <f>Planilha6!A41</f>
        <v>93358</v>
      </c>
      <c r="B51" s="517" t="str">
        <f>VLOOKUP($A51,'Orçamento auxliar'!A:F,2,0)</f>
        <v>Escavação manual de vala com profundidade menor ou igual a 1,30 m. AF_03/2016</v>
      </c>
      <c r="C51" s="687" t="str">
        <f>VLOOKUP($A51,'Orçamento auxliar'!A:F,3,0)</f>
        <v>M3</v>
      </c>
      <c r="D51" s="317">
        <f>VLOOKUP($A51,Planilha6!$A:$D,2,0)</f>
        <v>1</v>
      </c>
      <c r="E51" s="518">
        <f>VLOOKUP($A51,Planilha6!$A:$D,3,0)</f>
        <v>102.05</v>
      </c>
      <c r="F51" s="518">
        <f>VLOOKUP($A51,'Orçamento auxliar'!A:F,5,0)</f>
        <v>95.31</v>
      </c>
      <c r="G51" s="518">
        <f>VLOOKUP($A51,Planilha6!$A:$E,4,0)</f>
        <v>9726.3799999999992</v>
      </c>
      <c r="H51" s="519">
        <f t="shared" si="3"/>
        <v>2.6423167699823492E-3</v>
      </c>
      <c r="I51" s="519">
        <f t="shared" si="4"/>
        <v>0.94923054061006562</v>
      </c>
      <c r="J51" s="688" t="str">
        <f t="shared" si="5"/>
        <v>B</v>
      </c>
      <c r="K51" s="897" t="s">
        <v>374</v>
      </c>
    </row>
    <row r="52" spans="1:11" ht="39.950000000000003" customHeight="1" x14ac:dyDescent="0.15">
      <c r="A52" s="317" t="str">
        <f>Planilha6!A42</f>
        <v>DR/0355</v>
      </c>
      <c r="B52" s="517" t="str">
        <f>VLOOKUP($A52,'Orçamento auxliar'!A:F,2,0)</f>
        <v>Tampão F°F° articulado, classe D400, carga máxima 40 T, redondo tampa 600 mm para rede pluvial/esgoto. Incluindo fornecimento, assentamento e requadro em concreto FCK 20mpa, de 1,00m x 1,00m x 0,20m</v>
      </c>
      <c r="C52" s="687" t="str">
        <f>VLOOKUP($A52,'Orçamento auxliar'!A:F,3,0)</f>
        <v xml:space="preserve">UN </v>
      </c>
      <c r="D52" s="317">
        <f>VLOOKUP($A52,Planilha6!$A:$D,2,0)</f>
        <v>1</v>
      </c>
      <c r="E52" s="518">
        <f>VLOOKUP($A52,Planilha6!$A:$D,3,0)</f>
        <v>10</v>
      </c>
      <c r="F52" s="518">
        <f>VLOOKUP($A52,'Orçamento auxliar'!A:F,5,0)</f>
        <v>949.53</v>
      </c>
      <c r="G52" s="518">
        <f>VLOOKUP($A52,Planilha6!$A:$E,4,0)</f>
        <v>9495.2999999999993</v>
      </c>
      <c r="H52" s="519">
        <f t="shared" si="3"/>
        <v>2.5795404277864325E-3</v>
      </c>
      <c r="I52" s="519">
        <f t="shared" si="4"/>
        <v>0.95181008103785203</v>
      </c>
      <c r="J52" s="688" t="str">
        <f t="shared" si="5"/>
        <v>C</v>
      </c>
      <c r="K52" s="897" t="s">
        <v>374</v>
      </c>
    </row>
    <row r="53" spans="1:11" ht="39.950000000000003" customHeight="1" x14ac:dyDescent="0.15">
      <c r="A53" s="317" t="str">
        <f>Planilha6!A43</f>
        <v>SP/0005</v>
      </c>
      <c r="B53" s="517" t="str">
        <f>VLOOKUP($A53,'Orçamento auxliar'!A:F,2,0)</f>
        <v>Aluguel de banheiro quimico, incluindo transporte de ida e volta, manutencao e higienizacao 3 vezes por semana. Modelo Luxo, dimensões 2,31 x 1,15 x 1,15m</v>
      </c>
      <c r="C53" s="687" t="str">
        <f>VLOOKUP($A53,'Orçamento auxliar'!A:F,3,0)</f>
        <v>UN.MÊS</v>
      </c>
      <c r="D53" s="317">
        <f>VLOOKUP($A53,Planilha6!$A:$D,2,0)</f>
        <v>1</v>
      </c>
      <c r="E53" s="518">
        <f>VLOOKUP($A53,Planilha6!$A:$D,3,0)</f>
        <v>6</v>
      </c>
      <c r="F53" s="518">
        <f>VLOOKUP($A53,'Orçamento auxliar'!A:F,5,0)</f>
        <v>1464</v>
      </c>
      <c r="G53" s="518">
        <f>VLOOKUP($A53,Planilha6!$A:$E,4,0)</f>
        <v>8784</v>
      </c>
      <c r="H53" s="519">
        <f t="shared" si="3"/>
        <v>2.3863051317679299E-3</v>
      </c>
      <c r="I53" s="519">
        <f t="shared" si="4"/>
        <v>0.95419638616961999</v>
      </c>
      <c r="J53" s="688" t="str">
        <f t="shared" si="5"/>
        <v>C</v>
      </c>
      <c r="K53" s="897" t="s">
        <v>374</v>
      </c>
    </row>
    <row r="54" spans="1:11" ht="39.950000000000003" customHeight="1" x14ac:dyDescent="0.15">
      <c r="A54" s="317" t="str">
        <f>Planilha6!A44</f>
        <v>SC/0120</v>
      </c>
      <c r="B54" s="517" t="str">
        <f>VLOOKUP($A54,'Orçamento auxliar'!A:F,2,0)</f>
        <v>Portão para veículos em tela arame galvanizado n.12 malha 2" e moldura em tubos de aco com duas folhas de abrir, incluso ferragens (REF. SINAPI COD. 74238/2 - Descontinuado)</v>
      </c>
      <c r="C54" s="687" t="str">
        <f>VLOOKUP($A54,'Orçamento auxliar'!A:F,3,0)</f>
        <v>M2</v>
      </c>
      <c r="D54" s="317">
        <f>VLOOKUP($A54,Planilha6!$A:$D,2,0)</f>
        <v>1</v>
      </c>
      <c r="E54" s="518">
        <f>VLOOKUP($A54,Planilha6!$A:$D,3,0)</f>
        <v>7.2</v>
      </c>
      <c r="F54" s="518">
        <f>VLOOKUP($A54,'Orçamento auxliar'!A:F,5,0)</f>
        <v>1219.28</v>
      </c>
      <c r="G54" s="518">
        <f>VLOOKUP($A54,Planilha6!$A:$E,4,0)</f>
        <v>8778.81</v>
      </c>
      <c r="H54" s="519">
        <f t="shared" si="3"/>
        <v>2.3848951905527799E-3</v>
      </c>
      <c r="I54" s="519">
        <f t="shared" si="4"/>
        <v>0.95658128136017273</v>
      </c>
      <c r="J54" s="688" t="str">
        <f t="shared" si="5"/>
        <v>C</v>
      </c>
      <c r="K54" s="897" t="s">
        <v>374</v>
      </c>
    </row>
    <row r="55" spans="1:11" ht="30" customHeight="1" x14ac:dyDescent="0.15">
      <c r="A55" s="317">
        <f>Planilha6!A45</f>
        <v>100939</v>
      </c>
      <c r="B55" s="517" t="str">
        <f>VLOOKUP($A55,'Orçamento auxliar'!A:F,2,0)</f>
        <v>Transporte com caminhão basculante de 14 m3, em via interna (dentro do canteiro - unidade:m3xkm). AF_07/2020</v>
      </c>
      <c r="C55" s="687" t="str">
        <f>VLOOKUP($A55,'Orçamento auxliar'!A:F,3,0)</f>
        <v>M3XKM</v>
      </c>
      <c r="D55" s="317">
        <f>VLOOKUP($A55,Planilha6!$A:$D,2,0)</f>
        <v>2</v>
      </c>
      <c r="E55" s="518">
        <f>VLOOKUP($A55,Planilha6!$A:$D,3,0)</f>
        <v>1143.6300000000001</v>
      </c>
      <c r="F55" s="518">
        <f>VLOOKUP($A55,'Orçamento auxliar'!A:F,5,0)</f>
        <v>7.67</v>
      </c>
      <c r="G55" s="518">
        <f>VLOOKUP($A55,Planilha6!$A:$E,4,0)</f>
        <v>8771.6299999999992</v>
      </c>
      <c r="H55" s="519">
        <f t="shared" si="3"/>
        <v>2.3829446360393359E-3</v>
      </c>
      <c r="I55" s="519">
        <f t="shared" si="4"/>
        <v>0.95896422599621212</v>
      </c>
      <c r="J55" s="688" t="str">
        <f t="shared" si="5"/>
        <v>C</v>
      </c>
      <c r="K55" s="897" t="s">
        <v>374</v>
      </c>
    </row>
    <row r="56" spans="1:11" ht="50.1" customHeight="1" x14ac:dyDescent="0.15">
      <c r="A56" s="317" t="str">
        <f>Planilha6!A46</f>
        <v>SV/0105</v>
      </c>
      <c r="B56" s="517" t="str">
        <f>VLOOKUP($A56,'Orçamento auxliar'!A:F,2,0)</f>
        <v>Placa de sinalização de alumínio, espessura 1,5 mm, com fundo, símbolos e tarjas em película refletiva com esferas inclusas tipo I-A da NBR 14644 (GT/GT), inclusive elementos de fixação, conforme especificação AGETRAN/PMCG - Incluso fornecimento</v>
      </c>
      <c r="C56" s="687" t="str">
        <f>VLOOKUP($A56,'Orçamento auxliar'!A:F,3,0)</f>
        <v>M2</v>
      </c>
      <c r="D56" s="317">
        <f>VLOOKUP($A56,Planilha6!$A:$D,2,0)</f>
        <v>1</v>
      </c>
      <c r="E56" s="518">
        <f>VLOOKUP($A56,Planilha6!$A:$D,3,0)</f>
        <v>9.4</v>
      </c>
      <c r="F56" s="518">
        <f>VLOOKUP($A56,'Orçamento auxliar'!A:F,5,0)</f>
        <v>927.2</v>
      </c>
      <c r="G56" s="518">
        <f>VLOOKUP($A56,Planilha6!$A:$E,4,0)</f>
        <v>8715.68</v>
      </c>
      <c r="H56" s="519">
        <f t="shared" si="3"/>
        <v>2.3677449807430685E-3</v>
      </c>
      <c r="I56" s="519">
        <f t="shared" si="4"/>
        <v>0.96133197097695522</v>
      </c>
      <c r="J56" s="688" t="str">
        <f t="shared" si="5"/>
        <v>C</v>
      </c>
      <c r="K56" s="897" t="s">
        <v>374</v>
      </c>
    </row>
    <row r="57" spans="1:11" ht="50.1" customHeight="1" x14ac:dyDescent="0.15">
      <c r="A57" s="317" t="str">
        <f>Planilha6!A47</f>
        <v>SP/0030</v>
      </c>
      <c r="B57" s="517" t="str">
        <f>VLOOKUP($A57,'Orçamento auxliar'!A:F,2,0)</f>
        <v>Segurança de trânsito - isolamento de obra com tela cerquite plática laranja conforme ABNT - NBR-7678 Segurança na execução de obras e serviços de construção Ministério do Trabalho e da Previdência Social - NB-26 - Sinalização De Segurança CONTRAN - Manual De Noções De Normas De Trânsito</v>
      </c>
      <c r="C57" s="687" t="str">
        <f>VLOOKUP($A57,'Orçamento auxliar'!A:F,3,0)</f>
        <v>M</v>
      </c>
      <c r="D57" s="317">
        <f>VLOOKUP($A57,Planilha6!$A:$D,2,0)</f>
        <v>1</v>
      </c>
      <c r="E57" s="518">
        <f>VLOOKUP($A57,Planilha6!$A:$D,3,0)</f>
        <v>650.77</v>
      </c>
      <c r="F57" s="518">
        <f>VLOOKUP($A57,'Orçamento auxliar'!A:F,5,0)</f>
        <v>12.45</v>
      </c>
      <c r="G57" s="518">
        <f>VLOOKUP($A57,Planilha6!$A:$E,4,0)</f>
        <v>8102.08</v>
      </c>
      <c r="H57" s="519">
        <f t="shared" si="3"/>
        <v>2.2010513526860551E-3</v>
      </c>
      <c r="I57" s="519">
        <f t="shared" si="4"/>
        <v>0.96353302232964122</v>
      </c>
      <c r="J57" s="688" t="str">
        <f t="shared" si="5"/>
        <v>C</v>
      </c>
      <c r="K57" s="897" t="s">
        <v>374</v>
      </c>
    </row>
    <row r="58" spans="1:11" ht="30" customHeight="1" x14ac:dyDescent="0.15">
      <c r="A58" s="317">
        <f>Planilha6!A48</f>
        <v>10777</v>
      </c>
      <c r="B58" s="517" t="str">
        <f>VLOOKUP($A58,'Orçamento auxliar'!A:F,2,0)</f>
        <v>Locação de container 2,30 x 4,30 m, alt. 2,50 m, para sanitário, com 3 bacias, 4 chuveiros, 1 lavatório e 1 mictório</v>
      </c>
      <c r="C58" s="687" t="str">
        <f>VLOOKUP($A58,'Orçamento auxliar'!A:F,3,0)</f>
        <v xml:space="preserve">MES   </v>
      </c>
      <c r="D58" s="317">
        <f>VLOOKUP($A58,Planilha6!$A:$D,2,0)</f>
        <v>1</v>
      </c>
      <c r="E58" s="518">
        <f>VLOOKUP($A58,Planilha6!$A:$D,3,0)</f>
        <v>6</v>
      </c>
      <c r="F58" s="518">
        <f>VLOOKUP($A58,'Orçamento auxliar'!A:F,5,0)</f>
        <v>1239.75</v>
      </c>
      <c r="G58" s="518">
        <f>VLOOKUP($A58,Planilha6!$A:$E,4,0)</f>
        <v>7438.5</v>
      </c>
      <c r="H58" s="519">
        <f t="shared" si="3"/>
        <v>2.0207799092276579E-3</v>
      </c>
      <c r="I58" s="519">
        <f t="shared" si="4"/>
        <v>0.96555380223886889</v>
      </c>
      <c r="J58" s="688" t="str">
        <f t="shared" si="5"/>
        <v>C</v>
      </c>
      <c r="K58" s="897" t="s">
        <v>374</v>
      </c>
    </row>
    <row r="59" spans="1:11" ht="39.950000000000003" customHeight="1" x14ac:dyDescent="0.15">
      <c r="A59" s="317" t="str">
        <f>Planilha6!A49</f>
        <v>SP/0001</v>
      </c>
      <c r="B59" s="517" t="str">
        <f>VLOOKUP($A59,'Orçamento auxliar'!A:F,2,0)</f>
        <v>Placa de identificação de obra pública, inclusive pintura e adesivos, estrutura e suporte de madeira. Incluso fornecimento de material e instalação. Ref SINAPI, CÓD 74209/001, DB 01/2020</v>
      </c>
      <c r="C59" s="687" t="str">
        <f>VLOOKUP($A59,'Orçamento auxliar'!A:F,3,0)</f>
        <v>M2</v>
      </c>
      <c r="D59" s="317">
        <f>VLOOKUP($A59,Planilha6!$A:$D,2,0)</f>
        <v>1</v>
      </c>
      <c r="E59" s="518">
        <f>VLOOKUP($A59,Planilha6!$A:$D,3,0)</f>
        <v>16</v>
      </c>
      <c r="F59" s="518">
        <f>VLOOKUP($A59,'Orçamento auxliar'!A:F,5,0)</f>
        <v>438.38</v>
      </c>
      <c r="G59" s="518">
        <f>VLOOKUP($A59,Planilha6!$A:$E,4,0)</f>
        <v>7014.08</v>
      </c>
      <c r="H59" s="519">
        <f t="shared" si="3"/>
        <v>1.9054798609552371E-3</v>
      </c>
      <c r="I59" s="519">
        <f t="shared" si="4"/>
        <v>0.96745928209982412</v>
      </c>
      <c r="J59" s="688" t="str">
        <f t="shared" si="5"/>
        <v>C</v>
      </c>
      <c r="K59" s="897" t="s">
        <v>374</v>
      </c>
    </row>
    <row r="60" spans="1:11" ht="30" customHeight="1" x14ac:dyDescent="0.15">
      <c r="A60" s="317">
        <f>Planilha6!A50</f>
        <v>10775</v>
      </c>
      <c r="B60" s="517" t="str">
        <f>VLOOKUP($A60,'Orçamento auxliar'!A:F,2,0)</f>
        <v>Locação de container 2,30  x  6,00 m, alt. 2,50 m, com 1 sanitário, para escritório, completo, sem divisórias internas</v>
      </c>
      <c r="C60" s="687" t="str">
        <f>VLOOKUP($A60,'Orçamento auxliar'!A:F,3,0)</f>
        <v xml:space="preserve">MES   </v>
      </c>
      <c r="D60" s="317">
        <f>VLOOKUP($A60,Planilha6!$A:$D,2,0)</f>
        <v>1</v>
      </c>
      <c r="E60" s="518">
        <f>VLOOKUP($A60,Planilha6!$A:$D,3,0)</f>
        <v>6</v>
      </c>
      <c r="F60" s="518">
        <f>VLOOKUP($A60,'Orçamento auxliar'!A:F,5,0)</f>
        <v>1091.9000000000001</v>
      </c>
      <c r="G60" s="518">
        <f>VLOOKUP($A60,Planilha6!$A:$E,4,0)</f>
        <v>6551.4</v>
      </c>
      <c r="H60" s="519">
        <f t="shared" si="3"/>
        <v>1.7797859107769143E-3</v>
      </c>
      <c r="I60" s="519">
        <f t="shared" si="4"/>
        <v>0.969239068010601</v>
      </c>
      <c r="J60" s="688" t="str">
        <f t="shared" si="5"/>
        <v>C</v>
      </c>
      <c r="K60" s="897" t="s">
        <v>374</v>
      </c>
    </row>
    <row r="61" spans="1:11" ht="39.950000000000003" customHeight="1" x14ac:dyDescent="0.15">
      <c r="A61" s="317" t="str">
        <f>Planilha6!A51</f>
        <v>DR/0200</v>
      </c>
      <c r="B61" s="517" t="str">
        <f>VLOOKUP($A61,'Orçamento auxliar'!A:F,2,0)</f>
        <v>Antecâmara para poço de visita, com dimensões internas de 1,98m x 1,00m x 1,50m (bxbxh), em alvenaria de bloco de concreto estrutural FBK 14mpa, conforme projeto tipo</v>
      </c>
      <c r="C61" s="687" t="str">
        <f>VLOOKUP($A61,'Orçamento auxliar'!A:F,3,0)</f>
        <v>UN</v>
      </c>
      <c r="D61" s="317">
        <f>VLOOKUP($A61,Planilha6!$A:$D,2,0)</f>
        <v>1</v>
      </c>
      <c r="E61" s="518">
        <f>VLOOKUP($A61,Planilha6!$A:$D,3,0)</f>
        <v>2</v>
      </c>
      <c r="F61" s="518">
        <f>VLOOKUP($A61,'Orçamento auxliar'!A:F,5,0)</f>
        <v>3233.92</v>
      </c>
      <c r="G61" s="518">
        <f>VLOOKUP($A61,Planilha6!$A:$E,4,0)</f>
        <v>6467.84</v>
      </c>
      <c r="H61" s="519">
        <f t="shared" si="3"/>
        <v>1.7570855855480291E-3</v>
      </c>
      <c r="I61" s="519">
        <f t="shared" si="4"/>
        <v>0.97099615359614899</v>
      </c>
      <c r="J61" s="688" t="str">
        <f t="shared" si="5"/>
        <v>C</v>
      </c>
      <c r="K61" s="897" t="s">
        <v>374</v>
      </c>
    </row>
    <row r="62" spans="1:11" ht="30" customHeight="1" x14ac:dyDescent="0.15">
      <c r="A62" s="317">
        <f>Planilha6!A52</f>
        <v>93585</v>
      </c>
      <c r="B62" s="517" t="str">
        <f>VLOOKUP($A62,'Orçamento auxliar'!A:F,2,0)</f>
        <v>Execução de guarita em canteiro de obra em chapa de madeira compensada, não incluso mobiliário. AF_04/2016</v>
      </c>
      <c r="C62" s="687" t="str">
        <f>VLOOKUP($A62,'Orçamento auxliar'!A:F,3,0)</f>
        <v>M2</v>
      </c>
      <c r="D62" s="317">
        <f>VLOOKUP($A62,Planilha6!$A:$D,2,0)</f>
        <v>1</v>
      </c>
      <c r="E62" s="518">
        <f>VLOOKUP($A62,Planilha6!$A:$D,3,0)</f>
        <v>4</v>
      </c>
      <c r="F62" s="518">
        <f>VLOOKUP($A62,'Orçamento auxliar'!A:F,5,0)</f>
        <v>1596.22</v>
      </c>
      <c r="G62" s="518">
        <f>VLOOKUP($A62,Planilha6!$A:$E,4,0)</f>
        <v>6384.88</v>
      </c>
      <c r="H62" s="519">
        <f t="shared" si="3"/>
        <v>1.7345482593035544E-3</v>
      </c>
      <c r="I62" s="519">
        <f t="shared" si="4"/>
        <v>0.97273070185545252</v>
      </c>
      <c r="J62" s="688" t="str">
        <f t="shared" si="5"/>
        <v>C</v>
      </c>
      <c r="K62" s="897" t="s">
        <v>374</v>
      </c>
    </row>
    <row r="63" spans="1:11" ht="39.950000000000003" customHeight="1" x14ac:dyDescent="0.15">
      <c r="A63" s="317" t="str">
        <f>Planilha6!A53</f>
        <v>SC/0080</v>
      </c>
      <c r="B63" s="517" t="str">
        <f>VLOOKUP($A63,'Orçamento auxliar'!A:F,2,0)</f>
        <v>Piso tátil de alerta ou direcional com lajota cimentícia  40x40x2,5cm, nas cores da NBR 16537, assentado com argamassa de cimento e areia 1:3</v>
      </c>
      <c r="C63" s="687" t="str">
        <f>VLOOKUP($A63,'Orçamento auxliar'!A:F,3,0)</f>
        <v>M</v>
      </c>
      <c r="D63" s="317">
        <f>VLOOKUP($A63,Planilha6!$A:$D,2,0)</f>
        <v>1</v>
      </c>
      <c r="E63" s="518">
        <f>VLOOKUP($A63,Planilha6!$A:$D,3,0)</f>
        <v>83.59</v>
      </c>
      <c r="F63" s="518">
        <f>VLOOKUP($A63,'Orçamento auxliar'!A:F,5,0)</f>
        <v>74.17</v>
      </c>
      <c r="G63" s="518">
        <f>VLOOKUP($A63,Planilha6!$A:$E,4,0)</f>
        <v>6199.87</v>
      </c>
      <c r="H63" s="519">
        <f t="shared" si="3"/>
        <v>1.6842875224606143E-3</v>
      </c>
      <c r="I63" s="519">
        <f t="shared" si="4"/>
        <v>0.97441498937791315</v>
      </c>
      <c r="J63" s="688" t="str">
        <f t="shared" si="5"/>
        <v>C</v>
      </c>
      <c r="K63" s="897" t="s">
        <v>374</v>
      </c>
    </row>
    <row r="64" spans="1:11" ht="39.950000000000003" customHeight="1" x14ac:dyDescent="0.15">
      <c r="A64" s="317" t="str">
        <f>Planilha6!A54</f>
        <v>ES/0010</v>
      </c>
      <c r="B64" s="517" t="str">
        <f>VLOOKUP($A64,'Orçamento auxliar'!A:F,2,0)</f>
        <v>Escoramento de vala, tipo blindado, com profundidade de 1,5 a 3,0 m, largura maior ou igual a 1,5 m e menor que 2,5 m. Altura do escoramento igual a 2,4 m.  Execução e fornecimento, inclui material. (REF. SINAPI COD. 03.ESCO.VALA.040/01)</v>
      </c>
      <c r="C64" s="687" t="str">
        <f>VLOOKUP($A64,'Orçamento auxliar'!A:F,3,0)</f>
        <v>M2</v>
      </c>
      <c r="D64" s="317">
        <f>VLOOKUP($A64,Planilha6!$A:$D,2,0)</f>
        <v>1</v>
      </c>
      <c r="E64" s="518">
        <f>VLOOKUP($A64,Planilha6!$A:$D,3,0)</f>
        <v>216.19</v>
      </c>
      <c r="F64" s="518">
        <f>VLOOKUP($A64,'Orçamento auxliar'!A:F,5,0)</f>
        <v>28.54</v>
      </c>
      <c r="G64" s="518">
        <f>VLOOKUP($A64,Planilha6!$A:$E,4,0)</f>
        <v>6170.06</v>
      </c>
      <c r="H64" s="519">
        <f t="shared" si="3"/>
        <v>1.6761891895851588E-3</v>
      </c>
      <c r="I64" s="519">
        <f t="shared" si="4"/>
        <v>0.97609117856749827</v>
      </c>
      <c r="J64" s="688" t="str">
        <f t="shared" si="5"/>
        <v>C</v>
      </c>
      <c r="K64" s="897" t="s">
        <v>374</v>
      </c>
    </row>
    <row r="65" spans="1:11" ht="39.950000000000003" customHeight="1" x14ac:dyDescent="0.15">
      <c r="A65" s="317">
        <f>Planilha6!A55</f>
        <v>104730</v>
      </c>
      <c r="B65" s="517" t="str">
        <f>VLOOKUP($A65,'Orçamento auxliar'!A:F,2,0)</f>
        <v>Reaterro mecanizado de vala com escavadeira hidráulica (capacidade da caçamba: 0,8 M³/potência: 111 HP), largura de 1,5 a 2,5 m, profundidade de 1,5 a 3,0 m, com solo (sem substituição) de 1ª categoria, com placa vibratória. AF_08/2023</v>
      </c>
      <c r="C65" s="687" t="str">
        <f>VLOOKUP($A65,'Orçamento auxliar'!A:F,3,0)</f>
        <v>M3</v>
      </c>
      <c r="D65" s="317">
        <f>VLOOKUP($A65,Planilha6!$A:$D,2,0)</f>
        <v>1</v>
      </c>
      <c r="E65" s="518">
        <f>VLOOKUP($A65,Planilha6!$A:$D,3,0)</f>
        <v>385.33</v>
      </c>
      <c r="F65" s="518">
        <f>VLOOKUP($A65,'Orçamento auxliar'!A:F,5,0)</f>
        <v>15.22</v>
      </c>
      <c r="G65" s="518">
        <f>VLOOKUP($A65,Planilha6!$A:$E,4,0)</f>
        <v>5864.72</v>
      </c>
      <c r="H65" s="519">
        <f t="shared" si="3"/>
        <v>1.5932390064187175E-3</v>
      </c>
      <c r="I65" s="519">
        <f t="shared" si="4"/>
        <v>0.977684417573917</v>
      </c>
      <c r="J65" s="688" t="str">
        <f t="shared" si="5"/>
        <v>C</v>
      </c>
      <c r="K65" s="897" t="s">
        <v>374</v>
      </c>
    </row>
    <row r="66" spans="1:11" ht="50.1" customHeight="1" x14ac:dyDescent="0.15">
      <c r="A66" s="317">
        <f>Planilha6!A56</f>
        <v>102278</v>
      </c>
      <c r="B66" s="517" t="str">
        <f>VLOOKUP($A66,'Orçamento auxliar'!A:F,2,0)</f>
        <v>Escavação mecanizada de vala com profundidade maior que 1,50 m até 3,00 m (média entre montante e jusante / uma composição por trecho), com escavadeira hidráulica (capacidade da caçamba: 1,2 m3 / potência: 155 HP), largura de 1,50 m a 2,50 m, em solo de 1a categoria, em locais com alto nível de interferência. AF_02/2021</v>
      </c>
      <c r="C66" s="687" t="str">
        <f>VLOOKUP($A66,'Orçamento auxliar'!A:F,3,0)</f>
        <v>M3</v>
      </c>
      <c r="D66" s="317">
        <f>VLOOKUP($A66,Planilha6!$A:$D,2,0)</f>
        <v>1</v>
      </c>
      <c r="E66" s="518">
        <f>VLOOKUP($A66,Planilha6!$A:$D,3,0)</f>
        <v>451.48</v>
      </c>
      <c r="F66" s="518">
        <f>VLOOKUP($A66,'Orçamento auxliar'!A:F,5,0)</f>
        <v>11.84</v>
      </c>
      <c r="G66" s="518">
        <f>VLOOKUP($A66,Planilha6!$A:$E,4,0)</f>
        <v>5345.52</v>
      </c>
      <c r="H66" s="519">
        <f t="shared" si="3"/>
        <v>1.4521905519089373E-3</v>
      </c>
      <c r="I66" s="519">
        <f t="shared" si="4"/>
        <v>0.97913660812582592</v>
      </c>
      <c r="J66" s="688" t="str">
        <f t="shared" si="5"/>
        <v>C</v>
      </c>
      <c r="K66" s="897" t="s">
        <v>374</v>
      </c>
    </row>
    <row r="67" spans="1:11" ht="30" customHeight="1" x14ac:dyDescent="0.15">
      <c r="A67" s="317" t="str">
        <f>Planilha6!A57</f>
        <v>SV/0015</v>
      </c>
      <c r="B67" s="517" t="str">
        <f>VLOOKUP($A67,'Orçamento auxliar'!A:F,2,0)</f>
        <v>Pintura de faixa - termoplástico por aspersão Hot Spray - espessura de 1,5 mm (REF. SICRO COD. 5213408, DB 04-21)</v>
      </c>
      <c r="C67" s="687" t="str">
        <f>VLOOKUP($A67,'Orçamento auxliar'!A:F,3,0)</f>
        <v>M2</v>
      </c>
      <c r="D67" s="317">
        <f>VLOOKUP($A67,Planilha6!$A:$D,2,0)</f>
        <v>1</v>
      </c>
      <c r="E67" s="518">
        <f>VLOOKUP($A67,Planilha6!$A:$D,3,0)</f>
        <v>86.34</v>
      </c>
      <c r="F67" s="518">
        <f>VLOOKUP($A67,'Orçamento auxliar'!A:F,5,0)</f>
        <v>61.53</v>
      </c>
      <c r="G67" s="518">
        <f>VLOOKUP($A67,Planilha6!$A:$E,4,0)</f>
        <v>5312.5</v>
      </c>
      <c r="H67" s="519">
        <f t="shared" si="3"/>
        <v>1.4432201744668861E-3</v>
      </c>
      <c r="I67" s="519">
        <f t="shared" si="4"/>
        <v>0.98057982830029278</v>
      </c>
      <c r="J67" s="688" t="str">
        <f t="shared" si="5"/>
        <v>C</v>
      </c>
      <c r="K67" s="897" t="s">
        <v>374</v>
      </c>
    </row>
    <row r="68" spans="1:11" ht="30" customHeight="1" x14ac:dyDescent="0.15">
      <c r="A68" s="317">
        <f>Planilha6!A58</f>
        <v>10776</v>
      </c>
      <c r="B68" s="517" t="str">
        <f>VLOOKUP($A68,'Orçamento auxliar'!A:F,2,0)</f>
        <v>Locação de container 2,30  x  6,00 m, alt. 2,50 m, para escritório, sem divisórias internas e sem sanitário</v>
      </c>
      <c r="C68" s="687" t="str">
        <f>VLOOKUP($A68,'Orçamento auxliar'!A:F,3,0)</f>
        <v xml:space="preserve">MES   </v>
      </c>
      <c r="D68" s="317">
        <f>VLOOKUP($A68,Planilha6!$A:$D,2,0)</f>
        <v>1</v>
      </c>
      <c r="E68" s="518">
        <f>VLOOKUP($A68,Planilha6!$A:$D,3,0)</f>
        <v>6</v>
      </c>
      <c r="F68" s="518">
        <f>VLOOKUP($A68,'Orçamento auxliar'!A:F,5,0)</f>
        <v>853.03</v>
      </c>
      <c r="G68" s="518">
        <f>VLOOKUP($A68,Planilha6!$A:$E,4,0)</f>
        <v>5118.18</v>
      </c>
      <c r="H68" s="519">
        <f t="shared" si="3"/>
        <v>1.3904302367158453E-3</v>
      </c>
      <c r="I68" s="519">
        <f t="shared" si="4"/>
        <v>0.98197025853700859</v>
      </c>
      <c r="J68" s="688" t="str">
        <f t="shared" si="5"/>
        <v>C</v>
      </c>
      <c r="K68" s="897" t="s">
        <v>374</v>
      </c>
    </row>
    <row r="69" spans="1:11" ht="50.1" customHeight="1" x14ac:dyDescent="0.15">
      <c r="A69" s="317">
        <f>Planilha6!A59</f>
        <v>90100</v>
      </c>
      <c r="B69" s="517" t="str">
        <f>VLOOKUP($A69,'Orçamento auxliar'!A:F,2,0)</f>
        <v>Escavação mecanizada de vala com profundidade até 1,50 m (média entre montante e jusante / uma composição por trecho), com retroescavadeira (capacidade da caçamba: 0,26 m3 / potência: 88 HP), largura de 0,80 m a 1,50 m, em solo de 1a categoria, em locais com alto nível de interferência. AF_01/2015</v>
      </c>
      <c r="C69" s="687" t="str">
        <f>VLOOKUP($A69,'Orçamento auxliar'!A:F,3,0)</f>
        <v>M3</v>
      </c>
      <c r="D69" s="317">
        <f>VLOOKUP($A69,Planilha6!$A:$D,2,0)</f>
        <v>1</v>
      </c>
      <c r="E69" s="518">
        <f>VLOOKUP($A69,Planilha6!$A:$D,3,0)</f>
        <v>307.39</v>
      </c>
      <c r="F69" s="518">
        <f>VLOOKUP($A69,'Orçamento auxliar'!A:F,5,0)</f>
        <v>16.010000000000002</v>
      </c>
      <c r="G69" s="518">
        <f>VLOOKUP($A69,Planilha6!$A:$E,4,0)</f>
        <v>4921.3100000000004</v>
      </c>
      <c r="H69" s="519">
        <f t="shared" si="3"/>
        <v>1.3369475532810601E-3</v>
      </c>
      <c r="I69" s="519">
        <f t="shared" si="4"/>
        <v>0.98330720609028965</v>
      </c>
      <c r="J69" s="688" t="str">
        <f t="shared" si="5"/>
        <v>C</v>
      </c>
      <c r="K69" s="897" t="s">
        <v>374</v>
      </c>
    </row>
    <row r="70" spans="1:11" ht="39.950000000000003" customHeight="1" x14ac:dyDescent="0.15">
      <c r="A70" s="317">
        <f>Planilha6!A60</f>
        <v>98525</v>
      </c>
      <c r="B70" s="517" t="str">
        <f>VLOOKUP($A70,'Orçamento auxliar'!A:F,2,0)</f>
        <v>Limpeza mecanizada de camada vegetal, vegetação e pequenas árvores (diâmetro nominal de tronco menor que 0,20 m), com trator de esteiras. AF_05/2018</v>
      </c>
      <c r="C70" s="687" t="str">
        <f>VLOOKUP($A70,'Orçamento auxliar'!A:F,3,0)</f>
        <v>M2</v>
      </c>
      <c r="D70" s="317">
        <f>VLOOKUP($A70,Planilha6!$A:$D,2,0)</f>
        <v>1</v>
      </c>
      <c r="E70" s="518">
        <f>VLOOKUP($A70,Planilha6!$A:$D,3,0)</f>
        <v>10000</v>
      </c>
      <c r="F70" s="518">
        <f>VLOOKUP($A70,'Orçamento auxliar'!A:F,5,0)</f>
        <v>0.45</v>
      </c>
      <c r="G70" s="518">
        <f>VLOOKUP($A70,Planilha6!$A:$E,4,0)</f>
        <v>4500</v>
      </c>
      <c r="H70" s="519">
        <f t="shared" si="3"/>
        <v>1.2224923830778331E-3</v>
      </c>
      <c r="I70" s="519">
        <f t="shared" si="4"/>
        <v>0.98452969847336747</v>
      </c>
      <c r="J70" s="688" t="str">
        <f t="shared" si="5"/>
        <v>C</v>
      </c>
      <c r="K70" s="897" t="s">
        <v>374</v>
      </c>
    </row>
    <row r="71" spans="1:11" ht="39.950000000000003" customHeight="1" x14ac:dyDescent="0.15">
      <c r="A71" s="317">
        <f>Planilha6!A61</f>
        <v>104734</v>
      </c>
      <c r="B71" s="517" t="str">
        <f>VLOOKUP($A71,'Orçamento auxliar'!A:F,2,0)</f>
        <v>Reaterro mecanizado de vala com retroescavadeira (capacidade   da   caçamba   da retro: 0,26 M³/potência: 88 HP), largura de 0,8 a 1,5 m, profundidade até 1,5 m, com solo (sem substituição) de 1ª categoria, com placa vibratória. AF_08/2023</v>
      </c>
      <c r="C71" s="687" t="str">
        <f>VLOOKUP($A71,'Orçamento auxliar'!A:F,3,0)</f>
        <v>M3</v>
      </c>
      <c r="D71" s="317">
        <f>VLOOKUP($A71,Planilha6!$A:$D,2,0)</f>
        <v>1</v>
      </c>
      <c r="E71" s="518">
        <f>VLOOKUP($A71,Planilha6!$A:$D,3,0)</f>
        <v>268.3</v>
      </c>
      <c r="F71" s="518">
        <f>VLOOKUP($A71,'Orçamento auxliar'!A:F,5,0)</f>
        <v>16.37</v>
      </c>
      <c r="G71" s="518">
        <f>VLOOKUP($A71,Planilha6!$A:$E,4,0)</f>
        <v>4392.07</v>
      </c>
      <c r="H71" s="519">
        <f t="shared" si="3"/>
        <v>1.1931715824321462E-3</v>
      </c>
      <c r="I71" s="519">
        <f t="shared" si="4"/>
        <v>0.98572287005579962</v>
      </c>
      <c r="J71" s="688" t="str">
        <f t="shared" si="5"/>
        <v>C</v>
      </c>
      <c r="K71" s="897" t="s">
        <v>374</v>
      </c>
    </row>
    <row r="72" spans="1:11" ht="30" customHeight="1" x14ac:dyDescent="0.15">
      <c r="A72" s="317" t="str">
        <f>Planilha6!A62</f>
        <v>SV/0010</v>
      </c>
      <c r="B72" s="517" t="str">
        <f>VLOOKUP($A72,'Orçamento auxliar'!A:F,2,0)</f>
        <v>Pintura de setas e legendas - termoplástico por extrusão - espessura de 3,0 mm (REF. SICRO COD. 5213409, DB 04-21)</v>
      </c>
      <c r="C72" s="687" t="str">
        <f>VLOOKUP($A72,'Orçamento auxliar'!A:F,3,0)</f>
        <v>M2</v>
      </c>
      <c r="D72" s="317">
        <f>VLOOKUP($A72,Planilha6!$A:$D,2,0)</f>
        <v>1</v>
      </c>
      <c r="E72" s="518">
        <f>VLOOKUP($A72,Planilha6!$A:$D,3,0)</f>
        <v>35.04</v>
      </c>
      <c r="F72" s="518">
        <f>VLOOKUP($A72,'Orçamento auxliar'!A:F,5,0)</f>
        <v>119.07</v>
      </c>
      <c r="G72" s="518">
        <f>VLOOKUP($A72,Planilha6!$A:$E,4,0)</f>
        <v>4172.21</v>
      </c>
      <c r="H72" s="519">
        <f t="shared" si="3"/>
        <v>1.1334433212447034E-3</v>
      </c>
      <c r="I72" s="519">
        <f t="shared" si="4"/>
        <v>0.98685631337704427</v>
      </c>
      <c r="J72" s="688" t="str">
        <f t="shared" si="5"/>
        <v>C</v>
      </c>
      <c r="K72" s="897" t="s">
        <v>374</v>
      </c>
    </row>
    <row r="73" spans="1:11" ht="30" customHeight="1" x14ac:dyDescent="0.15">
      <c r="A73" s="317">
        <f>Planilha6!A63</f>
        <v>97084</v>
      </c>
      <c r="B73" s="517" t="str">
        <f>VLOOKUP($A73,'Orçamento auxliar'!A:F,2,0)</f>
        <v>Compactação mecânica de solo para execução de radier, com compactador de solos tipo placa vibratória. AF_09/2021</v>
      </c>
      <c r="C73" s="687" t="str">
        <f>VLOOKUP($A73,'Orçamento auxliar'!A:F,3,0)</f>
        <v>M2</v>
      </c>
      <c r="D73" s="317">
        <f>VLOOKUP($A73,Planilha6!$A:$D,2,0)</f>
        <v>1</v>
      </c>
      <c r="E73" s="518">
        <f>VLOOKUP($A73,Planilha6!$A:$D,3,0)</f>
        <v>5339.87</v>
      </c>
      <c r="F73" s="518">
        <f>VLOOKUP($A73,'Orçamento auxliar'!A:F,5,0)</f>
        <v>0.76</v>
      </c>
      <c r="G73" s="518">
        <f>VLOOKUP($A73,Planilha6!$A:$E,4,0)</f>
        <v>4058.3</v>
      </c>
      <c r="H73" s="519">
        <f t="shared" si="3"/>
        <v>1.1024979640543932E-3</v>
      </c>
      <c r="I73" s="519">
        <f t="shared" si="4"/>
        <v>0.98795881134109864</v>
      </c>
      <c r="J73" s="688" t="str">
        <f t="shared" si="5"/>
        <v>C</v>
      </c>
      <c r="K73" s="897" t="s">
        <v>374</v>
      </c>
    </row>
    <row r="74" spans="1:11" ht="39.950000000000003" customHeight="1" x14ac:dyDescent="0.15">
      <c r="A74" s="317" t="str">
        <f>Planilha6!A64</f>
        <v>SR/0100</v>
      </c>
      <c r="B74" s="517" t="str">
        <f>VLOOKUP($A74,'Orçamento auxliar'!A:F,2,0)</f>
        <v>Recorte mecânico de pavimento asfáltico ou piso de concreto, com serra de disco diamantado para piso/asfalto. REF SICRO 4011537, DB 04-2023</v>
      </c>
      <c r="C74" s="687" t="str">
        <f>VLOOKUP($A74,'Orçamento auxliar'!A:F,3,0)</f>
        <v>M</v>
      </c>
      <c r="D74" s="317">
        <f>VLOOKUP($A74,Planilha6!$A:$D,2,0)</f>
        <v>1</v>
      </c>
      <c r="E74" s="518">
        <f>VLOOKUP($A74,Planilha6!$A:$D,3,0)</f>
        <v>858.19</v>
      </c>
      <c r="F74" s="518">
        <f>VLOOKUP($A74,'Orçamento auxliar'!A:F,5,0)</f>
        <v>4.3899999999999997</v>
      </c>
      <c r="G74" s="518">
        <f>VLOOKUP($A74,Planilha6!$A:$E,4,0)</f>
        <v>3767.45</v>
      </c>
      <c r="H74" s="519">
        <f t="shared" si="3"/>
        <v>1.0234842063614625E-3</v>
      </c>
      <c r="I74" s="519">
        <f t="shared" si="4"/>
        <v>0.98898229554746009</v>
      </c>
      <c r="J74" s="688" t="str">
        <f t="shared" si="5"/>
        <v>C</v>
      </c>
      <c r="K74" s="897" t="s">
        <v>374</v>
      </c>
    </row>
    <row r="75" spans="1:11" ht="30" customHeight="1" x14ac:dyDescent="0.15">
      <c r="A75" s="317">
        <f>Planilha6!A65</f>
        <v>13521</v>
      </c>
      <c r="B75" s="517" t="str">
        <f>VLOOKUP($A75,'Orçamento auxliar'!A:F,2,0)</f>
        <v>Placa de aço esmaltada para identificação de rua, dimensões *45x20* cm</v>
      </c>
      <c r="C75" s="687" t="str">
        <f>VLOOKUP($A75,'Orçamento auxliar'!A:F,3,0)</f>
        <v xml:space="preserve">UN    </v>
      </c>
      <c r="D75" s="317">
        <f>VLOOKUP($A75,Planilha6!$A:$D,2,0)</f>
        <v>1</v>
      </c>
      <c r="E75" s="518">
        <f>VLOOKUP($A75,Planilha6!$A:$D,3,0)</f>
        <v>36</v>
      </c>
      <c r="F75" s="518">
        <f>VLOOKUP($A75,'Orçamento auxliar'!A:F,5,0)</f>
        <v>100.65</v>
      </c>
      <c r="G75" s="518">
        <f>VLOOKUP($A75,Planilha6!$A:$E,4,0)</f>
        <v>3623.4</v>
      </c>
      <c r="H75" s="519">
        <f t="shared" si="3"/>
        <v>9.8435086685427125E-4</v>
      </c>
      <c r="I75" s="519">
        <f t="shared" si="4"/>
        <v>0.98996664641431431</v>
      </c>
      <c r="J75" s="688" t="str">
        <f t="shared" si="5"/>
        <v>C</v>
      </c>
      <c r="K75" s="897" t="s">
        <v>374</v>
      </c>
    </row>
    <row r="76" spans="1:11" ht="30" customHeight="1" x14ac:dyDescent="0.15">
      <c r="A76" s="317" t="str">
        <f>Planilha6!A66</f>
        <v>SP/0060</v>
      </c>
      <c r="B76" s="517" t="str">
        <f>VLOOKUP($A76,'Orçamento auxliar'!A:F,2,0)</f>
        <v>Reparo em ramal de ligação predial de água</v>
      </c>
      <c r="C76" s="687" t="str">
        <f>VLOOKUP($A76,'Orçamento auxliar'!A:F,3,0)</f>
        <v xml:space="preserve">UN </v>
      </c>
      <c r="D76" s="317">
        <f>VLOOKUP($A76,Planilha6!$A:$D,2,0)</f>
        <v>1</v>
      </c>
      <c r="E76" s="518">
        <f>VLOOKUP($A76,Planilha6!$A:$D,3,0)</f>
        <v>12</v>
      </c>
      <c r="F76" s="518">
        <f>VLOOKUP($A76,'Orçamento auxliar'!A:F,5,0)</f>
        <v>299.97000000000003</v>
      </c>
      <c r="G76" s="518">
        <f>VLOOKUP($A76,Planilha6!$A:$E,4,0)</f>
        <v>3599.64</v>
      </c>
      <c r="H76" s="519">
        <f t="shared" si="3"/>
        <v>9.7789610707162003E-4</v>
      </c>
      <c r="I76" s="519">
        <f t="shared" si="4"/>
        <v>0.99094454252138597</v>
      </c>
      <c r="J76" s="688" t="str">
        <f t="shared" si="5"/>
        <v>C</v>
      </c>
      <c r="K76" s="897" t="s">
        <v>374</v>
      </c>
    </row>
    <row r="77" spans="1:11" ht="39.950000000000003" customHeight="1" x14ac:dyDescent="0.15">
      <c r="A77" s="317">
        <f>Planilha6!A67</f>
        <v>98051</v>
      </c>
      <c r="B77" s="517" t="str">
        <f>VLOOKUP($A77,'Orçamento auxliar'!A:F,2,0)</f>
        <v>Chaminé circular para poço de visita para esgoto, em alvenaria com tijolos cerâmicos maciços, diâmetro interno = 0,6 m. af_12/2020</v>
      </c>
      <c r="C77" s="687" t="str">
        <f>VLOOKUP($A77,'Orçamento auxliar'!A:F,3,0)</f>
        <v>M</v>
      </c>
      <c r="D77" s="317">
        <f>VLOOKUP($A77,Planilha6!$A:$D,2,0)</f>
        <v>1</v>
      </c>
      <c r="E77" s="518">
        <f>VLOOKUP($A77,Planilha6!$A:$D,3,0)</f>
        <v>3.04</v>
      </c>
      <c r="F77" s="518">
        <f>VLOOKUP($A77,'Orçamento auxliar'!A:F,5,0)</f>
        <v>1170.99</v>
      </c>
      <c r="G77" s="518">
        <f>VLOOKUP($A77,Planilha6!$A:$E,4,0)</f>
        <v>3559.8</v>
      </c>
      <c r="H77" s="519">
        <f t="shared" si="3"/>
        <v>9.670729745067711E-4</v>
      </c>
      <c r="I77" s="519">
        <f t="shared" si="4"/>
        <v>0.9919116154958928</v>
      </c>
      <c r="J77" s="688" t="str">
        <f t="shared" si="5"/>
        <v>C</v>
      </c>
      <c r="K77" s="897" t="s">
        <v>374</v>
      </c>
    </row>
    <row r="78" spans="1:11" ht="30" customHeight="1" x14ac:dyDescent="0.15">
      <c r="A78" s="317">
        <f>Planilha6!A68</f>
        <v>98533</v>
      </c>
      <c r="B78" s="517" t="str">
        <f>VLOOKUP($A78,'Orçamento auxliar'!A:F,2,0)</f>
        <v>Poda em altura de árvore com diâmetro nominal de tronco maior ou igual a 0,20 m e menor que 0,40 m. AF_05/2018</v>
      </c>
      <c r="C78" s="687" t="str">
        <f>VLOOKUP($A78,'Orçamento auxliar'!A:F,3,0)</f>
        <v>UN</v>
      </c>
      <c r="D78" s="317">
        <f>VLOOKUP($A78,Planilha6!$A:$D,2,0)</f>
        <v>1</v>
      </c>
      <c r="E78" s="518">
        <f>VLOOKUP($A78,Planilha6!$A:$D,3,0)</f>
        <v>9</v>
      </c>
      <c r="F78" s="518">
        <f>VLOOKUP($A78,'Orçamento auxliar'!A:F,5,0)</f>
        <v>380.83</v>
      </c>
      <c r="G78" s="518">
        <f>VLOOKUP($A78,Planilha6!$A:$E,4,0)</f>
        <v>3427.47</v>
      </c>
      <c r="H78" s="519">
        <f t="shared" si="3"/>
        <v>9.3112354849506226E-4</v>
      </c>
      <c r="I78" s="519">
        <f t="shared" si="4"/>
        <v>0.99284273904438791</v>
      </c>
      <c r="J78" s="688" t="str">
        <f t="shared" si="5"/>
        <v>C</v>
      </c>
      <c r="K78" s="897" t="s">
        <v>374</v>
      </c>
    </row>
    <row r="79" spans="1:11" ht="30" customHeight="1" x14ac:dyDescent="0.15">
      <c r="A79" s="317">
        <f>Planilha6!A69</f>
        <v>101616</v>
      </c>
      <c r="B79" s="517" t="str">
        <f>VLOOKUP($A79,'Orçamento auxliar'!A:F,2,0)</f>
        <v>Preparo de fundo de vala com largura menor que 1,50 m (acerto do solo natural). AF_08/2020</v>
      </c>
      <c r="C79" s="687" t="str">
        <f>VLOOKUP($A79,'Orçamento auxliar'!A:F,3,0)</f>
        <v>M2</v>
      </c>
      <c r="D79" s="317">
        <f>VLOOKUP($A79,Planilha6!$A:$D,2,0)</f>
        <v>1</v>
      </c>
      <c r="E79" s="518">
        <f>VLOOKUP($A79,Planilha6!$A:$D,3,0)</f>
        <v>435.32</v>
      </c>
      <c r="F79" s="518">
        <f>VLOOKUP($A79,'Orçamento auxliar'!A:F,5,0)</f>
        <v>7.01</v>
      </c>
      <c r="G79" s="518">
        <f>VLOOKUP($A79,Planilha6!$A:$E,4,0)</f>
        <v>3051.59</v>
      </c>
      <c r="H79" s="519">
        <f t="shared" ref="H79:H89" si="6">G79/$G$13</f>
        <v>8.2901011806144097E-4</v>
      </c>
      <c r="I79" s="519">
        <f t="shared" ref="I79:I89" si="7">I78+H79</f>
        <v>0.99367174916244938</v>
      </c>
      <c r="J79" s="688" t="str">
        <f t="shared" ref="J79:J89" si="8">IF(I79&lt;=$J$8,$I$8,IF(I79&lt;=$J$9,$I$9,$I$10))</f>
        <v>C</v>
      </c>
      <c r="K79" s="897" t="s">
        <v>374</v>
      </c>
    </row>
    <row r="80" spans="1:11" ht="39.950000000000003" customHeight="1" x14ac:dyDescent="0.15">
      <c r="A80" s="317" t="str">
        <f>Planilha6!A70</f>
        <v>SV/0005</v>
      </c>
      <c r="B80" s="517" t="str">
        <f>VLOOKUP($A80,'Orçamento auxliar'!A:F,2,0)</f>
        <v>Pintura de faixas de pedestres e retenção e de zebrados - termoplástico por extrusão - espessura de 3,0 mm (REF. SICRO COD. 5213408 e 5213409)</v>
      </c>
      <c r="C80" s="687" t="str">
        <f>VLOOKUP($A80,'Orçamento auxliar'!A:F,3,0)</f>
        <v>M2</v>
      </c>
      <c r="D80" s="317">
        <f>VLOOKUP($A80,Planilha6!$A:$D,2,0)</f>
        <v>1</v>
      </c>
      <c r="E80" s="518">
        <f>VLOOKUP($A80,Planilha6!$A:$D,3,0)</f>
        <v>26.84</v>
      </c>
      <c r="F80" s="518">
        <f>VLOOKUP($A80,'Orçamento auxliar'!A:F,5,0)</f>
        <v>104.46</v>
      </c>
      <c r="G80" s="518">
        <f>VLOOKUP($A80,Planilha6!$A:$E,4,0)</f>
        <v>2803.7</v>
      </c>
      <c r="H80" s="519">
        <f t="shared" si="6"/>
        <v>7.6166708765229335E-4</v>
      </c>
      <c r="I80" s="519">
        <f t="shared" si="7"/>
        <v>0.99443341625010162</v>
      </c>
      <c r="J80" s="688" t="str">
        <f t="shared" si="8"/>
        <v>C</v>
      </c>
      <c r="K80" s="897" t="s">
        <v>374</v>
      </c>
    </row>
    <row r="81" spans="1:11" ht="50.1" customHeight="1" x14ac:dyDescent="0.15">
      <c r="A81" s="317" t="str">
        <f>Planilha6!A71</f>
        <v>SP/0020</v>
      </c>
      <c r="B81" s="517" t="str">
        <f>VLOOKUP($A81,'Orçamento auxliar'!A:F,2,0)</f>
        <v>Segurança de trânsito - sinalização de advertência de obra com placa (fundo laranja) sobre cavalete, conforme ABNT - NBR-7678 Segurança na execução de obras e serviços de construção Ministério do Trabalho e da Previdência Social - NB-26 - Sinalização De Segurança CONTRAN - Manual De Noções De Normas De Trânsito</v>
      </c>
      <c r="C81" s="687" t="str">
        <f>VLOOKUP($A81,'Orçamento auxliar'!A:F,3,0)</f>
        <v>M2</v>
      </c>
      <c r="D81" s="317">
        <f>VLOOKUP($A81,Planilha6!$A:$D,2,0)</f>
        <v>1</v>
      </c>
      <c r="E81" s="518">
        <f>VLOOKUP($A81,Planilha6!$A:$D,3,0)</f>
        <v>13</v>
      </c>
      <c r="F81" s="518">
        <f>VLOOKUP($A81,'Orçamento auxliar'!A:F,5,0)</f>
        <v>173.6</v>
      </c>
      <c r="G81" s="518">
        <f>VLOOKUP($A81,Planilha6!$A:$E,4,0)</f>
        <v>2256.8000000000002</v>
      </c>
      <c r="H81" s="519">
        <f t="shared" si="6"/>
        <v>6.1309351336223412E-4</v>
      </c>
      <c r="I81" s="519">
        <f t="shared" si="7"/>
        <v>0.99504650976346387</v>
      </c>
      <c r="J81" s="688" t="str">
        <f t="shared" si="8"/>
        <v>C</v>
      </c>
      <c r="K81" s="897" t="s">
        <v>374</v>
      </c>
    </row>
    <row r="82" spans="1:11" ht="50.1" customHeight="1" x14ac:dyDescent="0.15">
      <c r="A82" s="317">
        <f>Planilha6!A72</f>
        <v>90102</v>
      </c>
      <c r="B82" s="517" t="str">
        <f>VLOOKUP($A82,'Orçamento auxliar'!A:F,2,0)</f>
        <v>Escavação mecanizada de vala com profundidade maior que 1,50 m até 3,00 m (média entre montante e jusante / uma composição por trecho), com retroescavadeira (capacidade da caçamba: 0,26 m3 / potência: 88 HP), largura de 0,80 m a 1,50 m, em solo de 1a categoria, em locais com alto nível de interferência. AF_01/2015</v>
      </c>
      <c r="C82" s="687" t="str">
        <f>VLOOKUP($A82,'Orçamento auxliar'!A:F,3,0)</f>
        <v>M3</v>
      </c>
      <c r="D82" s="317">
        <f>VLOOKUP($A82,Planilha6!$A:$D,2,0)</f>
        <v>1</v>
      </c>
      <c r="E82" s="518">
        <f>VLOOKUP($A82,Planilha6!$A:$D,3,0)</f>
        <v>149.86000000000001</v>
      </c>
      <c r="F82" s="518">
        <f>VLOOKUP($A82,'Orçamento auxliar'!A:F,5,0)</f>
        <v>14.4</v>
      </c>
      <c r="G82" s="518">
        <f>VLOOKUP($A82,Planilha6!$A:$E,4,0)</f>
        <v>2157.98</v>
      </c>
      <c r="H82" s="519">
        <f t="shared" si="6"/>
        <v>5.862475806298449E-4</v>
      </c>
      <c r="I82" s="519">
        <f t="shared" si="7"/>
        <v>0.99563275734409373</v>
      </c>
      <c r="J82" s="688" t="str">
        <f t="shared" si="8"/>
        <v>C</v>
      </c>
      <c r="K82" s="897" t="s">
        <v>374</v>
      </c>
    </row>
    <row r="83" spans="1:11" ht="30" customHeight="1" x14ac:dyDescent="0.15">
      <c r="A83" s="317" t="str">
        <f>Planilha6!A73</f>
        <v>SP/0050</v>
      </c>
      <c r="B83" s="517" t="str">
        <f>VLOOKUP($A83,'Orçamento auxliar'!A:F,2,0)</f>
        <v>Sondagem de investigação de interferências subterrâneas, incluindo escavações mecânica e manual e reaterro</v>
      </c>
      <c r="C83" s="687" t="str">
        <f>VLOOKUP($A83,'Orçamento auxliar'!A:F,3,0)</f>
        <v xml:space="preserve">UN </v>
      </c>
      <c r="D83" s="317">
        <f>VLOOKUP($A83,Planilha6!$A:$D,2,0)</f>
        <v>1</v>
      </c>
      <c r="E83" s="518">
        <f>VLOOKUP($A83,Planilha6!$A:$D,3,0)</f>
        <v>6</v>
      </c>
      <c r="F83" s="518">
        <f>VLOOKUP($A83,'Orçamento auxliar'!A:F,5,0)</f>
        <v>345.4</v>
      </c>
      <c r="G83" s="518">
        <f>VLOOKUP($A83,Planilha6!$A:$E,4,0)</f>
        <v>2072.4</v>
      </c>
      <c r="H83" s="519">
        <f t="shared" si="6"/>
        <v>5.6299849215344473E-4</v>
      </c>
      <c r="I83" s="519">
        <f t="shared" si="7"/>
        <v>0.9961957558362472</v>
      </c>
      <c r="J83" s="688" t="str">
        <f t="shared" si="8"/>
        <v>C</v>
      </c>
      <c r="K83" s="897" t="s">
        <v>374</v>
      </c>
    </row>
    <row r="84" spans="1:11" ht="30" customHeight="1" x14ac:dyDescent="0.15">
      <c r="A84" s="317">
        <f>Planilha6!A74</f>
        <v>97636</v>
      </c>
      <c r="B84" s="517" t="str">
        <f>VLOOKUP($A84,'Orçamento auxliar'!A:F,2,0)</f>
        <v>Demolição parcial de pavimento asfáltico, de forma mecanizada, sem reaproveitamento. AF_12/2017</v>
      </c>
      <c r="C84" s="687" t="str">
        <f>VLOOKUP($A84,'Orçamento auxliar'!A:F,3,0)</f>
        <v>M2</v>
      </c>
      <c r="D84" s="317">
        <f>VLOOKUP($A84,Planilha6!$A:$D,2,0)</f>
        <v>1</v>
      </c>
      <c r="E84" s="518">
        <f>VLOOKUP($A84,Planilha6!$A:$D,3,0)</f>
        <v>84.85</v>
      </c>
      <c r="F84" s="518">
        <f>VLOOKUP($A84,'Orçamento auxliar'!A:F,5,0)</f>
        <v>23.3</v>
      </c>
      <c r="G84" s="518">
        <f>VLOOKUP($A84,Planilha6!$A:$E,4,0)</f>
        <v>1977</v>
      </c>
      <c r="H84" s="519">
        <f t="shared" si="6"/>
        <v>5.3708165363219461E-4</v>
      </c>
      <c r="I84" s="519">
        <f t="shared" si="7"/>
        <v>0.9967328374898794</v>
      </c>
      <c r="J84" s="688" t="str">
        <f t="shared" si="8"/>
        <v>C</v>
      </c>
      <c r="K84" s="897" t="s">
        <v>374</v>
      </c>
    </row>
    <row r="85" spans="1:11" ht="30" customHeight="1" x14ac:dyDescent="0.15">
      <c r="A85" s="317">
        <f>Planilha6!A75</f>
        <v>13244</v>
      </c>
      <c r="B85" s="517" t="str">
        <f>VLOOKUP($A85,'Orçamento auxliar'!A:F,2,0)</f>
        <v>Segurança de trânsito - cone de sinalização em pvc rígido com faixa refletiva, h = 70 / 76 cm</v>
      </c>
      <c r="C85" s="687" t="str">
        <f>VLOOKUP($A85,'Orçamento auxliar'!A:F,3,0)</f>
        <v xml:space="preserve">UN    </v>
      </c>
      <c r="D85" s="317">
        <f>VLOOKUP($A85,Planilha6!$A:$D,2,0)</f>
        <v>1</v>
      </c>
      <c r="E85" s="518">
        <f>VLOOKUP($A85,Planilha6!$A:$D,3,0)</f>
        <v>27</v>
      </c>
      <c r="F85" s="518">
        <f>VLOOKUP($A85,'Orçamento auxliar'!A:F,5,0)</f>
        <v>63.31</v>
      </c>
      <c r="G85" s="518">
        <f>VLOOKUP($A85,Planilha6!$A:$E,4,0)</f>
        <v>1709.37</v>
      </c>
      <c r="H85" s="519">
        <f t="shared" si="6"/>
        <v>4.6437595663594559E-4</v>
      </c>
      <c r="I85" s="519">
        <f t="shared" si="7"/>
        <v>0.99719721344651535</v>
      </c>
      <c r="J85" s="688" t="str">
        <f t="shared" si="8"/>
        <v>C</v>
      </c>
      <c r="K85" s="897" t="s">
        <v>374</v>
      </c>
    </row>
    <row r="86" spans="1:11" ht="39.950000000000003" customHeight="1" x14ac:dyDescent="0.15">
      <c r="A86" s="317">
        <f>Planilha6!A76</f>
        <v>104736</v>
      </c>
      <c r="B86" s="517" t="str">
        <f>VLOOKUP($A86,'Orçamento auxliar'!A:F,2,0)</f>
        <v>Reaterro mecanizado de vala com retroescavadeira (capacidade   da   caçamba   da retro: 0,26 M³/potência: 88 HP), largura de 0,8 a 1,5 m, profundidade de 1,5 a 3,0 m, com solo (sem substituição) de 1ª categoria, com placa vibratória. AF_08/2023</v>
      </c>
      <c r="C86" s="687" t="str">
        <f>VLOOKUP($A86,'Orçamento auxliar'!A:F,3,0)</f>
        <v>M3</v>
      </c>
      <c r="D86" s="317">
        <f>VLOOKUP($A86,Planilha6!$A:$D,2,0)</f>
        <v>1</v>
      </c>
      <c r="E86" s="518">
        <f>VLOOKUP($A86,Planilha6!$A:$D,3,0)</f>
        <v>131.53</v>
      </c>
      <c r="F86" s="518">
        <f>VLOOKUP($A86,'Orçamento auxliar'!A:F,5,0)</f>
        <v>10.02</v>
      </c>
      <c r="G86" s="518">
        <f>VLOOKUP($A86,Planilha6!$A:$E,4,0)</f>
        <v>1317.93</v>
      </c>
      <c r="H86" s="519">
        <f t="shared" si="6"/>
        <v>3.580354192066152E-4</v>
      </c>
      <c r="I86" s="519">
        <f t="shared" si="7"/>
        <v>0.997555248865722</v>
      </c>
      <c r="J86" s="688" t="str">
        <f t="shared" si="8"/>
        <v>C</v>
      </c>
      <c r="K86" s="897" t="s">
        <v>374</v>
      </c>
    </row>
    <row r="87" spans="1:11" ht="30" customHeight="1" x14ac:dyDescent="0.15">
      <c r="A87" s="317" t="str">
        <f>Planilha6!A77</f>
        <v>SP/0025</v>
      </c>
      <c r="B87" s="517" t="str">
        <f>VLOOKUP($A87,'Orçamento auxliar'!A:F,2,0)</f>
        <v>Segurança de trânsito - sinalização de advertência de obra com elemento luminoso (balde vermelho)</v>
      </c>
      <c r="C87" s="687" t="str">
        <f>VLOOKUP($A87,'Orçamento auxliar'!A:F,3,0)</f>
        <v>M</v>
      </c>
      <c r="D87" s="317">
        <f>VLOOKUP($A87,Planilha6!$A:$D,2,0)</f>
        <v>1</v>
      </c>
      <c r="E87" s="518">
        <f>VLOOKUP($A87,Planilha6!$A:$D,3,0)</f>
        <v>302.41000000000003</v>
      </c>
      <c r="F87" s="518">
        <f>VLOOKUP($A87,'Orçamento auxliar'!A:F,5,0)</f>
        <v>4.17</v>
      </c>
      <c r="G87" s="518">
        <f>VLOOKUP($A87,Planilha6!$A:$E,4,0)</f>
        <v>1261.04</v>
      </c>
      <c r="H87" s="519">
        <f t="shared" si="6"/>
        <v>3.4258039883477119E-4</v>
      </c>
      <c r="I87" s="519">
        <f t="shared" si="7"/>
        <v>0.99789782926455672</v>
      </c>
      <c r="J87" s="688" t="str">
        <f t="shared" si="8"/>
        <v>C</v>
      </c>
      <c r="K87" s="897" t="s">
        <v>374</v>
      </c>
    </row>
    <row r="88" spans="1:11" ht="39.950000000000003" customHeight="1" x14ac:dyDescent="0.15">
      <c r="A88" s="317">
        <f>Planilha6!A78</f>
        <v>100983</v>
      </c>
      <c r="B88" s="517" t="str">
        <f>VLOOKUP($A88,'Orçamento auxliar'!A:F,2,0)</f>
        <v>Carga, manobra e descarga de entulho em caminhão basculante 14 m3 - carga com escavadeira hidráulica  (capacidade da caçamba: 0,80 m3 / potência: 111 HP) e descarga livre (unidade: m3). AF_07/2020</v>
      </c>
      <c r="C88" s="687" t="str">
        <f>VLOOKUP($A88,'Orçamento auxliar'!A:F,3,0)</f>
        <v>M3</v>
      </c>
      <c r="D88" s="317">
        <f>VLOOKUP($A88,Planilha6!$A:$D,2,0)</f>
        <v>1</v>
      </c>
      <c r="E88" s="518">
        <f>VLOOKUP($A88,Planilha6!$A:$D,3,0)</f>
        <v>98.51</v>
      </c>
      <c r="F88" s="518">
        <f>VLOOKUP($A88,'Orçamento auxliar'!A:F,5,0)</f>
        <v>10.67</v>
      </c>
      <c r="G88" s="518">
        <f>VLOOKUP($A88,Planilha6!$A:$E,4,0)</f>
        <v>1051.0999999999999</v>
      </c>
      <c r="H88" s="519">
        <f t="shared" si="6"/>
        <v>2.8554705418958005E-4</v>
      </c>
      <c r="I88" s="519">
        <f t="shared" si="7"/>
        <v>0.99818337631874632</v>
      </c>
      <c r="J88" s="688" t="str">
        <f t="shared" si="8"/>
        <v>C</v>
      </c>
      <c r="K88" s="897" t="s">
        <v>374</v>
      </c>
    </row>
    <row r="89" spans="1:11" ht="30" customHeight="1" x14ac:dyDescent="0.15">
      <c r="A89" s="317">
        <f>Planilha6!A79</f>
        <v>101617</v>
      </c>
      <c r="B89" s="517" t="str">
        <f>VLOOKUP($A89,'Orçamento auxliar'!A:F,2,0)</f>
        <v>Preparo de fundo de vala com largura maior ou igual a 1,50 m e menor que 2,50 m (acerto do solo natural). AF_08/2020</v>
      </c>
      <c r="C89" s="687" t="str">
        <f>VLOOKUP($A89,'Orçamento auxliar'!A:F,3,0)</f>
        <v>M2</v>
      </c>
      <c r="D89" s="317">
        <f>VLOOKUP($A89,Planilha6!$A:$D,2,0)</f>
        <v>1</v>
      </c>
      <c r="E89" s="518">
        <f>VLOOKUP($A89,Planilha6!$A:$D,3,0)</f>
        <v>290.08</v>
      </c>
      <c r="F89" s="518">
        <f>VLOOKUP($A89,'Orçamento auxliar'!A:F,5,0)</f>
        <v>3.46</v>
      </c>
      <c r="G89" s="518">
        <f>VLOOKUP($A89,Planilha6!$A:$E,4,0)</f>
        <v>1003.67</v>
      </c>
      <c r="H89" s="519">
        <f t="shared" si="6"/>
        <v>2.7266198447193968E-4</v>
      </c>
      <c r="I89" s="519">
        <f t="shared" si="7"/>
        <v>0.99845603830321827</v>
      </c>
      <c r="J89" s="688" t="str">
        <f t="shared" si="8"/>
        <v>C</v>
      </c>
      <c r="K89" s="897" t="s">
        <v>374</v>
      </c>
    </row>
    <row r="90" spans="1:11" ht="30" customHeight="1" x14ac:dyDescent="0.15">
      <c r="A90" s="317">
        <f>Planilha6!A80</f>
        <v>98534</v>
      </c>
      <c r="B90" s="517" t="str">
        <f>VLOOKUP($A90,'Orçamento auxliar'!A:F,2,0)</f>
        <v>Poda em altura de árvore com diâmetro nominal de tronco maior ou igual a 0,40 m e menor que 0,60 m. AF_05/2018</v>
      </c>
      <c r="C90" s="687" t="str">
        <f>VLOOKUP($A90,'Orçamento auxliar'!A:F,3,0)</f>
        <v>UN</v>
      </c>
      <c r="D90" s="317">
        <f>VLOOKUP($A90,Planilha6!$A:$D,2,0)</f>
        <v>1</v>
      </c>
      <c r="E90" s="518">
        <f>VLOOKUP($A90,Planilha6!$A:$D,3,0)</f>
        <v>1</v>
      </c>
      <c r="F90" s="518">
        <f>VLOOKUP($A90,'Orçamento auxliar'!A:F,5,0)</f>
        <v>976.62</v>
      </c>
      <c r="G90" s="518">
        <f>VLOOKUP($A90,Planilha6!$A:$E,4,0)</f>
        <v>976.62</v>
      </c>
      <c r="H90" s="519">
        <f t="shared" ref="H90" si="9">G90/$G$13</f>
        <v>2.6531344692477181E-4</v>
      </c>
      <c r="I90" s="519">
        <f t="shared" ref="I90" si="10">I89+H90</f>
        <v>0.99872135175014309</v>
      </c>
      <c r="J90" s="688" t="str">
        <f t="shared" ref="J90" si="11">IF(I90&lt;=$J$8,$I$8,IF(I90&lt;=$J$9,$I$9,$I$10))</f>
        <v>C</v>
      </c>
      <c r="K90" s="897" t="s">
        <v>374</v>
      </c>
    </row>
    <row r="91" spans="1:11" ht="39.950000000000003" customHeight="1" x14ac:dyDescent="0.15">
      <c r="A91" s="317">
        <f>Planilha6!A81</f>
        <v>98526</v>
      </c>
      <c r="B91" s="517" t="str">
        <f>VLOOKUP($A91,'Orçamento auxliar'!A:F,2,0)</f>
        <v>Remoção de raízes remanescentes de tronco de árvore com diâmetro maior ou igual a 0,20 m e menor que 0,40 m. AF_05/2018</v>
      </c>
      <c r="C91" s="687" t="str">
        <f>VLOOKUP($A91,'Orçamento auxliar'!A:F,3,0)</f>
        <v>UN</v>
      </c>
      <c r="D91" s="317">
        <f>VLOOKUP($A91,Planilha6!$A:$D,2,0)</f>
        <v>1</v>
      </c>
      <c r="E91" s="518">
        <f>VLOOKUP($A91,Planilha6!$A:$D,3,0)</f>
        <v>9</v>
      </c>
      <c r="F91" s="518">
        <f>VLOOKUP($A91,'Orçamento auxliar'!A:F,5,0)</f>
        <v>99.34</v>
      </c>
      <c r="G91" s="518">
        <f>VLOOKUP($A91,Planilha6!$A:$E,4,0)</f>
        <v>894.06</v>
      </c>
      <c r="H91" s="519">
        <f t="shared" ref="H91:H93" si="12">G91/$G$13</f>
        <v>2.4288478666990385E-4</v>
      </c>
      <c r="I91" s="519">
        <f t="shared" ref="I91:I93" si="13">I90+H91</f>
        <v>0.99896423653681299</v>
      </c>
      <c r="J91" s="688" t="str">
        <f t="shared" ref="J91:J93" si="14">IF(I91&lt;=$J$8,$I$8,IF(I91&lt;=$J$9,$I$9,$I$10))</f>
        <v>C</v>
      </c>
      <c r="K91" s="897" t="s">
        <v>374</v>
      </c>
    </row>
    <row r="92" spans="1:11" ht="39.950000000000003" customHeight="1" x14ac:dyDescent="0.15">
      <c r="A92" s="317">
        <f>Planilha6!A82</f>
        <v>102332</v>
      </c>
      <c r="B92" s="517" t="str">
        <f>VLOOKUP($A92,'Orçamento auxliar'!A:F,2,0)</f>
        <v>Transporte com caminhão tanque de transporte de material asfáltico de 20.000 l, em via urbana pavimentada, DMT até 30,00 km (unidade: txkm). AF_07/2020</v>
      </c>
      <c r="C92" s="687" t="str">
        <f>VLOOKUP($A92,'Orçamento auxliar'!A:F,3,0)</f>
        <v>TXKM</v>
      </c>
      <c r="D92" s="317">
        <f>VLOOKUP($A92,Planilha6!$A:$D,2,0)</f>
        <v>2</v>
      </c>
      <c r="E92" s="518">
        <f>VLOOKUP($A92,Planilha6!$A:$D,3,0)</f>
        <v>409.83</v>
      </c>
      <c r="F92" s="518">
        <f>VLOOKUP($A92,'Orçamento auxliar'!A:F,5,0)</f>
        <v>2.13</v>
      </c>
      <c r="G92" s="518">
        <f>VLOOKUP($A92,Planilha6!$A:$E,4,0)</f>
        <v>872.93</v>
      </c>
      <c r="H92" s="519">
        <f t="shared" si="12"/>
        <v>2.3714450576891837E-4</v>
      </c>
      <c r="I92" s="519">
        <f t="shared" si="13"/>
        <v>0.99920138104258194</v>
      </c>
      <c r="J92" s="688" t="str">
        <f t="shared" si="14"/>
        <v>C</v>
      </c>
      <c r="K92" s="897" t="s">
        <v>374</v>
      </c>
    </row>
    <row r="93" spans="1:11" ht="30" customHeight="1" x14ac:dyDescent="0.15">
      <c r="A93" s="317">
        <f>Planilha6!A83</f>
        <v>98529</v>
      </c>
      <c r="B93" s="517" t="str">
        <f>VLOOKUP($A93,'Orçamento auxliar'!A:F,2,0)</f>
        <v>Corte raso e recorte de árvore com diâmetro nominal de tronco maior ou igual a 0,20 m e menor que 0,40 m. AF_05/2018</v>
      </c>
      <c r="C93" s="687" t="str">
        <f>VLOOKUP($A93,'Orçamento auxliar'!A:F,3,0)</f>
        <v>UN</v>
      </c>
      <c r="D93" s="317">
        <f>VLOOKUP($A93,Planilha6!$A:$D,2,0)</f>
        <v>1</v>
      </c>
      <c r="E93" s="518">
        <f>VLOOKUP($A93,Planilha6!$A:$D,3,0)</f>
        <v>9</v>
      </c>
      <c r="F93" s="518">
        <f>VLOOKUP($A93,'Orçamento auxliar'!A:F,5,0)</f>
        <v>77.5</v>
      </c>
      <c r="G93" s="518">
        <f>VLOOKUP($A93,Planilha6!$A:$E,4,0)</f>
        <v>697.5</v>
      </c>
      <c r="H93" s="519">
        <f t="shared" si="12"/>
        <v>1.8948631937706412E-4</v>
      </c>
      <c r="I93" s="519">
        <f t="shared" si="13"/>
        <v>0.99939086736195903</v>
      </c>
      <c r="J93" s="688" t="str">
        <f t="shared" si="14"/>
        <v>C</v>
      </c>
      <c r="K93" s="897" t="s">
        <v>374</v>
      </c>
    </row>
    <row r="94" spans="1:11" ht="39.950000000000003" customHeight="1" x14ac:dyDescent="0.15">
      <c r="A94" s="317">
        <f>Planilha6!A84</f>
        <v>94962</v>
      </c>
      <c r="B94" s="517" t="str">
        <f>VLOOKUP($A94,'Orçamento auxliar'!A:F,2,0)</f>
        <v>Concreto magro para lastro, traço 1:4,5:4,5 (cimento/ areia média/ brita 1) - preparo mecânico com betoneira 400 l. AF_07/2016</v>
      </c>
      <c r="C94" s="687" t="str">
        <f>VLOOKUP($A94,'Orçamento auxliar'!A:F,3,0)</f>
        <v>M3</v>
      </c>
      <c r="D94" s="317">
        <f>VLOOKUP($A94,Planilha6!$A:$D,2,0)</f>
        <v>1</v>
      </c>
      <c r="E94" s="518">
        <f>VLOOKUP($A94,Planilha6!$A:$D,3,0)</f>
        <v>1</v>
      </c>
      <c r="F94" s="518">
        <f>VLOOKUP($A94,'Orçamento auxliar'!A:F,5,0)</f>
        <v>470.54</v>
      </c>
      <c r="G94" s="518">
        <f>VLOOKUP($A94,Planilha6!$A:$E,4,0)</f>
        <v>470.54</v>
      </c>
      <c r="H94" s="519">
        <f t="shared" ref="H94:H101" si="15">G94/$G$13</f>
        <v>1.2782923687409855E-4</v>
      </c>
      <c r="I94" s="519">
        <f t="shared" ref="I94:I101" si="16">I93+H94</f>
        <v>0.99951869659883308</v>
      </c>
      <c r="J94" s="688" t="str">
        <f t="shared" ref="J94:J101" si="17">IF(I94&lt;=$J$8,$I$8,IF(I94&lt;=$J$9,$I$9,$I$10))</f>
        <v>C</v>
      </c>
      <c r="K94" s="897" t="s">
        <v>374</v>
      </c>
    </row>
    <row r="95" spans="1:11" ht="39.950000000000003" customHeight="1" x14ac:dyDescent="0.15">
      <c r="A95" s="317" t="str">
        <f>Planilha6!A85</f>
        <v>ST/0070</v>
      </c>
      <c r="B95" s="517" t="str">
        <f>VLOOKUP($A95,'Orçamento auxliar'!A:F,2,0)</f>
        <v>Carga, manobra e descarga de materiais diversos em caminhão carroceria - carga e descaga manuais (REF. SICRO COD. 5915474)</v>
      </c>
      <c r="C95" s="687" t="str">
        <f>VLOOKUP($A95,'Orçamento auxliar'!A:F,3,0)</f>
        <v>T</v>
      </c>
      <c r="D95" s="317">
        <f>VLOOKUP($A95,Planilha6!$A:$D,2,0)</f>
        <v>1</v>
      </c>
      <c r="E95" s="518">
        <f>VLOOKUP($A95,Planilha6!$A:$D,3,0)</f>
        <v>10</v>
      </c>
      <c r="F95" s="518">
        <f>VLOOKUP($A95,'Orçamento auxliar'!A:F,5,0)</f>
        <v>37.07</v>
      </c>
      <c r="G95" s="518">
        <f>VLOOKUP($A95,Planilha6!$A:$E,4,0)</f>
        <v>370.7</v>
      </c>
      <c r="H95" s="519">
        <f t="shared" si="15"/>
        <v>1.007062058682117E-4</v>
      </c>
      <c r="I95" s="519">
        <f t="shared" si="16"/>
        <v>0.9996194028047013</v>
      </c>
      <c r="J95" s="688" t="str">
        <f t="shared" si="17"/>
        <v>C</v>
      </c>
      <c r="K95" s="897" t="s">
        <v>374</v>
      </c>
    </row>
    <row r="96" spans="1:11" ht="30" customHeight="1" x14ac:dyDescent="0.15">
      <c r="A96" s="317">
        <f>Planilha6!A86</f>
        <v>100575</v>
      </c>
      <c r="B96" s="517" t="str">
        <f>VLOOKUP($A96,'Orçamento auxliar'!A:F,2,0)</f>
        <v>Regularização de superfícies com motoniveladora. AF_11/2019</v>
      </c>
      <c r="C96" s="687" t="str">
        <f>VLOOKUP($A96,'Orçamento auxliar'!A:F,3,0)</f>
        <v>M2</v>
      </c>
      <c r="D96" s="317">
        <f>VLOOKUP($A96,Planilha6!$A:$D,2,0)</f>
        <v>1</v>
      </c>
      <c r="E96" s="518">
        <f>VLOOKUP($A96,Planilha6!$A:$D,3,0)</f>
        <v>2322.67</v>
      </c>
      <c r="F96" s="518">
        <f>VLOOKUP($A96,'Orçamento auxliar'!A:F,5,0)</f>
        <v>0.14000000000000001</v>
      </c>
      <c r="G96" s="518">
        <f>VLOOKUP($A96,Planilha6!$A:$E,4,0)</f>
        <v>325.17</v>
      </c>
      <c r="H96" s="519">
        <f t="shared" si="15"/>
        <v>8.8337299601204216E-5</v>
      </c>
      <c r="I96" s="519">
        <f t="shared" si="16"/>
        <v>0.99970774010430252</v>
      </c>
      <c r="J96" s="688" t="str">
        <f t="shared" si="17"/>
        <v>C</v>
      </c>
      <c r="K96" s="897" t="s">
        <v>374</v>
      </c>
    </row>
    <row r="97" spans="1:11" ht="39.950000000000003" customHeight="1" x14ac:dyDescent="0.15">
      <c r="A97" s="317" t="str">
        <f>Planilha6!A87</f>
        <v>RE/0050</v>
      </c>
      <c r="B97" s="517" t="str">
        <f>VLOOKUP($A97,'Orçamento auxliar'!A:F,2,0)</f>
        <v>CBUQ (usina comercial) - aplicação manual em fechamento de vala e remendos. Incluindo fornecimento dos materiais e compactação com rolo tandem compacto. Exclusive transporte. Ref BP 09.05.0500 RIO SCO</v>
      </c>
      <c r="C97" s="687" t="str">
        <f>VLOOKUP($A97,'Orçamento auxliar'!A:F,3,0)</f>
        <v>M3</v>
      </c>
      <c r="D97" s="317">
        <f>VLOOKUP($A97,Planilha6!$A:$D,2,0)</f>
        <v>1</v>
      </c>
      <c r="E97" s="518">
        <f>VLOOKUP($A97,Planilha6!$A:$D,3,0)</f>
        <v>0.17</v>
      </c>
      <c r="F97" s="518">
        <f>VLOOKUP($A97,'Orçamento auxliar'!A:F,5,0)</f>
        <v>1882.05</v>
      </c>
      <c r="G97" s="518">
        <f>VLOOKUP($A97,Planilha6!$A:$E,4,0)</f>
        <v>319.94</v>
      </c>
      <c r="H97" s="519">
        <f t="shared" si="15"/>
        <v>8.6916491787093747E-5</v>
      </c>
      <c r="I97" s="519">
        <f t="shared" si="16"/>
        <v>0.99979465659608957</v>
      </c>
      <c r="J97" s="688" t="str">
        <f t="shared" si="17"/>
        <v>C</v>
      </c>
      <c r="K97" s="897" t="s">
        <v>374</v>
      </c>
    </row>
    <row r="98" spans="1:11" ht="30" customHeight="1" x14ac:dyDescent="0.15">
      <c r="A98" s="317">
        <f>Planilha6!A88</f>
        <v>100947</v>
      </c>
      <c r="B98" s="517" t="str">
        <f>VLOOKUP($A98,'Orçamento auxliar'!A:F,2,0)</f>
        <v>Transporte com caminhão carroceria 9t, em via urbana pavimentada, DMT até 30,00 km (unidade: txkm). AF_07/2020</v>
      </c>
      <c r="C98" s="687" t="str">
        <f>VLOOKUP($A98,'Orçamento auxliar'!A:F,3,0)</f>
        <v>TXKM</v>
      </c>
      <c r="D98" s="317">
        <f>VLOOKUP($A98,Planilha6!$A:$D,2,0)</f>
        <v>2</v>
      </c>
      <c r="E98" s="518">
        <f>VLOOKUP($A98,Planilha6!$A:$D,3,0)</f>
        <v>115.52000000000001</v>
      </c>
      <c r="F98" s="518">
        <f>VLOOKUP($A98,'Orçamento auxliar'!A:F,5,0)</f>
        <v>2.58</v>
      </c>
      <c r="G98" s="518">
        <f>VLOOKUP($A98,Planilha6!$A:$E,4,0)</f>
        <v>298.04000000000002</v>
      </c>
      <c r="H98" s="519">
        <f t="shared" si="15"/>
        <v>8.0967028856114966E-5</v>
      </c>
      <c r="I98" s="519">
        <f t="shared" si="16"/>
        <v>0.99987562362494564</v>
      </c>
      <c r="J98" s="688" t="str">
        <f t="shared" si="17"/>
        <v>C</v>
      </c>
      <c r="K98" s="897" t="s">
        <v>374</v>
      </c>
    </row>
    <row r="99" spans="1:11" ht="39.950000000000003" customHeight="1" x14ac:dyDescent="0.15">
      <c r="A99" s="317">
        <f>Planilha6!A89</f>
        <v>98527</v>
      </c>
      <c r="B99" s="517" t="str">
        <f>VLOOKUP($A99,'Orçamento auxliar'!A:F,2,0)</f>
        <v>Remoção de raízes remanescentes de tronco de árvore com diâmetro maior ou igual a 0,40 m e menor que 0,60 m. AF_05/2018</v>
      </c>
      <c r="C99" s="687" t="str">
        <f>VLOOKUP($A99,'Orçamento auxliar'!A:F,3,0)</f>
        <v>UN</v>
      </c>
      <c r="D99" s="317">
        <f>VLOOKUP($A99,Planilha6!$A:$D,2,0)</f>
        <v>1</v>
      </c>
      <c r="E99" s="518">
        <f>VLOOKUP($A99,Planilha6!$A:$D,3,0)</f>
        <v>1</v>
      </c>
      <c r="F99" s="518">
        <f>VLOOKUP($A99,'Orçamento auxliar'!A:F,5,0)</f>
        <v>213.86</v>
      </c>
      <c r="G99" s="518">
        <f>VLOOKUP($A99,Planilha6!$A:$E,4,0)</f>
        <v>213.86</v>
      </c>
      <c r="H99" s="519">
        <f t="shared" si="15"/>
        <v>5.8098271343338971E-5</v>
      </c>
      <c r="I99" s="519">
        <f t="shared" si="16"/>
        <v>0.99993372189628893</v>
      </c>
      <c r="J99" s="688" t="str">
        <f t="shared" si="17"/>
        <v>C</v>
      </c>
      <c r="K99" s="897" t="s">
        <v>374</v>
      </c>
    </row>
    <row r="100" spans="1:11" ht="30" customHeight="1" x14ac:dyDescent="0.15">
      <c r="A100" s="317">
        <f>Planilha6!A90</f>
        <v>98530</v>
      </c>
      <c r="B100" s="517" t="str">
        <f>VLOOKUP($A100,'Orçamento auxliar'!A:F,2,0)</f>
        <v>Corte raso e recorte de árvore com diâmetro nominal de tronco maior ou igual a 0,40 m e menor que 0,60 m. AF_05/2018</v>
      </c>
      <c r="C100" s="687" t="str">
        <f>VLOOKUP($A100,'Orçamento auxliar'!A:F,3,0)</f>
        <v>UN</v>
      </c>
      <c r="D100" s="317">
        <f>VLOOKUP($A100,Planilha6!$A:$D,2,0)</f>
        <v>1</v>
      </c>
      <c r="E100" s="518">
        <f>VLOOKUP($A100,Planilha6!$A:$D,3,0)</f>
        <v>1</v>
      </c>
      <c r="F100" s="518">
        <f>VLOOKUP($A100,'Orçamento auxliar'!A:F,5,0)</f>
        <v>138.06</v>
      </c>
      <c r="G100" s="518">
        <f>VLOOKUP($A100,Planilha6!$A:$E,4,0)</f>
        <v>138.06</v>
      </c>
      <c r="H100" s="519">
        <f t="shared" si="15"/>
        <v>3.7506066312827919E-5</v>
      </c>
      <c r="I100" s="519">
        <f t="shared" si="16"/>
        <v>0.99997122796260174</v>
      </c>
      <c r="J100" s="688" t="str">
        <f t="shared" si="17"/>
        <v>C</v>
      </c>
      <c r="K100" s="897" t="s">
        <v>374</v>
      </c>
    </row>
    <row r="101" spans="1:11" ht="39.950000000000003" customHeight="1" x14ac:dyDescent="0.15">
      <c r="A101" s="317">
        <f>Planilha6!A91</f>
        <v>96385</v>
      </c>
      <c r="B101" s="517" t="str">
        <f>VLOOKUP($A101,'Orçamento auxliar'!A:F,2,0)</f>
        <v>Execução e compactação de aterro com solo predominantemente argiloso - exclusive solo, escavação, carga e transporte. AF_11/2019</v>
      </c>
      <c r="C101" s="687" t="str">
        <f>VLOOKUP($A101,'Orçamento auxliar'!A:F,3,0)</f>
        <v>M3</v>
      </c>
      <c r="D101" s="317">
        <f>VLOOKUP($A101,Planilha6!$A:$D,2,0)</f>
        <v>1</v>
      </c>
      <c r="E101" s="518">
        <f>VLOOKUP($A101,Planilha6!$A:$D,3,0)</f>
        <v>6.95</v>
      </c>
      <c r="F101" s="518">
        <f>VLOOKUP($A101,'Orçamento auxliar'!A:F,5,0)</f>
        <v>13.73</v>
      </c>
      <c r="G101" s="518">
        <f>VLOOKUP($A101,Planilha6!$A:$E,4,0)</f>
        <v>95.42</v>
      </c>
      <c r="H101" s="519">
        <f t="shared" si="15"/>
        <v>2.5922271820730404E-5</v>
      </c>
      <c r="I101" s="519">
        <f t="shared" si="16"/>
        <v>0.99999715023442248</v>
      </c>
      <c r="J101" s="688" t="str">
        <f t="shared" si="17"/>
        <v>C</v>
      </c>
      <c r="K101" s="897" t="s">
        <v>374</v>
      </c>
    </row>
    <row r="102" spans="1:11" ht="50.1" customHeight="1" x14ac:dyDescent="0.15">
      <c r="A102" s="317">
        <f>Planilha6!A92</f>
        <v>90105</v>
      </c>
      <c r="B102" s="517" t="str">
        <f>VLOOKUP($A102,'Orçamento auxliar'!A:F,2,0)</f>
        <v>Escavação mecanizada de vala com profundidade até 1,50 m (média entre montante e jusante / uma composição por trecho) com retroescavadeira (capacidade da caçamba: 0,26 m3 / potência: 88 HP), largura menor que 0,80 m, em solo de 1a categoria, locais com baixo nível de interferência. AF_01/2015</v>
      </c>
      <c r="C102" s="687" t="str">
        <f>VLOOKUP($A102,'Orçamento auxliar'!A:F,3,0)</f>
        <v>M3</v>
      </c>
      <c r="D102" s="317">
        <f>VLOOKUP($A102,Planilha6!$A:$D,2,0)</f>
        <v>1</v>
      </c>
      <c r="E102" s="518">
        <f>VLOOKUP($A102,Planilha6!$A:$D,3,0)</f>
        <v>1.01</v>
      </c>
      <c r="F102" s="518">
        <f>VLOOKUP($A102,'Orçamento auxliar'!A:F,5,0)</f>
        <v>10.39</v>
      </c>
      <c r="G102" s="518">
        <f>VLOOKUP($A102,Planilha6!$A:$E,4,0)</f>
        <v>10.49</v>
      </c>
      <c r="H102" s="519">
        <f t="shared" ref="H102" si="18">G102/$G$13</f>
        <v>2.8497655774414373E-6</v>
      </c>
      <c r="I102" s="519">
        <f t="shared" ref="I102" si="19">I101+H102</f>
        <v>0.99999999999999989</v>
      </c>
      <c r="J102" s="688" t="str">
        <f t="shared" ref="J102" si="20">IF(I102&lt;=$J$8,$I$8,IF(I102&lt;=$J$9,$I$9,$I$10))</f>
        <v>C</v>
      </c>
      <c r="K102" s="897" t="s">
        <v>374</v>
      </c>
    </row>
  </sheetData>
  <autoFilter ref="A1:H12"/>
  <sortState ref="A14:J84">
    <sortCondition descending="1" ref="G14:G84"/>
  </sortState>
  <conditionalFormatting sqref="J14:J102">
    <cfRule type="cellIs" dxfId="653" priority="33" operator="equal">
      <formula>"C"</formula>
    </cfRule>
    <cfRule type="cellIs" dxfId="652" priority="34" operator="equal">
      <formula>"B"</formula>
    </cfRule>
    <cfRule type="cellIs" dxfId="651" priority="35" operator="equal">
      <formula>"A"</formula>
    </cfRule>
  </conditionalFormatting>
  <printOptions horizontalCentered="1"/>
  <pageMargins left="0.39370078740157483" right="0.39370078740157483" top="0.78740157480314965" bottom="0.78740157480314965" header="0.31496062992125984" footer="0.23622047244094491"/>
  <pageSetup paperSize="9" scale="65" fitToHeight="21" orientation="landscape" r:id="rId1"/>
  <headerFooter>
    <oddFooter>&amp;L&amp;"Arial,Normal"&amp;8&amp;F&amp;C&amp;"Arial,Normal"&amp;8&amp;P / &amp;N&amp;R&amp;"Cambria,Regular"&amp;8Ricardo Schettini Figueiredo&amp;10
&amp;8Eng. Civil - CREA-RJ 52.656/D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3">
    <pageSetUpPr fitToPage="1"/>
  </sheetPr>
  <dimension ref="S4:AA8"/>
  <sheetViews>
    <sheetView showGridLines="0" showZeros="0" zoomScaleNormal="100" workbookViewId="0">
      <selection activeCell="U21" sqref="U21"/>
    </sheetView>
  </sheetViews>
  <sheetFormatPr defaultRowHeight="12.75" x14ac:dyDescent="0.2"/>
  <sheetData>
    <row r="4" spans="19:27" ht="20.25" customHeight="1" x14ac:dyDescent="0.2">
      <c r="S4" s="1981" t="str">
        <f>+Orçamento_Não_Deson!B1</f>
        <v>PREFEITURA MUNICIPAL DE CAMPO GRANDE - MS</v>
      </c>
      <c r="T4" s="1982"/>
      <c r="U4" s="1983"/>
      <c r="V4" s="1983"/>
      <c r="W4" s="1983"/>
      <c r="X4" s="1983"/>
      <c r="Y4" s="1983"/>
      <c r="Z4" s="1983"/>
      <c r="AA4" s="1983"/>
    </row>
    <row r="5" spans="19:27" ht="16.5" customHeight="1" x14ac:dyDescent="0.2">
      <c r="S5" s="1984" t="str">
        <f>+Orçamento_Não_Deson!B2</f>
        <v>SECRETARIA MUNICIPAL DE INFRAESTRUTURA E SERVIÇOS PÚBLICOS - SISEP</v>
      </c>
      <c r="T5" s="1982"/>
      <c r="U5" s="1983"/>
      <c r="V5" s="1983"/>
      <c r="W5" s="1983"/>
      <c r="X5" s="1983"/>
      <c r="Y5" s="1983"/>
      <c r="Z5" s="1983"/>
      <c r="AA5" s="1983"/>
    </row>
    <row r="6" spans="19:27" ht="23.25" customHeight="1" x14ac:dyDescent="0.2">
      <c r="S6" s="1983"/>
      <c r="T6" s="1985" t="str">
        <f>+Orçamento_Não_Deson!B5</f>
        <v>OBRA :</v>
      </c>
      <c r="U6" s="1986" t="str">
        <f>+Orçamento_Não_Deson!C5</f>
        <v xml:space="preserve">INFRAESTRUTURA URBANA - PAVIMENTAÇÃO ASFÁLTICA E DRENAGEM DE ÁGUAS PLUVIAIS </v>
      </c>
      <c r="V6" s="1986"/>
      <c r="W6" s="1986"/>
      <c r="X6" s="1986"/>
      <c r="Y6" s="1986"/>
      <c r="Z6" s="1986"/>
      <c r="AA6" s="1986"/>
    </row>
    <row r="7" spans="19:27" x14ac:dyDescent="0.2">
      <c r="S7" s="2403" t="str">
        <f>+Orçamento_Não_Deson!B6</f>
        <v>LOCAL :</v>
      </c>
      <c r="T7" s="2403"/>
      <c r="U7" s="2402" t="str">
        <f>+Orçamento_Não_Deson!C6</f>
        <v>JARDIM NASHIVILLE - ETAPA "B" - FASE 2</v>
      </c>
      <c r="V7" s="2402"/>
      <c r="W7" s="2402"/>
      <c r="X7" s="2402"/>
      <c r="Y7" s="2402"/>
      <c r="Z7" s="2402"/>
      <c r="AA7" s="2402"/>
    </row>
    <row r="8" spans="19:27" x14ac:dyDescent="0.2">
      <c r="S8" s="2403"/>
      <c r="T8" s="2403"/>
      <c r="U8" s="2402"/>
      <c r="V8" s="2402"/>
      <c r="W8" s="2402"/>
      <c r="X8" s="2402"/>
      <c r="Y8" s="2402"/>
      <c r="Z8" s="2402"/>
      <c r="AA8" s="2402"/>
    </row>
  </sheetData>
  <mergeCells count="2">
    <mergeCell ref="U7:AA8"/>
    <mergeCell ref="S7:T8"/>
  </mergeCells>
  <printOptions horizontalCentered="1" verticalCentered="1"/>
  <pageMargins left="0.39370078740157483" right="0.31496062992125984" top="0.82677165354330717" bottom="0.6692913385826772" header="0.82677165354330717" footer="0.23622047244094491"/>
  <pageSetup paperSize="9" scale="86" fitToHeight="21" orientation="landscape" r:id="rId1"/>
  <headerFooter>
    <oddFooter>&amp;L&amp;"Arial,Normal"&amp;8&amp;F&amp;C&amp;"Arial,Normal"&amp;8&amp;P / &amp;N&amp;R&amp;"Cambria,Regular"&amp;8Ricardo Schettini Figueiredo&amp;10
&amp;8Eng. Civil - CREA-RJ 52.656/D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4">
    <tabColor rgb="FFFFC000"/>
  </sheetPr>
  <dimension ref="A3:D220"/>
  <sheetViews>
    <sheetView showZeros="0" topLeftCell="A65" zoomScaleNormal="100" workbookViewId="0">
      <selection activeCell="C86" sqref="C86"/>
    </sheetView>
  </sheetViews>
  <sheetFormatPr defaultRowHeight="12.75" x14ac:dyDescent="0.2"/>
  <cols>
    <col min="1" max="1" width="16.375" style="900" bestFit="1" customWidth="1"/>
    <col min="2" max="2" width="18.375" bestFit="1" customWidth="1"/>
    <col min="3" max="3" width="15.625" bestFit="1" customWidth="1"/>
    <col min="4" max="4" width="23.875" bestFit="1" customWidth="1"/>
    <col min="5" max="6" width="16.5" bestFit="1" customWidth="1"/>
  </cols>
  <sheetData>
    <row r="3" spans="1:4" x14ac:dyDescent="0.2">
      <c r="A3" s="898" t="s">
        <v>656</v>
      </c>
      <c r="B3" t="s">
        <v>767</v>
      </c>
      <c r="C3" t="s">
        <v>763</v>
      </c>
      <c r="D3" t="s">
        <v>706</v>
      </c>
    </row>
    <row r="4" spans="1:4" x14ac:dyDescent="0.2">
      <c r="A4" s="1802" t="s">
        <v>2413</v>
      </c>
      <c r="B4">
        <v>1</v>
      </c>
      <c r="C4">
        <v>439.39</v>
      </c>
      <c r="D4">
        <v>870093.25</v>
      </c>
    </row>
    <row r="5" spans="1:4" x14ac:dyDescent="0.2">
      <c r="A5" s="899">
        <v>95876</v>
      </c>
      <c r="B5">
        <v>10</v>
      </c>
      <c r="C5">
        <v>182639.55</v>
      </c>
      <c r="D5">
        <v>460251.64</v>
      </c>
    </row>
    <row r="6" spans="1:4" x14ac:dyDescent="0.2">
      <c r="A6" s="899">
        <v>4748</v>
      </c>
      <c r="B6">
        <v>2</v>
      </c>
      <c r="C6">
        <v>3400.47</v>
      </c>
      <c r="D6">
        <v>378166.26</v>
      </c>
    </row>
    <row r="7" spans="1:4" x14ac:dyDescent="0.2">
      <c r="A7" s="899">
        <v>94991</v>
      </c>
      <c r="B7">
        <v>1</v>
      </c>
      <c r="C7">
        <v>371.45</v>
      </c>
      <c r="D7">
        <v>351551.42</v>
      </c>
    </row>
    <row r="8" spans="1:4" x14ac:dyDescent="0.2">
      <c r="A8" s="1802" t="s">
        <v>2677</v>
      </c>
      <c r="B8">
        <v>1</v>
      </c>
      <c r="C8">
        <v>3392.16</v>
      </c>
      <c r="D8">
        <v>223611.18</v>
      </c>
    </row>
    <row r="9" spans="1:4" x14ac:dyDescent="0.2">
      <c r="A9" s="1802" t="s">
        <v>535</v>
      </c>
      <c r="B9">
        <v>1</v>
      </c>
      <c r="C9">
        <v>1</v>
      </c>
      <c r="D9">
        <v>167267.70000000001</v>
      </c>
    </row>
    <row r="10" spans="1:4" x14ac:dyDescent="0.2">
      <c r="A10" s="899" t="s">
        <v>1733</v>
      </c>
      <c r="B10">
        <v>1</v>
      </c>
      <c r="C10">
        <v>15</v>
      </c>
      <c r="D10">
        <v>87802.35</v>
      </c>
    </row>
    <row r="11" spans="1:4" x14ac:dyDescent="0.2">
      <c r="A11" s="1802">
        <v>7750</v>
      </c>
      <c r="B11">
        <v>1</v>
      </c>
      <c r="C11">
        <v>181.3</v>
      </c>
      <c r="D11">
        <v>85892.68</v>
      </c>
    </row>
    <row r="12" spans="1:4" x14ac:dyDescent="0.2">
      <c r="A12" s="899" t="s">
        <v>1724</v>
      </c>
      <c r="B12">
        <v>1</v>
      </c>
      <c r="C12">
        <v>10</v>
      </c>
      <c r="D12">
        <v>81282.8</v>
      </c>
    </row>
    <row r="13" spans="1:4" x14ac:dyDescent="0.2">
      <c r="A13" s="1802" t="s">
        <v>2092</v>
      </c>
      <c r="B13">
        <v>2</v>
      </c>
      <c r="C13">
        <v>12688.17</v>
      </c>
      <c r="D13">
        <v>80950.509999999995</v>
      </c>
    </row>
    <row r="14" spans="1:4" x14ac:dyDescent="0.2">
      <c r="A14" s="1802" t="s">
        <v>1873</v>
      </c>
      <c r="B14">
        <v>1</v>
      </c>
      <c r="C14">
        <v>2166.9699999999998</v>
      </c>
      <c r="D14">
        <v>50555.41</v>
      </c>
    </row>
    <row r="15" spans="1:4" x14ac:dyDescent="0.2">
      <c r="A15" s="899">
        <v>100576</v>
      </c>
      <c r="B15">
        <v>1</v>
      </c>
      <c r="C15">
        <v>14446.49</v>
      </c>
      <c r="D15">
        <v>43050.54</v>
      </c>
    </row>
    <row r="16" spans="1:4" x14ac:dyDescent="0.2">
      <c r="A16" s="899" t="s">
        <v>1791</v>
      </c>
      <c r="B16">
        <v>1</v>
      </c>
      <c r="C16">
        <v>5742.35</v>
      </c>
      <c r="D16">
        <v>41459.760000000002</v>
      </c>
    </row>
    <row r="17" spans="1:4" x14ac:dyDescent="0.2">
      <c r="A17" s="1802" t="s">
        <v>196</v>
      </c>
      <c r="B17">
        <v>2</v>
      </c>
      <c r="C17">
        <v>2473.06</v>
      </c>
      <c r="D17">
        <v>40533.440000000002</v>
      </c>
    </row>
    <row r="18" spans="1:4" x14ac:dyDescent="0.2">
      <c r="A18" s="899" t="s">
        <v>1772</v>
      </c>
      <c r="B18">
        <v>1</v>
      </c>
      <c r="C18">
        <v>12682.57</v>
      </c>
      <c r="D18">
        <v>38808.660000000003</v>
      </c>
    </row>
    <row r="19" spans="1:4" x14ac:dyDescent="0.2">
      <c r="A19" s="899">
        <v>95879</v>
      </c>
      <c r="B19">
        <v>2</v>
      </c>
      <c r="C19">
        <v>21336.429999999997</v>
      </c>
      <c r="D19">
        <v>36271.919999999998</v>
      </c>
    </row>
    <row r="20" spans="1:4" x14ac:dyDescent="0.2">
      <c r="A20" s="1802" t="s">
        <v>2707</v>
      </c>
      <c r="B20">
        <v>1</v>
      </c>
      <c r="C20">
        <v>1338.35</v>
      </c>
      <c r="D20">
        <v>35948.080000000002</v>
      </c>
    </row>
    <row r="21" spans="1:4" x14ac:dyDescent="0.2">
      <c r="A21" s="1802">
        <v>101230</v>
      </c>
      <c r="B21">
        <v>1</v>
      </c>
      <c r="C21">
        <v>2708.72</v>
      </c>
      <c r="D21">
        <v>35511.31</v>
      </c>
    </row>
    <row r="22" spans="1:4" x14ac:dyDescent="0.2">
      <c r="A22" s="899" t="s">
        <v>1732</v>
      </c>
      <c r="B22">
        <v>1</v>
      </c>
      <c r="C22">
        <v>15</v>
      </c>
      <c r="D22">
        <v>31953</v>
      </c>
    </row>
    <row r="23" spans="1:4" x14ac:dyDescent="0.2">
      <c r="A23" s="1802">
        <v>92826</v>
      </c>
      <c r="B23">
        <v>1</v>
      </c>
      <c r="C23">
        <v>181.3</v>
      </c>
      <c r="D23">
        <v>28023.54</v>
      </c>
    </row>
    <row r="24" spans="1:4" x14ac:dyDescent="0.2">
      <c r="A24" s="1802" t="s">
        <v>900</v>
      </c>
      <c r="B24">
        <v>1</v>
      </c>
      <c r="C24">
        <v>51</v>
      </c>
      <c r="D24">
        <v>27386.49</v>
      </c>
    </row>
    <row r="25" spans="1:4" x14ac:dyDescent="0.2">
      <c r="A25" s="1802">
        <v>7762</v>
      </c>
      <c r="B25">
        <v>1</v>
      </c>
      <c r="C25">
        <v>105.47</v>
      </c>
      <c r="D25">
        <v>26055.3</v>
      </c>
    </row>
    <row r="26" spans="1:4" x14ac:dyDescent="0.2">
      <c r="A26" s="899">
        <v>92824</v>
      </c>
      <c r="B26">
        <v>1</v>
      </c>
      <c r="C26">
        <v>207.51</v>
      </c>
      <c r="D26">
        <v>24006.83</v>
      </c>
    </row>
    <row r="27" spans="1:4" x14ac:dyDescent="0.2">
      <c r="A27" s="1802" t="s">
        <v>1650</v>
      </c>
      <c r="B27">
        <v>1</v>
      </c>
      <c r="C27">
        <v>76.150000000000006</v>
      </c>
      <c r="D27">
        <v>23399.37</v>
      </c>
    </row>
    <row r="28" spans="1:4" x14ac:dyDescent="0.2">
      <c r="A28" s="1802" t="s">
        <v>2715</v>
      </c>
      <c r="B28">
        <v>1</v>
      </c>
      <c r="C28">
        <v>870.24</v>
      </c>
      <c r="D28">
        <v>21251.26</v>
      </c>
    </row>
    <row r="29" spans="1:4" x14ac:dyDescent="0.2">
      <c r="A29" s="1802">
        <v>100979</v>
      </c>
      <c r="B29">
        <v>3</v>
      </c>
      <c r="C29">
        <v>2634.38</v>
      </c>
      <c r="D29">
        <v>20758.900000000001</v>
      </c>
    </row>
    <row r="30" spans="1:4" x14ac:dyDescent="0.2">
      <c r="A30" s="1802">
        <v>101573</v>
      </c>
      <c r="B30">
        <v>1</v>
      </c>
      <c r="C30">
        <v>578.66</v>
      </c>
      <c r="D30">
        <v>18262.5</v>
      </c>
    </row>
    <row r="31" spans="1:4" x14ac:dyDescent="0.2">
      <c r="A31" s="899">
        <v>7781</v>
      </c>
      <c r="B31">
        <v>1</v>
      </c>
      <c r="C31">
        <v>216</v>
      </c>
      <c r="D31">
        <v>17653.68</v>
      </c>
    </row>
    <row r="32" spans="1:4" x14ac:dyDescent="0.2">
      <c r="A32" s="899">
        <v>92821</v>
      </c>
      <c r="B32">
        <v>1</v>
      </c>
      <c r="C32">
        <v>216</v>
      </c>
      <c r="D32">
        <v>17241.12</v>
      </c>
    </row>
    <row r="33" spans="1:4" x14ac:dyDescent="0.2">
      <c r="A33" s="1802" t="s">
        <v>1632</v>
      </c>
      <c r="B33">
        <v>1</v>
      </c>
      <c r="C33">
        <v>400</v>
      </c>
      <c r="D33">
        <v>16848</v>
      </c>
    </row>
    <row r="34" spans="1:4" x14ac:dyDescent="0.2">
      <c r="A34" s="1802" t="s">
        <v>2399</v>
      </c>
      <c r="B34">
        <v>1</v>
      </c>
      <c r="C34">
        <v>2500</v>
      </c>
      <c r="D34">
        <v>16575</v>
      </c>
    </row>
    <row r="35" spans="1:4" x14ac:dyDescent="0.2">
      <c r="A35" s="1802">
        <v>101570</v>
      </c>
      <c r="B35">
        <v>1</v>
      </c>
      <c r="C35">
        <v>576.28</v>
      </c>
      <c r="D35">
        <v>15939.9</v>
      </c>
    </row>
    <row r="36" spans="1:4" x14ac:dyDescent="0.2">
      <c r="A36" s="1802" t="s">
        <v>272</v>
      </c>
      <c r="B36">
        <v>1</v>
      </c>
      <c r="C36">
        <v>2</v>
      </c>
      <c r="D36">
        <v>15424.76</v>
      </c>
    </row>
    <row r="37" spans="1:4" x14ac:dyDescent="0.2">
      <c r="A37" s="1802">
        <v>100952</v>
      </c>
      <c r="B37">
        <v>1</v>
      </c>
      <c r="C37">
        <v>4667.7700000000004</v>
      </c>
      <c r="D37">
        <v>15170.25</v>
      </c>
    </row>
    <row r="38" spans="1:4" x14ac:dyDescent="0.2">
      <c r="A38" s="899">
        <v>7791</v>
      </c>
      <c r="B38">
        <v>1</v>
      </c>
      <c r="C38">
        <v>102.03999999999999</v>
      </c>
      <c r="D38">
        <v>14859.06</v>
      </c>
    </row>
    <row r="39" spans="1:4" x14ac:dyDescent="0.2">
      <c r="A39" s="899">
        <v>90087</v>
      </c>
      <c r="B39">
        <v>1</v>
      </c>
      <c r="C39">
        <v>1132.3399999999999</v>
      </c>
      <c r="D39">
        <v>12874.7</v>
      </c>
    </row>
    <row r="40" spans="1:4" x14ac:dyDescent="0.2">
      <c r="A40" s="1802">
        <v>104732</v>
      </c>
      <c r="B40">
        <v>1</v>
      </c>
      <c r="C40">
        <v>1001.11</v>
      </c>
      <c r="D40">
        <v>11702.97</v>
      </c>
    </row>
    <row r="41" spans="1:4" x14ac:dyDescent="0.2">
      <c r="A41" s="899">
        <v>93358</v>
      </c>
      <c r="B41">
        <v>1</v>
      </c>
      <c r="C41">
        <v>102.05</v>
      </c>
      <c r="D41">
        <v>9726.3799999999992</v>
      </c>
    </row>
    <row r="42" spans="1:4" x14ac:dyDescent="0.2">
      <c r="A42" s="899" t="s">
        <v>1744</v>
      </c>
      <c r="B42">
        <v>1</v>
      </c>
      <c r="C42">
        <v>10</v>
      </c>
      <c r="D42">
        <v>9495.2999999999993</v>
      </c>
    </row>
    <row r="43" spans="1:4" x14ac:dyDescent="0.2">
      <c r="A43" s="1802" t="s">
        <v>2673</v>
      </c>
      <c r="B43">
        <v>1</v>
      </c>
      <c r="C43">
        <v>6</v>
      </c>
      <c r="D43">
        <v>8784</v>
      </c>
    </row>
    <row r="44" spans="1:4" x14ac:dyDescent="0.2">
      <c r="A44" s="1802" t="s">
        <v>1633</v>
      </c>
      <c r="B44">
        <v>1</v>
      </c>
      <c r="C44">
        <v>7.2</v>
      </c>
      <c r="D44">
        <v>8778.81</v>
      </c>
    </row>
    <row r="45" spans="1:4" x14ac:dyDescent="0.2">
      <c r="A45" s="1802">
        <v>100939</v>
      </c>
      <c r="B45">
        <v>2</v>
      </c>
      <c r="C45">
        <v>1143.6300000000001</v>
      </c>
      <c r="D45">
        <v>8771.6299999999992</v>
      </c>
    </row>
    <row r="46" spans="1:4" x14ac:dyDescent="0.2">
      <c r="A46" s="1802" t="s">
        <v>2391</v>
      </c>
      <c r="B46">
        <v>1</v>
      </c>
      <c r="C46">
        <v>9.4</v>
      </c>
      <c r="D46">
        <v>8715.68</v>
      </c>
    </row>
    <row r="47" spans="1:4" x14ac:dyDescent="0.2">
      <c r="A47" s="899" t="s">
        <v>1631</v>
      </c>
      <c r="B47">
        <v>1</v>
      </c>
      <c r="C47">
        <v>650.77</v>
      </c>
      <c r="D47">
        <v>8102.08</v>
      </c>
    </row>
    <row r="48" spans="1:4" x14ac:dyDescent="0.2">
      <c r="A48" s="899">
        <v>10777</v>
      </c>
      <c r="B48">
        <v>1</v>
      </c>
      <c r="C48">
        <v>6</v>
      </c>
      <c r="D48">
        <v>7438.5</v>
      </c>
    </row>
    <row r="49" spans="1:4" x14ac:dyDescent="0.2">
      <c r="A49" s="899" t="s">
        <v>1646</v>
      </c>
      <c r="B49">
        <v>1</v>
      </c>
      <c r="C49">
        <v>16</v>
      </c>
      <c r="D49">
        <v>7014.08</v>
      </c>
    </row>
    <row r="50" spans="1:4" x14ac:dyDescent="0.2">
      <c r="A50" s="899">
        <v>10775</v>
      </c>
      <c r="B50">
        <v>1</v>
      </c>
      <c r="C50">
        <v>6</v>
      </c>
      <c r="D50">
        <v>6551.4</v>
      </c>
    </row>
    <row r="51" spans="1:4" x14ac:dyDescent="0.2">
      <c r="A51" s="1802" t="s">
        <v>271</v>
      </c>
      <c r="B51">
        <v>1</v>
      </c>
      <c r="C51">
        <v>2</v>
      </c>
      <c r="D51">
        <v>6467.84</v>
      </c>
    </row>
    <row r="52" spans="1:4" x14ac:dyDescent="0.2">
      <c r="A52" s="899">
        <v>93585</v>
      </c>
      <c r="B52">
        <v>1</v>
      </c>
      <c r="C52">
        <v>4</v>
      </c>
      <c r="D52">
        <v>6384.88</v>
      </c>
    </row>
    <row r="53" spans="1:4" x14ac:dyDescent="0.2">
      <c r="A53" s="1802" t="s">
        <v>2431</v>
      </c>
      <c r="B53">
        <v>1</v>
      </c>
      <c r="C53">
        <v>83.59</v>
      </c>
      <c r="D53">
        <v>6199.87</v>
      </c>
    </row>
    <row r="54" spans="1:4" x14ac:dyDescent="0.2">
      <c r="A54" s="1802" t="s">
        <v>2714</v>
      </c>
      <c r="B54">
        <v>1</v>
      </c>
      <c r="C54">
        <v>216.19</v>
      </c>
      <c r="D54">
        <v>6170.06</v>
      </c>
    </row>
    <row r="55" spans="1:4" x14ac:dyDescent="0.2">
      <c r="A55" s="1802">
        <v>104730</v>
      </c>
      <c r="B55">
        <v>1</v>
      </c>
      <c r="C55">
        <v>385.33</v>
      </c>
      <c r="D55">
        <v>5864.72</v>
      </c>
    </row>
    <row r="56" spans="1:4" x14ac:dyDescent="0.2">
      <c r="A56" s="1802">
        <v>102278</v>
      </c>
      <c r="B56">
        <v>1</v>
      </c>
      <c r="C56">
        <v>451.48</v>
      </c>
      <c r="D56">
        <v>5345.52</v>
      </c>
    </row>
    <row r="57" spans="1:4" x14ac:dyDescent="0.2">
      <c r="A57" s="1802" t="s">
        <v>2713</v>
      </c>
      <c r="B57">
        <v>1</v>
      </c>
      <c r="C57">
        <v>86.34</v>
      </c>
      <c r="D57">
        <v>5312.5</v>
      </c>
    </row>
    <row r="58" spans="1:4" x14ac:dyDescent="0.2">
      <c r="A58" s="899">
        <v>10776</v>
      </c>
      <c r="B58">
        <v>1</v>
      </c>
      <c r="C58">
        <v>6</v>
      </c>
      <c r="D58">
        <v>5118.18</v>
      </c>
    </row>
    <row r="59" spans="1:4" x14ac:dyDescent="0.2">
      <c r="A59" s="1802">
        <v>90100</v>
      </c>
      <c r="B59">
        <v>1</v>
      </c>
      <c r="C59">
        <v>307.39</v>
      </c>
      <c r="D59">
        <v>4921.3100000000004</v>
      </c>
    </row>
    <row r="60" spans="1:4" x14ac:dyDescent="0.2">
      <c r="A60" s="899">
        <v>98525</v>
      </c>
      <c r="B60">
        <v>1</v>
      </c>
      <c r="C60">
        <v>10000</v>
      </c>
      <c r="D60">
        <v>4500</v>
      </c>
    </row>
    <row r="61" spans="1:4" x14ac:dyDescent="0.2">
      <c r="A61" s="1802">
        <v>104734</v>
      </c>
      <c r="B61">
        <v>1</v>
      </c>
      <c r="C61">
        <v>268.3</v>
      </c>
      <c r="D61">
        <v>4392.07</v>
      </c>
    </row>
    <row r="62" spans="1:4" x14ac:dyDescent="0.2">
      <c r="A62" s="1802" t="s">
        <v>2383</v>
      </c>
      <c r="B62">
        <v>1</v>
      </c>
      <c r="C62">
        <v>35.04</v>
      </c>
      <c r="D62">
        <v>4172.21</v>
      </c>
    </row>
    <row r="63" spans="1:4" x14ac:dyDescent="0.2">
      <c r="A63" s="899">
        <v>97084</v>
      </c>
      <c r="B63">
        <v>1</v>
      </c>
      <c r="C63">
        <v>5339.87</v>
      </c>
      <c r="D63">
        <v>4058.3</v>
      </c>
    </row>
    <row r="64" spans="1:4" x14ac:dyDescent="0.2">
      <c r="A64" s="899" t="s">
        <v>1658</v>
      </c>
      <c r="B64">
        <v>1</v>
      </c>
      <c r="C64">
        <v>858.19</v>
      </c>
      <c r="D64">
        <v>3767.45</v>
      </c>
    </row>
    <row r="65" spans="1:4" x14ac:dyDescent="0.2">
      <c r="A65" s="1802">
        <v>13521</v>
      </c>
      <c r="B65">
        <v>1</v>
      </c>
      <c r="C65">
        <v>36</v>
      </c>
      <c r="D65">
        <v>3623.4</v>
      </c>
    </row>
    <row r="66" spans="1:4" x14ac:dyDescent="0.2">
      <c r="A66" s="1802" t="s">
        <v>981</v>
      </c>
      <c r="B66">
        <v>1</v>
      </c>
      <c r="C66">
        <v>12</v>
      </c>
      <c r="D66">
        <v>3599.64</v>
      </c>
    </row>
    <row r="67" spans="1:4" x14ac:dyDescent="0.2">
      <c r="A67" s="899">
        <v>98051</v>
      </c>
      <c r="B67">
        <v>1</v>
      </c>
      <c r="C67">
        <v>3.04</v>
      </c>
      <c r="D67">
        <v>3559.8</v>
      </c>
    </row>
    <row r="68" spans="1:4" x14ac:dyDescent="0.2">
      <c r="A68" s="1802">
        <v>98533</v>
      </c>
      <c r="B68">
        <v>1</v>
      </c>
      <c r="C68">
        <v>9</v>
      </c>
      <c r="D68">
        <v>3427.47</v>
      </c>
    </row>
    <row r="69" spans="1:4" x14ac:dyDescent="0.2">
      <c r="A69" s="1802">
        <v>101616</v>
      </c>
      <c r="B69">
        <v>1</v>
      </c>
      <c r="C69">
        <v>435.32</v>
      </c>
      <c r="D69">
        <v>3051.59</v>
      </c>
    </row>
    <row r="70" spans="1:4" x14ac:dyDescent="0.2">
      <c r="A70" s="1802" t="s">
        <v>2712</v>
      </c>
      <c r="B70">
        <v>1</v>
      </c>
      <c r="C70">
        <v>26.84</v>
      </c>
      <c r="D70">
        <v>2803.7</v>
      </c>
    </row>
    <row r="71" spans="1:4" x14ac:dyDescent="0.2">
      <c r="A71" s="899" t="s">
        <v>188</v>
      </c>
      <c r="B71">
        <v>1</v>
      </c>
      <c r="C71">
        <v>13</v>
      </c>
      <c r="D71">
        <v>2256.8000000000002</v>
      </c>
    </row>
    <row r="72" spans="1:4" x14ac:dyDescent="0.2">
      <c r="A72" s="1802">
        <v>90102</v>
      </c>
      <c r="B72">
        <v>1</v>
      </c>
      <c r="C72">
        <v>149.86000000000001</v>
      </c>
      <c r="D72">
        <v>2157.98</v>
      </c>
    </row>
    <row r="73" spans="1:4" x14ac:dyDescent="0.2">
      <c r="A73" s="1802" t="s">
        <v>980</v>
      </c>
      <c r="B73">
        <v>1</v>
      </c>
      <c r="C73">
        <v>6</v>
      </c>
      <c r="D73">
        <v>2072.4</v>
      </c>
    </row>
    <row r="74" spans="1:4" x14ac:dyDescent="0.2">
      <c r="A74" s="899">
        <v>97636</v>
      </c>
      <c r="B74">
        <v>1</v>
      </c>
      <c r="C74">
        <v>84.85</v>
      </c>
      <c r="D74">
        <v>1977</v>
      </c>
    </row>
    <row r="75" spans="1:4" x14ac:dyDescent="0.2">
      <c r="A75" s="899">
        <v>13244</v>
      </c>
      <c r="B75">
        <v>1</v>
      </c>
      <c r="C75">
        <v>27</v>
      </c>
      <c r="D75">
        <v>1709.37</v>
      </c>
    </row>
    <row r="76" spans="1:4" x14ac:dyDescent="0.2">
      <c r="A76" s="1802">
        <v>104736</v>
      </c>
      <c r="B76">
        <v>1</v>
      </c>
      <c r="C76">
        <v>131.53</v>
      </c>
      <c r="D76">
        <v>1317.93</v>
      </c>
    </row>
    <row r="77" spans="1:4" x14ac:dyDescent="0.2">
      <c r="A77" s="899" t="s">
        <v>1647</v>
      </c>
      <c r="B77">
        <v>1</v>
      </c>
      <c r="C77">
        <v>302.41000000000003</v>
      </c>
      <c r="D77">
        <v>1261.04</v>
      </c>
    </row>
    <row r="78" spans="1:4" x14ac:dyDescent="0.2">
      <c r="A78" s="1802">
        <v>100983</v>
      </c>
      <c r="B78">
        <v>1</v>
      </c>
      <c r="C78">
        <v>98.51</v>
      </c>
      <c r="D78">
        <v>1051.0999999999999</v>
      </c>
    </row>
    <row r="79" spans="1:4" x14ac:dyDescent="0.2">
      <c r="A79" s="1802">
        <v>101617</v>
      </c>
      <c r="B79">
        <v>1</v>
      </c>
      <c r="C79">
        <v>290.08</v>
      </c>
      <c r="D79">
        <v>1003.67</v>
      </c>
    </row>
    <row r="80" spans="1:4" x14ac:dyDescent="0.2">
      <c r="A80" s="1802">
        <v>98534</v>
      </c>
      <c r="B80">
        <v>1</v>
      </c>
      <c r="C80">
        <v>1</v>
      </c>
      <c r="D80">
        <v>976.62</v>
      </c>
    </row>
    <row r="81" spans="1:4" x14ac:dyDescent="0.2">
      <c r="A81" s="1802">
        <v>98526</v>
      </c>
      <c r="B81">
        <v>1</v>
      </c>
      <c r="C81">
        <v>9</v>
      </c>
      <c r="D81">
        <v>894.06</v>
      </c>
    </row>
    <row r="82" spans="1:4" x14ac:dyDescent="0.2">
      <c r="A82" s="1802">
        <v>102332</v>
      </c>
      <c r="B82">
        <v>2</v>
      </c>
      <c r="C82">
        <v>409.83</v>
      </c>
      <c r="D82">
        <v>872.93</v>
      </c>
    </row>
    <row r="83" spans="1:4" x14ac:dyDescent="0.2">
      <c r="A83" s="1802">
        <v>98529</v>
      </c>
      <c r="B83">
        <v>1</v>
      </c>
      <c r="C83">
        <v>9</v>
      </c>
      <c r="D83">
        <v>697.5</v>
      </c>
    </row>
    <row r="84" spans="1:4" x14ac:dyDescent="0.2">
      <c r="A84" s="899">
        <v>94962</v>
      </c>
      <c r="B84">
        <v>1</v>
      </c>
      <c r="C84">
        <v>1</v>
      </c>
      <c r="D84">
        <v>470.54</v>
      </c>
    </row>
    <row r="85" spans="1:4" x14ac:dyDescent="0.2">
      <c r="A85" s="1802" t="s">
        <v>438</v>
      </c>
      <c r="B85">
        <v>1</v>
      </c>
      <c r="C85">
        <v>10</v>
      </c>
      <c r="D85">
        <v>370.7</v>
      </c>
    </row>
    <row r="86" spans="1:4" x14ac:dyDescent="0.2">
      <c r="A86" s="1802">
        <v>100575</v>
      </c>
      <c r="B86">
        <v>1</v>
      </c>
      <c r="C86">
        <v>2322.67</v>
      </c>
      <c r="D86">
        <v>325.17</v>
      </c>
    </row>
    <row r="87" spans="1:4" x14ac:dyDescent="0.2">
      <c r="A87" s="1802" t="s">
        <v>2807</v>
      </c>
      <c r="B87">
        <v>1</v>
      </c>
      <c r="C87">
        <v>0.17</v>
      </c>
      <c r="D87">
        <v>319.94</v>
      </c>
    </row>
    <row r="88" spans="1:4" x14ac:dyDescent="0.2">
      <c r="A88" s="1802">
        <v>100947</v>
      </c>
      <c r="B88">
        <v>2</v>
      </c>
      <c r="C88">
        <v>115.52000000000001</v>
      </c>
      <c r="D88">
        <v>298.04000000000002</v>
      </c>
    </row>
    <row r="89" spans="1:4" x14ac:dyDescent="0.2">
      <c r="A89" s="1802">
        <v>98527</v>
      </c>
      <c r="B89">
        <v>1</v>
      </c>
      <c r="C89">
        <v>1</v>
      </c>
      <c r="D89">
        <v>213.86</v>
      </c>
    </row>
    <row r="90" spans="1:4" x14ac:dyDescent="0.2">
      <c r="A90" s="1802">
        <v>98530</v>
      </c>
      <c r="B90">
        <v>1</v>
      </c>
      <c r="C90">
        <v>1</v>
      </c>
      <c r="D90">
        <v>138.06</v>
      </c>
    </row>
    <row r="91" spans="1:4" x14ac:dyDescent="0.2">
      <c r="A91" s="899">
        <v>96385</v>
      </c>
      <c r="B91">
        <v>1</v>
      </c>
      <c r="C91">
        <v>6.95</v>
      </c>
      <c r="D91">
        <v>95.42</v>
      </c>
    </row>
    <row r="92" spans="1:4" x14ac:dyDescent="0.2">
      <c r="A92" s="899">
        <v>90105</v>
      </c>
      <c r="B92">
        <v>1</v>
      </c>
      <c r="C92">
        <v>1.01</v>
      </c>
      <c r="D92">
        <v>10.49</v>
      </c>
    </row>
    <row r="93" spans="1:4" x14ac:dyDescent="0.2">
      <c r="A93" s="899" t="s">
        <v>446</v>
      </c>
      <c r="B93">
        <v>107</v>
      </c>
      <c r="C93">
        <v>306081.04000000004</v>
      </c>
      <c r="D93">
        <v>3681004.5300000017</v>
      </c>
    </row>
    <row r="94" spans="1:4" x14ac:dyDescent="0.2">
      <c r="A94"/>
    </row>
    <row r="95" spans="1:4" x14ac:dyDescent="0.2">
      <c r="A95"/>
    </row>
    <row r="96" spans="1:4" x14ac:dyDescent="0.2">
      <c r="A96"/>
    </row>
    <row r="97" spans="1:1" x14ac:dyDescent="0.2">
      <c r="A97"/>
    </row>
    <row r="98" spans="1:1" x14ac:dyDescent="0.2">
      <c r="A98"/>
    </row>
    <row r="99" spans="1:1" x14ac:dyDescent="0.2">
      <c r="A99"/>
    </row>
    <row r="100" spans="1:1" x14ac:dyDescent="0.2">
      <c r="A100"/>
    </row>
    <row r="101" spans="1:1" x14ac:dyDescent="0.2">
      <c r="A101"/>
    </row>
    <row r="102" spans="1:1" x14ac:dyDescent="0.2">
      <c r="A102"/>
    </row>
    <row r="103" spans="1:1" x14ac:dyDescent="0.2">
      <c r="A103"/>
    </row>
    <row r="104" spans="1:1" x14ac:dyDescent="0.2">
      <c r="A104"/>
    </row>
    <row r="105" spans="1:1" x14ac:dyDescent="0.2">
      <c r="A105"/>
    </row>
    <row r="106" spans="1:1" x14ac:dyDescent="0.2">
      <c r="A106"/>
    </row>
    <row r="107" spans="1:1" x14ac:dyDescent="0.2">
      <c r="A107"/>
    </row>
    <row r="108" spans="1:1" x14ac:dyDescent="0.2">
      <c r="A108"/>
    </row>
    <row r="109" spans="1:1" x14ac:dyDescent="0.2">
      <c r="A109"/>
    </row>
    <row r="110" spans="1:1" x14ac:dyDescent="0.2">
      <c r="A110"/>
    </row>
    <row r="111" spans="1:1" x14ac:dyDescent="0.2">
      <c r="A111"/>
    </row>
    <row r="112" spans="1:1" x14ac:dyDescent="0.2">
      <c r="A112"/>
    </row>
    <row r="113" spans="1:1" x14ac:dyDescent="0.2">
      <c r="A113"/>
    </row>
    <row r="114" spans="1:1" x14ac:dyDescent="0.2">
      <c r="A114"/>
    </row>
    <row r="115" spans="1:1" x14ac:dyDescent="0.2">
      <c r="A115"/>
    </row>
    <row r="116" spans="1:1" x14ac:dyDescent="0.2">
      <c r="A116"/>
    </row>
    <row r="117" spans="1:1" x14ac:dyDescent="0.2">
      <c r="A117"/>
    </row>
    <row r="118" spans="1:1" x14ac:dyDescent="0.2">
      <c r="A118"/>
    </row>
    <row r="119" spans="1:1" x14ac:dyDescent="0.2">
      <c r="A119"/>
    </row>
    <row r="120" spans="1:1" x14ac:dyDescent="0.2">
      <c r="A120"/>
    </row>
    <row r="121" spans="1:1" x14ac:dyDescent="0.2">
      <c r="A121"/>
    </row>
    <row r="122" spans="1:1" x14ac:dyDescent="0.2">
      <c r="A122"/>
    </row>
    <row r="123" spans="1:1" x14ac:dyDescent="0.2">
      <c r="A123"/>
    </row>
    <row r="124" spans="1:1" x14ac:dyDescent="0.2">
      <c r="A124"/>
    </row>
    <row r="125" spans="1:1" x14ac:dyDescent="0.2">
      <c r="A125"/>
    </row>
    <row r="126" spans="1:1" x14ac:dyDescent="0.2">
      <c r="A126"/>
    </row>
    <row r="127" spans="1:1" x14ac:dyDescent="0.2">
      <c r="A127"/>
    </row>
    <row r="128" spans="1:1" x14ac:dyDescent="0.2">
      <c r="A128"/>
    </row>
    <row r="129" spans="1:1" x14ac:dyDescent="0.2">
      <c r="A129"/>
    </row>
    <row r="130" spans="1:1" x14ac:dyDescent="0.2">
      <c r="A130"/>
    </row>
    <row r="131" spans="1:1" x14ac:dyDescent="0.2">
      <c r="A131"/>
    </row>
    <row r="132" spans="1:1" x14ac:dyDescent="0.2">
      <c r="A132"/>
    </row>
    <row r="133" spans="1:1" x14ac:dyDescent="0.2">
      <c r="A133"/>
    </row>
    <row r="134" spans="1:1" x14ac:dyDescent="0.2">
      <c r="A134"/>
    </row>
    <row r="135" spans="1:1" x14ac:dyDescent="0.2">
      <c r="A135"/>
    </row>
    <row r="136" spans="1:1" x14ac:dyDescent="0.2">
      <c r="A136"/>
    </row>
    <row r="137" spans="1:1" x14ac:dyDescent="0.2">
      <c r="A137"/>
    </row>
    <row r="138" spans="1:1" x14ac:dyDescent="0.2">
      <c r="A138"/>
    </row>
    <row r="139" spans="1:1" x14ac:dyDescent="0.2">
      <c r="A139"/>
    </row>
    <row r="140" spans="1:1" x14ac:dyDescent="0.2">
      <c r="A140"/>
    </row>
    <row r="141" spans="1:1" x14ac:dyDescent="0.2">
      <c r="A141"/>
    </row>
    <row r="142" spans="1:1" x14ac:dyDescent="0.2">
      <c r="A142"/>
    </row>
    <row r="143" spans="1:1" x14ac:dyDescent="0.2">
      <c r="A143"/>
    </row>
    <row r="144" spans="1:1" x14ac:dyDescent="0.2">
      <c r="A144"/>
    </row>
    <row r="145" spans="1:1" x14ac:dyDescent="0.2">
      <c r="A145"/>
    </row>
    <row r="146" spans="1:1" x14ac:dyDescent="0.2">
      <c r="A146"/>
    </row>
    <row r="147" spans="1:1" x14ac:dyDescent="0.2">
      <c r="A147"/>
    </row>
    <row r="148" spans="1:1" x14ac:dyDescent="0.2">
      <c r="A148"/>
    </row>
    <row r="149" spans="1:1" x14ac:dyDescent="0.2">
      <c r="A149"/>
    </row>
    <row r="150" spans="1:1" x14ac:dyDescent="0.2">
      <c r="A150"/>
    </row>
    <row r="151" spans="1:1" x14ac:dyDescent="0.2">
      <c r="A151"/>
    </row>
    <row r="152" spans="1:1" x14ac:dyDescent="0.2">
      <c r="A152"/>
    </row>
    <row r="153" spans="1:1" x14ac:dyDescent="0.2">
      <c r="A153"/>
    </row>
    <row r="154" spans="1:1" x14ac:dyDescent="0.2">
      <c r="A154"/>
    </row>
    <row r="155" spans="1:1" x14ac:dyDescent="0.2">
      <c r="A155"/>
    </row>
    <row r="156" spans="1:1" x14ac:dyDescent="0.2">
      <c r="A156"/>
    </row>
    <row r="157" spans="1:1" x14ac:dyDescent="0.2">
      <c r="A157"/>
    </row>
    <row r="158" spans="1:1" x14ac:dyDescent="0.2">
      <c r="A158"/>
    </row>
    <row r="159" spans="1:1" x14ac:dyDescent="0.2">
      <c r="A159"/>
    </row>
    <row r="160" spans="1:1" x14ac:dyDescent="0.2">
      <c r="A160"/>
    </row>
    <row r="161" spans="1:1" x14ac:dyDescent="0.2">
      <c r="A161"/>
    </row>
    <row r="162" spans="1:1" x14ac:dyDescent="0.2">
      <c r="A162"/>
    </row>
    <row r="163" spans="1:1" x14ac:dyDescent="0.2">
      <c r="A163"/>
    </row>
    <row r="164" spans="1:1" x14ac:dyDescent="0.2">
      <c r="A164"/>
    </row>
    <row r="165" spans="1:1" x14ac:dyDescent="0.2">
      <c r="A165"/>
    </row>
    <row r="166" spans="1:1" x14ac:dyDescent="0.2">
      <c r="A166"/>
    </row>
    <row r="167" spans="1:1" x14ac:dyDescent="0.2">
      <c r="A167"/>
    </row>
    <row r="168" spans="1:1" x14ac:dyDescent="0.2">
      <c r="A168"/>
    </row>
    <row r="169" spans="1:1" x14ac:dyDescent="0.2">
      <c r="A169"/>
    </row>
    <row r="170" spans="1:1" x14ac:dyDescent="0.2">
      <c r="A170"/>
    </row>
    <row r="171" spans="1:1" x14ac:dyDescent="0.2">
      <c r="A171"/>
    </row>
    <row r="172" spans="1:1" x14ac:dyDescent="0.2">
      <c r="A172"/>
    </row>
    <row r="173" spans="1:1" x14ac:dyDescent="0.2">
      <c r="A173"/>
    </row>
    <row r="174" spans="1:1" x14ac:dyDescent="0.2">
      <c r="A174"/>
    </row>
    <row r="175" spans="1:1" x14ac:dyDescent="0.2">
      <c r="A175"/>
    </row>
    <row r="176" spans="1:1" x14ac:dyDescent="0.2">
      <c r="A176"/>
    </row>
    <row r="177" spans="1:1" x14ac:dyDescent="0.2">
      <c r="A177"/>
    </row>
    <row r="178" spans="1:1" x14ac:dyDescent="0.2">
      <c r="A178"/>
    </row>
    <row r="179" spans="1:1" x14ac:dyDescent="0.2">
      <c r="A179"/>
    </row>
    <row r="180" spans="1:1" x14ac:dyDescent="0.2">
      <c r="A180"/>
    </row>
    <row r="181" spans="1:1" x14ac:dyDescent="0.2">
      <c r="A181"/>
    </row>
    <row r="182" spans="1:1" x14ac:dyDescent="0.2">
      <c r="A182"/>
    </row>
    <row r="183" spans="1:1" x14ac:dyDescent="0.2">
      <c r="A183"/>
    </row>
    <row r="184" spans="1:1" x14ac:dyDescent="0.2">
      <c r="A184"/>
    </row>
    <row r="185" spans="1:1" x14ac:dyDescent="0.2">
      <c r="A185"/>
    </row>
    <row r="186" spans="1:1" x14ac:dyDescent="0.2">
      <c r="A186"/>
    </row>
    <row r="187" spans="1:1" x14ac:dyDescent="0.2">
      <c r="A187"/>
    </row>
    <row r="188" spans="1:1" x14ac:dyDescent="0.2">
      <c r="A188"/>
    </row>
    <row r="189" spans="1:1" x14ac:dyDescent="0.2">
      <c r="A189"/>
    </row>
    <row r="190" spans="1:1" x14ac:dyDescent="0.2">
      <c r="A190"/>
    </row>
    <row r="191" spans="1:1" x14ac:dyDescent="0.2">
      <c r="A191"/>
    </row>
    <row r="192" spans="1:1" x14ac:dyDescent="0.2">
      <c r="A192"/>
    </row>
    <row r="193" spans="1:1" x14ac:dyDescent="0.2">
      <c r="A193"/>
    </row>
    <row r="194" spans="1:1" x14ac:dyDescent="0.2">
      <c r="A194"/>
    </row>
    <row r="195" spans="1:1" x14ac:dyDescent="0.2">
      <c r="A195"/>
    </row>
    <row r="196" spans="1:1" x14ac:dyDescent="0.2">
      <c r="A196"/>
    </row>
    <row r="197" spans="1:1" x14ac:dyDescent="0.2">
      <c r="A197"/>
    </row>
    <row r="198" spans="1:1" x14ac:dyDescent="0.2">
      <c r="A198"/>
    </row>
    <row r="199" spans="1:1" x14ac:dyDescent="0.2">
      <c r="A199"/>
    </row>
    <row r="200" spans="1:1" x14ac:dyDescent="0.2">
      <c r="A200"/>
    </row>
    <row r="201" spans="1:1" x14ac:dyDescent="0.2">
      <c r="A201"/>
    </row>
    <row r="202" spans="1:1" x14ac:dyDescent="0.2">
      <c r="A202"/>
    </row>
    <row r="203" spans="1:1" x14ac:dyDescent="0.2">
      <c r="A203"/>
    </row>
    <row r="204" spans="1:1" x14ac:dyDescent="0.2">
      <c r="A204"/>
    </row>
    <row r="205" spans="1:1" x14ac:dyDescent="0.2">
      <c r="A205"/>
    </row>
    <row r="206" spans="1:1" x14ac:dyDescent="0.2">
      <c r="A206"/>
    </row>
    <row r="207" spans="1:1" x14ac:dyDescent="0.2">
      <c r="A207"/>
    </row>
    <row r="208" spans="1:1" x14ac:dyDescent="0.2">
      <c r="A208"/>
    </row>
    <row r="209" spans="1:1" x14ac:dyDescent="0.2">
      <c r="A209"/>
    </row>
    <row r="210" spans="1:1" x14ac:dyDescent="0.2">
      <c r="A210"/>
    </row>
    <row r="211" spans="1:1" x14ac:dyDescent="0.2">
      <c r="A211"/>
    </row>
    <row r="212" spans="1:1" x14ac:dyDescent="0.2">
      <c r="A212"/>
    </row>
    <row r="213" spans="1:1" x14ac:dyDescent="0.2">
      <c r="A213"/>
    </row>
    <row r="214" spans="1:1" x14ac:dyDescent="0.2">
      <c r="A214"/>
    </row>
    <row r="215" spans="1:1" x14ac:dyDescent="0.2">
      <c r="A215"/>
    </row>
    <row r="216" spans="1:1" x14ac:dyDescent="0.2">
      <c r="A216"/>
    </row>
    <row r="217" spans="1:1" x14ac:dyDescent="0.2">
      <c r="A217"/>
    </row>
    <row r="218" spans="1:1" x14ac:dyDescent="0.2">
      <c r="A218"/>
    </row>
    <row r="219" spans="1:1" x14ac:dyDescent="0.2">
      <c r="A219"/>
    </row>
    <row r="220" spans="1:1" x14ac:dyDescent="0.2">
      <c r="A220"/>
    </row>
  </sheetData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5">
    <tabColor rgb="FFFFC000"/>
  </sheetPr>
  <dimension ref="A1:F108"/>
  <sheetViews>
    <sheetView showZeros="0" topLeftCell="A101" zoomScaleNormal="100" workbookViewId="0">
      <selection activeCell="C86" sqref="C86"/>
    </sheetView>
  </sheetViews>
  <sheetFormatPr defaultRowHeight="12.75" x14ac:dyDescent="0.2"/>
  <cols>
    <col min="1" max="1" width="11.875" bestFit="1" customWidth="1"/>
    <col min="2" max="2" width="60.125" customWidth="1"/>
    <col min="3" max="3" width="4.375" bestFit="1" customWidth="1"/>
    <col min="4" max="4" width="11.25" bestFit="1" customWidth="1"/>
    <col min="5" max="6" width="12.5" customWidth="1"/>
  </cols>
  <sheetData>
    <row r="1" spans="1:6" ht="27" thickTop="1" thickBot="1" x14ac:dyDescent="0.25">
      <c r="A1" s="2013" t="s">
        <v>186</v>
      </c>
      <c r="B1" s="2014" t="s">
        <v>40</v>
      </c>
      <c r="C1" s="2014" t="s">
        <v>33</v>
      </c>
      <c r="D1" s="2015" t="s">
        <v>336</v>
      </c>
      <c r="E1" s="2016" t="s">
        <v>664</v>
      </c>
      <c r="F1" s="2016" t="s">
        <v>665</v>
      </c>
    </row>
    <row r="2" spans="1:6" ht="39" thickTop="1" x14ac:dyDescent="0.2">
      <c r="A2" s="2" t="s">
        <v>1646</v>
      </c>
      <c r="B2" s="315" t="s">
        <v>2660</v>
      </c>
      <c r="C2" s="2" t="s">
        <v>985</v>
      </c>
      <c r="D2" s="1608">
        <v>16</v>
      </c>
      <c r="E2" s="876">
        <v>438.38</v>
      </c>
      <c r="F2" s="1606">
        <v>7014.08</v>
      </c>
    </row>
    <row r="3" spans="1:6" ht="25.5" x14ac:dyDescent="0.2">
      <c r="A3" s="2">
        <v>10775</v>
      </c>
      <c r="B3" s="315" t="s">
        <v>2585</v>
      </c>
      <c r="C3" s="2" t="s">
        <v>2604</v>
      </c>
      <c r="D3" s="1608">
        <v>6</v>
      </c>
      <c r="E3" s="876">
        <v>1091.9000000000001</v>
      </c>
      <c r="F3" s="1606">
        <v>6551.4</v>
      </c>
    </row>
    <row r="4" spans="1:6" ht="25.5" x14ac:dyDescent="0.2">
      <c r="A4" s="2">
        <v>10776</v>
      </c>
      <c r="B4" s="315" t="s">
        <v>2586</v>
      </c>
      <c r="C4" s="2" t="s">
        <v>2604</v>
      </c>
      <c r="D4" s="1608">
        <v>6</v>
      </c>
      <c r="E4" s="876">
        <v>853.03</v>
      </c>
      <c r="F4" s="1606">
        <v>5118.18</v>
      </c>
    </row>
    <row r="5" spans="1:6" ht="25.5" x14ac:dyDescent="0.2">
      <c r="A5" s="2">
        <v>10777</v>
      </c>
      <c r="B5" s="315" t="s">
        <v>2587</v>
      </c>
      <c r="C5" s="2" t="s">
        <v>2604</v>
      </c>
      <c r="D5" s="1608">
        <v>6</v>
      </c>
      <c r="E5" s="876">
        <v>1239.75</v>
      </c>
      <c r="F5" s="1606">
        <v>7438.5</v>
      </c>
    </row>
    <row r="6" spans="1:6" ht="25.5" x14ac:dyDescent="0.2">
      <c r="A6" s="2">
        <v>93585</v>
      </c>
      <c r="B6" s="315" t="s">
        <v>2700</v>
      </c>
      <c r="C6" s="2" t="s">
        <v>985</v>
      </c>
      <c r="D6" s="1608">
        <v>4</v>
      </c>
      <c r="E6" s="876">
        <v>1596.22</v>
      </c>
      <c r="F6" s="1606">
        <v>6384.88</v>
      </c>
    </row>
    <row r="7" spans="1:6" ht="38.25" x14ac:dyDescent="0.2">
      <c r="A7" s="2" t="s">
        <v>2673</v>
      </c>
      <c r="B7" s="315" t="s">
        <v>2674</v>
      </c>
      <c r="C7" s="2" t="s">
        <v>2025</v>
      </c>
      <c r="D7" s="1608">
        <v>6</v>
      </c>
      <c r="E7" s="876">
        <v>1464</v>
      </c>
      <c r="F7" s="1606">
        <v>8784</v>
      </c>
    </row>
    <row r="8" spans="1:6" ht="38.25" x14ac:dyDescent="0.2">
      <c r="A8" s="2">
        <v>98525</v>
      </c>
      <c r="B8" s="315" t="s">
        <v>2701</v>
      </c>
      <c r="C8" s="2" t="s">
        <v>985</v>
      </c>
      <c r="D8" s="1608">
        <v>10000</v>
      </c>
      <c r="E8" s="876">
        <v>0.45</v>
      </c>
      <c r="F8" s="1606">
        <v>4500</v>
      </c>
    </row>
    <row r="9" spans="1:6" ht="38.25" x14ac:dyDescent="0.2">
      <c r="A9" s="2" t="s">
        <v>2399</v>
      </c>
      <c r="B9" s="315" t="s">
        <v>2702</v>
      </c>
      <c r="C9" s="2" t="s">
        <v>985</v>
      </c>
      <c r="D9" s="1608">
        <v>2500</v>
      </c>
      <c r="E9" s="876">
        <v>6.63</v>
      </c>
      <c r="F9" s="1606">
        <v>16575</v>
      </c>
    </row>
    <row r="10" spans="1:6" ht="38.25" x14ac:dyDescent="0.2">
      <c r="A10" s="2" t="s">
        <v>1632</v>
      </c>
      <c r="B10" s="315" t="s">
        <v>2703</v>
      </c>
      <c r="C10" s="2" t="s">
        <v>953</v>
      </c>
      <c r="D10" s="1608">
        <v>400</v>
      </c>
      <c r="E10" s="876">
        <v>42.12</v>
      </c>
      <c r="F10" s="1606">
        <v>16848</v>
      </c>
    </row>
    <row r="11" spans="1:6" ht="38.25" x14ac:dyDescent="0.2">
      <c r="A11" s="2" t="s">
        <v>1633</v>
      </c>
      <c r="B11" s="315" t="s">
        <v>2704</v>
      </c>
      <c r="C11" s="2" t="s">
        <v>985</v>
      </c>
      <c r="D11" s="1608">
        <v>7.2</v>
      </c>
      <c r="E11" s="876">
        <v>1219.28</v>
      </c>
      <c r="F11" s="1606">
        <v>8778.81</v>
      </c>
    </row>
    <row r="12" spans="1:6" ht="63.75" x14ac:dyDescent="0.2">
      <c r="A12" s="2" t="s">
        <v>188</v>
      </c>
      <c r="B12" s="315" t="s">
        <v>2021</v>
      </c>
      <c r="C12" s="2" t="s">
        <v>985</v>
      </c>
      <c r="D12" s="1608">
        <v>13</v>
      </c>
      <c r="E12" s="876">
        <v>173.6</v>
      </c>
      <c r="F12" s="1606">
        <v>2256.8000000000002</v>
      </c>
    </row>
    <row r="13" spans="1:6" ht="25.5" x14ac:dyDescent="0.2">
      <c r="A13" s="2" t="s">
        <v>1647</v>
      </c>
      <c r="B13" s="315" t="s">
        <v>2022</v>
      </c>
      <c r="C13" s="2" t="s">
        <v>953</v>
      </c>
      <c r="D13" s="1608">
        <v>302.41000000000003</v>
      </c>
      <c r="E13" s="876">
        <v>4.17</v>
      </c>
      <c r="F13" s="1606">
        <v>1261.04</v>
      </c>
    </row>
    <row r="14" spans="1:6" ht="51" x14ac:dyDescent="0.2">
      <c r="A14" s="2" t="s">
        <v>1631</v>
      </c>
      <c r="B14" s="315" t="s">
        <v>2023</v>
      </c>
      <c r="C14" s="2" t="s">
        <v>953</v>
      </c>
      <c r="D14" s="1608">
        <v>650.77</v>
      </c>
      <c r="E14" s="876">
        <v>12.45</v>
      </c>
      <c r="F14" s="1606">
        <v>8102.08</v>
      </c>
    </row>
    <row r="15" spans="1:6" ht="25.5" x14ac:dyDescent="0.2">
      <c r="A15" s="2">
        <v>13244</v>
      </c>
      <c r="B15" s="315" t="s">
        <v>2588</v>
      </c>
      <c r="C15" s="2" t="s">
        <v>2605</v>
      </c>
      <c r="D15" s="1608">
        <v>27</v>
      </c>
      <c r="E15" s="876">
        <v>63.31</v>
      </c>
      <c r="F15" s="1606">
        <v>1709.37</v>
      </c>
    </row>
    <row r="16" spans="1:6" ht="25.5" x14ac:dyDescent="0.2">
      <c r="A16" s="2" t="s">
        <v>980</v>
      </c>
      <c r="B16" s="315" t="s">
        <v>2816</v>
      </c>
      <c r="C16" s="2" t="s">
        <v>525</v>
      </c>
      <c r="D16" s="1608">
        <v>6</v>
      </c>
      <c r="E16" s="876">
        <v>345.4</v>
      </c>
      <c r="F16" s="1606">
        <v>2072.4</v>
      </c>
    </row>
    <row r="17" spans="1:6" x14ac:dyDescent="0.2">
      <c r="A17" s="2" t="s">
        <v>981</v>
      </c>
      <c r="B17" s="315" t="s">
        <v>2817</v>
      </c>
      <c r="C17" s="2" t="s">
        <v>525</v>
      </c>
      <c r="D17" s="1608">
        <v>12</v>
      </c>
      <c r="E17" s="876">
        <v>299.97000000000003</v>
      </c>
      <c r="F17" s="1606">
        <v>3599.64</v>
      </c>
    </row>
    <row r="18" spans="1:6" x14ac:dyDescent="0.2">
      <c r="A18" s="2">
        <v>100575</v>
      </c>
      <c r="B18" s="315" t="s">
        <v>2818</v>
      </c>
      <c r="C18" s="2" t="s">
        <v>985</v>
      </c>
      <c r="D18" s="1608">
        <v>2322.67</v>
      </c>
      <c r="E18" s="876">
        <v>0.14000000000000001</v>
      </c>
      <c r="F18" s="1606">
        <v>325.17</v>
      </c>
    </row>
    <row r="19" spans="1:6" ht="38.25" x14ac:dyDescent="0.2">
      <c r="A19" s="2">
        <v>100979</v>
      </c>
      <c r="B19" s="315" t="s">
        <v>2744</v>
      </c>
      <c r="C19" s="2" t="s">
        <v>987</v>
      </c>
      <c r="D19" s="1608">
        <v>2000</v>
      </c>
      <c r="E19" s="876">
        <v>7.88</v>
      </c>
      <c r="F19" s="1606">
        <v>15760</v>
      </c>
    </row>
    <row r="20" spans="1:6" ht="25.5" x14ac:dyDescent="0.2">
      <c r="A20" s="2">
        <v>95876</v>
      </c>
      <c r="B20" s="315" t="s">
        <v>2745</v>
      </c>
      <c r="C20" s="2" t="s">
        <v>2606</v>
      </c>
      <c r="D20" s="1608">
        <v>16000</v>
      </c>
      <c r="E20" s="876">
        <v>2.52</v>
      </c>
      <c r="F20" s="1606">
        <v>40320</v>
      </c>
    </row>
    <row r="21" spans="1:6" ht="25.5" x14ac:dyDescent="0.2">
      <c r="A21" s="2">
        <v>95876</v>
      </c>
      <c r="B21" s="315" t="s">
        <v>2745</v>
      </c>
      <c r="C21" s="2" t="s">
        <v>2606</v>
      </c>
      <c r="D21" s="1608">
        <v>3327.5</v>
      </c>
      <c r="E21" s="876">
        <v>2.52</v>
      </c>
      <c r="F21" s="1606">
        <v>8385.2999999999993</v>
      </c>
    </row>
    <row r="22" spans="1:6" ht="25.5" x14ac:dyDescent="0.2">
      <c r="A22" s="2" t="s">
        <v>1650</v>
      </c>
      <c r="B22" s="315" t="s">
        <v>2746</v>
      </c>
      <c r="C22" s="2" t="s">
        <v>987</v>
      </c>
      <c r="D22" s="1608">
        <v>76.150000000000006</v>
      </c>
      <c r="E22" s="876">
        <v>307.27999999999997</v>
      </c>
      <c r="F22" s="1606">
        <v>23399.37</v>
      </c>
    </row>
    <row r="23" spans="1:6" ht="25.5" x14ac:dyDescent="0.2">
      <c r="A23" s="2">
        <v>97636</v>
      </c>
      <c r="B23" s="315" t="s">
        <v>2705</v>
      </c>
      <c r="C23" s="2" t="s">
        <v>985</v>
      </c>
      <c r="D23" s="1608">
        <v>84.85</v>
      </c>
      <c r="E23" s="876">
        <v>23.3</v>
      </c>
      <c r="F23" s="1606">
        <v>1977</v>
      </c>
    </row>
    <row r="24" spans="1:6" ht="25.5" x14ac:dyDescent="0.2">
      <c r="A24" s="2" t="s">
        <v>1658</v>
      </c>
      <c r="B24" s="315" t="s">
        <v>2797</v>
      </c>
      <c r="C24" s="2" t="s">
        <v>953</v>
      </c>
      <c r="D24" s="1608">
        <v>858.19</v>
      </c>
      <c r="E24" s="876">
        <v>4.3899999999999997</v>
      </c>
      <c r="F24" s="1606">
        <v>3767.45</v>
      </c>
    </row>
    <row r="25" spans="1:6" ht="25.5" x14ac:dyDescent="0.2">
      <c r="A25" s="2">
        <v>98526</v>
      </c>
      <c r="B25" s="315" t="s">
        <v>2819</v>
      </c>
      <c r="C25" s="2" t="s">
        <v>986</v>
      </c>
      <c r="D25" s="1608">
        <v>9</v>
      </c>
      <c r="E25" s="876">
        <v>99.34</v>
      </c>
      <c r="F25" s="1606">
        <v>894.06</v>
      </c>
    </row>
    <row r="26" spans="1:6" ht="25.5" x14ac:dyDescent="0.2">
      <c r="A26" s="2">
        <v>98527</v>
      </c>
      <c r="B26" s="315" t="s">
        <v>2820</v>
      </c>
      <c r="C26" s="2" t="s">
        <v>986</v>
      </c>
      <c r="D26" s="1608">
        <v>1</v>
      </c>
      <c r="E26" s="876">
        <v>213.86</v>
      </c>
      <c r="F26" s="1606">
        <v>213.86</v>
      </c>
    </row>
    <row r="27" spans="1:6" ht="25.5" x14ac:dyDescent="0.2">
      <c r="A27" s="2">
        <v>98529</v>
      </c>
      <c r="B27" s="315" t="s">
        <v>2821</v>
      </c>
      <c r="C27" s="2" t="s">
        <v>986</v>
      </c>
      <c r="D27" s="1608">
        <v>9</v>
      </c>
      <c r="E27" s="876">
        <v>77.5</v>
      </c>
      <c r="F27" s="1606">
        <v>697.5</v>
      </c>
    </row>
    <row r="28" spans="1:6" ht="25.5" x14ac:dyDescent="0.2">
      <c r="A28" s="2">
        <v>98530</v>
      </c>
      <c r="B28" s="315" t="s">
        <v>2822</v>
      </c>
      <c r="C28" s="2" t="s">
        <v>986</v>
      </c>
      <c r="D28" s="1608">
        <v>1</v>
      </c>
      <c r="E28" s="876">
        <v>138.06</v>
      </c>
      <c r="F28" s="1606">
        <v>138.06</v>
      </c>
    </row>
    <row r="29" spans="1:6" ht="25.5" x14ac:dyDescent="0.2">
      <c r="A29" s="2">
        <v>98533</v>
      </c>
      <c r="B29" s="315" t="s">
        <v>2823</v>
      </c>
      <c r="C29" s="2" t="s">
        <v>986</v>
      </c>
      <c r="D29" s="1608">
        <v>9</v>
      </c>
      <c r="E29" s="876">
        <v>380.83</v>
      </c>
      <c r="F29" s="1606">
        <v>3427.47</v>
      </c>
    </row>
    <row r="30" spans="1:6" ht="25.5" x14ac:dyDescent="0.2">
      <c r="A30" s="2">
        <v>98534</v>
      </c>
      <c r="B30" s="315" t="s">
        <v>2824</v>
      </c>
      <c r="C30" s="2" t="s">
        <v>986</v>
      </c>
      <c r="D30" s="1608">
        <v>1</v>
      </c>
      <c r="E30" s="876">
        <v>976.62</v>
      </c>
      <c r="F30" s="1606">
        <v>976.62</v>
      </c>
    </row>
    <row r="31" spans="1:6" ht="38.25" x14ac:dyDescent="0.2">
      <c r="A31" s="2">
        <v>100983</v>
      </c>
      <c r="B31" s="315" t="s">
        <v>2747</v>
      </c>
      <c r="C31" s="2" t="s">
        <v>987</v>
      </c>
      <c r="D31" s="1608">
        <v>98.51</v>
      </c>
      <c r="E31" s="876">
        <v>10.67</v>
      </c>
      <c r="F31" s="1606">
        <v>1051.0999999999999</v>
      </c>
    </row>
    <row r="32" spans="1:6" ht="25.5" x14ac:dyDescent="0.2">
      <c r="A32" s="2" t="s">
        <v>438</v>
      </c>
      <c r="B32" s="315" t="s">
        <v>2825</v>
      </c>
      <c r="C32" s="2" t="s">
        <v>2826</v>
      </c>
      <c r="D32" s="1608">
        <v>10</v>
      </c>
      <c r="E32" s="876">
        <v>37.07</v>
      </c>
      <c r="F32" s="1606">
        <v>370.7</v>
      </c>
    </row>
    <row r="33" spans="1:6" ht="25.5" x14ac:dyDescent="0.2">
      <c r="A33" s="2">
        <v>95876</v>
      </c>
      <c r="B33" s="315" t="s">
        <v>2745</v>
      </c>
      <c r="C33" s="2" t="s">
        <v>2606</v>
      </c>
      <c r="D33" s="1608">
        <v>788.08</v>
      </c>
      <c r="E33" s="876">
        <v>2.52</v>
      </c>
      <c r="F33" s="1606">
        <v>1985.96</v>
      </c>
    </row>
    <row r="34" spans="1:6" ht="25.5" x14ac:dyDescent="0.2">
      <c r="A34" s="2">
        <v>100947</v>
      </c>
      <c r="B34" s="315" t="s">
        <v>2827</v>
      </c>
      <c r="C34" s="2" t="s">
        <v>2607</v>
      </c>
      <c r="D34" s="1608">
        <v>80</v>
      </c>
      <c r="E34" s="876">
        <v>2.58</v>
      </c>
      <c r="F34" s="1606">
        <v>206.4</v>
      </c>
    </row>
    <row r="35" spans="1:6" ht="63.75" x14ac:dyDescent="0.2">
      <c r="A35" s="2">
        <v>90100</v>
      </c>
      <c r="B35" s="315" t="s">
        <v>2748</v>
      </c>
      <c r="C35" s="2" t="s">
        <v>987</v>
      </c>
      <c r="D35" s="1608">
        <v>307.39</v>
      </c>
      <c r="E35" s="876">
        <v>16.010000000000002</v>
      </c>
      <c r="F35" s="1606">
        <v>4921.3100000000004</v>
      </c>
    </row>
    <row r="36" spans="1:6" ht="63.75" x14ac:dyDescent="0.2">
      <c r="A36" s="2">
        <v>90102</v>
      </c>
      <c r="B36" s="315" t="s">
        <v>2798</v>
      </c>
      <c r="C36" s="2" t="s">
        <v>987</v>
      </c>
      <c r="D36" s="1608">
        <v>149.86000000000001</v>
      </c>
      <c r="E36" s="876">
        <v>14.4</v>
      </c>
      <c r="F36" s="1606">
        <v>2157.98</v>
      </c>
    </row>
    <row r="37" spans="1:6" ht="63.75" x14ac:dyDescent="0.2">
      <c r="A37" s="2">
        <v>102278</v>
      </c>
      <c r="B37" s="315" t="s">
        <v>2749</v>
      </c>
      <c r="C37" s="2" t="s">
        <v>987</v>
      </c>
      <c r="D37" s="1608">
        <v>451.48</v>
      </c>
      <c r="E37" s="876">
        <v>11.84</v>
      </c>
      <c r="F37" s="1606">
        <v>5345.52</v>
      </c>
    </row>
    <row r="38" spans="1:6" ht="63.75" x14ac:dyDescent="0.2">
      <c r="A38" s="2">
        <v>90087</v>
      </c>
      <c r="B38" s="315" t="s">
        <v>2750</v>
      </c>
      <c r="C38" s="2" t="s">
        <v>987</v>
      </c>
      <c r="D38" s="1608">
        <v>1132.3399999999999</v>
      </c>
      <c r="E38" s="876">
        <v>11.37</v>
      </c>
      <c r="F38" s="1606">
        <v>12874.7</v>
      </c>
    </row>
    <row r="39" spans="1:6" ht="25.5" x14ac:dyDescent="0.2">
      <c r="A39" s="2">
        <v>93358</v>
      </c>
      <c r="B39" s="315" t="s">
        <v>2589</v>
      </c>
      <c r="C39" s="2" t="s">
        <v>987</v>
      </c>
      <c r="D39" s="1608">
        <v>102.05</v>
      </c>
      <c r="E39" s="876">
        <v>95.31</v>
      </c>
      <c r="F39" s="1606">
        <v>9726.3799999999992</v>
      </c>
    </row>
    <row r="40" spans="1:6" ht="25.5" x14ac:dyDescent="0.2">
      <c r="A40" s="2">
        <v>101570</v>
      </c>
      <c r="B40" s="315" t="s">
        <v>2661</v>
      </c>
      <c r="C40" s="2" t="s">
        <v>985</v>
      </c>
      <c r="D40" s="1608">
        <v>576.28</v>
      </c>
      <c r="E40" s="876">
        <v>27.66</v>
      </c>
      <c r="F40" s="1606">
        <v>15939.9</v>
      </c>
    </row>
    <row r="41" spans="1:6" ht="25.5" x14ac:dyDescent="0.2">
      <c r="A41" s="2">
        <v>101573</v>
      </c>
      <c r="B41" s="315" t="s">
        <v>2662</v>
      </c>
      <c r="C41" s="2" t="s">
        <v>985</v>
      </c>
      <c r="D41" s="1608">
        <v>578.66</v>
      </c>
      <c r="E41" s="876">
        <v>31.56</v>
      </c>
      <c r="F41" s="1606">
        <v>18262.5</v>
      </c>
    </row>
    <row r="42" spans="1:6" ht="51" x14ac:dyDescent="0.2">
      <c r="A42" s="2" t="s">
        <v>2714</v>
      </c>
      <c r="B42" s="315" t="s">
        <v>2751</v>
      </c>
      <c r="C42" s="2" t="s">
        <v>985</v>
      </c>
      <c r="D42" s="1608">
        <v>216.19</v>
      </c>
      <c r="E42" s="876">
        <v>28.54</v>
      </c>
      <c r="F42" s="1606">
        <v>6170.06</v>
      </c>
    </row>
    <row r="43" spans="1:6" ht="51" x14ac:dyDescent="0.2">
      <c r="A43" s="2" t="s">
        <v>2715</v>
      </c>
      <c r="B43" s="315" t="s">
        <v>2752</v>
      </c>
      <c r="C43" s="2" t="s">
        <v>985</v>
      </c>
      <c r="D43" s="1608">
        <v>870.24</v>
      </c>
      <c r="E43" s="876">
        <v>24.42</v>
      </c>
      <c r="F43" s="1606">
        <v>21251.26</v>
      </c>
    </row>
    <row r="44" spans="1:6" ht="25.5" x14ac:dyDescent="0.2">
      <c r="A44" s="2">
        <v>101616</v>
      </c>
      <c r="B44" s="315" t="s">
        <v>2590</v>
      </c>
      <c r="C44" s="2" t="s">
        <v>985</v>
      </c>
      <c r="D44" s="1608">
        <v>435.32</v>
      </c>
      <c r="E44" s="876">
        <v>7.01</v>
      </c>
      <c r="F44" s="1606">
        <v>3051.59</v>
      </c>
    </row>
    <row r="45" spans="1:6" ht="25.5" x14ac:dyDescent="0.2">
      <c r="A45" s="2">
        <v>101617</v>
      </c>
      <c r="B45" s="315" t="s">
        <v>2753</v>
      </c>
      <c r="C45" s="2" t="s">
        <v>985</v>
      </c>
      <c r="D45" s="1608">
        <v>290.08</v>
      </c>
      <c r="E45" s="876">
        <v>3.46</v>
      </c>
      <c r="F45" s="1606">
        <v>1003.67</v>
      </c>
    </row>
    <row r="46" spans="1:6" ht="51" x14ac:dyDescent="0.2">
      <c r="A46" s="2">
        <v>104734</v>
      </c>
      <c r="B46" s="315" t="s">
        <v>2799</v>
      </c>
      <c r="C46" s="2" t="s">
        <v>987</v>
      </c>
      <c r="D46" s="1608">
        <v>268.3</v>
      </c>
      <c r="E46" s="876">
        <v>16.37</v>
      </c>
      <c r="F46" s="1606">
        <v>4392.07</v>
      </c>
    </row>
    <row r="47" spans="1:6" ht="51" x14ac:dyDescent="0.2">
      <c r="A47" s="2">
        <v>104736</v>
      </c>
      <c r="B47" s="315" t="s">
        <v>2800</v>
      </c>
      <c r="C47" s="2" t="s">
        <v>987</v>
      </c>
      <c r="D47" s="1608">
        <v>131.53</v>
      </c>
      <c r="E47" s="876">
        <v>10.02</v>
      </c>
      <c r="F47" s="1606">
        <v>1317.93</v>
      </c>
    </row>
    <row r="48" spans="1:6" ht="51" x14ac:dyDescent="0.2">
      <c r="A48" s="2">
        <v>104730</v>
      </c>
      <c r="B48" s="315" t="s">
        <v>2801</v>
      </c>
      <c r="C48" s="2" t="s">
        <v>987</v>
      </c>
      <c r="D48" s="1608">
        <v>385.33</v>
      </c>
      <c r="E48" s="876">
        <v>15.22</v>
      </c>
      <c r="F48" s="1606">
        <v>5864.72</v>
      </c>
    </row>
    <row r="49" spans="1:6" ht="51" x14ac:dyDescent="0.2">
      <c r="A49" s="2">
        <v>104732</v>
      </c>
      <c r="B49" s="315" t="s">
        <v>2802</v>
      </c>
      <c r="C49" s="2" t="s">
        <v>987</v>
      </c>
      <c r="D49" s="1608">
        <v>1001.11</v>
      </c>
      <c r="E49" s="876">
        <v>11.69</v>
      </c>
      <c r="F49" s="1606">
        <v>11702.97</v>
      </c>
    </row>
    <row r="50" spans="1:6" ht="38.25" x14ac:dyDescent="0.2">
      <c r="A50" s="2">
        <v>100979</v>
      </c>
      <c r="B50" s="315" t="s">
        <v>2744</v>
      </c>
      <c r="C50" s="2" t="s">
        <v>987</v>
      </c>
      <c r="D50" s="1608">
        <v>625.69000000000005</v>
      </c>
      <c r="E50" s="876">
        <v>7.88</v>
      </c>
      <c r="F50" s="1606">
        <v>4930.43</v>
      </c>
    </row>
    <row r="51" spans="1:6" ht="25.5" x14ac:dyDescent="0.2">
      <c r="A51" s="2">
        <v>100939</v>
      </c>
      <c r="B51" s="315" t="s">
        <v>2591</v>
      </c>
      <c r="C51" s="2" t="s">
        <v>2606</v>
      </c>
      <c r="D51" s="1608">
        <v>1126.25</v>
      </c>
      <c r="E51" s="876">
        <v>7.67</v>
      </c>
      <c r="F51" s="1606">
        <v>8638.33</v>
      </c>
    </row>
    <row r="52" spans="1:6" ht="25.5" x14ac:dyDescent="0.2">
      <c r="A52" s="2">
        <v>95876</v>
      </c>
      <c r="B52" s="315" t="s">
        <v>2745</v>
      </c>
      <c r="C52" s="2" t="s">
        <v>2606</v>
      </c>
      <c r="D52" s="1608">
        <v>2548</v>
      </c>
      <c r="E52" s="876">
        <v>2.52</v>
      </c>
      <c r="F52" s="1606">
        <v>6420.96</v>
      </c>
    </row>
    <row r="53" spans="1:6" ht="25.5" x14ac:dyDescent="0.2">
      <c r="A53" s="2">
        <v>7781</v>
      </c>
      <c r="B53" s="315" t="s">
        <v>2592</v>
      </c>
      <c r="C53" s="2" t="s">
        <v>2608</v>
      </c>
      <c r="D53" s="1608">
        <v>216</v>
      </c>
      <c r="E53" s="876">
        <v>81.73</v>
      </c>
      <c r="F53" s="1606">
        <v>17653.68</v>
      </c>
    </row>
    <row r="54" spans="1:6" ht="25.5" x14ac:dyDescent="0.2">
      <c r="A54" s="2">
        <v>7791</v>
      </c>
      <c r="B54" s="315" t="s">
        <v>2593</v>
      </c>
      <c r="C54" s="2" t="s">
        <v>2608</v>
      </c>
      <c r="D54" s="1608">
        <v>102.03999999999999</v>
      </c>
      <c r="E54" s="876">
        <v>145.62</v>
      </c>
      <c r="F54" s="1606">
        <v>14859.06</v>
      </c>
    </row>
    <row r="55" spans="1:6" ht="25.5" x14ac:dyDescent="0.2">
      <c r="A55" s="2">
        <v>7750</v>
      </c>
      <c r="B55" s="315" t="s">
        <v>2803</v>
      </c>
      <c r="C55" s="2" t="s">
        <v>2608</v>
      </c>
      <c r="D55" s="1608">
        <v>181.3</v>
      </c>
      <c r="E55" s="876">
        <v>473.76</v>
      </c>
      <c r="F55" s="1606">
        <v>85892.68</v>
      </c>
    </row>
    <row r="56" spans="1:6" ht="25.5" x14ac:dyDescent="0.2">
      <c r="A56" s="2">
        <v>7762</v>
      </c>
      <c r="B56" s="315" t="s">
        <v>2838</v>
      </c>
      <c r="C56" s="2" t="s">
        <v>2608</v>
      </c>
      <c r="D56" s="1608">
        <v>105.47</v>
      </c>
      <c r="E56" s="876">
        <v>247.04</v>
      </c>
      <c r="F56" s="1606">
        <v>26055.3</v>
      </c>
    </row>
    <row r="57" spans="1:6" ht="51" x14ac:dyDescent="0.2">
      <c r="A57" s="2">
        <v>92821</v>
      </c>
      <c r="B57" s="315" t="s">
        <v>2754</v>
      </c>
      <c r="C57" s="2" t="s">
        <v>953</v>
      </c>
      <c r="D57" s="1608">
        <v>216</v>
      </c>
      <c r="E57" s="876">
        <v>79.819999999999993</v>
      </c>
      <c r="F57" s="1606">
        <v>17241.12</v>
      </c>
    </row>
    <row r="58" spans="1:6" ht="51" x14ac:dyDescent="0.2">
      <c r="A58" s="2">
        <v>92824</v>
      </c>
      <c r="B58" s="315" t="s">
        <v>2755</v>
      </c>
      <c r="C58" s="2" t="s">
        <v>953</v>
      </c>
      <c r="D58" s="1608">
        <v>207.51</v>
      </c>
      <c r="E58" s="876">
        <v>115.69</v>
      </c>
      <c r="F58" s="1606">
        <v>24006.83</v>
      </c>
    </row>
    <row r="59" spans="1:6" ht="51" x14ac:dyDescent="0.2">
      <c r="A59" s="2">
        <v>92826</v>
      </c>
      <c r="B59" s="315" t="s">
        <v>2804</v>
      </c>
      <c r="C59" s="2" t="s">
        <v>953</v>
      </c>
      <c r="D59" s="1608">
        <v>181.3</v>
      </c>
      <c r="E59" s="876">
        <v>154.57</v>
      </c>
      <c r="F59" s="1606">
        <v>28023.54</v>
      </c>
    </row>
    <row r="60" spans="1:6" ht="38.25" x14ac:dyDescent="0.2">
      <c r="A60" s="2" t="s">
        <v>1724</v>
      </c>
      <c r="B60" s="315" t="s">
        <v>2756</v>
      </c>
      <c r="C60" s="2" t="s">
        <v>986</v>
      </c>
      <c r="D60" s="1608">
        <v>10</v>
      </c>
      <c r="E60" s="876">
        <v>8128.28</v>
      </c>
      <c r="F60" s="1606">
        <v>81282.8</v>
      </c>
    </row>
    <row r="61" spans="1:6" ht="38.25" x14ac:dyDescent="0.2">
      <c r="A61" s="2" t="s">
        <v>271</v>
      </c>
      <c r="B61" s="315" t="s">
        <v>2757</v>
      </c>
      <c r="C61" s="2" t="s">
        <v>986</v>
      </c>
      <c r="D61" s="1608">
        <v>2</v>
      </c>
      <c r="E61" s="876">
        <v>3233.92</v>
      </c>
      <c r="F61" s="1606">
        <v>6467.84</v>
      </c>
    </row>
    <row r="62" spans="1:6" ht="25.5" x14ac:dyDescent="0.2">
      <c r="A62" s="2">
        <v>98051</v>
      </c>
      <c r="B62" s="315" t="s">
        <v>2758</v>
      </c>
      <c r="C62" s="2" t="s">
        <v>953</v>
      </c>
      <c r="D62" s="1608">
        <v>3.04</v>
      </c>
      <c r="E62" s="876">
        <v>1170.99</v>
      </c>
      <c r="F62" s="1606">
        <v>3559.8</v>
      </c>
    </row>
    <row r="63" spans="1:6" ht="38.25" x14ac:dyDescent="0.2">
      <c r="A63" s="2" t="s">
        <v>1744</v>
      </c>
      <c r="B63" s="315" t="s">
        <v>2759</v>
      </c>
      <c r="C63" s="2" t="s">
        <v>525</v>
      </c>
      <c r="D63" s="1608">
        <v>10</v>
      </c>
      <c r="E63" s="876">
        <v>949.53</v>
      </c>
      <c r="F63" s="1606">
        <v>9495.2999999999993</v>
      </c>
    </row>
    <row r="64" spans="1:6" ht="38.25" x14ac:dyDescent="0.2">
      <c r="A64" s="2" t="s">
        <v>272</v>
      </c>
      <c r="B64" s="315" t="s">
        <v>2805</v>
      </c>
      <c r="C64" s="2" t="s">
        <v>986</v>
      </c>
      <c r="D64" s="1608">
        <v>2</v>
      </c>
      <c r="E64" s="876">
        <v>7712.38</v>
      </c>
      <c r="F64" s="1606">
        <v>15424.76</v>
      </c>
    </row>
    <row r="65" spans="1:6" ht="38.25" x14ac:dyDescent="0.2">
      <c r="A65" s="2" t="s">
        <v>1732</v>
      </c>
      <c r="B65" s="315" t="s">
        <v>2760</v>
      </c>
      <c r="C65" s="2" t="s">
        <v>986</v>
      </c>
      <c r="D65" s="1608">
        <v>15</v>
      </c>
      <c r="E65" s="876">
        <v>2130.1999999999998</v>
      </c>
      <c r="F65" s="1606">
        <v>31953</v>
      </c>
    </row>
    <row r="66" spans="1:6" ht="38.25" x14ac:dyDescent="0.2">
      <c r="A66" s="2" t="s">
        <v>1733</v>
      </c>
      <c r="B66" s="315" t="s">
        <v>2761</v>
      </c>
      <c r="C66" s="2" t="s">
        <v>986</v>
      </c>
      <c r="D66" s="1608">
        <v>15</v>
      </c>
      <c r="E66" s="876">
        <v>5853.49</v>
      </c>
      <c r="F66" s="1606">
        <v>87802.35</v>
      </c>
    </row>
    <row r="67" spans="1:6" ht="25.5" x14ac:dyDescent="0.2">
      <c r="A67" s="2">
        <v>95876</v>
      </c>
      <c r="B67" s="315" t="s">
        <v>2745</v>
      </c>
      <c r="C67" s="2" t="s">
        <v>2606</v>
      </c>
      <c r="D67" s="1608">
        <v>1359.56</v>
      </c>
      <c r="E67" s="876">
        <v>2.52</v>
      </c>
      <c r="F67" s="1606">
        <v>3426.09</v>
      </c>
    </row>
    <row r="68" spans="1:6" ht="38.25" x14ac:dyDescent="0.2">
      <c r="A68" s="2">
        <v>100952</v>
      </c>
      <c r="B68" s="315" t="s">
        <v>2828</v>
      </c>
      <c r="C68" s="2" t="s">
        <v>2607</v>
      </c>
      <c r="D68" s="1608">
        <v>4667.7700000000004</v>
      </c>
      <c r="E68" s="876">
        <v>3.25</v>
      </c>
      <c r="F68" s="1606">
        <v>15170.25</v>
      </c>
    </row>
    <row r="69" spans="1:6" ht="63.75" x14ac:dyDescent="0.2">
      <c r="A69" s="2">
        <v>90105</v>
      </c>
      <c r="B69" s="315" t="s">
        <v>2762</v>
      </c>
      <c r="C69" s="2" t="s">
        <v>987</v>
      </c>
      <c r="D69" s="1608">
        <v>1.01</v>
      </c>
      <c r="E69" s="876">
        <v>10.39</v>
      </c>
      <c r="F69" s="1606">
        <v>10.49</v>
      </c>
    </row>
    <row r="70" spans="1:6" ht="25.5" x14ac:dyDescent="0.2">
      <c r="A70" s="2">
        <v>4748</v>
      </c>
      <c r="B70" s="315" t="s">
        <v>2676</v>
      </c>
      <c r="C70" s="2" t="s">
        <v>2609</v>
      </c>
      <c r="D70" s="1608">
        <v>1.1599999999999999</v>
      </c>
      <c r="E70" s="876">
        <v>111.21</v>
      </c>
      <c r="F70" s="1606">
        <v>129</v>
      </c>
    </row>
    <row r="71" spans="1:6" ht="38.25" x14ac:dyDescent="0.2">
      <c r="A71" s="2" t="s">
        <v>196</v>
      </c>
      <c r="B71" s="315" t="s">
        <v>2675</v>
      </c>
      <c r="C71" s="2" t="s">
        <v>987</v>
      </c>
      <c r="D71" s="1608">
        <v>0.84</v>
      </c>
      <c r="E71" s="876">
        <v>16.39</v>
      </c>
      <c r="F71" s="1606">
        <v>13.76</v>
      </c>
    </row>
    <row r="72" spans="1:6" ht="25.5" x14ac:dyDescent="0.2">
      <c r="A72" s="2" t="s">
        <v>2092</v>
      </c>
      <c r="B72" s="315" t="s">
        <v>2763</v>
      </c>
      <c r="C72" s="2" t="s">
        <v>985</v>
      </c>
      <c r="D72" s="1608">
        <v>5.6</v>
      </c>
      <c r="E72" s="876">
        <v>6.38</v>
      </c>
      <c r="F72" s="1606">
        <v>35.72</v>
      </c>
    </row>
    <row r="73" spans="1:6" ht="38.25" x14ac:dyDescent="0.2">
      <c r="A73" s="2" t="s">
        <v>2807</v>
      </c>
      <c r="B73" s="315" t="s">
        <v>2808</v>
      </c>
      <c r="C73" s="2" t="s">
        <v>987</v>
      </c>
      <c r="D73" s="1608">
        <v>0.17</v>
      </c>
      <c r="E73" s="876">
        <v>1882.05</v>
      </c>
      <c r="F73" s="1606">
        <v>319.94</v>
      </c>
    </row>
    <row r="74" spans="1:6" ht="25.5" x14ac:dyDescent="0.2">
      <c r="A74" s="2">
        <v>95876</v>
      </c>
      <c r="B74" s="315" t="s">
        <v>2745</v>
      </c>
      <c r="C74" s="2" t="s">
        <v>2606</v>
      </c>
      <c r="D74" s="1608">
        <v>10.08</v>
      </c>
      <c r="E74" s="876">
        <v>2.52</v>
      </c>
      <c r="F74" s="1606">
        <v>25.4</v>
      </c>
    </row>
    <row r="75" spans="1:6" ht="25.5" x14ac:dyDescent="0.2">
      <c r="A75" s="2">
        <v>95876</v>
      </c>
      <c r="B75" s="315" t="s">
        <v>2745</v>
      </c>
      <c r="C75" s="2" t="s">
        <v>2606</v>
      </c>
      <c r="D75" s="1608">
        <v>28.07</v>
      </c>
      <c r="E75" s="876">
        <v>2.52</v>
      </c>
      <c r="F75" s="1606">
        <v>70.73</v>
      </c>
    </row>
    <row r="76" spans="1:6" ht="25.5" x14ac:dyDescent="0.2">
      <c r="A76" s="2">
        <v>95879</v>
      </c>
      <c r="B76" s="315" t="s">
        <v>2764</v>
      </c>
      <c r="C76" s="2" t="s">
        <v>2607</v>
      </c>
      <c r="D76" s="1608">
        <v>8.17</v>
      </c>
      <c r="E76" s="876">
        <v>1.7</v>
      </c>
      <c r="F76" s="1606">
        <v>13.88</v>
      </c>
    </row>
    <row r="77" spans="1:6" ht="25.5" x14ac:dyDescent="0.2">
      <c r="A77" s="2">
        <v>102332</v>
      </c>
      <c r="B77" s="315" t="s">
        <v>2829</v>
      </c>
      <c r="C77" s="2" t="s">
        <v>2607</v>
      </c>
      <c r="D77" s="1608">
        <v>0.19</v>
      </c>
      <c r="E77" s="876">
        <v>2.13</v>
      </c>
      <c r="F77" s="1606">
        <v>0.4</v>
      </c>
    </row>
    <row r="78" spans="1:6" x14ac:dyDescent="0.2">
      <c r="A78" s="2" t="s">
        <v>1791</v>
      </c>
      <c r="B78" s="315" t="s">
        <v>2024</v>
      </c>
      <c r="C78" s="2" t="s">
        <v>987</v>
      </c>
      <c r="D78" s="1608">
        <v>5742.35</v>
      </c>
      <c r="E78" s="876">
        <v>7.22</v>
      </c>
      <c r="F78" s="1606">
        <v>41459.760000000002</v>
      </c>
    </row>
    <row r="79" spans="1:6" ht="25.5" x14ac:dyDescent="0.2">
      <c r="A79" s="2">
        <v>96385</v>
      </c>
      <c r="B79" s="315" t="s">
        <v>2706</v>
      </c>
      <c r="C79" s="2" t="s">
        <v>987</v>
      </c>
      <c r="D79" s="1608">
        <v>6.95</v>
      </c>
      <c r="E79" s="876">
        <v>13.73</v>
      </c>
      <c r="F79" s="1606">
        <v>95.42</v>
      </c>
    </row>
    <row r="80" spans="1:6" ht="38.25" x14ac:dyDescent="0.2">
      <c r="A80" s="2">
        <v>100979</v>
      </c>
      <c r="B80" s="315" t="s">
        <v>2744</v>
      </c>
      <c r="C80" s="2" t="s">
        <v>987</v>
      </c>
      <c r="D80" s="1608">
        <v>8.69</v>
      </c>
      <c r="E80" s="876">
        <v>7.88</v>
      </c>
      <c r="F80" s="1606">
        <v>68.47</v>
      </c>
    </row>
    <row r="81" spans="1:6" ht="25.5" x14ac:dyDescent="0.2">
      <c r="A81" s="2">
        <v>100939</v>
      </c>
      <c r="B81" s="315" t="s">
        <v>2591</v>
      </c>
      <c r="C81" s="2" t="s">
        <v>2606</v>
      </c>
      <c r="D81" s="1608">
        <v>17.38</v>
      </c>
      <c r="E81" s="876">
        <v>7.67</v>
      </c>
      <c r="F81" s="1606">
        <v>133.30000000000001</v>
      </c>
    </row>
    <row r="82" spans="1:6" ht="25.5" x14ac:dyDescent="0.2">
      <c r="A82" s="2">
        <v>95876</v>
      </c>
      <c r="B82" s="315" t="s">
        <v>2745</v>
      </c>
      <c r="C82" s="2" t="s">
        <v>2606</v>
      </c>
      <c r="D82" s="1608">
        <v>57353.919999999998</v>
      </c>
      <c r="E82" s="876">
        <v>2.52</v>
      </c>
      <c r="F82" s="1606">
        <v>144531.87</v>
      </c>
    </row>
    <row r="83" spans="1:6" ht="25.5" x14ac:dyDescent="0.2">
      <c r="A83" s="2">
        <v>100576</v>
      </c>
      <c r="B83" s="315" t="s">
        <v>2596</v>
      </c>
      <c r="C83" s="2" t="s">
        <v>985</v>
      </c>
      <c r="D83" s="1608">
        <v>14446.49</v>
      </c>
      <c r="E83" s="876">
        <v>2.98</v>
      </c>
      <c r="F83" s="1606">
        <v>43050.54</v>
      </c>
    </row>
    <row r="84" spans="1:6" ht="38.25" x14ac:dyDescent="0.2">
      <c r="A84" s="2" t="s">
        <v>1873</v>
      </c>
      <c r="B84" s="315" t="s">
        <v>2830</v>
      </c>
      <c r="C84" s="2" t="s">
        <v>987</v>
      </c>
      <c r="D84" s="1608">
        <v>2166.9699999999998</v>
      </c>
      <c r="E84" s="876">
        <v>23.33</v>
      </c>
      <c r="F84" s="1606">
        <v>50555.41</v>
      </c>
    </row>
    <row r="85" spans="1:6" ht="38.25" x14ac:dyDescent="0.2">
      <c r="A85" s="2" t="s">
        <v>196</v>
      </c>
      <c r="B85" s="315" t="s">
        <v>2675</v>
      </c>
      <c r="C85" s="2" t="s">
        <v>987</v>
      </c>
      <c r="D85" s="1608">
        <v>2472.2199999999998</v>
      </c>
      <c r="E85" s="876">
        <v>16.39</v>
      </c>
      <c r="F85" s="1606">
        <v>40519.68</v>
      </c>
    </row>
    <row r="86" spans="1:6" ht="25.5" x14ac:dyDescent="0.2">
      <c r="A86" s="2" t="s">
        <v>2092</v>
      </c>
      <c r="B86" s="315" t="s">
        <v>2763</v>
      </c>
      <c r="C86" s="2" t="s">
        <v>985</v>
      </c>
      <c r="D86" s="1608">
        <v>12682.57</v>
      </c>
      <c r="E86" s="876">
        <v>6.38</v>
      </c>
      <c r="F86" s="1606">
        <v>80914.789999999994</v>
      </c>
    </row>
    <row r="87" spans="1:6" ht="25.5" x14ac:dyDescent="0.2">
      <c r="A87" s="2" t="s">
        <v>1772</v>
      </c>
      <c r="B87" s="315" t="s">
        <v>2765</v>
      </c>
      <c r="C87" s="2" t="s">
        <v>985</v>
      </c>
      <c r="D87" s="1608">
        <v>12682.57</v>
      </c>
      <c r="E87" s="876">
        <v>3.06</v>
      </c>
      <c r="F87" s="1606">
        <v>38808.660000000003</v>
      </c>
    </row>
    <row r="88" spans="1:6" ht="38.25" x14ac:dyDescent="0.2">
      <c r="A88" s="2" t="s">
        <v>2413</v>
      </c>
      <c r="B88" s="315" t="s">
        <v>2595</v>
      </c>
      <c r="C88" s="2" t="s">
        <v>987</v>
      </c>
      <c r="D88" s="1608">
        <v>439.39</v>
      </c>
      <c r="E88" s="876">
        <v>1980.23</v>
      </c>
      <c r="F88" s="1606">
        <v>870093.25</v>
      </c>
    </row>
    <row r="89" spans="1:6" ht="51" x14ac:dyDescent="0.2">
      <c r="A89" s="2">
        <v>101230</v>
      </c>
      <c r="B89" s="315" t="s">
        <v>2831</v>
      </c>
      <c r="C89" s="2" t="s">
        <v>987</v>
      </c>
      <c r="D89" s="1608">
        <v>2708.72</v>
      </c>
      <c r="E89" s="876">
        <v>13.11</v>
      </c>
      <c r="F89" s="1606">
        <v>35511.31</v>
      </c>
    </row>
    <row r="90" spans="1:6" ht="25.5" x14ac:dyDescent="0.2">
      <c r="A90" s="2">
        <v>4748</v>
      </c>
      <c r="B90" s="315" t="s">
        <v>2676</v>
      </c>
      <c r="C90" s="2" t="s">
        <v>2609</v>
      </c>
      <c r="D90" s="1608">
        <v>3399.31</v>
      </c>
      <c r="E90" s="876">
        <v>111.21</v>
      </c>
      <c r="F90" s="1606">
        <v>378037.26</v>
      </c>
    </row>
    <row r="91" spans="1:6" ht="25.5" x14ac:dyDescent="0.2">
      <c r="A91" s="2">
        <v>95876</v>
      </c>
      <c r="B91" s="315" t="s">
        <v>2745</v>
      </c>
      <c r="C91" s="2" t="s">
        <v>2606</v>
      </c>
      <c r="D91" s="1608">
        <v>18961.04</v>
      </c>
      <c r="E91" s="876">
        <v>2.52</v>
      </c>
      <c r="F91" s="1606">
        <v>47781.82</v>
      </c>
    </row>
    <row r="92" spans="1:6" ht="25.5" x14ac:dyDescent="0.2">
      <c r="A92" s="2">
        <v>95876</v>
      </c>
      <c r="B92" s="315" t="s">
        <v>2745</v>
      </c>
      <c r="C92" s="2" t="s">
        <v>2606</v>
      </c>
      <c r="D92" s="1608">
        <v>82263.3</v>
      </c>
      <c r="E92" s="876">
        <v>2.52</v>
      </c>
      <c r="F92" s="1606">
        <v>207303.51</v>
      </c>
    </row>
    <row r="93" spans="1:6" ht="25.5" x14ac:dyDescent="0.2">
      <c r="A93" s="2">
        <v>95879</v>
      </c>
      <c r="B93" s="315" t="s">
        <v>2764</v>
      </c>
      <c r="C93" s="2" t="s">
        <v>2607</v>
      </c>
      <c r="D93" s="1608">
        <v>21328.26</v>
      </c>
      <c r="E93" s="876">
        <v>1.7</v>
      </c>
      <c r="F93" s="1606">
        <v>36258.04</v>
      </c>
    </row>
    <row r="94" spans="1:6" ht="25.5" x14ac:dyDescent="0.2">
      <c r="A94" s="2">
        <v>102332</v>
      </c>
      <c r="B94" s="315" t="s">
        <v>2829</v>
      </c>
      <c r="C94" s="2" t="s">
        <v>2607</v>
      </c>
      <c r="D94" s="1608">
        <v>409.64</v>
      </c>
      <c r="E94" s="876">
        <v>2.13</v>
      </c>
      <c r="F94" s="1606">
        <v>872.53</v>
      </c>
    </row>
    <row r="95" spans="1:6" ht="25.5" x14ac:dyDescent="0.2">
      <c r="A95" s="2" t="s">
        <v>2677</v>
      </c>
      <c r="B95" s="315" t="s">
        <v>2766</v>
      </c>
      <c r="C95" s="2" t="s">
        <v>953</v>
      </c>
      <c r="D95" s="1608">
        <v>3392.16</v>
      </c>
      <c r="E95" s="876">
        <v>65.92</v>
      </c>
      <c r="F95" s="1606">
        <v>223611.18</v>
      </c>
    </row>
    <row r="96" spans="1:6" ht="25.5" x14ac:dyDescent="0.2">
      <c r="A96" s="2" t="s">
        <v>2707</v>
      </c>
      <c r="B96" s="315" t="s">
        <v>2708</v>
      </c>
      <c r="C96" s="2" t="s">
        <v>985</v>
      </c>
      <c r="D96" s="1608">
        <v>1338.35</v>
      </c>
      <c r="E96" s="876">
        <v>26.86</v>
      </c>
      <c r="F96" s="1606">
        <v>35948.080000000002</v>
      </c>
    </row>
    <row r="97" spans="1:6" ht="25.5" x14ac:dyDescent="0.2">
      <c r="A97" s="2">
        <v>97084</v>
      </c>
      <c r="B97" s="315" t="s">
        <v>2767</v>
      </c>
      <c r="C97" s="2" t="s">
        <v>985</v>
      </c>
      <c r="D97" s="1608">
        <v>5339.87</v>
      </c>
      <c r="E97" s="876">
        <v>0.76</v>
      </c>
      <c r="F97" s="1606">
        <v>4058.3</v>
      </c>
    </row>
    <row r="98" spans="1:6" ht="25.5" x14ac:dyDescent="0.2">
      <c r="A98" s="2" t="s">
        <v>2431</v>
      </c>
      <c r="B98" s="315" t="s">
        <v>2597</v>
      </c>
      <c r="C98" s="2" t="s">
        <v>953</v>
      </c>
      <c r="D98" s="1608">
        <v>83.59</v>
      </c>
      <c r="E98" s="876">
        <v>74.17</v>
      </c>
      <c r="F98" s="1606">
        <v>6199.87</v>
      </c>
    </row>
    <row r="99" spans="1:6" ht="25.5" x14ac:dyDescent="0.2">
      <c r="A99" s="2">
        <v>94962</v>
      </c>
      <c r="B99" s="315" t="s">
        <v>2594</v>
      </c>
      <c r="C99" s="2" t="s">
        <v>987</v>
      </c>
      <c r="D99" s="1608">
        <v>1</v>
      </c>
      <c r="E99" s="876">
        <v>470.54</v>
      </c>
      <c r="F99" s="1606">
        <v>470.54</v>
      </c>
    </row>
    <row r="100" spans="1:6" ht="25.5" x14ac:dyDescent="0.2">
      <c r="A100" s="2">
        <v>94991</v>
      </c>
      <c r="B100" s="315" t="s">
        <v>2598</v>
      </c>
      <c r="C100" s="2" t="s">
        <v>987</v>
      </c>
      <c r="D100" s="1608">
        <v>371.45</v>
      </c>
      <c r="E100" s="876">
        <v>946.43</v>
      </c>
      <c r="F100" s="1606">
        <v>351551.42</v>
      </c>
    </row>
    <row r="101" spans="1:6" ht="25.5" x14ac:dyDescent="0.2">
      <c r="A101" s="2">
        <v>100947</v>
      </c>
      <c r="B101" s="315" t="s">
        <v>2827</v>
      </c>
      <c r="C101" s="2" t="s">
        <v>2607</v>
      </c>
      <c r="D101" s="1608">
        <v>35.520000000000003</v>
      </c>
      <c r="E101" s="876">
        <v>2.58</v>
      </c>
      <c r="F101" s="1606">
        <v>91.64</v>
      </c>
    </row>
    <row r="102" spans="1:6" ht="25.5" x14ac:dyDescent="0.2">
      <c r="A102" s="2" t="s">
        <v>2712</v>
      </c>
      <c r="B102" s="315" t="s">
        <v>2768</v>
      </c>
      <c r="C102" s="2" t="s">
        <v>985</v>
      </c>
      <c r="D102" s="1608">
        <v>26.84</v>
      </c>
      <c r="E102" s="876">
        <v>104.46</v>
      </c>
      <c r="F102" s="1606">
        <v>2803.7</v>
      </c>
    </row>
    <row r="103" spans="1:6" ht="25.5" x14ac:dyDescent="0.2">
      <c r="A103" s="2" t="s">
        <v>2383</v>
      </c>
      <c r="B103" s="315" t="s">
        <v>2769</v>
      </c>
      <c r="C103" s="2" t="s">
        <v>985</v>
      </c>
      <c r="D103" s="1608">
        <v>35.04</v>
      </c>
      <c r="E103" s="876">
        <v>119.07</v>
      </c>
      <c r="F103" s="1606">
        <v>4172.21</v>
      </c>
    </row>
    <row r="104" spans="1:6" ht="25.5" x14ac:dyDescent="0.2">
      <c r="A104" s="2" t="s">
        <v>2713</v>
      </c>
      <c r="B104" s="315" t="s">
        <v>2770</v>
      </c>
      <c r="C104" s="2" t="s">
        <v>985</v>
      </c>
      <c r="D104" s="1608">
        <v>86.34</v>
      </c>
      <c r="E104" s="876">
        <v>61.53</v>
      </c>
      <c r="F104" s="1606">
        <v>5312.5</v>
      </c>
    </row>
    <row r="105" spans="1:6" ht="51" x14ac:dyDescent="0.2">
      <c r="A105" s="2" t="s">
        <v>900</v>
      </c>
      <c r="B105" s="315" t="s">
        <v>2599</v>
      </c>
      <c r="C105" s="2" t="s">
        <v>525</v>
      </c>
      <c r="D105" s="1608">
        <v>51</v>
      </c>
      <c r="E105" s="876">
        <v>536.99</v>
      </c>
      <c r="F105" s="1606">
        <v>27386.49</v>
      </c>
    </row>
    <row r="106" spans="1:6" ht="51" x14ac:dyDescent="0.2">
      <c r="A106" s="2" t="s">
        <v>2391</v>
      </c>
      <c r="B106" s="315" t="s">
        <v>2600</v>
      </c>
      <c r="C106" s="2" t="s">
        <v>985</v>
      </c>
      <c r="D106" s="1608">
        <v>9.4</v>
      </c>
      <c r="E106" s="876">
        <v>927.2</v>
      </c>
      <c r="F106" s="1606">
        <v>8715.68</v>
      </c>
    </row>
    <row r="107" spans="1:6" x14ac:dyDescent="0.2">
      <c r="A107" s="2">
        <v>13521</v>
      </c>
      <c r="B107" s="315" t="s">
        <v>2806</v>
      </c>
      <c r="C107" s="2" t="s">
        <v>2605</v>
      </c>
      <c r="D107" s="1608">
        <v>36</v>
      </c>
      <c r="E107" s="876">
        <v>100.65</v>
      </c>
      <c r="F107" s="1606">
        <v>3623.4</v>
      </c>
    </row>
    <row r="108" spans="1:6" ht="25.5" x14ac:dyDescent="0.2">
      <c r="A108" s="2" t="s">
        <v>535</v>
      </c>
      <c r="B108" s="315" t="s">
        <v>537</v>
      </c>
      <c r="C108" s="2" t="s">
        <v>536</v>
      </c>
      <c r="D108" s="1608">
        <v>1</v>
      </c>
      <c r="E108" s="876">
        <v>167267.70000000001</v>
      </c>
      <c r="F108" s="1606">
        <v>167267.70000000001</v>
      </c>
    </row>
  </sheetData>
  <sortState ref="A2:F102">
    <sortCondition descending="1" ref="F2:F102"/>
  </sortState>
  <conditionalFormatting sqref="D2:D108">
    <cfRule type="expression" dxfId="644" priority="375">
      <formula>D2=0</formula>
    </cfRule>
  </conditionalFormatting>
  <conditionalFormatting sqref="E2:E108">
    <cfRule type="cellIs" dxfId="643" priority="377" operator="equal">
      <formula>C2</formula>
    </cfRule>
  </conditionalFormatting>
  <pageMargins left="0.511811024" right="0.511811024" top="0.78740157499999996" bottom="0.78740157499999996" header="0.31496062000000002" footer="0.31496062000000002"/>
  <pageSetup paperSize="9" scale="8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6" filterMode="1">
    <tabColor rgb="FF92D050"/>
  </sheetPr>
  <dimension ref="A1:Y1482"/>
  <sheetViews>
    <sheetView showZeros="0" topLeftCell="A171" zoomScaleNormal="100" zoomScaleSheetLayoutView="100" workbookViewId="0">
      <selection activeCell="H290" sqref="H290"/>
    </sheetView>
  </sheetViews>
  <sheetFormatPr defaultColWidth="9" defaultRowHeight="25.5" x14ac:dyDescent="0.15"/>
  <cols>
    <col min="1" max="1" width="7.625" style="844" customWidth="1"/>
    <col min="2" max="2" width="15.625" style="844" customWidth="1"/>
    <col min="3" max="3" width="13.625" style="844" customWidth="1"/>
    <col min="4" max="4" width="90.625" style="844" customWidth="1"/>
    <col min="5" max="5" width="5.75" style="844" customWidth="1"/>
    <col min="6" max="6" width="7.625" style="844" customWidth="1"/>
    <col min="7" max="7" width="14.75" style="846" hidden="1" customWidth="1"/>
    <col min="8" max="8" width="12.625" style="844" customWidth="1"/>
    <col min="9" max="9" width="14.375" style="844" customWidth="1"/>
    <col min="10" max="10" width="17.625" style="844" bestFit="1" customWidth="1"/>
    <col min="11" max="11" width="9.25" style="1611" customWidth="1"/>
    <col min="12" max="12" width="12.5" style="1571" hidden="1" customWidth="1"/>
    <col min="13" max="13" width="29" style="852" hidden="1" customWidth="1"/>
    <col min="14" max="14" width="14.25" style="852" hidden="1" customWidth="1"/>
    <col min="15" max="15" width="13.75" style="852" hidden="1" customWidth="1"/>
    <col min="16" max="16" width="8.75" style="852" hidden="1" customWidth="1"/>
    <col min="17" max="17" width="12.75" style="852" hidden="1" customWidth="1"/>
    <col min="18" max="18" width="3.25" style="852" bestFit="1" customWidth="1"/>
    <col min="19" max="19" width="12.75" style="852" customWidth="1"/>
    <col min="20" max="20" width="3.25" style="852" bestFit="1" customWidth="1"/>
    <col min="21" max="21" width="12.75" style="852" customWidth="1"/>
    <col min="22" max="22" width="3.25" style="852" bestFit="1" customWidth="1"/>
    <col min="23" max="23" width="12.75" style="852" customWidth="1"/>
    <col min="24" max="24" width="3.25" style="852" bestFit="1" customWidth="1"/>
    <col min="25" max="25" width="14.5" style="844" customWidth="1"/>
    <col min="26" max="26" width="12.625" style="844" customWidth="1"/>
    <col min="27" max="27" width="13.25" style="844" customWidth="1"/>
    <col min="28" max="31" width="9" style="844" customWidth="1"/>
    <col min="32" max="32" width="9" style="844"/>
    <col min="33" max="33" width="13.375" style="844" customWidth="1"/>
    <col min="34" max="16384" width="9" style="844"/>
  </cols>
  <sheetData>
    <row r="1" spans="1:19" s="812" customFormat="1" ht="24.95" customHeight="1" x14ac:dyDescent="0.15">
      <c r="A1" s="810"/>
      <c r="B1" s="853" t="s">
        <v>2809</v>
      </c>
      <c r="C1" s="810"/>
      <c r="D1" s="810"/>
      <c r="E1" s="810"/>
      <c r="F1" s="813"/>
      <c r="I1" s="1678" t="s">
        <v>114</v>
      </c>
      <c r="J1" s="1691" t="str">
        <f>[1]BOLETIM_SEL!$B$1</f>
        <v>Agosto/2023</v>
      </c>
      <c r="K1" s="1609"/>
      <c r="L1" s="2407" t="s">
        <v>445</v>
      </c>
      <c r="M1" s="2407"/>
      <c r="N1" s="1423" t="s">
        <v>705</v>
      </c>
      <c r="O1" s="1423"/>
    </row>
    <row r="2" spans="1:19" s="812" customFormat="1" ht="24.95" customHeight="1" x14ac:dyDescent="0.15">
      <c r="A2" s="816"/>
      <c r="B2" s="460" t="s">
        <v>612</v>
      </c>
      <c r="C2" s="816"/>
      <c r="D2" s="816"/>
      <c r="E2" s="816"/>
      <c r="F2" s="817"/>
      <c r="I2" s="1678" t="s">
        <v>420</v>
      </c>
      <c r="J2" s="48" t="str">
        <f>[1]BOLETIM_SEL!$D$2</f>
        <v>NÃO DESONERADA</v>
      </c>
      <c r="K2" s="1609"/>
      <c r="L2" s="1829" t="s">
        <v>446</v>
      </c>
      <c r="M2" s="866" t="str">
        <f ca="1">IF(J12=J930,"OK","ERRO")</f>
        <v>OK</v>
      </c>
      <c r="N2" s="847" t="s">
        <v>703</v>
      </c>
      <c r="O2" s="848" t="s">
        <v>704</v>
      </c>
    </row>
    <row r="3" spans="1:19" s="812" customFormat="1" ht="24.95" customHeight="1" x14ac:dyDescent="0.15">
      <c r="A3" s="818"/>
      <c r="B3" s="460"/>
      <c r="C3" s="818"/>
      <c r="D3" s="818"/>
      <c r="E3" s="817"/>
      <c r="F3" s="817"/>
      <c r="H3" s="1678"/>
      <c r="I3" s="1678" t="s">
        <v>270</v>
      </c>
      <c r="J3" s="1689">
        <f>[1]BOLETIM_SEL!$G$3</f>
        <v>1.1544000000000001</v>
      </c>
      <c r="K3" s="1609"/>
      <c r="L3" s="1569"/>
    </row>
    <row r="4" spans="1:19" s="812" customFormat="1" ht="24.95" customHeight="1" x14ac:dyDescent="0.15">
      <c r="B4" s="865"/>
      <c r="C4" s="874"/>
      <c r="E4" s="814"/>
      <c r="F4" s="819"/>
      <c r="I4" s="1678" t="s">
        <v>269</v>
      </c>
      <c r="J4" s="1689">
        <f>[1]BOLETIM_SEL!$G$4</f>
        <v>0.71260000000000001</v>
      </c>
      <c r="K4" s="1609"/>
      <c r="L4" s="1569"/>
    </row>
    <row r="5" spans="1:19" s="812" customFormat="1" ht="24.95" customHeight="1" x14ac:dyDescent="0.15">
      <c r="A5" s="821"/>
      <c r="B5" s="865" t="s">
        <v>30</v>
      </c>
      <c r="C5" s="874" t="s">
        <v>2657</v>
      </c>
      <c r="D5" s="894"/>
      <c r="E5" s="894"/>
      <c r="F5" s="894"/>
      <c r="I5" s="1678" t="s">
        <v>421</v>
      </c>
      <c r="J5" s="1690">
        <v>0.22</v>
      </c>
      <c r="K5" s="1609"/>
      <c r="L5" s="1569"/>
    </row>
    <row r="6" spans="1:19" s="812" customFormat="1" ht="24.95" customHeight="1" x14ac:dyDescent="0.15">
      <c r="A6" s="821"/>
      <c r="B6" s="865" t="s">
        <v>220</v>
      </c>
      <c r="C6" s="874" t="s">
        <v>2832</v>
      </c>
      <c r="D6" s="874"/>
      <c r="E6" s="822"/>
      <c r="F6" s="822"/>
      <c r="I6" s="1678" t="s">
        <v>937</v>
      </c>
      <c r="J6" s="2101">
        <v>0.15279999999999999</v>
      </c>
      <c r="K6" s="1609"/>
      <c r="L6" s="1569"/>
    </row>
    <row r="7" spans="1:19" s="812" customFormat="1" ht="24.95" customHeight="1" x14ac:dyDescent="0.15">
      <c r="A7" s="821"/>
      <c r="B7" s="865" t="s">
        <v>2658</v>
      </c>
      <c r="C7" s="874" t="s">
        <v>2812</v>
      </c>
      <c r="D7" s="821"/>
      <c r="E7" s="823"/>
      <c r="F7" s="823"/>
      <c r="G7" s="819"/>
      <c r="K7" s="1610"/>
      <c r="L7" s="1569"/>
      <c r="Q7" s="2019"/>
    </row>
    <row r="8" spans="1:19" s="812" customFormat="1" ht="24.95" customHeight="1" x14ac:dyDescent="0.15">
      <c r="A8" s="824"/>
      <c r="B8" s="865" t="s">
        <v>996</v>
      </c>
      <c r="C8" s="874" t="s">
        <v>2813</v>
      </c>
      <c r="D8" s="821"/>
      <c r="E8" s="824"/>
      <c r="F8" s="824"/>
      <c r="G8" s="820"/>
      <c r="K8" s="814"/>
      <c r="L8" s="1680"/>
    </row>
    <row r="9" spans="1:19" s="812" customFormat="1" ht="24.95" customHeight="1" x14ac:dyDescent="0.15">
      <c r="A9" s="824"/>
      <c r="B9" s="865"/>
      <c r="C9" s="874"/>
      <c r="D9" s="821"/>
      <c r="E9" s="824"/>
      <c r="F9" s="824"/>
      <c r="G9" s="820"/>
      <c r="K9" s="814"/>
      <c r="L9" s="1680"/>
    </row>
    <row r="10" spans="1:19" s="812" customFormat="1" ht="24.95" customHeight="1" x14ac:dyDescent="0.15">
      <c r="A10" s="825"/>
      <c r="B10" s="825"/>
      <c r="C10" s="811"/>
      <c r="D10" s="2081" t="s">
        <v>2430</v>
      </c>
      <c r="E10" s="825"/>
      <c r="F10" s="825"/>
      <c r="G10" s="826"/>
      <c r="J10" s="2019"/>
      <c r="K10" s="814"/>
      <c r="L10" s="1569"/>
    </row>
    <row r="11" spans="1:19" s="812" customFormat="1" ht="24.95" customHeight="1" thickBot="1" x14ac:dyDescent="0.2">
      <c r="A11" s="824"/>
      <c r="C11" s="824"/>
      <c r="D11" s="824"/>
      <c r="E11" s="824"/>
      <c r="F11" s="824"/>
      <c r="G11" s="820"/>
      <c r="J11" s="2336"/>
      <c r="K11" s="814"/>
      <c r="L11" s="1680"/>
    </row>
    <row r="12" spans="1:19" s="832" customFormat="1" ht="30" customHeight="1" thickTop="1" thickBot="1" x14ac:dyDescent="0.2">
      <c r="A12" s="825"/>
      <c r="B12" s="1675" t="s">
        <v>31</v>
      </c>
      <c r="C12" s="2404" t="s">
        <v>38</v>
      </c>
      <c r="D12" s="2405"/>
      <c r="E12" s="2405"/>
      <c r="F12" s="2405"/>
      <c r="G12" s="2405"/>
      <c r="H12" s="665" t="s">
        <v>336</v>
      </c>
      <c r="I12" s="829" t="s">
        <v>33</v>
      </c>
      <c r="J12" s="2114">
        <f ca="1">SUM(J13:J31)</f>
        <v>3679055.58</v>
      </c>
      <c r="K12" s="1625">
        <f ca="1">SUM(K13:K31)</f>
        <v>0.99999999999999978</v>
      </c>
      <c r="L12" s="1676" t="s">
        <v>1954</v>
      </c>
      <c r="M12" s="1677" t="s">
        <v>200</v>
      </c>
      <c r="N12" s="205" t="s">
        <v>2020</v>
      </c>
      <c r="O12" s="1953"/>
      <c r="S12" s="2335"/>
    </row>
    <row r="13" spans="1:19" s="3" customFormat="1" ht="24.95" customHeight="1" thickTop="1" x14ac:dyDescent="0.15">
      <c r="B13" s="1663">
        <f>A34</f>
        <v>1</v>
      </c>
      <c r="C13" s="1664" t="str">
        <f>D34</f>
        <v>SERVIÇOS PRELIMINARES</v>
      </c>
      <c r="E13" s="1668"/>
      <c r="F13" s="2011"/>
      <c r="G13" s="1663"/>
      <c r="H13" s="1665">
        <f>H35</f>
        <v>16</v>
      </c>
      <c r="I13" s="893" t="str">
        <f>F35</f>
        <v>M2</v>
      </c>
      <c r="J13" s="1666">
        <f ca="1">J34</f>
        <v>171715.34999999998</v>
      </c>
      <c r="K13" s="1667">
        <f ca="1">K34</f>
        <v>4.6673758051787827E-2</v>
      </c>
      <c r="L13" s="1672" t="str">
        <f ca="1">IF(SUBTOTAL(109,J35:J62)=J13,"OK","ERRO")</f>
        <v>OK</v>
      </c>
      <c r="M13" s="1673" t="str">
        <f t="shared" ref="M13:M31" ca="1" si="0">IF(K13=J13/J$930,"OK","ERRO")</f>
        <v>OK</v>
      </c>
      <c r="N13" s="1757">
        <f>S_Preliminares!N4</f>
        <v>6</v>
      </c>
      <c r="O13" s="205"/>
      <c r="S13" s="867"/>
    </row>
    <row r="14" spans="1:19" s="3" customFormat="1" ht="24.95" customHeight="1" x14ac:dyDescent="0.15">
      <c r="B14" s="1663">
        <f ca="1">A63</f>
        <v>2</v>
      </c>
      <c r="C14" s="1664" t="str">
        <f>D63</f>
        <v>REMOÇÕES, DEMOLIÇÕES E SUPRESSÕES</v>
      </c>
      <c r="E14" s="1668"/>
      <c r="F14" s="2011"/>
      <c r="G14" s="1670"/>
      <c r="H14" s="1670">
        <f>+H73</f>
        <v>858.19</v>
      </c>
      <c r="I14" s="893" t="str">
        <f>+F73</f>
        <v>M</v>
      </c>
      <c r="J14" s="1666">
        <f>J63</f>
        <v>39105.550000000003</v>
      </c>
      <c r="K14" s="1667">
        <f ca="1">K63</f>
        <v>1.0629235995396403E-2</v>
      </c>
      <c r="L14" s="1672" t="str">
        <f>IF(SUBTOTAL(109,J64:J98)=J14,"OK","ERRO")</f>
        <v>OK</v>
      </c>
      <c r="M14" s="1673" t="str">
        <f t="shared" ca="1" si="0"/>
        <v>OK</v>
      </c>
      <c r="N14" s="1757">
        <f>ROUND(SUM(O64:O73)/240,0)</f>
        <v>1</v>
      </c>
      <c r="O14" s="1671"/>
    </row>
    <row r="15" spans="1:19" s="3" customFormat="1" ht="24.95" customHeight="1" x14ac:dyDescent="0.15">
      <c r="B15" s="1663">
        <f ca="1">A100</f>
        <v>3</v>
      </c>
      <c r="C15" s="1664" t="str">
        <f>D100</f>
        <v>MICRODRENAGEM - TERRAPLENAGEM</v>
      </c>
      <c r="E15" s="1668"/>
      <c r="F15" s="2011"/>
      <c r="G15" s="2406" t="s">
        <v>444</v>
      </c>
      <c r="H15" s="1670">
        <f ca="1">SUM(H104:H123)+H125</f>
        <v>2041.07</v>
      </c>
      <c r="I15" s="893" t="str">
        <f>F104</f>
        <v>M3</v>
      </c>
      <c r="J15" s="1666">
        <f ca="1">J100</f>
        <v>143972.27999999997</v>
      </c>
      <c r="K15" s="1667">
        <f ca="1">K100</f>
        <v>3.9132945091305181E-2</v>
      </c>
      <c r="L15" s="1674" t="str">
        <f ca="1">IF(SUBTOTAL(109,J101:J181)=J15,"OK","ERRO")</f>
        <v>OK</v>
      </c>
      <c r="M15" s="1673" t="str">
        <f t="shared" ca="1" si="0"/>
        <v>OK</v>
      </c>
      <c r="N15" s="1757">
        <f ca="1">ROUND(SUM(O104:O125)/240,0)</f>
        <v>1</v>
      </c>
    </row>
    <row r="16" spans="1:19" s="3" customFormat="1" ht="24.95" customHeight="1" x14ac:dyDescent="0.15">
      <c r="B16" s="1663">
        <f ca="1">A183</f>
        <v>4</v>
      </c>
      <c r="C16" s="1664" t="str">
        <f>D183</f>
        <v>MICRODRENAGEM - GALERIAS</v>
      </c>
      <c r="E16" s="1668"/>
      <c r="F16" s="2011"/>
      <c r="G16" s="2406"/>
      <c r="H16" s="1665">
        <f ca="1">SUM(H196:H216)+SUM(H235:H241)</f>
        <v>604.80999999999995</v>
      </c>
      <c r="I16" s="893" t="str">
        <f>F196</f>
        <v>M</v>
      </c>
      <c r="J16" s="1666">
        <f ca="1">J183</f>
        <v>213732.21</v>
      </c>
      <c r="K16" s="1667">
        <f ca="1">K183</f>
        <v>5.8094313976088378E-2</v>
      </c>
      <c r="L16" s="1672" t="str">
        <f ca="1">IF(SUBTOTAL(109,J184:J242)=J16,"OK","ERRO")</f>
        <v>OK</v>
      </c>
      <c r="M16" s="1673" t="str">
        <f t="shared" ca="1" si="0"/>
        <v>OK</v>
      </c>
      <c r="N16" s="1757">
        <f ca="1">ROUND(SUM(O196:O242)/240,0)</f>
        <v>1</v>
      </c>
    </row>
    <row r="17" spans="1:19" s="3" customFormat="1" ht="24.95" customHeight="1" x14ac:dyDescent="0.15">
      <c r="B17" s="1663">
        <f ca="1">A244</f>
        <v>5</v>
      </c>
      <c r="C17" s="1664" t="str">
        <f>D244</f>
        <v>MICRODRENAGEM - DISPOSITIVOS AUXILIARES</v>
      </c>
      <c r="E17" s="1668"/>
      <c r="F17" s="2011"/>
      <c r="G17" s="2406"/>
      <c r="H17" s="1665">
        <f>SUM(H245:H251)+SUM(H261:H281)</f>
        <v>42</v>
      </c>
      <c r="I17" s="893" t="str">
        <f>+F245</f>
        <v>UN</v>
      </c>
      <c r="J17" s="1666">
        <f ca="1">J244</f>
        <v>254417.2</v>
      </c>
      <c r="K17" s="1667">
        <f ca="1">K244</f>
        <v>6.915285579893303E-2</v>
      </c>
      <c r="L17" s="1672" t="str">
        <f ca="1">IF(SUBTOTAL(109,J245:J292)=J17,"OK","ERRO")</f>
        <v>OK</v>
      </c>
      <c r="M17" s="1673" t="str">
        <f t="shared" ca="1" si="0"/>
        <v>OK</v>
      </c>
      <c r="N17" s="1757">
        <f ca="1">ROUND(SUM(O245:O271)/240,0)</f>
        <v>2</v>
      </c>
    </row>
    <row r="18" spans="1:19" s="3" customFormat="1" ht="24.95" hidden="1" customHeight="1" x14ac:dyDescent="0.15">
      <c r="B18" s="1663">
        <f ca="1">A294</f>
        <v>5</v>
      </c>
      <c r="C18" s="1664" t="str">
        <f>D294</f>
        <v>MICRODRENAGEM - SERVIÇOS DE ESTRUTURAS</v>
      </c>
      <c r="E18" s="1668"/>
      <c r="F18" s="2011"/>
      <c r="G18" s="2406"/>
      <c r="H18" s="1670">
        <f>SUM(H299:H300)</f>
        <v>0</v>
      </c>
      <c r="I18" s="893" t="str">
        <f>F299</f>
        <v>M3</v>
      </c>
      <c r="J18" s="1666">
        <f>J294</f>
        <v>0</v>
      </c>
      <c r="K18" s="1667">
        <f ca="1">K294</f>
        <v>0</v>
      </c>
      <c r="L18" s="1674" t="str">
        <f>IF(SUBTOTAL(109,J295:J312)=J18,"OK","ERRO")</f>
        <v>OK</v>
      </c>
      <c r="M18" s="1673" t="str">
        <f t="shared" ca="1" si="0"/>
        <v>OK</v>
      </c>
      <c r="N18" s="1757"/>
    </row>
    <row r="19" spans="1:19" s="3" customFormat="1" ht="24.95" hidden="1" customHeight="1" x14ac:dyDescent="0.15">
      <c r="B19" s="1663">
        <f ca="1">A314</f>
        <v>5</v>
      </c>
      <c r="C19" s="1664" t="str">
        <f>D314</f>
        <v>MICRODRENAGEM - BACIA DE AMORTECIMENTO</v>
      </c>
      <c r="E19" s="1668"/>
      <c r="F19" s="2011"/>
      <c r="G19" s="2406"/>
      <c r="H19" s="1670">
        <f>SUM(H323:H324)</f>
        <v>0</v>
      </c>
      <c r="I19" s="893" t="str">
        <f>F323</f>
        <v>M3</v>
      </c>
      <c r="J19" s="1666">
        <f>J314</f>
        <v>0</v>
      </c>
      <c r="K19" s="1667">
        <f ca="1">K314</f>
        <v>0</v>
      </c>
      <c r="L19" s="1674" t="str">
        <f>IF(SUBTOTAL(109,J316:J411)=J19,"OK","ERRO")</f>
        <v>OK</v>
      </c>
      <c r="M19" s="1673" t="str">
        <f t="shared" ca="1" si="0"/>
        <v>OK</v>
      </c>
      <c r="N19" s="1757">
        <f>ROUND(O323/240,0)</f>
        <v>0</v>
      </c>
    </row>
    <row r="20" spans="1:19" s="3" customFormat="1" ht="24.95" hidden="1" customHeight="1" x14ac:dyDescent="0.15">
      <c r="B20" s="1663">
        <f ca="1">A413</f>
        <v>5</v>
      </c>
      <c r="C20" s="1664" t="str">
        <f>D413</f>
        <v>DRENAGEM DE LENÇOL FREÁTICO</v>
      </c>
      <c r="E20" s="1668"/>
      <c r="F20" s="2011"/>
      <c r="G20" s="2406"/>
      <c r="H20" s="1665">
        <f>Dre_Profunda!I3+Dre_Profunda!I15</f>
        <v>0</v>
      </c>
      <c r="I20" s="893" t="str">
        <f>F414</f>
        <v>M</v>
      </c>
      <c r="J20" s="1666">
        <f>J413</f>
        <v>0</v>
      </c>
      <c r="K20" s="1667">
        <f ca="1">K413</f>
        <v>0</v>
      </c>
      <c r="L20" s="1672" t="str">
        <f>IF(SUBTOTAL(109,J414:J446)=J20,"OK","ERRO")</f>
        <v>OK</v>
      </c>
      <c r="M20" s="1673" t="str">
        <f t="shared" ca="1" si="0"/>
        <v>OK</v>
      </c>
      <c r="N20" s="1757">
        <f>ROUND(O416/240,0)</f>
        <v>0</v>
      </c>
    </row>
    <row r="21" spans="1:19" s="3" customFormat="1" ht="24.95" customHeight="1" x14ac:dyDescent="0.15">
      <c r="B21" s="1663">
        <f ca="1">A448</f>
        <v>6</v>
      </c>
      <c r="C21" s="1664" t="str">
        <f>D448</f>
        <v>MICRODRENAGEM - RECOMPOSIÇÃO DO PAVIMENTO</v>
      </c>
      <c r="E21" s="1668"/>
      <c r="F21" s="2011"/>
      <c r="G21" s="2406"/>
      <c r="H21" s="1665">
        <f>H460</f>
        <v>5.6</v>
      </c>
      <c r="I21" s="893" t="str">
        <f>F460</f>
        <v>M2</v>
      </c>
      <c r="J21" s="1666">
        <f>J448</f>
        <v>618.7399999999999</v>
      </c>
      <c r="K21" s="1667">
        <f ca="1">K448</f>
        <v>1.6817903033691046E-4</v>
      </c>
      <c r="L21" s="1672" t="str">
        <f>IF(SUBTOTAL(109,J449:J504)=J21,"OK","ERRO")</f>
        <v>OK</v>
      </c>
      <c r="M21" s="1673" t="str">
        <f t="shared" ca="1" si="0"/>
        <v>OK</v>
      </c>
      <c r="N21" s="1757">
        <f>ROUND(SUM(O414:O423)/240,0)</f>
        <v>0</v>
      </c>
    </row>
    <row r="22" spans="1:19" s="3" customFormat="1" ht="24.95" hidden="1" customHeight="1" x14ac:dyDescent="0.15">
      <c r="B22" s="1663">
        <f ca="1">A506</f>
        <v>6</v>
      </c>
      <c r="C22" s="1664" t="str">
        <f>D506</f>
        <v>RESTAURAÇÃO DO PAVIMENTO - RECUPERAÇÃO PRÉVIA DO PAVIMENTO</v>
      </c>
      <c r="E22" s="1668"/>
      <c r="F22" s="2011"/>
      <c r="G22" s="2406"/>
      <c r="H22" s="1670">
        <f>H532+H533</f>
        <v>0</v>
      </c>
      <c r="I22" s="893" t="str">
        <f>F532</f>
        <v>M2</v>
      </c>
      <c r="J22" s="1666">
        <f>J506</f>
        <v>0</v>
      </c>
      <c r="K22" s="1667">
        <f ca="1">K506</f>
        <v>0</v>
      </c>
      <c r="L22" s="1674" t="str">
        <f>IF(SUBTOTAL(109,J507:J580)=J22,"OK","ERRO")</f>
        <v>OK</v>
      </c>
      <c r="M22" s="1673" t="str">
        <f t="shared" ca="1" si="0"/>
        <v>OK</v>
      </c>
      <c r="N22" s="1757"/>
    </row>
    <row r="23" spans="1:19" s="3" customFormat="1" ht="24.95" hidden="1" customHeight="1" x14ac:dyDescent="0.15">
      <c r="B23" s="1663">
        <f ca="1">A582</f>
        <v>6</v>
      </c>
      <c r="C23" s="1664" t="str">
        <f>D582</f>
        <v>RESTAURAÇÃO DO PAVIMENTO - RECAPEAMENTO ASFÁLTICO</v>
      </c>
      <c r="E23" s="1668"/>
      <c r="F23" s="2011"/>
      <c r="G23" s="2406"/>
      <c r="H23" s="1665">
        <f>H587</f>
        <v>0</v>
      </c>
      <c r="I23" s="893" t="str">
        <f>F587</f>
        <v>M2</v>
      </c>
      <c r="J23" s="1666">
        <f>J582</f>
        <v>0</v>
      </c>
      <c r="K23" s="1667">
        <f ca="1">K582</f>
        <v>0</v>
      </c>
      <c r="L23" s="1672" t="str">
        <f>IF(SUBTOTAL(109,J583:J622)=J23,"OK","ERRO")</f>
        <v>OK</v>
      </c>
      <c r="M23" s="1673" t="str">
        <f t="shared" ca="1" si="0"/>
        <v>OK</v>
      </c>
      <c r="N23" s="1757"/>
    </row>
    <row r="24" spans="1:19" s="3" customFormat="1" ht="24.95" customHeight="1" x14ac:dyDescent="0.15">
      <c r="B24" s="1663">
        <f ca="1">A624</f>
        <v>7</v>
      </c>
      <c r="C24" s="1664" t="str">
        <f>D624</f>
        <v>IMPLANTAÇÃO ASFÁLTICA - TERRAPLENAGEM</v>
      </c>
      <c r="E24" s="1668"/>
      <c r="F24" s="2011"/>
      <c r="G24" s="2406"/>
      <c r="H24" s="1670">
        <f>H626+H627++H630</f>
        <v>5749.3</v>
      </c>
      <c r="I24" s="893" t="str">
        <f>F626</f>
        <v>M3</v>
      </c>
      <c r="J24" s="1666">
        <f>J624</f>
        <v>186288.82</v>
      </c>
      <c r="K24" s="1667">
        <f ca="1">K624</f>
        <v>5.0634956702665511E-2</v>
      </c>
      <c r="L24" s="1674" t="str">
        <f>IF(SUBTOTAL(109,J625:J643)=J24,"OK","ERRO")</f>
        <v>OK</v>
      </c>
      <c r="M24" s="1673" t="str">
        <f t="shared" ca="1" si="0"/>
        <v>OK</v>
      </c>
      <c r="N24" s="1757">
        <f>ROUND(O626/240,0)</f>
        <v>1</v>
      </c>
    </row>
    <row r="25" spans="1:19" s="3" customFormat="1" ht="24.95" customHeight="1" x14ac:dyDescent="0.15">
      <c r="B25" s="1663">
        <f ca="1">A645</f>
        <v>8</v>
      </c>
      <c r="C25" s="1664" t="str">
        <f>D645</f>
        <v>IMPLANTAÇÃO ASFÁLTICA - PAVIMENTAÇÃO</v>
      </c>
      <c r="E25" s="1668"/>
      <c r="F25" s="2011"/>
      <c r="G25" s="2406"/>
      <c r="H25" s="1665">
        <f>H655</f>
        <v>12682.57</v>
      </c>
      <c r="I25" s="893" t="str">
        <f>F655</f>
        <v>M2</v>
      </c>
      <c r="J25" s="1666">
        <f>J645</f>
        <v>1827993.5500000003</v>
      </c>
      <c r="K25" s="1667">
        <f ca="1">K645</f>
        <v>0.49686489107076764</v>
      </c>
      <c r="L25" s="1672" t="str">
        <f>IF(SUBTOTAL(109,J646:J717)=J25,"OK","ERRO")</f>
        <v>OK</v>
      </c>
      <c r="M25" s="1673" t="str">
        <f t="shared" ca="1" si="0"/>
        <v>OK</v>
      </c>
      <c r="N25" s="1757">
        <f>ROUND(O646/240,0)</f>
        <v>0</v>
      </c>
      <c r="Q25" s="867"/>
      <c r="S25" s="2258"/>
    </row>
    <row r="26" spans="1:19" s="3" customFormat="1" ht="24.95" customHeight="1" x14ac:dyDescent="0.15">
      <c r="B26" s="1663">
        <f ca="1">A719</f>
        <v>9</v>
      </c>
      <c r="C26" s="1664" t="str">
        <f>D719</f>
        <v>SERVIÇOS COMPLEMENTARES</v>
      </c>
      <c r="E26" s="1668"/>
      <c r="F26" s="2011"/>
      <c r="G26" s="2406"/>
      <c r="H26" s="1670">
        <f>SUM(H720:H726)</f>
        <v>3392.16</v>
      </c>
      <c r="I26" s="893" t="str">
        <f>F720</f>
        <v>M</v>
      </c>
      <c r="J26" s="1666">
        <f>J719</f>
        <v>259559.26</v>
      </c>
      <c r="K26" s="1667">
        <f ca="1">K719</f>
        <v>7.0550513401050591E-2</v>
      </c>
      <c r="L26" s="1674" t="str">
        <f>IF(SUBTOTAL(109,J720:J750)=J26,"OK","ERRO")</f>
        <v>OK</v>
      </c>
      <c r="M26" s="1673" t="str">
        <f t="shared" ca="1" si="0"/>
        <v>OK</v>
      </c>
      <c r="N26" s="1757">
        <f>ROUND(SUM(O720:O726)/240,0)</f>
        <v>1</v>
      </c>
      <c r="O26" s="205"/>
    </row>
    <row r="27" spans="1:19" s="3" customFormat="1" ht="24.95" customHeight="1" x14ac:dyDescent="0.15">
      <c r="B27" s="1663">
        <f ca="1">A752</f>
        <v>10</v>
      </c>
      <c r="C27" s="1664" t="str">
        <f>D752</f>
        <v>PASSEIO COM ACESSIBILIDADE</v>
      </c>
      <c r="E27" s="1668"/>
      <c r="F27" s="2011"/>
      <c r="G27" s="2406"/>
      <c r="H27" s="1665">
        <f>H759</f>
        <v>5339.87</v>
      </c>
      <c r="I27" s="893" t="str">
        <f>F759</f>
        <v>M2</v>
      </c>
      <c r="J27" s="1666">
        <f>J752</f>
        <v>362370.94</v>
      </c>
      <c r="K27" s="1667">
        <f ca="1">K752</f>
        <v>9.8495641645076723E-2</v>
      </c>
      <c r="L27" s="1674" t="str">
        <f>IF(SUBTOTAL(109,J753:J794)=J27,"OK","ERRO")</f>
        <v>OK</v>
      </c>
      <c r="M27" s="1673" t="str">
        <f t="shared" ca="1" si="0"/>
        <v>OK</v>
      </c>
      <c r="N27" s="1757">
        <f>ROUND(SUM(O759:O763)/240,0)</f>
        <v>0</v>
      </c>
      <c r="O27" s="1671"/>
    </row>
    <row r="28" spans="1:19" s="3" customFormat="1" ht="24.95" hidden="1" customHeight="1" x14ac:dyDescent="0.15">
      <c r="B28" s="1663">
        <f ca="1">A796</f>
        <v>10</v>
      </c>
      <c r="C28" s="1664" t="str">
        <f>D796</f>
        <v>IMPLANTAÇÃO / ADEQUAÇÃO GEOMÉTRICA DE CICLOVIA</v>
      </c>
      <c r="E28" s="1668"/>
      <c r="F28" s="2011"/>
      <c r="G28" s="205"/>
      <c r="H28" s="1670">
        <f>Ciclovia!J2</f>
        <v>0</v>
      </c>
      <c r="I28" s="893" t="s">
        <v>953</v>
      </c>
      <c r="J28" s="1666">
        <f>J796</f>
        <v>0</v>
      </c>
      <c r="K28" s="1667">
        <f ca="1">K796</f>
        <v>0</v>
      </c>
      <c r="L28" s="1674" t="str">
        <f>IF(SUBTOTAL(109,J797:J856)=J28,"OK","ERRO")</f>
        <v>OK</v>
      </c>
      <c r="M28" s="1673" t="str">
        <f t="shared" ca="1" si="0"/>
        <v>OK</v>
      </c>
      <c r="N28" s="1757">
        <f>ROUND(SUM(O798:O820)/240,0)</f>
        <v>0</v>
      </c>
      <c r="O28" s="205"/>
    </row>
    <row r="29" spans="1:19" s="3" customFormat="1" ht="24.95" customHeight="1" x14ac:dyDescent="0.15">
      <c r="B29" s="1663">
        <f ca="1">A858</f>
        <v>11</v>
      </c>
      <c r="C29" s="1664" t="str">
        <f>D858</f>
        <v>SINALIZAÇÃO VIÁRIA DEFINITIVA HORIZONTAL E VERTICAL E DISPOSITIVOS DE SEGURANÇA</v>
      </c>
      <c r="E29" s="1668"/>
      <c r="F29" s="2011"/>
      <c r="G29" s="205"/>
      <c r="H29" s="1670">
        <f>SUM(H859:H869)</f>
        <v>148.22</v>
      </c>
      <c r="I29" s="893" t="str">
        <f>F859</f>
        <v>M2</v>
      </c>
      <c r="J29" s="1666">
        <f>J858</f>
        <v>52013.98</v>
      </c>
      <c r="K29" s="1667">
        <f ca="1">K858</f>
        <v>1.4137861978154727E-2</v>
      </c>
      <c r="L29" s="1672" t="str">
        <f>IF(SUBTOTAL(109,J859:J886)=J29,"OK","ERRO")</f>
        <v>OK</v>
      </c>
      <c r="M29" s="1673" t="str">
        <f t="shared" ca="1" si="0"/>
        <v>OK</v>
      </c>
      <c r="N29" s="1757"/>
      <c r="O29" s="205"/>
    </row>
    <row r="30" spans="1:19" s="3" customFormat="1" ht="24.95" customHeight="1" x14ac:dyDescent="0.15">
      <c r="B30" s="1663">
        <f ca="1">A888</f>
        <v>12</v>
      </c>
      <c r="C30" s="1664" t="str">
        <f>D888</f>
        <v>ADMINISTRAÇÃO LOCAL</v>
      </c>
      <c r="E30" s="1668"/>
      <c r="F30" s="2011"/>
      <c r="G30" s="1663"/>
      <c r="H30" s="1665">
        <f>S_Preliminares!N4</f>
        <v>6</v>
      </c>
      <c r="I30" s="893" t="s">
        <v>1947</v>
      </c>
      <c r="J30" s="1666">
        <f>J888</f>
        <v>167267.70000000001</v>
      </c>
      <c r="K30" s="1667">
        <f ca="1">K888</f>
        <v>4.54648472584369E-2</v>
      </c>
      <c r="L30" s="1672" t="str">
        <f>IF(SUBTOTAL(109,J889:J889)=J30,"OK","ERRO")</f>
        <v>OK</v>
      </c>
      <c r="M30" s="1673" t="str">
        <f t="shared" ca="1" si="0"/>
        <v>OK</v>
      </c>
      <c r="N30" s="1757"/>
      <c r="O30" s="1671"/>
    </row>
    <row r="31" spans="1:19" s="3" customFormat="1" ht="24.95" hidden="1" customHeight="1" x14ac:dyDescent="0.15">
      <c r="B31" s="1663">
        <f ca="1">A891</f>
        <v>12</v>
      </c>
      <c r="C31" s="1664" t="str">
        <f>D891</f>
        <v>SERVIÇOS DE ENGENHARIA</v>
      </c>
      <c r="E31" s="1668"/>
      <c r="F31" s="2011"/>
      <c r="G31" s="205"/>
      <c r="H31" s="1670">
        <f>H911+H918</f>
        <v>0</v>
      </c>
      <c r="I31" s="893" t="str">
        <f>F911</f>
        <v>m²</v>
      </c>
      <c r="J31" s="1666">
        <f>J891</f>
        <v>0</v>
      </c>
      <c r="K31" s="1667">
        <f ca="1">K891</f>
        <v>0</v>
      </c>
      <c r="L31" s="1674" t="str">
        <f>IF(SUBTOTAL(109,J892:J928)=J31,"OK","ERRO")</f>
        <v>OK</v>
      </c>
      <c r="M31" s="1673" t="str">
        <f t="shared" ca="1" si="0"/>
        <v>OK</v>
      </c>
      <c r="N31" s="1757"/>
      <c r="O31" s="205"/>
    </row>
    <row r="32" spans="1:19" s="832" customFormat="1" ht="24.95" customHeight="1" thickBot="1" x14ac:dyDescent="0.2">
      <c r="A32" s="891"/>
      <c r="C32" s="845"/>
      <c r="D32" s="821"/>
      <c r="E32" s="892"/>
      <c r="F32" s="892"/>
      <c r="G32" s="815"/>
      <c r="H32" s="906"/>
      <c r="I32" s="904"/>
      <c r="J32" s="905"/>
      <c r="K32" s="1612"/>
      <c r="L32" s="1674"/>
      <c r="M32" s="1673"/>
      <c r="N32" s="815"/>
      <c r="O32" s="815"/>
    </row>
    <row r="33" spans="1:25" s="832" customFormat="1" ht="50.1" customHeight="1" thickTop="1" thickBot="1" x14ac:dyDescent="0.2">
      <c r="A33" s="827" t="s">
        <v>31</v>
      </c>
      <c r="B33" s="828" t="s">
        <v>186</v>
      </c>
      <c r="C33" s="828" t="s">
        <v>187</v>
      </c>
      <c r="D33" s="829" t="s">
        <v>40</v>
      </c>
      <c r="E33" s="829" t="s">
        <v>32</v>
      </c>
      <c r="F33" s="829" t="s">
        <v>33</v>
      </c>
      <c r="G33" s="1806" t="s">
        <v>443</v>
      </c>
      <c r="H33" s="665" t="s">
        <v>336</v>
      </c>
      <c r="I33" s="830" t="s">
        <v>664</v>
      </c>
      <c r="J33" s="830" t="s">
        <v>665</v>
      </c>
      <c r="K33" s="831" t="s">
        <v>34</v>
      </c>
      <c r="L33" s="1624"/>
      <c r="M33" s="1584" t="s">
        <v>441</v>
      </c>
    </row>
    <row r="34" spans="1:25" s="832" customFormat="1" ht="24.95" customHeight="1" thickTop="1" x14ac:dyDescent="0.15">
      <c r="A34" s="2071">
        <v>1</v>
      </c>
      <c r="B34" s="1626"/>
      <c r="C34" s="1626"/>
      <c r="D34" s="1627" t="s">
        <v>35</v>
      </c>
      <c r="E34" s="1821"/>
      <c r="F34" s="1628"/>
      <c r="G34" s="1813" t="s">
        <v>644</v>
      </c>
      <c r="H34" s="1630"/>
      <c r="I34" s="1631" t="str">
        <f>CONCATENATE("SUB-TOTAL ",A34)</f>
        <v>SUB-TOTAL 1</v>
      </c>
      <c r="J34" s="1632">
        <f ca="1">SUM(J35:J61)</f>
        <v>171715.34999999998</v>
      </c>
      <c r="K34" s="2068">
        <f t="shared" ref="K34:K57" ca="1" si="1">J34/J$930</f>
        <v>4.6673758051787827E-2</v>
      </c>
      <c r="L34" s="1605">
        <f t="shared" ref="L34:L57" ca="1" si="2">J34/J$34</f>
        <v>1</v>
      </c>
      <c r="O34" s="812"/>
      <c r="P34" s="812"/>
      <c r="Q34" s="812"/>
      <c r="R34" s="812"/>
      <c r="S34" s="812"/>
      <c r="T34" s="812"/>
      <c r="U34" s="2336">
        <f ca="1">J35+J39+J40+J41+J42+J43+J45+J46+J47+J48+J49+J50+J52+J53+J57+J59+J61</f>
        <v>165718.14000000001</v>
      </c>
      <c r="V34" s="812"/>
      <c r="W34" s="812"/>
      <c r="X34" s="812"/>
      <c r="Y34" s="812"/>
    </row>
    <row r="35" spans="1:25" s="812" customFormat="1" ht="39.950000000000003" customHeight="1" x14ac:dyDescent="0.15">
      <c r="A35" s="2072">
        <f t="shared" ref="A35:A57" si="3">IF(H35&gt;0,A34+0.01,A34)</f>
        <v>1.01</v>
      </c>
      <c r="B35" s="833" t="s">
        <v>1646</v>
      </c>
      <c r="C35" s="2" t="str">
        <f>VLOOKUP($B35,[1]BOLETIM_SEL!$A:$H,2,0)</f>
        <v>COMPOSIÇÃO</v>
      </c>
      <c r="D35" s="315" t="str">
        <f>VLOOKUP($B35,[1]BOLETIM_SEL!$A:$H,4,0)</f>
        <v>Placa de identificação de obra pública, inclusive pintura e adesivos, estrutura e suporte de madeira. Incluso fornecimento de material e instalação. Ref SINAPI, CÓD 74209/001, DB 01/2020</v>
      </c>
      <c r="E35" s="2"/>
      <c r="F35" s="2" t="str">
        <f>VLOOKUP($B35,[1]BOLETIM_SEL!$A:$H,6,0)</f>
        <v>M2</v>
      </c>
      <c r="G35" s="1407">
        <f>VLOOKUP($B35,[1]BOLETIM_SEL!$A:$H,7,0)</f>
        <v>359.33</v>
      </c>
      <c r="H35" s="1608">
        <f>S_Preliminares!N3</f>
        <v>16</v>
      </c>
      <c r="I35" s="876">
        <f t="shared" ref="I35:I46" si="4">TRUNC(G35*(1+$J$5),2)</f>
        <v>438.38</v>
      </c>
      <c r="J35" s="1607">
        <f>TRUNC(H35*I35,2)</f>
        <v>7014.08</v>
      </c>
      <c r="K35" s="2069">
        <f t="shared" ca="1" si="1"/>
        <v>1.9064892735325292E-3</v>
      </c>
      <c r="L35" s="1570">
        <f t="shared" ca="1" si="2"/>
        <v>4.0847134516512361E-2</v>
      </c>
      <c r="M35" s="1442"/>
    </row>
    <row r="36" spans="1:25" s="812" customFormat="1" ht="39.950000000000003" hidden="1" customHeight="1" x14ac:dyDescent="0.15">
      <c r="A36" s="2072">
        <f t="shared" si="3"/>
        <v>1.01</v>
      </c>
      <c r="B36" s="833">
        <v>93207</v>
      </c>
      <c r="C36" s="2" t="str">
        <f>VLOOKUP($B36,[1]BOLETIM_SEL!$A:$H,2,0)</f>
        <v>SINAPI</v>
      </c>
      <c r="D36" s="315" t="str">
        <f>VLOOKUP($B36,[1]BOLETIM_SEL!$A:$H,4,0)</f>
        <v>Barracão de obra - Execução de escritório em canteiro de obra em chapa de madeira compensada, não incluso mobiliário e equipamentos. AF_02/2016</v>
      </c>
      <c r="E36" s="2"/>
      <c r="F36" s="2" t="str">
        <f>VLOOKUP($B36,[1]BOLETIM_SEL!$A:$H,6,0)</f>
        <v>M2</v>
      </c>
      <c r="G36" s="1407">
        <f>VLOOKUP($B36,[1]BOLETIM_SEL!$A:$H,7,0)</f>
        <v>1193.24</v>
      </c>
      <c r="H36" s="1608">
        <f>S_Preliminares!N5</f>
        <v>0</v>
      </c>
      <c r="I36" s="876">
        <f t="shared" si="4"/>
        <v>1455.75</v>
      </c>
      <c r="J36" s="1607">
        <f t="shared" ref="J36:J57" si="5">TRUNC(H36*I36,2)</f>
        <v>0</v>
      </c>
      <c r="K36" s="2069">
        <f t="shared" ca="1" si="1"/>
        <v>0</v>
      </c>
      <c r="L36" s="1570">
        <f t="shared" ca="1" si="2"/>
        <v>0</v>
      </c>
      <c r="M36" s="1442"/>
    </row>
    <row r="37" spans="1:25" s="812" customFormat="1" ht="39.950000000000003" hidden="1" customHeight="1" x14ac:dyDescent="0.15">
      <c r="A37" s="2072">
        <f t="shared" si="3"/>
        <v>1.01</v>
      </c>
      <c r="B37" s="833">
        <v>93584</v>
      </c>
      <c r="C37" s="2" t="str">
        <f>VLOOKUP($B37,[1]BOLETIM_SEL!$A:$H,2,0)</f>
        <v>SINAPI</v>
      </c>
      <c r="D37" s="315" t="str">
        <f>VLOOKUP($B37,[1]BOLETIM_SEL!$A:$H,4,0)</f>
        <v>Barracão de obra - Execução de depósito em canteiro de obra em chapa de madeira compensada, não incluso mobiliário. AF_04/2016</v>
      </c>
      <c r="E37" s="2"/>
      <c r="F37" s="2" t="str">
        <f>VLOOKUP($B37,[1]BOLETIM_SEL!$A:$H,6,0)</f>
        <v>M2</v>
      </c>
      <c r="G37" s="1407">
        <f>VLOOKUP($B37,[1]BOLETIM_SEL!$A:$H,7,0)</f>
        <v>936.19</v>
      </c>
      <c r="H37" s="1608">
        <f>S_Preliminares!N6</f>
        <v>0</v>
      </c>
      <c r="I37" s="876">
        <f t="shared" si="4"/>
        <v>1142.1500000000001</v>
      </c>
      <c r="J37" s="1607">
        <f t="shared" ref="J37:J43" si="6">TRUNC(H37*I37,2)</f>
        <v>0</v>
      </c>
      <c r="K37" s="2069">
        <f t="shared" ca="1" si="1"/>
        <v>0</v>
      </c>
      <c r="L37" s="1570">
        <f t="shared" ca="1" si="2"/>
        <v>0</v>
      </c>
      <c r="M37" s="1442"/>
    </row>
    <row r="38" spans="1:25" s="812" customFormat="1" ht="39.950000000000003" hidden="1" customHeight="1" x14ac:dyDescent="0.15">
      <c r="A38" s="2072">
        <f t="shared" si="3"/>
        <v>1.01</v>
      </c>
      <c r="B38" s="833">
        <v>93212</v>
      </c>
      <c r="C38" s="2" t="str">
        <f>VLOOKUP($B38,[1]BOLETIM_SEL!$A:$H,2,0)</f>
        <v>SINAPI</v>
      </c>
      <c r="D38" s="315" t="str">
        <f>VLOOKUP($B38,[1]BOLETIM_SEL!$A:$H,4,0)</f>
        <v>Barracão de obra - Execução de sanitário e vestiário em canteiro de obra em chapa de madeira compensada, não incluso mobiliário. AF_02/2016</v>
      </c>
      <c r="E38" s="2"/>
      <c r="F38" s="2" t="str">
        <f>VLOOKUP($B38,[1]BOLETIM_SEL!$A:$H,6,0)</f>
        <v>M2</v>
      </c>
      <c r="G38" s="1407">
        <f>VLOOKUP($B38,[1]BOLETIM_SEL!$A:$H,7,0)</f>
        <v>1033.9000000000001</v>
      </c>
      <c r="H38" s="1608">
        <f>S_Preliminares!N7</f>
        <v>0</v>
      </c>
      <c r="I38" s="876">
        <f t="shared" si="4"/>
        <v>1261.3499999999999</v>
      </c>
      <c r="J38" s="1607">
        <f t="shared" si="6"/>
        <v>0</v>
      </c>
      <c r="K38" s="2069">
        <f t="shared" ca="1" si="1"/>
        <v>0</v>
      </c>
      <c r="L38" s="1570">
        <f t="shared" ca="1" si="2"/>
        <v>0</v>
      </c>
      <c r="M38" s="1442"/>
    </row>
    <row r="39" spans="1:25" s="812" customFormat="1" ht="30" customHeight="1" x14ac:dyDescent="0.15">
      <c r="A39" s="2072">
        <f t="shared" ca="1" si="3"/>
        <v>1.02</v>
      </c>
      <c r="B39" s="833">
        <v>10775</v>
      </c>
      <c r="C39" s="2" t="str">
        <f>VLOOKUP($B39,[1]BOLETIM_SEL!$A:$H,2,0)</f>
        <v>SINAPI</v>
      </c>
      <c r="D39" s="315" t="str">
        <f>VLOOKUP($B39,[1]BOLETIM_SEL!$A:$H,4,0)</f>
        <v>Locação de container 2,30  x  6,00 m, alt. 2,50 m, com 1 sanitário, para escritório, completo, sem divisórias internas</v>
      </c>
      <c r="E39" s="2"/>
      <c r="F39" s="2" t="str">
        <f>VLOOKUP($B39,[1]BOLETIM_SEL!$A:$H,6,0)</f>
        <v xml:space="preserve">MES   </v>
      </c>
      <c r="G39" s="1407">
        <f>VLOOKUP($B39,[1]BOLETIM_SEL!$A:$H,7,0)</f>
        <v>895</v>
      </c>
      <c r="H39" s="1608">
        <f ca="1">S_Preliminares!N8</f>
        <v>6</v>
      </c>
      <c r="I39" s="876">
        <f t="shared" si="4"/>
        <v>1091.9000000000001</v>
      </c>
      <c r="J39" s="1607">
        <f t="shared" ca="1" si="6"/>
        <v>6551.4</v>
      </c>
      <c r="K39" s="2069">
        <f t="shared" ca="1" si="1"/>
        <v>1.7807287379985703E-3</v>
      </c>
      <c r="L39" s="1570">
        <f t="shared" ca="1" si="2"/>
        <v>3.8152675343235187E-2</v>
      </c>
      <c r="M39" s="1442"/>
    </row>
    <row r="40" spans="1:25" s="812" customFormat="1" ht="30" customHeight="1" x14ac:dyDescent="0.15">
      <c r="A40" s="2072">
        <f t="shared" ca="1" si="3"/>
        <v>1.03</v>
      </c>
      <c r="B40" s="833">
        <v>10776</v>
      </c>
      <c r="C40" s="2" t="str">
        <f>VLOOKUP($B40,[1]BOLETIM_SEL!$A:$H,2,0)</f>
        <v>SINAPI</v>
      </c>
      <c r="D40" s="315" t="str">
        <f>VLOOKUP($B40,[1]BOLETIM_SEL!$A:$H,4,0)</f>
        <v>Locação de container 2,30  x  6,00 m, alt. 2,50 m, para escritório, sem divisórias internas e sem sanitário</v>
      </c>
      <c r="E40" s="2"/>
      <c r="F40" s="2" t="str">
        <f>VLOOKUP($B40,[1]BOLETIM_SEL!$A:$H,6,0)</f>
        <v xml:space="preserve">MES   </v>
      </c>
      <c r="G40" s="1407">
        <f>VLOOKUP($B40,[1]BOLETIM_SEL!$A:$H,7,0)</f>
        <v>699.21</v>
      </c>
      <c r="H40" s="1608">
        <f ca="1">S_Preliminares!N9</f>
        <v>6</v>
      </c>
      <c r="I40" s="876">
        <f t="shared" si="4"/>
        <v>853.03</v>
      </c>
      <c r="J40" s="1607">
        <f t="shared" ca="1" si="6"/>
        <v>5118.18</v>
      </c>
      <c r="K40" s="2069">
        <f t="shared" ca="1" si="1"/>
        <v>1.3911668059116407E-3</v>
      </c>
      <c r="L40" s="1570">
        <f t="shared" ca="1" si="2"/>
        <v>2.9806187973294183E-2</v>
      </c>
      <c r="M40" s="1442"/>
    </row>
    <row r="41" spans="1:25" s="812" customFormat="1" ht="30" customHeight="1" x14ac:dyDescent="0.15">
      <c r="A41" s="2072">
        <f t="shared" ca="1" si="3"/>
        <v>1.04</v>
      </c>
      <c r="B41" s="833">
        <v>10777</v>
      </c>
      <c r="C41" s="2" t="str">
        <f>VLOOKUP($B41,[1]BOLETIM_SEL!$A:$H,2,0)</f>
        <v>SINAPI</v>
      </c>
      <c r="D41" s="315" t="str">
        <f>VLOOKUP($B41,[1]BOLETIM_SEL!$A:$H,4,0)</f>
        <v>Locação de container 2,30 x 4,30 m, alt. 2,50 m, para sanitário, com 3 bacias, 4 chuveiros, 1 lavatório e 1 mictório</v>
      </c>
      <c r="E41" s="2"/>
      <c r="F41" s="2" t="str">
        <f>VLOOKUP($B41,[1]BOLETIM_SEL!$A:$H,6,0)</f>
        <v xml:space="preserve">MES   </v>
      </c>
      <c r="G41" s="1407">
        <f>VLOOKUP($B41,[1]BOLETIM_SEL!$A:$H,7,0)</f>
        <v>1016.19</v>
      </c>
      <c r="H41" s="1608">
        <f ca="1">S_Preliminares!N10</f>
        <v>6</v>
      </c>
      <c r="I41" s="876">
        <f t="shared" si="4"/>
        <v>1239.75</v>
      </c>
      <c r="J41" s="1607">
        <f t="shared" ca="1" si="6"/>
        <v>7438.5</v>
      </c>
      <c r="K41" s="2069">
        <f t="shared" ca="1" si="1"/>
        <v>2.0218504010749406E-3</v>
      </c>
      <c r="L41" s="1570">
        <f t="shared" ca="1" si="2"/>
        <v>4.3318783090737091E-2</v>
      </c>
      <c r="M41" s="1442"/>
    </row>
    <row r="42" spans="1:25" s="812" customFormat="1" ht="30" customHeight="1" x14ac:dyDescent="0.15">
      <c r="A42" s="2072">
        <f t="shared" ca="1" si="3"/>
        <v>1.05</v>
      </c>
      <c r="B42" s="833">
        <v>93585</v>
      </c>
      <c r="C42" s="2" t="str">
        <f>VLOOKUP($B42,[1]BOLETIM_SEL!$A:$H,2,0)</f>
        <v>SINAPI</v>
      </c>
      <c r="D42" s="315" t="str">
        <f>VLOOKUP($B42,[1]BOLETIM_SEL!$A:$H,4,0)</f>
        <v>Execução de guarita em canteiro de obra em chapa de madeira compensada, não incluso mobiliário. AF_04/2016</v>
      </c>
      <c r="E42" s="2"/>
      <c r="F42" s="2" t="str">
        <f>VLOOKUP($B42,[1]BOLETIM_SEL!$A:$H,6,0)</f>
        <v>M2</v>
      </c>
      <c r="G42" s="1407">
        <f>VLOOKUP($B42,[1]BOLETIM_SEL!$A:$H,7,0)</f>
        <v>1308.3800000000001</v>
      </c>
      <c r="H42" s="1608">
        <f>S_Preliminares!N11</f>
        <v>4</v>
      </c>
      <c r="I42" s="876">
        <f t="shared" si="4"/>
        <v>1596.22</v>
      </c>
      <c r="J42" s="1607">
        <f t="shared" si="6"/>
        <v>6384.88</v>
      </c>
      <c r="K42" s="2069">
        <f t="shared" ca="1" si="1"/>
        <v>1.7354671222444534E-3</v>
      </c>
      <c r="L42" s="1570">
        <f t="shared" ca="1" si="2"/>
        <v>3.7182930937740867E-2</v>
      </c>
      <c r="M42" s="1442"/>
    </row>
    <row r="43" spans="1:25" s="812" customFormat="1" ht="39.950000000000003" customHeight="1" x14ac:dyDescent="0.15">
      <c r="A43" s="2072">
        <f t="shared" ca="1" si="3"/>
        <v>1.06</v>
      </c>
      <c r="B43" s="2" t="s">
        <v>2673</v>
      </c>
      <c r="C43" s="2" t="str">
        <f>VLOOKUP($B43,[1]BOLETIM_SEL!$A:$H,2,0)</f>
        <v>COMPOSIÇÃO</v>
      </c>
      <c r="D43" s="315" t="str">
        <f>VLOOKUP($B43,[1]BOLETIM_SEL!$A:$H,4,0)</f>
        <v>Aluguel de banheiro quimico, incluindo transporte de ida e volta, manutencao e higienizacao 3 vezes por semana. Modelo Luxo, dimensões 2,31 x 1,15 x 1,15m</v>
      </c>
      <c r="E43" s="2"/>
      <c r="F43" s="2" t="str">
        <f>VLOOKUP($B43,[1]BOLETIM_SEL!$A:$H,6,0)</f>
        <v>UN.MÊS</v>
      </c>
      <c r="G43" s="1407">
        <f>VLOOKUP($B43,[1]BOLETIM_SEL!$A:$H,7,0)</f>
        <v>1200</v>
      </c>
      <c r="H43" s="1608">
        <f>S_Preliminares!N12</f>
        <v>6</v>
      </c>
      <c r="I43" s="876">
        <f t="shared" si="4"/>
        <v>1464</v>
      </c>
      <c r="J43" s="1607">
        <f t="shared" si="6"/>
        <v>8784</v>
      </c>
      <c r="K43" s="2069">
        <f t="shared" ca="1" si="1"/>
        <v>2.3875692576517146E-3</v>
      </c>
      <c r="L43" s="1570">
        <f t="shared" ca="1" si="2"/>
        <v>5.1154425041209192E-2</v>
      </c>
      <c r="M43" s="1442"/>
    </row>
    <row r="44" spans="1:25" s="812" customFormat="1" ht="30" hidden="1" customHeight="1" x14ac:dyDescent="0.15">
      <c r="A44" s="2072">
        <f t="shared" ca="1" si="3"/>
        <v>1.06</v>
      </c>
      <c r="B44" s="833">
        <v>98459</v>
      </c>
      <c r="C44" s="2" t="str">
        <f>VLOOKUP($B44,[1]BOLETIM_SEL!$A:$H,2,0)</f>
        <v>SINAPI</v>
      </c>
      <c r="D44" s="315" t="str">
        <f>VLOOKUP($B44,[1]BOLETIM_SEL!$A:$H,4,0)</f>
        <v>Tapume com telha metálica, sem pintura, trapezoidal espessura 0,5 mm, colunas, bases e parafusos</v>
      </c>
      <c r="E44" s="2"/>
      <c r="F44" s="2" t="str">
        <f>VLOOKUP($B44,[1]BOLETIM_SEL!$A:$H,6,0)</f>
        <v>M2</v>
      </c>
      <c r="G44" s="1407">
        <f>VLOOKUP($B44,[1]BOLETIM_SEL!$A:$H,7,0)</f>
        <v>121.83</v>
      </c>
      <c r="H44" s="2183"/>
      <c r="I44" s="876">
        <f t="shared" si="4"/>
        <v>148.63</v>
      </c>
      <c r="J44" s="1607">
        <f t="shared" si="5"/>
        <v>0</v>
      </c>
      <c r="K44" s="2069">
        <f t="shared" ca="1" si="1"/>
        <v>0</v>
      </c>
      <c r="L44" s="1570">
        <f t="shared" ca="1" si="2"/>
        <v>0</v>
      </c>
      <c r="M44" s="1442"/>
    </row>
    <row r="45" spans="1:25" s="812" customFormat="1" ht="39.950000000000003" customHeight="1" x14ac:dyDescent="0.15">
      <c r="A45" s="2072">
        <f t="shared" ca="1" si="3"/>
        <v>1.07</v>
      </c>
      <c r="B45" s="833">
        <v>98525</v>
      </c>
      <c r="C45" s="2" t="str">
        <f>VLOOKUP($B45,[1]BOLETIM_SEL!$A:$H,2,0)</f>
        <v>SINAPI</v>
      </c>
      <c r="D45" s="315" t="str">
        <f>VLOOKUP($B45,[1]BOLETIM_SEL!$A:$H,4,0)</f>
        <v>Limpeza mecanizada de camada vegetal, vegetação e pequenas árvores (diâmetro nominal de tronco menor que 0,20 m), com trator de esteiras. AF_05/2018</v>
      </c>
      <c r="E45" s="2"/>
      <c r="F45" s="2" t="str">
        <f>VLOOKUP($B45,[1]BOLETIM_SEL!$A:$H,6,0)</f>
        <v>M2</v>
      </c>
      <c r="G45" s="1407">
        <f>VLOOKUP($B45,[1]BOLETIM_SEL!$A:$H,7,0)</f>
        <v>0.37</v>
      </c>
      <c r="H45" s="1608">
        <f>S_Preliminares!N15</f>
        <v>10000</v>
      </c>
      <c r="I45" s="876">
        <f t="shared" si="4"/>
        <v>0.45</v>
      </c>
      <c r="J45" s="1607">
        <f t="shared" ref="J45:J50" si="7">TRUNC(H45*I45,2)</f>
        <v>4500</v>
      </c>
      <c r="K45" s="2069">
        <f t="shared" ca="1" si="1"/>
        <v>1.2231399885510833E-3</v>
      </c>
      <c r="L45" s="1570">
        <f t="shared" ca="1" si="2"/>
        <v>2.6206160369471924E-2</v>
      </c>
      <c r="M45" s="1442"/>
    </row>
    <row r="46" spans="1:25" s="812" customFormat="1" ht="39.950000000000003" customHeight="1" x14ac:dyDescent="0.15">
      <c r="A46" s="2072">
        <f t="shared" ca="1" si="3"/>
        <v>1.08</v>
      </c>
      <c r="B46" s="2" t="s">
        <v>2399</v>
      </c>
      <c r="C46" s="2" t="str">
        <f>VLOOKUP($B46,[1]BOLETIM_SEL!$A:$H,2,0)</f>
        <v>COMPOSIÇÃO</v>
      </c>
      <c r="D46" s="315" t="str">
        <f>VLOOKUP($B46,[1]BOLETIM_SEL!$A:$H,4,0)</f>
        <v>Revestimento de pátio com pedra britada com espessura de 5 cm com regularização do terreno com motoniveladora. Exclusive transporte. (REF SINAPI COD 100575)</v>
      </c>
      <c r="E46" s="2"/>
      <c r="F46" s="2" t="str">
        <f>VLOOKUP($B46,[1]BOLETIM_SEL!$A:$H,6,0)</f>
        <v>M2</v>
      </c>
      <c r="G46" s="1407">
        <f>VLOOKUP($B46,[1]BOLETIM_SEL!$A:$H,7,0)</f>
        <v>5.44</v>
      </c>
      <c r="H46" s="1608">
        <f>S_Preliminares!N16</f>
        <v>2500</v>
      </c>
      <c r="I46" s="876">
        <f t="shared" si="4"/>
        <v>6.63</v>
      </c>
      <c r="J46" s="1607">
        <f t="shared" si="7"/>
        <v>16575</v>
      </c>
      <c r="K46" s="2069">
        <f t="shared" ca="1" si="1"/>
        <v>4.5052322911631566E-3</v>
      </c>
      <c r="L46" s="1570">
        <f t="shared" ca="1" si="2"/>
        <v>9.6526024027554919E-2</v>
      </c>
      <c r="M46" s="1442"/>
      <c r="O46" s="832"/>
      <c r="P46" s="832"/>
      <c r="Q46" s="832"/>
      <c r="R46" s="832"/>
      <c r="S46" s="832"/>
      <c r="T46" s="832"/>
      <c r="U46" s="832"/>
      <c r="V46" s="832"/>
      <c r="W46" s="832"/>
      <c r="X46" s="832"/>
    </row>
    <row r="47" spans="1:25" s="812" customFormat="1" ht="39.950000000000003" customHeight="1" x14ac:dyDescent="0.15">
      <c r="A47" s="2072">
        <f t="shared" ca="1" si="3"/>
        <v>1.0900000000000001</v>
      </c>
      <c r="B47" s="833" t="s">
        <v>1632</v>
      </c>
      <c r="C47" s="2" t="str">
        <f>VLOOKUP($B47,[1]BOLETIM_SEL!$A:$H,2,0)</f>
        <v>COMPOSIÇÃO</v>
      </c>
      <c r="D47" s="315" t="str">
        <f>VLOOKUP($B47,[1]BOLETIM_SEL!$A:$H,4,0)</f>
        <v>Cerca com mourões de madeira roliça Ø 11cm, espaçamento de 2,00m, altura livre de 1,50m, cravado 0,50m, com 5 fios de arame liso ovalado 15x17, conforme projeto</v>
      </c>
      <c r="E47" s="2"/>
      <c r="F47" s="2" t="str">
        <f>VLOOKUP($B47,[1]BOLETIM_SEL!$A:$H,6,0)</f>
        <v>M</v>
      </c>
      <c r="G47" s="1407">
        <f>VLOOKUP($B47,[1]BOLETIM_SEL!$A:$H,7,0)</f>
        <v>34.53</v>
      </c>
      <c r="H47" s="1608">
        <f>+S_Preliminares!N13</f>
        <v>400</v>
      </c>
      <c r="I47" s="876">
        <f t="shared" ref="I47:I57" si="8">TRUNC(G47*(1+$J$5),2)</f>
        <v>42.12</v>
      </c>
      <c r="J47" s="1607">
        <f t="shared" si="7"/>
        <v>16848</v>
      </c>
      <c r="K47" s="2069">
        <f t="shared" ca="1" si="1"/>
        <v>4.5794361171352556E-3</v>
      </c>
      <c r="L47" s="1570">
        <f t="shared" ca="1" si="2"/>
        <v>9.8115864423302876E-2</v>
      </c>
      <c r="M47" s="1442"/>
      <c r="O47" s="832"/>
      <c r="P47" s="832"/>
      <c r="Q47" s="832"/>
      <c r="R47" s="832"/>
      <c r="S47" s="832"/>
      <c r="T47" s="832"/>
      <c r="U47" s="832"/>
      <c r="V47" s="832"/>
      <c r="W47" s="832"/>
      <c r="X47" s="832"/>
    </row>
    <row r="48" spans="1:25" s="812" customFormat="1" ht="39.950000000000003" customHeight="1" x14ac:dyDescent="0.15">
      <c r="A48" s="2072">
        <f t="shared" ca="1" si="3"/>
        <v>1.1000000000000001</v>
      </c>
      <c r="B48" s="833" t="s">
        <v>1633</v>
      </c>
      <c r="C48" s="2" t="str">
        <f>VLOOKUP($B48,[1]BOLETIM_SEL!$A:$H,2,0)</f>
        <v>COMPOSIÇÃO</v>
      </c>
      <c r="D48" s="315" t="str">
        <f>VLOOKUP($B48,[1]BOLETIM_SEL!$A:$H,4,0)</f>
        <v>Portão para veículos em tela arame galvanizado n.12 malha 2" e moldura em tubos de aco com duas folhas de abrir, incluso ferragens (REF. SINAPI COD. 74238/2 - Descontinuado)</v>
      </c>
      <c r="E48" s="2"/>
      <c r="F48" s="2" t="str">
        <f>VLOOKUP($B48,[1]BOLETIM_SEL!$A:$H,6,0)</f>
        <v>M2</v>
      </c>
      <c r="G48" s="1407">
        <f>VLOOKUP($B48,[1]BOLETIM_SEL!$A:$H,7,0)</f>
        <v>999.41</v>
      </c>
      <c r="H48" s="1608">
        <f>S_Preliminares!N14</f>
        <v>7.2</v>
      </c>
      <c r="I48" s="876">
        <f t="shared" si="8"/>
        <v>1219.28</v>
      </c>
      <c r="J48" s="1607">
        <f t="shared" si="7"/>
        <v>8778.81</v>
      </c>
      <c r="K48" s="2069">
        <f t="shared" ca="1" si="1"/>
        <v>2.3861585695315853E-3</v>
      </c>
      <c r="L48" s="1570">
        <f t="shared" ca="1" si="2"/>
        <v>5.1124200602916399E-2</v>
      </c>
      <c r="M48" s="1442"/>
      <c r="O48" s="832"/>
      <c r="P48" s="832"/>
      <c r="Q48" s="832"/>
      <c r="R48" s="832"/>
      <c r="S48" s="832"/>
      <c r="T48" s="832"/>
      <c r="U48" s="832"/>
      <c r="V48" s="832"/>
      <c r="W48" s="832"/>
      <c r="X48" s="832"/>
    </row>
    <row r="49" spans="1:24" s="812" customFormat="1" ht="50.1" customHeight="1" x14ac:dyDescent="0.15">
      <c r="A49" s="2072">
        <f t="shared" ca="1" si="3"/>
        <v>1.1100000000000001</v>
      </c>
      <c r="B49" s="833" t="s">
        <v>188</v>
      </c>
      <c r="C49" s="2" t="str">
        <f>VLOOKUP($B49,[1]BOLETIM_SEL!$A:$H,2,0)</f>
        <v>COMPOSIÇÃO</v>
      </c>
      <c r="D49" s="315" t="str">
        <f>VLOOKUP($B49,[1]BOLETIM_SEL!$A:$H,4,0)</f>
        <v>Segurança de trânsito - sinalização de advertência de obra com placa (fundo laranja) sobre cavalete, conforme ABNT - NBR-7678 Segurança na execução de obras e serviços de construção Ministério do Trabalho e da Previdência Social - NB-26 - Sinalização De Segurança CONTRAN - Manual De Noções De Normas De Trânsito</v>
      </c>
      <c r="E49" s="2"/>
      <c r="F49" s="2" t="str">
        <f>VLOOKUP($B49,[1]BOLETIM_SEL!$A:$H,6,0)</f>
        <v>M2</v>
      </c>
      <c r="G49" s="1407">
        <f>VLOOKUP($B49,[1]BOLETIM_SEL!$A:$H,7,0)</f>
        <v>142.30000000000001</v>
      </c>
      <c r="H49" s="1608">
        <f ca="1">S_Preliminares!N18</f>
        <v>13</v>
      </c>
      <c r="I49" s="876">
        <f t="shared" si="8"/>
        <v>173.6</v>
      </c>
      <c r="J49" s="1607">
        <f t="shared" ca="1" si="7"/>
        <v>2256.8000000000002</v>
      </c>
      <c r="K49" s="2069">
        <f t="shared" ca="1" si="1"/>
        <v>6.1341829470268555E-4</v>
      </c>
      <c r="L49" s="1570">
        <f t="shared" ca="1" si="2"/>
        <v>1.3142680604849832E-2</v>
      </c>
      <c r="M49" s="1442"/>
      <c r="O49" s="832"/>
      <c r="P49" s="832"/>
      <c r="Q49" s="832"/>
      <c r="R49" s="832"/>
      <c r="S49" s="832"/>
      <c r="X49" s="815"/>
    </row>
    <row r="50" spans="1:24" s="812" customFormat="1" ht="30" customHeight="1" x14ac:dyDescent="0.15">
      <c r="A50" s="2072">
        <f t="shared" ca="1" si="3"/>
        <v>1.1200000000000001</v>
      </c>
      <c r="B50" s="833" t="s">
        <v>1647</v>
      </c>
      <c r="C50" s="2" t="str">
        <f>VLOOKUP($B50,[1]BOLETIM_SEL!$A:$H,2,0)</f>
        <v>COMPOSIÇÃO</v>
      </c>
      <c r="D50" s="315" t="str">
        <f>VLOOKUP($B50,[1]BOLETIM_SEL!$A:$H,4,0)</f>
        <v>Segurança de trânsito - sinalização de advertência de obra com elemento luminoso (balde vermelho)</v>
      </c>
      <c r="E50" s="2"/>
      <c r="F50" s="2" t="str">
        <f>VLOOKUP($B50,[1]BOLETIM_SEL!$A:$H,6,0)</f>
        <v>M</v>
      </c>
      <c r="G50" s="1407">
        <f>VLOOKUP($B50,[1]BOLETIM_SEL!$A:$H,7,0)</f>
        <v>3.42</v>
      </c>
      <c r="H50" s="1608">
        <f ca="1">S_Preliminares!N19</f>
        <v>302.41000000000003</v>
      </c>
      <c r="I50" s="876">
        <f t="shared" si="8"/>
        <v>4.17</v>
      </c>
      <c r="J50" s="1607">
        <f t="shared" ca="1" si="7"/>
        <v>1261.04</v>
      </c>
      <c r="K50" s="2069">
        <f t="shared" ca="1" si="1"/>
        <v>3.4276187803610175E-4</v>
      </c>
      <c r="L50" s="1570">
        <f t="shared" ca="1" si="2"/>
        <v>7.343781438293083E-3</v>
      </c>
      <c r="M50" s="1442"/>
      <c r="O50" s="832"/>
      <c r="P50" s="832"/>
      <c r="Q50" s="832"/>
      <c r="R50" s="832"/>
      <c r="S50" s="832"/>
      <c r="X50" s="832"/>
    </row>
    <row r="51" spans="1:24" s="812" customFormat="1" ht="39.950000000000003" hidden="1" customHeight="1" x14ac:dyDescent="0.15">
      <c r="A51" s="2072">
        <f t="shared" ca="1" si="3"/>
        <v>1.1200000000000001</v>
      </c>
      <c r="B51" s="2">
        <v>98458</v>
      </c>
      <c r="C51" s="2" t="str">
        <f>VLOOKUP($B51,[1]BOLETIM_SEL!$A:$H,2,0)</f>
        <v>SINAPI</v>
      </c>
      <c r="D51" s="315" t="str">
        <f>VLOOKUP($B51,[1]BOLETIM_SEL!$A:$H,4,0)</f>
        <v>Segurança de trânsito - tapume baixo removível de proteção para valas com chapas compensadas (6 mm). Exclusive pintura de sinalização de advertência</v>
      </c>
      <c r="E51" s="2"/>
      <c r="F51" s="2" t="str">
        <f>VLOOKUP($B51,[1]BOLETIM_SEL!$A:$H,6,0)</f>
        <v>M2</v>
      </c>
      <c r="G51" s="1407">
        <f>VLOOKUP($B51,[1]BOLETIM_SEL!$A:$H,7,0)</f>
        <v>155.34</v>
      </c>
      <c r="H51" s="1608"/>
      <c r="I51" s="876">
        <f t="shared" si="8"/>
        <v>189.51</v>
      </c>
      <c r="J51" s="1607">
        <f t="shared" si="5"/>
        <v>0</v>
      </c>
      <c r="K51" s="2069">
        <f t="shared" ca="1" si="1"/>
        <v>0</v>
      </c>
      <c r="L51" s="1570">
        <f t="shared" ca="1" si="2"/>
        <v>0</v>
      </c>
      <c r="M51" s="1442"/>
      <c r="O51" s="832"/>
      <c r="P51" s="832"/>
      <c r="Q51" s="832"/>
      <c r="R51" s="832"/>
      <c r="S51" s="832"/>
      <c r="X51" s="832"/>
    </row>
    <row r="52" spans="1:24" s="812" customFormat="1" ht="50.1" customHeight="1" x14ac:dyDescent="0.15">
      <c r="A52" s="2072">
        <f t="shared" ca="1" si="3"/>
        <v>1.1300000000000001</v>
      </c>
      <c r="B52" s="2" t="s">
        <v>1631</v>
      </c>
      <c r="C52" s="2" t="str">
        <f>VLOOKUP($B52,[1]BOLETIM_SEL!$A:$H,2,0)</f>
        <v>COMPOSIÇÃO</v>
      </c>
      <c r="D52" s="315" t="str">
        <f>VLOOKUP($B52,[1]BOLETIM_SEL!$A:$H,4,0)</f>
        <v>Segurança de trânsito - isolamento de obra com tela cerquite plática laranja conforme ABNT - NBR-7678 Segurança na execução de obras e serviços de construção Ministério do Trabalho e da Previdência Social - NB-26 - Sinalização De Segurança CONTRAN - Manual De Noções De Normas De Trânsito</v>
      </c>
      <c r="E52" s="2"/>
      <c r="F52" s="2" t="str">
        <f>VLOOKUP($B52,[1]BOLETIM_SEL!$A:$H,6,0)</f>
        <v>M</v>
      </c>
      <c r="G52" s="1407">
        <f>VLOOKUP($B52,[1]BOLETIM_SEL!$A:$H,7,0)</f>
        <v>10.210000000000001</v>
      </c>
      <c r="H52" s="1608">
        <f ca="1">S_Preliminares!N20</f>
        <v>650.77</v>
      </c>
      <c r="I52" s="876">
        <f t="shared" si="8"/>
        <v>12.45</v>
      </c>
      <c r="J52" s="1607">
        <f ca="1">TRUNC(H52*I52,2)</f>
        <v>8102.08</v>
      </c>
      <c r="K52" s="2069">
        <f t="shared" ca="1" si="1"/>
        <v>2.2022173418755468E-3</v>
      </c>
      <c r="L52" s="1570">
        <f t="shared" ca="1" si="2"/>
        <v>4.7183201734731353E-2</v>
      </c>
      <c r="M52" s="1442"/>
      <c r="O52" s="832"/>
      <c r="X52" s="832"/>
    </row>
    <row r="53" spans="1:24" s="812" customFormat="1" ht="30" customHeight="1" x14ac:dyDescent="0.15">
      <c r="A53" s="2072">
        <f t="shared" ca="1" si="3"/>
        <v>1.1400000000000001</v>
      </c>
      <c r="B53" s="2">
        <v>13244</v>
      </c>
      <c r="C53" s="2" t="str">
        <f>VLOOKUP($B53,[1]BOLETIM_SEL!$A:$H,2,0)</f>
        <v>SINAPI</v>
      </c>
      <c r="D53" s="315" t="str">
        <f>VLOOKUP($B53,[1]BOLETIM_SEL!$A:$H,4,0)</f>
        <v>Segurança de trânsito - cone de sinalização em pvc rígido com faixa refletiva, h = 70 / 76 cm</v>
      </c>
      <c r="E53" s="2"/>
      <c r="F53" s="2" t="str">
        <f>VLOOKUP($B53,[1]BOLETIM_SEL!$A:$H,6,0)</f>
        <v xml:space="preserve">UN    </v>
      </c>
      <c r="G53" s="1407">
        <f>VLOOKUP($B53,[1]BOLETIM_SEL!$A:$H,7,0)</f>
        <v>51.9</v>
      </c>
      <c r="H53" s="1608">
        <f ca="1">S_Preliminares!N21</f>
        <v>27</v>
      </c>
      <c r="I53" s="876">
        <f t="shared" si="8"/>
        <v>63.31</v>
      </c>
      <c r="J53" s="1607">
        <f ca="1">TRUNC(H53*I53,2)</f>
        <v>1709.37</v>
      </c>
      <c r="K53" s="2069">
        <f t="shared" ca="1" si="1"/>
        <v>4.6462195605101442E-4</v>
      </c>
      <c r="L53" s="1570">
        <f t="shared" ca="1" si="2"/>
        <v>9.9546720779476044E-3</v>
      </c>
      <c r="M53" s="1442"/>
      <c r="O53" s="832"/>
      <c r="X53" s="832"/>
    </row>
    <row r="54" spans="1:24" s="812" customFormat="1" ht="30" customHeight="1" x14ac:dyDescent="0.15">
      <c r="A54" s="2072">
        <f t="shared" ca="1" si="3"/>
        <v>1.1500000000000001</v>
      </c>
      <c r="B54" s="2" t="s">
        <v>980</v>
      </c>
      <c r="C54" s="2" t="str">
        <f>VLOOKUP($B54,[1]BOLETIM_SEL!$A:$H,2,0)</f>
        <v>COMPOSIÇÃO</v>
      </c>
      <c r="D54" s="315" t="str">
        <f>VLOOKUP($B54,[1]BOLETIM_SEL!$A:$H,4,0)</f>
        <v>Sondagem de investigação de interferências subterrâneas, incluindo escavações mecânica e manual e reaterro</v>
      </c>
      <c r="E54" s="2"/>
      <c r="F54" s="2" t="str">
        <f>VLOOKUP($B54,[1]BOLETIM_SEL!$A:$H,6,0)</f>
        <v xml:space="preserve">UN </v>
      </c>
      <c r="G54" s="1407">
        <f>VLOOKUP($B54,[1]BOLETIM_SEL!$A:$H,7,0)</f>
        <v>283.12</v>
      </c>
      <c r="H54" s="1608">
        <f ca="1">S_Preliminares!N22</f>
        <v>6</v>
      </c>
      <c r="I54" s="876">
        <f t="shared" si="8"/>
        <v>345.4</v>
      </c>
      <c r="J54" s="1607">
        <f ca="1">TRUNC(H54*I54,2)</f>
        <v>2072.4</v>
      </c>
      <c r="K54" s="2069">
        <f t="shared" ca="1" si="1"/>
        <v>5.6329673606072552E-4</v>
      </c>
      <c r="L54" s="1570">
        <f t="shared" ca="1" si="2"/>
        <v>1.2068810388820803E-2</v>
      </c>
      <c r="M54" s="1442"/>
      <c r="O54" s="832"/>
      <c r="X54" s="832"/>
    </row>
    <row r="55" spans="1:24" s="812" customFormat="1" ht="30" customHeight="1" x14ac:dyDescent="0.15">
      <c r="A55" s="2072">
        <f t="shared" ca="1" si="3"/>
        <v>1.1600000000000001</v>
      </c>
      <c r="B55" s="2" t="s">
        <v>981</v>
      </c>
      <c r="C55" s="2" t="str">
        <f>VLOOKUP($B55,[1]BOLETIM_SEL!$A:$H,2,0)</f>
        <v>COMPOSIÇÃO</v>
      </c>
      <c r="D55" s="315" t="str">
        <f>VLOOKUP($B55,[1]BOLETIM_SEL!$A:$H,4,0)</f>
        <v>Reparo em ramal de ligação predial de água</v>
      </c>
      <c r="E55" s="2"/>
      <c r="F55" s="2" t="str">
        <f>VLOOKUP($B55,[1]BOLETIM_SEL!$A:$H,6,0)</f>
        <v xml:space="preserve">UN </v>
      </c>
      <c r="G55" s="1407">
        <f>VLOOKUP($B55,[1]BOLETIM_SEL!$A:$H,7,0)</f>
        <v>245.88</v>
      </c>
      <c r="H55" s="1608">
        <f ca="1">S_Preliminares!N23</f>
        <v>12</v>
      </c>
      <c r="I55" s="876">
        <f t="shared" si="8"/>
        <v>299.97000000000003</v>
      </c>
      <c r="J55" s="1607">
        <f ca="1">TRUNC(H55*I55,2)</f>
        <v>3599.64</v>
      </c>
      <c r="K55" s="2069">
        <f t="shared" ca="1" si="1"/>
        <v>9.7841413964178245E-4</v>
      </c>
      <c r="L55" s="1570">
        <f t="shared" ca="1" si="2"/>
        <v>2.096283180274798E-2</v>
      </c>
      <c r="M55" s="1442"/>
      <c r="O55" s="832"/>
      <c r="P55" s="832"/>
      <c r="Q55" s="832"/>
      <c r="R55" s="832"/>
      <c r="S55" s="832"/>
      <c r="T55" s="832"/>
      <c r="U55" s="832"/>
      <c r="V55" s="832"/>
      <c r="W55" s="832"/>
      <c r="X55" s="832"/>
    </row>
    <row r="56" spans="1:24" s="812" customFormat="1" ht="30" customHeight="1" x14ac:dyDescent="0.15">
      <c r="A56" s="2072">
        <f t="shared" ca="1" si="3"/>
        <v>1.1700000000000002</v>
      </c>
      <c r="B56" s="864">
        <v>100575</v>
      </c>
      <c r="C56" s="2" t="str">
        <f>VLOOKUP($B56,[1]BOLETIM_SEL!$A:$H,2,0)</f>
        <v>SINAPI</v>
      </c>
      <c r="D56" s="315" t="str">
        <f>VLOOKUP($B56,[1]BOLETIM_SEL!$A:$H,4,0)</f>
        <v>Regularização de superfícies com motoniveladora. AF_11/2019</v>
      </c>
      <c r="E56" s="2"/>
      <c r="F56" s="2" t="str">
        <f>VLOOKUP($B56,[1]BOLETIM_SEL!$A:$H,6,0)</f>
        <v>M2</v>
      </c>
      <c r="G56" s="1407">
        <f>VLOOKUP($B56,[1]BOLETIM_SEL!$A:$H,7,0)</f>
        <v>0.12</v>
      </c>
      <c r="H56" s="1608">
        <f ca="1">S_Preliminares!N24</f>
        <v>2322.67</v>
      </c>
      <c r="I56" s="876">
        <f t="shared" si="8"/>
        <v>0.14000000000000001</v>
      </c>
      <c r="J56" s="1607">
        <f ca="1">TRUNC(H56*I56,2)</f>
        <v>325.17</v>
      </c>
      <c r="K56" s="2069">
        <f t="shared" ca="1" si="1"/>
        <v>8.8384095572701282E-5</v>
      </c>
      <c r="L56" s="1570">
        <f t="shared" ca="1" si="2"/>
        <v>1.8936571482980414E-3</v>
      </c>
      <c r="M56" s="1442"/>
      <c r="O56" s="832"/>
      <c r="P56" s="832"/>
      <c r="Q56" s="832"/>
      <c r="R56" s="832"/>
      <c r="S56" s="832"/>
      <c r="T56" s="832"/>
      <c r="U56" s="832"/>
      <c r="V56" s="832"/>
      <c r="W56" s="832"/>
      <c r="X56" s="832"/>
    </row>
    <row r="57" spans="1:24" s="812" customFormat="1" ht="39.950000000000003" customHeight="1" x14ac:dyDescent="0.15">
      <c r="A57" s="2072">
        <f t="shared" ca="1" si="3"/>
        <v>1.1800000000000002</v>
      </c>
      <c r="B57" s="833">
        <f>IF(AND(M57="ESCAVADEIRA",H57&lt;=50),100978,IF(AND(M57="ESCAVADEIRA",H57&gt;50),100979,IF(AND(M57="CARREGADEIRA",H57&lt;=50),100974,100975)))</f>
        <v>100979</v>
      </c>
      <c r="C57" s="2" t="str">
        <f>VLOOKUP($B57,[1]BOLETIM_SEL!$A:$H,2,0)</f>
        <v>SINAPI</v>
      </c>
      <c r="D57" s="315" t="str">
        <f>VLOOKUP($B57,[1]BOLETIM_SEL!$A:$H,4,0)</f>
        <v>Carga, manobra e descarga de solos e materiais granulares em caminhão basculante 14 m3 - carga com escavadeira hidráulica (capacidade da caçamba: 1,20 m3 / potência: 155 HP) e descarga livre (unidade: m3). AF_07/2020</v>
      </c>
      <c r="E57" s="2"/>
      <c r="F57" s="2" t="str">
        <f>VLOOKUP($B57,[1]BOLETIM_SEL!$A:$H,6,0)</f>
        <v>M3</v>
      </c>
      <c r="G57" s="1407">
        <f>VLOOKUP($B57,[1]BOLETIM_SEL!$A:$H,7,0)</f>
        <v>6.46</v>
      </c>
      <c r="H57" s="1608">
        <f>S_Preliminares!N25</f>
        <v>2000</v>
      </c>
      <c r="I57" s="876">
        <f t="shared" si="8"/>
        <v>7.88</v>
      </c>
      <c r="J57" s="1607">
        <f t="shared" si="5"/>
        <v>15760</v>
      </c>
      <c r="K57" s="2069">
        <f t="shared" ca="1" si="1"/>
        <v>4.2837080487922383E-3</v>
      </c>
      <c r="L57" s="1570">
        <f t="shared" ca="1" si="2"/>
        <v>9.1779797205083891E-2</v>
      </c>
      <c r="M57" s="1585" t="s">
        <v>2094</v>
      </c>
      <c r="O57" s="832"/>
      <c r="P57" s="832"/>
      <c r="Q57" s="832"/>
      <c r="R57" s="832"/>
      <c r="S57" s="832"/>
      <c r="T57" s="832"/>
      <c r="U57" s="832"/>
      <c r="V57" s="832"/>
      <c r="W57" s="832"/>
      <c r="X57" s="832"/>
    </row>
    <row r="58" spans="1:24" s="812" customFormat="1" ht="24.95" customHeight="1" x14ac:dyDescent="0.15">
      <c r="A58" s="2072"/>
      <c r="B58" s="833"/>
      <c r="C58" s="2"/>
      <c r="D58" s="1449" t="s">
        <v>1801</v>
      </c>
      <c r="E58" s="2"/>
      <c r="F58" s="2"/>
      <c r="G58" s="1407"/>
      <c r="H58" s="2"/>
      <c r="I58" s="2"/>
      <c r="J58" s="838" t="str">
        <f>IF(J59=0,"-","")</f>
        <v/>
      </c>
      <c r="K58" s="2069"/>
      <c r="L58" s="1570"/>
      <c r="M58" s="1442" t="s">
        <v>1944</v>
      </c>
      <c r="O58" s="832"/>
      <c r="P58" s="832"/>
      <c r="Q58" s="832"/>
      <c r="R58" s="832"/>
      <c r="S58" s="832"/>
      <c r="T58" s="832"/>
      <c r="U58" s="832"/>
      <c r="V58" s="832"/>
      <c r="W58" s="832"/>
      <c r="X58" s="832"/>
    </row>
    <row r="59" spans="1:24" s="812" customFormat="1" ht="39.950000000000003" customHeight="1" x14ac:dyDescent="0.15">
      <c r="A59" s="2072">
        <f ca="1">IF(H59&gt;0,A57+0.01,A57)</f>
        <v>1.1900000000000002</v>
      </c>
      <c r="B59" s="833">
        <f>IF(AND(M59&lt;=50,E59&lt;=30),95876,IF(AND(M59&lt;=50,E59&gt;30),93590,IF(AND(M59&gt;50,E59&lt;=30),95876,93593)))</f>
        <v>95876</v>
      </c>
      <c r="C59" s="2" t="str">
        <f>VLOOKUP($B59,[1]BOLETIM_SEL!$A:$H,2,0)</f>
        <v>SINAPI</v>
      </c>
      <c r="D59" s="315" t="str">
        <f>VLOOKUP($B59,[1]BOLETIM_SEL!$A:$H,4,0)</f>
        <v>Transporte com caminhão basculante de 14 m3, em via urbana pavimentada, DMT até 30,00 km (unidade: m3xkm). AF_07/2020</v>
      </c>
      <c r="E59" s="2">
        <f>Dados_DMT!$B$17</f>
        <v>8</v>
      </c>
      <c r="F59" s="2" t="str">
        <f>VLOOKUP($B59,[1]BOLETIM_SEL!$A:$H,6,0)</f>
        <v>M3XKM</v>
      </c>
      <c r="G59" s="1407">
        <f>VLOOKUP($B59,[1]BOLETIM_SEL!$A:$H,7,0)</f>
        <v>2.0699999999999998</v>
      </c>
      <c r="H59" s="1608">
        <f>ROUND(H57*E59,2)</f>
        <v>16000</v>
      </c>
      <c r="I59" s="876">
        <f>TRUNC(G59*(1+$J$5),2)</f>
        <v>2.52</v>
      </c>
      <c r="J59" s="1607">
        <f>TRUNC(H59*I59,2)</f>
        <v>40320</v>
      </c>
      <c r="K59" s="2069">
        <f ca="1">J59/J$930</f>
        <v>1.0959334297417706E-2</v>
      </c>
      <c r="L59" s="1570">
        <f ca="1">J59/J$34</f>
        <v>0.23480719691046842</v>
      </c>
      <c r="M59" s="1450">
        <f>IF(H59=0,0,H59/E59)</f>
        <v>2000</v>
      </c>
      <c r="O59" s="1414"/>
      <c r="P59" s="832"/>
      <c r="Q59" s="832"/>
      <c r="R59" s="832"/>
      <c r="S59" s="832"/>
      <c r="T59" s="832"/>
      <c r="U59" s="832"/>
      <c r="V59" s="832"/>
      <c r="W59" s="832"/>
      <c r="X59" s="832"/>
    </row>
    <row r="60" spans="1:24" s="812" customFormat="1" ht="24.95" customHeight="1" x14ac:dyDescent="0.15">
      <c r="A60" s="2072"/>
      <c r="B60" s="833"/>
      <c r="C60" s="2"/>
      <c r="D60" s="1449" t="s">
        <v>2178</v>
      </c>
      <c r="E60" s="2"/>
      <c r="F60" s="2"/>
      <c r="G60" s="1407"/>
      <c r="H60" s="2"/>
      <c r="I60" s="2"/>
      <c r="J60" s="838" t="str">
        <f>IF(J61=0,"-","")</f>
        <v/>
      </c>
      <c r="K60" s="2069"/>
      <c r="L60" s="1570"/>
      <c r="M60" s="1442" t="s">
        <v>1944</v>
      </c>
      <c r="O60" s="832"/>
      <c r="P60" s="832"/>
      <c r="Q60" s="832"/>
      <c r="R60" s="832"/>
      <c r="S60" s="832"/>
      <c r="T60" s="832"/>
      <c r="U60" s="832"/>
      <c r="V60" s="832"/>
      <c r="W60" s="832"/>
      <c r="X60" s="832"/>
    </row>
    <row r="61" spans="1:24" s="812" customFormat="1" ht="39.950000000000003" customHeight="1" x14ac:dyDescent="0.15">
      <c r="A61" s="2072">
        <f ca="1">IF(H61&gt;0,A59+0.01,A59)</f>
        <v>1.2000000000000002</v>
      </c>
      <c r="B61" s="833">
        <f>IF(AND(M61&lt;=50,E61&lt;=30),95876,IF(AND(M61&lt;=50,E61&gt;30),93590,IF(AND(M61&gt;50,E61&lt;=30),95876,93593)))</f>
        <v>95876</v>
      </c>
      <c r="C61" s="2" t="str">
        <f>VLOOKUP($B61,[1]BOLETIM_SEL!$A:$H,2,0)</f>
        <v>SINAPI</v>
      </c>
      <c r="D61" s="315" t="str">
        <f>VLOOKUP($B61,[1]BOLETIM_SEL!$A:$H,4,0)</f>
        <v>Transporte com caminhão basculante de 14 m3, em via urbana pavimentada, DMT até 30,00 km (unidade: m3xkm). AF_07/2020</v>
      </c>
      <c r="E61" s="2">
        <f>Dados_DMT!$B$34</f>
        <v>24</v>
      </c>
      <c r="F61" s="2" t="str">
        <f>VLOOKUP($B61,[1]BOLETIM_SEL!$A:$H,6,0)</f>
        <v>M3XKM</v>
      </c>
      <c r="G61" s="1407">
        <f>VLOOKUP($B61,[1]BOLETIM_SEL!$A:$H,7,0)</f>
        <v>2.0699999999999998</v>
      </c>
      <c r="H61" s="1608">
        <f>ROUND(S_Preliminares!N17*1.1*E61,2)</f>
        <v>3300</v>
      </c>
      <c r="I61" s="876">
        <f>TRUNC(G61*(1+$J$5),2)</f>
        <v>2.52</v>
      </c>
      <c r="J61" s="1607">
        <f>TRUNC(H61*I61,2)</f>
        <v>8316</v>
      </c>
      <c r="K61" s="2069">
        <f ca="1">J61/J$930</f>
        <v>2.2603626988424016E-3</v>
      </c>
      <c r="L61" s="1570">
        <f ca="1">J61/J$34</f>
        <v>4.8428984362784117E-2</v>
      </c>
      <c r="M61" s="1450">
        <f>IF(H61=0,0,H61/E61)</f>
        <v>137.5</v>
      </c>
      <c r="O61" s="1414"/>
      <c r="P61" s="832"/>
      <c r="Q61" s="832"/>
      <c r="R61" s="832"/>
      <c r="S61" s="832"/>
      <c r="T61" s="832"/>
      <c r="U61" s="832"/>
      <c r="V61" s="832"/>
      <c r="W61" s="832"/>
      <c r="X61" s="832"/>
    </row>
    <row r="62" spans="1:24" s="812" customFormat="1" ht="24.95" customHeight="1" x14ac:dyDescent="0.15">
      <c r="A62" s="2072"/>
      <c r="B62" s="833"/>
      <c r="C62" s="833"/>
      <c r="D62" s="834"/>
      <c r="E62" s="2"/>
      <c r="F62" s="833"/>
      <c r="G62" s="1814"/>
      <c r="H62" s="1"/>
      <c r="I62" s="876"/>
      <c r="J62" s="838" t="str">
        <f ca="1">IF(J34=0,0,"")</f>
        <v/>
      </c>
      <c r="K62" s="2069"/>
      <c r="L62" s="1570"/>
      <c r="M62" s="1443"/>
      <c r="O62" s="832"/>
      <c r="P62" s="832"/>
      <c r="Q62" s="832"/>
      <c r="R62" s="832"/>
      <c r="S62" s="832"/>
      <c r="T62" s="832"/>
      <c r="U62" s="832"/>
      <c r="V62" s="832"/>
      <c r="W62" s="832"/>
      <c r="X62" s="832"/>
    </row>
    <row r="63" spans="1:24" s="832" customFormat="1" ht="24.95" customHeight="1" x14ac:dyDescent="0.15">
      <c r="A63" s="2073">
        <f ca="1">IF(J63&gt;0,INT(A61)+1,IF(J63=0,INT(A61),0))</f>
        <v>2</v>
      </c>
      <c r="B63" s="1626"/>
      <c r="C63" s="1626"/>
      <c r="D63" s="1627" t="s">
        <v>1648</v>
      </c>
      <c r="E63" s="1821"/>
      <c r="F63" s="1628"/>
      <c r="G63" s="1813" t="s">
        <v>1670</v>
      </c>
      <c r="H63" s="1630"/>
      <c r="I63" s="1633" t="str">
        <f ca="1">CONCATENATE("SUB-TOTAL ",A63)</f>
        <v>SUB-TOTAL 2</v>
      </c>
      <c r="J63" s="1632">
        <f>SUM(J64:J98)</f>
        <v>39105.550000000003</v>
      </c>
      <c r="K63" s="2070">
        <f t="shared" ref="K63:K90" ca="1" si="9">J63/J$930</f>
        <v>1.0629235995396403E-2</v>
      </c>
      <c r="L63" s="1605">
        <f t="shared" ref="L63:L90" si="10">J63/$J$63</f>
        <v>1</v>
      </c>
      <c r="N63" s="1648" t="s">
        <v>1951</v>
      </c>
      <c r="O63" s="1648" t="s">
        <v>1977</v>
      </c>
      <c r="U63" s="1809">
        <f>J65+J71+J73+J88+J94</f>
        <v>32180.879999999997</v>
      </c>
    </row>
    <row r="64" spans="1:24" s="812" customFormat="1" ht="30" hidden="1" customHeight="1" x14ac:dyDescent="0.15">
      <c r="A64" s="2072">
        <f t="shared" ref="A64:A90" ca="1" si="11">IF(H64&gt;0,A63+0.01,A63)</f>
        <v>2</v>
      </c>
      <c r="B64" s="833" t="s">
        <v>1649</v>
      </c>
      <c r="C64" s="2" t="str">
        <f>VLOOKUP($B64,[1]BOLETIM_SEL!$A:$H,2,0)</f>
        <v>COMPOSIÇÃO</v>
      </c>
      <c r="D64" s="315" t="str">
        <f>VLOOKUP($B64,[1]BOLETIM_SEL!$A:$H,4,0)</f>
        <v>Demolição de concreto simples, de forma manual, sem reaproveitamento (REF. SICRO COD. 1600436)</v>
      </c>
      <c r="E64" s="2"/>
      <c r="F64" s="2" t="str">
        <f>VLOOKUP($B64,[1]BOLETIM_SEL!$A:$H,6,0)</f>
        <v>M3</v>
      </c>
      <c r="G64" s="1407">
        <f>VLOOKUP($B64,[1]BOLETIM_SEL!$A:$H,7,0)</f>
        <v>277.85000000000002</v>
      </c>
      <c r="H64" s="1608">
        <f>Demolicao!M5</f>
        <v>0</v>
      </c>
      <c r="I64" s="876">
        <f t="shared" ref="I64:I90" si="12">TRUNC(G64*(1+$J$5),2)</f>
        <v>338.97</v>
      </c>
      <c r="J64" s="1607">
        <f t="shared" ref="J64:J75" si="13">TRUNC(H64*I64,2)</f>
        <v>0</v>
      </c>
      <c r="K64" s="2069">
        <f t="shared" ca="1" si="9"/>
        <v>0</v>
      </c>
      <c r="L64" s="1570">
        <f t="shared" si="10"/>
        <v>0</v>
      </c>
      <c r="M64" s="1443"/>
      <c r="N64" s="1647">
        <f>VLOOKUP($B64,[1]BOLETIM_SEL!$A:$H,3,0)</f>
        <v>0.08</v>
      </c>
      <c r="O64" s="1645">
        <f t="shared" ref="O64:O73" si="14">H64/N64</f>
        <v>0</v>
      </c>
      <c r="Q64" s="832"/>
      <c r="R64" s="832"/>
      <c r="S64" s="832"/>
      <c r="T64" s="832"/>
      <c r="U64" s="832"/>
      <c r="V64" s="832"/>
      <c r="W64" s="832"/>
      <c r="X64" s="832"/>
    </row>
    <row r="65" spans="1:24" s="812" customFormat="1" ht="39.950000000000003" customHeight="1" x14ac:dyDescent="0.15">
      <c r="A65" s="2072">
        <f t="shared" ca="1" si="11"/>
        <v>2.0099999999999998</v>
      </c>
      <c r="B65" s="833" t="s">
        <v>1650</v>
      </c>
      <c r="C65" s="2" t="str">
        <f>VLOOKUP($B65,[1]BOLETIM_SEL!$A:$H,2,0)</f>
        <v>COMPOSIÇÃO</v>
      </c>
      <c r="D65" s="315" t="str">
        <f>VLOOKUP($B65,[1]BOLETIM_SEL!$A:$H,4,0)</f>
        <v>Demolição de concreto simples, de forma mecanizada, sem reaproveitamento (REF. SICRO COD. 1600989, db 01-2023)</v>
      </c>
      <c r="E65" s="2"/>
      <c r="F65" s="2" t="str">
        <f>VLOOKUP($B65,[1]BOLETIM_SEL!$A:$H,6,0)</f>
        <v>M3</v>
      </c>
      <c r="G65" s="1407">
        <f>VLOOKUP($B65,[1]BOLETIM_SEL!$A:$H,7,0)</f>
        <v>251.87</v>
      </c>
      <c r="H65" s="1608">
        <f>Demolicao!M10</f>
        <v>76.150000000000006</v>
      </c>
      <c r="I65" s="876">
        <f t="shared" si="12"/>
        <v>307.27999999999997</v>
      </c>
      <c r="J65" s="1607">
        <f t="shared" si="13"/>
        <v>23399.37</v>
      </c>
      <c r="K65" s="2069">
        <f t="shared" ca="1" si="9"/>
        <v>6.3601567008672354E-3</v>
      </c>
      <c r="L65" s="1570">
        <f t="shared" si="10"/>
        <v>0.59836442653280664</v>
      </c>
      <c r="M65" s="1443"/>
      <c r="N65" s="1647">
        <f>VLOOKUP($B65,[1]BOLETIM_SEL!$A:$H,3,0)</f>
        <v>0.6</v>
      </c>
      <c r="O65" s="1645">
        <f t="shared" si="14"/>
        <v>126.91666666666669</v>
      </c>
      <c r="Q65" s="832"/>
      <c r="R65" s="832"/>
      <c r="S65" s="832"/>
      <c r="T65" s="832"/>
      <c r="U65" s="832"/>
      <c r="V65" s="832"/>
      <c r="W65" s="832"/>
      <c r="X65" s="832"/>
    </row>
    <row r="66" spans="1:24" s="812" customFormat="1" ht="30" hidden="1" customHeight="1" x14ac:dyDescent="0.15">
      <c r="A66" s="2072">
        <f t="shared" ca="1" si="11"/>
        <v>2.0099999999999998</v>
      </c>
      <c r="B66" s="833" t="s">
        <v>1651</v>
      </c>
      <c r="C66" s="2" t="str">
        <f>VLOOKUP($B66,[1]BOLETIM_SEL!$A:$H,2,0)</f>
        <v>COMPOSIÇÃO</v>
      </c>
      <c r="D66" s="315" t="str">
        <f>VLOOKUP($B66,[1]BOLETIM_SEL!$A:$H,4,0)</f>
        <v>Demolição de concreto armado, de forma manual, sem reaproveitamento (REF. SICRO COD. 1600438)</v>
      </c>
      <c r="E66" s="2"/>
      <c r="F66" s="2" t="str">
        <f>VLOOKUP($B66,[1]BOLETIM_SEL!$A:$H,6,0)</f>
        <v>M3</v>
      </c>
      <c r="G66" s="1407">
        <f>VLOOKUP($B66,[1]BOLETIM_SEL!$A:$H,7,0)</f>
        <v>444.56</v>
      </c>
      <c r="H66" s="1608">
        <f>Demolicao!M15</f>
        <v>0</v>
      </c>
      <c r="I66" s="876">
        <f t="shared" si="12"/>
        <v>542.36</v>
      </c>
      <c r="J66" s="1607">
        <f t="shared" si="13"/>
        <v>0</v>
      </c>
      <c r="K66" s="2069">
        <f t="shared" ca="1" si="9"/>
        <v>0</v>
      </c>
      <c r="L66" s="1570">
        <f t="shared" si="10"/>
        <v>0</v>
      </c>
      <c r="M66" s="1443"/>
      <c r="N66" s="1647">
        <f>VLOOKUP($B66,[1]BOLETIM_SEL!$A:$H,3,0)</f>
        <v>0.05</v>
      </c>
      <c r="O66" s="1645">
        <f t="shared" si="14"/>
        <v>0</v>
      </c>
      <c r="Q66" s="832"/>
      <c r="R66" s="832"/>
      <c r="S66" s="832"/>
      <c r="T66" s="832"/>
      <c r="U66" s="832"/>
      <c r="V66" s="832"/>
      <c r="W66" s="832"/>
      <c r="X66" s="832"/>
    </row>
    <row r="67" spans="1:24" s="812" customFormat="1" ht="30" hidden="1" customHeight="1" x14ac:dyDescent="0.15">
      <c r="A67" s="2072">
        <f t="shared" ca="1" si="11"/>
        <v>2.0099999999999998</v>
      </c>
      <c r="B67" s="833" t="s">
        <v>1652</v>
      </c>
      <c r="C67" s="2" t="str">
        <f>VLOOKUP($B67,[1]BOLETIM_SEL!$A:$H,2,0)</f>
        <v>COMPOSIÇÃO</v>
      </c>
      <c r="D67" s="315" t="str">
        <f>VLOOKUP($B67,[1]BOLETIM_SEL!$A:$H,4,0)</f>
        <v>Demolição de concreto armado, de forma mecanizada, sem reaproveitamento (REF. SICRO COD. 1619003)</v>
      </c>
      <c r="E67" s="2"/>
      <c r="F67" s="2" t="str">
        <f>VLOOKUP($B67,[1]BOLETIM_SEL!$A:$H,6,0)</f>
        <v>M3</v>
      </c>
      <c r="G67" s="1407">
        <f>VLOOKUP($B67,[1]BOLETIM_SEL!$A:$H,7,0)</f>
        <v>160.36000000000001</v>
      </c>
      <c r="H67" s="1608">
        <f>Demolicao!M20</f>
        <v>0</v>
      </c>
      <c r="I67" s="876">
        <f t="shared" si="12"/>
        <v>195.63</v>
      </c>
      <c r="J67" s="1607">
        <f t="shared" si="13"/>
        <v>0</v>
      </c>
      <c r="K67" s="2069">
        <f t="shared" ca="1" si="9"/>
        <v>0</v>
      </c>
      <c r="L67" s="1570">
        <f t="shared" si="10"/>
        <v>0</v>
      </c>
      <c r="M67" s="1443"/>
      <c r="N67" s="1647">
        <f>VLOOKUP($B67,[1]BOLETIM_SEL!$A:$H,3,0)</f>
        <v>4.7699999999999996</v>
      </c>
      <c r="O67" s="1645">
        <f t="shared" si="14"/>
        <v>0</v>
      </c>
      <c r="Q67" s="832"/>
      <c r="R67" s="832"/>
      <c r="S67" s="832"/>
      <c r="T67" s="832"/>
      <c r="U67" s="832"/>
      <c r="V67" s="832"/>
      <c r="W67" s="832"/>
      <c r="X67" s="832"/>
    </row>
    <row r="68" spans="1:24" s="812" customFormat="1" ht="30" hidden="1" customHeight="1" x14ac:dyDescent="0.15">
      <c r="A68" s="2072">
        <f t="shared" ca="1" si="11"/>
        <v>2.0099999999999998</v>
      </c>
      <c r="B68" s="833">
        <v>97624</v>
      </c>
      <c r="C68" s="2" t="str">
        <f>VLOOKUP($B68,[1]BOLETIM_SEL!$A:$H,2,0)</f>
        <v>SINAPI</v>
      </c>
      <c r="D68" s="315" t="str">
        <f>VLOOKUP($B68,[1]BOLETIM_SEL!$A:$H,4,0)</f>
        <v>Demolição de alvenaria de tijolo maciço, de forma manual, sem reaproveitamento. AF_12/2017</v>
      </c>
      <c r="E68" s="2"/>
      <c r="F68" s="2" t="str">
        <f>VLOOKUP($B68,[1]BOLETIM_SEL!$A:$H,6,0)</f>
        <v>M3</v>
      </c>
      <c r="G68" s="1407">
        <f>VLOOKUP($B68,[1]BOLETIM_SEL!$A:$H,7,0)</f>
        <v>96.79</v>
      </c>
      <c r="H68" s="1608">
        <f>Demolicao!M25</f>
        <v>0</v>
      </c>
      <c r="I68" s="876">
        <f t="shared" si="12"/>
        <v>118.08</v>
      </c>
      <c r="J68" s="1607">
        <f t="shared" si="13"/>
        <v>0</v>
      </c>
      <c r="K68" s="2069">
        <f t="shared" ca="1" si="9"/>
        <v>0</v>
      </c>
      <c r="L68" s="1570">
        <f t="shared" si="10"/>
        <v>0</v>
      </c>
      <c r="M68" s="1443"/>
      <c r="N68" s="1647">
        <f>VLOOKUP($B68,[1]BOLETIM_SEL!$A:$H,3,0)</f>
        <v>2.36</v>
      </c>
      <c r="O68" s="1645">
        <f t="shared" si="14"/>
        <v>0</v>
      </c>
      <c r="Q68" s="832"/>
      <c r="R68" s="832"/>
      <c r="S68" s="832"/>
      <c r="T68" s="832"/>
      <c r="U68" s="832"/>
      <c r="V68" s="832"/>
      <c r="W68" s="832"/>
      <c r="X68" s="832"/>
    </row>
    <row r="69" spans="1:24" s="812" customFormat="1" ht="30" hidden="1" customHeight="1" x14ac:dyDescent="0.15">
      <c r="A69" s="2072">
        <f t="shared" ca="1" si="11"/>
        <v>2.0099999999999998</v>
      </c>
      <c r="B69" s="833" t="s">
        <v>1655</v>
      </c>
      <c r="C69" s="2" t="str">
        <f>VLOOKUP($B69,[1]BOLETIM_SEL!$A:$H,2,0)</f>
        <v>COMPOSIÇÃO</v>
      </c>
      <c r="D69" s="315" t="str">
        <f>VLOOKUP($B69,[1]BOLETIM_SEL!$A:$H,4,0)</f>
        <v>Demolição de alvenaria de pedra, de forma manual, com reaproveitamento</v>
      </c>
      <c r="E69" s="2"/>
      <c r="F69" s="2" t="str">
        <f>VLOOKUP($B69,[1]BOLETIM_SEL!$A:$H,6,0)</f>
        <v>M3</v>
      </c>
      <c r="G69" s="1407">
        <f>VLOOKUP($B69,[1]BOLETIM_SEL!$A:$H,7,0)</f>
        <v>88.91</v>
      </c>
      <c r="H69" s="1608">
        <f>Demolicao!M30</f>
        <v>0</v>
      </c>
      <c r="I69" s="876">
        <f t="shared" si="12"/>
        <v>108.47</v>
      </c>
      <c r="J69" s="1607">
        <f t="shared" si="13"/>
        <v>0</v>
      </c>
      <c r="K69" s="2069">
        <f t="shared" ca="1" si="9"/>
        <v>0</v>
      </c>
      <c r="L69" s="1570">
        <f t="shared" si="10"/>
        <v>0</v>
      </c>
      <c r="M69" s="1443"/>
      <c r="N69" s="1647">
        <f>VLOOKUP($B69,[1]BOLETIM_SEL!$A:$H,3,0)</f>
        <v>2.5</v>
      </c>
      <c r="O69" s="1645">
        <f t="shared" si="14"/>
        <v>0</v>
      </c>
      <c r="Q69" s="832"/>
      <c r="R69" s="832"/>
      <c r="S69" s="832"/>
      <c r="T69" s="832"/>
      <c r="U69" s="832"/>
      <c r="V69" s="832"/>
      <c r="W69" s="832"/>
      <c r="X69" s="832"/>
    </row>
    <row r="70" spans="1:24" s="812" customFormat="1" ht="30" hidden="1" customHeight="1" x14ac:dyDescent="0.15">
      <c r="A70" s="2072">
        <f t="shared" ca="1" si="11"/>
        <v>2.0099999999999998</v>
      </c>
      <c r="B70" s="833" t="s">
        <v>1653</v>
      </c>
      <c r="C70" s="2" t="str">
        <f>VLOOKUP($B70,[1]BOLETIM_SEL!$A:$H,2,0)</f>
        <v>COMPOSIÇÃO</v>
      </c>
      <c r="D70" s="315" t="str">
        <f>VLOOKUP($B70,[1]BOLETIM_SEL!$A:$H,4,0)</f>
        <v>Demolição de piso em ladrilho, de forma mecanizada, sem reaproveitamento (REF. SINAPI COD. 97634)</v>
      </c>
      <c r="E70" s="2"/>
      <c r="F70" s="2" t="str">
        <f>VLOOKUP($B70,[1]BOLETIM_SEL!$A:$H,6,0)</f>
        <v>M2</v>
      </c>
      <c r="G70" s="1407">
        <f>VLOOKUP($B70,[1]BOLETIM_SEL!$A:$H,7,0)</f>
        <v>12.23</v>
      </c>
      <c r="H70" s="1608">
        <f>Demolicao!M34</f>
        <v>0</v>
      </c>
      <c r="I70" s="876">
        <f t="shared" si="12"/>
        <v>14.92</v>
      </c>
      <c r="J70" s="1607">
        <f t="shared" si="13"/>
        <v>0</v>
      </c>
      <c r="K70" s="2069">
        <f t="shared" ca="1" si="9"/>
        <v>0</v>
      </c>
      <c r="L70" s="1570">
        <f t="shared" si="10"/>
        <v>0</v>
      </c>
      <c r="M70" s="1443"/>
      <c r="N70" s="1654">
        <f>VLOOKUP($B70,[1]BOLETIM_SEL!$A:$H,3,0)</f>
        <v>7.15</v>
      </c>
      <c r="O70" s="1645">
        <f t="shared" si="14"/>
        <v>0</v>
      </c>
      <c r="Q70" s="832"/>
      <c r="R70" s="832"/>
      <c r="S70" s="832"/>
      <c r="T70" s="832"/>
      <c r="U70" s="832"/>
      <c r="V70" s="832"/>
      <c r="W70" s="832"/>
      <c r="X70" s="832"/>
    </row>
    <row r="71" spans="1:24" s="812" customFormat="1" ht="30" customHeight="1" x14ac:dyDescent="0.15">
      <c r="A71" s="2072">
        <f t="shared" ca="1" si="11"/>
        <v>2.0199999999999996</v>
      </c>
      <c r="B71" s="833">
        <v>97636</v>
      </c>
      <c r="C71" s="2" t="str">
        <f>VLOOKUP($B71,[1]BOLETIM_SEL!$A:$H,2,0)</f>
        <v>SINAPI</v>
      </c>
      <c r="D71" s="315" t="str">
        <f>VLOOKUP($B71,[1]BOLETIM_SEL!$A:$H,4,0)</f>
        <v>Demolição parcial de pavimento asfáltico, de forma mecanizada, sem reaproveitamento. AF_12/2017</v>
      </c>
      <c r="E71" s="2"/>
      <c r="F71" s="2" t="str">
        <f>VLOOKUP($B71,[1]BOLETIM_SEL!$A:$H,6,0)</f>
        <v>M2</v>
      </c>
      <c r="G71" s="1407">
        <f>VLOOKUP($B71,[1]BOLETIM_SEL!$A:$H,7,0)</f>
        <v>19.100000000000001</v>
      </c>
      <c r="H71" s="1608">
        <f>Demolicao!M40</f>
        <v>84.85</v>
      </c>
      <c r="I71" s="876">
        <f t="shared" si="12"/>
        <v>23.3</v>
      </c>
      <c r="J71" s="1607">
        <f>TRUNC(H71*I71,2)</f>
        <v>1977</v>
      </c>
      <c r="K71" s="2069">
        <f t="shared" ca="1" si="9"/>
        <v>5.3736616830344253E-4</v>
      </c>
      <c r="L71" s="1570">
        <f t="shared" si="10"/>
        <v>5.0555483812400027E-2</v>
      </c>
      <c r="M71" s="1443"/>
      <c r="N71" s="1647">
        <f>VLOOKUP($B71,[1]BOLETIM_SEL!$A:$H,3,0)</f>
        <v>8.18</v>
      </c>
      <c r="O71" s="1645">
        <f t="shared" si="14"/>
        <v>10.372860635696821</v>
      </c>
      <c r="Q71" s="832"/>
      <c r="R71" s="832"/>
      <c r="S71" s="832"/>
      <c r="T71" s="832"/>
      <c r="U71" s="832"/>
      <c r="V71" s="832"/>
      <c r="W71" s="832"/>
      <c r="X71" s="832"/>
    </row>
    <row r="72" spans="1:24" s="812" customFormat="1" ht="30" hidden="1" customHeight="1" x14ac:dyDescent="0.15">
      <c r="A72" s="2072">
        <f t="shared" ca="1" si="11"/>
        <v>2.0199999999999996</v>
      </c>
      <c r="B72" s="833" t="s">
        <v>1654</v>
      </c>
      <c r="C72" s="2" t="str">
        <f>VLOOKUP($B72,[1]BOLETIM_SEL!$A:$H,2,0)</f>
        <v>COMPOSIÇÃO</v>
      </c>
      <c r="D72" s="315" t="str">
        <f>VLOOKUP($B72,[1]BOLETIM_SEL!$A:$H,4,0)</f>
        <v>Remoção de piso em bloco de concreto, de forma mecanizada, sem reaproveitamento</v>
      </c>
      <c r="E72" s="2"/>
      <c r="F72" s="2" t="str">
        <f>VLOOKUP($B72,[1]BOLETIM_SEL!$A:$H,6,0)</f>
        <v>M2</v>
      </c>
      <c r="G72" s="1407">
        <f>VLOOKUP($B72,[1]BOLETIM_SEL!$A:$H,7,0)</f>
        <v>12.93</v>
      </c>
      <c r="H72" s="1608">
        <f>Demolicao!M46</f>
        <v>0</v>
      </c>
      <c r="I72" s="876">
        <f t="shared" si="12"/>
        <v>15.77</v>
      </c>
      <c r="J72" s="1607">
        <f t="shared" si="13"/>
        <v>0</v>
      </c>
      <c r="K72" s="2069">
        <f t="shared" ca="1" si="9"/>
        <v>0</v>
      </c>
      <c r="L72" s="1570">
        <f t="shared" si="10"/>
        <v>0</v>
      </c>
      <c r="M72" s="1443"/>
      <c r="N72" s="1647">
        <f>VLOOKUP($B72,[1]BOLETIM_SEL!$A:$H,3,0)</f>
        <v>21.78</v>
      </c>
      <c r="O72" s="1645">
        <f t="shared" si="14"/>
        <v>0</v>
      </c>
      <c r="Q72" s="832"/>
      <c r="R72" s="832"/>
      <c r="S72" s="832"/>
      <c r="T72" s="832"/>
      <c r="U72" s="832"/>
      <c r="V72" s="832"/>
      <c r="W72" s="832"/>
      <c r="X72" s="832"/>
    </row>
    <row r="73" spans="1:24" s="812" customFormat="1" ht="39.950000000000003" customHeight="1" x14ac:dyDescent="0.15">
      <c r="A73" s="2072">
        <f t="shared" ca="1" si="11"/>
        <v>2.0299999999999994</v>
      </c>
      <c r="B73" s="833" t="s">
        <v>1658</v>
      </c>
      <c r="C73" s="2" t="str">
        <f>VLOOKUP($B73,[1]BOLETIM_SEL!$A:$H,2,0)</f>
        <v>COMPOSIÇÃO</v>
      </c>
      <c r="D73" s="315" t="str">
        <f>VLOOKUP($B73,[1]BOLETIM_SEL!$A:$H,4,0)</f>
        <v>Recorte mecânico de pavimento asfáltico ou piso de concreto, com serra de disco diamantado para piso/asfalto. REF SICRO 4011537, DB 04-2023</v>
      </c>
      <c r="E73" s="2"/>
      <c r="F73" s="2" t="str">
        <f>VLOOKUP($B73,[1]BOLETIM_SEL!$A:$H,6,0)</f>
        <v>M</v>
      </c>
      <c r="G73" s="1407">
        <f>VLOOKUP($B73,[1]BOLETIM_SEL!$A:$H,7,0)</f>
        <v>3.6</v>
      </c>
      <c r="H73" s="1608">
        <f>Demolicao!M54</f>
        <v>858.19</v>
      </c>
      <c r="I73" s="876">
        <f t="shared" si="12"/>
        <v>4.3899999999999997</v>
      </c>
      <c r="J73" s="1607">
        <f>TRUNC(H73*I73,2)</f>
        <v>3767.45</v>
      </c>
      <c r="K73" s="2069">
        <f t="shared" ca="1" si="9"/>
        <v>1.0240263888592841E-3</v>
      </c>
      <c r="L73" s="1570">
        <f t="shared" si="10"/>
        <v>9.6340545012153E-2</v>
      </c>
      <c r="M73" s="1443"/>
      <c r="N73" s="1647">
        <f>VLOOKUP($B73,[1]BOLETIM_SEL!$A:$H,3,0)</f>
        <v>12</v>
      </c>
      <c r="O73" s="1645">
        <f t="shared" si="14"/>
        <v>71.515833333333333</v>
      </c>
      <c r="Q73" s="832"/>
      <c r="R73" s="832"/>
      <c r="S73" s="832"/>
      <c r="T73" s="832"/>
      <c r="U73" s="832"/>
      <c r="V73" s="832"/>
      <c r="W73" s="832"/>
      <c r="X73" s="832"/>
    </row>
    <row r="74" spans="1:24" s="812" customFormat="1" ht="30" hidden="1" customHeight="1" x14ac:dyDescent="0.15">
      <c r="A74" s="2072">
        <f t="shared" ca="1" si="11"/>
        <v>2.0299999999999994</v>
      </c>
      <c r="B74" s="833" t="s">
        <v>1656</v>
      </c>
      <c r="C74" s="2" t="str">
        <f>VLOOKUP($B74,[1]BOLETIM_SEL!$A:$H,2,0)</f>
        <v>COMPOSIÇÃO</v>
      </c>
      <c r="D74" s="315" t="str">
        <f>VLOOKUP($B74,[1]BOLETIM_SEL!$A:$H,4,0)</f>
        <v>Demolição de boca de lobo, incluindo carga e bota-fora do entulho e reaterro da cava</v>
      </c>
      <c r="E74" s="2"/>
      <c r="F74" s="2" t="str">
        <f>VLOOKUP($B74,[1]BOLETIM_SEL!$A:$H,6,0)</f>
        <v xml:space="preserve">UN </v>
      </c>
      <c r="G74" s="1407">
        <f>VLOOKUP($B74,[1]BOLETIM_SEL!$A:$H,7,0)</f>
        <v>466.51</v>
      </c>
      <c r="H74" s="1608">
        <f>Demolicao!M55</f>
        <v>0</v>
      </c>
      <c r="I74" s="876">
        <f t="shared" si="12"/>
        <v>569.14</v>
      </c>
      <c r="J74" s="1607">
        <f t="shared" si="13"/>
        <v>0</v>
      </c>
      <c r="K74" s="2069">
        <f t="shared" ca="1" si="9"/>
        <v>0</v>
      </c>
      <c r="L74" s="1570">
        <f t="shared" si="10"/>
        <v>0</v>
      </c>
      <c r="M74" s="1443"/>
      <c r="N74" s="832"/>
      <c r="O74" s="832"/>
      <c r="Q74" s="832"/>
      <c r="R74" s="832"/>
      <c r="S74" s="832"/>
      <c r="T74" s="832"/>
      <c r="U74" s="832"/>
      <c r="V74" s="832"/>
      <c r="W74" s="832"/>
      <c r="X74" s="832"/>
    </row>
    <row r="75" spans="1:24" s="812" customFormat="1" ht="30" hidden="1" customHeight="1" x14ac:dyDescent="0.15">
      <c r="A75" s="2072">
        <f t="shared" ca="1" si="11"/>
        <v>2.0299999999999994</v>
      </c>
      <c r="B75" s="833" t="s">
        <v>1657</v>
      </c>
      <c r="C75" s="2" t="str">
        <f>VLOOKUP($B75,[1]BOLETIM_SEL!$A:$H,2,0)</f>
        <v>COMPOSIÇÃO</v>
      </c>
      <c r="D75" s="315" t="str">
        <f>VLOOKUP($B75,[1]BOLETIM_SEL!$A:$H,4,0)</f>
        <v>Demolição de poço de visita, inclusive carga e bota-fora do entulho</v>
      </c>
      <c r="E75" s="2"/>
      <c r="F75" s="2" t="str">
        <f>VLOOKUP($B75,[1]BOLETIM_SEL!$A:$H,6,0)</f>
        <v xml:space="preserve">UN </v>
      </c>
      <c r="G75" s="1407">
        <f>VLOOKUP($B75,[1]BOLETIM_SEL!$A:$H,7,0)</f>
        <v>989.87</v>
      </c>
      <c r="H75" s="1608">
        <f>Demolicao!M56</f>
        <v>0</v>
      </c>
      <c r="I75" s="876">
        <f t="shared" si="12"/>
        <v>1207.6400000000001</v>
      </c>
      <c r="J75" s="1607">
        <f t="shared" si="13"/>
        <v>0</v>
      </c>
      <c r="K75" s="2069">
        <f t="shared" ca="1" si="9"/>
        <v>0</v>
      </c>
      <c r="L75" s="1570">
        <f t="shared" si="10"/>
        <v>0</v>
      </c>
      <c r="M75" s="1443"/>
      <c r="N75" s="832"/>
      <c r="O75" s="832"/>
      <c r="Q75" s="832"/>
      <c r="R75" s="832"/>
      <c r="S75" s="832"/>
      <c r="T75" s="832"/>
      <c r="U75" s="832"/>
      <c r="V75" s="832"/>
      <c r="W75" s="832"/>
      <c r="X75" s="832"/>
    </row>
    <row r="76" spans="1:24" s="812" customFormat="1" ht="39.950000000000003" hidden="1" customHeight="1" x14ac:dyDescent="0.15">
      <c r="A76" s="2072">
        <f t="shared" ca="1" si="11"/>
        <v>2.0299999999999994</v>
      </c>
      <c r="B76" s="2" t="s">
        <v>2737</v>
      </c>
      <c r="C76" s="2" t="str">
        <f>VLOOKUP($B76,[1]BOLETIM_SEL!$A:$H,2,0)</f>
        <v>COMPOSIÇÃO</v>
      </c>
      <c r="D76" s="315" t="str">
        <f>VLOOKUP($B76,[1]BOLETIM_SEL!$A:$H,4,0)</f>
        <v>Remoção de alambrado com tela de arame galvanizado (inclusive mureta em concreto). (REF SINAPI CÓD 98522, DB 11-2022)</v>
      </c>
      <c r="E76" s="2"/>
      <c r="F76" s="2" t="str">
        <f>VLOOKUP($B76,[1]BOLETIM_SEL!$A:$H,6,0)</f>
        <v>M</v>
      </c>
      <c r="G76" s="1407">
        <f>VLOOKUP($B76,[1]BOLETIM_SEL!$A:$H,7,0)</f>
        <v>50</v>
      </c>
      <c r="H76" s="1608">
        <f>+Pav_Terraplenagem!M25</f>
        <v>0</v>
      </c>
      <c r="I76" s="876">
        <f t="shared" ref="I76" si="15">TRUNC(G76*(1+$J$5),2)</f>
        <v>61</v>
      </c>
      <c r="J76" s="1607">
        <f t="shared" ref="J76" si="16">TRUNC(H76*I76,2)</f>
        <v>0</v>
      </c>
      <c r="K76" s="2069">
        <f t="shared" ca="1" si="9"/>
        <v>0</v>
      </c>
      <c r="L76" s="1570">
        <f t="shared" ref="L76" si="17">J76/$J$63</f>
        <v>0</v>
      </c>
      <c r="M76" s="1443"/>
      <c r="N76" s="832"/>
      <c r="O76" s="832"/>
      <c r="Q76" s="832"/>
      <c r="R76" s="832"/>
      <c r="S76" s="832"/>
      <c r="T76" s="832"/>
      <c r="U76" s="832"/>
      <c r="V76" s="832"/>
      <c r="W76" s="832"/>
      <c r="X76" s="832"/>
    </row>
    <row r="77" spans="1:24" s="812" customFormat="1" ht="39.950000000000003" customHeight="1" x14ac:dyDescent="0.15">
      <c r="A77" s="2072">
        <f t="shared" ca="1" si="11"/>
        <v>2.0399999999999991</v>
      </c>
      <c r="B77" s="833">
        <v>98526</v>
      </c>
      <c r="C77" s="2" t="str">
        <f>VLOOKUP($B77,[1]BOLETIM_SEL!$A:$H,2,0)</f>
        <v>SINAPI</v>
      </c>
      <c r="D77" s="315" t="str">
        <f>VLOOKUP($B77,[1]BOLETIM_SEL!$A:$H,4,0)</f>
        <v>Remoção de raízes remanescentes de tronco de árvore com diâmetro maior ou igual a 0,20 m e menor que 0,40 m. AF_05/2018</v>
      </c>
      <c r="E77" s="2"/>
      <c r="F77" s="2" t="str">
        <f>VLOOKUP($B77,[1]BOLETIM_SEL!$A:$H,6,0)</f>
        <v>UN</v>
      </c>
      <c r="G77" s="1407">
        <f>VLOOKUP($B77,[1]BOLETIM_SEL!$A:$H,7,0)</f>
        <v>81.430000000000007</v>
      </c>
      <c r="H77" s="1608">
        <f>Demolicao!M57</f>
        <v>9</v>
      </c>
      <c r="I77" s="876">
        <f t="shared" si="12"/>
        <v>99.34</v>
      </c>
      <c r="J77" s="1607">
        <f t="shared" ref="J77:J86" si="18">TRUNC(H77*I77,2)</f>
        <v>894.06</v>
      </c>
      <c r="K77" s="2069">
        <f t="shared" ca="1" si="9"/>
        <v>2.430134529253292E-4</v>
      </c>
      <c r="L77" s="1570">
        <f t="shared" si="10"/>
        <v>2.286273943212664E-2</v>
      </c>
      <c r="M77" s="1443"/>
      <c r="N77" s="832"/>
      <c r="O77" s="832"/>
      <c r="Q77" s="832"/>
      <c r="R77" s="832"/>
      <c r="S77" s="832"/>
      <c r="T77" s="832"/>
      <c r="U77" s="832"/>
      <c r="V77" s="832"/>
      <c r="W77" s="832"/>
      <c r="X77" s="832"/>
    </row>
    <row r="78" spans="1:24" s="812" customFormat="1" ht="39.950000000000003" customHeight="1" x14ac:dyDescent="0.15">
      <c r="A78" s="2072">
        <f t="shared" ca="1" si="11"/>
        <v>2.0499999999999989</v>
      </c>
      <c r="B78" s="833">
        <v>98527</v>
      </c>
      <c r="C78" s="2" t="str">
        <f>VLOOKUP($B78,[1]BOLETIM_SEL!$A:$H,2,0)</f>
        <v>SINAPI</v>
      </c>
      <c r="D78" s="315" t="str">
        <f>VLOOKUP($B78,[1]BOLETIM_SEL!$A:$H,4,0)</f>
        <v>Remoção de raízes remanescentes de tronco de árvore com diâmetro maior ou igual a 0,40 m e menor que 0,60 m. AF_05/2018</v>
      </c>
      <c r="E78" s="2"/>
      <c r="F78" s="2" t="str">
        <f>VLOOKUP($B78,[1]BOLETIM_SEL!$A:$H,6,0)</f>
        <v>UN</v>
      </c>
      <c r="G78" s="1407">
        <f>VLOOKUP($B78,[1]BOLETIM_SEL!$A:$H,7,0)</f>
        <v>175.3</v>
      </c>
      <c r="H78" s="1608">
        <f>Demolicao!M58</f>
        <v>1</v>
      </c>
      <c r="I78" s="876">
        <f t="shared" si="12"/>
        <v>213.86</v>
      </c>
      <c r="J78" s="1607">
        <f t="shared" si="18"/>
        <v>213.86</v>
      </c>
      <c r="K78" s="2069">
        <f t="shared" ca="1" si="9"/>
        <v>5.8129048433674374E-5</v>
      </c>
      <c r="L78" s="1570">
        <f t="shared" si="10"/>
        <v>5.4687889570661967E-3</v>
      </c>
      <c r="M78" s="1443"/>
      <c r="N78" s="832"/>
      <c r="O78" s="832"/>
      <c r="Q78" s="832"/>
      <c r="R78" s="832"/>
      <c r="S78" s="832"/>
      <c r="T78" s="832"/>
      <c r="U78" s="832"/>
      <c r="V78" s="832"/>
      <c r="W78" s="832"/>
      <c r="X78" s="832"/>
    </row>
    <row r="79" spans="1:24" s="812" customFormat="1" ht="30" hidden="1" customHeight="1" x14ac:dyDescent="0.15">
      <c r="A79" s="2072">
        <f t="shared" ca="1" si="11"/>
        <v>2.0499999999999989</v>
      </c>
      <c r="B79" s="833">
        <v>98528</v>
      </c>
      <c r="C79" s="2" t="str">
        <f>VLOOKUP($B79,[1]BOLETIM_SEL!$A:$H,2,0)</f>
        <v>SINAPI</v>
      </c>
      <c r="D79" s="315" t="str">
        <f>VLOOKUP($B79,[1]BOLETIM_SEL!$A:$H,4,0)</f>
        <v>Remoção de raízes remanescentes de tronco de árvore com diâmetro maior ou igual a 0,60 m. AF_05/2018</v>
      </c>
      <c r="E79" s="2"/>
      <c r="F79" s="2" t="str">
        <f>VLOOKUP($B79,[1]BOLETIM_SEL!$A:$H,6,0)</f>
        <v>UN</v>
      </c>
      <c r="G79" s="1407">
        <f>VLOOKUP($B79,[1]BOLETIM_SEL!$A:$H,7,0)</f>
        <v>256.33999999999997</v>
      </c>
      <c r="H79" s="1608">
        <f>Demolicao!M59</f>
        <v>0</v>
      </c>
      <c r="I79" s="876">
        <f t="shared" si="12"/>
        <v>312.73</v>
      </c>
      <c r="J79" s="1607">
        <f t="shared" si="18"/>
        <v>0</v>
      </c>
      <c r="K79" s="2069">
        <f t="shared" ca="1" si="9"/>
        <v>0</v>
      </c>
      <c r="L79" s="1570">
        <f t="shared" si="10"/>
        <v>0</v>
      </c>
      <c r="M79" s="1443"/>
      <c r="N79" s="832"/>
      <c r="O79" s="832"/>
      <c r="Q79" s="832"/>
      <c r="R79" s="832"/>
      <c r="S79" s="832"/>
      <c r="T79" s="832"/>
      <c r="U79" s="832"/>
      <c r="V79" s="832"/>
      <c r="W79" s="832"/>
      <c r="X79" s="832"/>
    </row>
    <row r="80" spans="1:24" s="812" customFormat="1" ht="39.950000000000003" customHeight="1" x14ac:dyDescent="0.15">
      <c r="A80" s="2072">
        <f t="shared" ca="1" si="11"/>
        <v>2.0599999999999987</v>
      </c>
      <c r="B80" s="833">
        <v>98529</v>
      </c>
      <c r="C80" s="2" t="str">
        <f>VLOOKUP($B80,[1]BOLETIM_SEL!$A:$H,2,0)</f>
        <v>SINAPI</v>
      </c>
      <c r="D80" s="315" t="str">
        <f>VLOOKUP($B80,[1]BOLETIM_SEL!$A:$H,4,0)</f>
        <v>Corte raso e recorte de árvore com diâmetro nominal de tronco maior ou igual a 0,20 m e menor que 0,40 m. AF_05/2018</v>
      </c>
      <c r="E80" s="2"/>
      <c r="F80" s="2" t="str">
        <f>VLOOKUP($B80,[1]BOLETIM_SEL!$A:$H,6,0)</f>
        <v>UN</v>
      </c>
      <c r="G80" s="1407">
        <f>VLOOKUP($B80,[1]BOLETIM_SEL!$A:$H,7,0)</f>
        <v>63.53</v>
      </c>
      <c r="H80" s="1608">
        <f>Demolicao!M60</f>
        <v>9</v>
      </c>
      <c r="I80" s="876">
        <f t="shared" si="12"/>
        <v>77.5</v>
      </c>
      <c r="J80" s="1607">
        <f t="shared" si="18"/>
        <v>697.5</v>
      </c>
      <c r="K80" s="2069">
        <f t="shared" ca="1" si="9"/>
        <v>1.8958669822541788E-4</v>
      </c>
      <c r="L80" s="1570">
        <f t="shared" si="10"/>
        <v>1.7836342923191209E-2</v>
      </c>
      <c r="M80" s="1443"/>
      <c r="N80" s="832"/>
      <c r="O80" s="832"/>
      <c r="Q80" s="832"/>
      <c r="R80" s="832"/>
      <c r="S80" s="832"/>
      <c r="T80" s="832"/>
      <c r="U80" s="832"/>
      <c r="V80" s="832"/>
      <c r="W80" s="832"/>
      <c r="X80" s="832"/>
    </row>
    <row r="81" spans="1:24" s="812" customFormat="1" ht="39.950000000000003" customHeight="1" x14ac:dyDescent="0.15">
      <c r="A81" s="2072">
        <f t="shared" ca="1" si="11"/>
        <v>2.0699999999999985</v>
      </c>
      <c r="B81" s="833">
        <v>98530</v>
      </c>
      <c r="C81" s="2" t="str">
        <f>VLOOKUP($B81,[1]BOLETIM_SEL!$A:$H,2,0)</f>
        <v>SINAPI</v>
      </c>
      <c r="D81" s="315" t="str">
        <f>VLOOKUP($B81,[1]BOLETIM_SEL!$A:$H,4,0)</f>
        <v>Corte raso e recorte de árvore com diâmetro nominal de tronco maior ou igual a 0,40 m e menor que 0,60 m. AF_05/2018</v>
      </c>
      <c r="E81" s="2"/>
      <c r="F81" s="2" t="str">
        <f>VLOOKUP($B81,[1]BOLETIM_SEL!$A:$H,6,0)</f>
        <v>UN</v>
      </c>
      <c r="G81" s="1407">
        <f>VLOOKUP($B81,[1]BOLETIM_SEL!$A:$H,7,0)</f>
        <v>113.17</v>
      </c>
      <c r="H81" s="1608">
        <f>Demolicao!M61</f>
        <v>1</v>
      </c>
      <c r="I81" s="876">
        <f t="shared" si="12"/>
        <v>138.06</v>
      </c>
      <c r="J81" s="1607">
        <f t="shared" si="18"/>
        <v>138.06</v>
      </c>
      <c r="K81" s="2069">
        <f t="shared" ca="1" si="9"/>
        <v>3.7525934848747232E-5</v>
      </c>
      <c r="L81" s="1570">
        <f t="shared" si="10"/>
        <v>3.5304451669903631E-3</v>
      </c>
      <c r="M81" s="1443"/>
      <c r="N81" s="832"/>
      <c r="O81" s="832"/>
      <c r="Q81" s="832"/>
      <c r="R81" s="832"/>
      <c r="S81" s="832"/>
      <c r="T81" s="832"/>
      <c r="U81" s="832"/>
      <c r="V81" s="832"/>
      <c r="W81" s="832"/>
      <c r="X81" s="832"/>
    </row>
    <row r="82" spans="1:24" s="812" customFormat="1" ht="30" hidden="1" customHeight="1" x14ac:dyDescent="0.15">
      <c r="A82" s="2072">
        <f t="shared" ca="1" si="11"/>
        <v>2.0699999999999985</v>
      </c>
      <c r="B82" s="833">
        <v>98531</v>
      </c>
      <c r="C82" s="2" t="str">
        <f>VLOOKUP($B82,[1]BOLETIM_SEL!$A:$H,2,0)</f>
        <v>SINAPI</v>
      </c>
      <c r="D82" s="315" t="str">
        <f>VLOOKUP($B82,[1]BOLETIM_SEL!$A:$H,4,0)</f>
        <v>Corte raso e recorte de árvore com diâmetro nominal de tronco maior ou igual a 0,60 m. AF_05/2018</v>
      </c>
      <c r="E82" s="2"/>
      <c r="F82" s="2" t="str">
        <f>VLOOKUP($B82,[1]BOLETIM_SEL!$A:$H,6,0)</f>
        <v>UN</v>
      </c>
      <c r="G82" s="1407">
        <f>VLOOKUP($B82,[1]BOLETIM_SEL!$A:$H,7,0)</f>
        <v>270.52999999999997</v>
      </c>
      <c r="H82" s="1608">
        <f>Demolicao!M62</f>
        <v>0</v>
      </c>
      <c r="I82" s="876">
        <f t="shared" si="12"/>
        <v>330.04</v>
      </c>
      <c r="J82" s="1607">
        <f t="shared" si="18"/>
        <v>0</v>
      </c>
      <c r="K82" s="2069">
        <f t="shared" ca="1" si="9"/>
        <v>0</v>
      </c>
      <c r="L82" s="1570">
        <f t="shared" si="10"/>
        <v>0</v>
      </c>
      <c r="M82" s="1443"/>
      <c r="N82" s="832"/>
      <c r="O82" s="832"/>
      <c r="Q82" s="832"/>
      <c r="R82" s="832"/>
      <c r="S82" s="832"/>
      <c r="T82" s="832"/>
      <c r="U82" s="832"/>
      <c r="V82" s="832"/>
      <c r="W82" s="832"/>
      <c r="X82" s="832"/>
    </row>
    <row r="83" spans="1:24" s="812" customFormat="1" ht="30" hidden="1" customHeight="1" x14ac:dyDescent="0.15">
      <c r="A83" s="2072">
        <f t="shared" ca="1" si="11"/>
        <v>2.0699999999999985</v>
      </c>
      <c r="B83" s="833">
        <v>98532</v>
      </c>
      <c r="C83" s="2" t="str">
        <f>VLOOKUP($B83,[1]BOLETIM_SEL!$A:$H,2,0)</f>
        <v>SINAPI</v>
      </c>
      <c r="D83" s="315" t="str">
        <f>VLOOKUP($B83,[1]BOLETIM_SEL!$A:$H,4,0)</f>
        <v>Poda em altura de árvore com diâmetro nominal de tronco menor que 0,20 m. AF_05/2018</v>
      </c>
      <c r="E83" s="2"/>
      <c r="F83" s="2" t="str">
        <f>VLOOKUP($B83,[1]BOLETIM_SEL!$A:$H,6,0)</f>
        <v>UN</v>
      </c>
      <c r="G83" s="1407">
        <f>VLOOKUP($B83,[1]BOLETIM_SEL!$A:$H,7,0)</f>
        <v>114.22</v>
      </c>
      <c r="H83" s="1608">
        <f>Demolicao!M63</f>
        <v>0</v>
      </c>
      <c r="I83" s="876">
        <f t="shared" si="12"/>
        <v>139.34</v>
      </c>
      <c r="J83" s="1607">
        <f t="shared" si="18"/>
        <v>0</v>
      </c>
      <c r="K83" s="2069">
        <f t="shared" ca="1" si="9"/>
        <v>0</v>
      </c>
      <c r="L83" s="1570">
        <f t="shared" si="10"/>
        <v>0</v>
      </c>
      <c r="M83" s="1443"/>
      <c r="N83" s="832"/>
      <c r="O83" s="832"/>
      <c r="Q83" s="832"/>
      <c r="R83" s="832"/>
      <c r="S83" s="832"/>
      <c r="T83" s="832"/>
      <c r="U83" s="832"/>
      <c r="V83" s="832"/>
      <c r="W83" s="832"/>
      <c r="X83" s="832"/>
    </row>
    <row r="84" spans="1:24" s="812" customFormat="1" ht="30" customHeight="1" x14ac:dyDescent="0.15">
      <c r="A84" s="2072">
        <f t="shared" ca="1" si="11"/>
        <v>2.0799999999999983</v>
      </c>
      <c r="B84" s="833">
        <v>98533</v>
      </c>
      <c r="C84" s="2" t="str">
        <f>VLOOKUP($B84,[1]BOLETIM_SEL!$A:$H,2,0)</f>
        <v>SINAPI</v>
      </c>
      <c r="D84" s="315" t="str">
        <f>VLOOKUP($B84,[1]BOLETIM_SEL!$A:$H,4,0)</f>
        <v>Poda em altura de árvore com diâmetro nominal de tronco maior ou igual a 0,20 m e menor que 0,40 m. AF_05/2018</v>
      </c>
      <c r="E84" s="2"/>
      <c r="F84" s="2" t="str">
        <f>VLOOKUP($B84,[1]BOLETIM_SEL!$A:$H,6,0)</f>
        <v>UN</v>
      </c>
      <c r="G84" s="1407">
        <f>VLOOKUP($B84,[1]BOLETIM_SEL!$A:$H,7,0)</f>
        <v>312.16000000000003</v>
      </c>
      <c r="H84" s="1608">
        <f>Demolicao!M64</f>
        <v>9</v>
      </c>
      <c r="I84" s="876">
        <f t="shared" si="12"/>
        <v>380.83</v>
      </c>
      <c r="J84" s="1607">
        <f t="shared" si="18"/>
        <v>3427.47</v>
      </c>
      <c r="K84" s="2069">
        <f t="shared" ca="1" si="9"/>
        <v>9.3161680367981803E-4</v>
      </c>
      <c r="L84" s="1570">
        <f t="shared" si="10"/>
        <v>8.7646638392760101E-2</v>
      </c>
      <c r="M84" s="1443"/>
      <c r="N84" s="832"/>
      <c r="O84" s="832"/>
      <c r="Q84" s="832"/>
      <c r="R84" s="832"/>
      <c r="S84" s="832"/>
      <c r="T84" s="832"/>
      <c r="U84" s="832"/>
      <c r="V84" s="832"/>
      <c r="W84" s="832"/>
      <c r="X84" s="832"/>
    </row>
    <row r="85" spans="1:24" s="812" customFormat="1" ht="30" customHeight="1" x14ac:dyDescent="0.15">
      <c r="A85" s="2072">
        <f t="shared" ca="1" si="11"/>
        <v>2.0899999999999981</v>
      </c>
      <c r="B85" s="833">
        <v>98534</v>
      </c>
      <c r="C85" s="2" t="str">
        <f>VLOOKUP($B85,[1]BOLETIM_SEL!$A:$H,2,0)</f>
        <v>SINAPI</v>
      </c>
      <c r="D85" s="315" t="str">
        <f>VLOOKUP($B85,[1]BOLETIM_SEL!$A:$H,4,0)</f>
        <v>Poda em altura de árvore com diâmetro nominal de tronco maior ou igual a 0,40 m e menor que 0,60 m. AF_05/2018</v>
      </c>
      <c r="E85" s="2"/>
      <c r="F85" s="2" t="str">
        <f>VLOOKUP($B85,[1]BOLETIM_SEL!$A:$H,6,0)</f>
        <v>UN</v>
      </c>
      <c r="G85" s="1407">
        <f>VLOOKUP($B85,[1]BOLETIM_SEL!$A:$H,7,0)</f>
        <v>800.51</v>
      </c>
      <c r="H85" s="1608">
        <f>Demolicao!M65</f>
        <v>1</v>
      </c>
      <c r="I85" s="876">
        <f t="shared" si="12"/>
        <v>976.62</v>
      </c>
      <c r="J85" s="1607">
        <f t="shared" si="18"/>
        <v>976.62</v>
      </c>
      <c r="K85" s="2069">
        <f t="shared" ca="1" si="9"/>
        <v>2.6545399458194644E-4</v>
      </c>
      <c r="L85" s="1570">
        <f t="shared" si="10"/>
        <v>2.4973948710605015E-2</v>
      </c>
      <c r="M85" s="1443"/>
      <c r="N85" s="832"/>
      <c r="O85" s="832"/>
      <c r="Q85" s="832"/>
      <c r="R85" s="832"/>
      <c r="S85" s="832"/>
      <c r="T85" s="832"/>
      <c r="U85" s="832"/>
      <c r="V85" s="832"/>
      <c r="W85" s="832"/>
      <c r="X85" s="832"/>
    </row>
    <row r="86" spans="1:24" s="812" customFormat="1" ht="30" hidden="1" customHeight="1" x14ac:dyDescent="0.15">
      <c r="A86" s="2072">
        <f t="shared" ca="1" si="11"/>
        <v>2.0899999999999981</v>
      </c>
      <c r="B86" s="833">
        <v>98535</v>
      </c>
      <c r="C86" s="2" t="str">
        <f>VLOOKUP($B86,[1]BOLETIM_SEL!$A:$H,2,0)</f>
        <v>SINAPI</v>
      </c>
      <c r="D86" s="315" t="str">
        <f>VLOOKUP($B86,[1]BOLETIM_SEL!$A:$H,4,0)</f>
        <v>Poda em altura de árvore com diâmetro nominal de tronco maior ou igual a 0,60 m. AF_05/2018</v>
      </c>
      <c r="E86" s="2"/>
      <c r="F86" s="2" t="str">
        <f>VLOOKUP($B86,[1]BOLETIM_SEL!$A:$H,6,0)</f>
        <v>UN</v>
      </c>
      <c r="G86" s="1407">
        <f>VLOOKUP($B86,[1]BOLETIM_SEL!$A:$H,7,0)</f>
        <v>1265.69</v>
      </c>
      <c r="H86" s="1608">
        <f>Demolicao!M66</f>
        <v>0</v>
      </c>
      <c r="I86" s="876">
        <f t="shared" si="12"/>
        <v>1544.14</v>
      </c>
      <c r="J86" s="1607">
        <f t="shared" si="18"/>
        <v>0</v>
      </c>
      <c r="K86" s="2069">
        <f t="shared" ca="1" si="9"/>
        <v>0</v>
      </c>
      <c r="L86" s="1570">
        <f t="shared" si="10"/>
        <v>0</v>
      </c>
      <c r="M86" s="1443"/>
      <c r="N86" s="832"/>
      <c r="O86" s="832"/>
      <c r="Q86" s="832"/>
      <c r="R86" s="832"/>
      <c r="S86" s="832"/>
      <c r="T86" s="832"/>
      <c r="U86" s="832"/>
      <c r="V86" s="832"/>
      <c r="W86" s="832"/>
      <c r="X86" s="832"/>
    </row>
    <row r="87" spans="1:24" s="812" customFormat="1" ht="30" hidden="1" customHeight="1" x14ac:dyDescent="0.15">
      <c r="A87" s="2072">
        <f t="shared" ca="1" si="11"/>
        <v>2.0899999999999981</v>
      </c>
      <c r="B87" s="833" t="s">
        <v>2402</v>
      </c>
      <c r="C87" s="2" t="str">
        <f>VLOOKUP($B87,[1]BOLETIM_SEL!$A:$H,2,0)</f>
        <v>COMPOSIÇÃO</v>
      </c>
      <c r="D87" s="315" t="str">
        <f>VLOOKUP($B87,[1]BOLETIM_SEL!$A:$H,4,0)</f>
        <v>Carga manual, manobra e descarga de entulho em caminhão basculante 6m3 (REF. SICRO COD. 72897)</v>
      </c>
      <c r="E87" s="1822"/>
      <c r="F87" s="2" t="str">
        <f>VLOOKUP($B87,[1]BOLETIM_SEL!$A:$H,6,0)</f>
        <v>M3</v>
      </c>
      <c r="G87" s="1407">
        <f>VLOOKUP($B87,[1]BOLETIM_SEL!$A:$H,7,0)</f>
        <v>28.57</v>
      </c>
      <c r="H87" s="1608">
        <f>Demolicao!M50</f>
        <v>0</v>
      </c>
      <c r="I87" s="876">
        <f t="shared" si="12"/>
        <v>34.85</v>
      </c>
      <c r="J87" s="1607">
        <f t="shared" ref="J87" si="19">TRUNC(H87*I87,2)</f>
        <v>0</v>
      </c>
      <c r="K87" s="2069">
        <f t="shared" ca="1" si="9"/>
        <v>0</v>
      </c>
      <c r="L87" s="1570">
        <f t="shared" si="10"/>
        <v>0</v>
      </c>
      <c r="M87" s="1443"/>
      <c r="N87" s="832"/>
      <c r="O87" s="832"/>
      <c r="Q87" s="832"/>
      <c r="R87" s="832"/>
      <c r="S87" s="832"/>
      <c r="T87" s="832"/>
      <c r="U87" s="832"/>
      <c r="V87" s="832"/>
      <c r="W87" s="832"/>
      <c r="X87" s="832"/>
    </row>
    <row r="88" spans="1:24" s="812" customFormat="1" ht="39.950000000000003" customHeight="1" x14ac:dyDescent="0.15">
      <c r="A88" s="2072">
        <f t="shared" ca="1" si="11"/>
        <v>2.0999999999999979</v>
      </c>
      <c r="B88" s="2">
        <v>100983</v>
      </c>
      <c r="C88" s="2" t="str">
        <f>VLOOKUP($B88,[1]BOLETIM_SEL!$A:$H,2,0)</f>
        <v>SINAPI</v>
      </c>
      <c r="D88" s="315" t="str">
        <f>VLOOKUP($B88,[1]BOLETIM_SEL!$A:$H,4,0)</f>
        <v>Carga, manobra e descarga de entulho em caminhão basculante 14 m3 - carga com escavadeira hidráulica  (capacidade da caçamba: 0,80 m3 / potência: 111 HP) e descarga livre (unidade: m3). AF_07/2020</v>
      </c>
      <c r="E88" s="1822"/>
      <c r="F88" s="2" t="str">
        <f>VLOOKUP($B88,[1]BOLETIM_SEL!$A:$H,6,0)</f>
        <v>M3</v>
      </c>
      <c r="G88" s="1407">
        <f>VLOOKUP($B88,[1]BOLETIM_SEL!$A:$H,7,0)</f>
        <v>8.75</v>
      </c>
      <c r="H88" s="1608">
        <f>Demolicao!M52+IF(Demolicao!M72&lt;=50,Demolicao!M72,0)</f>
        <v>98.51</v>
      </c>
      <c r="I88" s="876">
        <f t="shared" si="12"/>
        <v>10.67</v>
      </c>
      <c r="J88" s="1607">
        <f>TRUNC(H88*I88,2)</f>
        <v>1051.0999999999999</v>
      </c>
      <c r="K88" s="2069">
        <f t="shared" ca="1" si="9"/>
        <v>2.8569832043689856E-4</v>
      </c>
      <c r="L88" s="1570">
        <f t="shared" si="10"/>
        <v>2.6878537701170289E-2</v>
      </c>
      <c r="M88" s="1443"/>
      <c r="N88" s="832"/>
      <c r="O88" s="832"/>
      <c r="Q88" s="832"/>
      <c r="R88" s="832"/>
      <c r="S88" s="832"/>
      <c r="T88" s="832"/>
      <c r="U88" s="832"/>
      <c r="V88" s="832"/>
      <c r="W88" s="832"/>
      <c r="X88" s="832"/>
    </row>
    <row r="89" spans="1:24" s="812" customFormat="1" ht="39.950000000000003" hidden="1" customHeight="1" x14ac:dyDescent="0.15">
      <c r="A89" s="2072">
        <f t="shared" ca="1" si="11"/>
        <v>2.0999999999999979</v>
      </c>
      <c r="B89" s="2">
        <v>100983</v>
      </c>
      <c r="C89" s="2" t="str">
        <f>VLOOKUP($B89,[1]BOLETIM_SEL!$A:$H,2,0)</f>
        <v>SINAPI</v>
      </c>
      <c r="D89" s="315" t="str">
        <f>VLOOKUP($B89,[1]BOLETIM_SEL!$A:$H,4,0)</f>
        <v>Carga, manobra e descarga de entulho em caminhão basculante 14 m3 - carga com escavadeira hidráulica  (capacidade da caçamba: 0,80 m3 / potência: 111 HP) e descarga livre (unidade: m3). AF_07/2020</v>
      </c>
      <c r="E89" s="1822"/>
      <c r="F89" s="2" t="str">
        <f>VLOOKUP($B89,[1]BOLETIM_SEL!$A:$H,6,0)</f>
        <v>M3</v>
      </c>
      <c r="G89" s="1407">
        <f>VLOOKUP($B89,[1]BOLETIM_SEL!$A:$H,7,0)</f>
        <v>8.75</v>
      </c>
      <c r="H89" s="1608">
        <f>IF(Demolicao!M72&gt;50,Demolicao!M72,0)</f>
        <v>0</v>
      </c>
      <c r="I89" s="876">
        <f t="shared" si="12"/>
        <v>10.67</v>
      </c>
      <c r="J89" s="1607">
        <f>TRUNC(H89*I89,2)</f>
        <v>0</v>
      </c>
      <c r="K89" s="2069">
        <f t="shared" ca="1" si="9"/>
        <v>0</v>
      </c>
      <c r="L89" s="1570">
        <f t="shared" si="10"/>
        <v>0</v>
      </c>
      <c r="M89" s="1443"/>
      <c r="N89" s="832"/>
      <c r="O89" s="832"/>
      <c r="Q89" s="832"/>
      <c r="R89" s="832"/>
      <c r="S89" s="832"/>
      <c r="T89" s="832"/>
      <c r="U89" s="832"/>
      <c r="V89" s="832"/>
      <c r="W89" s="832"/>
      <c r="X89" s="832"/>
    </row>
    <row r="90" spans="1:24" s="812" customFormat="1" ht="39.950000000000003" customHeight="1" x14ac:dyDescent="0.15">
      <c r="A90" s="2072">
        <f t="shared" ca="1" si="11"/>
        <v>2.1099999999999977</v>
      </c>
      <c r="B90" s="833" t="s">
        <v>438</v>
      </c>
      <c r="C90" s="2" t="str">
        <f>VLOOKUP($B90,[1]BOLETIM_SEL!$A:$H,2,0)</f>
        <v>COMPOSIÇÃO</v>
      </c>
      <c r="D90" s="315" t="str">
        <f>VLOOKUP($B90,[1]BOLETIM_SEL!$A:$H,4,0)</f>
        <v>Carga, manobra e descarga de materiais diversos em caminhão carroceria - carga e descaga manuais (REF. SICRO COD. 5915474)</v>
      </c>
      <c r="E90" s="2"/>
      <c r="F90" s="2" t="str">
        <f>VLOOKUP($B90,[1]BOLETIM_SEL!$A:$H,6,0)</f>
        <v>T</v>
      </c>
      <c r="G90" s="1407">
        <f>VLOOKUP($B90,[1]BOLETIM_SEL!$A:$H,7,0)</f>
        <v>30.39</v>
      </c>
      <c r="H90" s="1608">
        <f>Demolicao!M75</f>
        <v>10</v>
      </c>
      <c r="I90" s="876">
        <f t="shared" si="12"/>
        <v>37.07</v>
      </c>
      <c r="J90" s="1607">
        <f>TRUNC(H90*I90,2)</f>
        <v>370.7</v>
      </c>
      <c r="K90" s="2069">
        <f t="shared" ca="1" si="9"/>
        <v>1.0075955416797479E-4</v>
      </c>
      <c r="L90" s="1570">
        <f t="shared" si="10"/>
        <v>9.4794728625476419E-3</v>
      </c>
      <c r="M90" s="1443"/>
      <c r="N90" s="832"/>
      <c r="O90" s="832"/>
      <c r="Q90" s="832"/>
      <c r="R90" s="832"/>
      <c r="S90" s="832"/>
      <c r="T90" s="832"/>
      <c r="U90" s="832"/>
      <c r="V90" s="832"/>
      <c r="W90" s="832"/>
      <c r="X90" s="832"/>
    </row>
    <row r="91" spans="1:24" s="812" customFormat="1" ht="24.95" hidden="1" customHeight="1" x14ac:dyDescent="0.15">
      <c r="A91" s="2072"/>
      <c r="B91" s="833"/>
      <c r="C91" s="2"/>
      <c r="D91" s="1449" t="s">
        <v>1809</v>
      </c>
      <c r="E91" s="1442"/>
      <c r="F91" s="1442"/>
      <c r="G91" s="1815"/>
      <c r="H91" s="1442"/>
      <c r="I91" s="1442"/>
      <c r="J91" s="1557" t="str">
        <f>IF(J92=0,"-","")</f>
        <v>-</v>
      </c>
      <c r="K91" s="1936"/>
      <c r="L91" s="1570"/>
      <c r="M91" s="1442" t="s">
        <v>1669</v>
      </c>
      <c r="N91" s="832"/>
      <c r="O91" s="832"/>
      <c r="Q91" s="832"/>
      <c r="R91" s="832"/>
      <c r="S91" s="832"/>
      <c r="T91" s="832"/>
      <c r="U91" s="832"/>
      <c r="V91" s="832"/>
      <c r="W91" s="832"/>
      <c r="X91" s="832"/>
    </row>
    <row r="92" spans="1:24" s="812" customFormat="1" ht="30" hidden="1" customHeight="1" x14ac:dyDescent="0.15">
      <c r="A92" s="2072">
        <f ca="1">IF(H92&gt;0,A90+0.01,A90)</f>
        <v>2.1099999999999977</v>
      </c>
      <c r="B92" s="833">
        <v>100938</v>
      </c>
      <c r="C92" s="2" t="str">
        <f>VLOOKUP($B92,[1]BOLETIM_SEL!$A:$H,2,0)</f>
        <v>SINAPI</v>
      </c>
      <c r="D92" s="315" t="str">
        <f>VLOOKUP($B92,[1]BOLETIM_SEL!$A:$H,4,0)</f>
        <v>Transporte com caminhão basculante de 10 m3, em via interna (dentro do canteiro - unidade: m3xkm). AF_07/2020</v>
      </c>
      <c r="E92" s="2">
        <f>Dados_DMT!$B$15</f>
        <v>1</v>
      </c>
      <c r="F92" s="2" t="str">
        <f>VLOOKUP($B92,[1]BOLETIM_SEL!$A:$H,6,0)</f>
        <v>M3XKM</v>
      </c>
      <c r="G92" s="1407">
        <f>VLOOKUP($B92,[1]BOLETIM_SEL!$A:$H,7,0)</f>
        <v>7.11</v>
      </c>
      <c r="H92" s="1608">
        <f>ROUND(Demolicao!M71*E92,2)</f>
        <v>0</v>
      </c>
      <c r="I92" s="876">
        <f>TRUNC(G92*(1+$J$5),2)</f>
        <v>8.67</v>
      </c>
      <c r="J92" s="1607">
        <f>TRUNC(H92*I92,2)</f>
        <v>0</v>
      </c>
      <c r="K92" s="2069">
        <f ca="1">J92/J$930</f>
        <v>0</v>
      </c>
      <c r="L92" s="1570">
        <f>J92/$J$63</f>
        <v>0</v>
      </c>
      <c r="M92" s="1442"/>
      <c r="N92" s="832"/>
      <c r="O92" s="832"/>
      <c r="Q92" s="832"/>
      <c r="R92" s="832"/>
      <c r="S92" s="832"/>
      <c r="T92" s="832"/>
      <c r="U92" s="832"/>
      <c r="V92" s="832"/>
      <c r="W92" s="832"/>
      <c r="X92" s="832"/>
    </row>
    <row r="93" spans="1:24" s="812" customFormat="1" ht="24.95" customHeight="1" x14ac:dyDescent="0.15">
      <c r="A93" s="2072"/>
      <c r="B93" s="833"/>
      <c r="C93" s="2"/>
      <c r="D93" s="1449" t="s">
        <v>1849</v>
      </c>
      <c r="E93" s="1442"/>
      <c r="F93" s="1442"/>
      <c r="G93" s="1815"/>
      <c r="H93" s="1442"/>
      <c r="I93" s="1442"/>
      <c r="J93" s="1557" t="str">
        <f>IF(J94=0,"-","")</f>
        <v/>
      </c>
      <c r="K93" s="1936"/>
      <c r="L93" s="1570"/>
      <c r="M93" s="1442" t="s">
        <v>1944</v>
      </c>
      <c r="N93" s="832"/>
      <c r="O93" s="832"/>
      <c r="Q93" s="832"/>
      <c r="R93" s="832"/>
      <c r="S93" s="832"/>
      <c r="T93" s="832"/>
      <c r="U93" s="832"/>
      <c r="V93" s="832"/>
      <c r="W93" s="832"/>
      <c r="X93" s="832"/>
    </row>
    <row r="94" spans="1:24" s="812" customFormat="1" ht="39.950000000000003" customHeight="1" x14ac:dyDescent="0.15">
      <c r="A94" s="2072">
        <f ca="1">IF(H94&gt;0,A92+0.01,A92)</f>
        <v>2.1199999999999974</v>
      </c>
      <c r="B94" s="833">
        <f>IF(AND(M94&lt;=50,E94&lt;=30),95876,IF(AND(M94&lt;=50,E94&gt;30),93590,IF(AND(M94&gt;50,E94&lt;=30),95876,93593)))</f>
        <v>95876</v>
      </c>
      <c r="C94" s="2" t="str">
        <f>VLOOKUP($B94,[1]BOLETIM_SEL!$A:$H,2,0)</f>
        <v>SINAPI</v>
      </c>
      <c r="D94" s="315" t="str">
        <f>VLOOKUP($B94,[1]BOLETIM_SEL!$A:$H,4,0)</f>
        <v>Transporte com caminhão basculante de 14 m3, em via urbana pavimentada, DMT até 30,00 km (unidade: m3xkm). AF_07/2020</v>
      </c>
      <c r="E94" s="2">
        <f>Dados_DMT!$B$17</f>
        <v>8</v>
      </c>
      <c r="F94" s="2" t="str">
        <f>VLOOKUP($B94,[1]BOLETIM_SEL!$A:$H,6,0)</f>
        <v>M3XKM</v>
      </c>
      <c r="G94" s="1407">
        <f>VLOOKUP($B94,[1]BOLETIM_SEL!$A:$H,7,0)</f>
        <v>2.0699999999999998</v>
      </c>
      <c r="H94" s="1608">
        <f>ROUND(Demolicao!M70*E94,2)</f>
        <v>788.08</v>
      </c>
      <c r="I94" s="876">
        <f>TRUNC(G94*(1+$J$5),2)</f>
        <v>2.52</v>
      </c>
      <c r="J94" s="1607">
        <f>TRUNC(H94*I94,2)</f>
        <v>1985.96</v>
      </c>
      <c r="K94" s="2069">
        <f ca="1">J94/J$930</f>
        <v>5.3980157592509095E-4</v>
      </c>
      <c r="L94" s="1570">
        <f>J94/$J$63</f>
        <v>5.0784607299986829E-2</v>
      </c>
      <c r="M94" s="1450">
        <f>IF(H94=0,0,H94/E94)</f>
        <v>98.51</v>
      </c>
      <c r="N94" s="832"/>
      <c r="O94" s="832"/>
      <c r="Q94" s="832"/>
      <c r="R94" s="832"/>
      <c r="S94" s="832"/>
      <c r="T94" s="832"/>
      <c r="U94" s="832"/>
      <c r="V94" s="832"/>
      <c r="W94" s="832"/>
      <c r="X94" s="832"/>
    </row>
    <row r="95" spans="1:24" s="812" customFormat="1" ht="24.95" hidden="1" customHeight="1" x14ac:dyDescent="0.15">
      <c r="A95" s="2072"/>
      <c r="B95" s="833"/>
      <c r="C95" s="2"/>
      <c r="D95" s="1449" t="s">
        <v>1846</v>
      </c>
      <c r="E95" s="1442"/>
      <c r="F95" s="1442"/>
      <c r="G95" s="1815"/>
      <c r="H95" s="1442"/>
      <c r="I95" s="1442"/>
      <c r="J95" s="1557" t="str">
        <f>IF(J96=0,"-","")</f>
        <v>-</v>
      </c>
      <c r="K95" s="1936"/>
      <c r="L95" s="1570"/>
      <c r="M95" s="1442" t="s">
        <v>1941</v>
      </c>
      <c r="N95" s="832"/>
      <c r="O95" s="832"/>
      <c r="Q95" s="832"/>
      <c r="R95" s="832"/>
      <c r="S95" s="832"/>
      <c r="T95" s="832"/>
      <c r="U95" s="832"/>
      <c r="V95" s="832"/>
      <c r="W95" s="832"/>
      <c r="X95" s="832"/>
    </row>
    <row r="96" spans="1:24" s="812" customFormat="1" ht="39.950000000000003" hidden="1" customHeight="1" x14ac:dyDescent="0.15">
      <c r="A96" s="2072">
        <f ca="1">IF(H96&gt;0,A94+0.01,A94)</f>
        <v>2.1199999999999974</v>
      </c>
      <c r="B96" s="833">
        <f>IF(AND(M96&lt;=50,E96&lt;=30),95875,IF(AND(M96&lt;=50,E96&gt;30),93590,IF(AND(M96&gt;50,E96&lt;=30),95876,93593)))</f>
        <v>95875</v>
      </c>
      <c r="C96" s="2" t="str">
        <f>VLOOKUP($B96,[1]BOLETIM_SEL!$A:$H,2,0)</f>
        <v>SINAPI</v>
      </c>
      <c r="D96" s="315" t="str">
        <f>VLOOKUP($B96,[1]BOLETIM_SEL!$A:$H,4,0)</f>
        <v>Transporte com caminhão basculante de 10 m3, em via urbana pavimentada, DMT até 30,00 km (unidade: m3xkm). AF_07/2020</v>
      </c>
      <c r="E96" s="2">
        <f>Dados_DMT!$B$19</f>
        <v>0</v>
      </c>
      <c r="F96" s="2" t="str">
        <f>VLOOKUP($B96,[1]BOLETIM_SEL!$A:$H,6,0)</f>
        <v>M3XKM</v>
      </c>
      <c r="G96" s="1407">
        <f>VLOOKUP($B96,[1]BOLETIM_SEL!$A:$H,7,0)</f>
        <v>2.36</v>
      </c>
      <c r="H96" s="1608">
        <f>ROUND(Demolicao!M73*E96,2)</f>
        <v>0</v>
      </c>
      <c r="I96" s="876">
        <f>TRUNC(G96*(1+$J$5),2)</f>
        <v>2.87</v>
      </c>
      <c r="J96" s="1607">
        <f>TRUNC(H96*I96,2)</f>
        <v>0</v>
      </c>
      <c r="K96" s="2069">
        <f ca="1">J96/J$930</f>
        <v>0</v>
      </c>
      <c r="L96" s="1570">
        <f>J96/$J$63</f>
        <v>0</v>
      </c>
      <c r="M96" s="1450">
        <f>IF(H96=0,0,H96/E96)</f>
        <v>0</v>
      </c>
      <c r="N96" s="832"/>
      <c r="O96" s="832"/>
      <c r="Q96" s="832"/>
      <c r="R96" s="832"/>
      <c r="S96" s="832"/>
      <c r="T96" s="832"/>
      <c r="U96" s="832"/>
      <c r="V96" s="832"/>
      <c r="W96" s="832"/>
      <c r="X96" s="832"/>
    </row>
    <row r="97" spans="1:24" s="812" customFormat="1" ht="24.95" customHeight="1" x14ac:dyDescent="0.15">
      <c r="A97" s="2072"/>
      <c r="B97" s="833"/>
      <c r="C97" s="2"/>
      <c r="D97" s="1449" t="s">
        <v>1850</v>
      </c>
      <c r="E97" s="1442"/>
      <c r="F97" s="1442"/>
      <c r="G97" s="1815"/>
      <c r="H97" s="1442"/>
      <c r="I97" s="1442"/>
      <c r="J97" s="1557" t="str">
        <f>IF(J98=0,"-","")</f>
        <v/>
      </c>
      <c r="K97" s="1936"/>
      <c r="L97" s="1570"/>
      <c r="M97" s="1442" t="s">
        <v>1940</v>
      </c>
      <c r="N97" s="832"/>
      <c r="O97" s="832"/>
      <c r="Q97" s="832"/>
      <c r="R97" s="832"/>
      <c r="S97" s="832"/>
      <c r="T97" s="832"/>
      <c r="U97" s="832"/>
      <c r="V97" s="832"/>
      <c r="W97" s="832"/>
      <c r="X97" s="832"/>
    </row>
    <row r="98" spans="1:24" s="812" customFormat="1" ht="30" customHeight="1" x14ac:dyDescent="0.15">
      <c r="A98" s="2072">
        <f ca="1">IF(H98&gt;0,A96+0.01,A96)</f>
        <v>2.1299999999999972</v>
      </c>
      <c r="B98" s="833">
        <v>100947</v>
      </c>
      <c r="C98" s="2" t="str">
        <f>VLOOKUP($B98,[1]BOLETIM_SEL!$A:$H,2,0)</f>
        <v>SINAPI</v>
      </c>
      <c r="D98" s="315" t="str">
        <f>VLOOKUP($B98,[1]BOLETIM_SEL!$A:$H,4,0)</f>
        <v>Transporte com caminhão carroceria 9t, em via urbana pavimentada, DMT até 30,00 km (unidade: txkm). AF_07/2020</v>
      </c>
      <c r="E98" s="2">
        <f>Dados_DMT!$B$17</f>
        <v>8</v>
      </c>
      <c r="F98" s="2" t="str">
        <f>VLOOKUP($B98,[1]BOLETIM_SEL!$A:$H,6,0)</f>
        <v>TXKM</v>
      </c>
      <c r="G98" s="1407">
        <f>VLOOKUP($B98,[1]BOLETIM_SEL!$A:$H,7,0)</f>
        <v>2.12</v>
      </c>
      <c r="H98" s="1608">
        <f>ROUND(Demolicao!M75*E98,2)</f>
        <v>80</v>
      </c>
      <c r="I98" s="876">
        <f>TRUNC(G98*(1+$J$5),2)</f>
        <v>2.58</v>
      </c>
      <c r="J98" s="1607">
        <f>TRUNC(H98*I98,2)</f>
        <v>206.4</v>
      </c>
      <c r="K98" s="2069">
        <f ca="1">J98/J$930</f>
        <v>5.6101354141543019E-5</v>
      </c>
      <c r="L98" s="1570">
        <f>J98/$J$63</f>
        <v>5.278023196195936E-3</v>
      </c>
      <c r="M98" s="4"/>
      <c r="N98" s="832"/>
      <c r="O98" s="832"/>
      <c r="Q98" s="832"/>
      <c r="R98" s="832"/>
      <c r="S98" s="832"/>
      <c r="T98" s="832"/>
      <c r="U98" s="832"/>
      <c r="V98" s="832"/>
      <c r="W98" s="832"/>
      <c r="X98" s="832"/>
    </row>
    <row r="99" spans="1:24" s="812" customFormat="1" ht="24.95" customHeight="1" x14ac:dyDescent="0.15">
      <c r="A99" s="2072"/>
      <c r="B99" s="833"/>
      <c r="C99" s="833"/>
      <c r="D99" s="834"/>
      <c r="E99" s="2"/>
      <c r="F99" s="833"/>
      <c r="G99" s="1814"/>
      <c r="H99" s="1"/>
      <c r="I99" s="876"/>
      <c r="J99" s="838" t="str">
        <f>IF(J63=0,0,"")</f>
        <v/>
      </c>
      <c r="K99" s="2069"/>
      <c r="L99" s="1570"/>
      <c r="M99" s="1443"/>
      <c r="N99" s="832"/>
      <c r="O99" s="832"/>
      <c r="Q99" s="832"/>
      <c r="R99" s="832"/>
      <c r="S99" s="832"/>
      <c r="T99" s="832"/>
      <c r="U99" s="832"/>
      <c r="V99" s="832"/>
      <c r="W99" s="832"/>
      <c r="X99" s="832"/>
    </row>
    <row r="100" spans="1:24" s="832" customFormat="1" ht="24.95" customHeight="1" x14ac:dyDescent="0.15">
      <c r="A100" s="2073">
        <f ca="1">IF(J100&gt;0,INT(A98)+1,IF(J100=0,INT(A98),0))</f>
        <v>3</v>
      </c>
      <c r="B100" s="1626"/>
      <c r="C100" s="1626"/>
      <c r="D100" s="1627" t="s">
        <v>742</v>
      </c>
      <c r="E100" s="1821"/>
      <c r="F100" s="1628"/>
      <c r="G100" s="1813" t="s">
        <v>645</v>
      </c>
      <c r="H100" s="1630"/>
      <c r="I100" s="1633" t="str">
        <f ca="1">CONCATENATE("SUB-TOTAL ",A100)</f>
        <v>SUB-TOTAL 3</v>
      </c>
      <c r="J100" s="1632">
        <f ca="1">SUM(J101:J181)</f>
        <v>143972.27999999997</v>
      </c>
      <c r="K100" s="2070">
        <f t="shared" ref="K100:K131" ca="1" si="20">J100/J$930</f>
        <v>3.9132945091305181E-2</v>
      </c>
      <c r="L100" s="1605">
        <f t="shared" ref="L100:L129" ca="1" si="21">J100/J$100</f>
        <v>1</v>
      </c>
      <c r="U100" s="1809">
        <f ca="1">J105+J108+J109+J111+J124+J126+J129+J134+J135+J136+J137+J145+J148+J149+J151+J169+J171+J175</f>
        <v>143972.27999999997</v>
      </c>
    </row>
    <row r="101" spans="1:24" s="812" customFormat="1" ht="30" hidden="1" customHeight="1" x14ac:dyDescent="0.15">
      <c r="A101" s="2072">
        <f t="shared" ref="A101:A169" ca="1" si="22">IF(H101&gt;0,A100+0.01,A100)</f>
        <v>3</v>
      </c>
      <c r="B101" s="833" t="s">
        <v>692</v>
      </c>
      <c r="C101" s="2" t="str">
        <f>VLOOKUP($B101,[1]BOLETIM_SEL!$A:$H,2,0)</f>
        <v>COMPOSIÇÃO</v>
      </c>
      <c r="D101" s="315" t="str">
        <f>VLOOKUP($B101,[1]BOLETIM_SEL!$A:$H,4,0)</f>
        <v>Esgotamento de água com bomba submersa (REF. SICRO COD. 2003864)</v>
      </c>
      <c r="E101" s="1823"/>
      <c r="F101" s="2" t="str">
        <f>VLOOKUP($B101,[1]BOLETIM_SEL!$A:$H,6,0)</f>
        <v>H</v>
      </c>
      <c r="G101" s="1407">
        <f>VLOOKUP($B101,[1]BOLETIM_SEL!$A:$H,7,0)</f>
        <v>22.17</v>
      </c>
      <c r="H101" s="1608">
        <f>Dre_Terraplenagem!AE191</f>
        <v>0</v>
      </c>
      <c r="I101" s="876">
        <f t="shared" ref="I101:I129" si="23">TRUNC(G101*(1+$J$5),2)</f>
        <v>27.04</v>
      </c>
      <c r="J101" s="1607">
        <f t="shared" ref="J101:J113" si="24">TRUNC(H101*I101,2)</f>
        <v>0</v>
      </c>
      <c r="K101" s="2069">
        <f t="shared" ca="1" si="20"/>
        <v>0</v>
      </c>
      <c r="L101" s="1570">
        <f t="shared" ca="1" si="21"/>
        <v>0</v>
      </c>
      <c r="M101" s="1443"/>
      <c r="N101" s="832"/>
      <c r="O101" s="832"/>
      <c r="Q101" s="832"/>
      <c r="R101" s="832"/>
      <c r="S101" s="832"/>
      <c r="T101" s="832"/>
      <c r="U101" s="832"/>
      <c r="V101" s="832"/>
      <c r="W101" s="832"/>
      <c r="X101" s="832"/>
    </row>
    <row r="102" spans="1:24" s="812" customFormat="1" ht="30" hidden="1" customHeight="1" x14ac:dyDescent="0.15">
      <c r="A102" s="2072">
        <f t="shared" ca="1" si="22"/>
        <v>3</v>
      </c>
      <c r="B102" s="833" t="s">
        <v>1672</v>
      </c>
      <c r="C102" s="2" t="str">
        <f>VLOOKUP($B102,[1]BOLETIM_SEL!$A:$H,2,0)</f>
        <v>COMPOSIÇÃO</v>
      </c>
      <c r="D102" s="315" t="str">
        <f>VLOOKUP($B102,[1]BOLETIM_SEL!$A:$H,4,0)</f>
        <v>Arrancamento e remoção de canalização, Ø ≤ 60 cm. Exclusive bota-fora</v>
      </c>
      <c r="E102" s="1823"/>
      <c r="F102" s="2" t="str">
        <f>VLOOKUP($B102,[1]BOLETIM_SEL!$A:$H,6,0)</f>
        <v>M</v>
      </c>
      <c r="G102" s="1407">
        <f>VLOOKUP($B102,[1]BOLETIM_SEL!$A:$H,7,0)</f>
        <v>77.63</v>
      </c>
      <c r="H102" s="1608">
        <f>Dre_Ser_Prelim!AE35</f>
        <v>0</v>
      </c>
      <c r="I102" s="876">
        <f t="shared" si="23"/>
        <v>94.7</v>
      </c>
      <c r="J102" s="1607">
        <f t="shared" si="24"/>
        <v>0</v>
      </c>
      <c r="K102" s="2069">
        <f t="shared" ca="1" si="20"/>
        <v>0</v>
      </c>
      <c r="L102" s="1570">
        <f t="shared" ca="1" si="21"/>
        <v>0</v>
      </c>
      <c r="M102" s="1443"/>
      <c r="N102" s="832"/>
      <c r="O102" s="832"/>
      <c r="Q102" s="832"/>
      <c r="R102" s="832"/>
      <c r="S102" s="832"/>
      <c r="T102" s="832"/>
      <c r="U102" s="832"/>
      <c r="V102" s="832"/>
      <c r="W102" s="832"/>
      <c r="X102" s="832"/>
    </row>
    <row r="103" spans="1:24" s="812" customFormat="1" ht="30" hidden="1" customHeight="1" x14ac:dyDescent="0.15">
      <c r="A103" s="2072">
        <f t="shared" ca="1" si="22"/>
        <v>3</v>
      </c>
      <c r="B103" s="833" t="s">
        <v>1673</v>
      </c>
      <c r="C103" s="2" t="str">
        <f>VLOOKUP($B103,[1]BOLETIM_SEL!$A:$H,2,0)</f>
        <v>COMPOSIÇÃO</v>
      </c>
      <c r="D103" s="315" t="str">
        <f>VLOOKUP($B103,[1]BOLETIM_SEL!$A:$H,4,0)</f>
        <v>Arrancamento e remoção de canalização, Ø &gt; 60 cm. Exclusive bota-fora</v>
      </c>
      <c r="E103" s="1823"/>
      <c r="F103" s="2" t="str">
        <f>VLOOKUP($B103,[1]BOLETIM_SEL!$A:$H,6,0)</f>
        <v>M</v>
      </c>
      <c r="G103" s="1407">
        <f>VLOOKUP($B103,[1]BOLETIM_SEL!$A:$H,7,0)</f>
        <v>131.52000000000001</v>
      </c>
      <c r="H103" s="1608">
        <f>Dre_Ser_Prelim!AE36</f>
        <v>0</v>
      </c>
      <c r="I103" s="876">
        <f t="shared" si="23"/>
        <v>160.44999999999999</v>
      </c>
      <c r="J103" s="1607">
        <f t="shared" si="24"/>
        <v>0</v>
      </c>
      <c r="K103" s="2069">
        <f t="shared" ca="1" si="20"/>
        <v>0</v>
      </c>
      <c r="L103" s="1570">
        <f t="shared" ca="1" si="21"/>
        <v>0</v>
      </c>
      <c r="M103" s="1443"/>
      <c r="N103" s="1648" t="s">
        <v>1951</v>
      </c>
      <c r="O103" s="1648" t="s">
        <v>1977</v>
      </c>
      <c r="Q103" s="832"/>
      <c r="R103" s="832"/>
      <c r="S103" s="832"/>
      <c r="T103" s="832"/>
      <c r="U103" s="832"/>
      <c r="V103" s="832"/>
      <c r="W103" s="832"/>
      <c r="X103" s="832"/>
    </row>
    <row r="104" spans="1:24" s="812" customFormat="1" ht="50.1" hidden="1" customHeight="1" x14ac:dyDescent="0.15">
      <c r="A104" s="2072">
        <f t="shared" ca="1" si="22"/>
        <v>3</v>
      </c>
      <c r="B104" s="833">
        <v>90099</v>
      </c>
      <c r="C104" s="2" t="str">
        <f>VLOOKUP($B104,[1]BOLETIM_SEL!$A:$H,2,0)</f>
        <v>SINAPI</v>
      </c>
      <c r="D104" s="315" t="str">
        <f>VLOOKUP($B104,[1]BOLETIM_SEL!$A:$H,4,0)</f>
        <v>Escavação mecanizada de vala com profundidade até 1,50 m (média entre montante e jusante / uma composição por trecho), com retroescavadeira (capacidade da caçamba: 0,26 m3 / potência: 88 HP), largura menor que 0,80 m, em solo de 1a categoria, em locais com alto nível de interferência. AF_01/2015</v>
      </c>
      <c r="E104" s="1823"/>
      <c r="F104" s="2" t="str">
        <f>VLOOKUP($B104,[1]BOLETIM_SEL!$A:$H,6,0)</f>
        <v>M3</v>
      </c>
      <c r="G104" s="1407">
        <f>VLOOKUP($B104,[1]BOLETIM_SEL!$A:$H,7,0)</f>
        <v>15.47</v>
      </c>
      <c r="H104" s="1608">
        <f ca="1">Dre_Terraplenagem!AE60</f>
        <v>0</v>
      </c>
      <c r="I104" s="876">
        <f t="shared" si="23"/>
        <v>18.87</v>
      </c>
      <c r="J104" s="1607">
        <f t="shared" ca="1" si="24"/>
        <v>0</v>
      </c>
      <c r="K104" s="2069">
        <f t="shared" ca="1" si="20"/>
        <v>0</v>
      </c>
      <c r="L104" s="1570">
        <f t="shared" ca="1" si="21"/>
        <v>0</v>
      </c>
      <c r="M104" s="2409" t="str">
        <f>VLOOKUP($B104,[1]BOLETIM_SEL!$A:$H,5,0)</f>
        <v>H &lt; 1,50
alta Interferência</v>
      </c>
      <c r="N104" s="1647">
        <f>VLOOKUP($B104,[1]BOLETIM_SEL!$A:$H,3,0)</f>
        <v>7.62</v>
      </c>
      <c r="O104" s="1645">
        <f t="shared" ref="O104:O123" ca="1" si="25">H104/N104</f>
        <v>0</v>
      </c>
      <c r="Q104" s="832"/>
      <c r="R104" s="832"/>
      <c r="S104" s="832"/>
      <c r="T104" s="832"/>
      <c r="U104" s="832"/>
      <c r="V104" s="832"/>
      <c r="W104" s="832"/>
      <c r="X104" s="832"/>
    </row>
    <row r="105" spans="1:24" s="812" customFormat="1" ht="50.1" customHeight="1" x14ac:dyDescent="0.15">
      <c r="A105" s="2072">
        <f t="shared" ca="1" si="22"/>
        <v>3.01</v>
      </c>
      <c r="B105" s="833">
        <v>90100</v>
      </c>
      <c r="C105" s="2" t="str">
        <f>VLOOKUP($B105,[1]BOLETIM_SEL!$A:$H,2,0)</f>
        <v>SINAPI</v>
      </c>
      <c r="D105" s="315" t="str">
        <f>VLOOKUP($B105,[1]BOLETIM_SEL!$A:$H,4,0)</f>
        <v>Escavação mecanizada de vala com profundidade até 1,50 m (média entre montante e jusante / uma composição por trecho), com retroescavadeira (capacidade da caçamba: 0,26 m3 / potência: 88 HP), largura de 0,80 m a 1,50 m, em solo de 1a categoria, em locais com alto nível de interferência. AF_01/2015</v>
      </c>
      <c r="E105" s="1823"/>
      <c r="F105" s="2" t="str">
        <f>VLOOKUP($B105,[1]BOLETIM_SEL!$A:$H,6,0)</f>
        <v>M3</v>
      </c>
      <c r="G105" s="1407">
        <f>VLOOKUP($B105,[1]BOLETIM_SEL!$A:$H,7,0)</f>
        <v>13.13</v>
      </c>
      <c r="H105" s="1608">
        <f ca="1">Dre_Terraplenagem!AE61</f>
        <v>307.39</v>
      </c>
      <c r="I105" s="876">
        <f t="shared" si="23"/>
        <v>16.010000000000002</v>
      </c>
      <c r="J105" s="1607">
        <f t="shared" ca="1" si="24"/>
        <v>4921.3100000000004</v>
      </c>
      <c r="K105" s="2069">
        <f t="shared" ca="1" si="20"/>
        <v>1.3376557904569626E-3</v>
      </c>
      <c r="L105" s="1570">
        <f t="shared" ca="1" si="21"/>
        <v>3.4182343990106993E-2</v>
      </c>
      <c r="M105" s="2409"/>
      <c r="N105" s="1647">
        <f>VLOOKUP($B105,[1]BOLETIM_SEL!$A:$H,3,0)</f>
        <v>8.9600000000000009</v>
      </c>
      <c r="O105" s="1645">
        <f t="shared" ca="1" si="25"/>
        <v>34.306919642857139</v>
      </c>
      <c r="Q105" s="832"/>
      <c r="R105" s="832"/>
      <c r="S105" s="832"/>
      <c r="T105" s="832"/>
      <c r="U105" s="832"/>
      <c r="V105" s="832"/>
      <c r="W105" s="832"/>
      <c r="X105" s="832"/>
    </row>
    <row r="106" spans="1:24" s="812" customFormat="1" ht="50.1" hidden="1" customHeight="1" x14ac:dyDescent="0.15">
      <c r="A106" s="2072">
        <f t="shared" ca="1" si="22"/>
        <v>3.01</v>
      </c>
      <c r="B106" s="833">
        <v>90082</v>
      </c>
      <c r="C106" s="2" t="str">
        <f>VLOOKUP($B106,[1]BOLETIM_SEL!$A:$H,2,0)</f>
        <v>SINAPI</v>
      </c>
      <c r="D106" s="315" t="str">
        <f>VLOOKUP($B106,[1]BOLETIM_SEL!$A:$H,4,0)</f>
        <v>Escavação mecanizada de vala com profundidade até 1,50 m (média entre montante e jusante / uma composição por trecho), com escavadeira hidráulica (capacidade da caçamba: 0,80 m3), largura de 1,50 m a 2,50 m, em solo de 1a categoria, em locais com alto nível de interferência. AF_01/2015</v>
      </c>
      <c r="E106" s="1823"/>
      <c r="F106" s="2" t="str">
        <f>VLOOKUP($B106,[1]BOLETIM_SEL!$A:$H,6,0)</f>
        <v>M3</v>
      </c>
      <c r="G106" s="1407">
        <f>VLOOKUP($B106,[1]BOLETIM_SEL!$A:$H,7,0)</f>
        <v>11.18</v>
      </c>
      <c r="H106" s="1608">
        <f ca="1">Dre_Terraplenagem!AE62</f>
        <v>0</v>
      </c>
      <c r="I106" s="876">
        <f t="shared" si="23"/>
        <v>13.63</v>
      </c>
      <c r="J106" s="1607">
        <f t="shared" ca="1" si="24"/>
        <v>0</v>
      </c>
      <c r="K106" s="2069">
        <f t="shared" ca="1" si="20"/>
        <v>0</v>
      </c>
      <c r="L106" s="1570">
        <f t="shared" ca="1" si="21"/>
        <v>0</v>
      </c>
      <c r="M106" s="2409"/>
      <c r="N106" s="1647">
        <f>VLOOKUP($B106,[1]BOLETIM_SEL!$A:$H,3,0)</f>
        <v>13.46</v>
      </c>
      <c r="O106" s="1645">
        <f t="shared" ca="1" si="25"/>
        <v>0</v>
      </c>
      <c r="Q106" s="832"/>
      <c r="R106" s="832"/>
      <c r="S106" s="832"/>
      <c r="T106" s="832"/>
      <c r="U106" s="832"/>
      <c r="V106" s="832"/>
      <c r="W106" s="832"/>
      <c r="X106" s="832"/>
    </row>
    <row r="107" spans="1:24" s="812" customFormat="1" ht="50.1" hidden="1" customHeight="1" x14ac:dyDescent="0.15">
      <c r="A107" s="2072">
        <f t="shared" ca="1" si="22"/>
        <v>3.01</v>
      </c>
      <c r="B107" s="833">
        <v>90101</v>
      </c>
      <c r="C107" s="2" t="str">
        <f>VLOOKUP($B107,[1]BOLETIM_SEL!$A:$H,2,0)</f>
        <v>SINAPI</v>
      </c>
      <c r="D107" s="315" t="str">
        <f>VLOOKUP($B107,[1]BOLETIM_SEL!$A:$H,4,0)</f>
        <v>Escavação mecanizada de vala com profundidade maior que 1,50 m até 3,00 m (média entre montante e jusante / uma composição por trecho), com retroescavadeira (capacidade da caçamba: 0,26 m3 / potência: 88 HP), largura menor que 0,80 m, em solo de 1a categoria, em locais com alto nível de interferência. AF_01/2015</v>
      </c>
      <c r="E107" s="1823"/>
      <c r="F107" s="2" t="str">
        <f>VLOOKUP($B107,[1]BOLETIM_SEL!$A:$H,6,0)</f>
        <v>M3</v>
      </c>
      <c r="G107" s="1407">
        <f>VLOOKUP($B107,[1]BOLETIM_SEL!$A:$H,7,0)</f>
        <v>12.98</v>
      </c>
      <c r="H107" s="1608">
        <f ca="1">Dre_Terraplenagem!AE63</f>
        <v>0</v>
      </c>
      <c r="I107" s="876">
        <f t="shared" si="23"/>
        <v>15.83</v>
      </c>
      <c r="J107" s="1607">
        <f t="shared" ca="1" si="24"/>
        <v>0</v>
      </c>
      <c r="K107" s="2069">
        <f t="shared" ca="1" si="20"/>
        <v>0</v>
      </c>
      <c r="L107" s="1570">
        <f t="shared" ca="1" si="21"/>
        <v>0</v>
      </c>
      <c r="M107" s="2410" t="str">
        <f>VLOOKUP($B107,[1]BOLETIM_SEL!$A:$H,5,0)</f>
        <v>1,51 &lt; H &lt; 3,00
alta Interferência</v>
      </c>
      <c r="N107" s="1647">
        <f>VLOOKUP($B107,[1]BOLETIM_SEL!$A:$H,3,0)</f>
        <v>9.07</v>
      </c>
      <c r="O107" s="1645">
        <f t="shared" ca="1" si="25"/>
        <v>0</v>
      </c>
      <c r="Q107" s="832"/>
      <c r="R107" s="832"/>
      <c r="S107" s="832"/>
      <c r="T107" s="832"/>
      <c r="U107" s="832"/>
      <c r="V107" s="832"/>
      <c r="W107" s="832"/>
      <c r="X107" s="832"/>
    </row>
    <row r="108" spans="1:24" s="812" customFormat="1" ht="50.1" customHeight="1" x14ac:dyDescent="0.15">
      <c r="A108" s="2072">
        <f t="shared" ca="1" si="22"/>
        <v>3.0199999999999996</v>
      </c>
      <c r="B108" s="833">
        <v>90102</v>
      </c>
      <c r="C108" s="2" t="str">
        <f>VLOOKUP($B108,[1]BOLETIM_SEL!$A:$H,2,0)</f>
        <v>SINAPI</v>
      </c>
      <c r="D108" s="315" t="str">
        <f>VLOOKUP($B108,[1]BOLETIM_SEL!$A:$H,4,0)</f>
        <v>Escavação mecanizada de vala com profundidade maior que 1,50 m até 3,00 m (média entre montante e jusante / uma composição por trecho), com retroescavadeira (capacidade da caçamba: 0,26 m3 / potência: 88 HP), largura de 0,80 m a 1,50 m, em solo de 1a categoria, em locais com alto nível de interferência. AF_01/2015</v>
      </c>
      <c r="E108" s="1823"/>
      <c r="F108" s="2" t="str">
        <f>VLOOKUP($B108,[1]BOLETIM_SEL!$A:$H,6,0)</f>
        <v>M3</v>
      </c>
      <c r="G108" s="1407">
        <f>VLOOKUP($B108,[1]BOLETIM_SEL!$A:$H,7,0)</f>
        <v>11.81</v>
      </c>
      <c r="H108" s="1608">
        <f ca="1">Dre_Terraplenagem!AE64</f>
        <v>149.86000000000001</v>
      </c>
      <c r="I108" s="876">
        <f t="shared" si="23"/>
        <v>14.4</v>
      </c>
      <c r="J108" s="1607">
        <f t="shared" ca="1" si="24"/>
        <v>2157.98</v>
      </c>
      <c r="K108" s="2069">
        <f t="shared" ca="1" si="20"/>
        <v>5.8655814055410367E-4</v>
      </c>
      <c r="L108" s="1570">
        <f t="shared" ca="1" si="21"/>
        <v>1.4988857577305857E-2</v>
      </c>
      <c r="M108" s="2410"/>
      <c r="N108" s="1647">
        <f>VLOOKUP($B108,[1]BOLETIM_SEL!$A:$H,3,0)</f>
        <v>9.9700000000000006</v>
      </c>
      <c r="O108" s="1645">
        <f t="shared" ca="1" si="25"/>
        <v>15.031093279839519</v>
      </c>
      <c r="Q108" s="832"/>
      <c r="R108" s="832"/>
      <c r="S108" s="832"/>
      <c r="T108" s="832"/>
      <c r="U108" s="832"/>
      <c r="V108" s="832"/>
      <c r="W108" s="832"/>
      <c r="X108" s="832"/>
    </row>
    <row r="109" spans="1:24" s="812" customFormat="1" ht="50.1" customHeight="1" x14ac:dyDescent="0.15">
      <c r="A109" s="2072">
        <f t="shared" ca="1" si="22"/>
        <v>3.0299999999999994</v>
      </c>
      <c r="B109" s="833">
        <v>102278</v>
      </c>
      <c r="C109" s="2" t="str">
        <f>VLOOKUP($B109,[1]BOLETIM_SEL!$A:$H,2,0)</f>
        <v>SINAPI</v>
      </c>
      <c r="D109" s="315" t="str">
        <f>VLOOKUP($B109,[1]BOLETIM_SEL!$A:$H,4,0)</f>
        <v>Escavação mecanizada de vala com profundidade maior que 1,50 m até 3,00 m (média entre montante e jusante / uma composição por trecho), com escavadeira hidráulica (capacidade da caçamba: 1,2 m3 / potência: 155 HP), largura de 1,50 m a 2,50 m, em solo de 1a categoria, em locais com alto nível de interferência. AF_02/2021</v>
      </c>
      <c r="E109" s="1823"/>
      <c r="F109" s="2" t="str">
        <f>VLOOKUP($B109,[1]BOLETIM_SEL!$A:$H,6,0)</f>
        <v>M3</v>
      </c>
      <c r="G109" s="1407">
        <f>VLOOKUP($B109,[1]BOLETIM_SEL!$A:$H,7,0)</f>
        <v>9.7100000000000009</v>
      </c>
      <c r="H109" s="1608">
        <f ca="1">Dre_Terraplenagem!AE65</f>
        <v>451.48</v>
      </c>
      <c r="I109" s="876">
        <f t="shared" si="23"/>
        <v>11.84</v>
      </c>
      <c r="J109" s="1607">
        <f t="shared" ca="1" si="24"/>
        <v>5345.52</v>
      </c>
      <c r="K109" s="2069">
        <f t="shared" ca="1" si="20"/>
        <v>1.4529598381332416E-3</v>
      </c>
      <c r="L109" s="1570">
        <f t="shared" ca="1" si="21"/>
        <v>3.7128813963354622E-2</v>
      </c>
      <c r="M109" s="2410"/>
      <c r="N109" s="1647">
        <v>14.75</v>
      </c>
      <c r="O109" s="1645">
        <f t="shared" ca="1" si="25"/>
        <v>30.608813559322034</v>
      </c>
      <c r="Q109" s="832"/>
      <c r="R109" s="832"/>
      <c r="S109" s="832"/>
      <c r="T109" s="832"/>
      <c r="U109" s="832"/>
      <c r="V109" s="832"/>
      <c r="W109" s="832"/>
      <c r="X109" s="832"/>
    </row>
    <row r="110" spans="1:24" s="812" customFormat="1" ht="50.1" hidden="1" customHeight="1" x14ac:dyDescent="0.15">
      <c r="A110" s="2072">
        <f t="shared" ca="1" si="22"/>
        <v>3.0299999999999994</v>
      </c>
      <c r="B110" s="833">
        <v>90086</v>
      </c>
      <c r="C110" s="2" t="str">
        <f>VLOOKUP($B110,[1]BOLETIM_SEL!$A:$H,2,0)</f>
        <v>SINAPI</v>
      </c>
      <c r="D110" s="315" t="str">
        <f>VLOOKUP($B110,[1]BOLETIM_SEL!$A:$H,4,0)</f>
        <v>Escavação mecanizada de vala com profundidade maior que 3,00 m até 4,50 m (média entre montante e jusante / uma composição por trecho), com escavadeira hidráulica (capacidade da caçamba: 0,80 m3 / potência: 111 HP), largura menor que 1,50 m, em solo de 1a categoria, em locais com alto nível de interferência. AF_01/2015</v>
      </c>
      <c r="E110" s="1823"/>
      <c r="F110" s="2" t="str">
        <f>VLOOKUP($B110,[1]BOLETIM_SEL!$A:$H,6,0)</f>
        <v>M3</v>
      </c>
      <c r="G110" s="1407">
        <f>VLOOKUP($B110,[1]BOLETIM_SEL!$A:$H,7,0)</f>
        <v>10.23</v>
      </c>
      <c r="H110" s="1608">
        <f ca="1">Dre_Terraplenagem!AE66</f>
        <v>0</v>
      </c>
      <c r="I110" s="876">
        <f t="shared" si="23"/>
        <v>12.48</v>
      </c>
      <c r="J110" s="1607">
        <f t="shared" ca="1" si="24"/>
        <v>0</v>
      </c>
      <c r="K110" s="2069">
        <f t="shared" ca="1" si="20"/>
        <v>0</v>
      </c>
      <c r="L110" s="1570">
        <f t="shared" ca="1" si="21"/>
        <v>0</v>
      </c>
      <c r="M110" s="2411" t="str">
        <f>VLOOKUP($B110,[1]BOLETIM_SEL!$A:$H,5,0)</f>
        <v>3,01 &lt; H &lt; 4,50
alta Interferência</v>
      </c>
      <c r="N110" s="1647">
        <f>VLOOKUP($B110,[1]BOLETIM_SEL!$A:$H,3,0)</f>
        <v>14.58</v>
      </c>
      <c r="O110" s="1645">
        <f t="shared" ca="1" si="25"/>
        <v>0</v>
      </c>
      <c r="Q110" s="832"/>
      <c r="R110" s="832"/>
      <c r="S110" s="832"/>
      <c r="T110" s="832"/>
      <c r="U110" s="832"/>
      <c r="V110" s="832"/>
      <c r="W110" s="832"/>
      <c r="X110" s="832"/>
    </row>
    <row r="111" spans="1:24" s="812" customFormat="1" ht="50.1" customHeight="1" x14ac:dyDescent="0.15">
      <c r="A111" s="2072">
        <f t="shared" ca="1" si="22"/>
        <v>3.0399999999999991</v>
      </c>
      <c r="B111" s="833">
        <v>90087</v>
      </c>
      <c r="C111" s="2" t="str">
        <f>VLOOKUP($B111,[1]BOLETIM_SEL!$A:$H,2,0)</f>
        <v>SINAPI</v>
      </c>
      <c r="D111" s="315" t="str">
        <f>VLOOKUP($B111,[1]BOLETIM_SEL!$A:$H,4,0)</f>
        <v>Escavação mecanizada de vala com profundidade de 3,00 m até 4,50 m (média entre montante e jusante / uma composição por trecho), com escavadeira hidráulica (capacidade da caçamba: 1,20 m3 / potência: 155 HP), largura de 1,50 m a 2,50 m, em solo de 1a categoria, em locais com alto nível de interferência. AF_01/2015</v>
      </c>
      <c r="E111" s="1823"/>
      <c r="F111" s="2" t="str">
        <f>VLOOKUP($B111,[1]BOLETIM_SEL!$A:$H,6,0)</f>
        <v>M3</v>
      </c>
      <c r="G111" s="1407">
        <f>VLOOKUP($B111,[1]BOLETIM_SEL!$A:$H,7,0)</f>
        <v>9.32</v>
      </c>
      <c r="H111" s="1608">
        <f ca="1">Dre_Terraplenagem!AE67</f>
        <v>1132.3399999999999</v>
      </c>
      <c r="I111" s="876">
        <f t="shared" si="23"/>
        <v>11.37</v>
      </c>
      <c r="J111" s="1607">
        <f t="shared" ca="1" si="24"/>
        <v>12874.7</v>
      </c>
      <c r="K111" s="2069">
        <f t="shared" ca="1" si="20"/>
        <v>3.4994578690219183E-3</v>
      </c>
      <c r="L111" s="1570">
        <f t="shared" ca="1" si="21"/>
        <v>8.9424853173124735E-2</v>
      </c>
      <c r="M111" s="2411"/>
      <c r="N111" s="1647">
        <f>VLOOKUP($B111,[1]BOLETIM_SEL!$A:$H,3,0)</f>
        <v>19.12</v>
      </c>
      <c r="O111" s="1645">
        <f t="shared" ca="1" si="25"/>
        <v>59.222803347280326</v>
      </c>
      <c r="Q111" s="832"/>
      <c r="R111" s="832"/>
      <c r="S111" s="832"/>
      <c r="T111" s="832"/>
      <c r="U111" s="832"/>
      <c r="V111" s="832"/>
      <c r="W111" s="832"/>
      <c r="X111" s="832"/>
    </row>
    <row r="112" spans="1:24" s="812" customFormat="1" ht="50.1" hidden="1" customHeight="1" x14ac:dyDescent="0.15">
      <c r="A112" s="2072">
        <f t="shared" ca="1" si="22"/>
        <v>3.0399999999999991</v>
      </c>
      <c r="B112" s="833">
        <v>102277</v>
      </c>
      <c r="C112" s="2" t="str">
        <f>VLOOKUP($B112,[1]BOLETIM_SEL!$A:$H,2,0)</f>
        <v>SINAPI</v>
      </c>
      <c r="D112" s="315" t="str">
        <f>VLOOKUP($B112,[1]BOLETIM_SEL!$A:$H,4,0)</f>
        <v>Escavação mecanizada de vala com profundidade maior que 4,50 m até 6,00 m (média entre montante e jusante / uma composição por trecho), com escavadeira hidráulica (capacidade da caçamba: 0,80 m3 / potência: 111 HP), largura menor que 1,50 m, em solo de 1a categoria, em locais com alto nível de interferência. AF_02/2021</v>
      </c>
      <c r="E112" s="1823"/>
      <c r="F112" s="2" t="str">
        <f>VLOOKUP($B112,[1]BOLETIM_SEL!$A:$H,6,0)</f>
        <v>M3</v>
      </c>
      <c r="G112" s="1407">
        <f>VLOOKUP($B112,[1]BOLETIM_SEL!$A:$H,7,0)</f>
        <v>9.94</v>
      </c>
      <c r="H112" s="1608">
        <f ca="1">Dre_Terraplenagem!AE68</f>
        <v>0</v>
      </c>
      <c r="I112" s="876">
        <f t="shared" si="23"/>
        <v>12.12</v>
      </c>
      <c r="J112" s="1607">
        <f t="shared" ca="1" si="24"/>
        <v>0</v>
      </c>
      <c r="K112" s="2069">
        <f t="shared" ca="1" si="20"/>
        <v>0</v>
      </c>
      <c r="L112" s="1570">
        <f t="shared" ca="1" si="21"/>
        <v>0</v>
      </c>
      <c r="M112" s="2408" t="str">
        <f>VLOOKUP($B112,[1]BOLETIM_SEL!$A:$H,5,0)</f>
        <v>H &gt; 4,51
alta Interferência</v>
      </c>
      <c r="N112" s="1647">
        <v>18.73</v>
      </c>
      <c r="O112" s="1645">
        <f t="shared" ca="1" si="25"/>
        <v>0</v>
      </c>
      <c r="Q112" s="832"/>
      <c r="R112" s="832"/>
      <c r="S112" s="832"/>
      <c r="T112" s="832"/>
      <c r="U112" s="832"/>
      <c r="V112" s="832"/>
      <c r="W112" s="832"/>
      <c r="X112" s="832"/>
    </row>
    <row r="113" spans="1:24" s="812" customFormat="1" ht="50.1" hidden="1" customHeight="1" x14ac:dyDescent="0.15">
      <c r="A113" s="2072">
        <f t="shared" ca="1" si="22"/>
        <v>3.0399999999999991</v>
      </c>
      <c r="B113" s="833">
        <v>90090</v>
      </c>
      <c r="C113" s="2" t="str">
        <f>VLOOKUP($B113,[1]BOLETIM_SEL!$A:$H,2,0)</f>
        <v>SINAPI</v>
      </c>
      <c r="D113" s="315" t="str">
        <f>VLOOKUP($B113,[1]BOLETIM_SEL!$A:$H,4,0)</f>
        <v>Escavação mecanizada de vala com profundidade maior que 4,50 m até 6,00 m (média entre montante e jusante / uma composição por trecho), com escavadeira hidráulica (capacidade da caçamba: 1,20 m3 / potência: 155 HP), largura de 1,50 m a 2,50 m, em solo de 1a categoria, em locais com alto nível de interferência. AF_01/2015</v>
      </c>
      <c r="E113" s="1823"/>
      <c r="F113" s="2" t="str">
        <f>VLOOKUP($B113,[1]BOLETIM_SEL!$A:$H,6,0)</f>
        <v>M3</v>
      </c>
      <c r="G113" s="1407">
        <f>VLOOKUP($B113,[1]BOLETIM_SEL!$A:$H,7,0)</f>
        <v>9.11</v>
      </c>
      <c r="H113" s="1608">
        <f ca="1">Dre_Terraplenagem!AE69</f>
        <v>0</v>
      </c>
      <c r="I113" s="876">
        <f t="shared" si="23"/>
        <v>11.11</v>
      </c>
      <c r="J113" s="1607">
        <f t="shared" ca="1" si="24"/>
        <v>0</v>
      </c>
      <c r="K113" s="2069">
        <f t="shared" ca="1" si="20"/>
        <v>0</v>
      </c>
      <c r="L113" s="1570">
        <f t="shared" ca="1" si="21"/>
        <v>0</v>
      </c>
      <c r="M113" s="2408"/>
      <c r="N113" s="1647">
        <f>VLOOKUP($B113,[1]BOLETIM_SEL!$A:$H,3,0)</f>
        <v>19.489999999999998</v>
      </c>
      <c r="O113" s="1645">
        <f t="shared" ca="1" si="25"/>
        <v>0</v>
      </c>
      <c r="Q113" s="832"/>
      <c r="R113" s="832"/>
      <c r="S113" s="832"/>
      <c r="T113" s="832"/>
      <c r="U113" s="832"/>
      <c r="V113" s="832"/>
      <c r="W113" s="832"/>
      <c r="X113" s="832"/>
    </row>
    <row r="114" spans="1:24" s="812" customFormat="1" ht="50.1" hidden="1" customHeight="1" x14ac:dyDescent="0.15">
      <c r="A114" s="2072">
        <f t="shared" ca="1" si="22"/>
        <v>3.0399999999999991</v>
      </c>
      <c r="B114" s="833">
        <v>90105</v>
      </c>
      <c r="C114" s="2" t="str">
        <f>VLOOKUP($B114,[1]BOLETIM_SEL!$A:$H,2,0)</f>
        <v>SINAPI</v>
      </c>
      <c r="D114" s="315" t="str">
        <f>VLOOKUP($B114,[1]BOLETIM_SEL!$A:$H,4,0)</f>
        <v>Escavação mecanizada de vala com profundidade até 1,50 m (média entre montante e jusante / uma composição por trecho) com retroescavadeira (capacidade da caçamba: 0,26 m3 / potência: 88 HP), largura menor que 0,80 m, em solo de 1a categoria, locais com baixo nível de interferência. AF_01/2015</v>
      </c>
      <c r="E114" s="2"/>
      <c r="F114" s="2" t="str">
        <f>VLOOKUP($B114,[1]BOLETIM_SEL!$A:$H,6,0)</f>
        <v>M3</v>
      </c>
      <c r="G114" s="1407">
        <f>VLOOKUP($B114,[1]BOLETIM_SEL!$A:$H,7,0)</f>
        <v>8.52</v>
      </c>
      <c r="H114" s="1608">
        <f>Dre_Terraplenagem!AE70</f>
        <v>0</v>
      </c>
      <c r="I114" s="876">
        <f t="shared" si="23"/>
        <v>10.39</v>
      </c>
      <c r="J114" s="1607">
        <f t="shared" ref="J114:J125" si="26">TRUNC(H114*I114,2)</f>
        <v>0</v>
      </c>
      <c r="K114" s="2069">
        <f t="shared" ca="1" si="20"/>
        <v>0</v>
      </c>
      <c r="L114" s="1570">
        <f t="shared" ca="1" si="21"/>
        <v>0</v>
      </c>
      <c r="M114" s="2409" t="str">
        <f>VLOOKUP($B114,[1]BOLETIM_SEL!$A:$H,5,0)</f>
        <v>H &lt; 1,50
baixa Interferência</v>
      </c>
      <c r="N114" s="1647">
        <f>VLOOKUP($B114,[1]BOLETIM_SEL!$A:$H,3,0)</f>
        <v>12.76</v>
      </c>
      <c r="O114" s="1645">
        <f t="shared" si="25"/>
        <v>0</v>
      </c>
      <c r="Q114" s="832"/>
      <c r="R114" s="832"/>
      <c r="S114" s="832"/>
      <c r="T114" s="832"/>
      <c r="U114" s="832"/>
      <c r="V114" s="832"/>
      <c r="W114" s="832"/>
      <c r="X114" s="832"/>
    </row>
    <row r="115" spans="1:24" s="812" customFormat="1" ht="50.1" hidden="1" customHeight="1" x14ac:dyDescent="0.15">
      <c r="A115" s="2072">
        <f t="shared" ca="1" si="22"/>
        <v>3.0399999999999991</v>
      </c>
      <c r="B115" s="833">
        <v>90106</v>
      </c>
      <c r="C115" s="2" t="str">
        <f>VLOOKUP($B115,[1]BOLETIM_SEL!$A:$H,2,0)</f>
        <v>SINAPI</v>
      </c>
      <c r="D115" s="315" t="str">
        <f>VLOOKUP($B115,[1]BOLETIM_SEL!$A:$H,4,0)</f>
        <v>Escavação mecanizada de vala com profundidade até 1,50 m (média entre montante e jusante / uma composição por trecho) com retroescavadeira (capacidade da caçamba: 0,26 m3 / potência: 88 HP), largura de 0,80 m a 1,50 m, em solo de 1a categoria, locais com baixo nível de interferência. AF_01/2015</v>
      </c>
      <c r="E115" s="2"/>
      <c r="F115" s="2" t="str">
        <f>VLOOKUP($B115,[1]BOLETIM_SEL!$A:$H,6,0)</f>
        <v>M3</v>
      </c>
      <c r="G115" s="1407">
        <f>VLOOKUP($B115,[1]BOLETIM_SEL!$A:$H,7,0)</f>
        <v>7.26</v>
      </c>
      <c r="H115" s="1608">
        <f>Dre_Terraplenagem!AE71</f>
        <v>0</v>
      </c>
      <c r="I115" s="876">
        <f t="shared" si="23"/>
        <v>8.85</v>
      </c>
      <c r="J115" s="1607">
        <f t="shared" si="26"/>
        <v>0</v>
      </c>
      <c r="K115" s="2069">
        <f t="shared" ca="1" si="20"/>
        <v>0</v>
      </c>
      <c r="L115" s="1570">
        <f t="shared" ca="1" si="21"/>
        <v>0</v>
      </c>
      <c r="M115" s="2409"/>
      <c r="N115" s="1647">
        <f>VLOOKUP($B115,[1]BOLETIM_SEL!$A:$H,3,0)</f>
        <v>14.99</v>
      </c>
      <c r="O115" s="1645">
        <f t="shared" si="25"/>
        <v>0</v>
      </c>
      <c r="Q115" s="832"/>
      <c r="R115" s="832"/>
      <c r="S115" s="832"/>
      <c r="T115" s="832"/>
      <c r="U115" s="832"/>
      <c r="V115" s="832"/>
      <c r="W115" s="832"/>
      <c r="X115" s="832"/>
    </row>
    <row r="116" spans="1:24" s="812" customFormat="1" ht="50.1" hidden="1" customHeight="1" x14ac:dyDescent="0.15">
      <c r="A116" s="2072">
        <f t="shared" ca="1" si="22"/>
        <v>3.0399999999999991</v>
      </c>
      <c r="B116" s="833">
        <v>90091</v>
      </c>
      <c r="C116" s="2" t="str">
        <f>VLOOKUP($B116,[1]BOLETIM_SEL!$A:$H,2,0)</f>
        <v>SINAPI</v>
      </c>
      <c r="D116" s="315" t="str">
        <f>VLOOKUP($B116,[1]BOLETIM_SEL!$A:$H,4,0)</f>
        <v>Escavação mecanizada de vala com profundidade até 1,50 m (média entre montante e jusante / uma composição por trecho), com escavadeira hidráulica (capacidade da caçamba: 0,80 m3), largura de 1,50 m a 2,50 m, em solo de 1a categoria, locais com baixo nível de interferência. AF_01/2015</v>
      </c>
      <c r="E116" s="2"/>
      <c r="F116" s="2" t="str">
        <f>VLOOKUP($B116,[1]BOLETIM_SEL!$A:$H,6,0)</f>
        <v>M3</v>
      </c>
      <c r="G116" s="1407">
        <f>VLOOKUP($B116,[1]BOLETIM_SEL!$A:$H,7,0)</f>
        <v>6.05</v>
      </c>
      <c r="H116" s="1608">
        <f>Dre_Terraplenagem!AE72+Dre_Terraplenagem!AE196</f>
        <v>0</v>
      </c>
      <c r="I116" s="876">
        <f t="shared" si="23"/>
        <v>7.38</v>
      </c>
      <c r="J116" s="1607">
        <f t="shared" si="26"/>
        <v>0</v>
      </c>
      <c r="K116" s="2069">
        <f t="shared" ca="1" si="20"/>
        <v>0</v>
      </c>
      <c r="L116" s="1570">
        <f t="shared" ca="1" si="21"/>
        <v>0</v>
      </c>
      <c r="M116" s="2409"/>
      <c r="N116" s="1647">
        <f>VLOOKUP($B116,[1]BOLETIM_SEL!$A:$H,3,0)</f>
        <v>22.52</v>
      </c>
      <c r="O116" s="1645">
        <f t="shared" si="25"/>
        <v>0</v>
      </c>
      <c r="Q116" s="832"/>
      <c r="R116" s="832"/>
      <c r="S116" s="832"/>
      <c r="T116" s="832"/>
      <c r="U116" s="832"/>
      <c r="V116" s="832"/>
      <c r="W116" s="832"/>
      <c r="X116" s="832"/>
    </row>
    <row r="117" spans="1:24" s="812" customFormat="1" ht="50.1" hidden="1" customHeight="1" x14ac:dyDescent="0.15">
      <c r="A117" s="2072">
        <f t="shared" ca="1" si="22"/>
        <v>3.0399999999999991</v>
      </c>
      <c r="B117" s="833">
        <v>90107</v>
      </c>
      <c r="C117" s="2" t="str">
        <f>VLOOKUP($B117,[1]BOLETIM_SEL!$A:$H,2,0)</f>
        <v>SINAPI</v>
      </c>
      <c r="D117" s="315" t="str">
        <f>VLOOKUP($B117,[1]BOLETIM_SEL!$A:$H,4,0)</f>
        <v>Escavação mecanizada de vala com profundidade maior que 1,50 m até 3,00 m (média entre montante e jusante / uma composição por trecho) com retroescavadeira (capacidade da caçamba: 0,26 m3 / potência: 88 HP), largura menor que 0,80 m, em solo de 1a categoria, locais com baixo nível de interferência. AF_01/2015</v>
      </c>
      <c r="E117" s="2"/>
      <c r="F117" s="2" t="str">
        <f>VLOOKUP($B117,[1]BOLETIM_SEL!$A:$H,6,0)</f>
        <v>M3</v>
      </c>
      <c r="G117" s="1407">
        <f>VLOOKUP($B117,[1]BOLETIM_SEL!$A:$H,7,0)</f>
        <v>7.15</v>
      </c>
      <c r="H117" s="1608">
        <f>Dre_Terraplenagem!AE73</f>
        <v>0</v>
      </c>
      <c r="I117" s="876">
        <f t="shared" si="23"/>
        <v>8.7200000000000006</v>
      </c>
      <c r="J117" s="1607">
        <f t="shared" si="26"/>
        <v>0</v>
      </c>
      <c r="K117" s="2069">
        <f t="shared" ca="1" si="20"/>
        <v>0</v>
      </c>
      <c r="L117" s="1570">
        <f t="shared" ca="1" si="21"/>
        <v>0</v>
      </c>
      <c r="M117" s="2410" t="str">
        <f>VLOOKUP($B117,[1]BOLETIM_SEL!$A:$H,5,0)</f>
        <v>1,51 &lt; H &lt; 3,00
baixa Interferência</v>
      </c>
      <c r="N117" s="1647">
        <f>VLOOKUP($B117,[1]BOLETIM_SEL!$A:$H,3,0)</f>
        <v>15.2</v>
      </c>
      <c r="O117" s="1645">
        <f t="shared" si="25"/>
        <v>0</v>
      </c>
      <c r="Q117" s="832"/>
      <c r="R117" s="832"/>
      <c r="S117" s="832"/>
      <c r="T117" s="832"/>
      <c r="U117" s="832"/>
      <c r="V117" s="832"/>
      <c r="W117" s="832"/>
      <c r="X117" s="832"/>
    </row>
    <row r="118" spans="1:24" s="812" customFormat="1" ht="50.1" hidden="1" customHeight="1" x14ac:dyDescent="0.15">
      <c r="A118" s="2072">
        <f t="shared" ca="1" si="22"/>
        <v>3.0399999999999991</v>
      </c>
      <c r="B118" s="833">
        <v>90108</v>
      </c>
      <c r="C118" s="2" t="str">
        <f>VLOOKUP($B118,[1]BOLETIM_SEL!$A:$H,2,0)</f>
        <v>SINAPI</v>
      </c>
      <c r="D118" s="315" t="str">
        <f>VLOOKUP($B118,[1]BOLETIM_SEL!$A:$H,4,0)</f>
        <v>Escavação mecanizada de vala com profundidade maior que 1,50 m até 3,00 m (média entre montante e jusante / uma composição por trecho) com retroescavadeira (capacidade da caçamba: 0,26 m3 / potência: 88 HP), largura de 0,80 m a 1,50 m, em solo de 1a categoria, locais com baixo nível de interferência. AF_01/2015</v>
      </c>
      <c r="E118" s="2"/>
      <c r="F118" s="2" t="str">
        <f>VLOOKUP($B118,[1]BOLETIM_SEL!$A:$H,6,0)</f>
        <v>M3</v>
      </c>
      <c r="G118" s="1407">
        <f>VLOOKUP($B118,[1]BOLETIM_SEL!$A:$H,7,0)</f>
        <v>6.51</v>
      </c>
      <c r="H118" s="1608">
        <f>Dre_Terraplenagem!AE74</f>
        <v>0</v>
      </c>
      <c r="I118" s="876">
        <f t="shared" si="23"/>
        <v>7.94</v>
      </c>
      <c r="J118" s="1607">
        <f t="shared" si="26"/>
        <v>0</v>
      </c>
      <c r="K118" s="2069">
        <f t="shared" ca="1" si="20"/>
        <v>0</v>
      </c>
      <c r="L118" s="1570">
        <f t="shared" ca="1" si="21"/>
        <v>0</v>
      </c>
      <c r="M118" s="2410"/>
      <c r="N118" s="1647">
        <f>VLOOKUP($B118,[1]BOLETIM_SEL!$A:$H,3,0)</f>
        <v>16.690000000000001</v>
      </c>
      <c r="O118" s="1645">
        <f t="shared" si="25"/>
        <v>0</v>
      </c>
      <c r="Q118" s="832"/>
      <c r="R118" s="832"/>
      <c r="S118" s="832"/>
      <c r="T118" s="832"/>
      <c r="U118" s="832"/>
      <c r="V118" s="832"/>
      <c r="W118" s="832"/>
      <c r="X118" s="832"/>
    </row>
    <row r="119" spans="1:24" s="812" customFormat="1" ht="50.1" hidden="1" customHeight="1" x14ac:dyDescent="0.15">
      <c r="A119" s="2072">
        <f t="shared" ca="1" si="22"/>
        <v>3.0399999999999991</v>
      </c>
      <c r="B119" s="839">
        <v>102281</v>
      </c>
      <c r="C119" s="2" t="str">
        <f>VLOOKUP($B119,[1]BOLETIM_SEL!$A:$H,2,0)</f>
        <v>SINAPI</v>
      </c>
      <c r="D119" s="315" t="str">
        <f>VLOOKUP($B119,[1]BOLETIM_SEL!$A:$H,4,0)</f>
        <v>Escavação mecanizada de vala com profundidade maior que 1,50 m até 3,00 m (média entre montante e jusante / uma composição por trecho),com escavadeira hidráulica (capacidade da caçamba: 1,20 m3 / potência: 155 HP),largura de 1,50 m a 2,50 m, em solo de 1a categoria, locais com baixo nível de interferência. AF_02/2021</v>
      </c>
      <c r="E119" s="2"/>
      <c r="F119" s="2" t="str">
        <f>VLOOKUP($B119,[1]BOLETIM_SEL!$A:$H,6,0)</f>
        <v>M3</v>
      </c>
      <c r="G119" s="1407">
        <f>VLOOKUP($B119,[1]BOLETIM_SEL!$A:$H,7,0)</f>
        <v>5.35</v>
      </c>
      <c r="H119" s="1608">
        <f>Dre_Terraplenagem!AE75+Dre_Terraplenagem!AE197</f>
        <v>0</v>
      </c>
      <c r="I119" s="876">
        <f t="shared" si="23"/>
        <v>6.52</v>
      </c>
      <c r="J119" s="1607">
        <f t="shared" si="26"/>
        <v>0</v>
      </c>
      <c r="K119" s="2069">
        <f t="shared" ca="1" si="20"/>
        <v>0</v>
      </c>
      <c r="L119" s="1570">
        <f t="shared" ca="1" si="21"/>
        <v>0</v>
      </c>
      <c r="M119" s="2410"/>
      <c r="N119" s="1647">
        <v>24.69</v>
      </c>
      <c r="O119" s="1645">
        <f t="shared" si="25"/>
        <v>0</v>
      </c>
      <c r="Q119" s="832"/>
      <c r="R119" s="832"/>
      <c r="S119" s="832"/>
      <c r="T119" s="832"/>
      <c r="U119" s="832"/>
      <c r="V119" s="832"/>
      <c r="W119" s="832"/>
      <c r="X119" s="832"/>
    </row>
    <row r="120" spans="1:24" s="812" customFormat="1" ht="50.1" hidden="1" customHeight="1" x14ac:dyDescent="0.15">
      <c r="A120" s="2072">
        <f t="shared" ca="1" si="22"/>
        <v>3.0399999999999991</v>
      </c>
      <c r="B120" s="839">
        <v>90094</v>
      </c>
      <c r="C120" s="2" t="str">
        <f>VLOOKUP($B120,[1]BOLETIM_SEL!$A:$H,2,0)</f>
        <v>SINAPI</v>
      </c>
      <c r="D120" s="315" t="str">
        <f>VLOOKUP($B120,[1]BOLETIM_SEL!$A:$H,4,0)</f>
        <v>Escavação mecanizada de vala com profundidade maior que 3,00 m até 4,50 m (média entre montante e jusante / uma composição por trecho), com escavadeira hidráulica (capacidade da caçamba: 0,80 m3 / potência: 111 HP), largura menor que 1,50 m, em solo de 1a categoria, locais com baixo nível de interferência. AF_01/2015</v>
      </c>
      <c r="E120" s="2"/>
      <c r="F120" s="2" t="str">
        <f>VLOOKUP($B120,[1]BOLETIM_SEL!$A:$H,6,0)</f>
        <v>M3</v>
      </c>
      <c r="G120" s="1407">
        <f>VLOOKUP($B120,[1]BOLETIM_SEL!$A:$H,7,0)</f>
        <v>5.65</v>
      </c>
      <c r="H120" s="1608">
        <f>Dre_Terraplenagem!AE76</f>
        <v>0</v>
      </c>
      <c r="I120" s="876">
        <f t="shared" si="23"/>
        <v>6.89</v>
      </c>
      <c r="J120" s="1607">
        <f t="shared" si="26"/>
        <v>0</v>
      </c>
      <c r="K120" s="2069">
        <f t="shared" ca="1" si="20"/>
        <v>0</v>
      </c>
      <c r="L120" s="1570">
        <f t="shared" ca="1" si="21"/>
        <v>0</v>
      </c>
      <c r="M120" s="2411" t="str">
        <f>VLOOKUP($B120,[1]BOLETIM_SEL!$A:$H,5,0)</f>
        <v>3,01 &lt; H &lt; 4,50
baixa Interferência</v>
      </c>
      <c r="N120" s="1647">
        <f>VLOOKUP($B120,[1]BOLETIM_SEL!$A:$H,3,0)</f>
        <v>24.45</v>
      </c>
      <c r="O120" s="1645">
        <f t="shared" si="25"/>
        <v>0</v>
      </c>
      <c r="Q120" s="832"/>
      <c r="R120" s="832"/>
      <c r="S120" s="832"/>
      <c r="T120" s="832"/>
      <c r="U120" s="832"/>
      <c r="V120" s="832"/>
      <c r="W120" s="832"/>
      <c r="X120" s="832"/>
    </row>
    <row r="121" spans="1:24" s="812" customFormat="1" ht="50.1" hidden="1" customHeight="1" x14ac:dyDescent="0.15">
      <c r="A121" s="2072">
        <f t="shared" ca="1" si="22"/>
        <v>3.0399999999999991</v>
      </c>
      <c r="B121" s="2">
        <v>90095</v>
      </c>
      <c r="C121" s="2" t="str">
        <f>VLOOKUP($B121,[1]BOLETIM_SEL!$A:$H,2,0)</f>
        <v>SINAPI</v>
      </c>
      <c r="D121" s="315" t="str">
        <f>VLOOKUP($B121,[1]BOLETIM_SEL!$A:$H,4,0)</f>
        <v>Escavação mecanizada de vala com profundidade maior que 3,00 m até 4,50 m (média entre montante e jusante / uma composição por trecho), com escavadeira hidráulica (capacidade da caçamba: 1,20 m3/ potência: 155 HP), largura de 1,50 m a 2,50 m, em solo de 1a categoria, locais com baixo nível de interferência. AF_01/2015</v>
      </c>
      <c r="E121" s="2"/>
      <c r="F121" s="2" t="str">
        <f>VLOOKUP($B121,[1]BOLETIM_SEL!$A:$H,6,0)</f>
        <v>M3</v>
      </c>
      <c r="G121" s="1407">
        <f>VLOOKUP($B121,[1]BOLETIM_SEL!$A:$H,7,0)</f>
        <v>5.13</v>
      </c>
      <c r="H121" s="1608">
        <f>Dre_Terraplenagem!AE77</f>
        <v>0</v>
      </c>
      <c r="I121" s="876">
        <f t="shared" si="23"/>
        <v>6.25</v>
      </c>
      <c r="J121" s="1607">
        <f t="shared" si="26"/>
        <v>0</v>
      </c>
      <c r="K121" s="2069">
        <f t="shared" ca="1" si="20"/>
        <v>0</v>
      </c>
      <c r="L121" s="1570">
        <f t="shared" ca="1" si="21"/>
        <v>0</v>
      </c>
      <c r="M121" s="2411"/>
      <c r="N121" s="1647">
        <f>VLOOKUP($B121,[1]BOLETIM_SEL!$A:$H,3,0)</f>
        <v>21.65</v>
      </c>
      <c r="O121" s="1645">
        <f t="shared" si="25"/>
        <v>0</v>
      </c>
      <c r="Q121" s="832"/>
      <c r="R121" s="832"/>
      <c r="S121" s="832"/>
      <c r="T121" s="832"/>
      <c r="U121" s="832"/>
      <c r="V121" s="832"/>
      <c r="W121" s="832"/>
      <c r="X121" s="832"/>
    </row>
    <row r="122" spans="1:24" s="812" customFormat="1" ht="50.1" hidden="1" customHeight="1" x14ac:dyDescent="0.15">
      <c r="A122" s="2072">
        <f t="shared" ca="1" si="22"/>
        <v>3.0399999999999991</v>
      </c>
      <c r="B122" s="833">
        <v>102280</v>
      </c>
      <c r="C122" s="2" t="str">
        <f>VLOOKUP($B122,[1]BOLETIM_SEL!$A:$H,2,0)</f>
        <v>SINAPI</v>
      </c>
      <c r="D122" s="315" t="str">
        <f>VLOOKUP($B122,[1]BOLETIM_SEL!$A:$H,4,0)</f>
        <v>Escavação mecanizada de vala com profundidade maior que 4,50 m até 6,00 m (média entre montante e jusante / uma composição por trecho), com escavadeira hidráulica (capacidade da caçamba: 1,20 m3 / potência: 155 HP), largura menor que 1,50 m, em solo de 1a categoria, locais com baixo nível de interferência. AF_01/2015</v>
      </c>
      <c r="E122" s="2"/>
      <c r="F122" s="2" t="str">
        <f>VLOOKUP($B122,[1]BOLETIM_SEL!$A:$H,6,0)</f>
        <v>M3</v>
      </c>
      <c r="G122" s="1407">
        <f>VLOOKUP($B122,[1]BOLETIM_SEL!$A:$H,7,0)</f>
        <v>5.48</v>
      </c>
      <c r="H122" s="1608">
        <f>Dre_Terraplenagem!AE78</f>
        <v>0</v>
      </c>
      <c r="I122" s="876">
        <f t="shared" si="23"/>
        <v>6.68</v>
      </c>
      <c r="J122" s="1607">
        <f t="shared" si="26"/>
        <v>0</v>
      </c>
      <c r="K122" s="2069">
        <f t="shared" ca="1" si="20"/>
        <v>0</v>
      </c>
      <c r="L122" s="1570">
        <f t="shared" ca="1" si="21"/>
        <v>0</v>
      </c>
      <c r="M122" s="2408" t="str">
        <f>VLOOKUP($B122,[1]BOLETIM_SEL!$A:$H,5,0)</f>
        <v>H &gt; 4,51
baixa Interferência</v>
      </c>
      <c r="N122" s="1647">
        <v>21.19</v>
      </c>
      <c r="O122" s="1645">
        <f t="shared" si="25"/>
        <v>0</v>
      </c>
      <c r="Q122" s="832"/>
      <c r="R122" s="832"/>
      <c r="S122" s="832"/>
      <c r="T122" s="832"/>
      <c r="U122" s="832"/>
      <c r="V122" s="832"/>
      <c r="W122" s="832"/>
      <c r="X122" s="832"/>
    </row>
    <row r="123" spans="1:24" s="812" customFormat="1" ht="50.1" hidden="1" customHeight="1" x14ac:dyDescent="0.15">
      <c r="A123" s="2072">
        <f t="shared" ca="1" si="22"/>
        <v>3.0399999999999991</v>
      </c>
      <c r="B123" s="833">
        <v>90098</v>
      </c>
      <c r="C123" s="2" t="str">
        <f>VLOOKUP($B123,[1]BOLETIM_SEL!$A:$H,2,0)</f>
        <v>SINAPI</v>
      </c>
      <c r="D123" s="315" t="str">
        <f>VLOOKUP($B123,[1]BOLETIM_SEL!$A:$H,4,0)</f>
        <v>Escavação mecanizada de vala com profundidade maior que 4,50 m até 6,00 m (média entre montante e jusante / uma composição por trecho), com escavadeira hidráulica (capacidade da caçamba: 1,20 m3 / potência: 155 HP), largura de 1,50 m a 2,50 m, em solo de 1a categoria, locais com baixo nível de interferência. AF_01/2015</v>
      </c>
      <c r="E123" s="2"/>
      <c r="F123" s="2" t="str">
        <f>VLOOKUP($B123,[1]BOLETIM_SEL!$A:$H,6,0)</f>
        <v>M3</v>
      </c>
      <c r="G123" s="1407">
        <f>VLOOKUP($B123,[1]BOLETIM_SEL!$A:$H,7,0)</f>
        <v>5.05</v>
      </c>
      <c r="H123" s="1608">
        <f>Dre_Terraplenagem!AE79</f>
        <v>0</v>
      </c>
      <c r="I123" s="876">
        <f t="shared" si="23"/>
        <v>6.16</v>
      </c>
      <c r="J123" s="1607">
        <f t="shared" si="26"/>
        <v>0</v>
      </c>
      <c r="K123" s="2069">
        <f t="shared" ca="1" si="20"/>
        <v>0</v>
      </c>
      <c r="L123" s="1570">
        <f t="shared" ca="1" si="21"/>
        <v>0</v>
      </c>
      <c r="M123" s="2408"/>
      <c r="N123" s="1647">
        <f>VLOOKUP($B123,[1]BOLETIM_SEL!$A:$H,3,0)</f>
        <v>22.08</v>
      </c>
      <c r="O123" s="1645">
        <f t="shared" si="25"/>
        <v>0</v>
      </c>
      <c r="Q123" s="832"/>
      <c r="R123" s="832"/>
      <c r="S123" s="832"/>
      <c r="T123" s="832"/>
      <c r="U123" s="832"/>
      <c r="V123" s="832"/>
      <c r="W123" s="832"/>
      <c r="X123" s="832"/>
    </row>
    <row r="124" spans="1:24" s="812" customFormat="1" ht="30" customHeight="1" x14ac:dyDescent="0.15">
      <c r="A124" s="2072">
        <f t="shared" ca="1" si="22"/>
        <v>3.0499999999999989</v>
      </c>
      <c r="B124" s="854">
        <v>93358</v>
      </c>
      <c r="C124" s="2" t="str">
        <f>VLOOKUP($B124,[1]BOLETIM_SEL!$A:$H,2,0)</f>
        <v>SINAPI</v>
      </c>
      <c r="D124" s="315" t="str">
        <f>VLOOKUP($B124,[1]BOLETIM_SEL!$A:$H,4,0)</f>
        <v>Escavação manual de vala com profundidade menor ou igual a 1,30 m. AF_03/2016</v>
      </c>
      <c r="E124" s="1823"/>
      <c r="F124" s="2" t="str">
        <f>VLOOKUP($B124,[1]BOLETIM_SEL!$A:$H,6,0)</f>
        <v>M3</v>
      </c>
      <c r="G124" s="1407">
        <f>VLOOKUP($B124,[1]BOLETIM_SEL!$A:$H,7,0)</f>
        <v>78.13</v>
      </c>
      <c r="H124" s="1608">
        <f ca="1">Dre_Terraplenagem!AE81</f>
        <v>102.05</v>
      </c>
      <c r="I124" s="876">
        <f t="shared" si="23"/>
        <v>95.31</v>
      </c>
      <c r="J124" s="1607">
        <f ca="1">TRUNC(H124*I124,2)</f>
        <v>9726.3799999999992</v>
      </c>
      <c r="K124" s="2069">
        <f t="shared" ca="1" si="20"/>
        <v>2.6437165159652184E-3</v>
      </c>
      <c r="L124" s="1570">
        <f t="shared" ca="1" si="21"/>
        <v>6.7557310337795592E-2</v>
      </c>
      <c r="M124" s="1442"/>
      <c r="N124" s="1647"/>
      <c r="O124" s="1645"/>
      <c r="Q124" s="832"/>
      <c r="R124" s="832"/>
      <c r="S124" s="832"/>
      <c r="T124" s="832"/>
      <c r="U124" s="832"/>
      <c r="V124" s="832"/>
      <c r="W124" s="832"/>
      <c r="X124" s="832"/>
    </row>
    <row r="125" spans="1:24" s="812" customFormat="1" ht="39.950000000000003" hidden="1" customHeight="1" x14ac:dyDescent="0.15">
      <c r="A125" s="2072">
        <f t="shared" ca="1" si="22"/>
        <v>3.0499999999999989</v>
      </c>
      <c r="B125" s="833" t="s">
        <v>1674</v>
      </c>
      <c r="C125" s="2" t="str">
        <f>VLOOKUP($B125,[1]BOLETIM_SEL!$A:$H,2,0)</f>
        <v>COMPOSIÇÃO</v>
      </c>
      <c r="D125" s="315" t="str">
        <f>VLOOKUP($B125,[1]BOLETIM_SEL!$A:$H,4,0)</f>
        <v>Escavação de vala em rocha - 3a categoria, com uso de explosivos e perfuração mecânica, em locais com alto nível de interferência. Inclusive carga</v>
      </c>
      <c r="E125" s="2"/>
      <c r="F125" s="2" t="str">
        <f>VLOOKUP($B125,[1]BOLETIM_SEL!$A:$H,6,0)</f>
        <v>M3</v>
      </c>
      <c r="G125" s="1407">
        <f>VLOOKUP($B125,[1]BOLETIM_SEL!$A:$H,7,0)</f>
        <v>492.1</v>
      </c>
      <c r="H125" s="1608">
        <f>Dre_Terraplenagem!AE59</f>
        <v>0</v>
      </c>
      <c r="I125" s="876">
        <f t="shared" si="23"/>
        <v>600.36</v>
      </c>
      <c r="J125" s="1607">
        <f t="shared" si="26"/>
        <v>0</v>
      </c>
      <c r="K125" s="2069">
        <f t="shared" ca="1" si="20"/>
        <v>0</v>
      </c>
      <c r="L125" s="1570">
        <f t="shared" ca="1" si="21"/>
        <v>0</v>
      </c>
      <c r="M125" s="1442"/>
      <c r="N125" s="1647">
        <f>VLOOKUP($B125,[1]BOLETIM_SEL!$A:$H,3,0)</f>
        <v>3</v>
      </c>
      <c r="O125" s="1645">
        <f>H125/N125</f>
        <v>0</v>
      </c>
      <c r="Q125" s="832"/>
      <c r="R125" s="832"/>
      <c r="S125" s="832"/>
      <c r="T125" s="832"/>
      <c r="U125" s="832"/>
      <c r="V125" s="832"/>
      <c r="W125" s="832"/>
      <c r="X125" s="832"/>
    </row>
    <row r="126" spans="1:24" s="812" customFormat="1" ht="30" customHeight="1" x14ac:dyDescent="0.15">
      <c r="A126" s="2072">
        <f t="shared" ca="1" si="22"/>
        <v>3.0599999999999987</v>
      </c>
      <c r="B126" s="2392">
        <v>101570</v>
      </c>
      <c r="C126" s="2" t="str">
        <f>VLOOKUP($B126,[1]BOLETIM_SEL!$A:$H,2,0)</f>
        <v>SINAPI</v>
      </c>
      <c r="D126" s="315" t="str">
        <f>VLOOKUP($B126,[1]BOLETIM_SEL!$A:$H,4,0)</f>
        <v>Escoramento de vala, tipo pontaleteamento, com profundidade de 0,00 a 1,50 m, largura menor que 1,50 m. AF_08/2020</v>
      </c>
      <c r="E126" s="2"/>
      <c r="F126" s="2" t="str">
        <f>VLOOKUP($B126,[1]BOLETIM_SEL!$A:$H,6,0)</f>
        <v>M2</v>
      </c>
      <c r="G126" s="1407">
        <f>VLOOKUP($B126,[1]BOLETIM_SEL!$A:$H,7,0)</f>
        <v>22.68</v>
      </c>
      <c r="H126" s="1608">
        <f ca="1">Dre_Terraplenagem!AE100</f>
        <v>576.28</v>
      </c>
      <c r="I126" s="876">
        <f t="shared" si="23"/>
        <v>27.66</v>
      </c>
      <c r="J126" s="1607">
        <f t="shared" ref="J126:J141" ca="1" si="27">TRUNC(H126*I126,2)</f>
        <v>15939.9</v>
      </c>
      <c r="K126" s="2069">
        <f t="shared" ca="1" si="20"/>
        <v>4.3326064674456466E-3</v>
      </c>
      <c r="L126" s="1570">
        <f t="shared" ca="1" si="21"/>
        <v>0.11071506264956006</v>
      </c>
      <c r="M126" s="2410" t="str">
        <f>VLOOKUP($B126,[1]BOLETIM_SEL!$A:$H,5,0)</f>
        <v>PONTALETEAMENTO</v>
      </c>
      <c r="N126" s="832"/>
      <c r="O126" s="841"/>
      <c r="Q126" s="832"/>
      <c r="R126" s="832"/>
      <c r="S126" s="832"/>
      <c r="T126" s="832"/>
      <c r="U126" s="832"/>
      <c r="V126" s="832"/>
      <c r="W126" s="832"/>
      <c r="X126" s="832"/>
    </row>
    <row r="127" spans="1:24" s="812" customFormat="1" ht="39.950000000000003" hidden="1" customHeight="1" x14ac:dyDescent="0.15">
      <c r="A127" s="2072">
        <f t="shared" ca="1" si="22"/>
        <v>3.0599999999999987</v>
      </c>
      <c r="B127" s="2010">
        <v>101571</v>
      </c>
      <c r="C127" s="2" t="str">
        <f>VLOOKUP($B127,[1]BOLETIM_SEL!$A:$H,2,0)</f>
        <v>SINAPI</v>
      </c>
      <c r="D127" s="315" t="str">
        <f>VLOOKUP($B127,[1]BOLETIM_SEL!$A:$H,4,0)</f>
        <v>Escoramento de vala, tipo pontaleteamento, com profundidade de 0,00 a 1,50 m, largura maior ou igual a 1,50 m e menor que 2,50 m. AF_08/2020</v>
      </c>
      <c r="E127" s="2"/>
      <c r="F127" s="2" t="str">
        <f>VLOOKUP($B127,[1]BOLETIM_SEL!$A:$H,6,0)</f>
        <v>M2</v>
      </c>
      <c r="G127" s="1407">
        <f>VLOOKUP($B127,[1]BOLETIM_SEL!$A:$H,7,0)</f>
        <v>30.6</v>
      </c>
      <c r="H127" s="1608">
        <f ca="1">Dre_Terraplenagem!AE101</f>
        <v>0</v>
      </c>
      <c r="I127" s="876">
        <f t="shared" si="23"/>
        <v>37.33</v>
      </c>
      <c r="J127" s="1607">
        <f t="shared" ca="1" si="27"/>
        <v>0</v>
      </c>
      <c r="K127" s="2069">
        <f t="shared" ca="1" si="20"/>
        <v>0</v>
      </c>
      <c r="L127" s="1570">
        <f t="shared" ca="1" si="21"/>
        <v>0</v>
      </c>
      <c r="M127" s="2410"/>
      <c r="N127" s="832"/>
      <c r="O127" s="832"/>
      <c r="Q127" s="832"/>
      <c r="R127" s="832"/>
      <c r="S127" s="832"/>
      <c r="T127" s="832"/>
      <c r="U127" s="832"/>
      <c r="V127" s="832"/>
      <c r="W127" s="832"/>
      <c r="X127" s="832"/>
    </row>
    <row r="128" spans="1:24" s="812" customFormat="1" ht="30" hidden="1" customHeight="1" x14ac:dyDescent="0.15">
      <c r="A128" s="2072">
        <f t="shared" ca="1" si="22"/>
        <v>3.0599999999999987</v>
      </c>
      <c r="B128" s="2010">
        <v>101572</v>
      </c>
      <c r="C128" s="2" t="str">
        <f>VLOOKUP($B128,[1]BOLETIM_SEL!$A:$H,2,0)</f>
        <v>SINAPI</v>
      </c>
      <c r="D128" s="315" t="str">
        <f>VLOOKUP($B128,[1]BOLETIM_SEL!$A:$H,4,0)</f>
        <v>Escoramento de vala, tipo pontaleteamento, com profundidade de 1,50 a 3,00 m, largura menor que 1,50 m. AF_08/2020</v>
      </c>
      <c r="E128" s="2"/>
      <c r="F128" s="2" t="str">
        <f>VLOOKUP($B128,[1]BOLETIM_SEL!$A:$H,6,0)</f>
        <v>M2</v>
      </c>
      <c r="G128" s="1407">
        <f>VLOOKUP($B128,[1]BOLETIM_SEL!$A:$H,7,0)</f>
        <v>17.95</v>
      </c>
      <c r="H128" s="1608">
        <f ca="1">Dre_Terraplenagem!AE102</f>
        <v>0</v>
      </c>
      <c r="I128" s="876">
        <f t="shared" si="23"/>
        <v>21.89</v>
      </c>
      <c r="J128" s="1607">
        <f t="shared" ca="1" si="27"/>
        <v>0</v>
      </c>
      <c r="K128" s="2069">
        <f t="shared" ca="1" si="20"/>
        <v>0</v>
      </c>
      <c r="L128" s="1570">
        <f t="shared" ca="1" si="21"/>
        <v>0</v>
      </c>
      <c r="M128" s="2410"/>
      <c r="N128" s="832"/>
      <c r="O128" s="832"/>
      <c r="Q128" s="832"/>
      <c r="R128" s="832"/>
      <c r="S128" s="832"/>
      <c r="T128" s="832"/>
      <c r="U128" s="832"/>
      <c r="V128" s="832"/>
      <c r="W128" s="832"/>
      <c r="X128" s="832"/>
    </row>
    <row r="129" spans="1:24" s="812" customFormat="1" ht="39.950000000000003" customHeight="1" x14ac:dyDescent="0.15">
      <c r="A129" s="2072">
        <f t="shared" ca="1" si="22"/>
        <v>3.0699999999999985</v>
      </c>
      <c r="B129" s="2392">
        <v>101573</v>
      </c>
      <c r="C129" s="2" t="str">
        <f>VLOOKUP($B129,[1]BOLETIM_SEL!$A:$H,2,0)</f>
        <v>SINAPI</v>
      </c>
      <c r="D129" s="315" t="str">
        <f>VLOOKUP($B129,[1]BOLETIM_SEL!$A:$H,4,0)</f>
        <v>Escoramento de vala, tipo pontaleteamento, com profundidade de 1,50 a 3,00 m, largura maior ou igual a 1,50 m e menor que 2,50 m. AF_08/2020</v>
      </c>
      <c r="E129" s="2"/>
      <c r="F129" s="2" t="str">
        <f>VLOOKUP($B129,[1]BOLETIM_SEL!$A:$H,6,0)</f>
        <v>M2</v>
      </c>
      <c r="G129" s="1407">
        <f>VLOOKUP($B129,[1]BOLETIM_SEL!$A:$H,7,0)</f>
        <v>25.87</v>
      </c>
      <c r="H129" s="1608">
        <f ca="1">Dre_Terraplenagem!AE103</f>
        <v>578.66</v>
      </c>
      <c r="I129" s="876">
        <f t="shared" si="23"/>
        <v>31.56</v>
      </c>
      <c r="J129" s="1607">
        <f t="shared" ca="1" si="27"/>
        <v>18262.5</v>
      </c>
      <c r="K129" s="2069">
        <f t="shared" ca="1" si="20"/>
        <v>4.9639097868698131E-3</v>
      </c>
      <c r="L129" s="1570">
        <f t="shared" ca="1" si="21"/>
        <v>0.12684733477861157</v>
      </c>
      <c r="M129" s="2410"/>
      <c r="N129" s="832"/>
      <c r="O129" s="832"/>
      <c r="Q129" s="832"/>
      <c r="R129" s="832"/>
      <c r="S129" s="832"/>
      <c r="T129" s="832"/>
      <c r="U129" s="832"/>
      <c r="V129" s="832"/>
      <c r="W129" s="832"/>
      <c r="X129" s="832"/>
    </row>
    <row r="130" spans="1:24" s="812" customFormat="1" ht="30" hidden="1" customHeight="1" x14ac:dyDescent="0.15">
      <c r="A130" s="2072">
        <f t="shared" ca="1" si="22"/>
        <v>3.0699999999999985</v>
      </c>
      <c r="B130" s="2010">
        <v>101578</v>
      </c>
      <c r="C130" s="2" t="str">
        <f>VLOOKUP($B130,[1]BOLETIM_SEL!$A:$H,2,0)</f>
        <v>SINAPI</v>
      </c>
      <c r="D130" s="315" t="str">
        <f>VLOOKUP($B130,[1]BOLETIM_SEL!$A:$H,4,0)</f>
        <v>Escoramento de vala, tipo descontínuo, com profundidade de 1,50 m a 3,00 m, largura menor que 1,50 m. AF_08/2020</v>
      </c>
      <c r="E130" s="2"/>
      <c r="F130" s="2" t="str">
        <f>VLOOKUP($B130,[1]BOLETIM_SEL!$A:$H,6,0)</f>
        <v>M2</v>
      </c>
      <c r="G130" s="1407">
        <f>VLOOKUP($B130,[1]BOLETIM_SEL!$A:$H,7,0)</f>
        <v>34.799999999999997</v>
      </c>
      <c r="H130" s="1608">
        <f ca="1">Dre_Terraplenagem!AE107</f>
        <v>0</v>
      </c>
      <c r="I130" s="876">
        <f t="shared" ref="I130:I133" si="28">TRUNC(G130*(1+$J$5),2)</f>
        <v>42.45</v>
      </c>
      <c r="J130" s="1607">
        <f t="shared" ref="J130:J133" ca="1" si="29">TRUNC(H130*I130,2)</f>
        <v>0</v>
      </c>
      <c r="K130" s="2069">
        <f t="shared" ca="1" si="20"/>
        <v>0</v>
      </c>
      <c r="L130" s="1570">
        <f t="shared" ref="L130:L133" ca="1" si="30">J130/J$100</f>
        <v>0</v>
      </c>
      <c r="M130" s="2098"/>
      <c r="N130" s="832"/>
      <c r="O130" s="832"/>
      <c r="Q130" s="832"/>
      <c r="R130" s="832"/>
      <c r="S130" s="832"/>
      <c r="T130" s="832"/>
      <c r="U130" s="832"/>
      <c r="V130" s="832"/>
      <c r="W130" s="832"/>
      <c r="X130" s="832"/>
    </row>
    <row r="131" spans="1:24" s="812" customFormat="1" ht="39.950000000000003" hidden="1" customHeight="1" x14ac:dyDescent="0.15">
      <c r="A131" s="2072">
        <f t="shared" ca="1" si="22"/>
        <v>3.0699999999999985</v>
      </c>
      <c r="B131" s="2010">
        <v>101579</v>
      </c>
      <c r="C131" s="2" t="str">
        <f>VLOOKUP($B131,[1]BOLETIM_SEL!$A:$H,2,0)</f>
        <v>SINAPI</v>
      </c>
      <c r="D131" s="315" t="str">
        <f>VLOOKUP($B131,[1]BOLETIM_SEL!$A:$H,4,0)</f>
        <v>Escoramento de vala, tipo descontínuo, com profundidade de 1,50 a 3,00 m, largura maior ou igual a 1,50 m e menor que 2,50 m. AF_08/2020</v>
      </c>
      <c r="E131" s="2"/>
      <c r="F131" s="2" t="str">
        <f>VLOOKUP($B131,[1]BOLETIM_SEL!$A:$H,6,0)</f>
        <v>M2</v>
      </c>
      <c r="G131" s="1407">
        <f>VLOOKUP($B131,[1]BOLETIM_SEL!$A:$H,7,0)</f>
        <v>44.87</v>
      </c>
      <c r="H131" s="1608">
        <f ca="1">Dre_Terraplenagem!AE108</f>
        <v>0</v>
      </c>
      <c r="I131" s="876">
        <f t="shared" si="28"/>
        <v>54.74</v>
      </c>
      <c r="J131" s="1607">
        <f t="shared" ca="1" si="29"/>
        <v>0</v>
      </c>
      <c r="K131" s="2069">
        <f t="shared" ca="1" si="20"/>
        <v>0</v>
      </c>
      <c r="L131" s="1570">
        <f t="shared" ca="1" si="30"/>
        <v>0</v>
      </c>
      <c r="M131" s="2098"/>
      <c r="N131" s="832"/>
      <c r="O131" s="832"/>
      <c r="Q131" s="832"/>
      <c r="R131" s="832"/>
      <c r="S131" s="832"/>
      <c r="T131" s="832"/>
      <c r="U131" s="832"/>
      <c r="V131" s="832"/>
      <c r="W131" s="832"/>
      <c r="X131" s="832"/>
    </row>
    <row r="132" spans="1:24" s="812" customFormat="1" ht="30" hidden="1" customHeight="1" x14ac:dyDescent="0.15">
      <c r="A132" s="2072">
        <f t="shared" ca="1" si="22"/>
        <v>3.0699999999999985</v>
      </c>
      <c r="B132" s="2010">
        <v>101586</v>
      </c>
      <c r="C132" s="2" t="str">
        <f>VLOOKUP($B132,[1]BOLETIM_SEL!$A:$H,2,0)</f>
        <v>SINAPI</v>
      </c>
      <c r="D132" s="315" t="str">
        <f>VLOOKUP($B132,[1]BOLETIM_SEL!$A:$H,4,0)</f>
        <v>Escoramento de vala, tipo contínuo, com profundidade de 3,00 a 4,50 m, largura menor que 1,50 m. AF_08/2020</v>
      </c>
      <c r="E132" s="2"/>
      <c r="F132" s="2" t="str">
        <f>VLOOKUP($B132,[1]BOLETIM_SEL!$A:$H,6,0)</f>
        <v>M2</v>
      </c>
      <c r="G132" s="1407">
        <f>VLOOKUP($B132,[1]BOLETIM_SEL!$A:$H,7,0)</f>
        <v>50.1</v>
      </c>
      <c r="H132" s="1608">
        <f>Dre_Terraplenagem!AE111</f>
        <v>0</v>
      </c>
      <c r="I132" s="876">
        <f t="shared" si="28"/>
        <v>61.12</v>
      </c>
      <c r="J132" s="1607">
        <f t="shared" si="29"/>
        <v>0</v>
      </c>
      <c r="K132" s="2069">
        <f t="shared" ref="K132:K163" ca="1" si="31">J132/J$930</f>
        <v>0</v>
      </c>
      <c r="L132" s="1570">
        <f t="shared" ca="1" si="30"/>
        <v>0</v>
      </c>
      <c r="M132" s="2098"/>
      <c r="N132" s="832"/>
      <c r="O132" s="832"/>
      <c r="Q132" s="832"/>
      <c r="R132" s="832"/>
      <c r="S132" s="832"/>
      <c r="T132" s="832"/>
      <c r="U132" s="832"/>
      <c r="V132" s="832"/>
      <c r="W132" s="832"/>
      <c r="X132" s="832"/>
    </row>
    <row r="133" spans="1:24" s="812" customFormat="1" ht="39.950000000000003" hidden="1" customHeight="1" x14ac:dyDescent="0.15">
      <c r="A133" s="2072">
        <f t="shared" ca="1" si="22"/>
        <v>3.0699999999999985</v>
      </c>
      <c r="B133" s="2010">
        <v>101587</v>
      </c>
      <c r="C133" s="2" t="str">
        <f>VLOOKUP($B133,[1]BOLETIM_SEL!$A:$H,2,0)</f>
        <v>SINAPI</v>
      </c>
      <c r="D133" s="315" t="str">
        <f>VLOOKUP($B133,[1]BOLETIM_SEL!$A:$H,4,0)</f>
        <v>Escoramento de vala, tipo contínuo, com profundidade de 3,00 a 4,50 m, largura maior ou igual a 1,50 e menor que 2,50 m. AF_08/2020</v>
      </c>
      <c r="E133" s="2"/>
      <c r="F133" s="2" t="str">
        <f>VLOOKUP($B133,[1]BOLETIM_SEL!$A:$H,6,0)</f>
        <v>M2</v>
      </c>
      <c r="G133" s="1407">
        <f>VLOOKUP($B133,[1]BOLETIM_SEL!$A:$H,7,0)</f>
        <v>65.88</v>
      </c>
      <c r="H133" s="1608">
        <f ca="1">Dre_Terraplenagem!AE112</f>
        <v>0</v>
      </c>
      <c r="I133" s="876">
        <f t="shared" si="28"/>
        <v>80.37</v>
      </c>
      <c r="J133" s="1607">
        <f t="shared" ca="1" si="29"/>
        <v>0</v>
      </c>
      <c r="K133" s="2069">
        <f t="shared" ca="1" si="31"/>
        <v>0</v>
      </c>
      <c r="L133" s="1570">
        <f t="shared" ca="1" si="30"/>
        <v>0</v>
      </c>
      <c r="M133" s="2098"/>
      <c r="N133" s="832"/>
      <c r="O133" s="832"/>
      <c r="Q133" s="832"/>
      <c r="R133" s="832"/>
      <c r="S133" s="832"/>
      <c r="T133" s="832"/>
      <c r="U133" s="832"/>
      <c r="V133" s="832"/>
      <c r="W133" s="832"/>
      <c r="X133" s="832"/>
    </row>
    <row r="134" spans="1:24" s="812" customFormat="1" ht="50.1" customHeight="1" x14ac:dyDescent="0.15">
      <c r="A134" s="2072">
        <f t="shared" ca="1" si="22"/>
        <v>3.0799999999999983</v>
      </c>
      <c r="B134" s="2" t="s">
        <v>2714</v>
      </c>
      <c r="C134" s="2" t="str">
        <f>VLOOKUP($B134,[1]BOLETIM_SEL!$A:$H,2,0)</f>
        <v>COMPOSIÇÃO</v>
      </c>
      <c r="D134" s="315" t="str">
        <f>VLOOKUP($B134,[1]BOLETIM_SEL!$A:$H,4,0)</f>
        <v>Escoramento de vala, tipo blindado, com profundidade de 1,5 a 3,0 m, largura maior ou igual a 1,5 m e menor que 2,5 m. Altura do escoramento igual a 2,4 m.  Execução e fornecimento, inclui material. (REF. SINAPI COD. 03.ESCO.VALA.040/01)</v>
      </c>
      <c r="E134" s="2"/>
      <c r="F134" s="2" t="str">
        <f>VLOOKUP($B134,[1]BOLETIM_SEL!$A:$H,6,0)</f>
        <v>M2</v>
      </c>
      <c r="G134" s="1407">
        <f>VLOOKUP($B134,[1]BOLETIM_SEL!$A:$H,7,0)</f>
        <v>23.4</v>
      </c>
      <c r="H134" s="1608">
        <f ca="1">Dre_Terraplenagem!AE116</f>
        <v>216.19</v>
      </c>
      <c r="I134" s="876">
        <f t="shared" ref="I134:I154" si="32">TRUNC(G134*(1+$J$5),2)</f>
        <v>28.54</v>
      </c>
      <c r="J134" s="1607">
        <f t="shared" ca="1" si="27"/>
        <v>6170.06</v>
      </c>
      <c r="K134" s="2069">
        <f t="shared" ca="1" si="31"/>
        <v>1.6770771372798881E-3</v>
      </c>
      <c r="L134" s="1570">
        <f t="shared" ref="L134:L153" ca="1" si="33">J134/J$100</f>
        <v>4.2855888647453537E-2</v>
      </c>
      <c r="M134" s="1581">
        <f>VLOOKUP($B134,[1]BOLETIM_SEL!$A:$H,5,0)</f>
        <v>0</v>
      </c>
      <c r="N134" s="832"/>
      <c r="O134" s="832"/>
      <c r="Q134" s="832"/>
      <c r="R134" s="832"/>
      <c r="S134" s="832"/>
      <c r="T134" s="832"/>
      <c r="U134" s="832"/>
      <c r="V134" s="832"/>
      <c r="W134" s="832"/>
      <c r="X134" s="832"/>
    </row>
    <row r="135" spans="1:24" s="812" customFormat="1" ht="50.1" customHeight="1" x14ac:dyDescent="0.15">
      <c r="A135" s="2072">
        <f t="shared" ca="1" si="22"/>
        <v>3.0899999999999981</v>
      </c>
      <c r="B135" s="2" t="s">
        <v>2715</v>
      </c>
      <c r="C135" s="2" t="str">
        <f>VLOOKUP($B135,[1]BOLETIM_SEL!$A:$H,2,0)</f>
        <v>COMPOSIÇÃO</v>
      </c>
      <c r="D135" s="315" t="str">
        <f>VLOOKUP($B135,[1]BOLETIM_SEL!$A:$H,4,0)</f>
        <v>Escoramento de vala, tipo blindado, com profundidade de 3,0 a 4,5 m, largura maior ou igual a 1,5 m e menor que 2,5 m. Altura do escoramento igual a 2,4 m.  Execução e fornecimento, inclui material. (REF. SINAPI COD. 03.ESCO.VALA.042/01)</v>
      </c>
      <c r="E135" s="2"/>
      <c r="F135" s="2" t="str">
        <f>VLOOKUP($B135,[1]BOLETIM_SEL!$A:$H,6,0)</f>
        <v>M2</v>
      </c>
      <c r="G135" s="1407">
        <f>VLOOKUP($B135,[1]BOLETIM_SEL!$A:$H,7,0)</f>
        <v>20.02</v>
      </c>
      <c r="H135" s="1608">
        <f ca="1">Dre_Terraplenagem!AE117</f>
        <v>870.24</v>
      </c>
      <c r="I135" s="876">
        <f t="shared" si="32"/>
        <v>24.42</v>
      </c>
      <c r="J135" s="1607">
        <f t="shared" ca="1" si="27"/>
        <v>21251.26</v>
      </c>
      <c r="K135" s="2069">
        <f t="shared" ca="1" si="31"/>
        <v>5.7762813140213535E-3</v>
      </c>
      <c r="L135" s="1570">
        <f t="shared" ca="1" si="33"/>
        <v>0.1476066087166224</v>
      </c>
      <c r="M135" s="1581">
        <f>VLOOKUP($B135,[1]BOLETIM_SEL!$A:$H,5,0)</f>
        <v>0</v>
      </c>
      <c r="N135" s="832"/>
      <c r="O135" s="832"/>
      <c r="Q135" s="832"/>
      <c r="R135" s="832"/>
      <c r="S135" s="832"/>
      <c r="T135" s="832"/>
      <c r="U135" s="832"/>
      <c r="V135" s="832"/>
      <c r="W135" s="832"/>
      <c r="X135" s="832"/>
    </row>
    <row r="136" spans="1:24" s="812" customFormat="1" ht="30" customHeight="1" x14ac:dyDescent="0.15">
      <c r="A136" s="2072">
        <f t="shared" ca="1" si="22"/>
        <v>3.0999999999999979</v>
      </c>
      <c r="B136" s="833">
        <v>101616</v>
      </c>
      <c r="C136" s="2" t="str">
        <f>VLOOKUP($B136,[1]BOLETIM_SEL!$A:$H,2,0)</f>
        <v>SINAPI</v>
      </c>
      <c r="D136" s="315" t="str">
        <f>VLOOKUP($B136,[1]BOLETIM_SEL!$A:$H,4,0)</f>
        <v>Preparo de fundo de vala com largura menor que 1,50 m (acerto do solo natural). AF_08/2020</v>
      </c>
      <c r="E136" s="2"/>
      <c r="F136" s="2" t="str">
        <f>VLOOKUP($B136,[1]BOLETIM_SEL!$A:$H,6,0)</f>
        <v>M2</v>
      </c>
      <c r="G136" s="1407">
        <f>VLOOKUP($B136,[1]BOLETIM_SEL!$A:$H,7,0)</f>
        <v>5.75</v>
      </c>
      <c r="H136" s="1608">
        <f ca="1">Dre_Terraplenagem!AE118</f>
        <v>435.32</v>
      </c>
      <c r="I136" s="876">
        <f t="shared" si="32"/>
        <v>7.01</v>
      </c>
      <c r="J136" s="1607">
        <f t="shared" ca="1" si="27"/>
        <v>3051.59</v>
      </c>
      <c r="K136" s="2069">
        <f t="shared" ca="1" si="31"/>
        <v>8.2944927948057779E-4</v>
      </c>
      <c r="L136" s="1570">
        <f t="shared" ca="1" si="33"/>
        <v>2.1195677390119825E-2</v>
      </c>
      <c r="M136" s="2414" t="str">
        <f>VLOOKUP($B136,[1]BOLETIM_SEL!$A:$H,5,0)</f>
        <v>SOLO NATURAL</v>
      </c>
      <c r="N136" s="832"/>
      <c r="O136" s="832"/>
      <c r="Q136" s="832"/>
      <c r="R136" s="832"/>
      <c r="S136" s="832"/>
      <c r="T136" s="832"/>
      <c r="U136" s="832"/>
      <c r="V136" s="832"/>
      <c r="W136" s="832"/>
      <c r="X136" s="832"/>
    </row>
    <row r="137" spans="1:24" s="812" customFormat="1" ht="30" customHeight="1" x14ac:dyDescent="0.15">
      <c r="A137" s="2072">
        <f t="shared" ca="1" si="22"/>
        <v>3.1099999999999977</v>
      </c>
      <c r="B137" s="833">
        <v>101617</v>
      </c>
      <c r="C137" s="2" t="str">
        <f>VLOOKUP($B137,[1]BOLETIM_SEL!$A:$H,2,0)</f>
        <v>SINAPI</v>
      </c>
      <c r="D137" s="315" t="str">
        <f>VLOOKUP($B137,[1]BOLETIM_SEL!$A:$H,4,0)</f>
        <v>Preparo de fundo de vala com largura maior ou igual a 1,50 m e menor que 2,50 m (acerto do solo natural). AF_08/2020</v>
      </c>
      <c r="E137" s="2"/>
      <c r="F137" s="2" t="str">
        <f>VLOOKUP($B137,[1]BOLETIM_SEL!$A:$H,6,0)</f>
        <v>M2</v>
      </c>
      <c r="G137" s="1407">
        <f>VLOOKUP($B137,[1]BOLETIM_SEL!$A:$H,7,0)</f>
        <v>2.84</v>
      </c>
      <c r="H137" s="1608">
        <f ca="1">Dre_Terraplenagem!AE119</f>
        <v>290.08</v>
      </c>
      <c r="I137" s="876">
        <f t="shared" si="32"/>
        <v>3.46</v>
      </c>
      <c r="J137" s="1607">
        <f t="shared" ca="1" si="27"/>
        <v>1003.67</v>
      </c>
      <c r="K137" s="2069">
        <f t="shared" ca="1" si="31"/>
        <v>2.7280642495757011E-4</v>
      </c>
      <c r="L137" s="1570">
        <f t="shared" ca="1" si="33"/>
        <v>6.9712725255167184E-3</v>
      </c>
      <c r="M137" s="2414"/>
      <c r="N137" s="832"/>
      <c r="O137" s="832"/>
      <c r="Q137" s="832"/>
      <c r="R137" s="832"/>
      <c r="S137" s="832"/>
      <c r="T137" s="832"/>
      <c r="U137" s="832"/>
      <c r="V137" s="832"/>
      <c r="W137" s="832"/>
      <c r="X137" s="832"/>
    </row>
    <row r="138" spans="1:24" s="812" customFormat="1" ht="30" hidden="1" customHeight="1" x14ac:dyDescent="0.15">
      <c r="A138" s="2072">
        <f t="shared" ca="1" si="22"/>
        <v>3.1099999999999977</v>
      </c>
      <c r="B138" s="833">
        <v>101623</v>
      </c>
      <c r="C138" s="2" t="str">
        <f>VLOOKUP($B138,[1]BOLETIM_SEL!$A:$H,2,0)</f>
        <v>SINAPI</v>
      </c>
      <c r="D138" s="315" t="str">
        <f>VLOOKUP($B138,[1]BOLETIM_SEL!$A:$H,4,0)</f>
        <v>Preparo de fundo de vala com largura menor que 1,50 m, com camada de brita, lançamento mecanizado. AF_08/2020</v>
      </c>
      <c r="E138" s="2"/>
      <c r="F138" s="2" t="str">
        <f>VLOOKUP($B138,[1]BOLETIM_SEL!$A:$H,6,0)</f>
        <v>M3</v>
      </c>
      <c r="G138" s="1407">
        <f>VLOOKUP($B138,[1]BOLETIM_SEL!$A:$H,7,0)</f>
        <v>245.85</v>
      </c>
      <c r="H138" s="1608">
        <f>Dre_Terraplenagem!AE167+Dre_Terraplenagem!AE173</f>
        <v>0</v>
      </c>
      <c r="I138" s="876">
        <f t="shared" si="32"/>
        <v>299.93</v>
      </c>
      <c r="J138" s="1607">
        <f t="shared" si="27"/>
        <v>0</v>
      </c>
      <c r="K138" s="2069">
        <f t="shared" ca="1" si="31"/>
        <v>0</v>
      </c>
      <c r="L138" s="1570">
        <f t="shared" ca="1" si="33"/>
        <v>0</v>
      </c>
      <c r="M138" s="2408">
        <f>VLOOKUP($B138,[1]BOLETIM_SEL!$A:$H,5,0)</f>
        <v>0</v>
      </c>
      <c r="N138" s="832"/>
      <c r="O138" s="832"/>
      <c r="Q138" s="832"/>
      <c r="R138" s="832"/>
      <c r="S138" s="832"/>
      <c r="T138" s="832"/>
      <c r="U138" s="832"/>
      <c r="V138" s="832"/>
      <c r="W138" s="832"/>
      <c r="X138" s="832"/>
    </row>
    <row r="139" spans="1:24" s="812" customFormat="1" ht="45" hidden="1" customHeight="1" x14ac:dyDescent="0.15">
      <c r="A139" s="2072">
        <f t="shared" ca="1" si="22"/>
        <v>3.1099999999999977</v>
      </c>
      <c r="B139" s="833">
        <v>101624</v>
      </c>
      <c r="C139" s="2" t="str">
        <f>VLOOKUP($B139,[1]BOLETIM_SEL!$A:$H,2,0)</f>
        <v>SINAPI</v>
      </c>
      <c r="D139" s="315" t="str">
        <f>VLOOKUP($B139,[1]BOLETIM_SEL!$A:$H,4,0)</f>
        <v>Preparo de fundo de vala com largura maior ou igual a 1,50 m e menor que 2,50 m, com camada de brita, lançamento mecanizado. AF_08/2020</v>
      </c>
      <c r="E139" s="2"/>
      <c r="F139" s="2" t="str">
        <f>VLOOKUP($B139,[1]BOLETIM_SEL!$A:$H,6,0)</f>
        <v>M3</v>
      </c>
      <c r="G139" s="1407">
        <f>VLOOKUP($B139,[1]BOLETIM_SEL!$A:$H,7,0)</f>
        <v>202.18</v>
      </c>
      <c r="H139" s="1608">
        <f>Dre_Terraplenagem!AE168+Dre_Terraplenagem!AE174</f>
        <v>0</v>
      </c>
      <c r="I139" s="876">
        <f t="shared" si="32"/>
        <v>246.65</v>
      </c>
      <c r="J139" s="1607">
        <f t="shared" si="27"/>
        <v>0</v>
      </c>
      <c r="K139" s="2069">
        <f t="shared" ca="1" si="31"/>
        <v>0</v>
      </c>
      <c r="L139" s="1570">
        <f t="shared" ca="1" si="33"/>
        <v>0</v>
      </c>
      <c r="M139" s="2408"/>
      <c r="N139" s="832"/>
      <c r="O139" s="832"/>
      <c r="Q139" s="832"/>
      <c r="R139" s="832"/>
      <c r="S139" s="832"/>
      <c r="T139" s="832"/>
      <c r="U139" s="832"/>
      <c r="V139" s="832"/>
      <c r="W139" s="832"/>
      <c r="X139" s="832"/>
    </row>
    <row r="140" spans="1:24" s="812" customFormat="1" ht="30" hidden="1" customHeight="1" x14ac:dyDescent="0.15">
      <c r="A140" s="2072">
        <f t="shared" ca="1" si="22"/>
        <v>3.1099999999999977</v>
      </c>
      <c r="B140" s="833">
        <v>101622</v>
      </c>
      <c r="C140" s="2" t="str">
        <f>VLOOKUP($B140,[1]BOLETIM_SEL!$A:$H,2,0)</f>
        <v>SINAPI</v>
      </c>
      <c r="D140" s="315" t="str">
        <f>VLOOKUP($B140,[1]BOLETIM_SEL!$A:$H,4,0)</f>
        <v>Preparo de fundo de vala com largura menor que 1,50 m, com camada de areia, lançamento mecanizado. AF_08/2020</v>
      </c>
      <c r="E140" s="2"/>
      <c r="F140" s="2" t="str">
        <f>VLOOKUP($B140,[1]BOLETIM_SEL!$A:$H,6,0)</f>
        <v>M3</v>
      </c>
      <c r="G140" s="1407">
        <f>VLOOKUP($B140,[1]BOLETIM_SEL!$A:$H,7,0)</f>
        <v>191.58</v>
      </c>
      <c r="H140" s="1608">
        <f>Dre_Terraplenagem!AE157</f>
        <v>0</v>
      </c>
      <c r="I140" s="876">
        <f t="shared" si="32"/>
        <v>233.72</v>
      </c>
      <c r="J140" s="1607">
        <f t="shared" si="27"/>
        <v>0</v>
      </c>
      <c r="K140" s="2069">
        <f t="shared" ca="1" si="31"/>
        <v>0</v>
      </c>
      <c r="L140" s="1570">
        <f t="shared" ca="1" si="33"/>
        <v>0</v>
      </c>
      <c r="M140" s="2408"/>
      <c r="N140" s="832"/>
      <c r="O140" s="832"/>
      <c r="Q140" s="832"/>
      <c r="R140" s="832"/>
      <c r="S140" s="832"/>
      <c r="T140" s="832"/>
      <c r="U140" s="832"/>
      <c r="V140" s="832"/>
      <c r="W140" s="832"/>
      <c r="X140" s="832"/>
    </row>
    <row r="141" spans="1:24" s="812" customFormat="1" ht="39.950000000000003" hidden="1" customHeight="1" x14ac:dyDescent="0.15">
      <c r="A141" s="2072">
        <f t="shared" ca="1" si="22"/>
        <v>3.1099999999999977</v>
      </c>
      <c r="B141" s="833">
        <v>101625</v>
      </c>
      <c r="C141" s="2" t="str">
        <f>VLOOKUP($B141,[1]BOLETIM_SEL!$A:$H,2,0)</f>
        <v>SINAPI</v>
      </c>
      <c r="D141" s="315" t="str">
        <f>VLOOKUP($B141,[1]BOLETIM_SEL!$A:$H,4,0)</f>
        <v>Preparo de fundo de vala com largura maior ou igual a 1,50 m e menor que 2,50 m, com camada de areia, lançamento mecanizado. AF_08/2020</v>
      </c>
      <c r="E141" s="2"/>
      <c r="F141" s="2" t="str">
        <f>VLOOKUP($B141,[1]BOLETIM_SEL!$A:$H,6,0)</f>
        <v>M3</v>
      </c>
      <c r="G141" s="1407">
        <f>VLOOKUP($B141,[1]BOLETIM_SEL!$A:$H,7,0)</f>
        <v>153.41999999999999</v>
      </c>
      <c r="H141" s="1608">
        <f>Dre_Terraplenagem!AE158</f>
        <v>0</v>
      </c>
      <c r="I141" s="876">
        <f t="shared" si="32"/>
        <v>187.17</v>
      </c>
      <c r="J141" s="1607">
        <f t="shared" si="27"/>
        <v>0</v>
      </c>
      <c r="K141" s="2069">
        <f t="shared" ca="1" si="31"/>
        <v>0</v>
      </c>
      <c r="L141" s="1570">
        <f t="shared" ca="1" si="33"/>
        <v>0</v>
      </c>
      <c r="M141" s="2408"/>
      <c r="N141" s="832"/>
      <c r="O141" s="832"/>
      <c r="Q141" s="832"/>
      <c r="R141" s="832"/>
      <c r="S141" s="832"/>
      <c r="T141" s="832"/>
      <c r="U141" s="832"/>
      <c r="V141" s="832"/>
      <c r="W141" s="832"/>
      <c r="X141" s="832"/>
    </row>
    <row r="142" spans="1:24" s="812" customFormat="1" ht="30" hidden="1" customHeight="1" x14ac:dyDescent="0.15">
      <c r="A142" s="2072">
        <f t="shared" ca="1" si="22"/>
        <v>3.1099999999999977</v>
      </c>
      <c r="B142" s="833">
        <v>96616</v>
      </c>
      <c r="C142" s="2" t="str">
        <f>VLOOKUP($B142,[1]BOLETIM_SEL!$A:$H,2,0)</f>
        <v>SINAPI</v>
      </c>
      <c r="D142" s="315" t="str">
        <f>VLOOKUP($B142,[1]BOLETIM_SEL!$A:$H,4,0)</f>
        <v>Lastro de concreto magro, aplicado em blocos de coroamento ou sapatas. AF_08/2017</v>
      </c>
      <c r="E142" s="2"/>
      <c r="F142" s="2" t="str">
        <f>VLOOKUP($B142,[1]BOLETIM_SEL!$A:$H,6,0)</f>
        <v>M3</v>
      </c>
      <c r="G142" s="1407">
        <f>VLOOKUP($B142,[1]BOLETIM_SEL!$A:$H,7,0)</f>
        <v>619.67999999999995</v>
      </c>
      <c r="H142" s="1608">
        <f ca="1">Dre_Terraplenagem!AE163</f>
        <v>0</v>
      </c>
      <c r="I142" s="876">
        <f t="shared" ref="I142" si="34">TRUNC(G142*(1+$J$5),2)</f>
        <v>756</v>
      </c>
      <c r="J142" s="1607">
        <f t="shared" ref="J142" ca="1" si="35">TRUNC(H142*I142,2)</f>
        <v>0</v>
      </c>
      <c r="K142" s="2069">
        <f t="shared" ca="1" si="31"/>
        <v>0</v>
      </c>
      <c r="L142" s="1570">
        <f t="shared" ref="L142" ca="1" si="36">J142/J$100</f>
        <v>0</v>
      </c>
      <c r="M142" s="2020"/>
      <c r="N142" s="832"/>
      <c r="O142" s="832"/>
      <c r="Q142" s="832"/>
      <c r="R142" s="832"/>
      <c r="S142" s="832"/>
      <c r="T142" s="832"/>
      <c r="U142" s="832"/>
      <c r="V142" s="832"/>
      <c r="W142" s="832"/>
      <c r="X142" s="832"/>
    </row>
    <row r="143" spans="1:24" s="812" customFormat="1" ht="45" hidden="1" customHeight="1" x14ac:dyDescent="0.15">
      <c r="A143" s="2072">
        <f t="shared" ca="1" si="22"/>
        <v>3.1099999999999977</v>
      </c>
      <c r="B143" s="833" t="s">
        <v>1675</v>
      </c>
      <c r="C143" s="2" t="str">
        <f>VLOOKUP($B143,[1]BOLETIM_SEL!$A:$H,2,0)</f>
        <v>COMPOSIÇÃO</v>
      </c>
      <c r="D143" s="315" t="str">
        <f>VLOOKUP($B143,[1]BOLETIM_SEL!$A:$H,4,0)</f>
        <v>Lastro ou enrocamento de pedra-de-mão ou rachão lançado, fornecimento e apiloamento. Exclusive transporte, ref SINAPI 73697, data 01/2020 e SINAPI 92744.</v>
      </c>
      <c r="E143" s="2"/>
      <c r="F143" s="2" t="str">
        <f>VLOOKUP($B143,[1]BOLETIM_SEL!$A:$H,6,0)</f>
        <v>M3</v>
      </c>
      <c r="G143" s="1407">
        <f>VLOOKUP($B143,[1]BOLETIM_SEL!$A:$H,7,0)</f>
        <v>266.85000000000002</v>
      </c>
      <c r="H143" s="1608">
        <f>Dre_Terraplenagem!AE184</f>
        <v>0</v>
      </c>
      <c r="I143" s="876">
        <f t="shared" si="32"/>
        <v>325.55</v>
      </c>
      <c r="J143" s="1607">
        <f t="shared" ref="J143" si="37">TRUNC(H143*I143,2)</f>
        <v>0</v>
      </c>
      <c r="K143" s="2069">
        <f t="shared" ca="1" si="31"/>
        <v>0</v>
      </c>
      <c r="L143" s="1570">
        <f t="shared" ca="1" si="33"/>
        <v>0</v>
      </c>
      <c r="M143" s="1443"/>
      <c r="N143" s="832"/>
      <c r="O143" s="832"/>
      <c r="Q143" s="832"/>
      <c r="R143" s="832"/>
      <c r="S143" s="832"/>
      <c r="T143" s="832"/>
      <c r="U143" s="832"/>
      <c r="V143" s="832"/>
      <c r="W143" s="832"/>
      <c r="X143" s="832"/>
    </row>
    <row r="144" spans="1:24" s="812" customFormat="1" ht="50.1" hidden="1" customHeight="1" x14ac:dyDescent="0.15">
      <c r="A144" s="2072">
        <f t="shared" ca="1" si="22"/>
        <v>3.1099999999999977</v>
      </c>
      <c r="B144" s="833">
        <v>104733</v>
      </c>
      <c r="C144" s="2" t="str">
        <f>VLOOKUP($B144,[1]BOLETIM_SEL!$A:$H,2,0)</f>
        <v>SINAPI</v>
      </c>
      <c r="D144" s="315" t="str">
        <f>VLOOKUP($B144,[1]BOLETIM_SEL!$A:$H,4,0)</f>
        <v>Reaterro mecanizado de vala com retroescavadeira (capacidade   da   caçamba   da retro: 0,26 M³/potência: 88 HP), largura até 0,8 m, profundidade até 1,5 m, com solo (sem substituição) de 1ª categoria, com placa vibratória. AF_08/2023</v>
      </c>
      <c r="E144" s="2"/>
      <c r="F144" s="2" t="str">
        <f>VLOOKUP($B144,[1]BOLETIM_SEL!$A:$H,6,0)</f>
        <v>M3</v>
      </c>
      <c r="G144" s="1407">
        <f>VLOOKUP($B144,[1]BOLETIM_SEL!$A:$H,7,0)</f>
        <v>18.45</v>
      </c>
      <c r="H144" s="1608">
        <f ca="1">Dre_Terraplenagem!AE134</f>
        <v>0</v>
      </c>
      <c r="I144" s="876">
        <f t="shared" si="32"/>
        <v>22.5</v>
      </c>
      <c r="J144" s="1607">
        <f t="shared" ref="J144:J153" ca="1" si="38">TRUNC(H144*I144,2)</f>
        <v>0</v>
      </c>
      <c r="K144" s="2069">
        <f t="shared" ca="1" si="31"/>
        <v>0</v>
      </c>
      <c r="L144" s="1570">
        <f t="shared" ca="1" si="33"/>
        <v>0</v>
      </c>
      <c r="M144" s="2409" t="str">
        <f>VLOOKUP($B144,[1]BOLETIM_SEL!$A:$H,5,0)</f>
        <v>H &lt; 1,50
alta Interferência</v>
      </c>
      <c r="N144" s="832"/>
      <c r="O144" s="832"/>
      <c r="Q144" s="832"/>
      <c r="R144" s="832"/>
      <c r="S144" s="832"/>
      <c r="T144" s="832"/>
      <c r="U144" s="832"/>
      <c r="V144" s="832"/>
      <c r="W144" s="832"/>
      <c r="X144" s="832"/>
    </row>
    <row r="145" spans="1:24" s="812" customFormat="1" ht="50.1" customHeight="1" x14ac:dyDescent="0.15">
      <c r="A145" s="2072">
        <f t="shared" ca="1" si="22"/>
        <v>3.1199999999999974</v>
      </c>
      <c r="B145" s="833">
        <v>104734</v>
      </c>
      <c r="C145" s="2" t="str">
        <f>VLOOKUP($B145,[1]BOLETIM_SEL!$A:$H,2,0)</f>
        <v>SINAPI</v>
      </c>
      <c r="D145" s="315" t="str">
        <f>VLOOKUP($B145,[1]BOLETIM_SEL!$A:$H,4,0)</f>
        <v>Reaterro mecanizado de vala com retroescavadeira (capacidade   da   caçamba   da retro: 0,26 M³/potência: 88 HP), largura de 0,8 a 1,5 m, profundidade até 1,5 m, com solo (sem substituição) de 1ª categoria, com placa vibratória. AF_08/2023</v>
      </c>
      <c r="E145" s="2"/>
      <c r="F145" s="2" t="str">
        <f>VLOOKUP($B145,[1]BOLETIM_SEL!$A:$H,6,0)</f>
        <v>M3</v>
      </c>
      <c r="G145" s="1407">
        <f>VLOOKUP($B145,[1]BOLETIM_SEL!$A:$H,7,0)</f>
        <v>13.42</v>
      </c>
      <c r="H145" s="1608">
        <f ca="1">Dre_Terraplenagem!AE135</f>
        <v>268.3</v>
      </c>
      <c r="I145" s="876">
        <f t="shared" si="32"/>
        <v>16.37</v>
      </c>
      <c r="J145" s="1607">
        <f t="shared" ca="1" si="38"/>
        <v>4392.07</v>
      </c>
      <c r="K145" s="2069">
        <f t="shared" ca="1" si="31"/>
        <v>1.1938036554479013E-3</v>
      </c>
      <c r="L145" s="1570">
        <f t="shared" ca="1" si="33"/>
        <v>3.0506358585138754E-2</v>
      </c>
      <c r="M145" s="2409"/>
      <c r="N145" s="832"/>
      <c r="O145" s="832"/>
      <c r="Q145" s="832"/>
      <c r="R145" s="832"/>
      <c r="S145" s="832"/>
      <c r="T145" s="832"/>
      <c r="U145" s="832"/>
      <c r="V145" s="832"/>
      <c r="W145" s="832"/>
      <c r="X145" s="832"/>
    </row>
    <row r="146" spans="1:24" s="812" customFormat="1" ht="50.1" hidden="1" customHeight="1" x14ac:dyDescent="0.15">
      <c r="A146" s="2072">
        <f t="shared" ca="1" si="22"/>
        <v>3.1199999999999974</v>
      </c>
      <c r="B146" s="833">
        <v>104728</v>
      </c>
      <c r="C146" s="2" t="str">
        <f>VLOOKUP($B146,[1]BOLETIM_SEL!$A:$H,2,0)</f>
        <v>SINAPI</v>
      </c>
      <c r="D146" s="315" t="str">
        <f>VLOOKUP($B146,[1]BOLETIM_SEL!$A:$H,4,0)</f>
        <v>Reaterro mecanizado de vala com escavadeira hidráulica (capacidade da caçamba: 0,8 M³/potência: 111 HP), largura de 1,5 a 2,5 m, profundidade até 1,5 m, com solo (sem substituição) de 1ª categoria, com placa vibratória. AF_08/2023</v>
      </c>
      <c r="E146" s="2"/>
      <c r="F146" s="2" t="str">
        <f>VLOOKUP($B146,[1]BOLETIM_SEL!$A:$H,6,0)</f>
        <v>M3</v>
      </c>
      <c r="G146" s="1407">
        <f>VLOOKUP($B146,[1]BOLETIM_SEL!$A:$H,7,0)</f>
        <v>18.78</v>
      </c>
      <c r="H146" s="1608">
        <f ca="1">Dre_Terraplenagem!AE136</f>
        <v>0</v>
      </c>
      <c r="I146" s="876">
        <f t="shared" si="32"/>
        <v>22.91</v>
      </c>
      <c r="J146" s="1607">
        <f t="shared" ca="1" si="38"/>
        <v>0</v>
      </c>
      <c r="K146" s="2069">
        <f t="shared" ca="1" si="31"/>
        <v>0</v>
      </c>
      <c r="L146" s="1570">
        <f t="shared" ca="1" si="33"/>
        <v>0</v>
      </c>
      <c r="M146" s="2409"/>
      <c r="N146" s="832"/>
      <c r="O146" s="832"/>
      <c r="Q146" s="832"/>
      <c r="R146" s="832"/>
      <c r="S146" s="832"/>
      <c r="T146" s="832"/>
      <c r="U146" s="832"/>
      <c r="V146" s="832"/>
      <c r="W146" s="832"/>
      <c r="X146" s="832"/>
    </row>
    <row r="147" spans="1:24" s="812" customFormat="1" ht="50.1" hidden="1" customHeight="1" x14ac:dyDescent="0.15">
      <c r="A147" s="2072">
        <f t="shared" ca="1" si="22"/>
        <v>3.1199999999999974</v>
      </c>
      <c r="B147" s="833">
        <v>104735</v>
      </c>
      <c r="C147" s="2" t="str">
        <f>VLOOKUP($B147,[1]BOLETIM_SEL!$A:$H,2,0)</f>
        <v>SINAPI</v>
      </c>
      <c r="D147" s="315" t="str">
        <f>VLOOKUP($B147,[1]BOLETIM_SEL!$A:$H,4,0)</f>
        <v>Reaterro mecanizado de vala com retroescavadeira (capacidade   da   caçamba   da retro: 0,26 M³/potência: 88 HP), largura até 0,8 m, profundidade de 1,5 a 3,0 m, com solo (sem substituição) de 1ª categoria, com placa vibratória. AF_08/2023</v>
      </c>
      <c r="E147" s="2"/>
      <c r="F147" s="2" t="str">
        <f>VLOOKUP($B147,[1]BOLETIM_SEL!$A:$H,6,0)</f>
        <v>M3</v>
      </c>
      <c r="G147" s="1407">
        <f>VLOOKUP($B147,[1]BOLETIM_SEL!$A:$H,7,0)</f>
        <v>10.96</v>
      </c>
      <c r="H147" s="1608">
        <f ca="1">Dre_Terraplenagem!AE137</f>
        <v>0</v>
      </c>
      <c r="I147" s="876">
        <f t="shared" si="32"/>
        <v>13.37</v>
      </c>
      <c r="J147" s="1607">
        <f t="shared" ca="1" si="38"/>
        <v>0</v>
      </c>
      <c r="K147" s="2069">
        <f t="shared" ca="1" si="31"/>
        <v>0</v>
      </c>
      <c r="L147" s="1570">
        <f t="shared" ca="1" si="33"/>
        <v>0</v>
      </c>
      <c r="M147" s="2410" t="str">
        <f>VLOOKUP($B147,[1]BOLETIM_SEL!$A:$H,5,0)</f>
        <v>1,51 &lt; H &lt; 3,00
alta Interferência</v>
      </c>
      <c r="N147" s="832"/>
      <c r="O147" s="832"/>
      <c r="Q147" s="832"/>
      <c r="R147" s="832"/>
      <c r="S147" s="832"/>
      <c r="T147" s="832"/>
      <c r="U147" s="832"/>
      <c r="V147" s="832"/>
      <c r="W147" s="832"/>
      <c r="X147" s="832"/>
    </row>
    <row r="148" spans="1:24" s="812" customFormat="1" ht="39.950000000000003" customHeight="1" x14ac:dyDescent="0.15">
      <c r="A148" s="2072">
        <f t="shared" ca="1" si="22"/>
        <v>3.1299999999999972</v>
      </c>
      <c r="B148" s="833">
        <v>104736</v>
      </c>
      <c r="C148" s="2" t="str">
        <f>VLOOKUP($B148,[1]BOLETIM_SEL!$A:$H,2,0)</f>
        <v>SINAPI</v>
      </c>
      <c r="D148" s="315" t="str">
        <f>VLOOKUP($B148,[1]BOLETIM_SEL!$A:$H,4,0)</f>
        <v>Reaterro mecanizado de vala com retroescavadeira (capacidade   da   caçamba   da retro: 0,26 M³/potência: 88 HP), largura de 0,8 a 1,5 m, profundidade de 1,5 a 3,0 m, com solo (sem substituição) de 1ª categoria, com placa vibratória. AF_08/2023</v>
      </c>
      <c r="E148" s="2"/>
      <c r="F148" s="2" t="str">
        <f>VLOOKUP($B148,[1]BOLETIM_SEL!$A:$H,6,0)</f>
        <v>M3</v>
      </c>
      <c r="G148" s="1407">
        <f>VLOOKUP($B148,[1]BOLETIM_SEL!$A:$H,7,0)</f>
        <v>8.2200000000000006</v>
      </c>
      <c r="H148" s="1608">
        <f ca="1">Dre_Terraplenagem!AE138</f>
        <v>131.53</v>
      </c>
      <c r="I148" s="876">
        <f t="shared" si="32"/>
        <v>10.02</v>
      </c>
      <c r="J148" s="1607">
        <f t="shared" ca="1" si="38"/>
        <v>1317.93</v>
      </c>
      <c r="K148" s="2069">
        <f t="shared" ca="1" si="31"/>
        <v>3.5822508558025094E-4</v>
      </c>
      <c r="L148" s="1570">
        <f t="shared" ca="1" si="33"/>
        <v>9.1540538220274085E-3</v>
      </c>
      <c r="M148" s="2410"/>
      <c r="N148" s="832"/>
      <c r="O148" s="832"/>
      <c r="Q148" s="832"/>
      <c r="R148" s="832"/>
      <c r="S148" s="832"/>
      <c r="T148" s="832"/>
      <c r="U148" s="832"/>
      <c r="V148" s="832"/>
      <c r="W148" s="832"/>
      <c r="X148" s="832"/>
    </row>
    <row r="149" spans="1:24" s="812" customFormat="1" ht="39.950000000000003" customHeight="1" x14ac:dyDescent="0.15">
      <c r="A149" s="2072">
        <f t="shared" ca="1" si="22"/>
        <v>3.139999999999997</v>
      </c>
      <c r="B149" s="833">
        <v>104730</v>
      </c>
      <c r="C149" s="2" t="str">
        <f>VLOOKUP($B149,[1]BOLETIM_SEL!$A:$H,2,0)</f>
        <v>SINAPI</v>
      </c>
      <c r="D149" s="315" t="str">
        <f>VLOOKUP($B149,[1]BOLETIM_SEL!$A:$H,4,0)</f>
        <v>Reaterro mecanizado de vala com escavadeira hidráulica (capacidade da caçamba: 0,8 M³/potência: 111 HP), largura de 1,5 a 2,5 m, profundidade de 1,5 a 3,0 m, com solo (sem substituição) de 1ª categoria, com placa vibratória. AF_08/2023</v>
      </c>
      <c r="E149" s="2"/>
      <c r="F149" s="2" t="str">
        <f>VLOOKUP($B149,[1]BOLETIM_SEL!$A:$H,6,0)</f>
        <v>M3</v>
      </c>
      <c r="G149" s="1407">
        <f>VLOOKUP($B149,[1]BOLETIM_SEL!$A:$H,7,0)</f>
        <v>12.48</v>
      </c>
      <c r="H149" s="1608">
        <f ca="1">Dre_Terraplenagem!AE139</f>
        <v>385.33</v>
      </c>
      <c r="I149" s="876">
        <f t="shared" si="32"/>
        <v>15.22</v>
      </c>
      <c r="J149" s="1607">
        <f t="shared" ca="1" si="38"/>
        <v>5864.72</v>
      </c>
      <c r="K149" s="2069">
        <f t="shared" ca="1" si="31"/>
        <v>1.594083011923402E-3</v>
      </c>
      <c r="L149" s="1570">
        <f t="shared" ca="1" si="33"/>
        <v>4.0735063721988714E-2</v>
      </c>
      <c r="M149" s="2410"/>
      <c r="N149" s="832"/>
      <c r="O149" s="832"/>
      <c r="Q149" s="832"/>
      <c r="R149" s="832"/>
      <c r="S149" s="832"/>
      <c r="T149" s="832"/>
      <c r="U149" s="832"/>
      <c r="V149" s="832"/>
      <c r="W149" s="832"/>
      <c r="X149" s="832"/>
    </row>
    <row r="150" spans="1:24" s="812" customFormat="1" ht="50.1" hidden="1" customHeight="1" x14ac:dyDescent="0.15">
      <c r="A150" s="2072">
        <f t="shared" ca="1" si="22"/>
        <v>3.139999999999997</v>
      </c>
      <c r="B150" s="2379">
        <v>104731</v>
      </c>
      <c r="C150" s="2" t="str">
        <f>VLOOKUP($B150,[1]BOLETIM_SEL!$A:$H,2,0)</f>
        <v>SINAPI</v>
      </c>
      <c r="D150" s="315" t="str">
        <f>VLOOKUP($B150,[1]BOLETIM_SEL!$A:$H,4,0)</f>
        <v>Reaterro mecanizado de vala com escavadeira hidráulica (capacidade da caçamba: 0,8 M³/potência: 111 HP), largura até 1,5 m, profundidade de 3,0 a 6,0 m, com solo (sem substituição) de 1ª categoria, com placa vibratória. AF_08/2023</v>
      </c>
      <c r="E150" s="2"/>
      <c r="F150" s="2" t="str">
        <f>VLOOKUP($B150,[1]BOLETIM_SEL!$A:$H,6,0)</f>
        <v>M3</v>
      </c>
      <c r="G150" s="1407">
        <f>VLOOKUP($B150,[1]BOLETIM_SEL!$A:$H,7,0)</f>
        <v>11.83</v>
      </c>
      <c r="H150" s="1608">
        <f ca="1">Dre_Terraplenagem!AE140+Dre_Terraplenagem!AE142+Dre_Terraplenagem!AE150</f>
        <v>0</v>
      </c>
      <c r="I150" s="876">
        <f t="shared" si="32"/>
        <v>14.43</v>
      </c>
      <c r="J150" s="1607">
        <f t="shared" ca="1" si="38"/>
        <v>0</v>
      </c>
      <c r="K150" s="2069">
        <f t="shared" ca="1" si="31"/>
        <v>0</v>
      </c>
      <c r="L150" s="1570">
        <f t="shared" ca="1" si="33"/>
        <v>0</v>
      </c>
      <c r="M150" s="2411" t="str">
        <f>VLOOKUP($B150,[1]BOLETIM_SEL!$A:$H,5,0)</f>
        <v>3,01 &lt; H &lt; 4,50
baixa Interferência</v>
      </c>
      <c r="N150" s="832"/>
      <c r="O150" s="832"/>
      <c r="Q150" s="832"/>
      <c r="R150" s="832"/>
      <c r="S150" s="832"/>
      <c r="T150" s="832"/>
      <c r="U150" s="832"/>
      <c r="V150" s="832"/>
      <c r="W150" s="832"/>
      <c r="X150" s="832"/>
    </row>
    <row r="151" spans="1:24" s="812" customFormat="1" ht="39.950000000000003" customHeight="1" x14ac:dyDescent="0.15">
      <c r="A151" s="2072">
        <f t="shared" ca="1" si="22"/>
        <v>3.1499999999999968</v>
      </c>
      <c r="B151" s="833">
        <v>104732</v>
      </c>
      <c r="C151" s="2" t="str">
        <f>VLOOKUP($B151,[1]BOLETIM_SEL!$A:$H,2,0)</f>
        <v>SINAPI</v>
      </c>
      <c r="D151" s="315" t="str">
        <f>VLOOKUP($B151,[1]BOLETIM_SEL!$A:$H,4,0)</f>
        <v>Reaterro mecanizado de vala com escavadeira hidráulica (capacidade da caçamba: 0,8 M³/potência: 111 HP), largura de 1,5 a 2,5 m, profundidade de 3,0 a 6,0 m, com solo (sem substituição) de 1ª categoria, com placa vibratória. AF_08/2023</v>
      </c>
      <c r="E151" s="2"/>
      <c r="F151" s="2" t="str">
        <f>VLOOKUP($B151,[1]BOLETIM_SEL!$A:$H,6,0)</f>
        <v>M3</v>
      </c>
      <c r="G151" s="1407">
        <f>VLOOKUP($B151,[1]BOLETIM_SEL!$A:$H,7,0)</f>
        <v>9.59</v>
      </c>
      <c r="H151" s="1608">
        <f ca="1">Dre_Terraplenagem!AE141+Dre_Terraplenagem!AE143+Dre_Terraplenagem!AE151</f>
        <v>1001.11</v>
      </c>
      <c r="I151" s="876">
        <f t="shared" si="32"/>
        <v>11.69</v>
      </c>
      <c r="J151" s="1607">
        <f t="shared" ca="1" si="38"/>
        <v>11702.97</v>
      </c>
      <c r="K151" s="2069">
        <f t="shared" ca="1" si="31"/>
        <v>3.18097124262526E-3</v>
      </c>
      <c r="L151" s="1570">
        <f t="shared" ca="1" si="33"/>
        <v>8.128627260747695E-2</v>
      </c>
      <c r="M151" s="2411"/>
      <c r="N151" s="832"/>
      <c r="O151" s="832"/>
      <c r="Q151" s="832"/>
      <c r="R151" s="832"/>
      <c r="S151" s="832"/>
      <c r="T151" s="832"/>
      <c r="U151" s="832"/>
      <c r="V151" s="832"/>
      <c r="W151" s="832"/>
      <c r="X151" s="832"/>
    </row>
    <row r="152" spans="1:24" s="812" customFormat="1" ht="50.1" hidden="1" customHeight="1" x14ac:dyDescent="0.15">
      <c r="A152" s="2072">
        <f t="shared" ca="1" si="22"/>
        <v>3.1499999999999968</v>
      </c>
      <c r="B152" s="2379">
        <v>104731</v>
      </c>
      <c r="C152" s="2" t="str">
        <f>VLOOKUP($B152,[1]BOLETIM_SEL!$A:$H,2,0)</f>
        <v>SINAPI</v>
      </c>
      <c r="D152" s="315" t="str">
        <f>VLOOKUP($B152,[1]BOLETIM_SEL!$A:$H,4,0)</f>
        <v>Reaterro mecanizado de vala com escavadeira hidráulica (capacidade da caçamba: 0,8 M³/potência: 111 HP), largura até 1,5 m, profundidade de 3,0 a 6,0 m, com solo (sem substituição) de 1ª categoria, com placa vibratória. AF_08/2023</v>
      </c>
      <c r="E152" s="2"/>
      <c r="F152" s="2" t="str">
        <f>VLOOKUP($B152,[1]BOLETIM_SEL!$A:$H,6,0)</f>
        <v>M3</v>
      </c>
      <c r="G152" s="1407">
        <f>VLOOKUP($B152,[1]BOLETIM_SEL!$A:$H,7,0)</f>
        <v>11.83</v>
      </c>
      <c r="H152" s="1608"/>
      <c r="I152" s="876">
        <f t="shared" si="32"/>
        <v>14.43</v>
      </c>
      <c r="J152" s="1607">
        <f t="shared" si="38"/>
        <v>0</v>
      </c>
      <c r="K152" s="2069">
        <f t="shared" ca="1" si="31"/>
        <v>0</v>
      </c>
      <c r="L152" s="1570">
        <f t="shared" ca="1" si="33"/>
        <v>0</v>
      </c>
      <c r="M152" s="2408" t="str">
        <f>VLOOKUP($B152,[1]BOLETIM_SEL!$A:$H,5,0)</f>
        <v>3,01 &lt; H &lt; 4,50
baixa Interferência</v>
      </c>
      <c r="N152" s="832"/>
      <c r="O152" s="832"/>
      <c r="Q152" s="832"/>
      <c r="R152" s="832"/>
      <c r="S152" s="832"/>
      <c r="T152" s="832"/>
      <c r="U152" s="832"/>
      <c r="V152" s="832"/>
      <c r="W152" s="832"/>
      <c r="X152" s="832"/>
    </row>
    <row r="153" spans="1:24" s="812" customFormat="1" ht="50.1" hidden="1" customHeight="1" x14ac:dyDescent="0.15">
      <c r="A153" s="2072">
        <f t="shared" ca="1" si="22"/>
        <v>3.1499999999999968</v>
      </c>
      <c r="B153" s="2378">
        <v>104732</v>
      </c>
      <c r="C153" s="2" t="str">
        <f>VLOOKUP($B153,[1]BOLETIM_SEL!$A:$H,2,0)</f>
        <v>SINAPI</v>
      </c>
      <c r="D153" s="315" t="str">
        <f>VLOOKUP($B153,[1]BOLETIM_SEL!$A:$H,4,0)</f>
        <v>Reaterro mecanizado de vala com escavadeira hidráulica (capacidade da caçamba: 0,8 M³/potência: 111 HP), largura de 1,5 a 2,5 m, profundidade de 3,0 a 6,0 m, com solo (sem substituição) de 1ª categoria, com placa vibratória. AF_08/2023</v>
      </c>
      <c r="E153" s="2"/>
      <c r="F153" s="2" t="str">
        <f>VLOOKUP($B153,[1]BOLETIM_SEL!$A:$H,6,0)</f>
        <v>M3</v>
      </c>
      <c r="G153" s="1407">
        <f>VLOOKUP($B153,[1]BOLETIM_SEL!$A:$H,7,0)</f>
        <v>9.59</v>
      </c>
      <c r="H153" s="1608"/>
      <c r="I153" s="876">
        <f t="shared" si="32"/>
        <v>11.69</v>
      </c>
      <c r="J153" s="1607">
        <f t="shared" si="38"/>
        <v>0</v>
      </c>
      <c r="K153" s="2069">
        <f t="shared" ca="1" si="31"/>
        <v>0</v>
      </c>
      <c r="L153" s="1570">
        <f t="shared" ca="1" si="33"/>
        <v>0</v>
      </c>
      <c r="M153" s="2408"/>
      <c r="N153" s="832"/>
      <c r="O153" s="832"/>
      <c r="Q153" s="832"/>
      <c r="R153" s="832"/>
      <c r="S153" s="832"/>
      <c r="T153" s="832"/>
      <c r="U153" s="832"/>
      <c r="V153" s="832"/>
      <c r="W153" s="832"/>
      <c r="X153" s="832"/>
    </row>
    <row r="154" spans="1:24" s="812" customFormat="1" ht="50.1" hidden="1" customHeight="1" x14ac:dyDescent="0.15">
      <c r="A154" s="2072">
        <f t="shared" ca="1" si="22"/>
        <v>3.1499999999999968</v>
      </c>
      <c r="B154" s="833">
        <v>93378</v>
      </c>
      <c r="C154" s="2" t="str">
        <f>VLOOKUP($B154,[1]BOLETIM_SEL!$A:$H,2,0)</f>
        <v>SINAPI</v>
      </c>
      <c r="D154" s="315" t="str">
        <f>VLOOKUP($B154,[1]BOLETIM_SEL!$A:$H,4,0)</f>
        <v>Reaterro mecanizado de vala com retroescavadeira (capacidade da caçamba da retro: 0,26 m3 / potência: 88 HP), largura até 0,80 m, profundidade até 1,50 m, com solo (sem substituição) de 1a categoria em locais com baixo nível de interferência. AF_04/2016</v>
      </c>
      <c r="E154" s="2"/>
      <c r="F154" s="2" t="str">
        <f>VLOOKUP($B154,[1]BOLETIM_SEL!$A:$H,6,0)</f>
        <v>M3</v>
      </c>
      <c r="G154" s="1407">
        <f>VLOOKUP($B154,[1]BOLETIM_SEL!$A:$H,7,0)</f>
        <v>22.45</v>
      </c>
      <c r="H154" s="1608">
        <f>Dre_Terraplenagem!AE144</f>
        <v>0</v>
      </c>
      <c r="I154" s="876">
        <f t="shared" si="32"/>
        <v>27.38</v>
      </c>
      <c r="J154" s="1607">
        <f t="shared" ref="J154:J164" si="39">TRUNC(H154*I154,2)</f>
        <v>0</v>
      </c>
      <c r="K154" s="2069">
        <f t="shared" ca="1" si="31"/>
        <v>0</v>
      </c>
      <c r="L154" s="1570">
        <f t="shared" ref="L154:L169" ca="1" si="40">J154/J$100</f>
        <v>0</v>
      </c>
      <c r="M154" s="2409" t="str">
        <f>VLOOKUP($B154,[1]BOLETIM_SEL!$A:$H,5,0)</f>
        <v>H &lt; 1,50
baixa Interferência</v>
      </c>
      <c r="N154" s="832"/>
      <c r="O154" s="832"/>
      <c r="Q154" s="832"/>
      <c r="R154" s="832"/>
      <c r="S154" s="832"/>
      <c r="T154" s="832"/>
      <c r="U154" s="832"/>
      <c r="V154" s="832"/>
      <c r="W154" s="832"/>
      <c r="X154" s="832"/>
    </row>
    <row r="155" spans="1:24" s="812" customFormat="1" ht="50.1" hidden="1" customHeight="1" x14ac:dyDescent="0.15">
      <c r="A155" s="2072">
        <f t="shared" ca="1" si="22"/>
        <v>3.1499999999999968</v>
      </c>
      <c r="B155" s="833">
        <v>93379</v>
      </c>
      <c r="C155" s="2" t="str">
        <f>VLOOKUP($B155,[1]BOLETIM_SEL!$A:$H,2,0)</f>
        <v>SINAPI</v>
      </c>
      <c r="D155" s="315" t="str">
        <f>VLOOKUP($B155,[1]BOLETIM_SEL!$A:$H,4,0)</f>
        <v>Reaterro mecanizado de vala com retroescavadeira (capacidade da caçamba da retro: 0,26 m3 / potência: 88 HP), largura de 0,80 a 1,50 m, profundidade até 1,50 m, com solo (sem substituição) de 1a categoria em locais com baixo nível de interferência. AF_04/2016</v>
      </c>
      <c r="E155" s="2"/>
      <c r="F155" s="2" t="str">
        <f>VLOOKUP($B155,[1]BOLETIM_SEL!$A:$H,6,0)</f>
        <v>M3</v>
      </c>
      <c r="G155" s="1407">
        <f>VLOOKUP($B155,[1]BOLETIM_SEL!$A:$H,7,0)</f>
        <v>17.239999999999998</v>
      </c>
      <c r="H155" s="1608">
        <f>Dre_Terraplenagem!AE145</f>
        <v>0</v>
      </c>
      <c r="I155" s="876">
        <f t="shared" ref="I155:I165" si="41">TRUNC(G155*(1+$J$5),2)</f>
        <v>21.03</v>
      </c>
      <c r="J155" s="1607">
        <f t="shared" si="39"/>
        <v>0</v>
      </c>
      <c r="K155" s="2069">
        <f t="shared" ca="1" si="31"/>
        <v>0</v>
      </c>
      <c r="L155" s="1570">
        <f t="shared" ca="1" si="40"/>
        <v>0</v>
      </c>
      <c r="M155" s="2409"/>
      <c r="N155" s="832"/>
      <c r="O155" s="832"/>
      <c r="Q155" s="832"/>
      <c r="R155" s="832"/>
      <c r="S155" s="832"/>
      <c r="T155" s="832"/>
      <c r="U155" s="832"/>
      <c r="V155" s="832"/>
      <c r="W155" s="832"/>
      <c r="X155" s="832"/>
    </row>
    <row r="156" spans="1:24" s="812" customFormat="1" ht="50.1" hidden="1" customHeight="1" x14ac:dyDescent="0.15">
      <c r="A156" s="2072">
        <f t="shared" ca="1" si="22"/>
        <v>3.1499999999999968</v>
      </c>
      <c r="B156" s="833">
        <v>93367</v>
      </c>
      <c r="C156" s="2" t="str">
        <f>VLOOKUP($B156,[1]BOLETIM_SEL!$A:$H,2,0)</f>
        <v>SINAPI</v>
      </c>
      <c r="D156" s="315" t="str">
        <f>VLOOKUP($B156,[1]BOLETIM_SEL!$A:$H,4,0)</f>
        <v>Reaterro mecanizado de vala com escavadeira hidráulica (capacidade da caçamba: 0,80 m3 / potência: 111 HP), largura de 1,50 a 2,50 m, profundidade até 1,50 m, com solo (sem substituição) de 1a categoria em locais com baixo nível de interferência. AF_04/2016</v>
      </c>
      <c r="E156" s="2"/>
      <c r="F156" s="2" t="str">
        <f>VLOOKUP($B156,[1]BOLETIM_SEL!$A:$H,6,0)</f>
        <v>M3</v>
      </c>
      <c r="G156" s="1407">
        <f>VLOOKUP($B156,[1]BOLETIM_SEL!$A:$H,7,0)</f>
        <v>22.45</v>
      </c>
      <c r="H156" s="1608">
        <f>Dre_Terraplenagem!AE146</f>
        <v>0</v>
      </c>
      <c r="I156" s="876">
        <f t="shared" si="41"/>
        <v>27.38</v>
      </c>
      <c r="J156" s="1607">
        <f t="shared" si="39"/>
        <v>0</v>
      </c>
      <c r="K156" s="2069">
        <f t="shared" ca="1" si="31"/>
        <v>0</v>
      </c>
      <c r="L156" s="1570">
        <f t="shared" ca="1" si="40"/>
        <v>0</v>
      </c>
      <c r="M156" s="2409"/>
      <c r="N156" s="832"/>
      <c r="O156" s="832"/>
      <c r="Q156" s="832"/>
      <c r="R156" s="832"/>
      <c r="S156" s="832"/>
      <c r="T156" s="832"/>
      <c r="U156" s="832"/>
      <c r="V156" s="832"/>
      <c r="W156" s="832"/>
      <c r="X156" s="832"/>
    </row>
    <row r="157" spans="1:24" s="812" customFormat="1" ht="50.1" hidden="1" customHeight="1" x14ac:dyDescent="0.15">
      <c r="A157" s="2072">
        <f t="shared" ca="1" si="22"/>
        <v>3.1499999999999968</v>
      </c>
      <c r="B157" s="833">
        <v>93380</v>
      </c>
      <c r="C157" s="2" t="str">
        <f>VLOOKUP($B157,[1]BOLETIM_SEL!$A:$H,2,0)</f>
        <v>SINAPI</v>
      </c>
      <c r="D157" s="315" t="str">
        <f>VLOOKUP($B157,[1]BOLETIM_SEL!$A:$H,4,0)</f>
        <v>Reaterro mecanizado de vala com retroescavadeira (capacidade da caçamba da retro: 0,26 m3 / potência: 88 HP), largura até 0,80 m, profundidade de 1,50 a 3,00 m, com solo (sem substituição) de 1a categoria em locais com baixo nível de interferência. AF_04/2016</v>
      </c>
      <c r="E157" s="2"/>
      <c r="F157" s="2" t="str">
        <f>VLOOKUP($B157,[1]BOLETIM_SEL!$A:$H,6,0)</f>
        <v>M3</v>
      </c>
      <c r="G157" s="1407">
        <f>VLOOKUP($B157,[1]BOLETIM_SEL!$A:$H,7,0)</f>
        <v>14.67</v>
      </c>
      <c r="H157" s="1608">
        <f>Dre_Terraplenagem!AE147</f>
        <v>0</v>
      </c>
      <c r="I157" s="876">
        <f t="shared" si="41"/>
        <v>17.89</v>
      </c>
      <c r="J157" s="1607">
        <f t="shared" si="39"/>
        <v>0</v>
      </c>
      <c r="K157" s="2069">
        <f t="shared" ca="1" si="31"/>
        <v>0</v>
      </c>
      <c r="L157" s="1570">
        <f t="shared" ca="1" si="40"/>
        <v>0</v>
      </c>
      <c r="M157" s="2410" t="str">
        <f>VLOOKUP($B157,[1]BOLETIM_SEL!$A:$H,5,0)</f>
        <v>1,51 &lt; H &lt; 3,00
baixa Interferência</v>
      </c>
      <c r="N157" s="832"/>
      <c r="O157" s="832"/>
      <c r="Q157" s="832"/>
      <c r="R157" s="832"/>
      <c r="S157" s="832"/>
      <c r="T157" s="832"/>
      <c r="U157" s="832"/>
      <c r="V157" s="832"/>
      <c r="W157" s="832"/>
      <c r="X157" s="832"/>
    </row>
    <row r="158" spans="1:24" s="812" customFormat="1" ht="50.1" hidden="1" customHeight="1" x14ac:dyDescent="0.15">
      <c r="A158" s="2072">
        <f t="shared" ca="1" si="22"/>
        <v>3.1499999999999968</v>
      </c>
      <c r="B158" s="833">
        <v>93381</v>
      </c>
      <c r="C158" s="2" t="str">
        <f>VLOOKUP($B158,[1]BOLETIM_SEL!$A:$H,2,0)</f>
        <v>SINAPI</v>
      </c>
      <c r="D158" s="315" t="str">
        <f>VLOOKUP($B158,[1]BOLETIM_SEL!$A:$H,4,0)</f>
        <v>Reaterro mecanizado de vala com retroescavadeira (capacidade da caçamba da retro: 0,26 m3 / potência: 88 HP), largura de 0,80 a 1,50 m, profundidade de 1,50 a 3,00 m, com solo (sem substituição) de 1a categoria em locais com baixo nível de interferência. AF_04/2016</v>
      </c>
      <c r="E158" s="2"/>
      <c r="F158" s="2" t="str">
        <f>VLOOKUP($B158,[1]BOLETIM_SEL!$A:$H,6,0)</f>
        <v>M3</v>
      </c>
      <c r="G158" s="1407">
        <f>VLOOKUP($B158,[1]BOLETIM_SEL!$A:$H,7,0)</f>
        <v>11.85</v>
      </c>
      <c r="H158" s="1608">
        <f>Dre_Terraplenagem!AE148</f>
        <v>0</v>
      </c>
      <c r="I158" s="876">
        <f t="shared" si="41"/>
        <v>14.45</v>
      </c>
      <c r="J158" s="1607">
        <f t="shared" si="39"/>
        <v>0</v>
      </c>
      <c r="K158" s="2069">
        <f t="shared" ca="1" si="31"/>
        <v>0</v>
      </c>
      <c r="L158" s="1570">
        <f t="shared" ca="1" si="40"/>
        <v>0</v>
      </c>
      <c r="M158" s="2410"/>
      <c r="N158" s="832"/>
      <c r="O158" s="832"/>
      <c r="Q158" s="832"/>
      <c r="R158" s="832"/>
      <c r="S158" s="832"/>
      <c r="T158" s="832"/>
      <c r="U158" s="832"/>
      <c r="V158" s="832"/>
      <c r="W158" s="832"/>
      <c r="X158" s="832"/>
    </row>
    <row r="159" spans="1:24" s="812" customFormat="1" ht="50.1" hidden="1" customHeight="1" x14ac:dyDescent="0.15">
      <c r="A159" s="2072">
        <f t="shared" ca="1" si="22"/>
        <v>3.1499999999999968</v>
      </c>
      <c r="B159" s="833">
        <v>93369</v>
      </c>
      <c r="C159" s="2" t="str">
        <f>VLOOKUP($B159,[1]BOLETIM_SEL!$A:$H,2,0)</f>
        <v>SINAPI</v>
      </c>
      <c r="D159" s="315" t="str">
        <f>VLOOKUP($B159,[1]BOLETIM_SEL!$A:$H,4,0)</f>
        <v>Reaterro mecanizado de vala com escavadeira hidráulica (capacidade da caçamba: 0,80 m3 / potência: 111 HP), largura de 1,50 a 2,50 m, profundidade de 1,50 a 3,00 m, com solo (sem substituição) de 1a categoria em locais com baixo nível de interferência. AF_04/2016</v>
      </c>
      <c r="E159" s="2"/>
      <c r="F159" s="2" t="str">
        <f>VLOOKUP($B159,[1]BOLETIM_SEL!$A:$H,6,0)</f>
        <v>M3</v>
      </c>
      <c r="G159" s="1407">
        <f>VLOOKUP($B159,[1]BOLETIM_SEL!$A:$H,7,0)</f>
        <v>16.100000000000001</v>
      </c>
      <c r="H159" s="1608">
        <f>Dre_Terraplenagem!AE149</f>
        <v>0</v>
      </c>
      <c r="I159" s="876">
        <f t="shared" si="41"/>
        <v>19.64</v>
      </c>
      <c r="J159" s="1607">
        <f t="shared" si="39"/>
        <v>0</v>
      </c>
      <c r="K159" s="2069">
        <f t="shared" ca="1" si="31"/>
        <v>0</v>
      </c>
      <c r="L159" s="1570">
        <f t="shared" ca="1" si="40"/>
        <v>0</v>
      </c>
      <c r="M159" s="2410"/>
      <c r="N159" s="832"/>
      <c r="O159" s="832"/>
      <c r="Q159" s="832"/>
      <c r="R159" s="832"/>
      <c r="S159" s="832"/>
      <c r="T159" s="832"/>
      <c r="U159" s="832"/>
      <c r="V159" s="832"/>
      <c r="W159" s="832"/>
      <c r="X159" s="832"/>
    </row>
    <row r="160" spans="1:24" s="812" customFormat="1" ht="50.1" hidden="1" customHeight="1" x14ac:dyDescent="0.15">
      <c r="A160" s="2072">
        <f t="shared" ca="1" si="22"/>
        <v>3.1499999999999968</v>
      </c>
      <c r="B160" s="2379">
        <v>104731</v>
      </c>
      <c r="C160" s="2" t="str">
        <f>VLOOKUP($B160,[1]BOLETIM_SEL!$A:$H,2,0)</f>
        <v>SINAPI</v>
      </c>
      <c r="D160" s="315" t="str">
        <f>VLOOKUP($B160,[1]BOLETIM_SEL!$A:$H,4,0)</f>
        <v>Reaterro mecanizado de vala com escavadeira hidráulica (capacidade da caçamba: 0,8 M³/potência: 111 HP), largura até 1,5 m, profundidade de 3,0 a 6,0 m, com solo (sem substituição) de 1ª categoria, com placa vibratória. AF_08/2023</v>
      </c>
      <c r="E160" s="2"/>
      <c r="F160" s="2" t="str">
        <f>VLOOKUP($B160,[1]BOLETIM_SEL!$A:$H,6,0)</f>
        <v>M3</v>
      </c>
      <c r="G160" s="1407">
        <f>VLOOKUP($B160,[1]BOLETIM_SEL!$A:$H,7,0)</f>
        <v>11.83</v>
      </c>
      <c r="H160" s="1608"/>
      <c r="I160" s="876">
        <f t="shared" si="41"/>
        <v>14.43</v>
      </c>
      <c r="J160" s="1607">
        <f t="shared" si="39"/>
        <v>0</v>
      </c>
      <c r="K160" s="2069">
        <f t="shared" ca="1" si="31"/>
        <v>0</v>
      </c>
      <c r="L160" s="1570">
        <f t="shared" ca="1" si="40"/>
        <v>0</v>
      </c>
      <c r="M160" s="2411" t="str">
        <f>VLOOKUP($B160,[1]BOLETIM_SEL!$A:$H,5,0)</f>
        <v>3,01 &lt; H &lt; 4,50
baixa Interferência</v>
      </c>
      <c r="N160" s="832"/>
      <c r="O160" s="832"/>
      <c r="Q160" s="832"/>
      <c r="R160" s="832"/>
      <c r="S160" s="832"/>
      <c r="T160" s="832"/>
      <c r="U160" s="832"/>
      <c r="V160" s="832"/>
      <c r="W160" s="832"/>
      <c r="X160" s="832"/>
    </row>
    <row r="161" spans="1:24" s="812" customFormat="1" ht="50.1" hidden="1" customHeight="1" x14ac:dyDescent="0.15">
      <c r="A161" s="2072">
        <f t="shared" ca="1" si="22"/>
        <v>3.1499999999999968</v>
      </c>
      <c r="B161" s="2378">
        <v>104732</v>
      </c>
      <c r="C161" s="2" t="str">
        <f>VLOOKUP($B161,[1]BOLETIM_SEL!$A:$H,2,0)</f>
        <v>SINAPI</v>
      </c>
      <c r="D161" s="315" t="str">
        <f>VLOOKUP($B161,[1]BOLETIM_SEL!$A:$H,4,0)</f>
        <v>Reaterro mecanizado de vala com escavadeira hidráulica (capacidade da caçamba: 0,8 M³/potência: 111 HP), largura de 1,5 a 2,5 m, profundidade de 3,0 a 6,0 m, com solo (sem substituição) de 1ª categoria, com placa vibratória. AF_08/2023</v>
      </c>
      <c r="E161" s="2"/>
      <c r="F161" s="2" t="str">
        <f>VLOOKUP($B161,[1]BOLETIM_SEL!$A:$H,6,0)</f>
        <v>M3</v>
      </c>
      <c r="G161" s="1407">
        <f>VLOOKUP($B161,[1]BOLETIM_SEL!$A:$H,7,0)</f>
        <v>9.59</v>
      </c>
      <c r="H161" s="1608"/>
      <c r="I161" s="876">
        <f t="shared" si="41"/>
        <v>11.69</v>
      </c>
      <c r="J161" s="1607">
        <f t="shared" si="39"/>
        <v>0</v>
      </c>
      <c r="K161" s="2069">
        <f t="shared" ca="1" si="31"/>
        <v>0</v>
      </c>
      <c r="L161" s="1570">
        <f t="shared" ca="1" si="40"/>
        <v>0</v>
      </c>
      <c r="M161" s="2411"/>
      <c r="N161" s="832"/>
      <c r="O161" s="832"/>
      <c r="Q161" s="832"/>
      <c r="R161" s="832"/>
      <c r="S161" s="832"/>
      <c r="T161" s="832"/>
      <c r="U161" s="832"/>
      <c r="V161" s="832"/>
      <c r="W161" s="832"/>
      <c r="X161" s="832"/>
    </row>
    <row r="162" spans="1:24" s="812" customFormat="1" ht="50.1" hidden="1" customHeight="1" x14ac:dyDescent="0.15">
      <c r="A162" s="2072">
        <f t="shared" ca="1" si="22"/>
        <v>3.1499999999999968</v>
      </c>
      <c r="B162" s="833">
        <v>93372</v>
      </c>
      <c r="C162" s="2" t="str">
        <f>VLOOKUP($B162,[1]BOLETIM_SEL!$A:$H,2,0)</f>
        <v>SINAPI</v>
      </c>
      <c r="D162" s="315" t="str">
        <f>VLOOKUP($B162,[1]BOLETIM_SEL!$A:$H,4,0)</f>
        <v>Reaterro mecanizado de vala com escavadeira hidráulica (capacidade da caçamba: 0,80 m3 / potência: 111 HP), largura até 1,50 m, profundidade de 4,50 a 6,00 m, com solo (sem substituição) de 1a categoria em locais com baixo nível de interferência. AF_04/2016</v>
      </c>
      <c r="E162" s="2"/>
      <c r="F162" s="2" t="str">
        <f>VLOOKUP($B162,[1]BOLETIM_SEL!$A:$H,6,0)</f>
        <v>M3</v>
      </c>
      <c r="G162" s="1407">
        <f>VLOOKUP($B162,[1]BOLETIM_SEL!$A:$H,7,0)</f>
        <v>15.46</v>
      </c>
      <c r="H162" s="1608">
        <f>Dre_Terraplenagem!AE152</f>
        <v>0</v>
      </c>
      <c r="I162" s="876">
        <f t="shared" si="41"/>
        <v>18.86</v>
      </c>
      <c r="J162" s="1607">
        <f t="shared" si="39"/>
        <v>0</v>
      </c>
      <c r="K162" s="2069">
        <f t="shared" ca="1" si="31"/>
        <v>0</v>
      </c>
      <c r="L162" s="1570">
        <f t="shared" ca="1" si="40"/>
        <v>0</v>
      </c>
      <c r="M162" s="2408" t="str">
        <f>VLOOKUP($B162,[1]BOLETIM_SEL!$A:$H,5,0)</f>
        <v>H &gt; 4,51
baixa Interferência</v>
      </c>
      <c r="N162" s="832"/>
      <c r="O162" s="832"/>
      <c r="Q162" s="832"/>
      <c r="R162" s="832"/>
      <c r="S162" s="832"/>
      <c r="T162" s="832"/>
      <c r="U162" s="832"/>
      <c r="V162" s="832"/>
      <c r="W162" s="832"/>
      <c r="X162" s="832"/>
    </row>
    <row r="163" spans="1:24" s="812" customFormat="1" ht="50.1" hidden="1" customHeight="1" x14ac:dyDescent="0.15">
      <c r="A163" s="2072">
        <f t="shared" ca="1" si="22"/>
        <v>3.1499999999999968</v>
      </c>
      <c r="B163" s="833">
        <v>93373</v>
      </c>
      <c r="C163" s="2" t="str">
        <f>VLOOKUP($B163,[1]BOLETIM_SEL!$A:$H,2,0)</f>
        <v>SINAPI</v>
      </c>
      <c r="D163" s="315" t="str">
        <f>VLOOKUP($B163,[1]BOLETIM_SEL!$A:$H,4,0)</f>
        <v>Reaterro mecanizado de vala com escavadeira hidráulica (capacidade da caçamba: 0,80 m3 / potência: 111 HP), largura de 1,50 a 2,50 m, profundidade de 4,50 a 6,00 m, com solo (sem substituição) de 1a categoria em locais com baixo nível de interferência. AF_04/2016</v>
      </c>
      <c r="E163" s="2"/>
      <c r="F163" s="2" t="str">
        <f>VLOOKUP($B163,[1]BOLETIM_SEL!$A:$H,6,0)</f>
        <v>M3</v>
      </c>
      <c r="G163" s="1407">
        <f>VLOOKUP($B163,[1]BOLETIM_SEL!$A:$H,7,0)</f>
        <v>13.21</v>
      </c>
      <c r="H163" s="1608">
        <f>Dre_Terraplenagem!AE153</f>
        <v>0</v>
      </c>
      <c r="I163" s="876">
        <f t="shared" si="41"/>
        <v>16.11</v>
      </c>
      <c r="J163" s="1607">
        <f t="shared" si="39"/>
        <v>0</v>
      </c>
      <c r="K163" s="2069">
        <f t="shared" ca="1" si="31"/>
        <v>0</v>
      </c>
      <c r="L163" s="1570">
        <f t="shared" ca="1" si="40"/>
        <v>0</v>
      </c>
      <c r="M163" s="2408"/>
      <c r="N163" s="832"/>
      <c r="O163" s="832"/>
      <c r="Q163" s="832"/>
      <c r="R163" s="832"/>
      <c r="S163" s="832"/>
      <c r="T163" s="832"/>
      <c r="U163" s="832"/>
      <c r="V163" s="832"/>
      <c r="W163" s="832"/>
      <c r="X163" s="832"/>
    </row>
    <row r="164" spans="1:24" s="812" customFormat="1" ht="39.950000000000003" hidden="1" customHeight="1" x14ac:dyDescent="0.15">
      <c r="A164" s="2072">
        <f t="shared" ca="1" si="22"/>
        <v>3.1499999999999968</v>
      </c>
      <c r="B164" s="833">
        <v>94342</v>
      </c>
      <c r="C164" s="2" t="str">
        <f>VLOOKUP($B164,[1]BOLETIM_SEL!$A:$H,2,0)</f>
        <v>SINAPI</v>
      </c>
      <c r="D164" s="315" t="str">
        <f>VLOOKUP($B164,[1]BOLETIM_SEL!$A:$H,4,0)</f>
        <v>Aterro manual de valas com areia para aterro e compactação mecanizada (adensamento hidráulico e inclusive aquisição). AF_05/2016</v>
      </c>
      <c r="E164" s="2"/>
      <c r="F164" s="2" t="str">
        <f>VLOOKUP($B164,[1]BOLETIM_SEL!$A:$H,6,0)</f>
        <v>M3</v>
      </c>
      <c r="G164" s="1407">
        <f>VLOOKUP($B164,[1]BOLETIM_SEL!$A:$H,7,0)</f>
        <v>86.42</v>
      </c>
      <c r="H164" s="1608">
        <f>Dre_Terraplenagem!AE133</f>
        <v>0</v>
      </c>
      <c r="I164" s="876">
        <f t="shared" si="41"/>
        <v>105.43</v>
      </c>
      <c r="J164" s="1607">
        <f t="shared" si="39"/>
        <v>0</v>
      </c>
      <c r="K164" s="2069">
        <f t="shared" ref="K164:K169" ca="1" si="42">J164/J$930</f>
        <v>0</v>
      </c>
      <c r="L164" s="1570">
        <f t="shared" ca="1" si="40"/>
        <v>0</v>
      </c>
      <c r="M164" s="1442"/>
      <c r="N164" s="832"/>
      <c r="O164" s="832"/>
      <c r="Q164" s="832"/>
      <c r="R164" s="832"/>
      <c r="S164" s="832"/>
      <c r="T164" s="832"/>
      <c r="U164" s="832"/>
      <c r="V164" s="832"/>
      <c r="W164" s="832"/>
      <c r="X164" s="832"/>
    </row>
    <row r="165" spans="1:24" s="812" customFormat="1" ht="50.1" hidden="1" customHeight="1" x14ac:dyDescent="0.15">
      <c r="A165" s="2072">
        <f t="shared" ca="1" si="22"/>
        <v>3.1499999999999968</v>
      </c>
      <c r="B165" s="833">
        <v>101230</v>
      </c>
      <c r="C165" s="2" t="str">
        <f>VLOOKUP($B165,[1]BOLETIM_SEL!$A:$H,2,0)</f>
        <v>SINAPI</v>
      </c>
      <c r="D165" s="315" t="str">
        <f>VLOOKUP($B165,[1]BOLETIM_SEL!$A:$H,4,0)</f>
        <v>Escavação vertical a céu aberto, em obras de infraestrutura, incluindo carga, descarga e transporte, em solo de 1a categoria com escavadeira hidráulica (caçamba: 0,80 m3 / 111 HP), frota de 3 caminhões basculantes de 14 m3, DMT até 1 km e velocidade média 14 km/h. AF_05/2020</v>
      </c>
      <c r="E165" s="2"/>
      <c r="F165" s="2" t="str">
        <f>VLOOKUP($B165,[1]BOLETIM_SEL!$A:$H,6,0)</f>
        <v>M3</v>
      </c>
      <c r="G165" s="1407">
        <f>VLOOKUP($B165,[1]BOLETIM_SEL!$A:$H,7,0)</f>
        <v>10.75</v>
      </c>
      <c r="H165" s="1608">
        <f ca="1">IF(H167=0,Dre_Terraplenagem!AE204,0)</f>
        <v>0</v>
      </c>
      <c r="I165" s="876">
        <f t="shared" si="41"/>
        <v>13.11</v>
      </c>
      <c r="J165" s="1607">
        <f ca="1">TRUNC(H165*I165,2)</f>
        <v>0</v>
      </c>
      <c r="K165" s="2069">
        <f t="shared" ca="1" si="42"/>
        <v>0</v>
      </c>
      <c r="L165" s="1570">
        <f t="shared" ca="1" si="40"/>
        <v>0</v>
      </c>
      <c r="M165" s="1442"/>
      <c r="N165" s="832"/>
      <c r="O165" s="832"/>
      <c r="Q165" s="832"/>
      <c r="R165" s="832"/>
      <c r="S165" s="832"/>
      <c r="T165" s="832"/>
      <c r="U165" s="832"/>
      <c r="V165" s="832"/>
      <c r="W165" s="832"/>
      <c r="X165" s="832"/>
    </row>
    <row r="166" spans="1:24" s="812" customFormat="1" ht="39.950000000000003" hidden="1" customHeight="1" x14ac:dyDescent="0.15">
      <c r="A166" s="2072">
        <f t="shared" ca="1" si="22"/>
        <v>3.1499999999999968</v>
      </c>
      <c r="B166" s="833">
        <v>368</v>
      </c>
      <c r="C166" s="2" t="str">
        <f>VLOOKUP($B166,[1]BOLETIM_SEL!$A:$H,2,0)</f>
        <v>COTAÇÃO - SINAPI</v>
      </c>
      <c r="D166" s="315" t="str">
        <f>VLOOKUP($B166,[1]BOLETIM_SEL!$A:$H,4,0)</f>
        <v>Areia para aterro - posto jazida/fornecedor (retirado na jazida, sem transporte)</v>
      </c>
      <c r="E166" s="2221" t="s">
        <v>2632</v>
      </c>
      <c r="F166" s="2" t="str">
        <f>VLOOKUP($B166,[1]BOLETIM_SEL!$A:$H,6,0)</f>
        <v xml:space="preserve">M3    </v>
      </c>
      <c r="G166" s="1407">
        <f>VLOOKUP($B166,[1]BOLETIM_SEL!$A:$H,7,0)</f>
        <v>45</v>
      </c>
      <c r="H166" s="1608">
        <f>ROUND(H164*1.25,2)</f>
        <v>0</v>
      </c>
      <c r="I166" s="2222">
        <f t="shared" ref="I166:I167" si="43">TRUNC(G166*(1+$J$6),2)</f>
        <v>51.87</v>
      </c>
      <c r="J166" s="1607">
        <f>TRUNC(H166*I166,2)</f>
        <v>0</v>
      </c>
      <c r="K166" s="2069">
        <f t="shared" ca="1" si="42"/>
        <v>0</v>
      </c>
      <c r="L166" s="1570">
        <f t="shared" ca="1" si="40"/>
        <v>0</v>
      </c>
      <c r="M166" s="1442"/>
      <c r="N166" s="832"/>
      <c r="O166" s="832"/>
      <c r="Q166" s="832"/>
      <c r="R166" s="832"/>
      <c r="S166" s="832"/>
      <c r="T166" s="832"/>
      <c r="U166" s="832"/>
      <c r="V166" s="832"/>
      <c r="W166" s="832"/>
      <c r="X166" s="832"/>
    </row>
    <row r="167" spans="1:24" s="812" customFormat="1" ht="39.950000000000003" hidden="1" customHeight="1" x14ac:dyDescent="0.15">
      <c r="A167" s="2072">
        <f t="shared" ca="1" si="22"/>
        <v>3.1499999999999968</v>
      </c>
      <c r="B167" s="833">
        <v>6079</v>
      </c>
      <c r="C167" s="2" t="str">
        <f>VLOOKUP($B167,[1]BOLETIM_SEL!$A:$H,2,0)</f>
        <v>COTAÇÃO - SINAPI</v>
      </c>
      <c r="D167" s="315" t="str">
        <f>VLOOKUP($B167,[1]BOLETIM_SEL!$A:$H,4,0)</f>
        <v>Argila, argila vermelha ou argila arenosa (retirada na jazida, sem transporte)</v>
      </c>
      <c r="E167" s="2221" t="s">
        <v>2632</v>
      </c>
      <c r="F167" s="2" t="str">
        <f>VLOOKUP($B167,[1]BOLETIM_SEL!$A:$H,6,0)</f>
        <v xml:space="preserve">M3    </v>
      </c>
      <c r="G167" s="1407">
        <f>VLOOKUP($B167,[1]BOLETIM_SEL!$A:$H,7,0)</f>
        <v>36.51</v>
      </c>
      <c r="H167" s="1608">
        <f>IF(M167="COMERCIAL",Dre_Terraplenagem!AE204,0)</f>
        <v>0</v>
      </c>
      <c r="I167" s="2222">
        <f t="shared" si="43"/>
        <v>42.08</v>
      </c>
      <c r="J167" s="1607">
        <f>TRUNC(H167*I167,2)</f>
        <v>0</v>
      </c>
      <c r="K167" s="2069">
        <f t="shared" ca="1" si="42"/>
        <v>0</v>
      </c>
      <c r="L167" s="1570">
        <f t="shared" ca="1" si="40"/>
        <v>0</v>
      </c>
      <c r="M167" s="1585" t="s">
        <v>1703</v>
      </c>
      <c r="N167" s="832"/>
      <c r="O167" s="832"/>
      <c r="Q167" s="832"/>
      <c r="R167" s="832"/>
      <c r="S167" s="832"/>
      <c r="T167" s="832"/>
      <c r="U167" s="832"/>
      <c r="V167" s="832"/>
      <c r="W167" s="832"/>
      <c r="X167" s="832"/>
    </row>
    <row r="168" spans="1:24" s="812" customFormat="1" ht="30" hidden="1" customHeight="1" x14ac:dyDescent="0.15">
      <c r="A168" s="2072">
        <f t="shared" ca="1" si="22"/>
        <v>3.1499999999999968</v>
      </c>
      <c r="B168" s="833" t="str">
        <f>IF(M168="ESMERALDA","SC/0082",98504)</f>
        <v>SC/0082</v>
      </c>
      <c r="C168" s="2" t="str">
        <f>VLOOKUP($B168,[1]BOLETIM_SEL!$A:$H,2,0)</f>
        <v>COMPOSIÇÃO</v>
      </c>
      <c r="D168" s="315" t="str">
        <f>VLOOKUP($B168,[1]BOLETIM_SEL!$A:$H,4,0)</f>
        <v>Grama em placas, tipo esmeralda, incluindo plantio, adubo, fertilizante, calcário, terra orgânica e irrigação</v>
      </c>
      <c r="E168" s="2"/>
      <c r="F168" s="2" t="str">
        <f>VLOOKUP($B168,[1]BOLETIM_SEL!$A:$H,6,0)</f>
        <v>M2</v>
      </c>
      <c r="G168" s="1407">
        <f>VLOOKUP($B168,[1]BOLETIM_SEL!$A:$H,7,0)</f>
        <v>22.02</v>
      </c>
      <c r="H168" s="1608">
        <f>Dre_Terraplenagem!AE188</f>
        <v>0</v>
      </c>
      <c r="I168" s="876">
        <f>TRUNC(G168*(1+$J$5),2)</f>
        <v>26.86</v>
      </c>
      <c r="J168" s="1607">
        <f>TRUNC(H168*I168,2)</f>
        <v>0</v>
      </c>
      <c r="K168" s="2069">
        <f t="shared" ca="1" si="42"/>
        <v>0</v>
      </c>
      <c r="L168" s="1570">
        <f t="shared" ca="1" si="40"/>
        <v>0</v>
      </c>
      <c r="M168" s="1585" t="s">
        <v>1821</v>
      </c>
      <c r="N168" s="832"/>
      <c r="O168" s="832"/>
      <c r="Q168" s="832"/>
      <c r="R168" s="832"/>
      <c r="S168" s="832"/>
      <c r="T168" s="832"/>
      <c r="U168" s="832"/>
      <c r="V168" s="832"/>
      <c r="W168" s="832"/>
      <c r="X168" s="832"/>
    </row>
    <row r="169" spans="1:24" s="812" customFormat="1" ht="39.950000000000003" customHeight="1" x14ac:dyDescent="0.15">
      <c r="A169" s="2072">
        <f t="shared" ca="1" si="22"/>
        <v>3.1599999999999966</v>
      </c>
      <c r="B169" s="833">
        <f>IF(M169="escavadeira",100979,100974)</f>
        <v>100979</v>
      </c>
      <c r="C169" s="2" t="str">
        <f>VLOOKUP($B169,[1]BOLETIM_SEL!$A:$H,2,0)</f>
        <v>SINAPI</v>
      </c>
      <c r="D169" s="315" t="str">
        <f>VLOOKUP($B169,[1]BOLETIM_SEL!$A:$H,4,0)</f>
        <v>Carga, manobra e descarga de solos e materiais granulares em caminhão basculante 14 m3 - carga com escavadeira hidráulica (capacidade da caçamba: 1,20 m3 / potência: 155 HP) e descarga livre (unidade: m3). AF_07/2020</v>
      </c>
      <c r="E169" s="2"/>
      <c r="F169" s="2" t="str">
        <f>VLOOKUP($B169,[1]BOLETIM_SEL!$A:$H,6,0)</f>
        <v>M3</v>
      </c>
      <c r="G169" s="1407">
        <f>VLOOKUP($B169,[1]BOLETIM_SEL!$A:$H,7,0)</f>
        <v>6.46</v>
      </c>
      <c r="H169" s="1608">
        <f ca="1">Dre_Terraplenagem!AE200</f>
        <v>625.69000000000005</v>
      </c>
      <c r="I169" s="876">
        <f>TRUNC(G169*(1+$J$5),2)</f>
        <v>7.88</v>
      </c>
      <c r="J169" s="1607">
        <f ca="1">TRUNC(H169*I169,2)</f>
        <v>4930.43</v>
      </c>
      <c r="K169" s="2069">
        <f t="shared" ca="1" si="42"/>
        <v>1.3401346875004261E-3</v>
      </c>
      <c r="L169" s="1570">
        <f t="shared" ca="1" si="40"/>
        <v>3.4245689517454339E-2</v>
      </c>
      <c r="M169" s="1585" t="s">
        <v>2094</v>
      </c>
      <c r="N169" s="832"/>
      <c r="O169" s="832"/>
      <c r="Q169" s="832"/>
      <c r="R169" s="832"/>
      <c r="S169" s="832"/>
      <c r="T169" s="832"/>
      <c r="U169" s="832"/>
      <c r="V169" s="832"/>
      <c r="W169" s="832"/>
      <c r="X169" s="832"/>
    </row>
    <row r="170" spans="1:24" s="812" customFormat="1" ht="24.95" customHeight="1" x14ac:dyDescent="0.15">
      <c r="A170" s="2072"/>
      <c r="B170" s="833"/>
      <c r="C170" s="2"/>
      <c r="D170" s="1449" t="s">
        <v>1809</v>
      </c>
      <c r="E170" s="2"/>
      <c r="F170" s="2"/>
      <c r="G170" s="1407"/>
      <c r="H170" s="2"/>
      <c r="I170" s="2"/>
      <c r="J170" s="838" t="str">
        <f ca="1">IF(J171=0,"-","")</f>
        <v/>
      </c>
      <c r="K170" s="2069"/>
      <c r="L170" s="1570"/>
      <c r="M170" s="1442" t="s">
        <v>1669</v>
      </c>
      <c r="N170" s="832"/>
      <c r="O170" s="832"/>
      <c r="Q170" s="832"/>
      <c r="R170" s="832"/>
      <c r="S170" s="832"/>
      <c r="T170" s="832"/>
      <c r="U170" s="832"/>
      <c r="V170" s="832"/>
      <c r="W170" s="832"/>
      <c r="X170" s="832"/>
    </row>
    <row r="171" spans="1:24" s="812" customFormat="1" ht="30" customHeight="1" x14ac:dyDescent="0.15">
      <c r="A171" s="2072">
        <f ca="1">IF(H171&gt;0,A169+0.01,A169)</f>
        <v>3.1699999999999964</v>
      </c>
      <c r="B171" s="833">
        <v>100939</v>
      </c>
      <c r="C171" s="2" t="str">
        <f>VLOOKUP($B171,[1]BOLETIM_SEL!$A:$H,2,0)</f>
        <v>SINAPI</v>
      </c>
      <c r="D171" s="315" t="str">
        <f>VLOOKUP($B171,[1]BOLETIM_SEL!$A:$H,4,0)</f>
        <v>Transporte com caminhão basculante de 14 m3, em via interna (dentro do canteiro - unidade:m3xkm). AF_07/2020</v>
      </c>
      <c r="E171" s="2">
        <f>Dados_DMT!$B$15</f>
        <v>1</v>
      </c>
      <c r="F171" s="2" t="str">
        <f>VLOOKUP($B171,[1]BOLETIM_SEL!$A:$H,6,0)</f>
        <v>M3XKM</v>
      </c>
      <c r="G171" s="1407">
        <f>VLOOKUP($B171,[1]BOLETIM_SEL!$A:$H,7,0)</f>
        <v>6.29</v>
      </c>
      <c r="H171" s="1608">
        <f ca="1">ROUND(Dre_Terraplenagem!AE201*E171,2)</f>
        <v>1126.25</v>
      </c>
      <c r="I171" s="876">
        <f>TRUNC(G171*(1+$J$5),2)</f>
        <v>7.67</v>
      </c>
      <c r="J171" s="1607">
        <f ca="1">TRUNC(H171*I171,2)</f>
        <v>8638.33</v>
      </c>
      <c r="K171" s="2069">
        <f ca="1">J171/J$930</f>
        <v>2.3479748571778843E-3</v>
      </c>
      <c r="L171" s="1570">
        <f ca="1">J171/J$100</f>
        <v>5.9999952768685763E-2</v>
      </c>
      <c r="M171" s="1442"/>
      <c r="N171" s="832"/>
      <c r="O171" s="832"/>
      <c r="Q171" s="832"/>
      <c r="R171" s="832"/>
      <c r="S171" s="832"/>
      <c r="T171" s="832"/>
      <c r="U171" s="832"/>
      <c r="V171" s="832"/>
      <c r="W171" s="832"/>
      <c r="X171" s="832"/>
    </row>
    <row r="172" spans="1:24" s="812" customFormat="1" ht="24.95" hidden="1" customHeight="1" x14ac:dyDescent="0.15">
      <c r="A172" s="2072"/>
      <c r="B172" s="833"/>
      <c r="C172" s="2"/>
      <c r="D172" s="1449" t="s">
        <v>1797</v>
      </c>
      <c r="E172" s="2"/>
      <c r="F172" s="2"/>
      <c r="G172" s="1407"/>
      <c r="H172" s="2"/>
      <c r="I172" s="2"/>
      <c r="J172" s="838" t="str">
        <f>IF(J173=0,"-","")</f>
        <v>-</v>
      </c>
      <c r="K172" s="2069"/>
      <c r="L172" s="1570"/>
      <c r="M172" s="1442" t="s">
        <v>1941</v>
      </c>
      <c r="N172" s="832"/>
      <c r="O172" s="832"/>
      <c r="Q172" s="832"/>
      <c r="R172" s="832"/>
      <c r="S172" s="832"/>
      <c r="T172" s="832"/>
      <c r="U172" s="832"/>
      <c r="V172" s="832"/>
      <c r="W172" s="832"/>
      <c r="X172" s="832"/>
    </row>
    <row r="173" spans="1:24" s="812" customFormat="1" ht="39.950000000000003" hidden="1" customHeight="1" x14ac:dyDescent="0.15">
      <c r="A173" s="2072">
        <f ca="1">IF(H173&gt;0,A171+0.01,A171)</f>
        <v>3.1699999999999964</v>
      </c>
      <c r="B173" s="833">
        <f>IF(AND(M173&lt;=50,E173&lt;=30),95875,IF(AND(M173&lt;=50,E173&gt;30),93590,IF(AND(M173&gt;50,E173&lt;=30),95876,93593)))</f>
        <v>95875</v>
      </c>
      <c r="C173" s="2" t="str">
        <f>VLOOKUP($B173,[1]BOLETIM_SEL!$A:$H,2,0)</f>
        <v>SINAPI</v>
      </c>
      <c r="D173" s="315" t="str">
        <f>VLOOKUP($B173,[1]BOLETIM_SEL!$A:$H,4,0)</f>
        <v>Transporte com caminhão basculante de 10 m3, em via urbana pavimentada, DMT até 30,00 km (unidade: m3xkm). AF_07/2020</v>
      </c>
      <c r="E173" s="2">
        <f>Dados_DMT!$B$16</f>
        <v>0</v>
      </c>
      <c r="F173" s="2" t="str">
        <f>VLOOKUP($B173,[1]BOLETIM_SEL!$A:$H,6,0)</f>
        <v>M3XKM</v>
      </c>
      <c r="G173" s="1407">
        <f>VLOOKUP($B173,[1]BOLETIM_SEL!$A:$H,7,0)</f>
        <v>2.36</v>
      </c>
      <c r="H173" s="1608">
        <f>ROUND(Dre_Terraplenagem!AE202*E173,2)</f>
        <v>0</v>
      </c>
      <c r="I173" s="876">
        <f>TRUNC(G173*(1+$J$5),2)</f>
        <v>2.87</v>
      </c>
      <c r="J173" s="1607">
        <f>TRUNC(H173*I173,2)</f>
        <v>0</v>
      </c>
      <c r="K173" s="2069">
        <f ca="1">J173/J$930</f>
        <v>0</v>
      </c>
      <c r="L173" s="1570">
        <f ca="1">J173/J$100</f>
        <v>0</v>
      </c>
      <c r="M173" s="1450">
        <f>IF(H173=0,0,H173/E173)</f>
        <v>0</v>
      </c>
      <c r="N173" s="832"/>
      <c r="O173" s="832"/>
      <c r="Q173" s="832"/>
      <c r="R173" s="832"/>
      <c r="S173" s="832"/>
      <c r="T173" s="832"/>
      <c r="U173" s="832"/>
      <c r="V173" s="832"/>
      <c r="W173" s="832"/>
      <c r="X173" s="832"/>
    </row>
    <row r="174" spans="1:24" s="812" customFormat="1" ht="24.95" customHeight="1" x14ac:dyDescent="0.15">
      <c r="A174" s="2072"/>
      <c r="B174" s="2"/>
      <c r="C174" s="2"/>
      <c r="D174" s="1449" t="s">
        <v>1798</v>
      </c>
      <c r="E174" s="2"/>
      <c r="F174" s="2"/>
      <c r="G174" s="1407"/>
      <c r="H174" s="2"/>
      <c r="I174" s="2"/>
      <c r="J174" s="838" t="str">
        <f ca="1">IF(J175=0,"-","")</f>
        <v/>
      </c>
      <c r="K174" s="2069"/>
      <c r="L174" s="1570"/>
      <c r="M174" s="1442" t="s">
        <v>1942</v>
      </c>
      <c r="N174" s="832"/>
      <c r="O174" s="832"/>
      <c r="Q174" s="832"/>
      <c r="R174" s="832"/>
      <c r="S174" s="832"/>
      <c r="T174" s="832"/>
      <c r="U174" s="832"/>
      <c r="V174" s="832"/>
      <c r="W174" s="832"/>
      <c r="X174" s="832"/>
    </row>
    <row r="175" spans="1:24" s="812" customFormat="1" ht="39.950000000000003" customHeight="1" x14ac:dyDescent="0.15">
      <c r="A175" s="2072">
        <f ca="1">IF(H175&gt;0,A173+0.01,A173)</f>
        <v>3.1799999999999962</v>
      </c>
      <c r="B175" s="833">
        <f ca="1">IF(AND(M175&lt;=50,E175&lt;=30),95875,IF(AND(M175&lt;=50,E175&gt;30),93590,IF(AND(M175&gt;50,E175&lt;=30),95876,93593)))</f>
        <v>95876</v>
      </c>
      <c r="C175" s="2" t="str">
        <f ca="1">VLOOKUP($B175,[1]BOLETIM_SEL!$A:$H,2,0)</f>
        <v>SINAPI</v>
      </c>
      <c r="D175" s="315" t="str">
        <f ca="1">VLOOKUP($B175,[1]BOLETIM_SEL!$A:$H,4,0)</f>
        <v>Transporte com caminhão basculante de 14 m3, em via urbana pavimentada, DMT até 30,00 km (unidade: m3xkm). AF_07/2020</v>
      </c>
      <c r="E175" s="2">
        <f>Dados_DMT!$B$17</f>
        <v>8</v>
      </c>
      <c r="F175" s="2" t="str">
        <f ca="1">VLOOKUP($B175,[1]BOLETIM_SEL!$A:$H,6,0)</f>
        <v>M3XKM</v>
      </c>
      <c r="G175" s="1407">
        <f ca="1">VLOOKUP($B175,[1]BOLETIM_SEL!$A:$H,7,0)</f>
        <v>2.0699999999999998</v>
      </c>
      <c r="H175" s="1608">
        <f ca="1">ROUND(Dre_Terraplenagem!AE203*E175,2)</f>
        <v>2548</v>
      </c>
      <c r="I175" s="876">
        <f ca="1">TRUNC(G175*(1+$J$5),2)</f>
        <v>2.52</v>
      </c>
      <c r="J175" s="1607">
        <f ca="1">TRUNC(H175*I175,2)</f>
        <v>6420.96</v>
      </c>
      <c r="K175" s="2069">
        <f ca="1">J175/J$930</f>
        <v>1.7452739868637696E-3</v>
      </c>
      <c r="L175" s="1570">
        <f ca="1">J175/J$100</f>
        <v>4.4598585227656334E-2</v>
      </c>
      <c r="M175" s="1450">
        <f ca="1">IF(H175=0,0,H175/E175)</f>
        <v>318.5</v>
      </c>
      <c r="N175" s="832"/>
      <c r="O175" s="832"/>
      <c r="Q175" s="832"/>
      <c r="R175" s="832"/>
      <c r="S175" s="832"/>
      <c r="T175" s="832"/>
      <c r="U175" s="832"/>
      <c r="V175" s="832"/>
      <c r="W175" s="832"/>
      <c r="X175" s="832"/>
    </row>
    <row r="176" spans="1:24" s="812" customFormat="1" ht="24.95" hidden="1" customHeight="1" x14ac:dyDescent="0.15">
      <c r="A176" s="2072"/>
      <c r="B176" s="2"/>
      <c r="C176" s="2"/>
      <c r="D176" s="1449" t="s">
        <v>1811</v>
      </c>
      <c r="E176" s="2"/>
      <c r="F176" s="2"/>
      <c r="G176" s="1407"/>
      <c r="H176" s="2"/>
      <c r="I176" s="2"/>
      <c r="J176" s="838" t="str">
        <f ca="1">IF(J177=0,"-","")</f>
        <v>-</v>
      </c>
      <c r="K176" s="2069"/>
      <c r="L176" s="1570"/>
      <c r="M176" s="1442"/>
      <c r="N176" s="832"/>
      <c r="O176" s="832"/>
      <c r="Q176" s="832"/>
      <c r="R176" s="832"/>
      <c r="S176" s="832"/>
      <c r="T176" s="832"/>
      <c r="U176" s="832"/>
      <c r="V176" s="832"/>
      <c r="W176" s="832"/>
      <c r="X176" s="832"/>
    </row>
    <row r="177" spans="1:24" s="812" customFormat="1" ht="39.950000000000003" hidden="1" customHeight="1" x14ac:dyDescent="0.15">
      <c r="A177" s="2072">
        <f ca="1">IF(H177&gt;0,A175+0.01,A175)</f>
        <v>3.1799999999999962</v>
      </c>
      <c r="B177" s="833">
        <f ca="1">IF(AND(M177&lt;=50,E177&lt;=30),95875,IF(AND(M177&lt;=50,E177&gt;30),93590,IF(AND(M177&gt;50,E177&lt;=30),95876,93593)))</f>
        <v>95875</v>
      </c>
      <c r="C177" s="2" t="str">
        <f ca="1">VLOOKUP($B177,[1]BOLETIM_SEL!$A:$H,2,0)</f>
        <v>SINAPI</v>
      </c>
      <c r="D177" s="315" t="str">
        <f ca="1">VLOOKUP($B177,[1]BOLETIM_SEL!$A:$H,4,0)</f>
        <v>Transporte com caminhão basculante de 10 m3, em via urbana pavimentada, DMT até 30,00 km (unidade: m3xkm). AF_07/2020</v>
      </c>
      <c r="E177" s="2">
        <f>Dados_DMT!$B$14</f>
        <v>7</v>
      </c>
      <c r="F177" s="2" t="str">
        <f ca="1">VLOOKUP($B177,[1]BOLETIM_SEL!$A:$H,6,0)</f>
        <v>M3XKM</v>
      </c>
      <c r="G177" s="1407">
        <f ca="1">VLOOKUP($B177,[1]BOLETIM_SEL!$A:$H,7,0)</f>
        <v>2.36</v>
      </c>
      <c r="H177" s="1608">
        <f ca="1">ROUND(Dre_Terraplenagem!AE204*E177,2)</f>
        <v>0</v>
      </c>
      <c r="I177" s="876">
        <f ca="1">TRUNC(G177*(1+$J$5),2)</f>
        <v>2.87</v>
      </c>
      <c r="J177" s="1607">
        <f ca="1">TRUNC(H177*I177,2)</f>
        <v>0</v>
      </c>
      <c r="K177" s="2069">
        <f ca="1">J177/J$930</f>
        <v>0</v>
      </c>
      <c r="L177" s="1570">
        <f ca="1">J177/J$100</f>
        <v>0</v>
      </c>
      <c r="M177" s="1450">
        <f ca="1">IF(H177=0,0,H177/E177)</f>
        <v>0</v>
      </c>
      <c r="N177" s="832"/>
      <c r="O177" s="832"/>
      <c r="Q177" s="832"/>
      <c r="R177" s="832"/>
      <c r="S177" s="832"/>
      <c r="T177" s="832"/>
      <c r="U177" s="832"/>
      <c r="V177" s="832"/>
      <c r="W177" s="832"/>
      <c r="X177" s="832"/>
    </row>
    <row r="178" spans="1:24" s="812" customFormat="1" ht="24.95" hidden="1" customHeight="1" x14ac:dyDescent="0.15">
      <c r="A178" s="2072"/>
      <c r="B178" s="2"/>
      <c r="C178" s="2"/>
      <c r="D178" s="1449" t="s">
        <v>1808</v>
      </c>
      <c r="E178" s="2"/>
      <c r="F178" s="2"/>
      <c r="G178" s="1407"/>
      <c r="H178" s="2"/>
      <c r="I178" s="2"/>
      <c r="J178" s="838" t="str">
        <f>IF(J179=0,"-","")</f>
        <v>-</v>
      </c>
      <c r="K178" s="2069"/>
      <c r="L178" s="1570"/>
      <c r="M178" s="1442"/>
      <c r="N178" s="832"/>
      <c r="O178" s="832"/>
      <c r="Q178" s="832"/>
      <c r="R178" s="832"/>
      <c r="S178" s="832"/>
      <c r="T178" s="832"/>
      <c r="U178" s="832"/>
      <c r="V178" s="832"/>
      <c r="W178" s="832"/>
      <c r="X178" s="832"/>
    </row>
    <row r="179" spans="1:24" s="812" customFormat="1" ht="39.950000000000003" hidden="1" customHeight="1" x14ac:dyDescent="0.15">
      <c r="A179" s="2072">
        <f ca="1">IF(H179&gt;0,A177+0.01,A177)</f>
        <v>3.1799999999999962</v>
      </c>
      <c r="B179" s="833">
        <f>IF(AND(M179&lt;=50,E179&lt;=30),95875,IF(AND(M179&lt;=50,E179&gt;30),93590,IF(AND(M179&gt;50,E179&lt;=30),95876,93593)))</f>
        <v>95875</v>
      </c>
      <c r="C179" s="2" t="str">
        <f>VLOOKUP($B179,[1]BOLETIM_SEL!$A:$H,2,0)</f>
        <v>SINAPI</v>
      </c>
      <c r="D179" s="315" t="str">
        <f>VLOOKUP($B179,[1]BOLETIM_SEL!$A:$H,4,0)</f>
        <v>Transporte com caminhão basculante de 10 m3, em via urbana pavimentada, DMT até 30,00 km (unidade: m3xkm). AF_07/2020</v>
      </c>
      <c r="E179" s="2">
        <f>Dados_DMT!$B$21</f>
        <v>0</v>
      </c>
      <c r="F179" s="2" t="str">
        <f>VLOOKUP($B179,[1]BOLETIM_SEL!$A:$H,6,0)</f>
        <v>M3XKM</v>
      </c>
      <c r="G179" s="1407">
        <f>VLOOKUP($B179,[1]BOLETIM_SEL!$A:$H,7,0)</f>
        <v>2.36</v>
      </c>
      <c r="H179" s="1608">
        <f>ROUND(Dre_Terraplenagem!AE209*E179,2)</f>
        <v>0</v>
      </c>
      <c r="I179" s="876">
        <f>TRUNC(G179*(1+$J$5),2)</f>
        <v>2.87</v>
      </c>
      <c r="J179" s="1607">
        <f>TRUNC(H179*I179,2)</f>
        <v>0</v>
      </c>
      <c r="K179" s="2069">
        <f ca="1">J179/J$930</f>
        <v>0</v>
      </c>
      <c r="L179" s="1570">
        <f ca="1">J179/J$100</f>
        <v>0</v>
      </c>
      <c r="M179" s="1450">
        <f>IF(H179=0,0,H179/E179)</f>
        <v>0</v>
      </c>
      <c r="N179" s="832"/>
      <c r="O179" s="832"/>
      <c r="Q179" s="832"/>
      <c r="R179" s="832"/>
      <c r="S179" s="832"/>
      <c r="T179" s="832"/>
      <c r="U179" s="832"/>
      <c r="V179" s="832"/>
      <c r="W179" s="832"/>
      <c r="X179" s="832"/>
    </row>
    <row r="180" spans="1:24" s="812" customFormat="1" ht="24.95" hidden="1" customHeight="1" x14ac:dyDescent="0.15">
      <c r="A180" s="2072"/>
      <c r="B180" s="2"/>
      <c r="C180" s="2"/>
      <c r="D180" s="1449" t="s">
        <v>2178</v>
      </c>
      <c r="E180" s="2"/>
      <c r="F180" s="2"/>
      <c r="G180" s="1407"/>
      <c r="H180" s="2"/>
      <c r="I180" s="2"/>
      <c r="J180" s="838" t="str">
        <f>IF(J181=0,"-","")</f>
        <v>-</v>
      </c>
      <c r="K180" s="2069"/>
      <c r="L180" s="1570"/>
      <c r="M180" s="1442"/>
      <c r="N180" s="832"/>
      <c r="O180" s="832"/>
      <c r="Q180" s="832"/>
      <c r="R180" s="832"/>
      <c r="S180" s="832"/>
      <c r="T180" s="832"/>
      <c r="U180" s="832"/>
      <c r="V180" s="832"/>
      <c r="W180" s="832"/>
      <c r="X180" s="832"/>
    </row>
    <row r="181" spans="1:24" s="812" customFormat="1" ht="39.950000000000003" hidden="1" customHeight="1" x14ac:dyDescent="0.15">
      <c r="A181" s="2072">
        <f ca="1">IF(H181&gt;0,A179+0.01,A179)</f>
        <v>3.1799999999999962</v>
      </c>
      <c r="B181" s="833">
        <f>IF(AND(M181&lt;=50,E181&lt;=30),95876,IF(AND(M181&lt;=50,E181&gt;30),93590,IF(AND(M181&gt;50,E181&lt;=30),95876,93593)))</f>
        <v>95876</v>
      </c>
      <c r="C181" s="2" t="str">
        <f>VLOOKUP($B181,[1]BOLETIM_SEL!$A:$H,2,0)</f>
        <v>SINAPI</v>
      </c>
      <c r="D181" s="315" t="str">
        <f>VLOOKUP($B181,[1]BOLETIM_SEL!$A:$H,4,0)</f>
        <v>Transporte com caminhão basculante de 14 m3, em via urbana pavimentada, DMT até 30,00 km (unidade: m3xkm). AF_07/2020</v>
      </c>
      <c r="E181" s="2">
        <f>Dados_DMT!$B$34</f>
        <v>24</v>
      </c>
      <c r="F181" s="2" t="str">
        <f>VLOOKUP($B181,[1]BOLETIM_SEL!$A:$H,6,0)</f>
        <v>M3XKM</v>
      </c>
      <c r="G181" s="1407">
        <f>VLOOKUP($B181,[1]BOLETIM_SEL!$A:$H,7,0)</f>
        <v>2.0699999999999998</v>
      </c>
      <c r="H181" s="1608">
        <f>ROUND(Dre_Terraplenagem!AE211*E181,2)</f>
        <v>0</v>
      </c>
      <c r="I181" s="876">
        <f>TRUNC(G181*(1+$J$5),2)</f>
        <v>2.52</v>
      </c>
      <c r="J181" s="1607">
        <f>TRUNC(H181*I181,2)</f>
        <v>0</v>
      </c>
      <c r="K181" s="2069">
        <f ca="1">J181/J$930</f>
        <v>0</v>
      </c>
      <c r="L181" s="1570">
        <f ca="1">J181/J$100</f>
        <v>0</v>
      </c>
      <c r="M181" s="1450">
        <f>IF(H181=0,0,H181/E181)</f>
        <v>0</v>
      </c>
      <c r="N181" s="832"/>
      <c r="O181" s="832"/>
      <c r="Q181" s="832"/>
      <c r="R181" s="832"/>
      <c r="S181" s="832"/>
      <c r="T181" s="832"/>
      <c r="U181" s="832"/>
      <c r="V181" s="832"/>
      <c r="W181" s="832"/>
      <c r="X181" s="832"/>
    </row>
    <row r="182" spans="1:24" s="812" customFormat="1" ht="24.95" customHeight="1" thickBot="1" x14ac:dyDescent="0.2">
      <c r="A182" s="2072"/>
      <c r="B182" s="833"/>
      <c r="C182" s="833"/>
      <c r="D182" s="834"/>
      <c r="E182" s="2"/>
      <c r="F182" s="833"/>
      <c r="G182" s="1814"/>
      <c r="H182" s="833"/>
      <c r="I182" s="876"/>
      <c r="J182" s="838" t="str">
        <f ca="1">IF(J100=0,0,"")</f>
        <v/>
      </c>
      <c r="K182" s="2069"/>
      <c r="L182" s="1570"/>
      <c r="M182" s="1444"/>
      <c r="N182" s="832"/>
      <c r="O182" s="832"/>
      <c r="Q182" s="832"/>
      <c r="R182" s="832"/>
      <c r="S182" s="832"/>
      <c r="T182" s="832"/>
      <c r="U182" s="832"/>
      <c r="V182" s="832"/>
      <c r="W182" s="832"/>
      <c r="X182" s="832"/>
    </row>
    <row r="183" spans="1:24" s="832" customFormat="1" ht="24.95" customHeight="1" thickTop="1" thickBot="1" x14ac:dyDescent="0.2">
      <c r="A183" s="2073">
        <f ca="1">IF(J183&gt;0,INT(A181)+1,IF(J183=0,INT(A181),0))</f>
        <v>4</v>
      </c>
      <c r="B183" s="1626"/>
      <c r="C183" s="1626"/>
      <c r="D183" s="1634" t="s">
        <v>2241</v>
      </c>
      <c r="E183" s="1821"/>
      <c r="F183" s="1628"/>
      <c r="G183" s="1816" t="s">
        <v>646</v>
      </c>
      <c r="H183" s="1628"/>
      <c r="I183" s="1633" t="str">
        <f ca="1">CONCATENATE("SUB-TOTAL ",A183)</f>
        <v>SUB-TOTAL 4</v>
      </c>
      <c r="J183" s="1632">
        <f ca="1">SUM(J184:J242)</f>
        <v>213732.21</v>
      </c>
      <c r="K183" s="2070">
        <f t="shared" ref="K183:K214" ca="1" si="44">J183/J$930</f>
        <v>5.8094313976088378E-2</v>
      </c>
      <c r="L183" s="1605">
        <f t="shared" ref="L183:L214" ca="1" si="45">J183/J$183</f>
        <v>1</v>
      </c>
      <c r="M183" s="1803" t="s">
        <v>909</v>
      </c>
      <c r="N183" s="1804" t="str">
        <f ca="1">IF(SUMPRODUCT(Dren_Quantificacao!D3:AY3,Dren_Quantificacao!D4:AY4)=SUM(H184:H195)+SUM(H208:H216)+SUM(H235:H241),"OK","Erro")</f>
        <v>OK</v>
      </c>
      <c r="U183" s="1809"/>
    </row>
    <row r="184" spans="1:24" s="812" customFormat="1" ht="39.950000000000003" customHeight="1" thickTop="1" x14ac:dyDescent="0.15">
      <c r="A184" s="2072">
        <f t="shared" ref="A184:A215" ca="1" si="46">IF(H184&gt;0,A183+0.01,A183)</f>
        <v>4.01</v>
      </c>
      <c r="B184" s="833">
        <v>7781</v>
      </c>
      <c r="C184" s="2" t="str">
        <f>VLOOKUP($B184,[1]BOLETIM_SEL!$A:$H,2,0)</f>
        <v>SINAPI</v>
      </c>
      <c r="D184" s="315" t="str">
        <f>VLOOKUP($B184,[1]BOLETIM_SEL!$A:$H,4,0)</f>
        <v>Aquisição de tubo de concreto simples para aguas pluviais, classe PS-1, com encaixe ponta e bolsa, diâmetro nominal de 0,40 m (180 kg/m) - Aquisição</v>
      </c>
      <c r="E184" s="2221" t="s">
        <v>2632</v>
      </c>
      <c r="F184" s="2" t="str">
        <f>VLOOKUP($B184,[1]BOLETIM_SEL!$A:$H,6,0)</f>
        <v xml:space="preserve">M     </v>
      </c>
      <c r="G184" s="1407">
        <f>VLOOKUP($B184,[1]BOLETIM_SEL!$A:$H,7,0)</f>
        <v>70.900000000000006</v>
      </c>
      <c r="H184" s="1606">
        <f>Dre_Disp_Estruturais!AE10+Dre_Disp_Estruturais!AE13</f>
        <v>216</v>
      </c>
      <c r="I184" s="2222">
        <f t="shared" ref="I184:I195" si="47">TRUNC(G184*(1+$J$6),2)</f>
        <v>81.73</v>
      </c>
      <c r="J184" s="1607">
        <f t="shared" ref="J184:J195" si="48">TRUNC(H184*I184,2)</f>
        <v>17653.68</v>
      </c>
      <c r="K184" s="2069">
        <f t="shared" ca="1" si="44"/>
        <v>4.7984271006854418E-3</v>
      </c>
      <c r="L184" s="1570">
        <f t="shared" ca="1" si="45"/>
        <v>8.2597190194215464E-2</v>
      </c>
      <c r="M184" s="1445"/>
      <c r="N184" s="1811">
        <f ca="1">SUMPRODUCT(Dren_Quantificacao!D3:Z3,Dren_Quantificacao!D4:Z4)</f>
        <v>604.80999999999995</v>
      </c>
      <c r="O184" s="1812"/>
      <c r="Q184" s="832"/>
      <c r="R184" s="832"/>
      <c r="S184" s="832"/>
      <c r="T184" s="832"/>
      <c r="U184" s="832"/>
      <c r="V184" s="832"/>
      <c r="W184" s="832"/>
      <c r="X184" s="832"/>
    </row>
    <row r="185" spans="1:24" s="812" customFormat="1" ht="39.950000000000003" customHeight="1" x14ac:dyDescent="0.15">
      <c r="A185" s="2072">
        <f t="shared" ca="1" si="46"/>
        <v>4.0199999999999996</v>
      </c>
      <c r="B185" s="833">
        <v>7791</v>
      </c>
      <c r="C185" s="2" t="str">
        <f>VLOOKUP($B185,[1]BOLETIM_SEL!$A:$H,2,0)</f>
        <v>SINAPI</v>
      </c>
      <c r="D185" s="315" t="str">
        <f>VLOOKUP($B185,[1]BOLETIM_SEL!$A:$H,4,0)</f>
        <v>Aquisição de tubo de concreto simples para aguas pluviais, classe PS-1, com encaixe ponta e bolsa, diâmetro nominal de 0,60 m (347 kg/m) - Aquisição</v>
      </c>
      <c r="E185" s="2221" t="s">
        <v>2632</v>
      </c>
      <c r="F185" s="2" t="str">
        <f>VLOOKUP($B185,[1]BOLETIM_SEL!$A:$H,6,0)</f>
        <v xml:space="preserve">M     </v>
      </c>
      <c r="G185" s="1407">
        <f>VLOOKUP($B185,[1]BOLETIM_SEL!$A:$H,7,0)</f>
        <v>126.32</v>
      </c>
      <c r="H185" s="1606">
        <f ca="1">Dre_Disp_Estruturais!AE11+Dre_Disp_Estruturais!AE12+Dre_Disp_Estruturais!AE14+Dre_Disp_Estruturais!AE15</f>
        <v>102.03999999999999</v>
      </c>
      <c r="I185" s="2222">
        <f t="shared" si="47"/>
        <v>145.62</v>
      </c>
      <c r="J185" s="1607">
        <f t="shared" ca="1" si="48"/>
        <v>14859.06</v>
      </c>
      <c r="K185" s="2069">
        <f t="shared" ca="1" si="44"/>
        <v>4.0388245507288574E-3</v>
      </c>
      <c r="L185" s="1570">
        <f t="shared" ca="1" si="45"/>
        <v>6.9521856345377234E-2</v>
      </c>
      <c r="M185" s="1445"/>
      <c r="N185" s="1811">
        <f ca="1">SUM(H184:H195)</f>
        <v>604.80999999999995</v>
      </c>
      <c r="O185" s="1812"/>
      <c r="Q185" s="832"/>
      <c r="R185" s="832"/>
      <c r="S185" s="832"/>
      <c r="T185" s="832"/>
      <c r="U185" s="832"/>
      <c r="V185" s="832"/>
      <c r="W185" s="832"/>
      <c r="X185" s="832"/>
    </row>
    <row r="186" spans="1:24" s="812" customFormat="1" ht="39.950000000000003" hidden="1" customHeight="1" x14ac:dyDescent="0.15">
      <c r="A186" s="2072">
        <f t="shared" ca="1" si="46"/>
        <v>4.0199999999999996</v>
      </c>
      <c r="B186" s="833">
        <v>7725</v>
      </c>
      <c r="C186" s="2" t="str">
        <f>VLOOKUP($B186,[1]BOLETIM_SEL!$A:$H,2,0)</f>
        <v>SINAPI</v>
      </c>
      <c r="D186" s="315" t="str">
        <f>VLOOKUP($B186,[1]BOLETIM_SEL!$A:$H,4,0)</f>
        <v>Aquisição de tubo de concreto armado para aguas pluviais, classe PA-1, com encaixe ponta e bolsa, diâmetro nominal de 0,60 m (360 kg/m) - Aquisição</v>
      </c>
      <c r="E186" s="2221" t="s">
        <v>2632</v>
      </c>
      <c r="F186" s="2" t="str">
        <f>VLOOKUP($B186,[1]BOLETIM_SEL!$A:$H,6,0)</f>
        <v xml:space="preserve">M     </v>
      </c>
      <c r="G186" s="1407">
        <f>VLOOKUP($B186,[1]BOLETIM_SEL!$A:$H,7,0)</f>
        <v>247</v>
      </c>
      <c r="H186" s="1606">
        <f ca="1">Dre_Disp_Estruturais!AE16+Dre_Disp_Estruturais!AE21</f>
        <v>0</v>
      </c>
      <c r="I186" s="2222">
        <f t="shared" si="47"/>
        <v>284.74</v>
      </c>
      <c r="J186" s="1607">
        <f t="shared" ca="1" si="48"/>
        <v>0</v>
      </c>
      <c r="K186" s="2069">
        <f t="shared" ca="1" si="44"/>
        <v>0</v>
      </c>
      <c r="L186" s="1570">
        <f t="shared" ca="1" si="45"/>
        <v>0</v>
      </c>
      <c r="M186" s="1445"/>
      <c r="N186" s="1811">
        <f ca="1">SUM(H208:H216)</f>
        <v>0</v>
      </c>
      <c r="O186" s="1811">
        <f ca="1">SUM(H217:H234)</f>
        <v>0</v>
      </c>
      <c r="Q186" s="832"/>
      <c r="R186" s="832"/>
      <c r="S186" s="832"/>
      <c r="T186" s="832"/>
      <c r="U186" s="832"/>
      <c r="V186" s="832"/>
      <c r="W186" s="832"/>
      <c r="X186" s="832"/>
    </row>
    <row r="187" spans="1:24" s="812" customFormat="1" ht="39.950000000000003" customHeight="1" x14ac:dyDescent="0.15">
      <c r="A187" s="2072">
        <f t="shared" ca="1" si="46"/>
        <v>4.0299999999999994</v>
      </c>
      <c r="B187" s="833">
        <v>7750</v>
      </c>
      <c r="C187" s="2" t="str">
        <f>VLOOKUP($B187,[1]BOLETIM_SEL!$A:$H,2,0)</f>
        <v>SINAPI</v>
      </c>
      <c r="D187" s="315" t="str">
        <f>VLOOKUP($B187,[1]BOLETIM_SEL!$A:$H,4,0)</f>
        <v>Tubo de concreto armado para aguas pluviais, classe PA-1, com encaixe ponta e bolsa, diâmetro nominal de 0,80 m (533,00 kg/m) - Aquisição</v>
      </c>
      <c r="E187" s="2221" t="s">
        <v>2632</v>
      </c>
      <c r="F187" s="2" t="str">
        <f>VLOOKUP($B187,[1]BOLETIM_SEL!$A:$H,6,0)</f>
        <v xml:space="preserve">M     </v>
      </c>
      <c r="G187" s="1407">
        <f>VLOOKUP($B187,[1]BOLETIM_SEL!$A:$H,7,0)</f>
        <v>410.97</v>
      </c>
      <c r="H187" s="1606">
        <f ca="1">Dre_Disp_Estruturais!AE17+Dre_Disp_Estruturais!AE22</f>
        <v>181.3</v>
      </c>
      <c r="I187" s="2222">
        <f t="shared" si="47"/>
        <v>473.76</v>
      </c>
      <c r="J187" s="1607">
        <f t="shared" ca="1" si="48"/>
        <v>85892.68</v>
      </c>
      <c r="K187" s="2069">
        <f t="shared" ca="1" si="44"/>
        <v>2.3346393695960411E-2</v>
      </c>
      <c r="L187" s="1570">
        <f t="shared" ca="1" si="45"/>
        <v>0.40187054632523567</v>
      </c>
      <c r="M187" s="1445"/>
      <c r="N187" s="1811">
        <f ca="1">SUM(H235:H241)</f>
        <v>0</v>
      </c>
      <c r="O187" s="1812"/>
      <c r="Q187" s="832"/>
      <c r="R187" s="832"/>
      <c r="S187" s="832"/>
      <c r="T187" s="832"/>
      <c r="U187" s="832"/>
      <c r="V187" s="832"/>
      <c r="W187" s="832"/>
      <c r="X187" s="832"/>
    </row>
    <row r="188" spans="1:24" s="812" customFormat="1" ht="39.950000000000003" hidden="1" customHeight="1" x14ac:dyDescent="0.15">
      <c r="A188" s="2072">
        <f t="shared" ca="1" si="46"/>
        <v>4.0299999999999994</v>
      </c>
      <c r="B188" s="833">
        <v>7753</v>
      </c>
      <c r="C188" s="2" t="str">
        <f>VLOOKUP($B188,[1]BOLETIM_SEL!$A:$H,2,0)</f>
        <v>SINAPI</v>
      </c>
      <c r="D188" s="315" t="str">
        <f>VLOOKUP($B188,[1]BOLETIM_SEL!$A:$H,4,0)</f>
        <v>Tubo de concreto armado para aguas pluviais, classe PA-1, com encaixe ponta e bolsa, diâmetro nominal de 1,00 m (800,00 kg/m) - Aquisição</v>
      </c>
      <c r="E188" s="2221" t="s">
        <v>2632</v>
      </c>
      <c r="F188" s="2" t="str">
        <f>VLOOKUP($B188,[1]BOLETIM_SEL!$A:$H,6,0)</f>
        <v xml:space="preserve">M     </v>
      </c>
      <c r="G188" s="1407">
        <f>VLOOKUP($B188,[1]BOLETIM_SEL!$A:$H,7,0)</f>
        <v>481.54</v>
      </c>
      <c r="H188" s="1606">
        <f ca="1">Dre_Disp_Estruturais!AE18+Dre_Disp_Estruturais!AE23</f>
        <v>0</v>
      </c>
      <c r="I188" s="2222">
        <f t="shared" si="47"/>
        <v>555.11</v>
      </c>
      <c r="J188" s="1607">
        <f t="shared" ca="1" si="48"/>
        <v>0</v>
      </c>
      <c r="K188" s="2069">
        <f t="shared" ca="1" si="44"/>
        <v>0</v>
      </c>
      <c r="L188" s="1570">
        <f t="shared" ca="1" si="45"/>
        <v>0</v>
      </c>
      <c r="M188" s="1445"/>
      <c r="N188" s="841"/>
      <c r="O188" s="832"/>
      <c r="Q188" s="832"/>
      <c r="R188" s="832"/>
      <c r="S188" s="832"/>
      <c r="T188" s="832"/>
      <c r="U188" s="832"/>
      <c r="V188" s="832"/>
      <c r="W188" s="832"/>
      <c r="X188" s="832"/>
    </row>
    <row r="189" spans="1:24" s="812" customFormat="1" ht="39.950000000000003" hidden="1" customHeight="1" x14ac:dyDescent="0.15">
      <c r="A189" s="2072">
        <f t="shared" ca="1" si="46"/>
        <v>4.0299999999999994</v>
      </c>
      <c r="B189" s="833">
        <v>7757</v>
      </c>
      <c r="C189" s="2" t="str">
        <f>VLOOKUP($B189,[1]BOLETIM_SEL!$A:$H,2,0)</f>
        <v>SINAPI</v>
      </c>
      <c r="D189" s="315" t="str">
        <f>VLOOKUP($B189,[1]BOLETIM_SEL!$A:$H,4,0)</f>
        <v>Tubo de concreto armado para aguas pluviais, classe PA-1, com encaixe ponta e bolsa, diâmetro nominal de 1,20 m (1.133,00 kg/m) - Aquisição</v>
      </c>
      <c r="E189" s="2221" t="s">
        <v>2632</v>
      </c>
      <c r="F189" s="2" t="str">
        <f>VLOOKUP($B189,[1]BOLETIM_SEL!$A:$H,6,0)</f>
        <v xml:space="preserve">M     </v>
      </c>
      <c r="G189" s="1407">
        <f>VLOOKUP($B189,[1]BOLETIM_SEL!$A:$H,7,0)</f>
        <v>719.2</v>
      </c>
      <c r="H189" s="1606">
        <f ca="1">Dre_Disp_Estruturais!AE19+Dre_Disp_Estruturais!AE24</f>
        <v>0</v>
      </c>
      <c r="I189" s="2222">
        <f t="shared" si="47"/>
        <v>829.09</v>
      </c>
      <c r="J189" s="1607">
        <f t="shared" ca="1" si="48"/>
        <v>0</v>
      </c>
      <c r="K189" s="2069">
        <f t="shared" ca="1" si="44"/>
        <v>0</v>
      </c>
      <c r="L189" s="1570">
        <f t="shared" ca="1" si="45"/>
        <v>0</v>
      </c>
      <c r="M189" s="1445"/>
      <c r="N189" s="1809"/>
      <c r="O189" s="832"/>
      <c r="Q189" s="832"/>
      <c r="R189" s="832"/>
      <c r="S189" s="832"/>
      <c r="T189" s="832"/>
      <c r="U189" s="832"/>
      <c r="V189" s="832"/>
      <c r="W189" s="832"/>
      <c r="X189" s="832"/>
    </row>
    <row r="190" spans="1:24" s="812" customFormat="1" ht="39.950000000000003" hidden="1" customHeight="1" x14ac:dyDescent="0.15">
      <c r="A190" s="2072">
        <f t="shared" ca="1" si="46"/>
        <v>4.0299999999999994</v>
      </c>
      <c r="B190" s="833">
        <v>7758</v>
      </c>
      <c r="C190" s="2" t="str">
        <f>VLOOKUP($B190,[1]BOLETIM_SEL!$A:$H,2,0)</f>
        <v>SINAPI</v>
      </c>
      <c r="D190" s="315" t="str">
        <f>VLOOKUP($B190,[1]BOLETIM_SEL!$A:$H,4,0)</f>
        <v>Tubo de concreto armado para aguas pluviais, classe PA-1, com encaixe ponta e bolsa, diâmetro nominal de 1,50 m (1.933,00 kg/m) - Aquisição</v>
      </c>
      <c r="E190" s="2221" t="s">
        <v>2632</v>
      </c>
      <c r="F190" s="2" t="str">
        <f>VLOOKUP($B190,[1]BOLETIM_SEL!$A:$H,6,0)</f>
        <v xml:space="preserve">M     </v>
      </c>
      <c r="G190" s="1407">
        <f>VLOOKUP($B190,[1]BOLETIM_SEL!$A:$H,7,0)</f>
        <v>1041.96</v>
      </c>
      <c r="H190" s="1606">
        <f ca="1">Dre_Disp_Estruturais!AE20+Dre_Disp_Estruturais!AE25</f>
        <v>0</v>
      </c>
      <c r="I190" s="2222">
        <f t="shared" si="47"/>
        <v>1201.17</v>
      </c>
      <c r="J190" s="1607">
        <f t="shared" ca="1" si="48"/>
        <v>0</v>
      </c>
      <c r="K190" s="2069">
        <f t="shared" ca="1" si="44"/>
        <v>0</v>
      </c>
      <c r="L190" s="1570">
        <f t="shared" ca="1" si="45"/>
        <v>0</v>
      </c>
      <c r="M190" s="1445"/>
      <c r="N190" s="832"/>
      <c r="O190" s="832"/>
      <c r="Q190" s="832"/>
      <c r="R190" s="832"/>
      <c r="S190" s="832"/>
      <c r="T190" s="832"/>
      <c r="U190" s="832"/>
      <c r="V190" s="832"/>
      <c r="W190" s="832"/>
      <c r="X190" s="832"/>
    </row>
    <row r="191" spans="1:24" s="812" customFormat="1" ht="39.950000000000003" customHeight="1" x14ac:dyDescent="0.15">
      <c r="A191" s="2072">
        <f t="shared" ca="1" si="46"/>
        <v>4.0399999999999991</v>
      </c>
      <c r="B191" s="833">
        <v>7762</v>
      </c>
      <c r="C191" s="2" t="str">
        <f>VLOOKUP($B191,[1]BOLETIM_SEL!$A:$H,2,0)</f>
        <v>SINAPI</v>
      </c>
      <c r="D191" s="315" t="str">
        <f>VLOOKUP($B191,[1]BOLETIM_SEL!$A:$H,4,0)</f>
        <v>Tubo de concreto armado para aguas pluviais, classe PA-2, com encaixe ponta e bolsa, diâmetro nominal de 0,60 m (373,00 kg/m) - Aquisição</v>
      </c>
      <c r="E191" s="2221" t="s">
        <v>2632</v>
      </c>
      <c r="F191" s="2" t="str">
        <f>VLOOKUP($B191,[1]BOLETIM_SEL!$A:$H,6,0)</f>
        <v xml:space="preserve">M     </v>
      </c>
      <c r="G191" s="1407">
        <f>VLOOKUP($B191,[1]BOLETIM_SEL!$A:$H,7,0)</f>
        <v>214.3</v>
      </c>
      <c r="H191" s="1606">
        <f ca="1">Dre_Disp_Estruturais!AE26+Dre_Disp_Estruturais!AE31</f>
        <v>105.47</v>
      </c>
      <c r="I191" s="2222">
        <f t="shared" si="47"/>
        <v>247.04</v>
      </c>
      <c r="J191" s="1607">
        <f t="shared" ca="1" si="48"/>
        <v>26055.3</v>
      </c>
      <c r="K191" s="2069">
        <f t="shared" ca="1" si="44"/>
        <v>7.082062076376675E-3</v>
      </c>
      <c r="L191" s="1570">
        <f t="shared" ca="1" si="45"/>
        <v>0.1219062863758345</v>
      </c>
      <c r="M191" s="1445"/>
      <c r="N191" s="832"/>
      <c r="O191" s="832"/>
      <c r="Q191" s="832"/>
      <c r="R191" s="832"/>
      <c r="S191" s="832"/>
      <c r="T191" s="832"/>
      <c r="U191" s="832"/>
      <c r="V191" s="832"/>
      <c r="W191" s="832"/>
      <c r="X191" s="832"/>
    </row>
    <row r="192" spans="1:24" s="812" customFormat="1" ht="39.950000000000003" hidden="1" customHeight="1" x14ac:dyDescent="0.15">
      <c r="A192" s="2072">
        <f t="shared" ca="1" si="46"/>
        <v>4.0399999999999991</v>
      </c>
      <c r="B192" s="833">
        <v>7763</v>
      </c>
      <c r="C192" s="2" t="str">
        <f>VLOOKUP($B192,[1]BOLETIM_SEL!$A:$H,2,0)</f>
        <v>SINAPI</v>
      </c>
      <c r="D192" s="315" t="str">
        <f>VLOOKUP($B192,[1]BOLETIM_SEL!$A:$H,4,0)</f>
        <v>Tubo de concreto armado para aguas pluviais, classe PA-2, com encaixe ponta e bolsa, diâmetro nominal de 0,80 m (620,00 kg/m) - Aquisição</v>
      </c>
      <c r="E192" s="2221" t="s">
        <v>2632</v>
      </c>
      <c r="F192" s="2" t="str">
        <f>VLOOKUP($B192,[1]BOLETIM_SEL!$A:$H,6,0)</f>
        <v xml:space="preserve">M     </v>
      </c>
      <c r="G192" s="1407">
        <f>VLOOKUP($B192,[1]BOLETIM_SEL!$A:$H,7,0)</f>
        <v>399.55</v>
      </c>
      <c r="H192" s="1606">
        <f ca="1">Dre_Disp_Estruturais!AE27+Dre_Disp_Estruturais!AE32</f>
        <v>0</v>
      </c>
      <c r="I192" s="2222">
        <f t="shared" si="47"/>
        <v>460.6</v>
      </c>
      <c r="J192" s="1607">
        <f t="shared" ca="1" si="48"/>
        <v>0</v>
      </c>
      <c r="K192" s="2069">
        <f t="shared" ca="1" si="44"/>
        <v>0</v>
      </c>
      <c r="L192" s="1570">
        <f t="shared" ca="1" si="45"/>
        <v>0</v>
      </c>
      <c r="M192" s="1445"/>
      <c r="N192" s="832"/>
      <c r="O192" s="832"/>
      <c r="Q192" s="832"/>
      <c r="R192" s="832"/>
      <c r="S192" s="832"/>
      <c r="T192" s="832"/>
      <c r="U192" s="832"/>
      <c r="V192" s="832"/>
      <c r="W192" s="832"/>
      <c r="X192" s="832"/>
    </row>
    <row r="193" spans="1:24" s="812" customFormat="1" ht="39.950000000000003" hidden="1" customHeight="1" x14ac:dyDescent="0.15">
      <c r="A193" s="2072">
        <f t="shared" ca="1" si="46"/>
        <v>4.0399999999999991</v>
      </c>
      <c r="B193" s="833">
        <v>7765</v>
      </c>
      <c r="C193" s="2" t="str">
        <f>VLOOKUP($B193,[1]BOLETIM_SEL!$A:$H,2,0)</f>
        <v>SINAPI</v>
      </c>
      <c r="D193" s="315" t="str">
        <f>VLOOKUP($B193,[1]BOLETIM_SEL!$A:$H,4,0)</f>
        <v>Tubo de concreto armado para aguas pluviais, classe PA-2, com encaixe ponta e bolsa, diâmetro nominal de 1,00 m (900,00 kg/m) - Aquisição</v>
      </c>
      <c r="E193" s="2221" t="s">
        <v>2632</v>
      </c>
      <c r="F193" s="2" t="str">
        <f>VLOOKUP($B193,[1]BOLETIM_SEL!$A:$H,6,0)</f>
        <v xml:space="preserve">M     </v>
      </c>
      <c r="G193" s="1407">
        <f>VLOOKUP($B193,[1]BOLETIM_SEL!$A:$H,7,0)</f>
        <v>529.28</v>
      </c>
      <c r="H193" s="1606">
        <f ca="1">Dre_Disp_Estruturais!AE28+Dre_Disp_Estruturais!AE33</f>
        <v>0</v>
      </c>
      <c r="I193" s="2222">
        <f t="shared" si="47"/>
        <v>610.15</v>
      </c>
      <c r="J193" s="1607">
        <f t="shared" ca="1" si="48"/>
        <v>0</v>
      </c>
      <c r="K193" s="2069">
        <f t="shared" ca="1" si="44"/>
        <v>0</v>
      </c>
      <c r="L193" s="1570">
        <f t="shared" ca="1" si="45"/>
        <v>0</v>
      </c>
      <c r="M193" s="1445"/>
      <c r="N193" s="832"/>
      <c r="O193" s="832"/>
      <c r="Q193" s="832"/>
      <c r="R193" s="832"/>
      <c r="S193" s="832"/>
      <c r="T193" s="832"/>
      <c r="U193" s="832"/>
      <c r="V193" s="832"/>
      <c r="W193" s="832"/>
      <c r="X193" s="832"/>
    </row>
    <row r="194" spans="1:24" s="812" customFormat="1" ht="39.950000000000003" hidden="1" customHeight="1" x14ac:dyDescent="0.15">
      <c r="A194" s="2072">
        <f t="shared" ca="1" si="46"/>
        <v>4.0399999999999991</v>
      </c>
      <c r="B194" s="833">
        <v>7766</v>
      </c>
      <c r="C194" s="2" t="str">
        <f>VLOOKUP($B194,[1]BOLETIM_SEL!$A:$H,2,0)</f>
        <v>SINAPI</v>
      </c>
      <c r="D194" s="315" t="str">
        <f>VLOOKUP($B194,[1]BOLETIM_SEL!$A:$H,4,0)</f>
        <v>Tubo de concreto armado para aguas pluviais, classe PA-2, com encaixe ponta e bolsa, diâmetro nominal de 1,20 m (1.333,00 kg/m) - Aquisição</v>
      </c>
      <c r="E194" s="2221" t="s">
        <v>2632</v>
      </c>
      <c r="F194" s="2" t="str">
        <f>VLOOKUP($B194,[1]BOLETIM_SEL!$A:$H,6,0)</f>
        <v xml:space="preserve">M     </v>
      </c>
      <c r="G194" s="1407">
        <f>VLOOKUP($B194,[1]BOLETIM_SEL!$A:$H,7,0)</f>
        <v>776.28</v>
      </c>
      <c r="H194" s="1606">
        <f ca="1">Dre_Disp_Estruturais!AE29+Dre_Disp_Estruturais!AE34</f>
        <v>0</v>
      </c>
      <c r="I194" s="2222">
        <f t="shared" si="47"/>
        <v>894.89</v>
      </c>
      <c r="J194" s="1607">
        <f t="shared" ca="1" si="48"/>
        <v>0</v>
      </c>
      <c r="K194" s="2069">
        <f t="shared" ca="1" si="44"/>
        <v>0</v>
      </c>
      <c r="L194" s="1570">
        <f t="shared" ca="1" si="45"/>
        <v>0</v>
      </c>
      <c r="M194" s="1445"/>
      <c r="N194" s="832"/>
      <c r="O194" s="832"/>
      <c r="Q194" s="832"/>
      <c r="R194" s="832"/>
      <c r="S194" s="832"/>
      <c r="T194" s="832"/>
      <c r="U194" s="832"/>
      <c r="V194" s="832"/>
      <c r="W194" s="832"/>
      <c r="X194" s="832"/>
    </row>
    <row r="195" spans="1:24" s="812" customFormat="1" ht="39.950000000000003" hidden="1" customHeight="1" x14ac:dyDescent="0.15">
      <c r="A195" s="2072">
        <f t="shared" ca="1" si="46"/>
        <v>4.0399999999999991</v>
      </c>
      <c r="B195" s="833">
        <v>7767</v>
      </c>
      <c r="C195" s="2" t="str">
        <f>VLOOKUP($B195,[1]BOLETIM_SEL!$A:$H,2,0)</f>
        <v>SINAPI</v>
      </c>
      <c r="D195" s="315" t="str">
        <f>VLOOKUP($B195,[1]BOLETIM_SEL!$A:$H,4,0)</f>
        <v>Tubo de concreto armado para aguas pluviais, classe PA-2, com encaixe ponta e bolsa, diâmetro nominal de 1,50 m (2.253,00 kg/m) - Aquisição</v>
      </c>
      <c r="E195" s="2221" t="s">
        <v>2632</v>
      </c>
      <c r="F195" s="2" t="str">
        <f>VLOOKUP($B195,[1]BOLETIM_SEL!$A:$H,6,0)</f>
        <v xml:space="preserve">M     </v>
      </c>
      <c r="G195" s="1407">
        <f>VLOOKUP($B195,[1]BOLETIM_SEL!$A:$H,7,0)</f>
        <v>1114.6099999999999</v>
      </c>
      <c r="H195" s="1606">
        <f ca="1">Dre_Disp_Estruturais!AE30+Dre_Disp_Estruturais!AE35</f>
        <v>0</v>
      </c>
      <c r="I195" s="2222">
        <f t="shared" si="47"/>
        <v>1284.92</v>
      </c>
      <c r="J195" s="1607">
        <f t="shared" ca="1" si="48"/>
        <v>0</v>
      </c>
      <c r="K195" s="2069">
        <f t="shared" ca="1" si="44"/>
        <v>0</v>
      </c>
      <c r="L195" s="1570">
        <f t="shared" ca="1" si="45"/>
        <v>0</v>
      </c>
      <c r="M195" s="1445"/>
      <c r="N195" s="1648" t="s">
        <v>1951</v>
      </c>
      <c r="O195" s="1648" t="s">
        <v>1977</v>
      </c>
      <c r="Q195" s="832"/>
      <c r="R195" s="832"/>
      <c r="S195" s="832"/>
      <c r="T195" s="832"/>
      <c r="U195" s="832"/>
      <c r="V195" s="832"/>
      <c r="W195" s="832"/>
      <c r="X195" s="832"/>
    </row>
    <row r="196" spans="1:24" s="812" customFormat="1" ht="39.950000000000003" customHeight="1" x14ac:dyDescent="0.15">
      <c r="A196" s="2072">
        <f t="shared" ca="1" si="46"/>
        <v>4.0499999999999989</v>
      </c>
      <c r="B196" s="833">
        <v>92821</v>
      </c>
      <c r="C196" s="2" t="str">
        <f>VLOOKUP($B196,[1]BOLETIM_SEL!$A:$H,2,0)</f>
        <v>SINAPI</v>
      </c>
      <c r="D196" s="315" t="str">
        <f>VLOOKUP($B196,[1]BOLETIM_SEL!$A:$H,4,0)</f>
        <v>Assentamento de tubo de concreto para redes coletoras de águas pluviais, diâmetro nominal de 0,40 m, junta rígida em argamassa 1:3 cimento:areia, instalado em local com alto nível de interferências (não inclui fornecimento). AF_12/2015</v>
      </c>
      <c r="E196" s="2"/>
      <c r="F196" s="2" t="str">
        <f>VLOOKUP($B196,[1]BOLETIM_SEL!$A:$H,6,0)</f>
        <v>M</v>
      </c>
      <c r="G196" s="1407">
        <f>VLOOKUP($B196,[1]BOLETIM_SEL!$A:$H,7,0)</f>
        <v>65.430000000000007</v>
      </c>
      <c r="H196" s="1606">
        <f>Dre_Disp_Estruturais!AE10</f>
        <v>216</v>
      </c>
      <c r="I196" s="876">
        <f t="shared" ref="I196:I207" si="49">TRUNC(G196*(1+$J$5),2)</f>
        <v>79.819999999999993</v>
      </c>
      <c r="J196" s="1607">
        <f t="shared" ref="J196:J254" si="50">TRUNC(H196*I196,2)</f>
        <v>17241.12</v>
      </c>
      <c r="K196" s="2069">
        <f t="shared" ca="1" si="44"/>
        <v>4.6862896265350779E-3</v>
      </c>
      <c r="L196" s="1570">
        <f t="shared" ca="1" si="45"/>
        <v>8.0666924278750496E-2</v>
      </c>
      <c r="M196" s="1445"/>
      <c r="N196" s="1644">
        <v>4</v>
      </c>
      <c r="O196" s="1649">
        <f t="shared" ref="O196:O201" si="51">H196/N196</f>
        <v>54</v>
      </c>
      <c r="Q196" s="832"/>
      <c r="R196" s="832"/>
      <c r="S196" s="832"/>
      <c r="T196" s="832"/>
      <c r="U196" s="832"/>
      <c r="V196" s="832"/>
      <c r="W196" s="832"/>
      <c r="X196" s="832"/>
    </row>
    <row r="197" spans="1:24" s="812" customFormat="1" ht="39.950000000000003" customHeight="1" x14ac:dyDescent="0.15">
      <c r="A197" s="2072">
        <f t="shared" ca="1" si="46"/>
        <v>4.0599999999999987</v>
      </c>
      <c r="B197" s="833">
        <v>92824</v>
      </c>
      <c r="C197" s="2" t="str">
        <f>VLOOKUP($B197,[1]BOLETIM_SEL!$A:$H,2,0)</f>
        <v>SINAPI</v>
      </c>
      <c r="D197" s="315" t="str">
        <f>VLOOKUP($B197,[1]BOLETIM_SEL!$A:$H,4,0)</f>
        <v>Assentamento de tubo de concreto para redes coletoras de águas pluviais, diâmetro nominal de 0,60 m, junta rígida em argamassa 1:3 cimento:areia, instalado em local com alto nível de interferências (não inclui fornecimento). AF_12/2015</v>
      </c>
      <c r="E197" s="2"/>
      <c r="F197" s="2" t="str">
        <f>VLOOKUP($B197,[1]BOLETIM_SEL!$A:$H,6,0)</f>
        <v>M</v>
      </c>
      <c r="G197" s="1407">
        <f>VLOOKUP($B197,[1]BOLETIM_SEL!$A:$H,7,0)</f>
        <v>94.83</v>
      </c>
      <c r="H197" s="1606">
        <f ca="1">Dre_Disp_Estruturais!AE11+Dre_Disp_Estruturais!AE12+Dre_Disp_Estruturais!AE16+Dre_Disp_Estruturais!AE26</f>
        <v>207.51</v>
      </c>
      <c r="I197" s="876">
        <f t="shared" si="49"/>
        <v>115.69</v>
      </c>
      <c r="J197" s="1607">
        <f ca="1">TRUNC(H197*I197,2)</f>
        <v>24006.83</v>
      </c>
      <c r="K197" s="2069">
        <f t="shared" ca="1" si="44"/>
        <v>6.5252697269661784E-3</v>
      </c>
      <c r="L197" s="1570">
        <f t="shared" ca="1" si="45"/>
        <v>0.11232200331433434</v>
      </c>
      <c r="M197" s="1445"/>
      <c r="N197" s="1644">
        <v>3</v>
      </c>
      <c r="O197" s="1649">
        <f t="shared" ca="1" si="51"/>
        <v>69.17</v>
      </c>
      <c r="Q197" s="832"/>
      <c r="R197" s="832"/>
      <c r="S197" s="832"/>
      <c r="T197" s="832"/>
      <c r="U197" s="832"/>
      <c r="V197" s="832"/>
      <c r="W197" s="832"/>
      <c r="X197" s="832"/>
    </row>
    <row r="198" spans="1:24" s="812" customFormat="1" ht="39.950000000000003" customHeight="1" x14ac:dyDescent="0.15">
      <c r="A198" s="2072">
        <f t="shared" ca="1" si="46"/>
        <v>4.0699999999999985</v>
      </c>
      <c r="B198" s="833">
        <v>92826</v>
      </c>
      <c r="C198" s="2" t="str">
        <f>VLOOKUP($B198,[1]BOLETIM_SEL!$A:$H,2,0)</f>
        <v>SINAPI</v>
      </c>
      <c r="D198" s="315" t="str">
        <f>VLOOKUP($B198,[1]BOLETIM_SEL!$A:$H,4,0)</f>
        <v>Assentamento de tubo de concreto para redes coletoras de águas pluviais, diâmetro nominal de 0,80 m, junta rígida em argamassa 1:3 cimento:areia, instalado em local com alto nível de interferências (não inclui fornecimento). AF_12/2015</v>
      </c>
      <c r="E198" s="2"/>
      <c r="F198" s="2" t="str">
        <f>VLOOKUP($B198,[1]BOLETIM_SEL!$A:$H,6,0)</f>
        <v>M</v>
      </c>
      <c r="G198" s="1407">
        <f>VLOOKUP($B198,[1]BOLETIM_SEL!$A:$H,7,0)</f>
        <v>126.7</v>
      </c>
      <c r="H198" s="1606">
        <f ca="1">Dre_Disp_Estruturais!AE17+Dre_Disp_Estruturais!AE27</f>
        <v>181.3</v>
      </c>
      <c r="I198" s="876">
        <f t="shared" si="49"/>
        <v>154.57</v>
      </c>
      <c r="J198" s="1607">
        <f ca="1">TRUNC(H198*I198,2)</f>
        <v>28023.54</v>
      </c>
      <c r="K198" s="2069">
        <f t="shared" ca="1" si="44"/>
        <v>7.6170471988357387E-3</v>
      </c>
      <c r="L198" s="1570">
        <f t="shared" ca="1" si="45"/>
        <v>0.13111519316625231</v>
      </c>
      <c r="M198" s="1445"/>
      <c r="N198" s="1644">
        <v>2</v>
      </c>
      <c r="O198" s="1649">
        <f t="shared" ca="1" si="51"/>
        <v>90.65</v>
      </c>
      <c r="Q198" s="832"/>
      <c r="R198" s="832"/>
      <c r="S198" s="832"/>
      <c r="T198" s="832"/>
      <c r="U198" s="832"/>
      <c r="V198" s="832"/>
      <c r="W198" s="832"/>
      <c r="X198" s="832"/>
    </row>
    <row r="199" spans="1:24" s="812" customFormat="1" ht="39.950000000000003" hidden="1" customHeight="1" x14ac:dyDescent="0.15">
      <c r="A199" s="2072">
        <f t="shared" ca="1" si="46"/>
        <v>4.0699999999999985</v>
      </c>
      <c r="B199" s="833">
        <v>92828</v>
      </c>
      <c r="C199" s="2" t="str">
        <f>VLOOKUP($B199,[1]BOLETIM_SEL!$A:$H,2,0)</f>
        <v>SINAPI</v>
      </c>
      <c r="D199" s="315" t="str">
        <f>VLOOKUP($B199,[1]BOLETIM_SEL!$A:$H,4,0)</f>
        <v>Assentamento de tubo de concreto para redes coletoras de águas pluviais, diâmetro nominal de 1,00 m, junta rígida em argamassa 1:3 cimento:areia, instalado em local com alto nível de interferências (não inclui fornecimento). AF_12/2015</v>
      </c>
      <c r="E199" s="2"/>
      <c r="F199" s="2" t="str">
        <f>VLOOKUP($B199,[1]BOLETIM_SEL!$A:$H,6,0)</f>
        <v>M</v>
      </c>
      <c r="G199" s="1407">
        <f>VLOOKUP($B199,[1]BOLETIM_SEL!$A:$H,7,0)</f>
        <v>164.54</v>
      </c>
      <c r="H199" s="1606">
        <f ca="1">Dre_Disp_Estruturais!AE18+Dre_Disp_Estruturais!AE28</f>
        <v>0</v>
      </c>
      <c r="I199" s="876">
        <f t="shared" si="49"/>
        <v>200.73</v>
      </c>
      <c r="J199" s="1607">
        <f ca="1">TRUNC(H199*I199,2)</f>
        <v>0</v>
      </c>
      <c r="K199" s="2069">
        <f t="shared" ca="1" si="44"/>
        <v>0</v>
      </c>
      <c r="L199" s="1570">
        <f t="shared" ca="1" si="45"/>
        <v>0</v>
      </c>
      <c r="M199" s="1445"/>
      <c r="N199" s="1644">
        <v>1.5</v>
      </c>
      <c r="O199" s="1649">
        <f t="shared" ca="1" si="51"/>
        <v>0</v>
      </c>
      <c r="Q199" s="832"/>
      <c r="R199" s="832"/>
      <c r="S199" s="832"/>
      <c r="T199" s="832"/>
      <c r="U199" s="832"/>
      <c r="V199" s="832"/>
      <c r="W199" s="832"/>
      <c r="X199" s="832"/>
    </row>
    <row r="200" spans="1:24" s="812" customFormat="1" ht="39.950000000000003" hidden="1" customHeight="1" x14ac:dyDescent="0.15">
      <c r="A200" s="2072">
        <f t="shared" ca="1" si="46"/>
        <v>4.0699999999999985</v>
      </c>
      <c r="B200" s="833">
        <v>92830</v>
      </c>
      <c r="C200" s="2" t="str">
        <f>VLOOKUP($B200,[1]BOLETIM_SEL!$A:$H,2,0)</f>
        <v>SINAPI</v>
      </c>
      <c r="D200" s="315" t="str">
        <f>VLOOKUP($B200,[1]BOLETIM_SEL!$A:$H,4,0)</f>
        <v>Assentamento de tubo de concreto para redes coletoras de águas pluviais, diâmetro nominal de 1,20 m, junta rígida em argamassa 1:3 cimento:areia, instalado em local com alto nível de interferências (não inclui fornecimento). AF_12/2015</v>
      </c>
      <c r="E200" s="2"/>
      <c r="F200" s="2" t="str">
        <f>VLOOKUP($B200,[1]BOLETIM_SEL!$A:$H,6,0)</f>
        <v>M</v>
      </c>
      <c r="G200" s="1407">
        <f>VLOOKUP($B200,[1]BOLETIM_SEL!$A:$H,7,0)</f>
        <v>204.12</v>
      </c>
      <c r="H200" s="1606">
        <f ca="1">Dre_Disp_Estruturais!AE19+Dre_Disp_Estruturais!AE29</f>
        <v>0</v>
      </c>
      <c r="I200" s="876">
        <f t="shared" si="49"/>
        <v>249.02</v>
      </c>
      <c r="J200" s="1607">
        <f ca="1">TRUNC(H200*I200,2)</f>
        <v>0</v>
      </c>
      <c r="K200" s="2069">
        <f t="shared" ca="1" si="44"/>
        <v>0</v>
      </c>
      <c r="L200" s="1570">
        <f t="shared" ca="1" si="45"/>
        <v>0</v>
      </c>
      <c r="M200" s="1445"/>
      <c r="N200" s="1644">
        <v>1.3</v>
      </c>
      <c r="O200" s="1649">
        <f t="shared" ca="1" si="51"/>
        <v>0</v>
      </c>
      <c r="Q200" s="832"/>
      <c r="R200" s="832"/>
      <c r="S200" s="832"/>
      <c r="T200" s="832"/>
      <c r="U200" s="832"/>
      <c r="V200" s="832"/>
      <c r="W200" s="832"/>
      <c r="X200" s="832"/>
    </row>
    <row r="201" spans="1:24" s="812" customFormat="1" ht="39.950000000000003" hidden="1" customHeight="1" x14ac:dyDescent="0.15">
      <c r="A201" s="2072">
        <f t="shared" ca="1" si="46"/>
        <v>4.0699999999999985</v>
      </c>
      <c r="B201" s="833">
        <v>92832</v>
      </c>
      <c r="C201" s="2" t="str">
        <f>VLOOKUP($B201,[1]BOLETIM_SEL!$A:$H,2,0)</f>
        <v>SINAPI</v>
      </c>
      <c r="D201" s="315" t="str">
        <f>VLOOKUP($B201,[1]BOLETIM_SEL!$A:$H,4,0)</f>
        <v>Assentamento de tubo de concreto para redes coletoras de águas pluviais, diâmetro nominal de 1,50 m, junta rígida em argamassa 1:3 cimento:areia, instalado em local com alto nível de interferências (não inclui fornecimento). AF_12/2015</v>
      </c>
      <c r="E201" s="2"/>
      <c r="F201" s="2" t="str">
        <f>VLOOKUP($B201,[1]BOLETIM_SEL!$A:$H,6,0)</f>
        <v>M</v>
      </c>
      <c r="G201" s="1407">
        <f>VLOOKUP($B201,[1]BOLETIM_SEL!$A:$H,7,0)</f>
        <v>271.33999999999997</v>
      </c>
      <c r="H201" s="1606">
        <f ca="1">Dre_Disp_Estruturais!AE20+Dre_Disp_Estruturais!AE30</f>
        <v>0</v>
      </c>
      <c r="I201" s="876">
        <f t="shared" si="49"/>
        <v>331.03</v>
      </c>
      <c r="J201" s="1607">
        <f ca="1">TRUNC(H201*I201,2)</f>
        <v>0</v>
      </c>
      <c r="K201" s="2069">
        <f t="shared" ca="1" si="44"/>
        <v>0</v>
      </c>
      <c r="L201" s="1570">
        <f t="shared" ca="1" si="45"/>
        <v>0</v>
      </c>
      <c r="M201" s="1445"/>
      <c r="N201" s="1644">
        <v>1</v>
      </c>
      <c r="O201" s="1649">
        <f t="shared" ca="1" si="51"/>
        <v>0</v>
      </c>
      <c r="Q201" s="832"/>
      <c r="R201" s="832"/>
      <c r="S201" s="832"/>
      <c r="T201" s="832"/>
      <c r="U201" s="832"/>
      <c r="V201" s="832"/>
      <c r="W201" s="832"/>
      <c r="X201" s="832"/>
    </row>
    <row r="202" spans="1:24" s="812" customFormat="1" ht="39.950000000000003" hidden="1" customHeight="1" x14ac:dyDescent="0.15">
      <c r="A202" s="2072">
        <f t="shared" ca="1" si="46"/>
        <v>4.0699999999999985</v>
      </c>
      <c r="B202" s="833">
        <v>92809</v>
      </c>
      <c r="C202" s="2" t="str">
        <f>VLOOKUP($B202,[1]BOLETIM_SEL!$A:$H,2,0)</f>
        <v>SINAPI</v>
      </c>
      <c r="D202" s="315" t="str">
        <f>VLOOKUP($B202,[1]BOLETIM_SEL!$A:$H,4,0)</f>
        <v>Assentamento de tubo de concreto para redes coletoras de águas pluviais, diâmetro nominal de 0,40 m, junta rígida em argamassa 1:3 cimento:areia, instalado em local com baixo nível de interferências (não inclui fornecimento). AF_12/2015</v>
      </c>
      <c r="E202" s="2"/>
      <c r="F202" s="2" t="str">
        <f>VLOOKUP($B202,[1]BOLETIM_SEL!$A:$H,6,0)</f>
        <v>M</v>
      </c>
      <c r="G202" s="1407">
        <f>VLOOKUP($B202,[1]BOLETIM_SEL!$A:$H,7,0)</f>
        <v>54.86</v>
      </c>
      <c r="H202" s="1606">
        <f>Dre_Disp_Estruturais!AE13</f>
        <v>0</v>
      </c>
      <c r="I202" s="876">
        <f t="shared" si="49"/>
        <v>66.92</v>
      </c>
      <c r="J202" s="1607">
        <f t="shared" si="50"/>
        <v>0</v>
      </c>
      <c r="K202" s="2069">
        <f t="shared" ca="1" si="44"/>
        <v>0</v>
      </c>
      <c r="L202" s="1570">
        <f t="shared" ca="1" si="45"/>
        <v>0</v>
      </c>
      <c r="M202" s="1445"/>
      <c r="N202" s="1644"/>
      <c r="O202" s="1649"/>
      <c r="Q202" s="832"/>
      <c r="R202" s="832"/>
      <c r="S202" s="832"/>
      <c r="T202" s="832"/>
      <c r="U202" s="832"/>
      <c r="V202" s="832"/>
      <c r="W202" s="832"/>
      <c r="X202" s="832"/>
    </row>
    <row r="203" spans="1:24" s="812" customFormat="1" ht="39.950000000000003" hidden="1" customHeight="1" x14ac:dyDescent="0.15">
      <c r="A203" s="2072">
        <f t="shared" ca="1" si="46"/>
        <v>4.0699999999999985</v>
      </c>
      <c r="B203" s="833">
        <v>92811</v>
      </c>
      <c r="C203" s="2" t="str">
        <f>VLOOKUP($B203,[1]BOLETIM_SEL!$A:$H,2,0)</f>
        <v>SINAPI</v>
      </c>
      <c r="D203" s="315" t="str">
        <f>VLOOKUP($B203,[1]BOLETIM_SEL!$A:$H,4,0)</f>
        <v>Assentamento de tubo de concreto para redes coletoras de águas pluviais, diâmetro nominal de 0,60 m, junta rígida em argamassa 1:3 cimento:areia, instalado em local com baixo nível de interferências (não inclui fornecimento). AF_12/2015</v>
      </c>
      <c r="E203" s="2"/>
      <c r="F203" s="2" t="str">
        <f>VLOOKUP($B203,[1]BOLETIM_SEL!$A:$H,6,0)</f>
        <v>M</v>
      </c>
      <c r="G203" s="1407">
        <f>VLOOKUP($B203,[1]BOLETIM_SEL!$A:$H,7,0)</f>
        <v>79.52</v>
      </c>
      <c r="H203" s="1606">
        <f ca="1">Dre_Disp_Estruturais!AE14+Dre_Disp_Estruturais!AE15+Dre_Disp_Estruturais!AE21+Dre_Disp_Estruturais!AE31</f>
        <v>0</v>
      </c>
      <c r="I203" s="876">
        <f t="shared" si="49"/>
        <v>97.01</v>
      </c>
      <c r="J203" s="1607">
        <f ca="1">TRUNC(H203*I203,2)</f>
        <v>0</v>
      </c>
      <c r="K203" s="2069">
        <f t="shared" ca="1" si="44"/>
        <v>0</v>
      </c>
      <c r="L203" s="1570">
        <f t="shared" ca="1" si="45"/>
        <v>0</v>
      </c>
      <c r="M203" s="1445"/>
      <c r="N203" s="1644"/>
      <c r="O203" s="1649"/>
      <c r="Q203" s="832"/>
      <c r="R203" s="832"/>
      <c r="S203" s="832"/>
      <c r="T203" s="832"/>
      <c r="U203" s="832"/>
      <c r="V203" s="832"/>
      <c r="W203" s="832"/>
      <c r="X203" s="832"/>
    </row>
    <row r="204" spans="1:24" s="812" customFormat="1" ht="39.950000000000003" hidden="1" customHeight="1" x14ac:dyDescent="0.15">
      <c r="A204" s="2072">
        <f t="shared" ca="1" si="46"/>
        <v>4.0699999999999985</v>
      </c>
      <c r="B204" s="833">
        <v>92813</v>
      </c>
      <c r="C204" s="2" t="str">
        <f>VLOOKUP($B204,[1]BOLETIM_SEL!$A:$H,2,0)</f>
        <v>SINAPI</v>
      </c>
      <c r="D204" s="315" t="str">
        <f>VLOOKUP($B204,[1]BOLETIM_SEL!$A:$H,4,0)</f>
        <v>Assentamento de tubo de concreto para redes coletoras de águas pluviais, diâmetro nominal de 0,80 m, junta rígida em argamassa 1:3 cimento:areia, instalado em local com baixo nível de interferências (não inclui fornecimento). AF_12/2015</v>
      </c>
      <c r="E204" s="2"/>
      <c r="F204" s="2" t="str">
        <f>VLOOKUP($B204,[1]BOLETIM_SEL!$A:$H,6,0)</f>
        <v>M</v>
      </c>
      <c r="G204" s="1407">
        <f>VLOOKUP($B204,[1]BOLETIM_SEL!$A:$H,7,0)</f>
        <v>106.78</v>
      </c>
      <c r="H204" s="1606">
        <f ca="1">Dre_Disp_Estruturais!AE22+Dre_Disp_Estruturais!AE32</f>
        <v>0</v>
      </c>
      <c r="I204" s="876">
        <f t="shared" si="49"/>
        <v>130.27000000000001</v>
      </c>
      <c r="J204" s="1607">
        <f ca="1">TRUNC(H204*I204,2)</f>
        <v>0</v>
      </c>
      <c r="K204" s="2069">
        <f t="shared" ca="1" si="44"/>
        <v>0</v>
      </c>
      <c r="L204" s="1570">
        <f t="shared" ca="1" si="45"/>
        <v>0</v>
      </c>
      <c r="M204" s="1445"/>
      <c r="N204" s="1644">
        <f>VLOOKUP($B204,[1]BOLETIM_SEL!$A:$H,5,0)</f>
        <v>0</v>
      </c>
      <c r="O204" s="1649"/>
      <c r="Q204" s="832"/>
      <c r="R204" s="832"/>
      <c r="S204" s="832"/>
      <c r="T204" s="832"/>
      <c r="U204" s="832"/>
      <c r="V204" s="832"/>
      <c r="W204" s="832"/>
      <c r="X204" s="832"/>
    </row>
    <row r="205" spans="1:24" s="812" customFormat="1" ht="39.950000000000003" hidden="1" customHeight="1" x14ac:dyDescent="0.15">
      <c r="A205" s="2072">
        <f t="shared" ca="1" si="46"/>
        <v>4.0699999999999985</v>
      </c>
      <c r="B205" s="833">
        <v>92815</v>
      </c>
      <c r="C205" s="2" t="str">
        <f>VLOOKUP($B205,[1]BOLETIM_SEL!$A:$H,2,0)</f>
        <v>SINAPI</v>
      </c>
      <c r="D205" s="315" t="str">
        <f>VLOOKUP($B205,[1]BOLETIM_SEL!$A:$H,4,0)</f>
        <v>Assentamento de tubo de concreto para redes coletoras de águas pluviais, diâmetro nominal de 1,00 m, junta rígida em argamassa 1:3 cimento:areia, instalado em local com baixo nível de interferências (não inclui fornecimento). AF_12/2015</v>
      </c>
      <c r="E205" s="2"/>
      <c r="F205" s="2" t="str">
        <f>VLOOKUP($B205,[1]BOLETIM_SEL!$A:$H,6,0)</f>
        <v>M</v>
      </c>
      <c r="G205" s="1407">
        <f>VLOOKUP($B205,[1]BOLETIM_SEL!$A:$H,7,0)</f>
        <v>139.80000000000001</v>
      </c>
      <c r="H205" s="1606">
        <f ca="1">Dre_Disp_Estruturais!AE23+Dre_Disp_Estruturais!AE33</f>
        <v>0</v>
      </c>
      <c r="I205" s="876">
        <f t="shared" si="49"/>
        <v>170.55</v>
      </c>
      <c r="J205" s="1607">
        <f ca="1">TRUNC(H205*I205,2)</f>
        <v>0</v>
      </c>
      <c r="K205" s="2069">
        <f t="shared" ca="1" si="44"/>
        <v>0</v>
      </c>
      <c r="L205" s="1570">
        <f t="shared" ca="1" si="45"/>
        <v>0</v>
      </c>
      <c r="M205" s="1445"/>
      <c r="N205" s="1644">
        <f>VLOOKUP($B205,[1]BOLETIM_SEL!$A:$H,5,0)</f>
        <v>0</v>
      </c>
      <c r="O205" s="1649"/>
      <c r="Q205" s="832"/>
      <c r="R205" s="832"/>
      <c r="S205" s="832"/>
      <c r="T205" s="832"/>
      <c r="U205" s="832"/>
      <c r="V205" s="832"/>
      <c r="W205" s="832"/>
      <c r="X205" s="832"/>
    </row>
    <row r="206" spans="1:24" s="812" customFormat="1" ht="39.950000000000003" hidden="1" customHeight="1" x14ac:dyDescent="0.15">
      <c r="A206" s="2072">
        <f t="shared" ca="1" si="46"/>
        <v>4.0699999999999985</v>
      </c>
      <c r="B206" s="833">
        <v>92817</v>
      </c>
      <c r="C206" s="2" t="str">
        <f>VLOOKUP($B206,[1]BOLETIM_SEL!$A:$H,2,0)</f>
        <v>SINAPI</v>
      </c>
      <c r="D206" s="315" t="str">
        <f>VLOOKUP($B206,[1]BOLETIM_SEL!$A:$H,4,0)</f>
        <v>Assentamento de tubo de concreto para redes coletoras de águas pluviais, diâmetro nominal de 1,20 m, junta rígida em argamassa 1:3 cimento:areia, instalado em local com baixo nível de interferências (não inclui fornecimento). AF_12/2015</v>
      </c>
      <c r="E206" s="2"/>
      <c r="F206" s="2" t="str">
        <f>VLOOKUP($B206,[1]BOLETIM_SEL!$A:$H,6,0)</f>
        <v>M</v>
      </c>
      <c r="G206" s="1407">
        <f>VLOOKUP($B206,[1]BOLETIM_SEL!$A:$H,7,0)</f>
        <v>174.93</v>
      </c>
      <c r="H206" s="1606">
        <f ca="1">Dre_Disp_Estruturais!AE24+Dre_Disp_Estruturais!AE34</f>
        <v>0</v>
      </c>
      <c r="I206" s="876">
        <f t="shared" si="49"/>
        <v>213.41</v>
      </c>
      <c r="J206" s="1607">
        <f ca="1">TRUNC(H206*I206,2)</f>
        <v>0</v>
      </c>
      <c r="K206" s="2069">
        <f t="shared" ca="1" si="44"/>
        <v>0</v>
      </c>
      <c r="L206" s="1570">
        <f t="shared" ca="1" si="45"/>
        <v>0</v>
      </c>
      <c r="M206" s="1445"/>
      <c r="N206" s="1644">
        <f>VLOOKUP($B206,[1]BOLETIM_SEL!$A:$H,5,0)</f>
        <v>0</v>
      </c>
      <c r="O206" s="1649"/>
      <c r="Q206" s="832"/>
      <c r="R206" s="832"/>
      <c r="S206" s="832"/>
      <c r="T206" s="832"/>
      <c r="U206" s="832"/>
      <c r="V206" s="832"/>
      <c r="W206" s="832"/>
      <c r="X206" s="832"/>
    </row>
    <row r="207" spans="1:24" s="812" customFormat="1" ht="39.950000000000003" hidden="1" customHeight="1" x14ac:dyDescent="0.15">
      <c r="A207" s="2072">
        <f t="shared" ca="1" si="46"/>
        <v>4.0699999999999985</v>
      </c>
      <c r="B207" s="833">
        <v>92819</v>
      </c>
      <c r="C207" s="2" t="str">
        <f>VLOOKUP($B207,[1]BOLETIM_SEL!$A:$H,2,0)</f>
        <v>SINAPI</v>
      </c>
      <c r="D207" s="315" t="str">
        <f>VLOOKUP($B207,[1]BOLETIM_SEL!$A:$H,4,0)</f>
        <v>Assentamento de tubo de concreto para redes coletoras de águas pluviais, diâmetro nominal de 1,50 m, junta rígida em argamassa 1:3 cimento:areia, instalado em local com baixo nível de interferências (não inclui fornecimento). AF_12/2015</v>
      </c>
      <c r="E207" s="2"/>
      <c r="F207" s="2" t="str">
        <f>VLOOKUP($B207,[1]BOLETIM_SEL!$A:$H,6,0)</f>
        <v>M</v>
      </c>
      <c r="G207" s="1407">
        <f>VLOOKUP($B207,[1]BOLETIM_SEL!$A:$H,7,0)</f>
        <v>235.48</v>
      </c>
      <c r="H207" s="1606">
        <f ca="1">Dre_Disp_Estruturais!AE25+Dre_Disp_Estruturais!AE35</f>
        <v>0</v>
      </c>
      <c r="I207" s="876">
        <f t="shared" si="49"/>
        <v>287.27999999999997</v>
      </c>
      <c r="J207" s="1607">
        <f ca="1">TRUNC(H207*I207,2)</f>
        <v>0</v>
      </c>
      <c r="K207" s="2069">
        <f t="shared" ca="1" si="44"/>
        <v>0</v>
      </c>
      <c r="L207" s="1570">
        <f t="shared" ca="1" si="45"/>
        <v>0</v>
      </c>
      <c r="M207" s="1445"/>
      <c r="N207" s="1644">
        <f>VLOOKUP($B207,[1]BOLETIM_SEL!$A:$H,5,0)</f>
        <v>0</v>
      </c>
      <c r="O207" s="1649"/>
      <c r="Q207" s="832"/>
      <c r="R207" s="832"/>
      <c r="S207" s="832"/>
      <c r="T207" s="832"/>
      <c r="U207" s="832"/>
      <c r="V207" s="832"/>
      <c r="W207" s="832"/>
      <c r="X207" s="832"/>
    </row>
    <row r="208" spans="1:24" s="812" customFormat="1" ht="50.1" hidden="1" customHeight="1" x14ac:dyDescent="0.15">
      <c r="A208" s="2072">
        <f t="shared" ca="1" si="46"/>
        <v>4.0699999999999985</v>
      </c>
      <c r="B208" s="833" t="s">
        <v>1708</v>
      </c>
      <c r="C208" s="2" t="str">
        <f>VLOOKUP($B208,[1]BOLETIM_SEL!$A:$H,2,0)</f>
        <v>COTAÇÃO - SICRO</v>
      </c>
      <c r="D208" s="315" t="str">
        <f>VLOOKUP($B208,[1]BOLETIM_SEL!$A:$H,4,0)</f>
        <v>Aquisição de tubo PEAD com paredes estruturadas para drenagem de águas pluviais - D = 400 mm (48,00 kg/6 m); DN/DI, em PEAD virgem para rede de drenagem, ponta e bolsa – JEI, parede dupla, interna lisa, conforme norma DNIT 094/2014 (REF. SICRO COD. M0131)</v>
      </c>
      <c r="E208" s="2221" t="s">
        <v>2632</v>
      </c>
      <c r="F208" s="2" t="str">
        <f>VLOOKUP($B208,[1]BOLETIM_SEL!$A:$H,6,0)</f>
        <v>m</v>
      </c>
      <c r="G208" s="1407">
        <f>VLOOKUP($B208,[1]BOLETIM_SEL!$A:$H,7,0)</f>
        <v>205.90530000000001</v>
      </c>
      <c r="H208" s="1606">
        <f t="shared" ref="H208" si="52">H217+H226</f>
        <v>0</v>
      </c>
      <c r="I208" s="2222">
        <f t="shared" ref="I208:I216" si="53">TRUNC(G208*(1+$J$6),2)</f>
        <v>237.36</v>
      </c>
      <c r="J208" s="1607">
        <f t="shared" si="50"/>
        <v>0</v>
      </c>
      <c r="K208" s="2069">
        <f t="shared" ca="1" si="44"/>
        <v>0</v>
      </c>
      <c r="L208" s="1570">
        <f t="shared" ca="1" si="45"/>
        <v>0</v>
      </c>
      <c r="M208" s="1580" t="str">
        <f>VLOOKUP($B208,[1]BOLETIM_SEL!$A:$H,5,0)</f>
        <v>M0131</v>
      </c>
      <c r="N208" s="832"/>
      <c r="O208" s="832"/>
      <c r="Q208" s="832"/>
      <c r="R208" s="832"/>
      <c r="S208" s="832"/>
      <c r="T208" s="832"/>
      <c r="U208" s="832"/>
      <c r="V208" s="832"/>
      <c r="W208" s="832"/>
      <c r="X208" s="832"/>
    </row>
    <row r="209" spans="1:24" s="812" customFormat="1" ht="50.1" hidden="1" customHeight="1" x14ac:dyDescent="0.15">
      <c r="A209" s="2072">
        <f t="shared" ca="1" si="46"/>
        <v>4.0699999999999985</v>
      </c>
      <c r="B209" s="833" t="s">
        <v>997</v>
      </c>
      <c r="C209" s="2" t="str">
        <f>VLOOKUP($B209,[1]BOLETIM_SEL!$A:$H,2,0)</f>
        <v>COTAÇÃO - SICRO</v>
      </c>
      <c r="D209" s="315" t="str">
        <f>VLOOKUP($B209,[1]BOLETIM_SEL!$A:$H,4,0)</f>
        <v>Aquisição de tubo PEAD com paredes estruturadas para drenagem de águas pluviais - D = 500 mm (68,00 kg/6 m); DN/DI, em PEAD virgem para rede de drenagem, ponta e bolsa – JEI, parede dupla, interna lisa, conforme norma DNIT 094/2014 (REF. SICRO COD. M0133)</v>
      </c>
      <c r="E209" s="2221" t="s">
        <v>2632</v>
      </c>
      <c r="F209" s="2" t="str">
        <f>VLOOKUP($B209,[1]BOLETIM_SEL!$A:$H,6,0)</f>
        <v>m</v>
      </c>
      <c r="G209" s="1407">
        <f>VLOOKUP($B209,[1]BOLETIM_SEL!$A:$H,7,0)</f>
        <v>338.03089999999997</v>
      </c>
      <c r="H209" s="1606">
        <f t="shared" ref="H209:H216" ca="1" si="54">H218+H227</f>
        <v>0</v>
      </c>
      <c r="I209" s="2222">
        <f t="shared" si="53"/>
        <v>389.68</v>
      </c>
      <c r="J209" s="1607">
        <f t="shared" ref="J209:J216" ca="1" si="55">TRUNC(H209*I209,2)</f>
        <v>0</v>
      </c>
      <c r="K209" s="2069">
        <f t="shared" ca="1" si="44"/>
        <v>0</v>
      </c>
      <c r="L209" s="1570">
        <f t="shared" ca="1" si="45"/>
        <v>0</v>
      </c>
      <c r="M209" s="1580" t="str">
        <f>VLOOKUP($B209,[1]BOLETIM_SEL!$A:$H,5,0)</f>
        <v>M0133</v>
      </c>
      <c r="N209" s="832"/>
      <c r="O209" s="832"/>
      <c r="Q209" s="832"/>
      <c r="R209" s="832"/>
      <c r="S209" s="832"/>
      <c r="T209" s="832"/>
      <c r="U209" s="832"/>
      <c r="V209" s="832"/>
      <c r="W209" s="832"/>
      <c r="X209" s="832"/>
    </row>
    <row r="210" spans="1:24" s="812" customFormat="1" ht="50.1" hidden="1" customHeight="1" x14ac:dyDescent="0.15">
      <c r="A210" s="2072">
        <f t="shared" ca="1" si="46"/>
        <v>4.0699999999999985</v>
      </c>
      <c r="B210" s="833" t="s">
        <v>998</v>
      </c>
      <c r="C210" s="2" t="str">
        <f>VLOOKUP($B210,[1]BOLETIM_SEL!$A:$H,2,0)</f>
        <v>COTAÇÃO - SICRO</v>
      </c>
      <c r="D210" s="315" t="str">
        <f>VLOOKUP($B210,[1]BOLETIM_SEL!$A:$H,4,0)</f>
        <v>Aquisição de tubo PEAD com paredes estruturadas para drenagem de águas pluviais - D = 600 mm (100,00 kg/6 m); DN/DI, em PEAD virgem para rede de drenagem, ponta e bolsa – JEI, parede dupla, interna lisa, conforme norma DNIT 094/2014 (REF. SICRO COD. M0134)</v>
      </c>
      <c r="E210" s="2221" t="s">
        <v>2632</v>
      </c>
      <c r="F210" s="2" t="str">
        <f>VLOOKUP($B210,[1]BOLETIM_SEL!$A:$H,6,0)</f>
        <v>m</v>
      </c>
      <c r="G210" s="1407">
        <f>VLOOKUP($B210,[1]BOLETIM_SEL!$A:$H,7,0)</f>
        <v>493.61329999999998</v>
      </c>
      <c r="H210" s="1606">
        <f t="shared" ca="1" si="54"/>
        <v>0</v>
      </c>
      <c r="I210" s="2222">
        <f t="shared" si="53"/>
        <v>569.03</v>
      </c>
      <c r="J210" s="1607">
        <f t="shared" ca="1" si="55"/>
        <v>0</v>
      </c>
      <c r="K210" s="2069">
        <f t="shared" ca="1" si="44"/>
        <v>0</v>
      </c>
      <c r="L210" s="1570">
        <f t="shared" ca="1" si="45"/>
        <v>0</v>
      </c>
      <c r="M210" s="1580" t="str">
        <f>VLOOKUP($B210,[1]BOLETIM_SEL!$A:$H,5,0)</f>
        <v>M0134</v>
      </c>
      <c r="N210" s="832"/>
      <c r="O210" s="832"/>
      <c r="Q210" s="832"/>
      <c r="R210" s="832"/>
      <c r="S210" s="832"/>
      <c r="T210" s="832"/>
      <c r="U210" s="832"/>
      <c r="V210" s="832"/>
      <c r="W210" s="832"/>
      <c r="X210" s="832"/>
    </row>
    <row r="211" spans="1:24" s="812" customFormat="1" ht="50.1" hidden="1" customHeight="1" x14ac:dyDescent="0.15">
      <c r="A211" s="2072">
        <f t="shared" ca="1" si="46"/>
        <v>4.0699999999999985</v>
      </c>
      <c r="B211" s="833" t="s">
        <v>999</v>
      </c>
      <c r="C211" s="2" t="str">
        <f>VLOOKUP($B211,[1]BOLETIM_SEL!$A:$H,2,0)</f>
        <v>COTAÇÃO - SICRO</v>
      </c>
      <c r="D211" s="315" t="str">
        <f>VLOOKUP($B211,[1]BOLETIM_SEL!$A:$H,4,0)</f>
        <v>Aquisição de tubo PEAD com paredes estruturadas para drenagem de águas pluviais - D = 750 mm (142,00 kg/6 m); DN/DI, em PEAD virgem para rede de drenagem, ponta e bolsa – JEI, parede dupla, interna lisa, conforme norma DNIT 094/2014 (REF. SICRO COD. M0135)</v>
      </c>
      <c r="E211" s="2221" t="s">
        <v>2632</v>
      </c>
      <c r="F211" s="2" t="str">
        <f>VLOOKUP($B211,[1]BOLETIM_SEL!$A:$H,6,0)</f>
        <v>m</v>
      </c>
      <c r="G211" s="1407">
        <f>VLOOKUP($B211,[1]BOLETIM_SEL!$A:$H,7,0)</f>
        <v>683.87049999999999</v>
      </c>
      <c r="H211" s="1606">
        <f t="shared" ca="1" si="54"/>
        <v>0</v>
      </c>
      <c r="I211" s="2222">
        <f t="shared" si="53"/>
        <v>788.36</v>
      </c>
      <c r="J211" s="1607">
        <f t="shared" ca="1" si="55"/>
        <v>0</v>
      </c>
      <c r="K211" s="2069">
        <f t="shared" ca="1" si="44"/>
        <v>0</v>
      </c>
      <c r="L211" s="1570">
        <f t="shared" ca="1" si="45"/>
        <v>0</v>
      </c>
      <c r="M211" s="1580" t="str">
        <f>VLOOKUP($B211,[1]BOLETIM_SEL!$A:$H,5,0)</f>
        <v>M0135</v>
      </c>
      <c r="N211" s="832"/>
      <c r="O211" s="832"/>
      <c r="Q211" s="832"/>
      <c r="R211" s="832"/>
      <c r="S211" s="832"/>
      <c r="T211" s="832"/>
      <c r="U211" s="832"/>
      <c r="V211" s="832"/>
      <c r="W211" s="832"/>
      <c r="X211" s="832"/>
    </row>
    <row r="212" spans="1:24" s="812" customFormat="1" ht="50.1" hidden="1" customHeight="1" x14ac:dyDescent="0.15">
      <c r="A212" s="2072">
        <f t="shared" ca="1" si="46"/>
        <v>4.0699999999999985</v>
      </c>
      <c r="B212" s="833" t="s">
        <v>1709</v>
      </c>
      <c r="C212" s="2" t="str">
        <f>VLOOKUP($B212,[1]BOLETIM_SEL!$A:$H,2,0)</f>
        <v>COTAÇÃO - SICRO</v>
      </c>
      <c r="D212" s="315" t="str">
        <f>VLOOKUP($B212,[1]BOLETIM_SEL!$A:$H,4,0)</f>
        <v>Aquisição de tubo PEAD com paredes estruturadas para drenagem de águas pluviais - D = 800 mm (174,00 kg /6 m); DN/DI, em PEAD virgem para rede de drenagem, ponta e bolsa – JEI, parede dupla, interna lisa, conforme norma DNIT 094/2014 (REF. SICRO COD. M0136)</v>
      </c>
      <c r="E212" s="2221" t="s">
        <v>2632</v>
      </c>
      <c r="F212" s="2" t="str">
        <f>VLOOKUP($B212,[1]BOLETIM_SEL!$A:$H,6,0)</f>
        <v>m</v>
      </c>
      <c r="G212" s="1407">
        <f>VLOOKUP($B212,[1]BOLETIM_SEL!$A:$H,7,0)</f>
        <v>721.16010000000006</v>
      </c>
      <c r="H212" s="1606">
        <f t="shared" ca="1" si="54"/>
        <v>0</v>
      </c>
      <c r="I212" s="2222">
        <f t="shared" si="53"/>
        <v>831.35</v>
      </c>
      <c r="J212" s="1607">
        <f t="shared" ca="1" si="55"/>
        <v>0</v>
      </c>
      <c r="K212" s="2069">
        <f t="shared" ca="1" si="44"/>
        <v>0</v>
      </c>
      <c r="L212" s="1570">
        <f t="shared" ca="1" si="45"/>
        <v>0</v>
      </c>
      <c r="M212" s="1580" t="str">
        <f>VLOOKUP($B212,[1]BOLETIM_SEL!$A:$H,5,0)</f>
        <v>M0136</v>
      </c>
      <c r="N212" s="832"/>
      <c r="O212" s="832"/>
      <c r="Q212" s="832"/>
      <c r="R212" s="832"/>
      <c r="S212" s="832"/>
      <c r="T212" s="832"/>
      <c r="U212" s="832"/>
      <c r="V212" s="832"/>
      <c r="W212" s="832"/>
      <c r="X212" s="832"/>
    </row>
    <row r="213" spans="1:24" s="812" customFormat="1" ht="50.1" hidden="1" customHeight="1" x14ac:dyDescent="0.15">
      <c r="A213" s="2072">
        <f t="shared" ca="1" si="46"/>
        <v>4.0699999999999985</v>
      </c>
      <c r="B213" s="833" t="s">
        <v>1000</v>
      </c>
      <c r="C213" s="2" t="str">
        <f>VLOOKUP($B213,[1]BOLETIM_SEL!$A:$H,2,0)</f>
        <v>COTAÇÃO - SICRO</v>
      </c>
      <c r="D213" s="315" t="str">
        <f>VLOOKUP($B213,[1]BOLETIM_SEL!$A:$H,4,0)</f>
        <v>Aquisição de tubo PEAD com paredes estruturadas para drenagem de águas pluviais - D = 900 mm (195,00 kg /6 m); DN/DI, em PEAD virgem para rede de drenagem, ponta e bolsa – JEI, parede dupla, interna lisa, conforme norma DNIT 094/2014 (REF. SICRO COD. M0137)</v>
      </c>
      <c r="E213" s="2221" t="s">
        <v>2632</v>
      </c>
      <c r="F213" s="2" t="str">
        <f>VLOOKUP($B213,[1]BOLETIM_SEL!$A:$H,6,0)</f>
        <v>m</v>
      </c>
      <c r="G213" s="1407">
        <f>VLOOKUP($B213,[1]BOLETIM_SEL!$A:$H,7,0)</f>
        <v>923.12440000000004</v>
      </c>
      <c r="H213" s="1606">
        <f t="shared" ca="1" si="54"/>
        <v>0</v>
      </c>
      <c r="I213" s="2222">
        <f t="shared" si="53"/>
        <v>1064.17</v>
      </c>
      <c r="J213" s="1607">
        <f t="shared" ca="1" si="55"/>
        <v>0</v>
      </c>
      <c r="K213" s="2069">
        <f t="shared" ca="1" si="44"/>
        <v>0</v>
      </c>
      <c r="L213" s="1570">
        <f t="shared" ca="1" si="45"/>
        <v>0</v>
      </c>
      <c r="M213" s="1580" t="str">
        <f>VLOOKUP($B213,[1]BOLETIM_SEL!$A:$H,5,0)</f>
        <v>M0137</v>
      </c>
      <c r="N213" s="832"/>
      <c r="O213" s="832"/>
      <c r="Q213" s="832"/>
      <c r="R213" s="832"/>
      <c r="S213" s="832"/>
      <c r="T213" s="832"/>
      <c r="U213" s="832"/>
      <c r="V213" s="832"/>
      <c r="W213" s="832"/>
      <c r="X213" s="832"/>
    </row>
    <row r="214" spans="1:24" s="812" customFormat="1" ht="50.1" hidden="1" customHeight="1" x14ac:dyDescent="0.15">
      <c r="A214" s="2072">
        <f t="shared" ca="1" si="46"/>
        <v>4.0699999999999985</v>
      </c>
      <c r="B214" s="833" t="s">
        <v>1001</v>
      </c>
      <c r="C214" s="2" t="str">
        <f>VLOOKUP($B214,[1]BOLETIM_SEL!$A:$H,2,0)</f>
        <v>COTAÇÃO - SICRO</v>
      </c>
      <c r="D214" s="315" t="str">
        <f>VLOOKUP($B214,[1]BOLETIM_SEL!$A:$H,4,0)</f>
        <v>Aquisição de tubo PEAD com paredes estruturadas para drenagem de águas pluviais - D = 1.000 mm (230,00 kg /6 m); DN/DI, em PEAD virgem para rede de drenagem, ponta e bolsa – JEI, parede dupla, interna lisa, conforme norma DNIT 094/2014 (REF. SICRO COD. M0139)</v>
      </c>
      <c r="E214" s="2221" t="s">
        <v>2632</v>
      </c>
      <c r="F214" s="2" t="str">
        <f>VLOOKUP($B214,[1]BOLETIM_SEL!$A:$H,6,0)</f>
        <v>m</v>
      </c>
      <c r="G214" s="1407">
        <f>VLOOKUP($B214,[1]BOLETIM_SEL!$A:$H,7,0)</f>
        <v>1285.0968</v>
      </c>
      <c r="H214" s="1606">
        <f t="shared" ca="1" si="54"/>
        <v>0</v>
      </c>
      <c r="I214" s="2222">
        <f t="shared" si="53"/>
        <v>1481.45</v>
      </c>
      <c r="J214" s="1607">
        <f t="shared" ca="1" si="55"/>
        <v>0</v>
      </c>
      <c r="K214" s="2069">
        <f t="shared" ca="1" si="44"/>
        <v>0</v>
      </c>
      <c r="L214" s="1570">
        <f t="shared" ca="1" si="45"/>
        <v>0</v>
      </c>
      <c r="M214" s="1580" t="str">
        <f>VLOOKUP($B214,[1]BOLETIM_SEL!$A:$H,5,0)</f>
        <v>M0139</v>
      </c>
      <c r="N214" s="832"/>
      <c r="O214" s="832"/>
      <c r="Q214" s="832"/>
      <c r="R214" s="832"/>
      <c r="S214" s="832"/>
      <c r="T214" s="832"/>
      <c r="U214" s="832"/>
      <c r="V214" s="832"/>
      <c r="W214" s="832"/>
      <c r="X214" s="832"/>
    </row>
    <row r="215" spans="1:24" s="812" customFormat="1" ht="50.1" hidden="1" customHeight="1" x14ac:dyDescent="0.15">
      <c r="A215" s="2072">
        <f t="shared" ca="1" si="46"/>
        <v>4.0699999999999985</v>
      </c>
      <c r="B215" s="833" t="s">
        <v>1002</v>
      </c>
      <c r="C215" s="2" t="str">
        <f>VLOOKUP($B215,[1]BOLETIM_SEL!$A:$H,2,0)</f>
        <v>COTAÇÃO - SICRO</v>
      </c>
      <c r="D215" s="315" t="str">
        <f>VLOOKUP($B215,[1]BOLETIM_SEL!$A:$H,4,0)</f>
        <v>Aquisição de tubo PEAD com paredes estruturadas para drenagem de águas pluviais - D = 1.200 mm (293,00 kg /6 m); DN/DI, em PEAD virgem para rede de drenagem, ponta e bolsa – JEI, parede dupla, interna lisa, conforme norma DNIT 094/2014 (REF. SICRO COD. M0142)</v>
      </c>
      <c r="E215" s="2221" t="s">
        <v>2632</v>
      </c>
      <c r="F215" s="2" t="str">
        <f>VLOOKUP($B215,[1]BOLETIM_SEL!$A:$H,6,0)</f>
        <v>m</v>
      </c>
      <c r="G215" s="1407">
        <f>VLOOKUP($B215,[1]BOLETIM_SEL!$A:$H,7,0)</f>
        <v>1705.635</v>
      </c>
      <c r="H215" s="1606">
        <f t="shared" ca="1" si="54"/>
        <v>0</v>
      </c>
      <c r="I215" s="2222">
        <f t="shared" si="53"/>
        <v>1966.25</v>
      </c>
      <c r="J215" s="1607">
        <f t="shared" ca="1" si="55"/>
        <v>0</v>
      </c>
      <c r="K215" s="2069">
        <f t="shared" ref="K215:K242" ca="1" si="56">J215/J$930</f>
        <v>0</v>
      </c>
      <c r="L215" s="1570">
        <f t="shared" ref="L215:L252" ca="1" si="57">J215/J$183</f>
        <v>0</v>
      </c>
      <c r="M215" s="1580" t="str">
        <f>VLOOKUP($B215,[1]BOLETIM_SEL!$A:$H,5,0)</f>
        <v>M0142</v>
      </c>
      <c r="N215" s="832"/>
      <c r="O215" s="832"/>
      <c r="Q215" s="832"/>
      <c r="R215" s="832"/>
      <c r="S215" s="832"/>
      <c r="T215" s="832"/>
      <c r="U215" s="832"/>
      <c r="V215" s="832"/>
      <c r="W215" s="832"/>
      <c r="X215" s="832"/>
    </row>
    <row r="216" spans="1:24" s="812" customFormat="1" ht="50.1" hidden="1" customHeight="1" x14ac:dyDescent="0.15">
      <c r="A216" s="2072">
        <f t="shared" ref="A216:A253" ca="1" si="58">IF(H216&gt;0,A215+0.01,A215)</f>
        <v>4.0699999999999985</v>
      </c>
      <c r="B216" s="833" t="s">
        <v>1003</v>
      </c>
      <c r="C216" s="2" t="str">
        <f>VLOOKUP($B216,[1]BOLETIM_SEL!$A:$H,2,0)</f>
        <v>COTAÇÃO - SICRO</v>
      </c>
      <c r="D216" s="315" t="str">
        <f>VLOOKUP($B216,[1]BOLETIM_SEL!$A:$H,4,0)</f>
        <v>Aquisição de tubo PEAD com paredes estruturadas para drenagem de águas pluviais - D = 1.500 mm (400,00 kg /6 m); DN/DI, em PEAD virgem para rede de drenagem, ponta e bolsa – JEI, parede dupla, interna lisa, conforme norma DNIT 094/2014 (REF. SICRO COD. M0143)</v>
      </c>
      <c r="E216" s="2221" t="s">
        <v>2632</v>
      </c>
      <c r="F216" s="2" t="str">
        <f>VLOOKUP($B216,[1]BOLETIM_SEL!$A:$H,6,0)</f>
        <v>m</v>
      </c>
      <c r="G216" s="1407">
        <f>VLOOKUP($B216,[1]BOLETIM_SEL!$A:$H,7,0)</f>
        <v>2204.8613999999998</v>
      </c>
      <c r="H216" s="1606">
        <f t="shared" ca="1" si="54"/>
        <v>0</v>
      </c>
      <c r="I216" s="2222">
        <f t="shared" si="53"/>
        <v>2541.7600000000002</v>
      </c>
      <c r="J216" s="1607">
        <f t="shared" ca="1" si="55"/>
        <v>0</v>
      </c>
      <c r="K216" s="2069">
        <f t="shared" ca="1" si="56"/>
        <v>0</v>
      </c>
      <c r="L216" s="1570">
        <f t="shared" ca="1" si="57"/>
        <v>0</v>
      </c>
      <c r="M216" s="1580" t="str">
        <f>VLOOKUP($B216,[1]BOLETIM_SEL!$A:$H,5,0)</f>
        <v>M0143</v>
      </c>
      <c r="N216" s="1648" t="s">
        <v>1951</v>
      </c>
      <c r="O216" s="1648" t="s">
        <v>1977</v>
      </c>
      <c r="Q216" s="832"/>
      <c r="R216" s="832"/>
      <c r="S216" s="832"/>
      <c r="T216" s="832"/>
      <c r="U216" s="832"/>
      <c r="V216" s="832"/>
      <c r="W216" s="832"/>
      <c r="X216" s="832"/>
    </row>
    <row r="217" spans="1:24" s="812" customFormat="1" ht="50.1" hidden="1" customHeight="1" x14ac:dyDescent="0.15">
      <c r="A217" s="2072">
        <f t="shared" ca="1" si="58"/>
        <v>4.0699999999999985</v>
      </c>
      <c r="B217" s="2" t="s">
        <v>2414</v>
      </c>
      <c r="C217" s="2" t="str">
        <f>VLOOKUP($B217,[1]BOLETIM_SEL!$A:$H,2,0)</f>
        <v>COMPOSIÇÃO</v>
      </c>
      <c r="D217" s="315" t="str">
        <f>VLOOKUP($B217,[1]BOLETIM_SEL!$A:$H,4,0)</f>
        <v>Assentamento de tubo de PEAD corrugado com parede estruturada para drenagem de águas pluviais, DN/DI 0,40 m; PEAD virgem para rede de drenagem, com encaixei ponta e bolsa – JEI, conforme norma DNIT 094/2014 (não inclui fornecimento) (REF. SINAPI COD. 90746)</v>
      </c>
      <c r="E217" s="2"/>
      <c r="F217" s="2" t="str">
        <f>VLOOKUP($B217,[1]BOLETIM_SEL!$A:$H,6,0)</f>
        <v>M</v>
      </c>
      <c r="G217" s="1407">
        <f>VLOOKUP($B217,[1]BOLETIM_SEL!$A:$H,7,0)</f>
        <v>3.09</v>
      </c>
      <c r="H217" s="1606">
        <f>Dre_Disp_Estruturais!AE36</f>
        <v>0</v>
      </c>
      <c r="I217" s="876">
        <f t="shared" ref="I217:I254" si="59">TRUNC(G217*(1+$J$5),2)</f>
        <v>3.76</v>
      </c>
      <c r="J217" s="1607">
        <f t="shared" si="50"/>
        <v>0</v>
      </c>
      <c r="K217" s="2069">
        <f t="shared" ca="1" si="56"/>
        <v>0</v>
      </c>
      <c r="L217" s="1570">
        <f t="shared" ca="1" si="57"/>
        <v>0</v>
      </c>
      <c r="M217" s="1445"/>
      <c r="N217" s="1644">
        <v>150</v>
      </c>
      <c r="O217" s="1649">
        <f t="shared" ref="O217:O242" si="60">H217/N217</f>
        <v>0</v>
      </c>
      <c r="Q217" s="832"/>
      <c r="R217" s="832"/>
      <c r="S217" s="832"/>
      <c r="T217" s="832"/>
      <c r="U217" s="832"/>
      <c r="V217" s="832"/>
      <c r="W217" s="832"/>
      <c r="X217" s="832"/>
    </row>
    <row r="218" spans="1:24" s="812" customFormat="1" ht="50.1" hidden="1" customHeight="1" x14ac:dyDescent="0.15">
      <c r="A218" s="2072">
        <f t="shared" ca="1" si="58"/>
        <v>4.0699999999999985</v>
      </c>
      <c r="B218" s="2" t="s">
        <v>1719</v>
      </c>
      <c r="C218" s="2" t="str">
        <f>VLOOKUP($B218,[1]BOLETIM_SEL!$A:$H,2,0)</f>
        <v>COMPOSIÇÃO</v>
      </c>
      <c r="D218" s="315" t="str">
        <f>VLOOKUP($B218,[1]BOLETIM_SEL!$A:$H,4,0)</f>
        <v>Assentamento de tubo de PEAD corrugado com parede estruturada para drenagem de águas pluviais, DN/DI 0,50 m; PEAD virgem para rede de drenagem, com encaixei ponta e bolsa – JEI, conforme norma DNIT 094/2014 (não inclui fornecimento) (REF. SINAPI COD. 90746 E 90747)</v>
      </c>
      <c r="E218" s="2"/>
      <c r="F218" s="2" t="str">
        <f>VLOOKUP($B218,[1]BOLETIM_SEL!$A:$H,6,0)</f>
        <v>M</v>
      </c>
      <c r="G218" s="1407">
        <f>VLOOKUP($B218,[1]BOLETIM_SEL!$A:$H,7,0)</f>
        <v>5.31</v>
      </c>
      <c r="H218" s="1606">
        <f ca="1">Dre_Disp_Estruturais!AE37+Dre_Disp_Estruturais!AE38</f>
        <v>0</v>
      </c>
      <c r="I218" s="876">
        <f t="shared" si="59"/>
        <v>6.47</v>
      </c>
      <c r="J218" s="1607">
        <f t="shared" ref="J218:J225" ca="1" si="61">TRUNC(H218*I218,2)</f>
        <v>0</v>
      </c>
      <c r="K218" s="2069">
        <f t="shared" ca="1" si="56"/>
        <v>0</v>
      </c>
      <c r="L218" s="1570">
        <f t="shared" ca="1" si="57"/>
        <v>0</v>
      </c>
      <c r="M218" s="1445"/>
      <c r="N218" s="1644">
        <v>130</v>
      </c>
      <c r="O218" s="1649">
        <f t="shared" ca="1" si="60"/>
        <v>0</v>
      </c>
      <c r="Q218" s="832"/>
      <c r="R218" s="832"/>
      <c r="S218" s="832"/>
      <c r="T218" s="832"/>
      <c r="U218" s="832"/>
      <c r="V218" s="832"/>
      <c r="W218" s="832"/>
      <c r="X218" s="832"/>
    </row>
    <row r="219" spans="1:24" s="812" customFormat="1" ht="50.1" hidden="1" customHeight="1" x14ac:dyDescent="0.15">
      <c r="A219" s="2072">
        <f t="shared" ca="1" si="58"/>
        <v>4.0699999999999985</v>
      </c>
      <c r="B219" s="833">
        <v>90747</v>
      </c>
      <c r="C219" s="2" t="str">
        <f>VLOOKUP($B219,[1]BOLETIM_SEL!$A:$H,2,0)</f>
        <v>SINAPI</v>
      </c>
      <c r="D219" s="315" t="str">
        <f>VLOOKUP($B219,[1]BOLETIM_SEL!$A:$H,4,0)</f>
        <v>Assentamento de tubo de PEAD corrugado com parede estruturada para drenagem de águas pluviais, DN/DI 0,60 m; PEAD virgem para rede de drenagem, com encaixei ponta e bolsa – JEI, conforme norma DNIT 094/2014 (não inclui fornecimento). AF_01/2021</v>
      </c>
      <c r="E219" s="2"/>
      <c r="F219" s="2" t="str">
        <f>VLOOKUP($B219,[1]BOLETIM_SEL!$A:$H,6,0)</f>
        <v>M</v>
      </c>
      <c r="G219" s="1407">
        <f>VLOOKUP($B219,[1]BOLETIM_SEL!$A:$H,7,0)</f>
        <v>17.68</v>
      </c>
      <c r="H219" s="1606">
        <f ca="1">Dre_Disp_Estruturais!AE39</f>
        <v>0</v>
      </c>
      <c r="I219" s="876">
        <f t="shared" si="59"/>
        <v>21.56</v>
      </c>
      <c r="J219" s="1607">
        <f t="shared" ca="1" si="61"/>
        <v>0</v>
      </c>
      <c r="K219" s="2069">
        <f t="shared" ca="1" si="56"/>
        <v>0</v>
      </c>
      <c r="L219" s="1570">
        <f t="shared" ca="1" si="57"/>
        <v>0</v>
      </c>
      <c r="M219" s="1445"/>
      <c r="N219" s="1644">
        <v>102</v>
      </c>
      <c r="O219" s="1649">
        <f t="shared" ca="1" si="60"/>
        <v>0</v>
      </c>
      <c r="Q219" s="832"/>
      <c r="R219" s="832"/>
      <c r="S219" s="832"/>
      <c r="T219" s="832"/>
      <c r="U219" s="832"/>
      <c r="V219" s="832"/>
      <c r="W219" s="832"/>
      <c r="X219" s="832"/>
    </row>
    <row r="220" spans="1:24" s="812" customFormat="1" ht="50.1" hidden="1" customHeight="1" x14ac:dyDescent="0.15">
      <c r="A220" s="2072">
        <f t="shared" ca="1" si="58"/>
        <v>4.0699999999999985</v>
      </c>
      <c r="B220" s="2" t="s">
        <v>1720</v>
      </c>
      <c r="C220" s="2" t="str">
        <f>VLOOKUP($B220,[1]BOLETIM_SEL!$A:$H,2,0)</f>
        <v>COMPOSIÇÃO</v>
      </c>
      <c r="D220" s="315" t="str">
        <f>VLOOKUP($B220,[1]BOLETIM_SEL!$A:$H,4,0)</f>
        <v>Assentamento de tubo de PEAD corrugado com parede estruturada para drenagem de águas pluviais, DN/DI 0,75 m; PEAD virgem para rede de drenagem, com encaixei ponta e bolsa – JEI, conforme norma DNIT 094/2014 (não inclui fornecimento) (REF. SINAPI COD. 90746 E 90747)</v>
      </c>
      <c r="E220" s="2"/>
      <c r="F220" s="2" t="str">
        <f>VLOOKUP($B220,[1]BOLETIM_SEL!$A:$H,6,0)</f>
        <v>M</v>
      </c>
      <c r="G220" s="1407">
        <f>VLOOKUP($B220,[1]BOLETIM_SEL!$A:$H,7,0)</f>
        <v>29.1</v>
      </c>
      <c r="H220" s="1606">
        <f ca="1">Dre_Disp_Estruturais!AE40</f>
        <v>0</v>
      </c>
      <c r="I220" s="876">
        <f t="shared" si="59"/>
        <v>35.5</v>
      </c>
      <c r="J220" s="1607">
        <f t="shared" ca="1" si="61"/>
        <v>0</v>
      </c>
      <c r="K220" s="2069">
        <f t="shared" ca="1" si="56"/>
        <v>0</v>
      </c>
      <c r="L220" s="1570">
        <f t="shared" ca="1" si="57"/>
        <v>0</v>
      </c>
      <c r="M220" s="1445"/>
      <c r="N220" s="1644">
        <v>88</v>
      </c>
      <c r="O220" s="1649">
        <f t="shared" ca="1" si="60"/>
        <v>0</v>
      </c>
      <c r="Q220" s="832"/>
      <c r="R220" s="832"/>
      <c r="S220" s="832"/>
      <c r="T220" s="832"/>
      <c r="U220" s="832"/>
      <c r="V220" s="832"/>
      <c r="W220" s="832"/>
      <c r="X220" s="832"/>
    </row>
    <row r="221" spans="1:24" s="812" customFormat="1" ht="50.1" hidden="1" customHeight="1" x14ac:dyDescent="0.15">
      <c r="A221" s="2072">
        <f t="shared" ca="1" si="58"/>
        <v>4.0699999999999985</v>
      </c>
      <c r="B221" s="833">
        <v>94876</v>
      </c>
      <c r="C221" s="2" t="str">
        <f>VLOOKUP($B221,[1]BOLETIM_SEL!$A:$H,2,0)</f>
        <v>SINAPI</v>
      </c>
      <c r="D221" s="315" t="str">
        <f>VLOOKUP($B221,[1]BOLETIM_SEL!$A:$H,4,0)</f>
        <v>Assentamento de tubo de PEAD corrugado com parede estruturada para drenagem de águas pluviais, DN/DI 0,80 m; PEAD virgem para rede de drenagem, com encaixei ponta e bolsa – JEI, conforme norma DNIT 094/2014 (não inclui fornecimento). AF_01/2021</v>
      </c>
      <c r="E221" s="2"/>
      <c r="F221" s="2" t="str">
        <f>VLOOKUP($B221,[1]BOLETIM_SEL!$A:$H,6,0)</f>
        <v>M</v>
      </c>
      <c r="G221" s="1407">
        <f>VLOOKUP($B221,[1]BOLETIM_SEL!$A:$H,7,0)</f>
        <v>30.01</v>
      </c>
      <c r="H221" s="1606">
        <f ca="1">Dre_Disp_Estruturais!AE41</f>
        <v>0</v>
      </c>
      <c r="I221" s="876">
        <f t="shared" si="59"/>
        <v>36.61</v>
      </c>
      <c r="J221" s="1607">
        <f t="shared" ca="1" si="61"/>
        <v>0</v>
      </c>
      <c r="K221" s="2069">
        <f t="shared" ca="1" si="56"/>
        <v>0</v>
      </c>
      <c r="L221" s="1570">
        <f t="shared" ca="1" si="57"/>
        <v>0</v>
      </c>
      <c r="M221" s="1445"/>
      <c r="N221" s="1644">
        <v>85</v>
      </c>
      <c r="O221" s="1649">
        <f t="shared" ca="1" si="60"/>
        <v>0</v>
      </c>
      <c r="Q221" s="832"/>
      <c r="R221" s="832"/>
      <c r="S221" s="832"/>
      <c r="T221" s="832"/>
      <c r="U221" s="832"/>
      <c r="V221" s="832"/>
      <c r="W221" s="832"/>
      <c r="X221" s="832"/>
    </row>
    <row r="222" spans="1:24" s="812" customFormat="1" ht="50.1" hidden="1" customHeight="1" x14ac:dyDescent="0.15">
      <c r="A222" s="2072">
        <f t="shared" ca="1" si="58"/>
        <v>4.0699999999999985</v>
      </c>
      <c r="B222" s="833">
        <v>94878</v>
      </c>
      <c r="C222" s="2" t="str">
        <f>VLOOKUP($B222,[1]BOLETIM_SEL!$A:$H,2,0)</f>
        <v>SINAPI</v>
      </c>
      <c r="D222" s="315" t="str">
        <f>VLOOKUP($B222,[1]BOLETIM_SEL!$A:$H,4,0)</f>
        <v>Assentamento de tubo de PEAD corrugado com parede estruturada para drenagem de águas pluviais, DN/DI 0,90 m; PEAD virgem para rede de drenagem, com encaixei ponta e bolsa – JEI, conforme norma DNIT 094/2014 (não inclui fornecimento). AF_06/2016</v>
      </c>
      <c r="E222" s="2"/>
      <c r="F222" s="2" t="str">
        <f>VLOOKUP($B222,[1]BOLETIM_SEL!$A:$H,6,0)</f>
        <v>M</v>
      </c>
      <c r="G222" s="1407">
        <f>VLOOKUP($B222,[1]BOLETIM_SEL!$A:$H,7,0)</f>
        <v>34.65</v>
      </c>
      <c r="H222" s="1606">
        <f ca="1">Dre_Disp_Estruturais!AE42</f>
        <v>0</v>
      </c>
      <c r="I222" s="876">
        <f t="shared" si="59"/>
        <v>42.27</v>
      </c>
      <c r="J222" s="1607">
        <f t="shared" ca="1" si="61"/>
        <v>0</v>
      </c>
      <c r="K222" s="2069">
        <f t="shared" ca="1" si="56"/>
        <v>0</v>
      </c>
      <c r="L222" s="1570">
        <f t="shared" ca="1" si="57"/>
        <v>0</v>
      </c>
      <c r="M222" s="1445"/>
      <c r="N222" s="1644">
        <v>78</v>
      </c>
      <c r="O222" s="1649">
        <f t="shared" ca="1" si="60"/>
        <v>0</v>
      </c>
      <c r="Q222" s="832"/>
      <c r="R222" s="832"/>
      <c r="S222" s="832"/>
      <c r="T222" s="832"/>
      <c r="U222" s="832"/>
      <c r="V222" s="832"/>
      <c r="W222" s="832"/>
      <c r="X222" s="832"/>
    </row>
    <row r="223" spans="1:24" s="812" customFormat="1" ht="50.1" hidden="1" customHeight="1" x14ac:dyDescent="0.15">
      <c r="A223" s="2072">
        <f t="shared" ca="1" si="58"/>
        <v>4.0699999999999985</v>
      </c>
      <c r="B223" s="833">
        <v>94880</v>
      </c>
      <c r="C223" s="2" t="str">
        <f>VLOOKUP($B223,[1]BOLETIM_SEL!$A:$H,2,0)</f>
        <v>SINAPI</v>
      </c>
      <c r="D223" s="315" t="str">
        <f>VLOOKUP($B223,[1]BOLETIM_SEL!$A:$H,4,0)</f>
        <v>Assentamento de tubo de PEAD corrugado com parede estruturada para drenagem de águas pluviais, DN/DI 1,00 m; PEAD virgem para rede de drenagem, com encaixei ponta e bolsa – JEI, conforme norma DNIT 094/2014 (não inclui fornecimento). AF_06/2016</v>
      </c>
      <c r="E223" s="2"/>
      <c r="F223" s="2" t="str">
        <f>VLOOKUP($B223,[1]BOLETIM_SEL!$A:$H,6,0)</f>
        <v>M</v>
      </c>
      <c r="G223" s="1407">
        <f>VLOOKUP($B223,[1]BOLETIM_SEL!$A:$H,7,0)</f>
        <v>44.94</v>
      </c>
      <c r="H223" s="1606">
        <f ca="1">Dre_Disp_Estruturais!AE43</f>
        <v>0</v>
      </c>
      <c r="I223" s="876">
        <f t="shared" si="59"/>
        <v>54.82</v>
      </c>
      <c r="J223" s="1607">
        <f t="shared" ca="1" si="61"/>
        <v>0</v>
      </c>
      <c r="K223" s="2069">
        <f t="shared" ca="1" si="56"/>
        <v>0</v>
      </c>
      <c r="L223" s="1570">
        <f t="shared" ca="1" si="57"/>
        <v>0</v>
      </c>
      <c r="M223" s="1445"/>
      <c r="N223" s="1644">
        <v>72</v>
      </c>
      <c r="O223" s="1649">
        <f t="shared" ca="1" si="60"/>
        <v>0</v>
      </c>
      <c r="Q223" s="832"/>
      <c r="R223" s="832"/>
      <c r="S223" s="832"/>
      <c r="T223" s="832"/>
      <c r="U223" s="832"/>
      <c r="V223" s="832"/>
      <c r="W223" s="832"/>
      <c r="X223" s="832"/>
    </row>
    <row r="224" spans="1:24" s="812" customFormat="1" ht="50.1" hidden="1" customHeight="1" x14ac:dyDescent="0.15">
      <c r="A224" s="2072">
        <f t="shared" ca="1" si="58"/>
        <v>4.0699999999999985</v>
      </c>
      <c r="B224" s="833">
        <v>94882</v>
      </c>
      <c r="C224" s="2" t="str">
        <f>VLOOKUP($B224,[1]BOLETIM_SEL!$A:$H,2,0)</f>
        <v>SINAPI</v>
      </c>
      <c r="D224" s="315" t="str">
        <f>VLOOKUP($B224,[1]BOLETIM_SEL!$A:$H,4,0)</f>
        <v>Assentamento de tubo de PEAD corrugado com parede estruturada para drenagem de águas pluviais, DN/DI 1,20 m; PEAD virgem para rede de drenagem, com encaixei ponta e bolsa – JEI, conforme norma DNIT 094/2014 (não inclui fornecimento). AF_06/2016</v>
      </c>
      <c r="E224" s="2"/>
      <c r="F224" s="2" t="str">
        <f>VLOOKUP($B224,[1]BOLETIM_SEL!$A:$H,6,0)</f>
        <v>M</v>
      </c>
      <c r="G224" s="1407">
        <f>VLOOKUP($B224,[1]BOLETIM_SEL!$A:$H,7,0)</f>
        <v>52.1</v>
      </c>
      <c r="H224" s="1606">
        <f ca="1">Dre_Disp_Estruturais!AE44</f>
        <v>0</v>
      </c>
      <c r="I224" s="876">
        <f t="shared" si="59"/>
        <v>63.56</v>
      </c>
      <c r="J224" s="1607">
        <f t="shared" ca="1" si="61"/>
        <v>0</v>
      </c>
      <c r="K224" s="2069">
        <f t="shared" ca="1" si="56"/>
        <v>0</v>
      </c>
      <c r="L224" s="1570">
        <f t="shared" ca="1" si="57"/>
        <v>0</v>
      </c>
      <c r="M224" s="1445"/>
      <c r="N224" s="1644">
        <v>68</v>
      </c>
      <c r="O224" s="1649">
        <f t="shared" ca="1" si="60"/>
        <v>0</v>
      </c>
      <c r="Q224" s="832"/>
      <c r="R224" s="832"/>
      <c r="S224" s="832"/>
      <c r="T224" s="832"/>
      <c r="U224" s="832"/>
      <c r="V224" s="832"/>
      <c r="W224" s="832"/>
      <c r="X224" s="832"/>
    </row>
    <row r="225" spans="1:24" s="812" customFormat="1" ht="50.1" hidden="1" customHeight="1" x14ac:dyDescent="0.15">
      <c r="A225" s="2072">
        <f t="shared" ca="1" si="58"/>
        <v>4.0699999999999985</v>
      </c>
      <c r="B225" s="833">
        <v>94884</v>
      </c>
      <c r="C225" s="2" t="str">
        <f>VLOOKUP($B225,[1]BOLETIM_SEL!$A:$H,2,0)</f>
        <v>SINAPI</v>
      </c>
      <c r="D225" s="315" t="str">
        <f>VLOOKUP($B225,[1]BOLETIM_SEL!$A:$H,4,0)</f>
        <v>Assentamento de tubo de PEAD corrugado com parede estruturada para drenagem de águas pluviais, DN/DI 1,50 m; PEAD virgem para rede de drenagem, com encaixei ponta e bolsa – JEI, conforme norma DNIT 094/2014 (não inclui fornecimento). AF_06/2016</v>
      </c>
      <c r="E225" s="2"/>
      <c r="F225" s="2" t="str">
        <f>VLOOKUP($B225,[1]BOLETIM_SEL!$A:$H,6,0)</f>
        <v>M</v>
      </c>
      <c r="G225" s="1407">
        <f>VLOOKUP($B225,[1]BOLETIM_SEL!$A:$H,7,0)</f>
        <v>66.62</v>
      </c>
      <c r="H225" s="1606">
        <f ca="1">Dre_Disp_Estruturais!AE45</f>
        <v>0</v>
      </c>
      <c r="I225" s="876">
        <f t="shared" si="59"/>
        <v>81.27</v>
      </c>
      <c r="J225" s="1607">
        <f t="shared" ca="1" si="61"/>
        <v>0</v>
      </c>
      <c r="K225" s="2069">
        <f t="shared" ca="1" si="56"/>
        <v>0</v>
      </c>
      <c r="L225" s="1570">
        <f t="shared" ca="1" si="57"/>
        <v>0</v>
      </c>
      <c r="M225" s="1445"/>
      <c r="N225" s="1644">
        <v>60</v>
      </c>
      <c r="O225" s="1649">
        <f t="shared" ca="1" si="60"/>
        <v>0</v>
      </c>
      <c r="Q225" s="832"/>
      <c r="R225" s="832"/>
      <c r="S225" s="832"/>
      <c r="T225" s="832"/>
      <c r="U225" s="832"/>
      <c r="V225" s="832"/>
      <c r="W225" s="832"/>
      <c r="X225" s="832"/>
    </row>
    <row r="226" spans="1:24" s="812" customFormat="1" ht="50.1" hidden="1" customHeight="1" x14ac:dyDescent="0.15">
      <c r="A226" s="2072">
        <f t="shared" ca="1" si="58"/>
        <v>4.0699999999999985</v>
      </c>
      <c r="B226" s="2" t="s">
        <v>2414</v>
      </c>
      <c r="C226" s="2" t="str">
        <f>VLOOKUP($B226,[1]BOLETIM_SEL!$A:$H,2,0)</f>
        <v>COMPOSIÇÃO</v>
      </c>
      <c r="D226" s="315" t="str">
        <f>VLOOKUP($B226,[1]BOLETIM_SEL!$A:$H,4,0)</f>
        <v>Assentamento de tubo de PEAD corrugado com parede estruturada para drenagem de águas pluviais, DN/DI 0,40 m; PEAD virgem para rede de drenagem, com encaixei ponta e bolsa – JEI, conforme norma DNIT 094/2014 (não inclui fornecimento) (REF. SINAPI COD. 90746)</v>
      </c>
      <c r="E226" s="2"/>
      <c r="F226" s="2" t="str">
        <f>VLOOKUP($B226,[1]BOLETIM_SEL!$A:$H,6,0)</f>
        <v>M</v>
      </c>
      <c r="G226" s="1407">
        <f>VLOOKUP($B226,[1]BOLETIM_SEL!$A:$H,7,0)</f>
        <v>3.09</v>
      </c>
      <c r="H226" s="1606">
        <f>Dre_Disp_Estruturais!AE46</f>
        <v>0</v>
      </c>
      <c r="I226" s="876">
        <f t="shared" si="59"/>
        <v>3.76</v>
      </c>
      <c r="J226" s="1607">
        <f t="shared" si="50"/>
        <v>0</v>
      </c>
      <c r="K226" s="2069">
        <f t="shared" ca="1" si="56"/>
        <v>0</v>
      </c>
      <c r="L226" s="1570">
        <f t="shared" ca="1" si="57"/>
        <v>0</v>
      </c>
      <c r="M226" s="1445"/>
      <c r="N226" s="1644">
        <v>150</v>
      </c>
      <c r="O226" s="1649">
        <f t="shared" si="60"/>
        <v>0</v>
      </c>
      <c r="Q226" s="832"/>
      <c r="R226" s="832"/>
      <c r="S226" s="832"/>
      <c r="T226" s="832"/>
      <c r="U226" s="832"/>
      <c r="V226" s="832"/>
      <c r="W226" s="832"/>
      <c r="X226" s="832"/>
    </row>
    <row r="227" spans="1:24" s="812" customFormat="1" ht="50.1" hidden="1" customHeight="1" x14ac:dyDescent="0.15">
      <c r="A227" s="2072">
        <f t="shared" ca="1" si="58"/>
        <v>4.0699999999999985</v>
      </c>
      <c r="B227" s="833" t="s">
        <v>1719</v>
      </c>
      <c r="C227" s="2" t="str">
        <f>VLOOKUP($B227,[1]BOLETIM_SEL!$A:$H,2,0)</f>
        <v>COMPOSIÇÃO</v>
      </c>
      <c r="D227" s="315" t="str">
        <f>VLOOKUP($B227,[1]BOLETIM_SEL!$A:$H,4,0)</f>
        <v>Assentamento de tubo de PEAD corrugado com parede estruturada para drenagem de águas pluviais, DN/DI 0,50 m; PEAD virgem para rede de drenagem, com encaixei ponta e bolsa – JEI, conforme norma DNIT 094/2014 (não inclui fornecimento) (REF. SINAPI COD. 90746 E 90747)</v>
      </c>
      <c r="E227" s="2"/>
      <c r="F227" s="2" t="str">
        <f>VLOOKUP($B227,[1]BOLETIM_SEL!$A:$H,6,0)</f>
        <v>M</v>
      </c>
      <c r="G227" s="1407">
        <f>VLOOKUP($B227,[1]BOLETIM_SEL!$A:$H,7,0)</f>
        <v>5.31</v>
      </c>
      <c r="H227" s="1606">
        <f ca="1">Dre_Disp_Estruturais!AE47+Dre_Disp_Estruturais!AE48</f>
        <v>0</v>
      </c>
      <c r="I227" s="876">
        <f t="shared" si="59"/>
        <v>6.47</v>
      </c>
      <c r="J227" s="1607">
        <f t="shared" ref="J227:J241" ca="1" si="62">TRUNC(H227*I227,2)</f>
        <v>0</v>
      </c>
      <c r="K227" s="2069">
        <f t="shared" ca="1" si="56"/>
        <v>0</v>
      </c>
      <c r="L227" s="1570">
        <f t="shared" ca="1" si="57"/>
        <v>0</v>
      </c>
      <c r="M227" s="1445"/>
      <c r="N227" s="1644">
        <v>130</v>
      </c>
      <c r="O227" s="1649">
        <f t="shared" ca="1" si="60"/>
        <v>0</v>
      </c>
      <c r="Q227" s="832"/>
      <c r="R227" s="832"/>
      <c r="S227" s="832"/>
      <c r="T227" s="832"/>
      <c r="U227" s="832"/>
      <c r="V227" s="832"/>
      <c r="W227" s="832"/>
      <c r="X227" s="832"/>
    </row>
    <row r="228" spans="1:24" s="812" customFormat="1" ht="50.1" hidden="1" customHeight="1" x14ac:dyDescent="0.15">
      <c r="A228" s="2072">
        <f t="shared" ca="1" si="58"/>
        <v>4.0699999999999985</v>
      </c>
      <c r="B228" s="833">
        <v>90747</v>
      </c>
      <c r="C228" s="2" t="str">
        <f>VLOOKUP($B228,[1]BOLETIM_SEL!$A:$H,2,0)</f>
        <v>SINAPI</v>
      </c>
      <c r="D228" s="315" t="str">
        <f>VLOOKUP($B228,[1]BOLETIM_SEL!$A:$H,4,0)</f>
        <v>Assentamento de tubo de PEAD corrugado com parede estruturada para drenagem de águas pluviais, DN/DI 0,60 m; PEAD virgem para rede de drenagem, com encaixei ponta e bolsa – JEI, conforme norma DNIT 094/2014 (não inclui fornecimento). AF_01/2021</v>
      </c>
      <c r="E228" s="2"/>
      <c r="F228" s="2" t="str">
        <f>VLOOKUP($B228,[1]BOLETIM_SEL!$A:$H,6,0)</f>
        <v>M</v>
      </c>
      <c r="G228" s="1407">
        <f>VLOOKUP($B228,[1]BOLETIM_SEL!$A:$H,7,0)</f>
        <v>17.68</v>
      </c>
      <c r="H228" s="1606">
        <f ca="1">Dre_Disp_Estruturais!AE49</f>
        <v>0</v>
      </c>
      <c r="I228" s="876">
        <f t="shared" si="59"/>
        <v>21.56</v>
      </c>
      <c r="J228" s="1607">
        <f t="shared" ca="1" si="62"/>
        <v>0</v>
      </c>
      <c r="K228" s="2069">
        <f t="shared" ca="1" si="56"/>
        <v>0</v>
      </c>
      <c r="L228" s="1570">
        <f t="shared" ca="1" si="57"/>
        <v>0</v>
      </c>
      <c r="M228" s="1445"/>
      <c r="N228" s="1644">
        <v>102</v>
      </c>
      <c r="O228" s="1649">
        <f t="shared" ca="1" si="60"/>
        <v>0</v>
      </c>
      <c r="Q228" s="832"/>
      <c r="R228" s="832"/>
      <c r="S228" s="832"/>
      <c r="T228" s="832"/>
      <c r="U228" s="832"/>
      <c r="V228" s="832"/>
      <c r="W228" s="832"/>
      <c r="X228" s="832"/>
    </row>
    <row r="229" spans="1:24" s="812" customFormat="1" ht="50.1" hidden="1" customHeight="1" x14ac:dyDescent="0.15">
      <c r="A229" s="2072">
        <f t="shared" ca="1" si="58"/>
        <v>4.0699999999999985</v>
      </c>
      <c r="B229" s="833">
        <v>94876</v>
      </c>
      <c r="C229" s="2" t="str">
        <f>VLOOKUP($B229,[1]BOLETIM_SEL!$A:$H,2,0)</f>
        <v>SINAPI</v>
      </c>
      <c r="D229" s="315" t="str">
        <f>VLOOKUP($B229,[1]BOLETIM_SEL!$A:$H,4,0)</f>
        <v>Assentamento de tubo de PEAD corrugado com parede estruturada para drenagem de águas pluviais, DN/DI 0,80 m; PEAD virgem para rede de drenagem, com encaixei ponta e bolsa – JEI, conforme norma DNIT 094/2014 (não inclui fornecimento). AF_01/2021</v>
      </c>
      <c r="E229" s="2"/>
      <c r="F229" s="2" t="str">
        <f>VLOOKUP($B229,[1]BOLETIM_SEL!$A:$H,6,0)</f>
        <v>M</v>
      </c>
      <c r="G229" s="1407">
        <f>VLOOKUP($B229,[1]BOLETIM_SEL!$A:$H,7,0)</f>
        <v>30.01</v>
      </c>
      <c r="H229" s="1606">
        <f ca="1">Dre_Disp_Estruturais!AE50</f>
        <v>0</v>
      </c>
      <c r="I229" s="876">
        <f t="shared" si="59"/>
        <v>36.61</v>
      </c>
      <c r="J229" s="1607">
        <f t="shared" ca="1" si="62"/>
        <v>0</v>
      </c>
      <c r="K229" s="2069">
        <f t="shared" ca="1" si="56"/>
        <v>0</v>
      </c>
      <c r="L229" s="1570">
        <f t="shared" ca="1" si="57"/>
        <v>0</v>
      </c>
      <c r="M229" s="1445"/>
      <c r="N229" s="1644">
        <v>85</v>
      </c>
      <c r="O229" s="1649">
        <f t="shared" ca="1" si="60"/>
        <v>0</v>
      </c>
      <c r="Q229" s="832"/>
      <c r="R229" s="832"/>
      <c r="S229" s="832"/>
      <c r="T229" s="832"/>
      <c r="U229" s="832"/>
      <c r="V229" s="832"/>
      <c r="W229" s="832"/>
      <c r="X229" s="832"/>
    </row>
    <row r="230" spans="1:24" s="812" customFormat="1" ht="50.1" hidden="1" customHeight="1" x14ac:dyDescent="0.15">
      <c r="A230" s="2072">
        <f t="shared" ca="1" si="58"/>
        <v>4.0699999999999985</v>
      </c>
      <c r="B230" s="833" t="s">
        <v>1720</v>
      </c>
      <c r="C230" s="2" t="str">
        <f>VLOOKUP($B230,[1]BOLETIM_SEL!$A:$H,2,0)</f>
        <v>COMPOSIÇÃO</v>
      </c>
      <c r="D230" s="315" t="str">
        <f>VLOOKUP($B230,[1]BOLETIM_SEL!$A:$H,4,0)</f>
        <v>Assentamento de tubo de PEAD corrugado com parede estruturada para drenagem de águas pluviais, DN/DI 0,75 m; PEAD virgem para rede de drenagem, com encaixei ponta e bolsa – JEI, conforme norma DNIT 094/2014 (não inclui fornecimento) (REF. SINAPI COD. 90746 E 90747)</v>
      </c>
      <c r="E230" s="2"/>
      <c r="F230" s="2" t="str">
        <f>VLOOKUP($B230,[1]BOLETIM_SEL!$A:$H,6,0)</f>
        <v>M</v>
      </c>
      <c r="G230" s="1407">
        <f>VLOOKUP($B230,[1]BOLETIM_SEL!$A:$H,7,0)</f>
        <v>29.1</v>
      </c>
      <c r="H230" s="1606">
        <f ca="1">Dre_Disp_Estruturais!AE51</f>
        <v>0</v>
      </c>
      <c r="I230" s="876">
        <f t="shared" si="59"/>
        <v>35.5</v>
      </c>
      <c r="J230" s="1607">
        <f t="shared" ca="1" si="62"/>
        <v>0</v>
      </c>
      <c r="K230" s="2069">
        <f t="shared" ca="1" si="56"/>
        <v>0</v>
      </c>
      <c r="L230" s="1570">
        <f t="shared" ca="1" si="57"/>
        <v>0</v>
      </c>
      <c r="M230" s="1445"/>
      <c r="N230" s="1644">
        <v>88</v>
      </c>
      <c r="O230" s="1649">
        <f t="shared" ca="1" si="60"/>
        <v>0</v>
      </c>
      <c r="Q230" s="832"/>
      <c r="R230" s="832"/>
      <c r="S230" s="832"/>
      <c r="T230" s="832"/>
      <c r="U230" s="832"/>
      <c r="V230" s="832"/>
      <c r="W230" s="832"/>
      <c r="X230" s="832"/>
    </row>
    <row r="231" spans="1:24" s="812" customFormat="1" ht="50.1" hidden="1" customHeight="1" x14ac:dyDescent="0.15">
      <c r="A231" s="2072">
        <f t="shared" ca="1" si="58"/>
        <v>4.0699999999999985</v>
      </c>
      <c r="B231" s="833">
        <v>94878</v>
      </c>
      <c r="C231" s="2" t="str">
        <f>VLOOKUP($B231,[1]BOLETIM_SEL!$A:$H,2,0)</f>
        <v>SINAPI</v>
      </c>
      <c r="D231" s="315" t="str">
        <f>VLOOKUP($B231,[1]BOLETIM_SEL!$A:$H,4,0)</f>
        <v>Assentamento de tubo de PEAD corrugado com parede estruturada para drenagem de águas pluviais, DN/DI 0,90 m; PEAD virgem para rede de drenagem, com encaixei ponta e bolsa – JEI, conforme norma DNIT 094/2014 (não inclui fornecimento). AF_06/2016</v>
      </c>
      <c r="E231" s="2"/>
      <c r="F231" s="2" t="str">
        <f>VLOOKUP($B231,[1]BOLETIM_SEL!$A:$H,6,0)</f>
        <v>M</v>
      </c>
      <c r="G231" s="1407">
        <f>VLOOKUP($B231,[1]BOLETIM_SEL!$A:$H,7,0)</f>
        <v>34.65</v>
      </c>
      <c r="H231" s="1606">
        <f ca="1">Dre_Disp_Estruturais!AE52</f>
        <v>0</v>
      </c>
      <c r="I231" s="876">
        <f t="shared" si="59"/>
        <v>42.27</v>
      </c>
      <c r="J231" s="1607">
        <f t="shared" ca="1" si="62"/>
        <v>0</v>
      </c>
      <c r="K231" s="2069">
        <f t="shared" ca="1" si="56"/>
        <v>0</v>
      </c>
      <c r="L231" s="1570">
        <f t="shared" ca="1" si="57"/>
        <v>0</v>
      </c>
      <c r="M231" s="1445"/>
      <c r="N231" s="1644">
        <v>78</v>
      </c>
      <c r="O231" s="1649">
        <f t="shared" ca="1" si="60"/>
        <v>0</v>
      </c>
      <c r="Q231" s="832"/>
      <c r="R231" s="832"/>
      <c r="S231" s="832"/>
      <c r="T231" s="832"/>
      <c r="U231" s="832"/>
      <c r="V231" s="832"/>
      <c r="W231" s="832"/>
      <c r="X231" s="832"/>
    </row>
    <row r="232" spans="1:24" s="812" customFormat="1" ht="50.1" hidden="1" customHeight="1" x14ac:dyDescent="0.15">
      <c r="A232" s="2072">
        <f t="shared" ca="1" si="58"/>
        <v>4.0699999999999985</v>
      </c>
      <c r="B232" s="833">
        <v>94880</v>
      </c>
      <c r="C232" s="2" t="str">
        <f>VLOOKUP($B232,[1]BOLETIM_SEL!$A:$H,2,0)</f>
        <v>SINAPI</v>
      </c>
      <c r="D232" s="315" t="str">
        <f>VLOOKUP($B232,[1]BOLETIM_SEL!$A:$H,4,0)</f>
        <v>Assentamento de tubo de PEAD corrugado com parede estruturada para drenagem de águas pluviais, DN/DI 1,00 m; PEAD virgem para rede de drenagem, com encaixei ponta e bolsa – JEI, conforme norma DNIT 094/2014 (não inclui fornecimento). AF_06/2016</v>
      </c>
      <c r="E232" s="2"/>
      <c r="F232" s="2" t="str">
        <f>VLOOKUP($B232,[1]BOLETIM_SEL!$A:$H,6,0)</f>
        <v>M</v>
      </c>
      <c r="G232" s="1407">
        <f>VLOOKUP($B232,[1]BOLETIM_SEL!$A:$H,7,0)</f>
        <v>44.94</v>
      </c>
      <c r="H232" s="1606">
        <f ca="1">Dre_Disp_Estruturais!AE53</f>
        <v>0</v>
      </c>
      <c r="I232" s="876">
        <f t="shared" si="59"/>
        <v>54.82</v>
      </c>
      <c r="J232" s="1607">
        <f t="shared" ca="1" si="62"/>
        <v>0</v>
      </c>
      <c r="K232" s="2069">
        <f t="shared" ca="1" si="56"/>
        <v>0</v>
      </c>
      <c r="L232" s="1570">
        <f t="shared" ca="1" si="57"/>
        <v>0</v>
      </c>
      <c r="M232" s="1445"/>
      <c r="N232" s="1644">
        <v>72</v>
      </c>
      <c r="O232" s="1649">
        <f t="shared" ca="1" si="60"/>
        <v>0</v>
      </c>
      <c r="Q232" s="832"/>
      <c r="R232" s="832"/>
      <c r="S232" s="832"/>
      <c r="T232" s="832"/>
      <c r="U232" s="832"/>
      <c r="V232" s="832"/>
      <c r="W232" s="832"/>
      <c r="X232" s="832"/>
    </row>
    <row r="233" spans="1:24" s="812" customFormat="1" ht="50.1" hidden="1" customHeight="1" x14ac:dyDescent="0.15">
      <c r="A233" s="2072">
        <f t="shared" ca="1" si="58"/>
        <v>4.0699999999999985</v>
      </c>
      <c r="B233" s="833">
        <v>94882</v>
      </c>
      <c r="C233" s="2" t="str">
        <f>VLOOKUP($B233,[1]BOLETIM_SEL!$A:$H,2,0)</f>
        <v>SINAPI</v>
      </c>
      <c r="D233" s="315" t="str">
        <f>VLOOKUP($B233,[1]BOLETIM_SEL!$A:$H,4,0)</f>
        <v>Assentamento de tubo de PEAD corrugado com parede estruturada para drenagem de águas pluviais, DN/DI 1,20 m; PEAD virgem para rede de drenagem, com encaixei ponta e bolsa – JEI, conforme norma DNIT 094/2014 (não inclui fornecimento). AF_06/2016</v>
      </c>
      <c r="E233" s="2"/>
      <c r="F233" s="2" t="str">
        <f>VLOOKUP($B233,[1]BOLETIM_SEL!$A:$H,6,0)</f>
        <v>M</v>
      </c>
      <c r="G233" s="1407">
        <f>VLOOKUP($B233,[1]BOLETIM_SEL!$A:$H,7,0)</f>
        <v>52.1</v>
      </c>
      <c r="H233" s="1606">
        <f ca="1">Dre_Disp_Estruturais!AE54</f>
        <v>0</v>
      </c>
      <c r="I233" s="876">
        <f t="shared" si="59"/>
        <v>63.56</v>
      </c>
      <c r="J233" s="1607">
        <f t="shared" ca="1" si="62"/>
        <v>0</v>
      </c>
      <c r="K233" s="2069">
        <f t="shared" ca="1" si="56"/>
        <v>0</v>
      </c>
      <c r="L233" s="1570">
        <f t="shared" ca="1" si="57"/>
        <v>0</v>
      </c>
      <c r="M233" s="1445"/>
      <c r="N233" s="1644">
        <v>68</v>
      </c>
      <c r="O233" s="1649">
        <f t="shared" ca="1" si="60"/>
        <v>0</v>
      </c>
      <c r="Q233" s="832"/>
      <c r="R233" s="832"/>
      <c r="S233" s="832"/>
      <c r="T233" s="832"/>
      <c r="U233" s="832"/>
      <c r="V233" s="832"/>
      <c r="W233" s="832"/>
      <c r="X233" s="832"/>
    </row>
    <row r="234" spans="1:24" s="812" customFormat="1" ht="50.1" hidden="1" customHeight="1" x14ac:dyDescent="0.15">
      <c r="A234" s="2072">
        <f t="shared" ca="1" si="58"/>
        <v>4.0699999999999985</v>
      </c>
      <c r="B234" s="833">
        <v>94884</v>
      </c>
      <c r="C234" s="2" t="str">
        <f>VLOOKUP($B234,[1]BOLETIM_SEL!$A:$H,2,0)</f>
        <v>SINAPI</v>
      </c>
      <c r="D234" s="315" t="str">
        <f>VLOOKUP($B234,[1]BOLETIM_SEL!$A:$H,4,0)</f>
        <v>Assentamento de tubo de PEAD corrugado com parede estruturada para drenagem de águas pluviais, DN/DI 1,50 m; PEAD virgem para rede de drenagem, com encaixei ponta e bolsa – JEI, conforme norma DNIT 094/2014 (não inclui fornecimento). AF_06/2016</v>
      </c>
      <c r="E234" s="2"/>
      <c r="F234" s="2" t="str">
        <f>VLOOKUP($B234,[1]BOLETIM_SEL!$A:$H,6,0)</f>
        <v>M</v>
      </c>
      <c r="G234" s="1407">
        <f>VLOOKUP($B234,[1]BOLETIM_SEL!$A:$H,7,0)</f>
        <v>66.62</v>
      </c>
      <c r="H234" s="1606">
        <f ca="1">Dre_Disp_Estruturais!AE55</f>
        <v>0</v>
      </c>
      <c r="I234" s="876">
        <f t="shared" si="59"/>
        <v>81.27</v>
      </c>
      <c r="J234" s="1607">
        <f t="shared" ca="1" si="62"/>
        <v>0</v>
      </c>
      <c r="K234" s="2069">
        <f t="shared" ca="1" si="56"/>
        <v>0</v>
      </c>
      <c r="L234" s="1570">
        <f t="shared" ca="1" si="57"/>
        <v>0</v>
      </c>
      <c r="M234" s="1445"/>
      <c r="N234" s="1644">
        <v>60</v>
      </c>
      <c r="O234" s="1649">
        <f t="shared" ca="1" si="60"/>
        <v>0</v>
      </c>
      <c r="Q234" s="832"/>
      <c r="R234" s="832"/>
      <c r="S234" s="832"/>
      <c r="T234" s="832"/>
      <c r="U234" s="832"/>
      <c r="V234" s="832"/>
      <c r="W234" s="832"/>
      <c r="X234" s="832"/>
    </row>
    <row r="235" spans="1:24" s="812" customFormat="1" ht="39.950000000000003" hidden="1" customHeight="1" x14ac:dyDescent="0.15">
      <c r="A235" s="2072">
        <f t="shared" ca="1" si="58"/>
        <v>4.0699999999999985</v>
      </c>
      <c r="B235" s="2" t="s">
        <v>2616</v>
      </c>
      <c r="C235" s="2" t="str">
        <f>VLOOKUP($B235,[1]BOLETIM_SEL!$A:$H,2,0)</f>
        <v>COMPOSIÇÃO</v>
      </c>
      <c r="D235" s="315" t="str">
        <f>VLOOKUP($B235,[1]BOLETIM_SEL!$A:$H,4,0)</f>
        <v>Galeria celular em aduela pré-moldada em concreto armado, 1,50m x 1,50m (2950kg/m), assentamento e rejuntamento. Exclusive aquisição e transporte.</v>
      </c>
      <c r="E235" s="2"/>
      <c r="F235" s="2" t="str">
        <f>VLOOKUP($B235,[1]BOLETIM_SEL!$A:$H,6,0)</f>
        <v>M</v>
      </c>
      <c r="G235" s="1407">
        <f>VLOOKUP($B235,[1]BOLETIM_SEL!$A:$H,7,0)</f>
        <v>114.16</v>
      </c>
      <c r="H235" s="1606">
        <f ca="1">Dre_Disp_Estruturais!AE56</f>
        <v>0</v>
      </c>
      <c r="I235" s="876">
        <f t="shared" si="59"/>
        <v>139.27000000000001</v>
      </c>
      <c r="J235" s="1607">
        <f t="shared" ca="1" si="62"/>
        <v>0</v>
      </c>
      <c r="K235" s="2069">
        <f t="shared" ca="1" si="56"/>
        <v>0</v>
      </c>
      <c r="L235" s="1570">
        <f t="shared" ca="1" si="57"/>
        <v>0</v>
      </c>
      <c r="M235" s="1445"/>
      <c r="N235" s="1644">
        <f>VLOOKUP($B235,[1]BOLETIM_SEL!$A:$H,5,0)</f>
        <v>3.32</v>
      </c>
      <c r="O235" s="1649">
        <f t="shared" ca="1" si="60"/>
        <v>0</v>
      </c>
      <c r="Q235" s="832"/>
      <c r="R235" s="832"/>
      <c r="S235" s="832"/>
      <c r="T235" s="832"/>
      <c r="U235" s="832"/>
      <c r="V235" s="832"/>
      <c r="W235" s="832"/>
      <c r="X235" s="832"/>
    </row>
    <row r="236" spans="1:24" s="812" customFormat="1" ht="39.950000000000003" hidden="1" customHeight="1" x14ac:dyDescent="0.15">
      <c r="A236" s="2072">
        <f t="shared" ca="1" si="58"/>
        <v>4.0699999999999985</v>
      </c>
      <c r="B236" s="2">
        <v>37476</v>
      </c>
      <c r="C236" s="2" t="str">
        <f>VLOOKUP($B236,[1]BOLETIM_SEL!$A:$H,2,0)</f>
        <v>SINAPI</v>
      </c>
      <c r="D236" s="315" t="str">
        <f>VLOOKUP($B236,[1]BOLETIM_SEL!$A:$H,4,0)</f>
        <v xml:space="preserve">Aduela/ galeria pre-moldada de concreto armado, secao quadrada interna de 1,50 x 1,50 m (l x a), misula de 20 x 20 cm, c = 1,00 m, espessura min = 15 cm, tb-45 e FCK do concreto = 30 MPA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E236" s="2"/>
      <c r="F236" s="2" t="str">
        <f>VLOOKUP($B236,[1]BOLETIM_SEL!$A:$H,6,0)</f>
        <v xml:space="preserve">UN    </v>
      </c>
      <c r="G236" s="1407">
        <f>VLOOKUP($B236,[1]BOLETIM_SEL!$A:$H,7,0)</f>
        <v>4109.74</v>
      </c>
      <c r="H236" s="1606">
        <f ca="1">H235</f>
        <v>0</v>
      </c>
      <c r="I236" s="876">
        <f t="shared" ref="I236" si="63">TRUNC(G236*(1+$J$5),2)</f>
        <v>5013.88</v>
      </c>
      <c r="J236" s="1607">
        <f t="shared" ref="J236" ca="1" si="64">TRUNC(H236*I236,2)</f>
        <v>0</v>
      </c>
      <c r="K236" s="2069">
        <f t="shared" ca="1" si="56"/>
        <v>0</v>
      </c>
      <c r="L236" s="1570">
        <f t="shared" ref="L236" ca="1" si="65">J236/J$183</f>
        <v>0</v>
      </c>
      <c r="M236" s="1445"/>
      <c r="N236" s="1644">
        <v>3.32</v>
      </c>
      <c r="O236" s="1649">
        <f t="shared" ca="1" si="60"/>
        <v>0</v>
      </c>
      <c r="Q236" s="832"/>
      <c r="R236" s="832"/>
      <c r="S236" s="832"/>
      <c r="T236" s="832"/>
      <c r="U236" s="832"/>
      <c r="V236" s="832"/>
      <c r="W236" s="832"/>
      <c r="X236" s="832"/>
    </row>
    <row r="237" spans="1:24" s="812" customFormat="1" ht="39.950000000000003" hidden="1" customHeight="1" x14ac:dyDescent="0.15">
      <c r="A237" s="2072">
        <f t="shared" ca="1" si="58"/>
        <v>4.0699999999999985</v>
      </c>
      <c r="B237" s="2" t="s">
        <v>2617</v>
      </c>
      <c r="C237" s="2" t="str">
        <f>VLOOKUP($B237,[1]BOLETIM_SEL!$A:$H,2,0)</f>
        <v>COMPOSIÇÃO</v>
      </c>
      <c r="D237" s="315" t="str">
        <f>VLOOKUP($B237,[1]BOLETIM_SEL!$A:$H,4,0)</f>
        <v>Galeria celular em aduela pré-moldada em concreto armado, 2,00m x 2,00m (4080kg/m), assentamento e rejuntamento. Exclusive aquisição e transporte.</v>
      </c>
      <c r="E237" s="2"/>
      <c r="F237" s="2" t="str">
        <f>VLOOKUP($B237,[1]BOLETIM_SEL!$A:$H,6,0)</f>
        <v>M</v>
      </c>
      <c r="G237" s="1407">
        <f>VLOOKUP($B237,[1]BOLETIM_SEL!$A:$H,7,0)</f>
        <v>151.66999999999999</v>
      </c>
      <c r="H237" s="1606">
        <f ca="1">Dre_Disp_Estruturais!AE57</f>
        <v>0</v>
      </c>
      <c r="I237" s="876">
        <f t="shared" si="59"/>
        <v>185.03</v>
      </c>
      <c r="J237" s="1607">
        <f t="shared" ca="1" si="62"/>
        <v>0</v>
      </c>
      <c r="K237" s="2069">
        <f t="shared" ca="1" si="56"/>
        <v>0</v>
      </c>
      <c r="L237" s="1570">
        <f t="shared" ca="1" si="57"/>
        <v>0</v>
      </c>
      <c r="M237" s="1445"/>
      <c r="N237" s="1644">
        <f>VLOOKUP($B237,[1]BOLETIM_SEL!$A:$H,5,0)</f>
        <v>2.85</v>
      </c>
      <c r="O237" s="1649">
        <f t="shared" ca="1" si="60"/>
        <v>0</v>
      </c>
      <c r="Q237" s="832"/>
      <c r="R237" s="832"/>
      <c r="S237" s="832"/>
      <c r="T237" s="832"/>
      <c r="U237" s="832"/>
      <c r="V237" s="832"/>
      <c r="W237" s="832"/>
      <c r="X237" s="832"/>
    </row>
    <row r="238" spans="1:24" s="812" customFormat="1" ht="39.950000000000003" hidden="1" customHeight="1" x14ac:dyDescent="0.15">
      <c r="A238" s="2072">
        <f t="shared" ca="1" si="58"/>
        <v>4.0699999999999985</v>
      </c>
      <c r="B238" s="2">
        <v>37478</v>
      </c>
      <c r="C238" s="2" t="str">
        <f>VLOOKUP($B238,[1]BOLETIM_SEL!$A:$H,2,0)</f>
        <v>SINAPI</v>
      </c>
      <c r="D238" s="315" t="str">
        <f>VLOOKUP($B238,[1]BOLETIM_SEL!$A:$H,4,0)</f>
        <v xml:space="preserve">Aduela/ galeria pre-moldada de concreto armado, secao retangular interna de 2,00 x 2,00 m (l x a), misula de 20 x 20 cm, c = 1,00 m, espessura min = 15 cm, tb-45 e FCK do concreto = 30 MPA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E238" s="2"/>
      <c r="F238" s="2" t="str">
        <f>VLOOKUP($B238,[1]BOLETIM_SEL!$A:$H,6,0)</f>
        <v xml:space="preserve">UN    </v>
      </c>
      <c r="G238" s="1407">
        <f>VLOOKUP($B238,[1]BOLETIM_SEL!$A:$H,7,0)</f>
        <v>5147.5600000000004</v>
      </c>
      <c r="H238" s="1606">
        <f ca="1">H237</f>
        <v>0</v>
      </c>
      <c r="I238" s="876">
        <f t="shared" ref="I238" si="66">TRUNC(G238*(1+$J$5),2)</f>
        <v>6280.02</v>
      </c>
      <c r="J238" s="1607">
        <f t="shared" ref="J238" ca="1" si="67">TRUNC(H238*I238,2)</f>
        <v>0</v>
      </c>
      <c r="K238" s="2069">
        <f t="shared" ca="1" si="56"/>
        <v>0</v>
      </c>
      <c r="L238" s="1570">
        <f t="shared" ref="L238" ca="1" si="68">J238/J$183</f>
        <v>0</v>
      </c>
      <c r="M238" s="1445"/>
      <c r="N238" s="1644">
        <v>2.85</v>
      </c>
      <c r="O238" s="1649">
        <f t="shared" ca="1" si="60"/>
        <v>0</v>
      </c>
      <c r="Q238" s="832"/>
      <c r="R238" s="832"/>
      <c r="S238" s="832"/>
      <c r="T238" s="832"/>
      <c r="U238" s="832"/>
      <c r="V238" s="832"/>
      <c r="W238" s="832"/>
      <c r="X238" s="832"/>
    </row>
    <row r="239" spans="1:24" s="812" customFormat="1" ht="39.950000000000003" hidden="1" customHeight="1" x14ac:dyDescent="0.15">
      <c r="A239" s="2072">
        <f t="shared" ca="1" si="58"/>
        <v>4.0699999999999985</v>
      </c>
      <c r="B239" s="2" t="s">
        <v>2618</v>
      </c>
      <c r="C239" s="2" t="str">
        <f>VLOOKUP($B239,[1]BOLETIM_SEL!$A:$H,2,0)</f>
        <v>COMPOSIÇÃO</v>
      </c>
      <c r="D239" s="315" t="str">
        <f>VLOOKUP($B239,[1]BOLETIM_SEL!$A:$H,4,0)</f>
        <v>Galeria celular em aduela pré-moldada em concreto armado, 2,50m x 2,50m (5000kg/m), assentamento e rejuntamento. Exclusive aquisição e transporte.</v>
      </c>
      <c r="E239" s="2"/>
      <c r="F239" s="2" t="str">
        <f>VLOOKUP($B239,[1]BOLETIM_SEL!$A:$H,6,0)</f>
        <v>M</v>
      </c>
      <c r="G239" s="1407">
        <f>VLOOKUP($B239,[1]BOLETIM_SEL!$A:$H,7,0)</f>
        <v>226.59</v>
      </c>
      <c r="H239" s="1606">
        <f ca="1">Dre_Disp_Estruturais!AE58</f>
        <v>0</v>
      </c>
      <c r="I239" s="876">
        <f t="shared" si="59"/>
        <v>276.43</v>
      </c>
      <c r="J239" s="1607">
        <f t="shared" ca="1" si="62"/>
        <v>0</v>
      </c>
      <c r="K239" s="2069">
        <f t="shared" ca="1" si="56"/>
        <v>0</v>
      </c>
      <c r="L239" s="1570">
        <f t="shared" ca="1" si="57"/>
        <v>0</v>
      </c>
      <c r="M239" s="1445"/>
      <c r="N239" s="1644">
        <f>VLOOKUP($B239,[1]BOLETIM_SEL!$A:$H,5,0)</f>
        <v>2.4900000000000002</v>
      </c>
      <c r="O239" s="1649">
        <f t="shared" ca="1" si="60"/>
        <v>0</v>
      </c>
      <c r="Q239" s="832"/>
      <c r="R239" s="832"/>
      <c r="S239" s="832"/>
      <c r="T239" s="832"/>
      <c r="U239" s="832"/>
      <c r="V239" s="832"/>
      <c r="W239" s="832"/>
      <c r="X239" s="832"/>
    </row>
    <row r="240" spans="1:24" s="812" customFormat="1" ht="39.950000000000003" hidden="1" customHeight="1" x14ac:dyDescent="0.15">
      <c r="A240" s="2072">
        <f t="shared" ca="1" si="58"/>
        <v>4.0699999999999985</v>
      </c>
      <c r="B240" s="2">
        <v>37477</v>
      </c>
      <c r="C240" s="2" t="str">
        <f>VLOOKUP($B240,[1]BOLETIM_SEL!$A:$H,2,0)</f>
        <v>SINAPI</v>
      </c>
      <c r="D240" s="315" t="str">
        <f>VLOOKUP($B240,[1]BOLETIM_SEL!$A:$H,4,0)</f>
        <v xml:space="preserve">Aduela/ galeria pre-moldada de concreto armado, secao retangular interna de 2,50 x 2,50 m (l x a), misula de 20 x 20 cm, c = 1,00 m, espessura min = 15 cm, tb-45 e FCK do concreto = 30 MPA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E240" s="2"/>
      <c r="F240" s="2" t="str">
        <f>VLOOKUP($B240,[1]BOLETIM_SEL!$A:$H,6,0)</f>
        <v xml:space="preserve">UN    </v>
      </c>
      <c r="G240" s="1407">
        <f>VLOOKUP($B240,[1]BOLETIM_SEL!$A:$H,7,0)</f>
        <v>6974.11</v>
      </c>
      <c r="H240" s="1606">
        <f ca="1">H239</f>
        <v>0</v>
      </c>
      <c r="I240" s="876">
        <f t="shared" ref="I240" si="69">TRUNC(G240*(1+$J$5),2)</f>
        <v>8508.41</v>
      </c>
      <c r="J240" s="1607">
        <f t="shared" ref="J240" ca="1" si="70">TRUNC(H240*I240,2)</f>
        <v>0</v>
      </c>
      <c r="K240" s="2069">
        <f t="shared" ca="1" si="56"/>
        <v>0</v>
      </c>
      <c r="L240" s="1570">
        <f t="shared" ref="L240" ca="1" si="71">J240/J$183</f>
        <v>0</v>
      </c>
      <c r="M240" s="1445"/>
      <c r="N240" s="1644">
        <v>2.4900000000000002</v>
      </c>
      <c r="O240" s="1649">
        <f t="shared" ca="1" si="60"/>
        <v>0</v>
      </c>
      <c r="Q240" s="832"/>
      <c r="R240" s="832"/>
      <c r="S240" s="832"/>
      <c r="T240" s="832"/>
      <c r="U240" s="832"/>
      <c r="V240" s="832"/>
      <c r="W240" s="832"/>
      <c r="X240" s="832"/>
    </row>
    <row r="241" spans="1:24" s="812" customFormat="1" ht="39.950000000000003" hidden="1" customHeight="1" x14ac:dyDescent="0.15">
      <c r="A241" s="2072">
        <f t="shared" ca="1" si="58"/>
        <v>4.0699999999999985</v>
      </c>
      <c r="B241" s="2" t="s">
        <v>2619</v>
      </c>
      <c r="C241" s="2" t="str">
        <f>VLOOKUP($B241,[1]BOLETIM_SEL!$A:$H,2,0)</f>
        <v>COMPOSIÇÃO</v>
      </c>
      <c r="D241" s="315" t="str">
        <f>VLOOKUP($B241,[1]BOLETIM_SEL!$A:$H,4,0)</f>
        <v>Galeria celular em aduela pré-moldada em concreto armado, 3,00m x 3,00m (6700kg/m), assentamento e rejuntamento. Exclusive aquisição e transporte.</v>
      </c>
      <c r="E241" s="2"/>
      <c r="F241" s="2" t="str">
        <f>VLOOKUP($B241,[1]BOLETIM_SEL!$A:$H,6,0)</f>
        <v>M</v>
      </c>
      <c r="G241" s="1407">
        <f>VLOOKUP($B241,[1]BOLETIM_SEL!$A:$H,7,0)</f>
        <v>303.41000000000003</v>
      </c>
      <c r="H241" s="1606">
        <f ca="1">Dre_Disp_Estruturais!AE59</f>
        <v>0</v>
      </c>
      <c r="I241" s="876">
        <f t="shared" si="59"/>
        <v>370.16</v>
      </c>
      <c r="J241" s="1607">
        <f t="shared" ca="1" si="62"/>
        <v>0</v>
      </c>
      <c r="K241" s="2069">
        <f t="shared" ca="1" si="56"/>
        <v>0</v>
      </c>
      <c r="L241" s="1570">
        <f t="shared" ca="1" si="57"/>
        <v>0</v>
      </c>
      <c r="M241" s="1445"/>
      <c r="N241" s="1644">
        <f>VLOOKUP($B241,[1]BOLETIM_SEL!$A:$H,5,0)</f>
        <v>1.99</v>
      </c>
      <c r="O241" s="1649">
        <f t="shared" ca="1" si="60"/>
        <v>0</v>
      </c>
      <c r="Q241" s="832"/>
      <c r="R241" s="832"/>
      <c r="S241" s="832"/>
      <c r="T241" s="832"/>
      <c r="U241" s="832"/>
      <c r="V241" s="832"/>
      <c r="W241" s="832"/>
      <c r="X241" s="832"/>
    </row>
    <row r="242" spans="1:24" s="812" customFormat="1" ht="39.950000000000003" hidden="1" customHeight="1" x14ac:dyDescent="0.15">
      <c r="A242" s="2072">
        <f t="shared" ca="1" si="58"/>
        <v>4.0699999999999985</v>
      </c>
      <c r="B242" s="2">
        <v>37479</v>
      </c>
      <c r="C242" s="2" t="str">
        <f>VLOOKUP($B242,[1]BOLETIM_SEL!$A:$H,2,0)</f>
        <v>SINAPI</v>
      </c>
      <c r="D242" s="315" t="str">
        <f>VLOOKUP($B242,[1]BOLETIM_SEL!$A:$H,4,0)</f>
        <v xml:space="preserve">Aduela/ galeria pre-moldada de concreto armado, secao retangular interna de 3,00 x 3,00 m (l x a), misula de 20 x 20 cm, c = 1.00 m, espessura min = 20 cm, tb-45 e FCK do concreto = 30 MPA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E242" s="2"/>
      <c r="F242" s="2" t="str">
        <f>VLOOKUP($B242,[1]BOLETIM_SEL!$A:$H,6,0)</f>
        <v xml:space="preserve">UN    </v>
      </c>
      <c r="G242" s="1407">
        <f>VLOOKUP($B242,[1]BOLETIM_SEL!$A:$H,7,0)</f>
        <v>8271.3799999999992</v>
      </c>
      <c r="H242" s="1606">
        <f ca="1">H241</f>
        <v>0</v>
      </c>
      <c r="I242" s="876">
        <f t="shared" ref="I242" si="72">TRUNC(G242*(1+$J$5),2)</f>
        <v>10091.08</v>
      </c>
      <c r="J242" s="1607">
        <f t="shared" ref="J242" ca="1" si="73">TRUNC(H242*I242,2)</f>
        <v>0</v>
      </c>
      <c r="K242" s="2069">
        <f t="shared" ca="1" si="56"/>
        <v>0</v>
      </c>
      <c r="L242" s="1570">
        <f t="shared" ref="L242" ca="1" si="74">J242/J$183</f>
        <v>0</v>
      </c>
      <c r="M242" s="1445"/>
      <c r="N242" s="1644">
        <v>1.99</v>
      </c>
      <c r="O242" s="1649">
        <f t="shared" ca="1" si="60"/>
        <v>0</v>
      </c>
      <c r="Q242" s="832"/>
      <c r="R242" s="832"/>
      <c r="S242" s="832"/>
      <c r="T242" s="832"/>
      <c r="U242" s="832"/>
      <c r="V242" s="832"/>
      <c r="W242" s="832"/>
      <c r="X242" s="832"/>
    </row>
    <row r="243" spans="1:24" s="812" customFormat="1" ht="24.95" customHeight="1" x14ac:dyDescent="0.15">
      <c r="A243" s="2072"/>
      <c r="B243" s="833"/>
      <c r="C243" s="833"/>
      <c r="D243" s="834"/>
      <c r="E243" s="2"/>
      <c r="F243" s="833"/>
      <c r="G243" s="1814"/>
      <c r="H243" s="833"/>
      <c r="I243" s="876"/>
      <c r="J243" s="838" t="str">
        <f ca="1">IF(J183=0,0,"")</f>
        <v/>
      </c>
      <c r="K243" s="2069"/>
      <c r="L243" s="1570"/>
      <c r="M243" s="1444"/>
      <c r="N243" s="832"/>
      <c r="O243" s="832"/>
      <c r="Q243" s="832"/>
      <c r="R243" s="832"/>
      <c r="S243" s="832"/>
      <c r="T243" s="832"/>
      <c r="U243" s="832"/>
      <c r="V243" s="832"/>
      <c r="W243" s="832"/>
      <c r="X243" s="832"/>
    </row>
    <row r="244" spans="1:24" s="832" customFormat="1" ht="24.95" customHeight="1" x14ac:dyDescent="0.15">
      <c r="A244" s="2073">
        <f ca="1">IF(J244&gt;0,INT(A241)+1,IF(J244=0,INT(A241),0))</f>
        <v>5</v>
      </c>
      <c r="B244" s="1626"/>
      <c r="C244" s="1626"/>
      <c r="D244" s="1627" t="s">
        <v>743</v>
      </c>
      <c r="E244" s="1821"/>
      <c r="F244" s="1628"/>
      <c r="G244" s="1816" t="s">
        <v>646</v>
      </c>
      <c r="H244" s="1628"/>
      <c r="I244" s="1633" t="str">
        <f ca="1">CONCATENATE("SUB-TOTAL ",A244)</f>
        <v>SUB-TOTAL 5</v>
      </c>
      <c r="J244" s="1632">
        <f ca="1">SUM(J245:J292)</f>
        <v>254417.2</v>
      </c>
      <c r="K244" s="2070">
        <f t="shared" ref="K244:K288" ca="1" si="75">J244/J$930</f>
        <v>6.915285579893303E-2</v>
      </c>
      <c r="L244" s="1605">
        <f t="shared" ref="L244" ca="1" si="76">J244/J$183</f>
        <v>1.1903549773803397</v>
      </c>
      <c r="M244" s="1442"/>
      <c r="N244" s="1648" t="s">
        <v>1951</v>
      </c>
      <c r="O244" s="1648" t="s">
        <v>1977</v>
      </c>
      <c r="U244" s="1809"/>
    </row>
    <row r="245" spans="1:24" s="812" customFormat="1" ht="39.950000000000003" customHeight="1" x14ac:dyDescent="0.15">
      <c r="A245" s="2072">
        <f t="shared" ca="1" si="58"/>
        <v>5.01</v>
      </c>
      <c r="B245" s="833" t="s">
        <v>1724</v>
      </c>
      <c r="C245" s="2" t="str">
        <f>VLOOKUP($B245,[1]BOLETIM_SEL!$A:$H,2,0)</f>
        <v>COMPOSIÇÃO</v>
      </c>
      <c r="D245" s="315" t="str">
        <f>VLOOKUP($B245,[1]BOLETIM_SEL!$A:$H,4,0)</f>
        <v>PV-1 - Poço de Visita, com dimensões internas de 1,98m x 1,98m x 1,50m (bxbxh), em alvenaria de bloco de concreto estrutural FBK 14mpa, conforme projeto tipo. Exclusive pescoço e tampão</v>
      </c>
      <c r="E245" s="2"/>
      <c r="F245" s="2" t="str">
        <f>VLOOKUP($B245,[1]BOLETIM_SEL!$A:$H,6,0)</f>
        <v>UN</v>
      </c>
      <c r="G245" s="1407">
        <f>VLOOKUP($B245,[1]BOLETIM_SEL!$A:$H,7,0)</f>
        <v>6662.53</v>
      </c>
      <c r="H245" s="1606">
        <f>Dre_Disp_Estruturais!AE60</f>
        <v>10</v>
      </c>
      <c r="I245" s="876">
        <f t="shared" si="59"/>
        <v>8128.28</v>
      </c>
      <c r="J245" s="1607">
        <f t="shared" si="50"/>
        <v>81282.8</v>
      </c>
      <c r="K245" s="2069">
        <f t="shared" ca="1" si="75"/>
        <v>2.2093387346977775E-2</v>
      </c>
      <c r="L245" s="1570">
        <f t="shared" ca="1" si="57"/>
        <v>0.38030206116335952</v>
      </c>
      <c r="M245" s="1442"/>
      <c r="N245" s="1870"/>
      <c r="O245" s="1649">
        <f t="shared" ref="O245:O271" si="77">N245*H245</f>
        <v>0</v>
      </c>
      <c r="Q245" s="832"/>
      <c r="R245" s="832"/>
      <c r="S245" s="832"/>
      <c r="T245" s="832"/>
      <c r="U245" s="832"/>
      <c r="V245" s="832"/>
      <c r="W245" s="832"/>
      <c r="X245" s="832"/>
    </row>
    <row r="246" spans="1:24" s="812" customFormat="1" ht="39.950000000000003" hidden="1" customHeight="1" x14ac:dyDescent="0.15">
      <c r="A246" s="2072">
        <f t="shared" ca="1" si="58"/>
        <v>5.01</v>
      </c>
      <c r="B246" s="833" t="s">
        <v>1725</v>
      </c>
      <c r="C246" s="2" t="str">
        <f>VLOOKUP($B246,[1]BOLETIM_SEL!$A:$H,2,0)</f>
        <v>COMPOSIÇÃO</v>
      </c>
      <c r="D246" s="315" t="str">
        <f>VLOOKUP($B246,[1]BOLETIM_SEL!$A:$H,4,0)</f>
        <v>PV-2 - Poço de Visita, com dimensões internas de 1,98m x 2,68m x 2,00m (bxbxh), em alvenaria de bloco de concreto estrutural FBK 14mpa, conforme projeto tipo. Exclusive pescoço e tampão</v>
      </c>
      <c r="E246" s="2"/>
      <c r="F246" s="2" t="str">
        <f>VLOOKUP($B246,[1]BOLETIM_SEL!$A:$H,6,0)</f>
        <v>UN</v>
      </c>
      <c r="G246" s="1407">
        <f>VLOOKUP($B246,[1]BOLETIM_SEL!$A:$H,7,0)</f>
        <v>9005.4500000000007</v>
      </c>
      <c r="H246" s="1606">
        <f>Dre_Disp_Estruturais!AE61</f>
        <v>0</v>
      </c>
      <c r="I246" s="876">
        <f t="shared" si="59"/>
        <v>10986.64</v>
      </c>
      <c r="J246" s="1607">
        <f t="shared" si="50"/>
        <v>0</v>
      </c>
      <c r="K246" s="2069">
        <f t="shared" ca="1" si="75"/>
        <v>0</v>
      </c>
      <c r="L246" s="1570">
        <f t="shared" ca="1" si="57"/>
        <v>0</v>
      </c>
      <c r="M246" s="1442"/>
      <c r="N246" s="1870">
        <f>VLOOKUP($B246,[1]BOLETIM_SEL!$A:$H,3,0)</f>
        <v>0</v>
      </c>
      <c r="O246" s="1649">
        <f t="shared" si="77"/>
        <v>0</v>
      </c>
      <c r="Q246" s="832"/>
      <c r="R246" s="832"/>
      <c r="S246" s="832"/>
      <c r="T246" s="832"/>
      <c r="U246" s="832"/>
      <c r="V246" s="832"/>
      <c r="W246" s="832"/>
      <c r="X246" s="832"/>
    </row>
    <row r="247" spans="1:24" s="812" customFormat="1" ht="39.950000000000003" hidden="1" customHeight="1" x14ac:dyDescent="0.15">
      <c r="A247" s="2072">
        <f t="shared" ca="1" si="58"/>
        <v>5.01</v>
      </c>
      <c r="B247" s="833" t="s">
        <v>276</v>
      </c>
      <c r="C247" s="2" t="str">
        <f>VLOOKUP($B247,[1]BOLETIM_SEL!$A:$H,2,0)</f>
        <v>COMPOSIÇÃO</v>
      </c>
      <c r="D247" s="315" t="str">
        <f>VLOOKUP($B247,[1]BOLETIM_SEL!$A:$H,4,0)</f>
        <v>PV-3 - Poço de Visita, com dimensões internas de 1,98m x 3,48m x 2,00m (bxbxh), em alvenaria de bloco de concreto estrutural FBK 14mpa, conforme projeto tipo. Exclusive pescoço e tampão</v>
      </c>
      <c r="E247" s="2"/>
      <c r="F247" s="2" t="str">
        <f>VLOOKUP($B247,[1]BOLETIM_SEL!$A:$H,6,0)</f>
        <v>UN</v>
      </c>
      <c r="G247" s="1407">
        <f>VLOOKUP($B247,[1]BOLETIM_SEL!$A:$H,7,0)</f>
        <v>10798.95</v>
      </c>
      <c r="H247" s="1606">
        <f>Dre_Disp_Estruturais!AE62</f>
        <v>0</v>
      </c>
      <c r="I247" s="876">
        <f t="shared" si="59"/>
        <v>13174.71</v>
      </c>
      <c r="J247" s="1607">
        <f t="shared" si="50"/>
        <v>0</v>
      </c>
      <c r="K247" s="2069">
        <f t="shared" ca="1" si="75"/>
        <v>0</v>
      </c>
      <c r="L247" s="1570">
        <f t="shared" ca="1" si="57"/>
        <v>0</v>
      </c>
      <c r="M247" s="1442"/>
      <c r="N247" s="1870">
        <f>VLOOKUP($B247,[1]BOLETIM_SEL!$A:$H,3,0)</f>
        <v>0</v>
      </c>
      <c r="O247" s="1649">
        <f t="shared" si="77"/>
        <v>0</v>
      </c>
      <c r="Q247" s="832"/>
      <c r="R247" s="832"/>
      <c r="S247" s="832"/>
      <c r="T247" s="832"/>
      <c r="U247" s="832"/>
      <c r="V247" s="832"/>
      <c r="W247" s="832"/>
      <c r="X247" s="832"/>
    </row>
    <row r="248" spans="1:24" s="812" customFormat="1" ht="39.950000000000003" hidden="1" customHeight="1" x14ac:dyDescent="0.15">
      <c r="A248" s="2072">
        <f t="shared" ca="1" si="58"/>
        <v>5.01</v>
      </c>
      <c r="B248" s="833" t="s">
        <v>277</v>
      </c>
      <c r="C248" s="2" t="str">
        <f>VLOOKUP($B248,[1]BOLETIM_SEL!$A:$H,2,0)</f>
        <v>COMPOSIÇÃO</v>
      </c>
      <c r="D248" s="315" t="str">
        <f>VLOOKUP($B248,[1]BOLETIM_SEL!$A:$H,4,0)</f>
        <v>PV-4 - Poço de Visita, com dimensões internas de 1,98m x 4,98m x 2,00m (bxbxh), em alvenaria de bloco de concreto estrutural FBK 14mpa, conforme projeto tipo. Exclusive pescoço e tampão</v>
      </c>
      <c r="E248" s="2"/>
      <c r="F248" s="2" t="str">
        <f>VLOOKUP($B248,[1]BOLETIM_SEL!$A:$H,6,0)</f>
        <v>UN</v>
      </c>
      <c r="G248" s="1407">
        <f>VLOOKUP($B248,[1]BOLETIM_SEL!$A:$H,7,0)</f>
        <v>14161.76</v>
      </c>
      <c r="H248" s="1606">
        <f>Dre_Disp_Estruturais!AE63</f>
        <v>0</v>
      </c>
      <c r="I248" s="876">
        <f t="shared" si="59"/>
        <v>17277.34</v>
      </c>
      <c r="J248" s="1607">
        <f t="shared" si="50"/>
        <v>0</v>
      </c>
      <c r="K248" s="2069">
        <f t="shared" ca="1" si="75"/>
        <v>0</v>
      </c>
      <c r="L248" s="1570">
        <f t="shared" ca="1" si="57"/>
        <v>0</v>
      </c>
      <c r="M248" s="1442"/>
      <c r="N248" s="1870">
        <f>VLOOKUP($B248,[1]BOLETIM_SEL!$A:$H,3,0)</f>
        <v>0</v>
      </c>
      <c r="O248" s="1649">
        <f t="shared" si="77"/>
        <v>0</v>
      </c>
      <c r="Q248" s="832"/>
      <c r="R248" s="832"/>
      <c r="S248" s="832"/>
      <c r="T248" s="832"/>
      <c r="U248" s="832"/>
      <c r="V248" s="832"/>
      <c r="W248" s="832"/>
      <c r="X248" s="832"/>
    </row>
    <row r="249" spans="1:24" s="812" customFormat="1" ht="39.950000000000003" hidden="1" customHeight="1" x14ac:dyDescent="0.15">
      <c r="A249" s="2072">
        <f t="shared" ca="1" si="58"/>
        <v>5.01</v>
      </c>
      <c r="B249" s="833" t="s">
        <v>278</v>
      </c>
      <c r="C249" s="2" t="str">
        <f>VLOOKUP($B249,[1]BOLETIM_SEL!$A:$H,2,0)</f>
        <v>COMPOSIÇÃO</v>
      </c>
      <c r="D249" s="315" t="str">
        <f>VLOOKUP($B249,[1]BOLETIM_SEL!$A:$H,4,0)</f>
        <v>PV-5 - Poço de Visita, com dimensões internas de 1,98m x 6,58m x 2,00m (bxbxh), em alvenaria de bloco de concreto estrutural FBK 14mpa, conforme projeto tipo. Exclusive pescoço e tampão</v>
      </c>
      <c r="E249" s="2"/>
      <c r="F249" s="2" t="str">
        <f>VLOOKUP($B249,[1]BOLETIM_SEL!$A:$H,6,0)</f>
        <v>UN</v>
      </c>
      <c r="G249" s="1407">
        <f>VLOOKUP($B249,[1]BOLETIM_SEL!$A:$H,7,0)</f>
        <v>17748.75</v>
      </c>
      <c r="H249" s="1606">
        <f>Dre_Disp_Estruturais!AE64</f>
        <v>0</v>
      </c>
      <c r="I249" s="876">
        <f t="shared" si="59"/>
        <v>21653.47</v>
      </c>
      <c r="J249" s="1607">
        <f t="shared" si="50"/>
        <v>0</v>
      </c>
      <c r="K249" s="2069">
        <f t="shared" ca="1" si="75"/>
        <v>0</v>
      </c>
      <c r="L249" s="1570">
        <f t="shared" ca="1" si="57"/>
        <v>0</v>
      </c>
      <c r="M249" s="1442"/>
      <c r="N249" s="1870">
        <f>VLOOKUP($B249,[1]BOLETIM_SEL!$A:$H,3,0)</f>
        <v>0</v>
      </c>
      <c r="O249" s="1649">
        <f t="shared" si="77"/>
        <v>0</v>
      </c>
      <c r="Q249" s="832"/>
      <c r="R249" s="832"/>
      <c r="S249" s="832"/>
      <c r="T249" s="832"/>
      <c r="U249" s="832"/>
      <c r="V249" s="832"/>
      <c r="W249" s="832"/>
      <c r="X249" s="832"/>
    </row>
    <row r="250" spans="1:24" s="812" customFormat="1" ht="39.950000000000003" hidden="1" customHeight="1" x14ac:dyDescent="0.15">
      <c r="A250" s="2072">
        <f t="shared" ca="1" si="58"/>
        <v>5.01</v>
      </c>
      <c r="B250" s="833" t="s">
        <v>279</v>
      </c>
      <c r="C250" s="2" t="str">
        <f>VLOOKUP($B250,[1]BOLETIM_SEL!$A:$H,2,0)</f>
        <v>COMPOSIÇÃO</v>
      </c>
      <c r="D250" s="315" t="str">
        <f>VLOOKUP($B250,[1]BOLETIM_SEL!$A:$H,4,0)</f>
        <v>PV-6 - Poço de Visita, com dimensões internas de 1,98m x 8,78m x 2,00m (bxbxh), em alvenaria de bloco de concreto estrutural FBK 14mpa, conforme projeto tipo. Exclusive pescoço e tampão</v>
      </c>
      <c r="E250" s="2"/>
      <c r="F250" s="2" t="str">
        <f>VLOOKUP($B250,[1]BOLETIM_SEL!$A:$H,6,0)</f>
        <v>UN</v>
      </c>
      <c r="G250" s="1407">
        <f>VLOOKUP($B250,[1]BOLETIM_SEL!$A:$H,7,0)</f>
        <v>22680.87</v>
      </c>
      <c r="H250" s="1606">
        <f>Dre_Disp_Estruturais!AE65</f>
        <v>0</v>
      </c>
      <c r="I250" s="876">
        <f t="shared" si="59"/>
        <v>27670.66</v>
      </c>
      <c r="J250" s="1607">
        <f t="shared" si="50"/>
        <v>0</v>
      </c>
      <c r="K250" s="2069">
        <f t="shared" ca="1" si="75"/>
        <v>0</v>
      </c>
      <c r="L250" s="1570">
        <f t="shared" ca="1" si="57"/>
        <v>0</v>
      </c>
      <c r="M250" s="1442"/>
      <c r="N250" s="1870">
        <f>VLOOKUP($B250,[1]BOLETIM_SEL!$A:$H,3,0)</f>
        <v>0</v>
      </c>
      <c r="O250" s="1649">
        <f t="shared" si="77"/>
        <v>0</v>
      </c>
      <c r="Q250" s="832"/>
      <c r="R250" s="832"/>
      <c r="S250" s="832"/>
      <c r="T250" s="832"/>
      <c r="U250" s="832"/>
      <c r="V250" s="832"/>
      <c r="W250" s="832"/>
      <c r="X250" s="832"/>
    </row>
    <row r="251" spans="1:24" s="812" customFormat="1" ht="39.950000000000003" hidden="1" customHeight="1" x14ac:dyDescent="0.15">
      <c r="A251" s="2072">
        <f t="shared" ca="1" si="58"/>
        <v>5.01</v>
      </c>
      <c r="B251" s="833" t="s">
        <v>280</v>
      </c>
      <c r="C251" s="2" t="str">
        <f>VLOOKUP($B251,[1]BOLETIM_SEL!$A:$H,2,0)</f>
        <v>COMPOSIÇÃO</v>
      </c>
      <c r="D251" s="315" t="str">
        <f>VLOOKUP($B251,[1]BOLETIM_SEL!$A:$H,4,0)</f>
        <v>PV-0 - Poço de Visita Circular, com dimensão interna de Ø 0,80m, em alvenaria de tijolo comum de 1 vez assentada e revestida internamente com argamassa de cimento e areia 1:3, conforme projeto tipo. Exclusive tampão</v>
      </c>
      <c r="E251" s="2"/>
      <c r="F251" s="2" t="str">
        <f>VLOOKUP($B251,[1]BOLETIM_SEL!$A:$H,6,0)</f>
        <v>UN</v>
      </c>
      <c r="G251" s="1407">
        <f>VLOOKUP($B251,[1]BOLETIM_SEL!$A:$H,7,0)</f>
        <v>1823.15</v>
      </c>
      <c r="H251" s="1606">
        <f>Dre_Disp_Estruturais!AE66</f>
        <v>0</v>
      </c>
      <c r="I251" s="876">
        <f t="shared" si="59"/>
        <v>2224.2399999999998</v>
      </c>
      <c r="J251" s="1607">
        <f t="shared" si="50"/>
        <v>0</v>
      </c>
      <c r="K251" s="2069">
        <f t="shared" ca="1" si="75"/>
        <v>0</v>
      </c>
      <c r="L251" s="1570">
        <f t="shared" ca="1" si="57"/>
        <v>0</v>
      </c>
      <c r="M251" s="1442"/>
      <c r="N251" s="1644">
        <f>VLOOKUP($B251,[1]BOLETIM_SEL!$A:$H,3,0)</f>
        <v>0</v>
      </c>
      <c r="O251" s="1649">
        <f t="shared" si="77"/>
        <v>0</v>
      </c>
      <c r="Q251" s="832"/>
      <c r="R251" s="832"/>
      <c r="S251" s="832"/>
      <c r="T251" s="832"/>
      <c r="U251" s="832"/>
      <c r="V251" s="832"/>
      <c r="W251" s="832"/>
      <c r="X251" s="832"/>
    </row>
    <row r="252" spans="1:24" s="812" customFormat="1" ht="39.950000000000003" hidden="1" customHeight="1" x14ac:dyDescent="0.15">
      <c r="A252" s="2072">
        <f t="shared" ca="1" si="58"/>
        <v>5.01</v>
      </c>
      <c r="B252" s="833" t="s">
        <v>281</v>
      </c>
      <c r="C252" s="2" t="str">
        <f>VLOOKUP($B252,[1]BOLETIM_SEL!$A:$H,2,0)</f>
        <v>COMPOSIÇÃO</v>
      </c>
      <c r="D252" s="315" t="str">
        <f>VLOOKUP($B252,[1]BOLETIM_SEL!$A:$H,4,0)</f>
        <v>APV-1 - Acréscimo para Poço de Visita, com dimensões internas de 1,98m x 1,98m, em alvenaria de bloco de concreto estrutural FBK 14mpa, conforme projeto tipo</v>
      </c>
      <c r="E252" s="2"/>
      <c r="F252" s="2" t="str">
        <f>VLOOKUP($B252,[1]BOLETIM_SEL!$A:$H,6,0)</f>
        <v>M</v>
      </c>
      <c r="G252" s="1407">
        <f>VLOOKUP($B252,[1]BOLETIM_SEL!$A:$H,7,0)</f>
        <v>1664.61</v>
      </c>
      <c r="H252" s="1606">
        <f ca="1">Dre_Disp_Estruturais!AE76</f>
        <v>0</v>
      </c>
      <c r="I252" s="876">
        <f t="shared" si="59"/>
        <v>2030.82</v>
      </c>
      <c r="J252" s="1607">
        <f ca="1">TRUNC(H252*I252,2)</f>
        <v>0</v>
      </c>
      <c r="K252" s="2069">
        <f t="shared" ca="1" si="75"/>
        <v>0</v>
      </c>
      <c r="L252" s="1570">
        <f t="shared" ca="1" si="57"/>
        <v>0</v>
      </c>
      <c r="M252" s="1442"/>
      <c r="N252" s="1644">
        <f>VLOOKUP($B252,[1]BOLETIM_SEL!$A:$H,3,0)</f>
        <v>0</v>
      </c>
      <c r="O252" s="1649">
        <f t="shared" ca="1" si="77"/>
        <v>0</v>
      </c>
      <c r="Q252" s="832"/>
      <c r="R252" s="832"/>
      <c r="S252" s="832"/>
      <c r="T252" s="832"/>
      <c r="U252" s="832"/>
      <c r="V252" s="832"/>
      <c r="W252" s="832"/>
      <c r="X252" s="832"/>
    </row>
    <row r="253" spans="1:24" s="812" customFormat="1" ht="39.950000000000003" hidden="1" customHeight="1" x14ac:dyDescent="0.15">
      <c r="A253" s="2072">
        <f t="shared" ca="1" si="58"/>
        <v>5.01</v>
      </c>
      <c r="B253" s="833" t="s">
        <v>1726</v>
      </c>
      <c r="C253" s="2" t="str">
        <f>VLOOKUP($B253,[1]BOLETIM_SEL!$A:$H,2,0)</f>
        <v>COMPOSIÇÃO</v>
      </c>
      <c r="D253" s="315" t="str">
        <f>VLOOKUP($B253,[1]BOLETIM_SEL!$A:$H,4,0)</f>
        <v>APV-2 - Acréscimo para Poço de Visita, com dimensões internas de 1,98m x 2,68m, em alvenaria de bloco de concreto estrutural FBK 14mpa, conforme projeto tipo</v>
      </c>
      <c r="E253" s="2"/>
      <c r="F253" s="2" t="str">
        <f>VLOOKUP($B253,[1]BOLETIM_SEL!$A:$H,6,0)</f>
        <v>M</v>
      </c>
      <c r="G253" s="1407">
        <f>VLOOKUP($B253,[1]BOLETIM_SEL!$A:$H,7,0)</f>
        <v>1925.33</v>
      </c>
      <c r="H253" s="1606">
        <f>Dre_Disp_Estruturais!AE77</f>
        <v>0</v>
      </c>
      <c r="I253" s="876">
        <f t="shared" si="59"/>
        <v>2348.9</v>
      </c>
      <c r="J253" s="1607">
        <f>TRUNC(H253*I253,2)</f>
        <v>0</v>
      </c>
      <c r="K253" s="2069">
        <f t="shared" ca="1" si="75"/>
        <v>0</v>
      </c>
      <c r="L253" s="1570">
        <f t="shared" ref="L253:L288" ca="1" si="78">J253/J$183</f>
        <v>0</v>
      </c>
      <c r="M253" s="1442"/>
      <c r="N253" s="1644">
        <f>VLOOKUP($B253,[1]BOLETIM_SEL!$A:$H,3,0)</f>
        <v>0</v>
      </c>
      <c r="O253" s="1649">
        <f t="shared" si="77"/>
        <v>0</v>
      </c>
      <c r="Q253" s="832"/>
      <c r="R253" s="832"/>
      <c r="S253" s="832"/>
      <c r="T253" s="832"/>
      <c r="U253" s="832"/>
      <c r="V253" s="832"/>
      <c r="W253" s="832"/>
      <c r="X253" s="832"/>
    </row>
    <row r="254" spans="1:24" s="812" customFormat="1" ht="39.950000000000003" hidden="1" customHeight="1" x14ac:dyDescent="0.15">
      <c r="A254" s="2072">
        <f t="shared" ref="A254:A288" ca="1" si="79">IF(H254&gt;0,A253+0.01,A253)</f>
        <v>5.01</v>
      </c>
      <c r="B254" s="833" t="s">
        <v>1727</v>
      </c>
      <c r="C254" s="2" t="str">
        <f>VLOOKUP($B254,[1]BOLETIM_SEL!$A:$H,2,0)</f>
        <v>COMPOSIÇÃO</v>
      </c>
      <c r="D254" s="315" t="str">
        <f>VLOOKUP($B254,[1]BOLETIM_SEL!$A:$H,4,0)</f>
        <v>APV-3 - Acréscimo para Poço de Visita, com dimensões internas de 1,98m x 3,48m, em alvenaria de bloco de concreto estrutural FBK 14mpa, conforme projeto tipo</v>
      </c>
      <c r="E254" s="2"/>
      <c r="F254" s="2" t="str">
        <f>VLOOKUP($B254,[1]BOLETIM_SEL!$A:$H,6,0)</f>
        <v>M</v>
      </c>
      <c r="G254" s="1407">
        <f>VLOOKUP($B254,[1]BOLETIM_SEL!$A:$H,7,0)</f>
        <v>2223.3000000000002</v>
      </c>
      <c r="H254" s="1606">
        <f>Dre_Disp_Estruturais!AE78</f>
        <v>0</v>
      </c>
      <c r="I254" s="876">
        <f t="shared" si="59"/>
        <v>2712.42</v>
      </c>
      <c r="J254" s="1607">
        <f t="shared" si="50"/>
        <v>0</v>
      </c>
      <c r="K254" s="2069">
        <f t="shared" ca="1" si="75"/>
        <v>0</v>
      </c>
      <c r="L254" s="1570">
        <f t="shared" ca="1" si="78"/>
        <v>0</v>
      </c>
      <c r="M254" s="1442"/>
      <c r="N254" s="1644">
        <f>VLOOKUP($B254,[1]BOLETIM_SEL!$A:$H,3,0)</f>
        <v>0</v>
      </c>
      <c r="O254" s="1649">
        <f t="shared" si="77"/>
        <v>0</v>
      </c>
      <c r="Q254" s="832"/>
      <c r="R254" s="832"/>
      <c r="S254" s="832"/>
      <c r="T254" s="832"/>
      <c r="U254" s="832"/>
      <c r="V254" s="832"/>
      <c r="W254" s="832"/>
      <c r="X254" s="832"/>
    </row>
    <row r="255" spans="1:24" s="812" customFormat="1" ht="39.950000000000003" hidden="1" customHeight="1" x14ac:dyDescent="0.15">
      <c r="A255" s="2072">
        <f t="shared" ca="1" si="79"/>
        <v>5.01</v>
      </c>
      <c r="B255" s="833" t="s">
        <v>1728</v>
      </c>
      <c r="C255" s="2" t="str">
        <f>VLOOKUP($B255,[1]BOLETIM_SEL!$A:$H,2,0)</f>
        <v>COMPOSIÇÃO</v>
      </c>
      <c r="D255" s="315" t="str">
        <f>VLOOKUP($B255,[1]BOLETIM_SEL!$A:$H,4,0)</f>
        <v>APV-4 - Acréscimo para Poço de Visita, com dimensões internas de 1,98m x 4,98m, em alvenaria de bloco de concreto estrutural FBK 14mpa, conforme projeto tipo</v>
      </c>
      <c r="E255" s="2"/>
      <c r="F255" s="2" t="str">
        <f>VLOOKUP($B255,[1]BOLETIM_SEL!$A:$H,6,0)</f>
        <v>M</v>
      </c>
      <c r="G255" s="1407">
        <f>VLOOKUP($B255,[1]BOLETIM_SEL!$A:$H,7,0)</f>
        <v>2781.99</v>
      </c>
      <c r="H255" s="1606">
        <f>Dre_Disp_Estruturais!AE79</f>
        <v>0</v>
      </c>
      <c r="I255" s="876">
        <f t="shared" ref="I255:I288" si="80">TRUNC(G255*(1+$J$5),2)</f>
        <v>3394.02</v>
      </c>
      <c r="J255" s="1607">
        <f t="shared" ref="J255:J312" si="81">TRUNC(H255*I255,2)</f>
        <v>0</v>
      </c>
      <c r="K255" s="2069">
        <f t="shared" ca="1" si="75"/>
        <v>0</v>
      </c>
      <c r="L255" s="1570">
        <f t="shared" ca="1" si="78"/>
        <v>0</v>
      </c>
      <c r="M255" s="1442"/>
      <c r="N255" s="1644">
        <f>VLOOKUP($B255,[1]BOLETIM_SEL!$A:$H,3,0)</f>
        <v>0</v>
      </c>
      <c r="O255" s="1649">
        <f t="shared" si="77"/>
        <v>0</v>
      </c>
      <c r="Q255" s="832"/>
      <c r="R255" s="832"/>
      <c r="S255" s="832"/>
      <c r="T255" s="832"/>
      <c r="U255" s="832"/>
      <c r="V255" s="832"/>
      <c r="W255" s="832"/>
      <c r="X255" s="832"/>
    </row>
    <row r="256" spans="1:24" s="812" customFormat="1" ht="39.950000000000003" hidden="1" customHeight="1" x14ac:dyDescent="0.15">
      <c r="A256" s="2072">
        <f t="shared" ca="1" si="79"/>
        <v>5.01</v>
      </c>
      <c r="B256" s="833" t="s">
        <v>198</v>
      </c>
      <c r="C256" s="2" t="str">
        <f>VLOOKUP($B256,[1]BOLETIM_SEL!$A:$H,2,0)</f>
        <v>COMPOSIÇÃO</v>
      </c>
      <c r="D256" s="315" t="str">
        <f>VLOOKUP($B256,[1]BOLETIM_SEL!$A:$H,4,0)</f>
        <v>APV-5 - Acréscimo para Poço de Visita, com dimensões internas de 1,98m x 6,58m, em alvenaria de bloco de concreto estrutural FBK 14mpa, conforme projeto tipo</v>
      </c>
      <c r="E256" s="2"/>
      <c r="F256" s="2" t="str">
        <f>VLOOKUP($B256,[1]BOLETIM_SEL!$A:$H,6,0)</f>
        <v>M</v>
      </c>
      <c r="G256" s="1407">
        <f>VLOOKUP($B256,[1]BOLETIM_SEL!$A:$H,7,0)</f>
        <v>3377.92</v>
      </c>
      <c r="H256" s="1606">
        <f>Dre_Disp_Estruturais!AE80</f>
        <v>0</v>
      </c>
      <c r="I256" s="876">
        <f t="shared" si="80"/>
        <v>4121.0600000000004</v>
      </c>
      <c r="J256" s="1607">
        <f t="shared" si="81"/>
        <v>0</v>
      </c>
      <c r="K256" s="2069">
        <f t="shared" ca="1" si="75"/>
        <v>0</v>
      </c>
      <c r="L256" s="1570">
        <f t="shared" ca="1" si="78"/>
        <v>0</v>
      </c>
      <c r="M256" s="1442"/>
      <c r="N256" s="1644">
        <f>VLOOKUP($B256,[1]BOLETIM_SEL!$A:$H,3,0)</f>
        <v>0</v>
      </c>
      <c r="O256" s="1649">
        <f t="shared" si="77"/>
        <v>0</v>
      </c>
      <c r="Q256" s="832"/>
      <c r="R256" s="832"/>
      <c r="S256" s="832"/>
      <c r="T256" s="832"/>
      <c r="U256" s="832"/>
      <c r="V256" s="832"/>
      <c r="W256" s="832"/>
      <c r="X256" s="832"/>
    </row>
    <row r="257" spans="1:24" s="812" customFormat="1" ht="39.950000000000003" hidden="1" customHeight="1" x14ac:dyDescent="0.15">
      <c r="A257" s="2072">
        <f t="shared" ca="1" si="79"/>
        <v>5.01</v>
      </c>
      <c r="B257" s="833" t="s">
        <v>1729</v>
      </c>
      <c r="C257" s="2" t="str">
        <f>VLOOKUP($B257,[1]BOLETIM_SEL!$A:$H,2,0)</f>
        <v>COMPOSIÇÃO</v>
      </c>
      <c r="D257" s="315" t="str">
        <f>VLOOKUP($B257,[1]BOLETIM_SEL!$A:$H,4,0)</f>
        <v>APV-6 - Acréscimo para Poço de Visita, com dimensões internas de 1,98m x 8,78m, em alvenaria de bloco de concreto estrutural FBK 14mpa, conforme projeto tipo</v>
      </c>
      <c r="E257" s="2"/>
      <c r="F257" s="2" t="str">
        <f>VLOOKUP($B257,[1]BOLETIM_SEL!$A:$H,6,0)</f>
        <v>M</v>
      </c>
      <c r="G257" s="1407">
        <f>VLOOKUP($B257,[1]BOLETIM_SEL!$A:$H,7,0)</f>
        <v>4197.33</v>
      </c>
      <c r="H257" s="1606">
        <f>Dre_Disp_Estruturais!AE81</f>
        <v>0</v>
      </c>
      <c r="I257" s="876">
        <f t="shared" si="80"/>
        <v>5120.74</v>
      </c>
      <c r="J257" s="1607">
        <f t="shared" si="81"/>
        <v>0</v>
      </c>
      <c r="K257" s="2069">
        <f t="shared" ca="1" si="75"/>
        <v>0</v>
      </c>
      <c r="L257" s="1570">
        <f t="shared" ca="1" si="78"/>
        <v>0</v>
      </c>
      <c r="M257" s="1442"/>
      <c r="N257" s="1644">
        <f>VLOOKUP($B257,[1]BOLETIM_SEL!$A:$H,3,0)</f>
        <v>0</v>
      </c>
      <c r="O257" s="1649">
        <f t="shared" si="77"/>
        <v>0</v>
      </c>
      <c r="Q257" s="832"/>
      <c r="R257" s="832"/>
      <c r="S257" s="832"/>
      <c r="T257" s="832"/>
      <c r="U257" s="832"/>
      <c r="V257" s="832"/>
      <c r="W257" s="832"/>
      <c r="X257" s="832"/>
    </row>
    <row r="258" spans="1:24" s="812" customFormat="1" ht="39.950000000000003" customHeight="1" x14ac:dyDescent="0.15">
      <c r="A258" s="2072">
        <f t="shared" ca="1" si="79"/>
        <v>5.0199999999999996</v>
      </c>
      <c r="B258" s="833" t="s">
        <v>271</v>
      </c>
      <c r="C258" s="2" t="str">
        <f>VLOOKUP($B258,[1]BOLETIM_SEL!$A:$H,2,0)</f>
        <v>COMPOSIÇÃO</v>
      </c>
      <c r="D258" s="315" t="str">
        <f>VLOOKUP($B258,[1]BOLETIM_SEL!$A:$H,4,0)</f>
        <v>Antecâmara para poço de visita, com dimensões internas de 1,98m x 1,00m x 1,50m (bxbxh), em alvenaria de bloco de concreto estrutural FBK 14mpa, conforme projeto tipo</v>
      </c>
      <c r="E258" s="2"/>
      <c r="F258" s="2" t="str">
        <f>VLOOKUP($B258,[1]BOLETIM_SEL!$A:$H,6,0)</f>
        <v>UN</v>
      </c>
      <c r="G258" s="1407">
        <f>VLOOKUP($B258,[1]BOLETIM_SEL!$A:$H,7,0)</f>
        <v>2650.76</v>
      </c>
      <c r="H258" s="1606">
        <f ca="1">Dre_Disp_Estruturais!AE82</f>
        <v>2</v>
      </c>
      <c r="I258" s="876">
        <f t="shared" si="80"/>
        <v>3233.92</v>
      </c>
      <c r="J258" s="1607">
        <f ca="1">TRUNC(H258*I258,2)</f>
        <v>6467.84</v>
      </c>
      <c r="K258" s="2069">
        <f t="shared" ca="1" si="75"/>
        <v>1.7580163874556084E-3</v>
      </c>
      <c r="L258" s="1570">
        <f t="shared" ca="1" si="78"/>
        <v>3.0261419184314804E-2</v>
      </c>
      <c r="M258" s="1442"/>
      <c r="N258" s="1870">
        <f>VLOOKUP($B258,[1]BOLETIM_SEL!$A:$H,3,0)</f>
        <v>0</v>
      </c>
      <c r="O258" s="1649">
        <f t="shared" ca="1" si="77"/>
        <v>0</v>
      </c>
      <c r="Q258" s="832"/>
      <c r="R258" s="832"/>
      <c r="S258" s="832"/>
      <c r="T258" s="832"/>
      <c r="U258" s="832"/>
      <c r="V258" s="832"/>
      <c r="W258" s="832"/>
      <c r="X258" s="832"/>
    </row>
    <row r="259" spans="1:24" s="812" customFormat="1" ht="39.950000000000003" customHeight="1" x14ac:dyDescent="0.15">
      <c r="A259" s="2072">
        <f t="shared" ca="1" si="79"/>
        <v>5.0299999999999994</v>
      </c>
      <c r="B259" s="833">
        <v>98051</v>
      </c>
      <c r="C259" s="2" t="str">
        <f>VLOOKUP($B259,[1]BOLETIM_SEL!$A:$H,2,0)</f>
        <v>SINAPI</v>
      </c>
      <c r="D259" s="315" t="str">
        <f>VLOOKUP($B259,[1]BOLETIM_SEL!$A:$H,4,0)</f>
        <v>Chaminé circular para poço de visita para esgoto, em alvenaria com tijolos cerâmicos maciços, diâmetro interno = 0,6 m. af_12/2020</v>
      </c>
      <c r="E259" s="2"/>
      <c r="F259" s="2" t="str">
        <f>VLOOKUP($B259,[1]BOLETIM_SEL!$A:$H,6,0)</f>
        <v>M</v>
      </c>
      <c r="G259" s="1407">
        <f>VLOOKUP($B259,[1]BOLETIM_SEL!$A:$H,7,0)</f>
        <v>959.83</v>
      </c>
      <c r="H259" s="1606">
        <f ca="1">Dre_Disp_Estruturais!AE83</f>
        <v>3.04</v>
      </c>
      <c r="I259" s="876">
        <f t="shared" si="80"/>
        <v>1170.99</v>
      </c>
      <c r="J259" s="1607">
        <f ca="1">TRUNC(H259*I259,2)</f>
        <v>3559.8</v>
      </c>
      <c r="K259" s="2069">
        <f t="shared" ca="1" si="75"/>
        <v>9.6758527360981024E-4</v>
      </c>
      <c r="L259" s="1570">
        <f t="shared" ca="1" si="78"/>
        <v>1.6655421286290918E-2</v>
      </c>
      <c r="M259" s="1442"/>
      <c r="N259" s="1644">
        <f>VLOOKUP($B259,[1]BOLETIM_SEL!$A:$H,3,0)</f>
        <v>0</v>
      </c>
      <c r="O259" s="1649">
        <f t="shared" ca="1" si="77"/>
        <v>0</v>
      </c>
      <c r="Q259" s="832"/>
      <c r="R259" s="832"/>
      <c r="S259" s="832"/>
      <c r="T259" s="832"/>
      <c r="U259" s="832"/>
      <c r="V259" s="832"/>
      <c r="W259" s="832"/>
      <c r="X259" s="832"/>
    </row>
    <row r="260" spans="1:24" s="812" customFormat="1" ht="39.950000000000003" customHeight="1" x14ac:dyDescent="0.15">
      <c r="A260" s="2072">
        <f t="shared" ca="1" si="79"/>
        <v>5.0399999999999991</v>
      </c>
      <c r="B260" s="833" t="s">
        <v>1744</v>
      </c>
      <c r="C260" s="2" t="str">
        <f>VLOOKUP($B260,[1]BOLETIM_SEL!$A:$H,2,0)</f>
        <v>COMPOSIÇÃO</v>
      </c>
      <c r="D260" s="315" t="str">
        <f>VLOOKUP($B260,[1]BOLETIM_SEL!$A:$H,4,0)</f>
        <v>Tampão F°F° articulado, classe D400, carga máxima 40 T, redondo tampa 600 mm para rede pluvial/esgoto. Incluindo fornecimento, assentamento e requadro em concreto FCK 20mpa, de 1,00m x 1,00m x 0,20m</v>
      </c>
      <c r="E260" s="2"/>
      <c r="F260" s="2" t="str">
        <f>VLOOKUP($B260,[1]BOLETIM_SEL!$A:$H,6,0)</f>
        <v xml:space="preserve">UN </v>
      </c>
      <c r="G260" s="1407">
        <f>VLOOKUP($B260,[1]BOLETIM_SEL!$A:$H,7,0)</f>
        <v>778.31</v>
      </c>
      <c r="H260" s="1606">
        <f ca="1">Dre_Disp_Estruturais!AE84</f>
        <v>10</v>
      </c>
      <c r="I260" s="876">
        <f t="shared" si="80"/>
        <v>949.53</v>
      </c>
      <c r="J260" s="1607">
        <f ca="1">TRUNC(H260*I260,2)</f>
        <v>9495.2999999999993</v>
      </c>
      <c r="K260" s="2069">
        <f t="shared" ca="1" si="75"/>
        <v>2.5809069185086888E-3</v>
      </c>
      <c r="L260" s="1570">
        <f t="shared" ca="1" si="78"/>
        <v>4.4426153643383932E-2</v>
      </c>
      <c r="M260" s="1439"/>
      <c r="N260" s="1870">
        <f>VLOOKUP($B260,[1]BOLETIM_SEL!$A:$H,3,0)</f>
        <v>53</v>
      </c>
      <c r="O260" s="1649">
        <f t="shared" ca="1" si="77"/>
        <v>530</v>
      </c>
      <c r="Q260" s="832"/>
      <c r="R260" s="832"/>
      <c r="S260" s="832"/>
      <c r="T260" s="832"/>
      <c r="U260" s="832"/>
      <c r="V260" s="832"/>
      <c r="W260" s="832"/>
      <c r="X260" s="832"/>
    </row>
    <row r="261" spans="1:24" s="812" customFormat="1" ht="39.950000000000003" customHeight="1" x14ac:dyDescent="0.15">
      <c r="A261" s="2072">
        <f t="shared" ca="1" si="79"/>
        <v>5.0499999999999989</v>
      </c>
      <c r="B261" s="833" t="s">
        <v>272</v>
      </c>
      <c r="C261" s="2" t="str">
        <f>VLOOKUP($B261,[1]BOLETIM_SEL!$A:$H,2,0)</f>
        <v>COMPOSIÇÃO</v>
      </c>
      <c r="D261" s="315" t="str">
        <f>VLOOKUP($B261,[1]BOLETIM_SEL!$A:$H,4,0)</f>
        <v>CP-1 - Caixa de Passagem, com dimensões internas de  1,92m x 1,92m x 1,60m (bxbxh), em alvenaria de bloco de concreto estrutural FBK 8 MPa, conforme projeto tipo</v>
      </c>
      <c r="E261" s="2"/>
      <c r="F261" s="2" t="str">
        <f>VLOOKUP($B261,[1]BOLETIM_SEL!$A:$H,6,0)</f>
        <v>UN</v>
      </c>
      <c r="G261" s="1407">
        <f>VLOOKUP($B261,[1]BOLETIM_SEL!$A:$H,7,0)</f>
        <v>6321.63</v>
      </c>
      <c r="H261" s="1606">
        <f>Dre_Disp_Estruturais!AE99</f>
        <v>2</v>
      </c>
      <c r="I261" s="876">
        <f t="shared" si="80"/>
        <v>7712.38</v>
      </c>
      <c r="J261" s="1607">
        <f t="shared" si="81"/>
        <v>15424.76</v>
      </c>
      <c r="K261" s="2069">
        <f t="shared" ca="1" si="75"/>
        <v>4.1925868377340461E-3</v>
      </c>
      <c r="L261" s="1570">
        <f t="shared" ca="1" si="78"/>
        <v>7.2168626338538308E-2</v>
      </c>
      <c r="M261" s="1442"/>
      <c r="N261" s="1870">
        <f>VLOOKUP($B261,[1]BOLETIM_SEL!$A:$H,3,0)</f>
        <v>0</v>
      </c>
      <c r="O261" s="1649">
        <f t="shared" si="77"/>
        <v>0</v>
      </c>
      <c r="Q261" s="832"/>
      <c r="R261" s="832"/>
      <c r="S261" s="832"/>
      <c r="T261" s="832"/>
      <c r="U261" s="832"/>
      <c r="V261" s="832"/>
      <c r="W261" s="832"/>
      <c r="X261" s="832"/>
    </row>
    <row r="262" spans="1:24" s="812" customFormat="1" ht="39.950000000000003" hidden="1" customHeight="1" x14ac:dyDescent="0.15">
      <c r="A262" s="2072">
        <f t="shared" ca="1" si="79"/>
        <v>5.0499999999999989</v>
      </c>
      <c r="B262" s="833" t="s">
        <v>1730</v>
      </c>
      <c r="C262" s="2" t="str">
        <f>VLOOKUP($B262,[1]BOLETIM_SEL!$A:$H,2,0)</f>
        <v>COMPOSIÇÃO</v>
      </c>
      <c r="D262" s="315" t="str">
        <f>VLOOKUP($B262,[1]BOLETIM_SEL!$A:$H,4,0)</f>
        <v>CP-2 - Caixa de Passagem, com dimensões internas de  1,92m x 2,82m x 2,00m (bxbxh), em alvenaria de bloco de concreto estrutural FBK 8 MPa, conforme projeto tipo</v>
      </c>
      <c r="E262" s="2"/>
      <c r="F262" s="2" t="str">
        <f>VLOOKUP($B262,[1]BOLETIM_SEL!$A:$H,6,0)</f>
        <v>UN</v>
      </c>
      <c r="G262" s="1407">
        <f>VLOOKUP($B262,[1]BOLETIM_SEL!$A:$H,7,0)</f>
        <v>9039.93</v>
      </c>
      <c r="H262" s="1606">
        <f>Dre_Disp_Estruturais!AE100</f>
        <v>0</v>
      </c>
      <c r="I262" s="876">
        <f t="shared" si="80"/>
        <v>11028.71</v>
      </c>
      <c r="J262" s="1607">
        <f t="shared" si="81"/>
        <v>0</v>
      </c>
      <c r="K262" s="2069">
        <f t="shared" ca="1" si="75"/>
        <v>0</v>
      </c>
      <c r="L262" s="1570">
        <f t="shared" ca="1" si="78"/>
        <v>0</v>
      </c>
      <c r="M262" s="1442"/>
      <c r="N262" s="1870">
        <f>VLOOKUP($B262,[1]BOLETIM_SEL!$A:$H,3,0)</f>
        <v>0</v>
      </c>
      <c r="O262" s="1649">
        <f t="shared" si="77"/>
        <v>0</v>
      </c>
      <c r="Q262" s="832"/>
      <c r="R262" s="832"/>
      <c r="S262" s="832"/>
      <c r="T262" s="832"/>
      <c r="U262" s="832"/>
      <c r="V262" s="832"/>
      <c r="W262" s="832"/>
      <c r="X262" s="832"/>
    </row>
    <row r="263" spans="1:24" s="812" customFormat="1" ht="39.950000000000003" hidden="1" customHeight="1" x14ac:dyDescent="0.15">
      <c r="A263" s="2072">
        <f t="shared" ca="1" si="79"/>
        <v>5.0499999999999989</v>
      </c>
      <c r="B263" s="833" t="s">
        <v>282</v>
      </c>
      <c r="C263" s="2" t="str">
        <f>VLOOKUP($B263,[1]BOLETIM_SEL!$A:$H,2,0)</f>
        <v>COMPOSIÇÃO</v>
      </c>
      <c r="D263" s="315" t="str">
        <f>VLOOKUP($B263,[1]BOLETIM_SEL!$A:$H,4,0)</f>
        <v>CP-3 - Caixa de Passagem, com dimensões internas de 1,98m x 3,48m x 2,00m (bxbxh), em alvenaria de bloco de concreto estrutural FBK 14mpa, conforme projeto tipo</v>
      </c>
      <c r="E263" s="2"/>
      <c r="F263" s="2" t="str">
        <f>VLOOKUP($B263,[1]BOLETIM_SEL!$A:$H,6,0)</f>
        <v>UN</v>
      </c>
      <c r="G263" s="1407">
        <f>VLOOKUP($B263,[1]BOLETIM_SEL!$A:$H,7,0)</f>
        <v>10637.08</v>
      </c>
      <c r="H263" s="1606">
        <f>Dre_Disp_Estruturais!AE101</f>
        <v>0</v>
      </c>
      <c r="I263" s="876">
        <f t="shared" si="80"/>
        <v>12977.23</v>
      </c>
      <c r="J263" s="1607">
        <f t="shared" si="81"/>
        <v>0</v>
      </c>
      <c r="K263" s="2069">
        <f t="shared" ca="1" si="75"/>
        <v>0</v>
      </c>
      <c r="L263" s="1570">
        <f t="shared" ca="1" si="78"/>
        <v>0</v>
      </c>
      <c r="M263" s="1442"/>
      <c r="N263" s="1870">
        <f>VLOOKUP($B263,[1]BOLETIM_SEL!$A:$H,3,0)</f>
        <v>0</v>
      </c>
      <c r="O263" s="1649">
        <f t="shared" si="77"/>
        <v>0</v>
      </c>
      <c r="Q263" s="832"/>
      <c r="R263" s="832"/>
      <c r="S263" s="832"/>
      <c r="T263" s="832"/>
      <c r="U263" s="832"/>
      <c r="V263" s="832"/>
      <c r="W263" s="832"/>
      <c r="X263" s="832"/>
    </row>
    <row r="264" spans="1:24" s="812" customFormat="1" ht="39.950000000000003" hidden="1" customHeight="1" x14ac:dyDescent="0.15">
      <c r="A264" s="2072">
        <f t="shared" ca="1" si="79"/>
        <v>5.0499999999999989</v>
      </c>
      <c r="B264" s="833" t="s">
        <v>283</v>
      </c>
      <c r="C264" s="2" t="str">
        <f>VLOOKUP($B264,[1]BOLETIM_SEL!$A:$H,2,0)</f>
        <v>COMPOSIÇÃO</v>
      </c>
      <c r="D264" s="315" t="str">
        <f>VLOOKUP($B264,[1]BOLETIM_SEL!$A:$H,4,0)</f>
        <v>CC 1 - Caixa Coletora  2,32x2,32m, com dimensões internas de 2,32m x 2,32m x 1,50m (bxbxh), em alvenaria de bloco de concreto estrutural FBK 14mpa, inclusive grelha (0,60X0,6)m no centro, conforme projeto tipo. Exclusive pescoço.</v>
      </c>
      <c r="E264" s="2"/>
      <c r="F264" s="2" t="str">
        <f>VLOOKUP($B264,[1]BOLETIM_SEL!$A:$H,6,0)</f>
        <v>UN</v>
      </c>
      <c r="G264" s="1407">
        <f>VLOOKUP($B264,[1]BOLETIM_SEL!$A:$H,7,0)</f>
        <v>4862.33</v>
      </c>
      <c r="H264" s="1606">
        <f>Dre_Disp_Estruturais!AE102</f>
        <v>0</v>
      </c>
      <c r="I264" s="876">
        <f t="shared" si="80"/>
        <v>5932.04</v>
      </c>
      <c r="J264" s="1607">
        <f t="shared" si="81"/>
        <v>0</v>
      </c>
      <c r="K264" s="2069">
        <f t="shared" ca="1" si="75"/>
        <v>0</v>
      </c>
      <c r="L264" s="1570">
        <f t="shared" ca="1" si="78"/>
        <v>0</v>
      </c>
      <c r="M264" s="1442"/>
      <c r="N264" s="1870">
        <f>VLOOKUP($B264,[1]BOLETIM_SEL!$A:$H,3,0)</f>
        <v>0</v>
      </c>
      <c r="O264" s="1649">
        <f t="shared" si="77"/>
        <v>0</v>
      </c>
      <c r="Q264" s="832"/>
      <c r="R264" s="832"/>
      <c r="S264" s="832"/>
      <c r="T264" s="832"/>
      <c r="U264" s="832"/>
      <c r="V264" s="832"/>
      <c r="W264" s="832"/>
      <c r="X264" s="832"/>
    </row>
    <row r="265" spans="1:24" s="812" customFormat="1" ht="39.950000000000003" hidden="1" customHeight="1" x14ac:dyDescent="0.15">
      <c r="A265" s="2072">
        <f t="shared" ca="1" si="79"/>
        <v>5.0499999999999989</v>
      </c>
      <c r="B265" s="833" t="s">
        <v>189</v>
      </c>
      <c r="C265" s="2" t="str">
        <f>VLOOKUP($B265,[1]BOLETIM_SEL!$A:$H,2,0)</f>
        <v>CRIAR COMPOSIÇÃO</v>
      </c>
      <c r="D265" s="315" t="str">
        <f>VLOOKUP($B265,[1]BOLETIM_SEL!$A:$H,4,0)</f>
        <v>CC 2 - Caixa Coletora  1,70 x 1,70m, inclusive grelha, conforme projeto tipo</v>
      </c>
      <c r="E265" s="2"/>
      <c r="F265" s="2" t="str">
        <f>VLOOKUP($B265,[1]BOLETIM_SEL!$A:$H,6,0)</f>
        <v>-</v>
      </c>
      <c r="G265" s="1407"/>
      <c r="H265" s="1606">
        <f>Dre_Disp_Estruturais!AE103</f>
        <v>0</v>
      </c>
      <c r="I265" s="876">
        <f t="shared" si="80"/>
        <v>0</v>
      </c>
      <c r="J265" s="1607">
        <f t="shared" si="81"/>
        <v>0</v>
      </c>
      <c r="K265" s="2069">
        <f t="shared" ca="1" si="75"/>
        <v>0</v>
      </c>
      <c r="L265" s="1570">
        <f t="shared" ca="1" si="78"/>
        <v>0</v>
      </c>
      <c r="M265" s="1442"/>
      <c r="N265" s="1870">
        <f>VLOOKUP($B265,[1]BOLETIM_SEL!$A:$H,3,0)</f>
        <v>0</v>
      </c>
      <c r="O265" s="1649">
        <f t="shared" si="77"/>
        <v>0</v>
      </c>
      <c r="Q265" s="832"/>
      <c r="R265" s="832"/>
      <c r="S265" s="832"/>
      <c r="T265" s="832"/>
      <c r="U265" s="832"/>
      <c r="V265" s="832"/>
      <c r="W265" s="832"/>
      <c r="X265" s="832"/>
    </row>
    <row r="266" spans="1:24" s="812" customFormat="1" ht="39.950000000000003" hidden="1" customHeight="1" x14ac:dyDescent="0.15">
      <c r="A266" s="2072">
        <f t="shared" ca="1" si="79"/>
        <v>5.0499999999999989</v>
      </c>
      <c r="B266" s="833" t="s">
        <v>190</v>
      </c>
      <c r="C266" s="2" t="str">
        <f>VLOOKUP($B266,[1]BOLETIM_SEL!$A:$H,2,0)</f>
        <v>COMPOSIÇÃO</v>
      </c>
      <c r="D266" s="315" t="str">
        <f>VLOOKUP($B266,[1]BOLETIM_SEL!$A:$H,4,0)</f>
        <v xml:space="preserve">BLSP - Boca-de-lobo simples com caixa no passeio, em concreto simples FCK 20 mpa, incluindo forma, escavação, laje e tampão em F°F° para passeio 47 x 70cm, conforme projeto </v>
      </c>
      <c r="E266" s="2"/>
      <c r="F266" s="2" t="str">
        <f>VLOOKUP($B266,[1]BOLETIM_SEL!$A:$H,6,0)</f>
        <v>UN</v>
      </c>
      <c r="G266" s="1407">
        <f>VLOOKUP($B266,[1]BOLETIM_SEL!$A:$H,7,0)</f>
        <v>1478.45</v>
      </c>
      <c r="H266" s="1606">
        <f>Dre_Disp_Estruturais!AE104</f>
        <v>0</v>
      </c>
      <c r="I266" s="876">
        <f t="shared" si="80"/>
        <v>1803.7</v>
      </c>
      <c r="J266" s="1607">
        <f t="shared" si="81"/>
        <v>0</v>
      </c>
      <c r="K266" s="2069">
        <f t="shared" ca="1" si="75"/>
        <v>0</v>
      </c>
      <c r="L266" s="1570">
        <f t="shared" ca="1" si="78"/>
        <v>0</v>
      </c>
      <c r="M266" s="2413" t="str">
        <f>VLOOKUP($B266,[1]BOLETIM_SEL!$A:$H,5,0)</f>
        <v>BOCA DE LOBO
no passeio</v>
      </c>
      <c r="N266" s="1870">
        <f>VLOOKUP($B266,[1]BOLETIM_SEL!$A:$H,3,0)</f>
        <v>0</v>
      </c>
      <c r="O266" s="1649">
        <f t="shared" si="77"/>
        <v>0</v>
      </c>
      <c r="Q266" s="832"/>
      <c r="R266" s="832"/>
      <c r="S266" s="832"/>
      <c r="T266" s="832"/>
      <c r="U266" s="832"/>
      <c r="V266" s="832"/>
      <c r="W266" s="832"/>
      <c r="X266" s="832"/>
    </row>
    <row r="267" spans="1:24" s="812" customFormat="1" ht="39.950000000000003" hidden="1" customHeight="1" x14ac:dyDescent="0.15">
      <c r="A267" s="2072">
        <f t="shared" ca="1" si="79"/>
        <v>5.0499999999999989</v>
      </c>
      <c r="B267" s="833" t="s">
        <v>1731</v>
      </c>
      <c r="C267" s="2" t="str">
        <f>VLOOKUP($B267,[1]BOLETIM_SEL!$A:$H,2,0)</f>
        <v>COMPOSIÇÃO</v>
      </c>
      <c r="D267" s="315" t="str">
        <f>VLOOKUP($B267,[1]BOLETIM_SEL!$A:$H,4,0)</f>
        <v xml:space="preserve">BLDP - Boca-de-lobo dupla com caixa no passeio, em concreto simples FCK 20 mpa, incluindo forma, escavação, laje e tampão em F°F° para passeio 47 x 70cm, conforme projeto </v>
      </c>
      <c r="E267" s="2"/>
      <c r="F267" s="2" t="str">
        <f>VLOOKUP($B267,[1]BOLETIM_SEL!$A:$H,6,0)</f>
        <v>UN</v>
      </c>
      <c r="G267" s="1407">
        <f>VLOOKUP($B267,[1]BOLETIM_SEL!$A:$H,7,0)</f>
        <v>2482.25</v>
      </c>
      <c r="H267" s="1606">
        <f>Dre_Disp_Estruturais!AE105</f>
        <v>0</v>
      </c>
      <c r="I267" s="876">
        <f t="shared" si="80"/>
        <v>3028.34</v>
      </c>
      <c r="J267" s="1607">
        <f t="shared" si="81"/>
        <v>0</v>
      </c>
      <c r="K267" s="2069">
        <f t="shared" ca="1" si="75"/>
        <v>0</v>
      </c>
      <c r="L267" s="1570">
        <f t="shared" ca="1" si="78"/>
        <v>0</v>
      </c>
      <c r="M267" s="2413"/>
      <c r="N267" s="1870">
        <f>VLOOKUP($B267,[1]BOLETIM_SEL!$A:$H,3,0)</f>
        <v>0</v>
      </c>
      <c r="O267" s="1649">
        <f t="shared" si="77"/>
        <v>0</v>
      </c>
      <c r="Q267" s="832"/>
      <c r="R267" s="832"/>
      <c r="S267" s="832"/>
      <c r="T267" s="832"/>
      <c r="U267" s="832"/>
      <c r="V267" s="832"/>
      <c r="W267" s="832"/>
      <c r="X267" s="832"/>
    </row>
    <row r="268" spans="1:24" s="812" customFormat="1" ht="39.950000000000003" hidden="1" customHeight="1" x14ac:dyDescent="0.15">
      <c r="A268" s="2072">
        <f t="shared" ca="1" si="79"/>
        <v>5.0499999999999989</v>
      </c>
      <c r="B268" s="833" t="s">
        <v>191</v>
      </c>
      <c r="C268" s="2" t="str">
        <f>VLOOKUP($B268,[1]BOLETIM_SEL!$A:$H,2,0)</f>
        <v>COMPOSIÇÃO</v>
      </c>
      <c r="D268" s="315" t="str">
        <f>VLOOKUP($B268,[1]BOLETIM_SEL!$A:$H,4,0)</f>
        <v xml:space="preserve">BLTP - Boca-de-lobo tripla com caixa no passeio, em concreto simples FCK 20 mpa, incluindo forma, escavação, laje e tampão em F°F° para passeio 47 x 70cm, conforme projeto </v>
      </c>
      <c r="E268" s="2"/>
      <c r="F268" s="2" t="str">
        <f>VLOOKUP($B268,[1]BOLETIM_SEL!$A:$H,6,0)</f>
        <v>UN</v>
      </c>
      <c r="G268" s="1407">
        <f>VLOOKUP($B268,[1]BOLETIM_SEL!$A:$H,7,0)</f>
        <v>3485.39</v>
      </c>
      <c r="H268" s="1606">
        <f>Dre_Disp_Estruturais!AE106</f>
        <v>0</v>
      </c>
      <c r="I268" s="876">
        <f t="shared" si="80"/>
        <v>4252.17</v>
      </c>
      <c r="J268" s="1607">
        <f t="shared" si="81"/>
        <v>0</v>
      </c>
      <c r="K268" s="2069">
        <f t="shared" ca="1" si="75"/>
        <v>0</v>
      </c>
      <c r="L268" s="1570">
        <f t="shared" ca="1" si="78"/>
        <v>0</v>
      </c>
      <c r="M268" s="2413"/>
      <c r="N268" s="1870">
        <f>VLOOKUP($B268,[1]BOLETIM_SEL!$A:$H,3,0)</f>
        <v>0</v>
      </c>
      <c r="O268" s="1649">
        <f t="shared" si="77"/>
        <v>0</v>
      </c>
      <c r="Q268" s="832"/>
      <c r="R268" s="832"/>
      <c r="S268" s="832"/>
      <c r="T268" s="832"/>
      <c r="U268" s="832"/>
      <c r="V268" s="832"/>
      <c r="W268" s="832"/>
      <c r="X268" s="832"/>
    </row>
    <row r="269" spans="1:24" s="812" customFormat="1" ht="39.950000000000003" customHeight="1" x14ac:dyDescent="0.15">
      <c r="A269" s="2072">
        <f t="shared" ca="1" si="79"/>
        <v>5.0599999999999987</v>
      </c>
      <c r="B269" s="833" t="s">
        <v>1732</v>
      </c>
      <c r="C269" s="2" t="str">
        <f>VLOOKUP($B269,[1]BOLETIM_SEL!$A:$H,2,0)</f>
        <v>COMPOSIÇÃO</v>
      </c>
      <c r="D269" s="315" t="str">
        <f>VLOOKUP($B269,[1]BOLETIM_SEL!$A:$H,4,0)</f>
        <v xml:space="preserve">BLSC - Boca-de-lobo simples em concreto simples FCK 20 mpa, incluindo forma, escavação, sarjeta de contorno (chama) em concreto e grelha em F°F° tipo pesada, conforme projeto </v>
      </c>
      <c r="E269" s="2"/>
      <c r="F269" s="2" t="str">
        <f>VLOOKUP($B269,[1]BOLETIM_SEL!$A:$H,6,0)</f>
        <v>UN</v>
      </c>
      <c r="G269" s="1407">
        <f>VLOOKUP($B269,[1]BOLETIM_SEL!$A:$H,7,0)</f>
        <v>1746.07</v>
      </c>
      <c r="H269" s="1606">
        <f>Dre_Disp_Estruturais!AE107</f>
        <v>15</v>
      </c>
      <c r="I269" s="876">
        <f t="shared" si="80"/>
        <v>2130.1999999999998</v>
      </c>
      <c r="J269" s="1607">
        <f t="shared" si="81"/>
        <v>31953</v>
      </c>
      <c r="K269" s="2069">
        <f t="shared" ca="1" si="75"/>
        <v>8.6851093453717242E-3</v>
      </c>
      <c r="L269" s="1570">
        <f t="shared" ca="1" si="78"/>
        <v>0.14950016190821216</v>
      </c>
      <c r="M269" s="2412" t="str">
        <f>VLOOKUP($B269,[1]BOLETIM_SEL!$A:$H,5,0)</f>
        <v>BOCA DE LOBO
em concreto</v>
      </c>
      <c r="N269" s="1870">
        <f>VLOOKUP($B269,[1]BOLETIM_SEL!$A:$H,3,0)</f>
        <v>0</v>
      </c>
      <c r="O269" s="1649">
        <f t="shared" si="77"/>
        <v>0</v>
      </c>
      <c r="Q269" s="832"/>
      <c r="R269" s="832"/>
      <c r="S269" s="832"/>
      <c r="T269" s="832"/>
      <c r="U269" s="832"/>
      <c r="V269" s="832"/>
      <c r="W269" s="832"/>
      <c r="X269" s="832"/>
    </row>
    <row r="270" spans="1:24" s="812" customFormat="1" ht="39.950000000000003" hidden="1" customHeight="1" x14ac:dyDescent="0.15">
      <c r="A270" s="2072">
        <f t="shared" ca="1" si="79"/>
        <v>5.0599999999999987</v>
      </c>
      <c r="B270" s="833" t="s">
        <v>192</v>
      </c>
      <c r="C270" s="2" t="str">
        <f>VLOOKUP($B270,[1]BOLETIM_SEL!$A:$H,2,0)</f>
        <v>COMPOSIÇÃO</v>
      </c>
      <c r="D270" s="315" t="str">
        <f>VLOOKUP($B270,[1]BOLETIM_SEL!$A:$H,4,0)</f>
        <v xml:space="preserve">BLDC - Boca-de-lobo dupla em concreto simples FCK 20 mpa, incluindo forma, escavação, sarjeta de contorno (chama) em concreto e grelhas em F°F° tipo pesada, conforme projeto </v>
      </c>
      <c r="E270" s="2"/>
      <c r="F270" s="2" t="str">
        <f>VLOOKUP($B270,[1]BOLETIM_SEL!$A:$H,6,0)</f>
        <v>UN</v>
      </c>
      <c r="G270" s="1407">
        <f>VLOOKUP($B270,[1]BOLETIM_SEL!$A:$H,7,0)</f>
        <v>3272.01</v>
      </c>
      <c r="H270" s="1606">
        <f>Dre_Disp_Estruturais!AE108</f>
        <v>0</v>
      </c>
      <c r="I270" s="876">
        <f t="shared" si="80"/>
        <v>3991.85</v>
      </c>
      <c r="J270" s="1607">
        <f t="shared" si="81"/>
        <v>0</v>
      </c>
      <c r="K270" s="2069">
        <f t="shared" ca="1" si="75"/>
        <v>0</v>
      </c>
      <c r="L270" s="1570">
        <f t="shared" ca="1" si="78"/>
        <v>0</v>
      </c>
      <c r="M270" s="2412"/>
      <c r="N270" s="1870">
        <f>VLOOKUP($B270,[1]BOLETIM_SEL!$A:$H,3,0)</f>
        <v>0</v>
      </c>
      <c r="O270" s="1649">
        <f t="shared" si="77"/>
        <v>0</v>
      </c>
      <c r="Q270" s="832"/>
      <c r="R270" s="832"/>
      <c r="S270" s="832"/>
      <c r="T270" s="832"/>
      <c r="U270" s="832"/>
      <c r="V270" s="832"/>
      <c r="W270" s="832"/>
      <c r="X270" s="832"/>
    </row>
    <row r="271" spans="1:24" s="812" customFormat="1" ht="39.950000000000003" customHeight="1" x14ac:dyDescent="0.15">
      <c r="A271" s="2072">
        <f t="shared" ca="1" si="79"/>
        <v>5.0699999999999985</v>
      </c>
      <c r="B271" s="833" t="s">
        <v>1733</v>
      </c>
      <c r="C271" s="2" t="str">
        <f>VLOOKUP($B271,[1]BOLETIM_SEL!$A:$H,2,0)</f>
        <v>COMPOSIÇÃO</v>
      </c>
      <c r="D271" s="315" t="str">
        <f>VLOOKUP($B271,[1]BOLETIM_SEL!$A:$H,4,0)</f>
        <v xml:space="preserve">BLTC - Boca-de-lobo tripla em concreto simples FCK 20 mpa, incluindo forma, escavação, sarjeta de contorno (chama) em concreto e grelhas em F°F° tipo pesada, conforme projeto </v>
      </c>
      <c r="E271" s="2"/>
      <c r="F271" s="2" t="str">
        <f>VLOOKUP($B271,[1]BOLETIM_SEL!$A:$H,6,0)</f>
        <v>UN</v>
      </c>
      <c r="G271" s="1407">
        <f>VLOOKUP($B271,[1]BOLETIM_SEL!$A:$H,7,0)</f>
        <v>4797.95</v>
      </c>
      <c r="H271" s="1606">
        <f>Dre_Disp_Estruturais!AE109</f>
        <v>15</v>
      </c>
      <c r="I271" s="876">
        <f t="shared" si="80"/>
        <v>5853.49</v>
      </c>
      <c r="J271" s="1607">
        <f t="shared" si="81"/>
        <v>87802.35</v>
      </c>
      <c r="K271" s="2069">
        <f t="shared" ca="1" si="75"/>
        <v>2.3865458971946269E-2</v>
      </c>
      <c r="L271" s="1570">
        <f t="shared" ca="1" si="78"/>
        <v>0.41080541861238418</v>
      </c>
      <c r="M271" s="2412"/>
      <c r="N271" s="1870">
        <f>VLOOKUP($B271,[1]BOLETIM_SEL!$A:$H,3,0)</f>
        <v>0</v>
      </c>
      <c r="O271" s="1649">
        <f t="shared" si="77"/>
        <v>0</v>
      </c>
      <c r="Q271" s="832"/>
      <c r="R271" s="832"/>
      <c r="S271" s="832"/>
      <c r="T271" s="832"/>
      <c r="U271" s="832"/>
      <c r="V271" s="832"/>
      <c r="W271" s="832"/>
      <c r="X271" s="832"/>
    </row>
    <row r="272" spans="1:24" s="812" customFormat="1" ht="39.950000000000003" hidden="1" customHeight="1" x14ac:dyDescent="0.15">
      <c r="A272" s="2072">
        <f t="shared" ca="1" si="79"/>
        <v>5.0699999999999985</v>
      </c>
      <c r="B272" s="833" t="s">
        <v>1735</v>
      </c>
      <c r="C272" s="2" t="str">
        <f>VLOOKUP($B272,[1]BOLETIM_SEL!$A:$H,2,0)</f>
        <v>COMPOSIÇÃO</v>
      </c>
      <c r="D272" s="315" t="str">
        <f>VLOOKUP($B272,[1]BOLETIM_SEL!$A:$H,4,0)</f>
        <v>Boca-de-bueiro simples tubular - BBST  D = 0,40m, em concreto ciclópico com 30% de pedra-de-mão, conforme projeto tipo (0,66m³/un)</v>
      </c>
      <c r="E272" s="2"/>
      <c r="F272" s="2" t="str">
        <f>VLOOKUP($B272,[1]BOLETIM_SEL!$A:$H,6,0)</f>
        <v xml:space="preserve">UN </v>
      </c>
      <c r="G272" s="1407">
        <f>VLOOKUP($B272,[1]BOLETIM_SEL!$A:$H,7,0)</f>
        <v>992.34</v>
      </c>
      <c r="H272" s="1606">
        <f>Dre_Disp_Estruturais!AE113</f>
        <v>0</v>
      </c>
      <c r="I272" s="876">
        <f t="shared" si="80"/>
        <v>1210.6500000000001</v>
      </c>
      <c r="J272" s="1607">
        <f t="shared" si="81"/>
        <v>0</v>
      </c>
      <c r="K272" s="2069">
        <f t="shared" ca="1" si="75"/>
        <v>0</v>
      </c>
      <c r="L272" s="1570">
        <f t="shared" ca="1" si="78"/>
        <v>0</v>
      </c>
      <c r="M272" s="1442"/>
      <c r="N272" s="832"/>
      <c r="O272" s="832"/>
      <c r="Q272" s="832"/>
      <c r="R272" s="832"/>
      <c r="S272" s="832"/>
      <c r="T272" s="832"/>
      <c r="U272" s="832"/>
      <c r="V272" s="832"/>
      <c r="W272" s="832"/>
      <c r="X272" s="832"/>
    </row>
    <row r="273" spans="1:24" s="812" customFormat="1" ht="39.950000000000003" hidden="1" customHeight="1" x14ac:dyDescent="0.15">
      <c r="A273" s="2072">
        <f t="shared" ca="1" si="79"/>
        <v>5.0699999999999985</v>
      </c>
      <c r="B273" s="833" t="s">
        <v>1736</v>
      </c>
      <c r="C273" s="2" t="str">
        <f>VLOOKUP($B273,[1]BOLETIM_SEL!$A:$H,2,0)</f>
        <v>COMPOSIÇÃO</v>
      </c>
      <c r="D273" s="315" t="str">
        <f>VLOOKUP($B273,[1]BOLETIM_SEL!$A:$H,4,0)</f>
        <v>Boca-de-bueiro simples tubular - BBST  D = 0,60m, em concreto ciclópico com 30% de pedra-de-mão, conforme projeto tipo (1,24m³/un)</v>
      </c>
      <c r="E273" s="2"/>
      <c r="F273" s="2" t="str">
        <f>VLOOKUP($B273,[1]BOLETIM_SEL!$A:$H,6,0)</f>
        <v xml:space="preserve">UN </v>
      </c>
      <c r="G273" s="1407">
        <f>VLOOKUP($B273,[1]BOLETIM_SEL!$A:$H,7,0)</f>
        <v>1632.71</v>
      </c>
      <c r="H273" s="1606">
        <f>Dre_Disp_Estruturais!AE114</f>
        <v>0</v>
      </c>
      <c r="I273" s="876">
        <f t="shared" si="80"/>
        <v>1991.9</v>
      </c>
      <c r="J273" s="1607">
        <f t="shared" si="81"/>
        <v>0</v>
      </c>
      <c r="K273" s="2069">
        <f t="shared" ca="1" si="75"/>
        <v>0</v>
      </c>
      <c r="L273" s="1570">
        <f t="shared" ca="1" si="78"/>
        <v>0</v>
      </c>
      <c r="M273" s="1442"/>
      <c r="N273" s="832"/>
      <c r="O273" s="832"/>
      <c r="Q273" s="832"/>
      <c r="R273" s="832"/>
      <c r="S273" s="832"/>
      <c r="T273" s="832"/>
      <c r="U273" s="832"/>
      <c r="V273" s="832"/>
      <c r="W273" s="832"/>
      <c r="X273" s="832"/>
    </row>
    <row r="274" spans="1:24" s="812" customFormat="1" ht="39.950000000000003" hidden="1" customHeight="1" x14ac:dyDescent="0.15">
      <c r="A274" s="2072">
        <f t="shared" ca="1" si="79"/>
        <v>5.0699999999999985</v>
      </c>
      <c r="B274" s="833" t="s">
        <v>1737</v>
      </c>
      <c r="C274" s="2" t="str">
        <f>VLOOKUP($B274,[1]BOLETIM_SEL!$A:$H,2,0)</f>
        <v>COMPOSIÇÃO</v>
      </c>
      <c r="D274" s="315" t="str">
        <f>VLOOKUP($B274,[1]BOLETIM_SEL!$A:$H,4,0)</f>
        <v>Boca-de-bueiro simples tubular - BBST  D = 0,80m, em concreto ciclópico com 30% de pedra-de-mão, conforme projeto tipo (2,23m³/un)</v>
      </c>
      <c r="E274" s="2"/>
      <c r="F274" s="2" t="str">
        <f>VLOOKUP($B274,[1]BOLETIM_SEL!$A:$H,6,0)</f>
        <v xml:space="preserve">UN </v>
      </c>
      <c r="G274" s="1407">
        <f>VLOOKUP($B274,[1]BOLETIM_SEL!$A:$H,7,0)</f>
        <v>2631.17</v>
      </c>
      <c r="H274" s="1606">
        <f>Dre_Disp_Estruturais!AE115</f>
        <v>0</v>
      </c>
      <c r="I274" s="876">
        <f t="shared" si="80"/>
        <v>3210.02</v>
      </c>
      <c r="J274" s="1607">
        <f t="shared" si="81"/>
        <v>0</v>
      </c>
      <c r="K274" s="2069">
        <f t="shared" ca="1" si="75"/>
        <v>0</v>
      </c>
      <c r="L274" s="1570">
        <f t="shared" ca="1" si="78"/>
        <v>0</v>
      </c>
      <c r="M274" s="1442"/>
      <c r="N274" s="832"/>
      <c r="O274" s="832"/>
      <c r="Q274" s="832"/>
      <c r="R274" s="832"/>
      <c r="S274" s="832"/>
      <c r="T274" s="832"/>
      <c r="U274" s="832"/>
      <c r="V274" s="832"/>
      <c r="W274" s="832"/>
      <c r="X274" s="832"/>
    </row>
    <row r="275" spans="1:24" s="812" customFormat="1" ht="39.950000000000003" hidden="1" customHeight="1" x14ac:dyDescent="0.15">
      <c r="A275" s="2072">
        <f t="shared" ca="1" si="79"/>
        <v>5.0699999999999985</v>
      </c>
      <c r="B275" s="833" t="s">
        <v>1738</v>
      </c>
      <c r="C275" s="2" t="str">
        <f>VLOOKUP($B275,[1]BOLETIM_SEL!$A:$H,2,0)</f>
        <v>COMPOSIÇÃO</v>
      </c>
      <c r="D275" s="315" t="str">
        <f>VLOOKUP($B275,[1]BOLETIM_SEL!$A:$H,4,0)</f>
        <v>Boca-de-bueiro simples tubular - BBST  D = 1,00m, em concreto ciclópico com 30% de pedra-de-mão, conforme projeto tipo (3,63m³/un)</v>
      </c>
      <c r="E275" s="2"/>
      <c r="F275" s="2" t="str">
        <f>VLOOKUP($B275,[1]BOLETIM_SEL!$A:$H,6,0)</f>
        <v xml:space="preserve">UN </v>
      </c>
      <c r="G275" s="1407">
        <f>VLOOKUP($B275,[1]BOLETIM_SEL!$A:$H,7,0)</f>
        <v>3937.51</v>
      </c>
      <c r="H275" s="1606">
        <f>Dre_Disp_Estruturais!AE116</f>
        <v>0</v>
      </c>
      <c r="I275" s="876">
        <f t="shared" si="80"/>
        <v>4803.76</v>
      </c>
      <c r="J275" s="1607">
        <f t="shared" si="81"/>
        <v>0</v>
      </c>
      <c r="K275" s="2069">
        <f t="shared" ca="1" si="75"/>
        <v>0</v>
      </c>
      <c r="L275" s="1570">
        <f t="shared" ca="1" si="78"/>
        <v>0</v>
      </c>
      <c r="M275" s="1442"/>
      <c r="N275" s="832"/>
      <c r="O275" s="832"/>
      <c r="Q275" s="832"/>
      <c r="R275" s="832"/>
      <c r="S275" s="832"/>
      <c r="T275" s="832"/>
      <c r="U275" s="832"/>
      <c r="V275" s="832"/>
      <c r="W275" s="832"/>
      <c r="X275" s="832"/>
    </row>
    <row r="276" spans="1:24" s="812" customFormat="1" ht="39.950000000000003" hidden="1" customHeight="1" x14ac:dyDescent="0.15">
      <c r="A276" s="2072">
        <f t="shared" ca="1" si="79"/>
        <v>5.0699999999999985</v>
      </c>
      <c r="B276" s="833" t="s">
        <v>1739</v>
      </c>
      <c r="C276" s="2" t="str">
        <f>VLOOKUP($B276,[1]BOLETIM_SEL!$A:$H,2,0)</f>
        <v>COMPOSIÇÃO</v>
      </c>
      <c r="D276" s="315" t="str">
        <f>VLOOKUP($B276,[1]BOLETIM_SEL!$A:$H,4,0)</f>
        <v>Boca-de-bueiro simples tubular - BBST  D = 1,20m, em concreto ciclópico com 30% de pedra-de-mão, conforme projeto tipo (5,40m³/un)</v>
      </c>
      <c r="E276" s="2"/>
      <c r="F276" s="2" t="str">
        <f>VLOOKUP($B276,[1]BOLETIM_SEL!$A:$H,6,0)</f>
        <v xml:space="preserve">UN </v>
      </c>
      <c r="G276" s="1407">
        <f>VLOOKUP($B276,[1]BOLETIM_SEL!$A:$H,7,0)</f>
        <v>5497.28</v>
      </c>
      <c r="H276" s="1606">
        <f>Dre_Disp_Estruturais!AE117</f>
        <v>0</v>
      </c>
      <c r="I276" s="876">
        <f t="shared" si="80"/>
        <v>6706.68</v>
      </c>
      <c r="J276" s="1607">
        <f t="shared" si="81"/>
        <v>0</v>
      </c>
      <c r="K276" s="2069">
        <f t="shared" ca="1" si="75"/>
        <v>0</v>
      </c>
      <c r="L276" s="1570">
        <f t="shared" ca="1" si="78"/>
        <v>0</v>
      </c>
      <c r="M276" s="1442"/>
      <c r="N276" s="832"/>
      <c r="O276" s="832"/>
      <c r="Q276" s="832"/>
      <c r="R276" s="832"/>
      <c r="S276" s="832"/>
      <c r="T276" s="832"/>
      <c r="U276" s="832"/>
      <c r="V276" s="832"/>
      <c r="W276" s="832"/>
      <c r="X276" s="832"/>
    </row>
    <row r="277" spans="1:24" s="812" customFormat="1" ht="39.950000000000003" hidden="1" customHeight="1" x14ac:dyDescent="0.15">
      <c r="A277" s="2072">
        <f t="shared" ca="1" si="79"/>
        <v>5.0699999999999985</v>
      </c>
      <c r="B277" s="833" t="s">
        <v>197</v>
      </c>
      <c r="C277" s="2" t="str">
        <f>VLOOKUP($B277,[1]BOLETIM_SEL!$A:$H,2,0)</f>
        <v>COMPOSIÇÃO</v>
      </c>
      <c r="D277" s="315" t="str">
        <f>VLOOKUP($B277,[1]BOLETIM_SEL!$A:$H,4,0)</f>
        <v>Boca-de-bueiro simples tubular - BBST  D = 1,50m, em concreto ciclópico com 30% de pedra-de-mão, conforme projeto tipo (8,95m³/un)</v>
      </c>
      <c r="E277" s="2"/>
      <c r="F277" s="2" t="str">
        <f>VLOOKUP($B277,[1]BOLETIM_SEL!$A:$H,6,0)</f>
        <v xml:space="preserve">UN </v>
      </c>
      <c r="G277" s="1407">
        <f>VLOOKUP($B277,[1]BOLETIM_SEL!$A:$H,7,0)</f>
        <v>8460.57</v>
      </c>
      <c r="H277" s="1606">
        <f>Dre_Disp_Estruturais!AE118</f>
        <v>0</v>
      </c>
      <c r="I277" s="876">
        <f t="shared" si="80"/>
        <v>10321.89</v>
      </c>
      <c r="J277" s="1607">
        <f t="shared" si="81"/>
        <v>0</v>
      </c>
      <c r="K277" s="2069">
        <f t="shared" ca="1" si="75"/>
        <v>0</v>
      </c>
      <c r="L277" s="1570">
        <f t="shared" ca="1" si="78"/>
        <v>0</v>
      </c>
      <c r="M277" s="1442"/>
      <c r="N277" s="832"/>
      <c r="O277" s="832"/>
      <c r="Q277" s="832"/>
      <c r="R277" s="832"/>
      <c r="S277" s="832"/>
      <c r="T277" s="832"/>
      <c r="U277" s="832"/>
      <c r="V277" s="832"/>
      <c r="W277" s="832"/>
      <c r="X277" s="832"/>
    </row>
    <row r="278" spans="1:24" s="812" customFormat="1" ht="39.950000000000003" hidden="1" customHeight="1" x14ac:dyDescent="0.15">
      <c r="A278" s="2072">
        <f t="shared" ca="1" si="79"/>
        <v>5.0699999999999985</v>
      </c>
      <c r="B278" s="833" t="s">
        <v>1740</v>
      </c>
      <c r="C278" s="2" t="str">
        <f>VLOOKUP($B278,[1]BOLETIM_SEL!$A:$H,2,0)</f>
        <v>COMPOSIÇÃO</v>
      </c>
      <c r="D278" s="315" t="str">
        <f>VLOOKUP($B278,[1]BOLETIM_SEL!$A:$H,4,0)</f>
        <v>Boca-de-bueiro simples celular - 1,50m x 1,50m, em concreto armado FCK 20 mpa, conforme projeto tipo (REF. SICRO COD. 0705225)</v>
      </c>
      <c r="E278" s="2"/>
      <c r="F278" s="2" t="str">
        <f>VLOOKUP($B278,[1]BOLETIM_SEL!$A:$H,6,0)</f>
        <v xml:space="preserve">UN </v>
      </c>
      <c r="G278" s="1407">
        <f>VLOOKUP($B278,[1]BOLETIM_SEL!$A:$H,7,0)</f>
        <v>16900.080000000002</v>
      </c>
      <c r="H278" s="1606">
        <f>Dre_Disp_Estruturais!AE119</f>
        <v>0</v>
      </c>
      <c r="I278" s="876">
        <f t="shared" si="80"/>
        <v>20618.09</v>
      </c>
      <c r="J278" s="1607">
        <f t="shared" si="81"/>
        <v>0</v>
      </c>
      <c r="K278" s="2069">
        <f t="shared" ca="1" si="75"/>
        <v>0</v>
      </c>
      <c r="L278" s="1570">
        <f t="shared" ca="1" si="78"/>
        <v>0</v>
      </c>
      <c r="M278" s="1442"/>
      <c r="N278" s="832"/>
      <c r="O278" s="832"/>
      <c r="Q278" s="832"/>
      <c r="R278" s="832"/>
      <c r="S278" s="832"/>
      <c r="T278" s="832"/>
      <c r="U278" s="832"/>
      <c r="V278" s="832"/>
      <c r="W278" s="832"/>
      <c r="X278" s="832"/>
    </row>
    <row r="279" spans="1:24" s="812" customFormat="1" ht="39.950000000000003" hidden="1" customHeight="1" x14ac:dyDescent="0.15">
      <c r="A279" s="2072">
        <f t="shared" ca="1" si="79"/>
        <v>5.0699999999999985</v>
      </c>
      <c r="B279" s="833" t="s">
        <v>1741</v>
      </c>
      <c r="C279" s="2" t="str">
        <f>VLOOKUP($B279,[1]BOLETIM_SEL!$A:$H,2,0)</f>
        <v>COMPOSIÇÃO</v>
      </c>
      <c r="D279" s="315" t="str">
        <f>VLOOKUP($B279,[1]BOLETIM_SEL!$A:$H,4,0)</f>
        <v>Boca-de-bueiro simples celular - 2,00m x 2,00m, em concreto armado FCK 20 mpa, conforme projeto tipo (REF. SICRO COD. 0705233)</v>
      </c>
      <c r="E279" s="2"/>
      <c r="F279" s="2" t="str">
        <f>VLOOKUP($B279,[1]BOLETIM_SEL!$A:$H,6,0)</f>
        <v xml:space="preserve">UN </v>
      </c>
      <c r="G279" s="1407">
        <f>VLOOKUP($B279,[1]BOLETIM_SEL!$A:$H,7,0)</f>
        <v>25876.06</v>
      </c>
      <c r="H279" s="1606">
        <f>Dre_Disp_Estruturais!AE120</f>
        <v>0</v>
      </c>
      <c r="I279" s="876">
        <f t="shared" si="80"/>
        <v>31568.79</v>
      </c>
      <c r="J279" s="1607">
        <f t="shared" si="81"/>
        <v>0</v>
      </c>
      <c r="K279" s="2069">
        <f t="shared" ca="1" si="75"/>
        <v>0</v>
      </c>
      <c r="L279" s="1570">
        <f t="shared" ca="1" si="78"/>
        <v>0</v>
      </c>
      <c r="M279" s="1442"/>
      <c r="N279" s="832"/>
      <c r="O279" s="832"/>
      <c r="Q279" s="832"/>
      <c r="R279" s="832"/>
      <c r="S279" s="832"/>
      <c r="T279" s="832"/>
      <c r="U279" s="832"/>
      <c r="V279" s="832"/>
      <c r="W279" s="832"/>
      <c r="X279" s="832"/>
    </row>
    <row r="280" spans="1:24" s="812" customFormat="1" ht="39.950000000000003" hidden="1" customHeight="1" x14ac:dyDescent="0.15">
      <c r="A280" s="2072">
        <f t="shared" ca="1" si="79"/>
        <v>5.0699999999999985</v>
      </c>
      <c r="B280" s="833" t="s">
        <v>1742</v>
      </c>
      <c r="C280" s="2" t="str">
        <f>VLOOKUP($B280,[1]BOLETIM_SEL!$A:$H,2,0)</f>
        <v>COMPOSIÇÃO</v>
      </c>
      <c r="D280" s="315" t="str">
        <f>VLOOKUP($B280,[1]BOLETIM_SEL!$A:$H,4,0)</f>
        <v>Boca-de-bueiro simples celular - 2,50m x 2,50m, em concreto armado FCK 20 mpa, conforme projeto tipo (REF. SICRO COD. 0705238)</v>
      </c>
      <c r="E280" s="2"/>
      <c r="F280" s="2" t="str">
        <f>VLOOKUP($B280,[1]BOLETIM_SEL!$A:$H,6,0)</f>
        <v xml:space="preserve">UN </v>
      </c>
      <c r="G280" s="1407">
        <f>VLOOKUP($B280,[1]BOLETIM_SEL!$A:$H,7,0)</f>
        <v>34543.97</v>
      </c>
      <c r="H280" s="1606">
        <f>Dre_Disp_Estruturais!AE121</f>
        <v>0</v>
      </c>
      <c r="I280" s="876">
        <f t="shared" si="80"/>
        <v>42143.64</v>
      </c>
      <c r="J280" s="1607">
        <f t="shared" si="81"/>
        <v>0</v>
      </c>
      <c r="K280" s="2069">
        <f t="shared" ca="1" si="75"/>
        <v>0</v>
      </c>
      <c r="L280" s="1570">
        <f t="shared" ca="1" si="78"/>
        <v>0</v>
      </c>
      <c r="M280" s="1442"/>
      <c r="N280" s="832"/>
      <c r="O280" s="832"/>
      <c r="Q280" s="832"/>
      <c r="R280" s="832"/>
      <c r="S280" s="832"/>
      <c r="T280" s="832"/>
      <c r="U280" s="832"/>
      <c r="V280" s="832"/>
      <c r="W280" s="832"/>
      <c r="X280" s="832"/>
    </row>
    <row r="281" spans="1:24" s="812" customFormat="1" ht="39.950000000000003" hidden="1" customHeight="1" x14ac:dyDescent="0.15">
      <c r="A281" s="2072">
        <f t="shared" ca="1" si="79"/>
        <v>5.0699999999999985</v>
      </c>
      <c r="B281" s="833" t="s">
        <v>1743</v>
      </c>
      <c r="C281" s="2" t="str">
        <f>VLOOKUP($B281,[1]BOLETIM_SEL!$A:$H,2,0)</f>
        <v>COMPOSIÇÃO</v>
      </c>
      <c r="D281" s="315" t="str">
        <f>VLOOKUP($B281,[1]BOLETIM_SEL!$A:$H,4,0)</f>
        <v>Boca-de-bueiro simples celular - 3,00m x 3,00m, em concreto armado FCK 20 mpa, conforme projeto tipo (REF. SICRO COD. 0705249)</v>
      </c>
      <c r="E281" s="2"/>
      <c r="F281" s="2" t="str">
        <f>VLOOKUP($B281,[1]BOLETIM_SEL!$A:$H,6,0)</f>
        <v xml:space="preserve">UN </v>
      </c>
      <c r="G281" s="1407">
        <f>VLOOKUP($B281,[1]BOLETIM_SEL!$A:$H,7,0)</f>
        <v>48168.78</v>
      </c>
      <c r="H281" s="1606">
        <f>Dre_Disp_Estruturais!AE122</f>
        <v>0</v>
      </c>
      <c r="I281" s="876">
        <f t="shared" si="80"/>
        <v>58765.91</v>
      </c>
      <c r="J281" s="1607">
        <f t="shared" si="81"/>
        <v>0</v>
      </c>
      <c r="K281" s="2069">
        <f t="shared" ca="1" si="75"/>
        <v>0</v>
      </c>
      <c r="L281" s="1570">
        <f t="shared" ca="1" si="78"/>
        <v>0</v>
      </c>
      <c r="M281" s="1442"/>
      <c r="N281" s="832"/>
      <c r="O281" s="832"/>
      <c r="Q281" s="832"/>
      <c r="R281" s="832"/>
      <c r="S281" s="832"/>
      <c r="T281" s="832"/>
      <c r="U281" s="832"/>
      <c r="V281" s="832"/>
      <c r="W281" s="832"/>
      <c r="X281" s="832"/>
    </row>
    <row r="282" spans="1:24" s="812" customFormat="1" ht="39.950000000000003" hidden="1" customHeight="1" x14ac:dyDescent="0.15">
      <c r="A282" s="2072">
        <f t="shared" ca="1" si="79"/>
        <v>5.0699999999999985</v>
      </c>
      <c r="B282" s="833" t="s">
        <v>193</v>
      </c>
      <c r="C282" s="2" t="str">
        <f>VLOOKUP($B282,[1]BOLETIM_SEL!$A:$H,2,0)</f>
        <v>COMPOSIÇÃO</v>
      </c>
      <c r="D282" s="315" t="str">
        <f>VLOOKUP($B282,[1]BOLETIM_SEL!$A:$H,4,0)</f>
        <v>Reforma de boca de lobo simples, incluindo demolições, reconstrução da sarjeta de contorno (chama) em concreto simples FCK 20mpa, uma guia chapéu pré-moldada e uma grelha articulada em F°F° tipo pesada, conforme projeto tipo</v>
      </c>
      <c r="E282" s="2"/>
      <c r="F282" s="2" t="str">
        <f>VLOOKUP($B282,[1]BOLETIM_SEL!$A:$H,6,0)</f>
        <v>UN</v>
      </c>
      <c r="G282" s="1407">
        <f>VLOOKUP($B282,[1]BOLETIM_SEL!$A:$H,7,0)</f>
        <v>985.42</v>
      </c>
      <c r="H282" s="1606">
        <f>Dre_Disp_Estruturais!AE110</f>
        <v>0</v>
      </c>
      <c r="I282" s="876">
        <f t="shared" si="80"/>
        <v>1202.21</v>
      </c>
      <c r="J282" s="1607">
        <f t="shared" si="81"/>
        <v>0</v>
      </c>
      <c r="K282" s="2069">
        <f t="shared" ca="1" si="75"/>
        <v>0</v>
      </c>
      <c r="L282" s="1570">
        <f t="shared" ca="1" si="78"/>
        <v>0</v>
      </c>
      <c r="M282" s="1442"/>
      <c r="N282" s="832"/>
      <c r="O282" s="832"/>
      <c r="Q282" s="832"/>
      <c r="R282" s="832"/>
      <c r="S282" s="832"/>
      <c r="T282" s="832"/>
      <c r="U282" s="832"/>
      <c r="V282" s="832"/>
      <c r="W282" s="832"/>
      <c r="X282" s="832"/>
    </row>
    <row r="283" spans="1:24" s="812" customFormat="1" ht="39.950000000000003" hidden="1" customHeight="1" x14ac:dyDescent="0.15">
      <c r="A283" s="2072">
        <f t="shared" ca="1" si="79"/>
        <v>5.0699999999999985</v>
      </c>
      <c r="B283" s="833" t="s">
        <v>1734</v>
      </c>
      <c r="C283" s="2" t="str">
        <f>VLOOKUP($B283,[1]BOLETIM_SEL!$A:$H,2,0)</f>
        <v>COMPOSIÇÃO</v>
      </c>
      <c r="D283" s="315" t="str">
        <f>VLOOKUP($B283,[1]BOLETIM_SEL!$A:$H,4,0)</f>
        <v>Reforma de boca de lobo dupla, incluindo demolições, reconstrução da sarjeta de contorno (chama) em concreto simples FCK 20mpa, duas guias chapéu pré-moldadas e duas grelhas articuladas em F°F° tipo pesada, conforme projeto tipo</v>
      </c>
      <c r="E283" s="2"/>
      <c r="F283" s="2" t="str">
        <f>VLOOKUP($B283,[1]BOLETIM_SEL!$A:$H,6,0)</f>
        <v>UN</v>
      </c>
      <c r="G283" s="1407">
        <f>VLOOKUP($B283,[1]BOLETIM_SEL!$A:$H,7,0)</f>
        <v>1839.74</v>
      </c>
      <c r="H283" s="1606">
        <f>Dre_Disp_Estruturais!AE111</f>
        <v>0</v>
      </c>
      <c r="I283" s="876">
        <f t="shared" si="80"/>
        <v>2244.48</v>
      </c>
      <c r="J283" s="1607">
        <f t="shared" si="81"/>
        <v>0</v>
      </c>
      <c r="K283" s="2069">
        <f t="shared" ca="1" si="75"/>
        <v>0</v>
      </c>
      <c r="L283" s="1570">
        <f t="shared" ca="1" si="78"/>
        <v>0</v>
      </c>
      <c r="M283" s="1442"/>
      <c r="N283" s="832"/>
      <c r="O283" s="832"/>
      <c r="Q283" s="832"/>
      <c r="R283" s="832"/>
      <c r="S283" s="832"/>
      <c r="T283" s="832"/>
      <c r="U283" s="832"/>
      <c r="V283" s="832"/>
      <c r="W283" s="832"/>
      <c r="X283" s="832"/>
    </row>
    <row r="284" spans="1:24" s="812" customFormat="1" ht="39.950000000000003" hidden="1" customHeight="1" x14ac:dyDescent="0.15">
      <c r="A284" s="2072">
        <f t="shared" ca="1" si="79"/>
        <v>5.0699999999999985</v>
      </c>
      <c r="B284" s="833" t="s">
        <v>194</v>
      </c>
      <c r="C284" s="2" t="str">
        <f>VLOOKUP($B284,[1]BOLETIM_SEL!$A:$H,2,0)</f>
        <v>COMPOSIÇÃO</v>
      </c>
      <c r="D284" s="315" t="str">
        <f>VLOOKUP($B284,[1]BOLETIM_SEL!$A:$H,4,0)</f>
        <v>Reforma de boca de lobo simples, incluindo demolições, reconstrução da sarjeta de contorno (chama) em concreto simples FCK 20mpa, uma guia chapéu pré-moldada e uma grelha articulada em F°F° tipo pesada, conforme projeto tipo</v>
      </c>
      <c r="E284" s="2"/>
      <c r="F284" s="2" t="str">
        <f>VLOOKUP($B284,[1]BOLETIM_SEL!$A:$H,6,0)</f>
        <v>UN</v>
      </c>
      <c r="G284" s="1407">
        <f>VLOOKUP($B284,[1]BOLETIM_SEL!$A:$H,7,0)</f>
        <v>2693.96</v>
      </c>
      <c r="H284" s="1606">
        <f>Dre_Disp_Estruturais!AE112</f>
        <v>0</v>
      </c>
      <c r="I284" s="876">
        <f t="shared" si="80"/>
        <v>3286.63</v>
      </c>
      <c r="J284" s="1607">
        <f t="shared" si="81"/>
        <v>0</v>
      </c>
      <c r="K284" s="2069">
        <f t="shared" ca="1" si="75"/>
        <v>0</v>
      </c>
      <c r="L284" s="1570">
        <f t="shared" ca="1" si="78"/>
        <v>0</v>
      </c>
      <c r="M284" s="1442"/>
      <c r="N284" s="832"/>
      <c r="O284" s="832"/>
      <c r="Q284" s="832"/>
      <c r="R284" s="832"/>
      <c r="S284" s="832"/>
      <c r="T284" s="832"/>
      <c r="U284" s="832"/>
      <c r="V284" s="832"/>
      <c r="W284" s="832"/>
      <c r="X284" s="832"/>
    </row>
    <row r="285" spans="1:24" s="812" customFormat="1" ht="39.950000000000003" hidden="1" customHeight="1" x14ac:dyDescent="0.15">
      <c r="A285" s="2072">
        <f t="shared" ca="1" si="79"/>
        <v>5.0699999999999985</v>
      </c>
      <c r="B285" s="833" t="s">
        <v>1747</v>
      </c>
      <c r="C285" s="2" t="str">
        <f>VLOOKUP($B285,[1]BOLETIM_SEL!$A:$H,2,0)</f>
        <v>COMPOSIÇÃO</v>
      </c>
      <c r="D285" s="315" t="str">
        <f>VLOOKUP($B285,[1]BOLETIM_SEL!$A:$H,4,0)</f>
        <v>Substituição de quadro e grelha articulada em F°F°, classe D400, carga máxima 40 T, 415 x 955 mm para boca de lobo, incluindo demolição e implantação da sarjeta de contorno (chama) em concreto FCK = 20 mpa</v>
      </c>
      <c r="E285" s="2"/>
      <c r="F285" s="2" t="str">
        <f>VLOOKUP($B285,[1]BOLETIM_SEL!$A:$H,6,0)</f>
        <v xml:space="preserve">UN </v>
      </c>
      <c r="G285" s="1407">
        <f>VLOOKUP($B285,[1]BOLETIM_SEL!$A:$H,7,0)</f>
        <v>958.63</v>
      </c>
      <c r="H285" s="1606">
        <f>Dre_Disp_Estruturais!AE95</f>
        <v>0</v>
      </c>
      <c r="I285" s="876">
        <f t="shared" si="80"/>
        <v>1169.52</v>
      </c>
      <c r="J285" s="1607">
        <f t="shared" si="81"/>
        <v>0</v>
      </c>
      <c r="K285" s="2069">
        <f t="shared" ca="1" si="75"/>
        <v>0</v>
      </c>
      <c r="L285" s="1570">
        <f t="shared" ca="1" si="78"/>
        <v>0</v>
      </c>
      <c r="M285" s="1442"/>
      <c r="N285" s="832"/>
      <c r="O285" s="832"/>
      <c r="Q285" s="832"/>
      <c r="R285" s="832"/>
      <c r="S285" s="832"/>
      <c r="T285" s="832"/>
      <c r="U285" s="832"/>
      <c r="V285" s="832"/>
      <c r="W285" s="832"/>
      <c r="X285" s="832"/>
    </row>
    <row r="286" spans="1:24" s="812" customFormat="1" ht="39.950000000000003" hidden="1" customHeight="1" x14ac:dyDescent="0.15">
      <c r="A286" s="2072">
        <f t="shared" ca="1" si="79"/>
        <v>5.0699999999999985</v>
      </c>
      <c r="B286" s="833" t="s">
        <v>1748</v>
      </c>
      <c r="C286" s="2" t="str">
        <f>VLOOKUP($B286,[1]BOLETIM_SEL!$A:$H,2,0)</f>
        <v>COMPOSIÇÃO</v>
      </c>
      <c r="D286" s="315" t="str">
        <f>VLOOKUP($B286,[1]BOLETIM_SEL!$A:$H,4,0)</f>
        <v>Remoção e reassentamento de quadro e grelha articulada em F°F° para boca de lobo, incluindo demolição e implantação da sarjeta de contorno (chama) em concreto FCK = 20 Mpa</v>
      </c>
      <c r="E286" s="2"/>
      <c r="F286" s="2" t="str">
        <f>VLOOKUP($B286,[1]BOLETIM_SEL!$A:$H,6,0)</f>
        <v xml:space="preserve">UN </v>
      </c>
      <c r="G286" s="1407">
        <f>VLOOKUP($B286,[1]BOLETIM_SEL!$A:$H,7,0)</f>
        <v>225.51</v>
      </c>
      <c r="H286" s="1606">
        <f>Dre_Disp_Estruturais!AE96</f>
        <v>0</v>
      </c>
      <c r="I286" s="876">
        <f t="shared" si="80"/>
        <v>275.12</v>
      </c>
      <c r="J286" s="1607">
        <f t="shared" si="81"/>
        <v>0</v>
      </c>
      <c r="K286" s="2069">
        <f t="shared" ca="1" si="75"/>
        <v>0</v>
      </c>
      <c r="L286" s="1570">
        <f t="shared" ca="1" si="78"/>
        <v>0</v>
      </c>
      <c r="M286" s="1442"/>
      <c r="N286" s="832"/>
      <c r="O286" s="832"/>
      <c r="Q286" s="832"/>
      <c r="R286" s="832"/>
      <c r="S286" s="832"/>
      <c r="T286" s="832"/>
      <c r="U286" s="832"/>
      <c r="V286" s="832"/>
      <c r="W286" s="832"/>
      <c r="X286" s="832"/>
    </row>
    <row r="287" spans="1:24" s="812" customFormat="1" ht="39.950000000000003" hidden="1" customHeight="1" x14ac:dyDescent="0.15">
      <c r="A287" s="2072">
        <f t="shared" ca="1" si="79"/>
        <v>5.0699999999999985</v>
      </c>
      <c r="B287" s="833" t="s">
        <v>1745</v>
      </c>
      <c r="C287" s="2" t="str">
        <f>VLOOKUP($B287,[1]BOLETIM_SEL!$A:$H,2,0)</f>
        <v>COMPOSIÇÃO</v>
      </c>
      <c r="D287" s="315" t="str">
        <f>VLOOKUP($B287,[1]BOLETIM_SEL!$A:$H,4,0)</f>
        <v>Substituição de tampão de PV, incluindo fornecimento de tampão de FºFº articulado, Classe B400, carga máxima 40 T, redondo tampa 600 mm para rede pluvial/esgoto, e requadro em concreto simples FCK 20mpa, de 1,00m x 1,00m x 0,20m</v>
      </c>
      <c r="E287" s="2"/>
      <c r="F287" s="2" t="str">
        <f>VLOOKUP($B287,[1]BOLETIM_SEL!$A:$H,6,0)</f>
        <v xml:space="preserve">UN </v>
      </c>
      <c r="G287" s="1407">
        <f>VLOOKUP($B287,[1]BOLETIM_SEL!$A:$H,7,0)</f>
        <v>849.99</v>
      </c>
      <c r="H287" s="1606">
        <f>Dre_Disp_Estruturais!AE97</f>
        <v>0</v>
      </c>
      <c r="I287" s="876">
        <f t="shared" si="80"/>
        <v>1036.98</v>
      </c>
      <c r="J287" s="1607">
        <f t="shared" si="81"/>
        <v>0</v>
      </c>
      <c r="K287" s="2069">
        <f t="shared" ca="1" si="75"/>
        <v>0</v>
      </c>
      <c r="L287" s="1570">
        <f t="shared" ca="1" si="78"/>
        <v>0</v>
      </c>
      <c r="M287" s="1442"/>
      <c r="N287" s="832"/>
      <c r="O287" s="832"/>
      <c r="Q287" s="832"/>
      <c r="R287" s="832"/>
      <c r="S287" s="832"/>
      <c r="T287" s="832"/>
      <c r="U287" s="832"/>
      <c r="V287" s="832"/>
      <c r="W287" s="832"/>
      <c r="X287" s="832"/>
    </row>
    <row r="288" spans="1:24" s="812" customFormat="1" ht="39.950000000000003" hidden="1" customHeight="1" x14ac:dyDescent="0.15">
      <c r="A288" s="2072">
        <f t="shared" ca="1" si="79"/>
        <v>5.0699999999999985</v>
      </c>
      <c r="B288" s="833" t="s">
        <v>1746</v>
      </c>
      <c r="C288" s="2" t="str">
        <f>VLOOKUP($B288,[1]BOLETIM_SEL!$A:$H,2,0)</f>
        <v>COMPOSIÇÃO</v>
      </c>
      <c r="D288" s="315" t="str">
        <f>VLOOKUP($B288,[1]BOLETIM_SEL!$A:$H,4,0)</f>
        <v>Remoção e reassentamento de tampão em F°F° para PV, com  reaproveitamento, incluindo recorte, demolição e requadro em concreto simples FCK 20mpa, de 1,00m x 1,00m x 0,20m</v>
      </c>
      <c r="E288" s="2"/>
      <c r="F288" s="2" t="str">
        <f>VLOOKUP($B288,[1]BOLETIM_SEL!$A:$H,6,0)</f>
        <v xml:space="preserve">UN </v>
      </c>
      <c r="G288" s="1407">
        <f>VLOOKUP($B288,[1]BOLETIM_SEL!$A:$H,7,0)</f>
        <v>229.16</v>
      </c>
      <c r="H288" s="1606">
        <f>Dre_Disp_Estruturais!AE98</f>
        <v>0</v>
      </c>
      <c r="I288" s="876">
        <f t="shared" si="80"/>
        <v>279.57</v>
      </c>
      <c r="J288" s="1607">
        <f t="shared" si="81"/>
        <v>0</v>
      </c>
      <c r="K288" s="2069">
        <f t="shared" ca="1" si="75"/>
        <v>0</v>
      </c>
      <c r="L288" s="1570">
        <f t="shared" ca="1" si="78"/>
        <v>0</v>
      </c>
      <c r="M288" s="1442"/>
      <c r="N288" s="832"/>
      <c r="O288" s="832"/>
      <c r="Q288" s="832"/>
      <c r="R288" s="832"/>
      <c r="S288" s="832"/>
      <c r="T288" s="832"/>
      <c r="U288" s="832"/>
      <c r="V288" s="832"/>
      <c r="W288" s="832"/>
      <c r="X288" s="832"/>
    </row>
    <row r="289" spans="1:24" s="812" customFormat="1" ht="24.95" customHeight="1" x14ac:dyDescent="0.15">
      <c r="A289" s="2072"/>
      <c r="B289" s="2"/>
      <c r="C289" s="2"/>
      <c r="D289" s="1449" t="s">
        <v>2178</v>
      </c>
      <c r="E289" s="2"/>
      <c r="F289" s="2"/>
      <c r="G289" s="1407"/>
      <c r="H289" s="2"/>
      <c r="I289" s="2"/>
      <c r="J289" s="838" t="str">
        <f ca="1">IF(J290=0,"-","")</f>
        <v/>
      </c>
      <c r="K289" s="2069"/>
      <c r="L289" s="1570"/>
      <c r="M289" s="1442"/>
      <c r="N289" s="832"/>
      <c r="O289" s="832"/>
      <c r="Q289" s="832"/>
      <c r="R289" s="832"/>
      <c r="S289" s="832"/>
      <c r="T289" s="832"/>
      <c r="U289" s="832"/>
      <c r="V289" s="832"/>
      <c r="W289" s="832"/>
      <c r="X289" s="832"/>
    </row>
    <row r="290" spans="1:24" s="812" customFormat="1" ht="39.950000000000003" customHeight="1" x14ac:dyDescent="0.15">
      <c r="A290" s="2072">
        <f ca="1">IF(H290&gt;0,A288+0.01,A288)</f>
        <v>5.0799999999999983</v>
      </c>
      <c r="B290" s="833">
        <f ca="1">IF(AND(M290&lt;=50,E290&lt;=30),95876,IF(AND(M290&lt;=50,E290&gt;30),93593,IF(AND(M290&gt;50,E290&lt;=30),95876,93593)))</f>
        <v>95876</v>
      </c>
      <c r="C290" s="2" t="str">
        <f ca="1">VLOOKUP($B290,[1]BOLETIM_SEL!$A:$H,2,0)</f>
        <v>SINAPI</v>
      </c>
      <c r="D290" s="315" t="str">
        <f ca="1">VLOOKUP($B290,[1]BOLETIM_SEL!$A:$H,4,0)</f>
        <v>Transporte com caminhão basculante de 14 m3, em via urbana pavimentada, DMT até 30,00 km (unidade: m3xkm). AF_07/2020</v>
      </c>
      <c r="E290" s="2">
        <f>Dados_DMT!$B$34</f>
        <v>24</v>
      </c>
      <c r="F290" s="2" t="str">
        <f ca="1">VLOOKUP($B290,[1]BOLETIM_SEL!$A:$H,6,0)</f>
        <v>M3XKM</v>
      </c>
      <c r="G290" s="1407">
        <f ca="1">VLOOKUP($B290,[1]BOLETIM_SEL!$A:$H,7,0)</f>
        <v>2.0699999999999998</v>
      </c>
      <c r="H290" s="1606">
        <f ca="1">ROUND(Dre_Disp_Estruturais!AE154*E290,2)</f>
        <v>1348.32</v>
      </c>
      <c r="I290" s="876">
        <f ca="1">TRUNC(G290*(1+$J$5),2)</f>
        <v>2.52</v>
      </c>
      <c r="J290" s="1607">
        <f ca="1">TRUNC(H290*I290,2)</f>
        <v>3397.76</v>
      </c>
      <c r="K290" s="2069">
        <f ca="1">J290/J$930</f>
        <v>9.2354136166651753E-4</v>
      </c>
      <c r="L290" s="1570">
        <f ca="1">J290/J$100</f>
        <v>2.3600098574531159E-2</v>
      </c>
      <c r="M290" s="1450">
        <f ca="1">IF(H290=0,0,H290/E290)</f>
        <v>56.18</v>
      </c>
      <c r="N290" s="832"/>
      <c r="O290" s="832"/>
      <c r="Q290" s="832"/>
      <c r="R290" s="832"/>
      <c r="S290" s="832"/>
      <c r="T290" s="832"/>
      <c r="U290" s="832"/>
      <c r="V290" s="832"/>
      <c r="W290" s="832"/>
      <c r="X290" s="832"/>
    </row>
    <row r="291" spans="1:24" s="812" customFormat="1" ht="24.95" customHeight="1" x14ac:dyDescent="0.15">
      <c r="A291" s="2072"/>
      <c r="B291" s="833"/>
      <c r="C291" s="2"/>
      <c r="D291" s="1449" t="s">
        <v>1823</v>
      </c>
      <c r="E291" s="2"/>
      <c r="F291" s="2"/>
      <c r="G291" s="1814"/>
      <c r="H291" s="2"/>
      <c r="I291" s="2"/>
      <c r="J291" s="838" t="str">
        <f ca="1">IF(J292=0,"-","")</f>
        <v/>
      </c>
      <c r="K291" s="2069"/>
      <c r="L291" s="1570"/>
      <c r="M291" s="1442"/>
      <c r="N291" s="832"/>
      <c r="O291" s="832"/>
      <c r="Q291" s="832"/>
      <c r="R291" s="832"/>
      <c r="S291" s="832"/>
      <c r="T291" s="832"/>
      <c r="U291" s="832"/>
      <c r="V291" s="832"/>
      <c r="W291" s="832"/>
      <c r="X291" s="832"/>
    </row>
    <row r="292" spans="1:24" s="812" customFormat="1" ht="39.950000000000003" customHeight="1" x14ac:dyDescent="0.15">
      <c r="A292" s="2072">
        <f ca="1">IF(H292&gt;0,A290+0.01,A290)</f>
        <v>5.0899999999999981</v>
      </c>
      <c r="B292" s="2">
        <v>100952</v>
      </c>
      <c r="C292" s="2" t="str">
        <f>VLOOKUP($B292,[1]BOLETIM_SEL!$A:$H,2,0)</f>
        <v>SINAPI</v>
      </c>
      <c r="D292" s="315" t="str">
        <f>VLOOKUP($B292,[1]BOLETIM_SEL!$A:$H,4,0)</f>
        <v>Transporte com caminhão carroceria com guindauto (munck), momento máximo de carga 11,7 tm, em via urbana pavimentada, DMT até 30,00 km (unidade: txkm). AF_07/2020</v>
      </c>
      <c r="E292" s="2">
        <f>Dados_DMT!$B$13</f>
        <v>22</v>
      </c>
      <c r="F292" s="2" t="str">
        <f>VLOOKUP($B292,[1]BOLETIM_SEL!$A:$H,6,0)</f>
        <v>TXKM</v>
      </c>
      <c r="G292" s="1407">
        <f>VLOOKUP($B292,[1]BOLETIM_SEL!$A:$H,7,0)</f>
        <v>2.67</v>
      </c>
      <c r="H292" s="1606">
        <f ca="1">ROUND(Dre_Disp_Estruturais!AE161*E292,2)</f>
        <v>4625.72</v>
      </c>
      <c r="I292" s="876">
        <f>TRUNC(G292*(1+$J$5),2)</f>
        <v>3.25</v>
      </c>
      <c r="J292" s="1607">
        <f ca="1">TRUNC(H292*I292,2)</f>
        <v>15033.59</v>
      </c>
      <c r="K292" s="2069">
        <f ca="1">J292/J$930</f>
        <v>4.0862633556625954E-3</v>
      </c>
      <c r="L292" s="1570">
        <f ca="1">J292/J$183</f>
        <v>7.0338438927852756E-2</v>
      </c>
      <c r="M292" s="1442"/>
      <c r="N292" s="832"/>
      <c r="O292" s="832"/>
      <c r="Q292" s="832"/>
      <c r="R292" s="832"/>
      <c r="S292" s="832"/>
      <c r="T292" s="832"/>
      <c r="U292" s="832"/>
      <c r="V292" s="832"/>
      <c r="W292" s="832"/>
      <c r="X292" s="832"/>
    </row>
    <row r="293" spans="1:24" s="812" customFormat="1" ht="24.95" customHeight="1" x14ac:dyDescent="0.15">
      <c r="A293" s="2072"/>
      <c r="B293" s="833"/>
      <c r="C293" s="833"/>
      <c r="D293" s="834"/>
      <c r="E293" s="2"/>
      <c r="F293" s="833"/>
      <c r="G293" s="1814"/>
      <c r="H293" s="1"/>
      <c r="I293" s="876"/>
      <c r="J293" s="838" t="str">
        <f ca="1">IF(J183=0,0,"")</f>
        <v/>
      </c>
      <c r="K293" s="2069"/>
      <c r="L293" s="1570"/>
      <c r="M293" s="1443"/>
      <c r="N293" s="832"/>
      <c r="O293" s="832"/>
      <c r="Q293" s="832"/>
      <c r="R293" s="832"/>
      <c r="S293" s="832"/>
      <c r="T293" s="832"/>
      <c r="U293" s="832"/>
      <c r="V293" s="832"/>
      <c r="W293" s="832"/>
      <c r="X293" s="832"/>
    </row>
    <row r="294" spans="1:24" s="832" customFormat="1" ht="24.95" hidden="1" customHeight="1" x14ac:dyDescent="0.15">
      <c r="A294" s="2073">
        <f ca="1">IF(J294&gt;0,INT(A292)+1,IF(J294=0,INT(A292),0))</f>
        <v>5</v>
      </c>
      <c r="B294" s="1626"/>
      <c r="C294" s="1626"/>
      <c r="D294" s="1627" t="s">
        <v>744</v>
      </c>
      <c r="E294" s="1821"/>
      <c r="F294" s="1628"/>
      <c r="G294" s="1813" t="s">
        <v>646</v>
      </c>
      <c r="H294" s="1630"/>
      <c r="I294" s="1633" t="str">
        <f ca="1">CONCATENATE("SUB-TOTAL ",A294)</f>
        <v>SUB-TOTAL 5</v>
      </c>
      <c r="J294" s="1632">
        <f>SUM(J295:J312)</f>
        <v>0</v>
      </c>
      <c r="K294" s="2070">
        <f t="shared" ref="K294:K312" ca="1" si="82">J294/J$930</f>
        <v>0</v>
      </c>
      <c r="L294" s="1605" t="e">
        <f>J294/$J$294</f>
        <v>#DIV/0!</v>
      </c>
    </row>
    <row r="295" spans="1:24" s="812" customFormat="1" ht="39.950000000000003" hidden="1" customHeight="1" x14ac:dyDescent="0.15">
      <c r="A295" s="2072">
        <f ca="1">IF(H295&gt;0,A294+0.01,A294)</f>
        <v>5</v>
      </c>
      <c r="B295" s="833">
        <v>94962</v>
      </c>
      <c r="C295" s="2" t="str">
        <f>VLOOKUP($B295,[1]BOLETIM_SEL!$A:$H,2,0)</f>
        <v>SINAPI</v>
      </c>
      <c r="D295" s="315" t="str">
        <f>VLOOKUP($B295,[1]BOLETIM_SEL!$A:$H,4,0)</f>
        <v>Concreto magro para lastro, traço 1:4,5:4,5 (cimento/ areia média/ brita 1) - preparo mecânico com betoneira 400 l. AF_07/2016</v>
      </c>
      <c r="E295" s="2"/>
      <c r="F295" s="2" t="str">
        <f>VLOOKUP($B295,[1]BOLETIM_SEL!$A:$H,6,0)</f>
        <v>M3</v>
      </c>
      <c r="G295" s="1407">
        <f>VLOOKUP($B295,[1]BOLETIM_SEL!$A:$H,7,0)</f>
        <v>385.69</v>
      </c>
      <c r="H295" s="1606">
        <f>Dre_Disp_Estruturais!AE129+Dre_Disp_Estruturais!AE134</f>
        <v>0</v>
      </c>
      <c r="I295" s="876">
        <f t="shared" ref="I295:I312" si="83">TRUNC(G295*(1+$J$5),2)</f>
        <v>470.54</v>
      </c>
      <c r="J295" s="1607">
        <f t="shared" si="81"/>
        <v>0</v>
      </c>
      <c r="K295" s="2069">
        <f t="shared" ca="1" si="82"/>
        <v>0</v>
      </c>
      <c r="L295" s="1570" t="e">
        <f t="shared" ref="L295:L312" si="84">J295/$J$294</f>
        <v>#DIV/0!</v>
      </c>
      <c r="M295" s="1442"/>
      <c r="N295" s="832"/>
      <c r="O295" s="832"/>
      <c r="Q295" s="832"/>
      <c r="R295" s="832"/>
      <c r="S295" s="832"/>
      <c r="T295" s="832"/>
      <c r="U295" s="832"/>
      <c r="V295" s="832"/>
      <c r="W295" s="832"/>
      <c r="X295" s="832"/>
    </row>
    <row r="296" spans="1:24" s="812" customFormat="1" ht="30" hidden="1" customHeight="1" x14ac:dyDescent="0.15">
      <c r="A296" s="2072">
        <f ca="1">IF(H296&gt;0,A295+0.01,A295)</f>
        <v>5</v>
      </c>
      <c r="B296" s="2">
        <v>103670</v>
      </c>
      <c r="C296" s="2" t="str">
        <f>VLOOKUP($B296,[1]BOLETIM_SEL!$A:$H,2,0)</f>
        <v>SINAPI</v>
      </c>
      <c r="D296" s="315" t="str">
        <f>VLOOKUP($B296,[1]BOLETIM_SEL!$A:$H,4,0)</f>
        <v>Lançamento com uso de baldes, adensamento e acabamento de concreto em estruturas. AF_12/2015</v>
      </c>
      <c r="E296" s="2"/>
      <c r="F296" s="2" t="str">
        <f>VLOOKUP($B296,[1]BOLETIM_SEL!$A:$H,6,0)</f>
        <v>M3</v>
      </c>
      <c r="G296" s="1407">
        <f>VLOOKUP($B296,[1]BOLETIM_SEL!$A:$H,7,0)</f>
        <v>268.77999999999997</v>
      </c>
      <c r="H296" s="1606">
        <f>Dre_Disp_Estruturais!AE129+Dre_Disp_Estruturais!AE134</f>
        <v>0</v>
      </c>
      <c r="I296" s="876">
        <f t="shared" si="83"/>
        <v>327.91</v>
      </c>
      <c r="J296" s="1607">
        <f t="shared" si="81"/>
        <v>0</v>
      </c>
      <c r="K296" s="2069">
        <f t="shared" ca="1" si="82"/>
        <v>0</v>
      </c>
      <c r="L296" s="1570" t="e">
        <f t="shared" si="84"/>
        <v>#DIV/0!</v>
      </c>
      <c r="M296" s="1442"/>
      <c r="N296" s="832"/>
      <c r="O296" s="832"/>
      <c r="Q296" s="832"/>
      <c r="R296" s="832"/>
      <c r="S296" s="832"/>
      <c r="T296" s="832"/>
      <c r="U296" s="832"/>
      <c r="V296" s="832"/>
      <c r="W296" s="832"/>
      <c r="X296" s="832"/>
    </row>
    <row r="297" spans="1:24" s="812" customFormat="1" ht="30" hidden="1" customHeight="1" x14ac:dyDescent="0.15">
      <c r="A297" s="2072">
        <f t="shared" ref="A297:A312" ca="1" si="85">IF(H297&gt;0,A296+0.01,A296)</f>
        <v>5</v>
      </c>
      <c r="B297" s="833">
        <v>94964</v>
      </c>
      <c r="C297" s="2" t="str">
        <f>VLOOKUP($B297,[1]BOLETIM_SEL!$A:$H,2,0)</f>
        <v>SINAPI</v>
      </c>
      <c r="D297" s="315" t="str">
        <f>VLOOKUP($B297,[1]BOLETIM_SEL!$A:$H,4,0)</f>
        <v>Concreto FCK = 20 MPA, traço 1:2,7:3 (cimento/ areia média/ brita 1) - preparo mecânico com betoneira 400 l. AF_07/2016</v>
      </c>
      <c r="E297" s="2"/>
      <c r="F297" s="2" t="str">
        <f>VLOOKUP($B297,[1]BOLETIM_SEL!$A:$H,6,0)</f>
        <v>M3</v>
      </c>
      <c r="G297" s="1407">
        <f>VLOOKUP($B297,[1]BOLETIM_SEL!$A:$H,7,0)</f>
        <v>475.66</v>
      </c>
      <c r="H297" s="1606"/>
      <c r="I297" s="876">
        <f t="shared" si="83"/>
        <v>580.29999999999995</v>
      </c>
      <c r="J297" s="1607">
        <f t="shared" si="81"/>
        <v>0</v>
      </c>
      <c r="K297" s="2069">
        <f t="shared" ca="1" si="82"/>
        <v>0</v>
      </c>
      <c r="L297" s="1570" t="e">
        <f t="shared" si="84"/>
        <v>#DIV/0!</v>
      </c>
      <c r="M297" s="1442"/>
      <c r="N297" s="832"/>
      <c r="O297" s="832"/>
      <c r="Q297" s="832"/>
      <c r="R297" s="832"/>
      <c r="S297" s="832"/>
      <c r="T297" s="832"/>
      <c r="U297" s="832"/>
      <c r="V297" s="832"/>
      <c r="W297" s="832"/>
      <c r="X297" s="832"/>
    </row>
    <row r="298" spans="1:24" s="812" customFormat="1" ht="39.950000000000003" hidden="1" customHeight="1" x14ac:dyDescent="0.15">
      <c r="A298" s="2072">
        <f t="shared" ca="1" si="85"/>
        <v>5</v>
      </c>
      <c r="B298" s="833">
        <v>34493</v>
      </c>
      <c r="C298" s="2" t="str">
        <f>VLOOKUP($B298,[1]BOLETIM_SEL!$A:$H,2,0)</f>
        <v>SINAPI</v>
      </c>
      <c r="D298" s="315" t="str">
        <f>VLOOKUP($B298,[1]BOLETIM_SEL!$A:$H,4,0)</f>
        <v>Concreto usinado bombeável, classe de resistência C25, com brita 0,00 e 1, slump = 100 +/- 20 mm, exclui serviço de bombeamento (NBR 8953)</v>
      </c>
      <c r="E298" s="2"/>
      <c r="F298" s="2" t="str">
        <f>VLOOKUP($B298,[1]BOLETIM_SEL!$A:$H,6,0)</f>
        <v xml:space="preserve">M3    </v>
      </c>
      <c r="G298" s="1407">
        <f>VLOOKUP($B298,[1]BOLETIM_SEL!$A:$H,7,0)</f>
        <v>560.36</v>
      </c>
      <c r="H298" s="1606">
        <f>Dre_Disp_Estruturais!AE130+Dre_Disp_Estruturais!AE135</f>
        <v>0</v>
      </c>
      <c r="I298" s="876">
        <f t="shared" si="83"/>
        <v>683.63</v>
      </c>
      <c r="J298" s="1607">
        <f t="shared" si="81"/>
        <v>0</v>
      </c>
      <c r="K298" s="2069">
        <f t="shared" ca="1" si="82"/>
        <v>0</v>
      </c>
      <c r="L298" s="1570" t="e">
        <f t="shared" si="84"/>
        <v>#DIV/0!</v>
      </c>
      <c r="M298" s="1442"/>
      <c r="N298" s="832"/>
      <c r="O298" s="832"/>
      <c r="Q298" s="832"/>
      <c r="R298" s="832"/>
      <c r="S298" s="832"/>
      <c r="T298" s="832"/>
      <c r="U298" s="832"/>
      <c r="V298" s="832"/>
      <c r="W298" s="832"/>
      <c r="X298" s="832"/>
    </row>
    <row r="299" spans="1:24" s="812" customFormat="1" ht="30" hidden="1" customHeight="1" x14ac:dyDescent="0.15">
      <c r="A299" s="2072">
        <f t="shared" ca="1" si="85"/>
        <v>5</v>
      </c>
      <c r="B299" s="833">
        <v>103673</v>
      </c>
      <c r="C299" s="2" t="str">
        <f>VLOOKUP($B299,[1]BOLETIM_SEL!$A:$H,2,0)</f>
        <v>SINAPI</v>
      </c>
      <c r="D299" s="315" t="str">
        <f>VLOOKUP($B299,[1]BOLETIM_SEL!$A:$H,4,0)</f>
        <v>Lançamento com uso de bomba, adensamento e acabamento de concreto em estruturas. AF_12/2015</v>
      </c>
      <c r="E299" s="2"/>
      <c r="F299" s="2" t="str">
        <f>VLOOKUP($B299,[1]BOLETIM_SEL!$A:$H,6,0)</f>
        <v>M3</v>
      </c>
      <c r="G299" s="1407">
        <f>VLOOKUP($B299,[1]BOLETIM_SEL!$A:$H,7,0)</f>
        <v>37.76</v>
      </c>
      <c r="H299" s="1606">
        <f>H298</f>
        <v>0</v>
      </c>
      <c r="I299" s="876">
        <f t="shared" si="83"/>
        <v>46.06</v>
      </c>
      <c r="J299" s="1607">
        <f t="shared" si="81"/>
        <v>0</v>
      </c>
      <c r="K299" s="2069">
        <f t="shared" ca="1" si="82"/>
        <v>0</v>
      </c>
      <c r="L299" s="1570" t="e">
        <f t="shared" si="84"/>
        <v>#DIV/0!</v>
      </c>
      <c r="M299" s="1442"/>
      <c r="N299" s="832"/>
      <c r="O299" s="832"/>
      <c r="Q299" s="832"/>
      <c r="R299" s="832"/>
      <c r="S299" s="832"/>
      <c r="T299" s="832"/>
      <c r="U299" s="832"/>
      <c r="V299" s="832"/>
      <c r="W299" s="832"/>
      <c r="X299" s="832"/>
    </row>
    <row r="300" spans="1:24" s="812" customFormat="1" ht="30" hidden="1" customHeight="1" x14ac:dyDescent="0.15">
      <c r="A300" s="2072">
        <f t="shared" ca="1" si="85"/>
        <v>5</v>
      </c>
      <c r="B300" s="833">
        <v>102487</v>
      </c>
      <c r="C300" s="2" t="str">
        <f>VLOOKUP($B300,[1]BOLETIM_SEL!$A:$H,2,0)</f>
        <v>SINAPI</v>
      </c>
      <c r="D300" s="315" t="str">
        <f>VLOOKUP($B300,[1]BOLETIM_SEL!$A:$H,4,0)</f>
        <v>Concreto ciclópico FCK = 15 MPA, 30% pedra de mão em volume real, inclusive lançamento</v>
      </c>
      <c r="E300" s="2"/>
      <c r="F300" s="2" t="str">
        <f>VLOOKUP($B300,[1]BOLETIM_SEL!$A:$H,6,0)</f>
        <v>M3</v>
      </c>
      <c r="G300" s="1407">
        <f>VLOOKUP($B300,[1]BOLETIM_SEL!$A:$H,7,0)</f>
        <v>562.11</v>
      </c>
      <c r="H300" s="1606">
        <f>Dre_Disp_Estruturais!AE147</f>
        <v>0</v>
      </c>
      <c r="I300" s="876">
        <f t="shared" si="83"/>
        <v>685.77</v>
      </c>
      <c r="J300" s="1607">
        <f t="shared" si="81"/>
        <v>0</v>
      </c>
      <c r="K300" s="2069">
        <f t="shared" ca="1" si="82"/>
        <v>0</v>
      </c>
      <c r="L300" s="1570" t="e">
        <f t="shared" si="84"/>
        <v>#DIV/0!</v>
      </c>
      <c r="M300" s="1442"/>
      <c r="N300" s="832"/>
      <c r="O300" s="832"/>
      <c r="Q300" s="832"/>
      <c r="R300" s="832"/>
      <c r="S300" s="832"/>
      <c r="T300" s="832"/>
      <c r="U300" s="832"/>
      <c r="V300" s="832"/>
      <c r="W300" s="832"/>
      <c r="X300" s="832"/>
    </row>
    <row r="301" spans="1:24" s="812" customFormat="1" ht="39.950000000000003" hidden="1" customHeight="1" x14ac:dyDescent="0.15">
      <c r="A301" s="2072">
        <f t="shared" ca="1" si="85"/>
        <v>5</v>
      </c>
      <c r="B301" s="833">
        <v>92415</v>
      </c>
      <c r="C301" s="2" t="str">
        <f>VLOOKUP($B301,[1]BOLETIM_SEL!$A:$H,2,0)</f>
        <v>SINAPI</v>
      </c>
      <c r="D301" s="315" t="str">
        <f>VLOOKUP($B301,[1]BOLETIM_SEL!$A:$H,4,0)</f>
        <v>Montagem e desmontagem de fôrma de pilares retangulares e estruturas similares, pé-direito simples, em chapa de madeira compensada resinada, 2 utilizações. AF_09/2020</v>
      </c>
      <c r="E301" s="2"/>
      <c r="F301" s="2" t="str">
        <f>VLOOKUP($B301,[1]BOLETIM_SEL!$A:$H,6,0)</f>
        <v>M2</v>
      </c>
      <c r="G301" s="1407">
        <f>VLOOKUP($B301,[1]BOLETIM_SEL!$A:$H,7,0)</f>
        <v>137.13999999999999</v>
      </c>
      <c r="H301" s="1606">
        <f>Dre_Disp_Estruturais!AE131+Dre_Disp_Estruturais!AE136</f>
        <v>0</v>
      </c>
      <c r="I301" s="876">
        <f t="shared" si="83"/>
        <v>167.31</v>
      </c>
      <c r="J301" s="1607">
        <f t="shared" si="81"/>
        <v>0</v>
      </c>
      <c r="K301" s="2069">
        <f t="shared" ca="1" si="82"/>
        <v>0</v>
      </c>
      <c r="L301" s="1570" t="e">
        <f t="shared" si="84"/>
        <v>#DIV/0!</v>
      </c>
      <c r="M301" s="1442"/>
      <c r="N301" s="832"/>
      <c r="O301" s="832"/>
      <c r="Q301" s="832"/>
      <c r="R301" s="832"/>
      <c r="S301" s="832"/>
      <c r="T301" s="832"/>
      <c r="U301" s="832"/>
      <c r="V301" s="832"/>
      <c r="W301" s="832"/>
      <c r="X301" s="832"/>
    </row>
    <row r="302" spans="1:24" s="812" customFormat="1" ht="39.950000000000003" hidden="1" customHeight="1" x14ac:dyDescent="0.15">
      <c r="A302" s="2072">
        <f t="shared" ca="1" si="85"/>
        <v>5</v>
      </c>
      <c r="B302" s="833">
        <v>92423</v>
      </c>
      <c r="C302" s="2" t="str">
        <f>VLOOKUP($B302,[1]BOLETIM_SEL!$A:$H,2,0)</f>
        <v>SINAPI</v>
      </c>
      <c r="D302" s="315" t="str">
        <f>VLOOKUP($B302,[1]BOLETIM_SEL!$A:$H,4,0)</f>
        <v>Montagem e desmontagem de fôrma de pilares retangulares e estruturas similares, pé-direito simples, em chapa de madeira compensada resinada, 6 utilizações. AF_09/2020</v>
      </c>
      <c r="E302" s="2"/>
      <c r="F302" s="2" t="str">
        <f>VLOOKUP($B302,[1]BOLETIM_SEL!$A:$H,6,0)</f>
        <v>M2</v>
      </c>
      <c r="G302" s="1407">
        <f>VLOOKUP($B302,[1]BOLETIM_SEL!$A:$H,7,0)</f>
        <v>69.709999999999994</v>
      </c>
      <c r="H302" s="1606"/>
      <c r="I302" s="876">
        <f t="shared" si="83"/>
        <v>85.04</v>
      </c>
      <c r="J302" s="1607">
        <f t="shared" si="81"/>
        <v>0</v>
      </c>
      <c r="K302" s="2069">
        <f t="shared" ca="1" si="82"/>
        <v>0</v>
      </c>
      <c r="L302" s="1570" t="e">
        <f t="shared" si="84"/>
        <v>#DIV/0!</v>
      </c>
      <c r="M302" s="1442"/>
      <c r="N302" s="832"/>
      <c r="O302" s="832"/>
      <c r="Q302" s="832"/>
      <c r="R302" s="832"/>
      <c r="S302" s="832"/>
      <c r="T302" s="832"/>
      <c r="U302" s="832"/>
      <c r="V302" s="832"/>
      <c r="W302" s="832"/>
      <c r="X302" s="832"/>
    </row>
    <row r="303" spans="1:24" s="812" customFormat="1" ht="39.950000000000003" hidden="1" customHeight="1" x14ac:dyDescent="0.15">
      <c r="A303" s="2072">
        <f t="shared" ca="1" si="85"/>
        <v>5</v>
      </c>
      <c r="B303" s="833">
        <v>92411</v>
      </c>
      <c r="C303" s="2" t="str">
        <f>VLOOKUP($B303,[1]BOLETIM_SEL!$A:$H,2,0)</f>
        <v>SINAPI</v>
      </c>
      <c r="D303" s="315" t="str">
        <f>VLOOKUP($B303,[1]BOLETIM_SEL!$A:$H,4,0)</f>
        <v>Montagem e desmontagem de fôrma de pilares retangulares e estruturas similares, pé-direito simples, em madeira serrada, 2 utilizações. AF_09/2020</v>
      </c>
      <c r="E303" s="2"/>
      <c r="F303" s="2" t="str">
        <f>VLOOKUP($B303,[1]BOLETIM_SEL!$A:$H,6,0)</f>
        <v>M2</v>
      </c>
      <c r="G303" s="1407">
        <f>VLOOKUP($B303,[1]BOLETIM_SEL!$A:$H,7,0)</f>
        <v>140.94</v>
      </c>
      <c r="H303" s="1606"/>
      <c r="I303" s="876">
        <f t="shared" si="83"/>
        <v>171.94</v>
      </c>
      <c r="J303" s="1607">
        <f t="shared" si="81"/>
        <v>0</v>
      </c>
      <c r="K303" s="2069">
        <f t="shared" ca="1" si="82"/>
        <v>0</v>
      </c>
      <c r="L303" s="1570" t="e">
        <f t="shared" si="84"/>
        <v>#DIV/0!</v>
      </c>
      <c r="M303" s="1442"/>
      <c r="N303" s="832"/>
      <c r="O303" s="832"/>
      <c r="Q303" s="832"/>
      <c r="R303" s="832"/>
      <c r="S303" s="832"/>
      <c r="T303" s="832"/>
      <c r="U303" s="832"/>
      <c r="V303" s="832"/>
      <c r="W303" s="832"/>
      <c r="X303" s="832"/>
    </row>
    <row r="304" spans="1:24" s="812" customFormat="1" ht="39.950000000000003" hidden="1" customHeight="1" x14ac:dyDescent="0.15">
      <c r="A304" s="2072">
        <f t="shared" ca="1" si="85"/>
        <v>5</v>
      </c>
      <c r="B304" s="833">
        <v>92413</v>
      </c>
      <c r="C304" s="2" t="str">
        <f>VLOOKUP($B304,[1]BOLETIM_SEL!$A:$H,2,0)</f>
        <v>SINAPI</v>
      </c>
      <c r="D304" s="315" t="str">
        <f>VLOOKUP($B304,[1]BOLETIM_SEL!$A:$H,4,0)</f>
        <v>Montagem e desmontagem de fôrma de pilares retangulares e estruturas similares, pé-direito simples, em madeira serrada, 4 utilizações. AF_09/2020</v>
      </c>
      <c r="E304" s="2"/>
      <c r="F304" s="2" t="str">
        <f>VLOOKUP($B304,[1]BOLETIM_SEL!$A:$H,6,0)</f>
        <v>M2</v>
      </c>
      <c r="G304" s="1407">
        <f>VLOOKUP($B304,[1]BOLETIM_SEL!$A:$H,7,0)</f>
        <v>92.38</v>
      </c>
      <c r="H304" s="1606"/>
      <c r="I304" s="876">
        <f t="shared" si="83"/>
        <v>112.7</v>
      </c>
      <c r="J304" s="1607">
        <f t="shared" si="81"/>
        <v>0</v>
      </c>
      <c r="K304" s="2069">
        <f t="shared" ca="1" si="82"/>
        <v>0</v>
      </c>
      <c r="L304" s="1570" t="e">
        <f t="shared" si="84"/>
        <v>#DIV/0!</v>
      </c>
      <c r="M304" s="1442"/>
      <c r="N304" s="832"/>
      <c r="O304" s="832"/>
      <c r="Q304" s="832"/>
      <c r="R304" s="832"/>
      <c r="S304" s="832"/>
      <c r="T304" s="832"/>
      <c r="U304" s="832"/>
      <c r="V304" s="832"/>
      <c r="W304" s="832"/>
      <c r="X304" s="832"/>
    </row>
    <row r="305" spans="1:24" s="812" customFormat="1" ht="30" hidden="1" customHeight="1" x14ac:dyDescent="0.15">
      <c r="A305" s="2072">
        <f t="shared" ca="1" si="85"/>
        <v>5</v>
      </c>
      <c r="B305" s="833">
        <v>96543</v>
      </c>
      <c r="C305" s="2" t="str">
        <f>VLOOKUP($B305,[1]BOLETIM_SEL!$A:$H,2,0)</f>
        <v>SINAPI</v>
      </c>
      <c r="D305" s="315" t="str">
        <f>VLOOKUP($B305,[1]BOLETIM_SEL!$A:$H,4,0)</f>
        <v>Armação de bloco, viga baldrame e sapata utilizando aço CA-60 de 5 mm - montagem. AF_06/2017</v>
      </c>
      <c r="E305" s="2"/>
      <c r="F305" s="2" t="str">
        <f>VLOOKUP($B305,[1]BOLETIM_SEL!$A:$H,6,0)</f>
        <v>KG</v>
      </c>
      <c r="G305" s="1407">
        <f>VLOOKUP($B305,[1]BOLETIM_SEL!$A:$H,7,0)</f>
        <v>17.2</v>
      </c>
      <c r="H305" s="1606">
        <f>Dre_Disp_Estruturais!AE138</f>
        <v>0</v>
      </c>
      <c r="I305" s="876">
        <f t="shared" si="83"/>
        <v>20.98</v>
      </c>
      <c r="J305" s="1607">
        <f t="shared" si="81"/>
        <v>0</v>
      </c>
      <c r="K305" s="2069">
        <f t="shared" ca="1" si="82"/>
        <v>0</v>
      </c>
      <c r="L305" s="1570" t="e">
        <f t="shared" si="84"/>
        <v>#DIV/0!</v>
      </c>
      <c r="M305" s="1442"/>
      <c r="N305" s="832"/>
      <c r="O305" s="832"/>
      <c r="Q305" s="832"/>
      <c r="R305" s="832"/>
      <c r="S305" s="832"/>
      <c r="T305" s="832"/>
      <c r="U305" s="832"/>
      <c r="V305" s="832"/>
      <c r="W305" s="832"/>
      <c r="X305" s="832"/>
    </row>
    <row r="306" spans="1:24" s="812" customFormat="1" ht="30" hidden="1" customHeight="1" x14ac:dyDescent="0.15">
      <c r="A306" s="2072">
        <f t="shared" ca="1" si="85"/>
        <v>5</v>
      </c>
      <c r="B306" s="833">
        <v>100342</v>
      </c>
      <c r="C306" s="2" t="str">
        <f>VLOOKUP($B306,[1]BOLETIM_SEL!$A:$H,2,0)</f>
        <v>SINAPI</v>
      </c>
      <c r="D306" s="315" t="str">
        <f>VLOOKUP($B306,[1]BOLETIM_SEL!$A:$H,4,0)</f>
        <v>Armação de cortina de contenção em concreto armado, com aço CA-50 de 6,3 mm - montagem. AF_07/2019</v>
      </c>
      <c r="E306" s="2"/>
      <c r="F306" s="2" t="str">
        <f>VLOOKUP($B306,[1]BOLETIM_SEL!$A:$H,6,0)</f>
        <v>KG</v>
      </c>
      <c r="G306" s="1407">
        <f>VLOOKUP($B306,[1]BOLETIM_SEL!$A:$H,7,0)</f>
        <v>14.19</v>
      </c>
      <c r="H306" s="1606">
        <f>Dre_Disp_Estruturais!AE132+Dre_Disp_Estruturais!AE139</f>
        <v>0</v>
      </c>
      <c r="I306" s="876">
        <f t="shared" si="83"/>
        <v>17.309999999999999</v>
      </c>
      <c r="J306" s="1607">
        <f t="shared" si="81"/>
        <v>0</v>
      </c>
      <c r="K306" s="2069">
        <f t="shared" ca="1" si="82"/>
        <v>0</v>
      </c>
      <c r="L306" s="1570" t="e">
        <f t="shared" si="84"/>
        <v>#DIV/0!</v>
      </c>
      <c r="M306" s="1442"/>
      <c r="N306" s="832"/>
      <c r="O306" s="832"/>
      <c r="Q306" s="832"/>
      <c r="R306" s="832"/>
      <c r="S306" s="832"/>
      <c r="T306" s="832"/>
      <c r="U306" s="832"/>
      <c r="V306" s="832"/>
      <c r="W306" s="832"/>
      <c r="X306" s="832"/>
    </row>
    <row r="307" spans="1:24" s="812" customFormat="1" ht="30" hidden="1" customHeight="1" x14ac:dyDescent="0.15">
      <c r="A307" s="2072">
        <f t="shared" ca="1" si="85"/>
        <v>5</v>
      </c>
      <c r="B307" s="833">
        <v>100343</v>
      </c>
      <c r="C307" s="2" t="str">
        <f>VLOOKUP($B307,[1]BOLETIM_SEL!$A:$H,2,0)</f>
        <v>SINAPI</v>
      </c>
      <c r="D307" s="315" t="str">
        <f>VLOOKUP($B307,[1]BOLETIM_SEL!$A:$H,4,0)</f>
        <v>Armação de cortina de contenção em concreto armado, com aço CA-50 de 8 mm - montagem. AF_07/2019</v>
      </c>
      <c r="E307" s="2"/>
      <c r="F307" s="2" t="str">
        <f>VLOOKUP($B307,[1]BOLETIM_SEL!$A:$H,6,0)</f>
        <v>KG</v>
      </c>
      <c r="G307" s="1407">
        <f>VLOOKUP($B307,[1]BOLETIM_SEL!$A:$H,7,0)</f>
        <v>13.38</v>
      </c>
      <c r="H307" s="1606">
        <f>Dre_Disp_Estruturais!AE140</f>
        <v>0</v>
      </c>
      <c r="I307" s="876">
        <f t="shared" si="83"/>
        <v>16.32</v>
      </c>
      <c r="J307" s="1607">
        <f t="shared" si="81"/>
        <v>0</v>
      </c>
      <c r="K307" s="2069">
        <f t="shared" ca="1" si="82"/>
        <v>0</v>
      </c>
      <c r="L307" s="1570" t="e">
        <f t="shared" si="84"/>
        <v>#DIV/0!</v>
      </c>
      <c r="M307" s="1442"/>
      <c r="N307" s="832"/>
      <c r="O307" s="832"/>
      <c r="Q307" s="832"/>
      <c r="R307" s="832"/>
      <c r="S307" s="832"/>
      <c r="T307" s="832"/>
      <c r="U307" s="832"/>
      <c r="V307" s="832"/>
      <c r="W307" s="832"/>
      <c r="X307" s="832"/>
    </row>
    <row r="308" spans="1:24" s="812" customFormat="1" ht="30" hidden="1" customHeight="1" x14ac:dyDescent="0.15">
      <c r="A308" s="2072">
        <f t="shared" ca="1" si="85"/>
        <v>5</v>
      </c>
      <c r="B308" s="833">
        <v>100344</v>
      </c>
      <c r="C308" s="2" t="str">
        <f>VLOOKUP($B308,[1]BOLETIM_SEL!$A:$H,2,0)</f>
        <v>SINAPI</v>
      </c>
      <c r="D308" s="315" t="str">
        <f>VLOOKUP($B308,[1]BOLETIM_SEL!$A:$H,4,0)</f>
        <v>Armação de cortina de contenção em concreto armado, com aço CA-50 de 10 mm - montagem. AF_07/2019</v>
      </c>
      <c r="E308" s="2"/>
      <c r="F308" s="2" t="str">
        <f>VLOOKUP($B308,[1]BOLETIM_SEL!$A:$H,6,0)</f>
        <v>KG</v>
      </c>
      <c r="G308" s="1407">
        <f>VLOOKUP($B308,[1]BOLETIM_SEL!$A:$H,7,0)</f>
        <v>11.98</v>
      </c>
      <c r="H308" s="1606">
        <f>Dre_Disp_Estruturais!AE141</f>
        <v>0</v>
      </c>
      <c r="I308" s="876">
        <f t="shared" si="83"/>
        <v>14.61</v>
      </c>
      <c r="J308" s="1607">
        <f t="shared" si="81"/>
        <v>0</v>
      </c>
      <c r="K308" s="2069">
        <f t="shared" ca="1" si="82"/>
        <v>0</v>
      </c>
      <c r="L308" s="1570" t="e">
        <f t="shared" si="84"/>
        <v>#DIV/0!</v>
      </c>
      <c r="M308" s="1442"/>
      <c r="N308" s="832"/>
      <c r="O308" s="832"/>
      <c r="Q308" s="832"/>
      <c r="R308" s="832"/>
      <c r="S308" s="832"/>
      <c r="T308" s="832"/>
      <c r="U308" s="832"/>
      <c r="V308" s="832"/>
      <c r="W308" s="832"/>
      <c r="X308" s="832"/>
    </row>
    <row r="309" spans="1:24" s="812" customFormat="1" ht="30" hidden="1" customHeight="1" x14ac:dyDescent="0.15">
      <c r="A309" s="2072">
        <f t="shared" ca="1" si="85"/>
        <v>5</v>
      </c>
      <c r="B309" s="833">
        <v>100345</v>
      </c>
      <c r="C309" s="2" t="str">
        <f>VLOOKUP($B309,[1]BOLETIM_SEL!$A:$H,2,0)</f>
        <v>SINAPI</v>
      </c>
      <c r="D309" s="315" t="str">
        <f>VLOOKUP($B309,[1]BOLETIM_SEL!$A:$H,4,0)</f>
        <v>Armação de cortina de contenção em concreto armado, com aço CA-50 de 12,5 mm - montagem. AF_07/2019</v>
      </c>
      <c r="E309" s="2"/>
      <c r="F309" s="2" t="str">
        <f>VLOOKUP($B309,[1]BOLETIM_SEL!$A:$H,6,0)</f>
        <v>KG</v>
      </c>
      <c r="G309" s="1407">
        <f>VLOOKUP($B309,[1]BOLETIM_SEL!$A:$H,7,0)</f>
        <v>10.130000000000001</v>
      </c>
      <c r="H309" s="1606">
        <f>Dre_Disp_Estruturais!AE142</f>
        <v>0</v>
      </c>
      <c r="I309" s="876">
        <f t="shared" si="83"/>
        <v>12.35</v>
      </c>
      <c r="J309" s="1607">
        <f t="shared" si="81"/>
        <v>0</v>
      </c>
      <c r="K309" s="2069">
        <f t="shared" ca="1" si="82"/>
        <v>0</v>
      </c>
      <c r="L309" s="1570" t="e">
        <f t="shared" si="84"/>
        <v>#DIV/0!</v>
      </c>
      <c r="M309" s="1442"/>
      <c r="N309" s="832"/>
      <c r="O309" s="832"/>
      <c r="Q309" s="832"/>
      <c r="R309" s="832"/>
      <c r="S309" s="832"/>
      <c r="T309" s="832"/>
      <c r="U309" s="832"/>
      <c r="V309" s="832"/>
      <c r="W309" s="832"/>
      <c r="X309" s="832"/>
    </row>
    <row r="310" spans="1:24" s="812" customFormat="1" ht="39.950000000000003" hidden="1" customHeight="1" x14ac:dyDescent="0.15">
      <c r="A310" s="2072">
        <f t="shared" ca="1" si="85"/>
        <v>5</v>
      </c>
      <c r="B310" s="833">
        <v>91593</v>
      </c>
      <c r="C310" s="2" t="str">
        <f>VLOOKUP($B310,[1]BOLETIM_SEL!$A:$H,2,0)</f>
        <v>SINAPI</v>
      </c>
      <c r="D310" s="315" t="str">
        <f>VLOOKUP($B310,[1]BOLETIM_SEL!$A:$H,4,0)</f>
        <v>Armação do sistema de paredes de concreto, executada em paredes de edificações de múltiplos pavimentos, tela Q-138. AF_06/2019</v>
      </c>
      <c r="E310" s="2"/>
      <c r="F310" s="2" t="str">
        <f>VLOOKUP($B310,[1]BOLETIM_SEL!$A:$H,6,0)</f>
        <v>KG</v>
      </c>
      <c r="G310" s="1407">
        <f>VLOOKUP($B310,[1]BOLETIM_SEL!$A:$H,7,0)</f>
        <v>9.74</v>
      </c>
      <c r="H310" s="1606">
        <f>Dre_Disp_Estruturais!AE137</f>
        <v>0</v>
      </c>
      <c r="I310" s="876">
        <f t="shared" si="83"/>
        <v>11.88</v>
      </c>
      <c r="J310" s="1607">
        <f t="shared" si="81"/>
        <v>0</v>
      </c>
      <c r="K310" s="2069">
        <f t="shared" ca="1" si="82"/>
        <v>0</v>
      </c>
      <c r="L310" s="1570" t="e">
        <f t="shared" si="84"/>
        <v>#DIV/0!</v>
      </c>
      <c r="M310" s="1442"/>
      <c r="N310" s="832"/>
      <c r="O310" s="832"/>
      <c r="Q310" s="832"/>
      <c r="R310" s="832"/>
      <c r="S310" s="832"/>
      <c r="T310" s="832"/>
      <c r="U310" s="832"/>
      <c r="V310" s="832"/>
      <c r="W310" s="832"/>
      <c r="X310" s="832"/>
    </row>
    <row r="311" spans="1:24" s="812" customFormat="1" ht="39.950000000000003" hidden="1" customHeight="1" x14ac:dyDescent="0.15">
      <c r="A311" s="2072">
        <f t="shared" ca="1" si="85"/>
        <v>5</v>
      </c>
      <c r="B311" s="833">
        <v>91594</v>
      </c>
      <c r="C311" s="2" t="str">
        <f>VLOOKUP($B311,[1]BOLETIM_SEL!$A:$H,2,0)</f>
        <v>SINAPI</v>
      </c>
      <c r="D311" s="315" t="str">
        <f>VLOOKUP($B311,[1]BOLETIM_SEL!$A:$H,4,0)</f>
        <v>Armação em tela soldada nervurada Q-92 (15x15cm) #4,2x4,2mm (1,48kg/m²), aço CA-60, para estrutura, fornecimento e aplicação</v>
      </c>
      <c r="E311" s="2"/>
      <c r="F311" s="2" t="str">
        <f>VLOOKUP($B311,[1]BOLETIM_SEL!$A:$H,6,0)</f>
        <v>KG</v>
      </c>
      <c r="G311" s="1407">
        <f>VLOOKUP($B311,[1]BOLETIM_SEL!$A:$H,7,0)</f>
        <v>10.14</v>
      </c>
      <c r="H311" s="1606"/>
      <c r="I311" s="876">
        <f t="shared" si="83"/>
        <v>12.37</v>
      </c>
      <c r="J311" s="1607">
        <f t="shared" si="81"/>
        <v>0</v>
      </c>
      <c r="K311" s="2069">
        <f t="shared" ca="1" si="82"/>
        <v>0</v>
      </c>
      <c r="L311" s="1570" t="e">
        <f t="shared" si="84"/>
        <v>#DIV/0!</v>
      </c>
      <c r="M311" s="1442"/>
      <c r="N311" s="832"/>
      <c r="O311" s="832"/>
      <c r="Q311" s="832"/>
      <c r="R311" s="832"/>
      <c r="S311" s="832"/>
      <c r="T311" s="832"/>
      <c r="U311" s="832"/>
      <c r="V311" s="832"/>
      <c r="W311" s="832"/>
      <c r="X311" s="832"/>
    </row>
    <row r="312" spans="1:24" s="812" customFormat="1" ht="39.950000000000003" hidden="1" customHeight="1" x14ac:dyDescent="0.15">
      <c r="A312" s="2072">
        <f t="shared" ca="1" si="85"/>
        <v>5</v>
      </c>
      <c r="B312" s="833">
        <v>101792</v>
      </c>
      <c r="C312" s="2" t="str">
        <f>VLOOKUP($B312,[1]BOLETIM_SEL!$A:$H,2,0)</f>
        <v>SINAPI</v>
      </c>
      <c r="D312" s="315" t="str">
        <f>VLOOKUP($B312,[1]BOLETIM_SEL!$A:$H,4,0)</f>
        <v>Escoramento de fôrmas de laje em madeira não aparelhada, pé-direito simples, incluso travamento, 4 utilizações. AF_09/2020</v>
      </c>
      <c r="E312" s="2"/>
      <c r="F312" s="2" t="str">
        <f>VLOOKUP($B312,[1]BOLETIM_SEL!$A:$H,6,0)</f>
        <v>M3</v>
      </c>
      <c r="G312" s="1407">
        <f>VLOOKUP($B312,[1]BOLETIM_SEL!$A:$H,7,0)</f>
        <v>16.079999999999998</v>
      </c>
      <c r="H312" s="1606">
        <f>Dre_Disp_Estruturais!AE133+Dre_Disp_Estruturais!AE143</f>
        <v>0</v>
      </c>
      <c r="I312" s="876">
        <f t="shared" si="83"/>
        <v>19.61</v>
      </c>
      <c r="J312" s="1607">
        <f t="shared" si="81"/>
        <v>0</v>
      </c>
      <c r="K312" s="2069">
        <f t="shared" ca="1" si="82"/>
        <v>0</v>
      </c>
      <c r="L312" s="1570" t="e">
        <f t="shared" si="84"/>
        <v>#DIV/0!</v>
      </c>
      <c r="M312" s="1442"/>
      <c r="N312" s="832"/>
      <c r="O312" s="832"/>
      <c r="Q312" s="832"/>
      <c r="R312" s="832"/>
      <c r="S312" s="832"/>
      <c r="T312" s="832"/>
      <c r="U312" s="832"/>
      <c r="V312" s="832"/>
      <c r="W312" s="832"/>
      <c r="X312" s="832"/>
    </row>
    <row r="313" spans="1:24" s="812" customFormat="1" ht="24.95" hidden="1" customHeight="1" x14ac:dyDescent="0.15">
      <c r="A313" s="2072"/>
      <c r="B313" s="833"/>
      <c r="C313" s="833"/>
      <c r="D313" s="834"/>
      <c r="E313" s="2"/>
      <c r="F313" s="833"/>
      <c r="G313" s="1814"/>
      <c r="H313" s="1"/>
      <c r="I313" s="876"/>
      <c r="J313" s="838">
        <f>IF(J294=0,0,"")</f>
        <v>0</v>
      </c>
      <c r="K313" s="2069"/>
      <c r="L313" s="1570"/>
      <c r="M313" s="1443"/>
      <c r="N313" s="832"/>
      <c r="O313" s="832"/>
      <c r="Q313" s="832"/>
      <c r="R313" s="832"/>
      <c r="S313" s="832"/>
      <c r="T313" s="832"/>
      <c r="U313" s="832"/>
      <c r="V313" s="832"/>
      <c r="W313" s="832"/>
      <c r="X313" s="832"/>
    </row>
    <row r="314" spans="1:24" s="832" customFormat="1" ht="24.95" hidden="1" customHeight="1" x14ac:dyDescent="0.15">
      <c r="A314" s="2073">
        <f ca="1">IF(J314&gt;0,INT(A312)+1,IF(J314=0,INT(A312),0))</f>
        <v>5</v>
      </c>
      <c r="B314" s="1626"/>
      <c r="C314" s="1626"/>
      <c r="D314" s="1634" t="s">
        <v>2095</v>
      </c>
      <c r="E314" s="1821"/>
      <c r="F314" s="1628"/>
      <c r="G314" s="1828" t="s">
        <v>2108</v>
      </c>
      <c r="H314" s="1630"/>
      <c r="I314" s="1633" t="str">
        <f ca="1">CONCATENATE("SUB-TOTAL ",A314)</f>
        <v>SUB-TOTAL 5</v>
      </c>
      <c r="J314" s="1632">
        <f>SUM(J315:J411)</f>
        <v>0</v>
      </c>
      <c r="K314" s="2070">
        <f ca="1">J314/J$930</f>
        <v>0</v>
      </c>
      <c r="L314" s="1570" t="e">
        <f>J314/$J$314</f>
        <v>#DIV/0!</v>
      </c>
    </row>
    <row r="315" spans="1:24" s="812" customFormat="1" ht="24.95" hidden="1" customHeight="1" x14ac:dyDescent="0.15">
      <c r="A315" s="2072"/>
      <c r="B315" s="833"/>
      <c r="C315" s="2"/>
      <c r="D315" s="1449" t="s">
        <v>35</v>
      </c>
      <c r="E315" s="2"/>
      <c r="F315" s="2"/>
      <c r="G315" s="1814"/>
      <c r="H315" s="2"/>
      <c r="I315" s="2"/>
      <c r="J315" s="838" t="str">
        <f>IF(J316=0,"-","")</f>
        <v>-</v>
      </c>
      <c r="K315" s="2069"/>
      <c r="L315" s="1570"/>
      <c r="M315" s="1442"/>
      <c r="N315" s="832"/>
      <c r="O315" s="832"/>
      <c r="Q315" s="832"/>
      <c r="R315" s="832"/>
      <c r="S315" s="832"/>
      <c r="T315" s="832"/>
      <c r="U315" s="832"/>
      <c r="V315" s="832"/>
      <c r="W315" s="832"/>
      <c r="X315" s="832"/>
    </row>
    <row r="316" spans="1:24" s="812" customFormat="1" ht="39.950000000000003" hidden="1" customHeight="1" x14ac:dyDescent="0.15">
      <c r="A316" s="2072">
        <f ca="1">IF(H316&gt;0,A314+0.01,A314)</f>
        <v>5</v>
      </c>
      <c r="B316" s="833">
        <v>98525</v>
      </c>
      <c r="C316" s="2" t="str">
        <f>VLOOKUP($B316,[1]BOLETIM_SEL!$A:$H,2,0)</f>
        <v>SINAPI</v>
      </c>
      <c r="D316" s="315" t="str">
        <f>VLOOKUP($B316,[1]BOLETIM_SEL!$A:$H,4,0)</f>
        <v>Limpeza mecanizada de camada vegetal, vegetação e pequenas árvores (diâmetro nominal de tronco menor que 0,20 m), com trator de esteiras. AF_05/2018</v>
      </c>
      <c r="E316" s="2"/>
      <c r="F316" s="2" t="str">
        <f>VLOOKUP($B316,[1]BOLETIM_SEL!$A:$H,6,0)</f>
        <v>M2</v>
      </c>
      <c r="G316" s="1407">
        <f>VLOOKUP($B316,[1]BOLETIM_SEL!$A:$H,7,0)</f>
        <v>0.37</v>
      </c>
      <c r="H316" s="1608">
        <f>+Bacia_Amortecimento!J5+Bacia_Amortecimento!J6</f>
        <v>0</v>
      </c>
      <c r="I316" s="876">
        <f t="shared" ref="I316" si="86">TRUNC(G316*(1+$J$5),2)</f>
        <v>0.45</v>
      </c>
      <c r="J316" s="1607">
        <f t="shared" ref="J316" si="87">TRUNC(H316*I316,2)</f>
        <v>0</v>
      </c>
      <c r="K316" s="2069">
        <f t="shared" ref="K316:K321" ca="1" si="88">J316/J$930</f>
        <v>0</v>
      </c>
      <c r="L316" s="1570" t="e">
        <f>J316/$J$314</f>
        <v>#DIV/0!</v>
      </c>
      <c r="M316" s="1442"/>
      <c r="N316" s="832"/>
      <c r="O316" s="832"/>
    </row>
    <row r="317" spans="1:24" s="812" customFormat="1" ht="39.950000000000003" hidden="1" customHeight="1" x14ac:dyDescent="0.15">
      <c r="A317" s="2072">
        <f t="shared" ref="A317:A342" ca="1" si="89">IF(H317&gt;0,A316+0.01,A316)</f>
        <v>5</v>
      </c>
      <c r="B317" s="2" t="s">
        <v>2399</v>
      </c>
      <c r="C317" s="2" t="str">
        <f>VLOOKUP($B317,[1]BOLETIM_SEL!$A:$H,2,0)</f>
        <v>COMPOSIÇÃO</v>
      </c>
      <c r="D317" s="315" t="str">
        <f>VLOOKUP($B317,[1]BOLETIM_SEL!$A:$H,4,0)</f>
        <v>Revestimento de pátio com pedra britada com espessura de 5 cm com regularização do terreno com motoniveladora. Exclusive transporte. (REF SINAPI COD 100575)</v>
      </c>
      <c r="E317" s="2"/>
      <c r="F317" s="2" t="str">
        <f>VLOOKUP($B317,[1]BOLETIM_SEL!$A:$H,6,0)</f>
        <v>M2</v>
      </c>
      <c r="G317" s="1407">
        <f>VLOOKUP($B317,[1]BOLETIM_SEL!$A:$H,7,0)</f>
        <v>5.44</v>
      </c>
      <c r="H317" s="1608">
        <f>+Bacia_Amortecimento!J12</f>
        <v>0</v>
      </c>
      <c r="I317" s="876">
        <f t="shared" ref="I317:I321" si="90">TRUNC(G317*(1+$J$5),2)</f>
        <v>6.63</v>
      </c>
      <c r="J317" s="1607">
        <f t="shared" ref="J317:J321" si="91">TRUNC(H317*I317,2)</f>
        <v>0</v>
      </c>
      <c r="K317" s="2069">
        <f t="shared" ca="1" si="88"/>
        <v>0</v>
      </c>
      <c r="L317" s="1570" t="e">
        <f t="shared" ref="L317:L321" si="92">J317/$J$314</f>
        <v>#DIV/0!</v>
      </c>
      <c r="M317" s="1442"/>
      <c r="N317" s="832"/>
      <c r="O317" s="832"/>
      <c r="P317" s="832"/>
      <c r="Q317" s="832"/>
      <c r="R317" s="832"/>
      <c r="S317" s="832"/>
      <c r="T317" s="832"/>
      <c r="U317" s="832"/>
      <c r="V317" s="832"/>
      <c r="W317" s="832"/>
      <c r="X317" s="832"/>
    </row>
    <row r="318" spans="1:24" s="812" customFormat="1" ht="50.1" hidden="1" customHeight="1" x14ac:dyDescent="0.15">
      <c r="A318" s="2072">
        <f t="shared" ca="1" si="89"/>
        <v>5</v>
      </c>
      <c r="B318" s="833" t="s">
        <v>188</v>
      </c>
      <c r="C318" s="2" t="str">
        <f>VLOOKUP($B318,[1]BOLETIM_SEL!$A:$H,2,0)</f>
        <v>COMPOSIÇÃO</v>
      </c>
      <c r="D318" s="315" t="str">
        <f>VLOOKUP($B318,[1]BOLETIM_SEL!$A:$H,4,0)</f>
        <v>Segurança de trânsito - sinalização de advertência de obra com placa (fundo laranja) sobre cavalete, conforme ABNT - NBR-7678 Segurança na execução de obras e serviços de construção Ministério do Trabalho e da Previdência Social - NB-26 - Sinalização De Segurança CONTRAN - Manual De Noções De Normas De Trânsito</v>
      </c>
      <c r="E318" s="2"/>
      <c r="F318" s="2" t="str">
        <f>VLOOKUP($B318,[1]BOLETIM_SEL!$A:$H,6,0)</f>
        <v>M2</v>
      </c>
      <c r="G318" s="1407">
        <f>VLOOKUP($B318,[1]BOLETIM_SEL!$A:$H,7,0)</f>
        <v>142.30000000000001</v>
      </c>
      <c r="H318" s="1608">
        <f>+Bacia_Amortecimento!J14</f>
        <v>0</v>
      </c>
      <c r="I318" s="876">
        <f t="shared" si="90"/>
        <v>173.6</v>
      </c>
      <c r="J318" s="1607">
        <f t="shared" si="91"/>
        <v>0</v>
      </c>
      <c r="K318" s="2069">
        <f t="shared" ca="1" si="88"/>
        <v>0</v>
      </c>
      <c r="L318" s="1570" t="e">
        <f t="shared" si="92"/>
        <v>#DIV/0!</v>
      </c>
      <c r="M318" s="1442"/>
      <c r="N318" s="832"/>
      <c r="O318" s="832"/>
      <c r="P318" s="832"/>
      <c r="Q318" s="832"/>
      <c r="R318" s="832"/>
      <c r="S318" s="832"/>
      <c r="X318" s="815"/>
    </row>
    <row r="319" spans="1:24" s="812" customFormat="1" ht="50.1" hidden="1" customHeight="1" x14ac:dyDescent="0.15">
      <c r="A319" s="2072">
        <f t="shared" ca="1" si="89"/>
        <v>5</v>
      </c>
      <c r="B319" s="2" t="s">
        <v>1631</v>
      </c>
      <c r="C319" s="2" t="str">
        <f>VLOOKUP($B319,[1]BOLETIM_SEL!$A:$H,2,0)</f>
        <v>COMPOSIÇÃO</v>
      </c>
      <c r="D319" s="315" t="str">
        <f>VLOOKUP($B319,[1]BOLETIM_SEL!$A:$H,4,0)</f>
        <v>Segurança de trânsito - isolamento de obra com tela cerquite plática laranja conforme ABNT - NBR-7678 Segurança na execução de obras e serviços de construção Ministério do Trabalho e da Previdência Social - NB-26 - Sinalização De Segurança CONTRAN - Manual De Noções De Normas De Trânsito</v>
      </c>
      <c r="E319" s="2"/>
      <c r="F319" s="2" t="str">
        <f>VLOOKUP($B319,[1]BOLETIM_SEL!$A:$H,6,0)</f>
        <v>M</v>
      </c>
      <c r="G319" s="1407">
        <f>VLOOKUP($B319,[1]BOLETIM_SEL!$A:$H,7,0)</f>
        <v>10.210000000000001</v>
      </c>
      <c r="H319" s="1608">
        <f>+Bacia_Amortecimento!J15</f>
        <v>0</v>
      </c>
      <c r="I319" s="876">
        <f t="shared" si="90"/>
        <v>12.45</v>
      </c>
      <c r="J319" s="1607">
        <f t="shared" si="91"/>
        <v>0</v>
      </c>
      <c r="K319" s="2069">
        <f t="shared" ca="1" si="88"/>
        <v>0</v>
      </c>
      <c r="L319" s="1570" t="e">
        <f t="shared" si="92"/>
        <v>#DIV/0!</v>
      </c>
      <c r="M319" s="1442"/>
      <c r="N319" s="832"/>
      <c r="O319" s="832"/>
      <c r="X319" s="832"/>
    </row>
    <row r="320" spans="1:24" s="812" customFormat="1" ht="30" hidden="1" customHeight="1" x14ac:dyDescent="0.15">
      <c r="A320" s="2072">
        <f t="shared" ca="1" si="89"/>
        <v>5</v>
      </c>
      <c r="B320" s="2">
        <v>13244</v>
      </c>
      <c r="C320" s="2" t="str">
        <f>VLOOKUP($B320,[1]BOLETIM_SEL!$A:$H,2,0)</f>
        <v>SINAPI</v>
      </c>
      <c r="D320" s="315" t="str">
        <f>VLOOKUP($B320,[1]BOLETIM_SEL!$A:$H,4,0)</f>
        <v>Segurança de trânsito - cone de sinalização em pvc rígido com faixa refletiva, h = 70 / 76 cm</v>
      </c>
      <c r="E320" s="2"/>
      <c r="F320" s="2" t="str">
        <f>VLOOKUP($B320,[1]BOLETIM_SEL!$A:$H,6,0)</f>
        <v xml:space="preserve">UN    </v>
      </c>
      <c r="G320" s="1407">
        <f>VLOOKUP($B320,[1]BOLETIM_SEL!$A:$H,7,0)</f>
        <v>51.9</v>
      </c>
      <c r="H320" s="1608">
        <f>+Bacia_Amortecimento!J16</f>
        <v>0</v>
      </c>
      <c r="I320" s="876">
        <f t="shared" si="90"/>
        <v>63.31</v>
      </c>
      <c r="J320" s="1607">
        <f t="shared" si="91"/>
        <v>0</v>
      </c>
      <c r="K320" s="2069">
        <f t="shared" ca="1" si="88"/>
        <v>0</v>
      </c>
      <c r="L320" s="1570" t="e">
        <f t="shared" si="92"/>
        <v>#DIV/0!</v>
      </c>
      <c r="M320" s="1442"/>
      <c r="N320" s="832"/>
      <c r="O320" s="832"/>
      <c r="X320" s="832"/>
    </row>
    <row r="321" spans="1:24" s="812" customFormat="1" ht="39.950000000000003" hidden="1" customHeight="1" x14ac:dyDescent="0.15">
      <c r="A321" s="2072">
        <f t="shared" ca="1" si="89"/>
        <v>5</v>
      </c>
      <c r="B321" s="833">
        <f>IF(AND(M321="ESCAVADEIRA",H321&lt;=50),100978,IF(AND(M321="ESCAVADEIRA",H321&gt;50),100979,IF(AND(M321="CARREGADEIRA",H321&lt;=50),100974,100975)))</f>
        <v>100978</v>
      </c>
      <c r="C321" s="2" t="str">
        <f>VLOOKUP($B321,[1]BOLETIM_SEL!$A:$H,2,0)</f>
        <v>SINAPI</v>
      </c>
      <c r="D321" s="315" t="str">
        <f>VLOOKUP($B321,[1]BOLETIM_SEL!$A:$H,4,0)</f>
        <v>Carga, manobra e descarga de solos e materiais granulares em caminhão basculante 10 m3 - carga com escavadeira hidráulica (capacidade da caçamba: 1,20 m3 / potência: 155 HP) e descarga livre (unidade: m3). AF_07/2020</v>
      </c>
      <c r="E321" s="2"/>
      <c r="F321" s="2" t="str">
        <f>VLOOKUP($B321,[1]BOLETIM_SEL!$A:$H,6,0)</f>
        <v>M3</v>
      </c>
      <c r="G321" s="1407">
        <f>VLOOKUP($B321,[1]BOLETIM_SEL!$A:$H,7,0)</f>
        <v>6.71</v>
      </c>
      <c r="H321" s="1608">
        <f>+Bacia_Amortecimento!J7</f>
        <v>0</v>
      </c>
      <c r="I321" s="876">
        <f t="shared" si="90"/>
        <v>8.18</v>
      </c>
      <c r="J321" s="1607">
        <f t="shared" si="91"/>
        <v>0</v>
      </c>
      <c r="K321" s="2069">
        <f t="shared" ca="1" si="88"/>
        <v>0</v>
      </c>
      <c r="L321" s="1570" t="e">
        <f t="shared" si="92"/>
        <v>#DIV/0!</v>
      </c>
      <c r="M321" s="1585" t="s">
        <v>2094</v>
      </c>
      <c r="N321" s="832"/>
      <c r="O321" s="832"/>
      <c r="P321" s="832"/>
      <c r="Q321" s="832"/>
      <c r="R321" s="832"/>
      <c r="S321" s="832"/>
      <c r="T321" s="832"/>
      <c r="U321" s="832"/>
      <c r="V321" s="832"/>
      <c r="W321" s="832"/>
      <c r="X321" s="832"/>
    </row>
    <row r="322" spans="1:24" s="812" customFormat="1" ht="24.95" hidden="1" customHeight="1" x14ac:dyDescent="0.15">
      <c r="A322" s="2072"/>
      <c r="B322" s="833"/>
      <c r="C322" s="2"/>
      <c r="D322" s="1449" t="s">
        <v>2098</v>
      </c>
      <c r="E322" s="2"/>
      <c r="F322" s="2"/>
      <c r="G322" s="1814"/>
      <c r="H322" s="2"/>
      <c r="I322" s="2"/>
      <c r="J322" s="838" t="str">
        <f>IF(J323=0,"-","")</f>
        <v>-</v>
      </c>
      <c r="K322" s="2069"/>
      <c r="L322" s="1570"/>
      <c r="M322" s="1442"/>
      <c r="N322" s="1648" t="s">
        <v>1951</v>
      </c>
      <c r="O322" s="1648" t="s">
        <v>1977</v>
      </c>
      <c r="Q322" s="832"/>
      <c r="R322" s="832"/>
      <c r="S322" s="832"/>
      <c r="T322" s="832"/>
      <c r="U322" s="832"/>
      <c r="V322" s="832"/>
      <c r="W322" s="832"/>
      <c r="X322" s="832"/>
    </row>
    <row r="323" spans="1:24" s="812" customFormat="1" ht="50.1" hidden="1" customHeight="1" x14ac:dyDescent="0.15">
      <c r="A323" s="2072">
        <f ca="1">IF(H323&gt;0,A321+0.01,A321)</f>
        <v>5</v>
      </c>
      <c r="B323" s="833">
        <v>101266</v>
      </c>
      <c r="C323" s="2" t="str">
        <f>VLOOKUP($B323,[1]BOLETIM_SEL!$A:$H,2,0)</f>
        <v>SINAPI</v>
      </c>
      <c r="D323" s="315" t="str">
        <f>VLOOKUP($B323,[1]BOLETIM_SEL!$A:$H,4,0)</f>
        <v>Escavação vertical a céu aberto, em obras de infraestrutura, incluindo carga, descarga e transporte, em solo de 1a categoria com escavadeira hidráulica (caçamba: 0,80 m3 / 111 HP), frota de 3 caminhões basculantes de 10 m3, DMT até 1 km e velocidade média 14 km/h. AF_05/2020</v>
      </c>
      <c r="E323" s="2"/>
      <c r="F323" s="2" t="str">
        <f>VLOOKUP($B323,[1]BOLETIM_SEL!$A:$H,6,0)</f>
        <v>M3</v>
      </c>
      <c r="G323" s="1407">
        <f>VLOOKUP($B323,[1]BOLETIM_SEL!$A:$H,7,0)</f>
        <v>10.93</v>
      </c>
      <c r="H323" s="1608">
        <f>Bacia_Amortecimento!J17</f>
        <v>0</v>
      </c>
      <c r="I323" s="876">
        <f t="shared" ref="I323:I342" si="93">TRUNC(G323*(1+$J$5),2)</f>
        <v>13.33</v>
      </c>
      <c r="J323" s="1607">
        <f t="shared" ref="J323:J342" si="94">TRUNC(H323*I323,2)</f>
        <v>0</v>
      </c>
      <c r="K323" s="2069">
        <f t="shared" ref="K323:K344" ca="1" si="95">J323/J$930</f>
        <v>0</v>
      </c>
      <c r="L323" s="1570" t="e">
        <f t="shared" ref="L323:L342" si="96">J323/$J$314</f>
        <v>#DIV/0!</v>
      </c>
      <c r="M323" s="1442"/>
      <c r="N323" s="1644">
        <f>VLOOKUP($B323,[1]BOLETIM_SEL!$A:$H,3,0)</f>
        <v>74.63</v>
      </c>
      <c r="O323" s="1649">
        <f>H323/N323</f>
        <v>0</v>
      </c>
      <c r="P323" s="4"/>
      <c r="X323" s="832"/>
    </row>
    <row r="324" spans="1:24" s="812" customFormat="1" ht="39.950000000000003" hidden="1" customHeight="1" x14ac:dyDescent="0.15">
      <c r="A324" s="2072">
        <f t="shared" ca="1" si="89"/>
        <v>5</v>
      </c>
      <c r="B324" s="2" t="s">
        <v>1674</v>
      </c>
      <c r="C324" s="2" t="str">
        <f>VLOOKUP($B324,[1]BOLETIM_SEL!$A:$H,2,0)</f>
        <v>COMPOSIÇÃO</v>
      </c>
      <c r="D324" s="315" t="str">
        <f>VLOOKUP($B324,[1]BOLETIM_SEL!$A:$H,4,0)</f>
        <v>Escavação de vala em rocha - 3a categoria, com uso de explosivos e perfuração mecânica, em locais com alto nível de interferência. Inclusive carga</v>
      </c>
      <c r="E324" s="2"/>
      <c r="F324" s="2" t="str">
        <f>VLOOKUP($B324,[1]BOLETIM_SEL!$A:$H,6,0)</f>
        <v>M3</v>
      </c>
      <c r="G324" s="1407">
        <f>VLOOKUP($B324,[1]BOLETIM_SEL!$A:$H,7,0)</f>
        <v>492.1</v>
      </c>
      <c r="H324" s="1608">
        <f>Bacia_Amortecimento!J18</f>
        <v>0</v>
      </c>
      <c r="I324" s="876">
        <f t="shared" si="93"/>
        <v>600.36</v>
      </c>
      <c r="J324" s="1607">
        <f t="shared" si="94"/>
        <v>0</v>
      </c>
      <c r="K324" s="2069">
        <f t="shared" ca="1" si="95"/>
        <v>0</v>
      </c>
      <c r="L324" s="1570" t="e">
        <f t="shared" si="96"/>
        <v>#DIV/0!</v>
      </c>
      <c r="M324" s="1442"/>
      <c r="N324" s="1644">
        <f>VLOOKUP($B324,[1]BOLETIM_SEL!$A:$H,3,0)</f>
        <v>3</v>
      </c>
      <c r="O324" s="1649">
        <f>H324/N324</f>
        <v>0</v>
      </c>
      <c r="P324" s="832"/>
      <c r="Q324" s="832"/>
      <c r="R324" s="832"/>
      <c r="S324" s="832"/>
      <c r="T324" s="832"/>
      <c r="U324" s="832"/>
      <c r="V324" s="832"/>
      <c r="W324" s="832"/>
      <c r="X324" s="832"/>
    </row>
    <row r="325" spans="1:24" s="812" customFormat="1" ht="39.950000000000003" hidden="1" customHeight="1" x14ac:dyDescent="0.15">
      <c r="A325" s="2072">
        <f t="shared" ca="1" si="89"/>
        <v>5</v>
      </c>
      <c r="B325" s="833" t="s">
        <v>2620</v>
      </c>
      <c r="C325" s="2" t="str">
        <f>VLOOKUP($B325,[1]BOLETIM_SEL!$A:$H,2,0)</f>
        <v>COMPOSIÇÃO</v>
      </c>
      <c r="D325" s="315" t="str">
        <f>VLOOKUP($B325,[1]BOLETIM_SEL!$A:$H,4,0)</f>
        <v>Escavação mecânica para acerto de taludes em material de 1a categoria,com escavadeira hidráulica (REF. SINAPI. COD. 83336)</v>
      </c>
      <c r="E325" s="2"/>
      <c r="F325" s="2" t="str">
        <f>VLOOKUP($B325,[1]BOLETIM_SEL!$A:$H,6,0)</f>
        <v>M3</v>
      </c>
      <c r="G325" s="1407">
        <f>VLOOKUP($B325,[1]BOLETIM_SEL!$A:$H,7,0)</f>
        <v>6.23</v>
      </c>
      <c r="H325" s="1608">
        <f>Bacia_Amortecimento!J19</f>
        <v>0</v>
      </c>
      <c r="I325" s="876">
        <f t="shared" si="93"/>
        <v>7.6</v>
      </c>
      <c r="J325" s="1607">
        <f t="shared" si="94"/>
        <v>0</v>
      </c>
      <c r="K325" s="2069">
        <f t="shared" ca="1" si="95"/>
        <v>0</v>
      </c>
      <c r="L325" s="1570" t="e">
        <f t="shared" si="96"/>
        <v>#DIV/0!</v>
      </c>
      <c r="M325" s="1442"/>
      <c r="O325" s="832"/>
      <c r="P325" s="832"/>
      <c r="Q325" s="832"/>
      <c r="R325" s="832"/>
      <c r="S325" s="832"/>
      <c r="T325" s="832"/>
      <c r="U325" s="832"/>
      <c r="V325" s="832"/>
      <c r="W325" s="832"/>
      <c r="X325" s="832"/>
    </row>
    <row r="326" spans="1:24" s="812" customFormat="1" ht="30" hidden="1" customHeight="1" x14ac:dyDescent="0.15">
      <c r="A326" s="2072">
        <f t="shared" ca="1" si="89"/>
        <v>5</v>
      </c>
      <c r="B326" s="833">
        <v>100575</v>
      </c>
      <c r="C326" s="2" t="str">
        <f>VLOOKUP($B326,[1]BOLETIM_SEL!$A:$H,2,0)</f>
        <v>SINAPI</v>
      </c>
      <c r="D326" s="315" t="str">
        <f>VLOOKUP($B326,[1]BOLETIM_SEL!$A:$H,4,0)</f>
        <v>Regularização de superfícies com motoniveladora. AF_11/2019</v>
      </c>
      <c r="E326" s="2"/>
      <c r="F326" s="2" t="str">
        <f>VLOOKUP($B326,[1]BOLETIM_SEL!$A:$H,6,0)</f>
        <v>M2</v>
      </c>
      <c r="G326" s="1407">
        <f>VLOOKUP($B326,[1]BOLETIM_SEL!$A:$H,7,0)</f>
        <v>0.12</v>
      </c>
      <c r="H326" s="1608">
        <f>Bacia_Amortecimento!G5</f>
        <v>0</v>
      </c>
      <c r="I326" s="876">
        <f t="shared" si="93"/>
        <v>0.14000000000000001</v>
      </c>
      <c r="J326" s="1607">
        <f t="shared" si="94"/>
        <v>0</v>
      </c>
      <c r="K326" s="2069">
        <f t="shared" ca="1" si="95"/>
        <v>0</v>
      </c>
      <c r="L326" s="1570" t="e">
        <f t="shared" si="96"/>
        <v>#DIV/0!</v>
      </c>
      <c r="M326" s="1442"/>
      <c r="O326" s="832"/>
      <c r="P326" s="832"/>
      <c r="Q326" s="832"/>
      <c r="R326" s="832"/>
      <c r="S326" s="1809"/>
      <c r="T326" s="832"/>
      <c r="U326" s="832"/>
      <c r="V326" s="832"/>
      <c r="W326" s="832"/>
      <c r="X326" s="832"/>
    </row>
    <row r="327" spans="1:24" s="812" customFormat="1" ht="30" hidden="1" customHeight="1" x14ac:dyDescent="0.15">
      <c r="A327" s="2072">
        <f t="shared" ca="1" si="89"/>
        <v>5</v>
      </c>
      <c r="B327" s="833">
        <v>101617</v>
      </c>
      <c r="C327" s="2" t="str">
        <f>VLOOKUP($B327,[1]BOLETIM_SEL!$A:$H,2,0)</f>
        <v>SINAPI</v>
      </c>
      <c r="D327" s="315" t="str">
        <f>VLOOKUP($B327,[1]BOLETIM_SEL!$A:$H,4,0)</f>
        <v>Preparo de fundo de vala com largura maior ou igual a 1,50 m e menor que 2,50 m (acerto do solo natural). AF_08/2020</v>
      </c>
      <c r="E327" s="2"/>
      <c r="F327" s="2" t="str">
        <f>VLOOKUP($B327,[1]BOLETIM_SEL!$A:$H,6,0)</f>
        <v>M2</v>
      </c>
      <c r="G327" s="1407">
        <f>VLOOKUP($B327,[1]BOLETIM_SEL!$A:$H,7,0)</f>
        <v>2.84</v>
      </c>
      <c r="H327" s="1608">
        <f>Bacia_Amortecimento!J21</f>
        <v>0</v>
      </c>
      <c r="I327" s="876">
        <f t="shared" si="93"/>
        <v>3.46</v>
      </c>
      <c r="J327" s="1607">
        <f t="shared" si="94"/>
        <v>0</v>
      </c>
      <c r="K327" s="2069">
        <f t="shared" ca="1" si="95"/>
        <v>0</v>
      </c>
      <c r="L327" s="1570" t="e">
        <f t="shared" si="96"/>
        <v>#DIV/0!</v>
      </c>
      <c r="M327" s="1442"/>
      <c r="O327" s="832"/>
      <c r="P327" s="832"/>
      <c r="Q327" s="832"/>
      <c r="R327" s="832"/>
      <c r="S327" s="832"/>
      <c r="T327" s="832"/>
      <c r="U327" s="832"/>
      <c r="V327" s="832"/>
      <c r="W327" s="832"/>
      <c r="X327" s="832"/>
    </row>
    <row r="328" spans="1:24" s="812" customFormat="1" ht="39.950000000000003" hidden="1" customHeight="1" x14ac:dyDescent="0.15">
      <c r="A328" s="2072">
        <f t="shared" ca="1" si="89"/>
        <v>5</v>
      </c>
      <c r="B328" s="833">
        <v>101624</v>
      </c>
      <c r="C328" s="2" t="str">
        <f>VLOOKUP($B328,[1]BOLETIM_SEL!$A:$H,2,0)</f>
        <v>SINAPI</v>
      </c>
      <c r="D328" s="315" t="str">
        <f>VLOOKUP($B328,[1]BOLETIM_SEL!$A:$H,4,0)</f>
        <v>Preparo de fundo de vala com largura maior ou igual a 1,50 m e menor que 2,50 m, com camada de brita, lançamento mecanizado. AF_08/2020</v>
      </c>
      <c r="E328" s="2"/>
      <c r="F328" s="2" t="str">
        <f>VLOOKUP($B328,[1]BOLETIM_SEL!$A:$H,6,0)</f>
        <v>M3</v>
      </c>
      <c r="G328" s="1407">
        <f>VLOOKUP($B328,[1]BOLETIM_SEL!$A:$H,7,0)</f>
        <v>202.18</v>
      </c>
      <c r="H328" s="1608">
        <f>Bacia_Amortecimento!J23</f>
        <v>0</v>
      </c>
      <c r="I328" s="876">
        <f t="shared" si="93"/>
        <v>246.65</v>
      </c>
      <c r="J328" s="1607">
        <f t="shared" si="94"/>
        <v>0</v>
      </c>
      <c r="K328" s="2069">
        <f t="shared" ca="1" si="95"/>
        <v>0</v>
      </c>
      <c r="L328" s="1570" t="e">
        <f t="shared" si="96"/>
        <v>#DIV/0!</v>
      </c>
      <c r="M328" s="1442"/>
      <c r="O328" s="832"/>
      <c r="P328" s="832"/>
      <c r="Q328" s="832"/>
      <c r="R328" s="832"/>
      <c r="S328" s="832"/>
      <c r="T328" s="832"/>
      <c r="U328" s="832"/>
      <c r="V328" s="832"/>
      <c r="W328" s="832"/>
      <c r="X328" s="832"/>
    </row>
    <row r="329" spans="1:24" s="812" customFormat="1" ht="39.950000000000003" hidden="1" customHeight="1" x14ac:dyDescent="0.15">
      <c r="A329" s="2072">
        <f t="shared" ca="1" si="89"/>
        <v>5</v>
      </c>
      <c r="B329" s="833" t="s">
        <v>1675</v>
      </c>
      <c r="C329" s="2" t="str">
        <f>VLOOKUP($B329,[1]BOLETIM_SEL!$A:$H,2,0)</f>
        <v>COMPOSIÇÃO</v>
      </c>
      <c r="D329" s="315" t="str">
        <f>VLOOKUP($B329,[1]BOLETIM_SEL!$A:$H,4,0)</f>
        <v>Lastro ou enrocamento de pedra-de-mão ou rachão lançado, fornecimento e apiloamento. Exclusive transporte, ref SINAPI 73697, data 01/2020 e SINAPI 92744.</v>
      </c>
      <c r="E329" s="2"/>
      <c r="F329" s="2" t="str">
        <f>VLOOKUP($B329,[1]BOLETIM_SEL!$A:$H,6,0)</f>
        <v>M3</v>
      </c>
      <c r="G329" s="1407">
        <f>VLOOKUP($B329,[1]BOLETIM_SEL!$A:$H,7,0)</f>
        <v>266.85000000000002</v>
      </c>
      <c r="H329" s="1608">
        <f>Bacia_Amortecimento!J25</f>
        <v>0</v>
      </c>
      <c r="I329" s="876">
        <f t="shared" si="93"/>
        <v>325.55</v>
      </c>
      <c r="J329" s="1607">
        <f t="shared" si="94"/>
        <v>0</v>
      </c>
      <c r="K329" s="2069">
        <f t="shared" ca="1" si="95"/>
        <v>0</v>
      </c>
      <c r="L329" s="1570" t="e">
        <f t="shared" si="96"/>
        <v>#DIV/0!</v>
      </c>
      <c r="M329" s="1442"/>
      <c r="O329" s="832"/>
      <c r="P329" s="832"/>
      <c r="Q329" s="832"/>
      <c r="R329" s="832"/>
      <c r="S329" s="832"/>
      <c r="T329" s="832"/>
      <c r="U329" s="832"/>
      <c r="V329" s="832"/>
      <c r="W329" s="832"/>
      <c r="X329" s="832"/>
    </row>
    <row r="330" spans="1:24" s="812" customFormat="1" ht="50.1" hidden="1" customHeight="1" x14ac:dyDescent="0.15">
      <c r="A330" s="2072">
        <f t="shared" ca="1" si="89"/>
        <v>5</v>
      </c>
      <c r="B330" s="833">
        <v>93367</v>
      </c>
      <c r="C330" s="2" t="str">
        <f>VLOOKUP($B330,[1]BOLETIM_SEL!$A:$H,2,0)</f>
        <v>SINAPI</v>
      </c>
      <c r="D330" s="315" t="str">
        <f>VLOOKUP($B330,[1]BOLETIM_SEL!$A:$H,4,0)</f>
        <v>Reaterro mecanizado de vala com escavadeira hidráulica (capacidade da caçamba: 0,80 m3 / potência: 111 HP), largura de 1,50 a 2,50 m, profundidade até 1,50 m, com solo (sem substituição) de 1a categoria em locais com baixo nível de interferência. AF_04/2016</v>
      </c>
      <c r="E330" s="2"/>
      <c r="F330" s="2" t="str">
        <f>VLOOKUP($B330,[1]BOLETIM_SEL!$A:$H,6,0)</f>
        <v>M3</v>
      </c>
      <c r="G330" s="1407">
        <f>VLOOKUP($B330,[1]BOLETIM_SEL!$A:$H,7,0)</f>
        <v>22.45</v>
      </c>
      <c r="H330" s="1608">
        <f>Bacia_Amortecimento!J84</f>
        <v>0</v>
      </c>
      <c r="I330" s="876">
        <f t="shared" si="93"/>
        <v>27.38</v>
      </c>
      <c r="J330" s="1607">
        <f t="shared" si="94"/>
        <v>0</v>
      </c>
      <c r="K330" s="2069">
        <f t="shared" ca="1" si="95"/>
        <v>0</v>
      </c>
      <c r="L330" s="1570" t="e">
        <f t="shared" si="96"/>
        <v>#DIV/0!</v>
      </c>
      <c r="M330" s="1442"/>
      <c r="O330" s="832"/>
      <c r="P330" s="832"/>
      <c r="Q330" s="832"/>
      <c r="R330" s="832"/>
      <c r="S330" s="832"/>
      <c r="T330" s="832"/>
      <c r="U330" s="832"/>
      <c r="V330" s="832"/>
      <c r="W330" s="832"/>
      <c r="X330" s="832"/>
    </row>
    <row r="331" spans="1:24" s="812" customFormat="1" ht="50.1" hidden="1" customHeight="1" x14ac:dyDescent="0.15">
      <c r="A331" s="2072">
        <f t="shared" ca="1" si="89"/>
        <v>5</v>
      </c>
      <c r="B331" s="833">
        <v>93369</v>
      </c>
      <c r="C331" s="2" t="str">
        <f>VLOOKUP($B331,[1]BOLETIM_SEL!$A:$H,2,0)</f>
        <v>SINAPI</v>
      </c>
      <c r="D331" s="315" t="str">
        <f>VLOOKUP($B331,[1]BOLETIM_SEL!$A:$H,4,0)</f>
        <v>Reaterro mecanizado de vala com escavadeira hidráulica (capacidade da caçamba: 0,80 m3 / potência: 111 HP), largura de 1,50 a 2,50 m, profundidade de 1,50 a 3,00 m, com solo (sem substituição) de 1a categoria em locais com baixo nível de interferência. AF_04/2016</v>
      </c>
      <c r="E331" s="2"/>
      <c r="F331" s="2" t="str">
        <f>VLOOKUP($B331,[1]BOLETIM_SEL!$A:$H,6,0)</f>
        <v>M3</v>
      </c>
      <c r="G331" s="1407">
        <f>VLOOKUP($B331,[1]BOLETIM_SEL!$A:$H,7,0)</f>
        <v>16.100000000000001</v>
      </c>
      <c r="H331" s="1608">
        <f>Bacia_Amortecimento!J27</f>
        <v>0</v>
      </c>
      <c r="I331" s="876">
        <f t="shared" si="93"/>
        <v>19.64</v>
      </c>
      <c r="J331" s="1607">
        <f t="shared" si="94"/>
        <v>0</v>
      </c>
      <c r="K331" s="2069">
        <f t="shared" ca="1" si="95"/>
        <v>0</v>
      </c>
      <c r="L331" s="1570" t="e">
        <f t="shared" si="96"/>
        <v>#DIV/0!</v>
      </c>
      <c r="M331" s="1442"/>
      <c r="O331" s="832"/>
      <c r="P331" s="832"/>
      <c r="Q331" s="832"/>
      <c r="R331" s="832"/>
      <c r="S331" s="832"/>
      <c r="T331" s="832"/>
      <c r="U331" s="832"/>
      <c r="V331" s="832"/>
      <c r="W331" s="832"/>
      <c r="X331" s="832"/>
    </row>
    <row r="332" spans="1:24" s="812" customFormat="1" ht="50.1" hidden="1" customHeight="1" x14ac:dyDescent="0.15">
      <c r="A332" s="2072">
        <f t="shared" ca="1" si="89"/>
        <v>5</v>
      </c>
      <c r="B332" s="833">
        <v>104732</v>
      </c>
      <c r="C332" s="2" t="str">
        <f>VLOOKUP($B332,[1]BOLETIM_SEL!$A:$H,2,0)</f>
        <v>SINAPI</v>
      </c>
      <c r="D332" s="315" t="str">
        <f>VLOOKUP($B332,[1]BOLETIM_SEL!$A:$H,4,0)</f>
        <v>Reaterro mecanizado de vala com escavadeira hidráulica (capacidade da caçamba: 0,8 M³/potência: 111 HP), largura de 1,5 a 2,5 m, profundidade de 3,0 a 6,0 m, com solo (sem substituição) de 1ª categoria, com placa vibratória. AF_08/2023</v>
      </c>
      <c r="E332" s="2"/>
      <c r="F332" s="2" t="str">
        <f>VLOOKUP($B332,[1]BOLETIM_SEL!$A:$H,6,0)</f>
        <v>M3</v>
      </c>
      <c r="G332" s="1407">
        <f>VLOOKUP($B332,[1]BOLETIM_SEL!$A:$H,7,0)</f>
        <v>9.59</v>
      </c>
      <c r="H332" s="1608">
        <f>Bacia_Amortecimento!J28</f>
        <v>0</v>
      </c>
      <c r="I332" s="876">
        <f t="shared" si="93"/>
        <v>11.69</v>
      </c>
      <c r="J332" s="1607">
        <f t="shared" si="94"/>
        <v>0</v>
      </c>
      <c r="K332" s="2069">
        <f t="shared" ca="1" si="95"/>
        <v>0</v>
      </c>
      <c r="L332" s="1570" t="e">
        <f t="shared" si="96"/>
        <v>#DIV/0!</v>
      </c>
      <c r="M332" s="1442"/>
      <c r="O332" s="832"/>
      <c r="P332" s="832"/>
      <c r="Q332" s="832"/>
      <c r="R332" s="832"/>
      <c r="S332" s="832"/>
      <c r="T332" s="832"/>
      <c r="U332" s="832"/>
      <c r="V332" s="832"/>
      <c r="W332" s="832"/>
      <c r="X332" s="832"/>
    </row>
    <row r="333" spans="1:24" s="812" customFormat="1" ht="50.1" hidden="1" customHeight="1" x14ac:dyDescent="0.15">
      <c r="A333" s="2072">
        <f t="shared" ca="1" si="89"/>
        <v>5</v>
      </c>
      <c r="B333" s="833">
        <v>93373</v>
      </c>
      <c r="C333" s="2" t="str">
        <f>VLOOKUP($B333,[1]BOLETIM_SEL!$A:$H,2,0)</f>
        <v>SINAPI</v>
      </c>
      <c r="D333" s="315" t="str">
        <f>VLOOKUP($B333,[1]BOLETIM_SEL!$A:$H,4,0)</f>
        <v>Reaterro mecanizado de vala com escavadeira hidráulica (capacidade da caçamba: 0,80 m3 / potência: 111 HP), largura de 1,50 a 2,50 m, profundidade de 4,50 a 6,00 m, com solo (sem substituição) de 1a categoria em locais com baixo nível de interferência. AF_04/2016</v>
      </c>
      <c r="E333" s="2"/>
      <c r="F333" s="2" t="str">
        <f>VLOOKUP($B333,[1]BOLETIM_SEL!$A:$H,6,0)</f>
        <v>M3</v>
      </c>
      <c r="G333" s="1407">
        <f>VLOOKUP($B333,[1]BOLETIM_SEL!$A:$H,7,0)</f>
        <v>13.21</v>
      </c>
      <c r="H333" s="1608">
        <f>Bacia_Amortecimento!J29</f>
        <v>0</v>
      </c>
      <c r="I333" s="876">
        <f t="shared" si="93"/>
        <v>16.11</v>
      </c>
      <c r="J333" s="1607">
        <f t="shared" si="94"/>
        <v>0</v>
      </c>
      <c r="K333" s="2069">
        <f t="shared" ca="1" si="95"/>
        <v>0</v>
      </c>
      <c r="L333" s="1570" t="e">
        <f t="shared" si="96"/>
        <v>#DIV/0!</v>
      </c>
      <c r="M333" s="1442"/>
      <c r="O333" s="832"/>
      <c r="P333" s="832"/>
      <c r="Q333" s="832"/>
      <c r="R333" s="832"/>
      <c r="S333" s="832"/>
      <c r="T333" s="832"/>
      <c r="U333" s="832"/>
      <c r="V333" s="832"/>
      <c r="W333" s="832"/>
      <c r="X333" s="832"/>
    </row>
    <row r="334" spans="1:24" s="812" customFormat="1" ht="39.950000000000003" hidden="1" customHeight="1" x14ac:dyDescent="0.15">
      <c r="A334" s="2072">
        <f t="shared" ca="1" si="89"/>
        <v>5</v>
      </c>
      <c r="B334" s="833">
        <f>IF(M334="arenoso",96386,96385)</f>
        <v>96385</v>
      </c>
      <c r="C334" s="2" t="str">
        <f>VLOOKUP($B334,[1]BOLETIM_SEL!$A:$H,2,0)</f>
        <v>SINAPI</v>
      </c>
      <c r="D334" s="315" t="str">
        <f>VLOOKUP($B334,[1]BOLETIM_SEL!$A:$H,4,0)</f>
        <v>Execução e compactação de aterro com solo predominantemente argiloso - exclusive solo, escavação, carga e transporte. AF_11/2019</v>
      </c>
      <c r="E334" s="2"/>
      <c r="F334" s="2" t="str">
        <f>VLOOKUP($B334,[1]BOLETIM_SEL!$A:$H,6,0)</f>
        <v>M3</v>
      </c>
      <c r="G334" s="1407">
        <f>VLOOKUP($B334,[1]BOLETIM_SEL!$A:$H,7,0)</f>
        <v>11.26</v>
      </c>
      <c r="H334" s="1608">
        <f>Bacia_Amortecimento!J30</f>
        <v>0</v>
      </c>
      <c r="I334" s="876">
        <f t="shared" si="93"/>
        <v>13.73</v>
      </c>
      <c r="J334" s="1607">
        <f t="shared" si="94"/>
        <v>0</v>
      </c>
      <c r="K334" s="2069">
        <f t="shared" ca="1" si="95"/>
        <v>0</v>
      </c>
      <c r="L334" s="1570" t="e">
        <f t="shared" si="96"/>
        <v>#DIV/0!</v>
      </c>
      <c r="M334" s="1585" t="s">
        <v>2036</v>
      </c>
      <c r="N334" s="832"/>
      <c r="O334" s="832"/>
      <c r="Q334" s="832"/>
      <c r="R334" s="832"/>
      <c r="S334" s="832"/>
      <c r="T334" s="832"/>
      <c r="U334" s="832"/>
      <c r="V334" s="832"/>
      <c r="W334" s="832"/>
      <c r="X334" s="832"/>
    </row>
    <row r="335" spans="1:24" s="812" customFormat="1" ht="50.1" hidden="1" customHeight="1" x14ac:dyDescent="0.15">
      <c r="A335" s="2072">
        <f t="shared" ca="1" si="89"/>
        <v>5</v>
      </c>
      <c r="B335" s="2">
        <v>101230</v>
      </c>
      <c r="C335" s="2" t="str">
        <f>VLOOKUP($B335,[1]BOLETIM_SEL!$A:$H,2,0)</f>
        <v>SINAPI</v>
      </c>
      <c r="D335" s="315" t="str">
        <f>VLOOKUP($B335,[1]BOLETIM_SEL!$A:$H,4,0)</f>
        <v>Escavação vertical a céu aberto, em obras de infraestrutura, incluindo carga, descarga e transporte, em solo de 1a categoria com escavadeira hidráulica (caçamba: 0,80 m3 / 111 HP), frota de 3 caminhões basculantes de 14 m3, DMT até 1 km e velocidade média 14 km/h. AF_05/2020</v>
      </c>
      <c r="E335" s="2"/>
      <c r="F335" s="2" t="str">
        <f>VLOOKUP($B335,[1]BOLETIM_SEL!$A:$H,6,0)</f>
        <v>M3</v>
      </c>
      <c r="G335" s="1407">
        <f>VLOOKUP($B335,[1]BOLETIM_SEL!$A:$H,7,0)</f>
        <v>10.75</v>
      </c>
      <c r="H335" s="1608">
        <f>Bacia_Amortecimento!J33</f>
        <v>0</v>
      </c>
      <c r="I335" s="876">
        <f t="shared" ref="I335" si="97">TRUNC(G335*(1+$J$5),2)</f>
        <v>13.11</v>
      </c>
      <c r="J335" s="1607">
        <f t="shared" ref="J335" si="98">TRUNC(H335*I335,2)</f>
        <v>0</v>
      </c>
      <c r="K335" s="2069">
        <f t="shared" ca="1" si="95"/>
        <v>0</v>
      </c>
      <c r="L335" s="1570" t="e">
        <f t="shared" ref="L335" si="99">J335/$J$314</f>
        <v>#DIV/0!</v>
      </c>
      <c r="M335" s="1442"/>
      <c r="N335" s="832"/>
      <c r="O335" s="832"/>
      <c r="Q335" s="832"/>
      <c r="R335" s="832"/>
      <c r="S335" s="832"/>
      <c r="T335" s="832"/>
      <c r="U335" s="832"/>
      <c r="V335" s="832"/>
      <c r="W335" s="832"/>
      <c r="X335" s="832"/>
    </row>
    <row r="336" spans="1:24" s="812" customFormat="1" ht="39.950000000000003" hidden="1" customHeight="1" x14ac:dyDescent="0.15">
      <c r="A336" s="2072">
        <f t="shared" ca="1" si="89"/>
        <v>5</v>
      </c>
      <c r="B336" s="833">
        <v>6079</v>
      </c>
      <c r="C336" s="2" t="str">
        <f>VLOOKUP($B336,[1]BOLETIM_SEL!$A:$H,2,0)</f>
        <v>COTAÇÃO - SINAPI</v>
      </c>
      <c r="D336" s="315" t="str">
        <f>VLOOKUP($B336,[1]BOLETIM_SEL!$A:$H,4,0)</f>
        <v>Argila, argila vermelha ou argila arenosa (retirada na jazida, sem transporte)</v>
      </c>
      <c r="E336" s="2"/>
      <c r="F336" s="2" t="str">
        <f>VLOOKUP($B336,[1]BOLETIM_SEL!$A:$H,6,0)</f>
        <v xml:space="preserve">M3    </v>
      </c>
      <c r="G336" s="1407">
        <f>VLOOKUP($B336,[1]BOLETIM_SEL!$A:$H,7,0)</f>
        <v>36.51</v>
      </c>
      <c r="H336" s="1608">
        <f>IF(M336="COMERCIAL",H335,0)</f>
        <v>0</v>
      </c>
      <c r="I336" s="876">
        <f t="shared" ref="I336" si="100">TRUNC(G336*(1+$J$5),2)</f>
        <v>44.54</v>
      </c>
      <c r="J336" s="1607">
        <f t="shared" ref="J336" si="101">TRUNC(H336*I336,2)</f>
        <v>0</v>
      </c>
      <c r="K336" s="2069">
        <f t="shared" ca="1" si="95"/>
        <v>0</v>
      </c>
      <c r="L336" s="1570" t="e">
        <f t="shared" ref="L336" si="102">J336/$J$314</f>
        <v>#DIV/0!</v>
      </c>
      <c r="M336" s="1585" t="s">
        <v>1703</v>
      </c>
      <c r="N336" s="832"/>
      <c r="O336" s="832"/>
      <c r="Q336" s="832"/>
      <c r="R336" s="832"/>
      <c r="S336" s="832"/>
      <c r="T336" s="832"/>
      <c r="U336" s="832"/>
      <c r="V336" s="832"/>
      <c r="W336" s="832"/>
      <c r="X336" s="832"/>
    </row>
    <row r="337" spans="1:24" s="812" customFormat="1" ht="30" hidden="1" customHeight="1" x14ac:dyDescent="0.15">
      <c r="A337" s="2072">
        <f t="shared" ca="1" si="89"/>
        <v>5</v>
      </c>
      <c r="B337" s="833">
        <v>100574</v>
      </c>
      <c r="C337" s="2" t="str">
        <f>VLOOKUP($B337,[1]BOLETIM_SEL!$A:$H,2,0)</f>
        <v>SINAPI</v>
      </c>
      <c r="D337" s="315" t="str">
        <f>VLOOKUP($B337,[1]BOLETIM_SEL!$A:$H,4,0)</f>
        <v>Espalhamento de material com trator de esteiras. AF_11/2019</v>
      </c>
      <c r="E337" s="2"/>
      <c r="F337" s="2" t="str">
        <f>VLOOKUP($B337,[1]BOLETIM_SEL!$A:$H,6,0)</f>
        <v>M3</v>
      </c>
      <c r="G337" s="1407">
        <f>VLOOKUP($B337,[1]BOLETIM_SEL!$A:$H,7,0)</f>
        <v>1.37</v>
      </c>
      <c r="H337" s="1608">
        <f>+Bacia_Amortecimento!J37</f>
        <v>0</v>
      </c>
      <c r="I337" s="876">
        <f t="shared" si="93"/>
        <v>1.67</v>
      </c>
      <c r="J337" s="1607">
        <f t="shared" si="94"/>
        <v>0</v>
      </c>
      <c r="K337" s="2069">
        <f t="shared" ca="1" si="95"/>
        <v>0</v>
      </c>
      <c r="L337" s="1570" t="e">
        <f t="shared" si="96"/>
        <v>#DIV/0!</v>
      </c>
      <c r="M337" s="1442"/>
      <c r="O337" s="832"/>
      <c r="P337" s="832"/>
      <c r="Q337" s="832"/>
      <c r="R337" s="832"/>
      <c r="S337" s="832"/>
      <c r="T337" s="832"/>
      <c r="U337" s="832"/>
      <c r="V337" s="832"/>
      <c r="W337" s="832"/>
      <c r="X337" s="832"/>
    </row>
    <row r="338" spans="1:24" s="812" customFormat="1" ht="30" hidden="1" customHeight="1" x14ac:dyDescent="0.15">
      <c r="A338" s="2072">
        <f t="shared" ca="1" si="89"/>
        <v>5</v>
      </c>
      <c r="B338" s="1827">
        <v>93358</v>
      </c>
      <c r="C338" s="2" t="str">
        <f>VLOOKUP($B338,[1]BOLETIM_SEL!$A:$H,2,0)</f>
        <v>SINAPI</v>
      </c>
      <c r="D338" s="315" t="str">
        <f>VLOOKUP($B338,[1]BOLETIM_SEL!$A:$H,4,0)</f>
        <v>Escavação manual de vala com profundidade menor ou igual a 1,30 m. AF_03/2016</v>
      </c>
      <c r="E338" s="2"/>
      <c r="F338" s="2" t="str">
        <f>VLOOKUP($B338,[1]BOLETIM_SEL!$A:$H,6,0)</f>
        <v>M3</v>
      </c>
      <c r="G338" s="1407">
        <f>VLOOKUP($B338,[1]BOLETIM_SEL!$A:$H,7,0)</f>
        <v>78.13</v>
      </c>
      <c r="H338" s="1608">
        <f>Bacia_Amortecimento!J38</f>
        <v>0</v>
      </c>
      <c r="I338" s="876">
        <f t="shared" ref="I338:I339" si="103">TRUNC(G338*(1+$J$5),2)</f>
        <v>95.31</v>
      </c>
      <c r="J338" s="1607">
        <f t="shared" ref="J338:J339" si="104">TRUNC(H338*I338,2)</f>
        <v>0</v>
      </c>
      <c r="K338" s="2069">
        <f t="shared" ca="1" si="95"/>
        <v>0</v>
      </c>
      <c r="L338" s="1570" t="e">
        <f t="shared" ref="L338:L339" si="105">J338/$J$314</f>
        <v>#DIV/0!</v>
      </c>
      <c r="M338" s="1442"/>
      <c r="O338" s="832"/>
      <c r="P338" s="832"/>
      <c r="Q338" s="832"/>
      <c r="R338" s="832"/>
      <c r="S338" s="832"/>
      <c r="T338" s="832"/>
      <c r="U338" s="832"/>
      <c r="V338" s="832"/>
      <c r="W338" s="832"/>
      <c r="X338" s="832"/>
    </row>
    <row r="339" spans="1:24" s="812" customFormat="1" ht="50.1" hidden="1" customHeight="1" x14ac:dyDescent="0.15">
      <c r="A339" s="2072">
        <f t="shared" ref="A339:A340" ca="1" si="106">IF(H339&gt;0,A338+0.01,A338)</f>
        <v>5</v>
      </c>
      <c r="B339" s="1827">
        <v>90105</v>
      </c>
      <c r="C339" s="2" t="str">
        <f>VLOOKUP($B339,[1]BOLETIM_SEL!$A:$H,2,0)</f>
        <v>SINAPI</v>
      </c>
      <c r="D339" s="315" t="str">
        <f>VLOOKUP($B339,[1]BOLETIM_SEL!$A:$H,4,0)</f>
        <v>Escavação mecanizada de vala com profundidade até 1,50 m (média entre montante e jusante / uma composição por trecho) com retroescavadeira (capacidade da caçamba: 0,26 m3 / potência: 88 HP), largura menor que 0,80 m, em solo de 1a categoria, locais com baixo nível de interferência. AF_01/2015</v>
      </c>
      <c r="E339" s="2"/>
      <c r="F339" s="2" t="str">
        <f>VLOOKUP($B339,[1]BOLETIM_SEL!$A:$H,6,0)</f>
        <v>M3</v>
      </c>
      <c r="G339" s="1407">
        <f>VLOOKUP($B339,[1]BOLETIM_SEL!$A:$H,7,0)</f>
        <v>8.52</v>
      </c>
      <c r="H339" s="1608">
        <f>Bacia_Amortecimento!J39</f>
        <v>0</v>
      </c>
      <c r="I339" s="876">
        <f t="shared" si="103"/>
        <v>10.39</v>
      </c>
      <c r="J339" s="1607">
        <f t="shared" si="104"/>
        <v>0</v>
      </c>
      <c r="K339" s="2069">
        <f t="shared" ca="1" si="95"/>
        <v>0</v>
      </c>
      <c r="L339" s="1570" t="e">
        <f t="shared" si="105"/>
        <v>#DIV/0!</v>
      </c>
      <c r="M339" s="1442"/>
      <c r="O339" s="832"/>
      <c r="P339" s="832"/>
      <c r="Q339" s="832"/>
      <c r="R339" s="832"/>
      <c r="S339" s="832"/>
      <c r="T339" s="832"/>
      <c r="U339" s="832"/>
      <c r="V339" s="832"/>
      <c r="W339" s="832"/>
      <c r="X339" s="832"/>
    </row>
    <row r="340" spans="1:24" s="812" customFormat="1" ht="39.950000000000003" hidden="1" customHeight="1" x14ac:dyDescent="0.15">
      <c r="A340" s="2072">
        <f t="shared" ca="1" si="106"/>
        <v>5</v>
      </c>
      <c r="B340" s="833">
        <v>102712</v>
      </c>
      <c r="C340" s="2" t="str">
        <f>VLOOKUP($B340,[1]BOLETIM_SEL!$A:$H,2,0)</f>
        <v>SINAPI</v>
      </c>
      <c r="D340" s="315" t="str">
        <f>VLOOKUP($B340,[1]BOLETIM_SEL!$A:$H,4,0)</f>
        <v>Geotêxtil não tecido 100% poliéster, resistência a tração de 9 kn/m (RT - 9), instalado em dreno - fornecimento e instalação. AF_07/2021</v>
      </c>
      <c r="E340" s="2"/>
      <c r="F340" s="2" t="str">
        <f>VLOOKUP($B340,[1]BOLETIM_SEL!$A:$H,6,0)</f>
        <v>M2</v>
      </c>
      <c r="G340" s="1407">
        <f>VLOOKUP($B340,[1]BOLETIM_SEL!$A:$H,7,0)</f>
        <v>13.77</v>
      </c>
      <c r="H340" s="1608">
        <f>Bacia_Amortecimento!J40</f>
        <v>0</v>
      </c>
      <c r="I340" s="876">
        <f t="shared" si="93"/>
        <v>16.79</v>
      </c>
      <c r="J340" s="1607">
        <f t="shared" si="94"/>
        <v>0</v>
      </c>
      <c r="K340" s="2069">
        <f t="shared" ca="1" si="95"/>
        <v>0</v>
      </c>
      <c r="L340" s="1570" t="e">
        <f t="shared" si="96"/>
        <v>#DIV/0!</v>
      </c>
      <c r="M340" s="1442"/>
      <c r="N340" s="832"/>
      <c r="O340" s="832"/>
      <c r="Q340" s="832"/>
      <c r="R340" s="832"/>
      <c r="S340" s="832"/>
      <c r="T340" s="832"/>
      <c r="U340" s="832"/>
      <c r="V340" s="832"/>
      <c r="W340" s="832"/>
      <c r="X340" s="832"/>
    </row>
    <row r="341" spans="1:24" s="812" customFormat="1" ht="30" hidden="1" customHeight="1" x14ac:dyDescent="0.15">
      <c r="A341" s="2072">
        <f t="shared" ca="1" si="89"/>
        <v>5</v>
      </c>
      <c r="B341" s="833" t="s">
        <v>1839</v>
      </c>
      <c r="C341" s="2" t="str">
        <f>VLOOKUP($B341,[1]BOLETIM_SEL!$A:$H,2,0)</f>
        <v>COMPOSIÇÃO</v>
      </c>
      <c r="D341" s="315" t="str">
        <f>VLOOKUP($B341,[1]BOLETIM_SEL!$A:$H,4,0)</f>
        <v>Brita n. 2 para dreno, lançamento manual, em local com nível baixo de interferência. Fornecimento, exclusive transporte</v>
      </c>
      <c r="E341" s="2"/>
      <c r="F341" s="2" t="str">
        <f>VLOOKUP($B341,[1]BOLETIM_SEL!$A:$H,6,0)</f>
        <v>M3</v>
      </c>
      <c r="G341" s="1407">
        <f>VLOOKUP($B341,[1]BOLETIM_SEL!$A:$H,7,0)</f>
        <v>190.92</v>
      </c>
      <c r="H341" s="1608">
        <f>Bacia_Amortecimento!J41</f>
        <v>0</v>
      </c>
      <c r="I341" s="876">
        <f t="shared" si="93"/>
        <v>232.92</v>
      </c>
      <c r="J341" s="1607">
        <f t="shared" si="94"/>
        <v>0</v>
      </c>
      <c r="K341" s="2069">
        <f t="shared" ca="1" si="95"/>
        <v>0</v>
      </c>
      <c r="L341" s="1570" t="e">
        <f t="shared" si="96"/>
        <v>#DIV/0!</v>
      </c>
      <c r="M341" s="1442"/>
      <c r="N341" s="832"/>
      <c r="O341" s="832"/>
      <c r="Q341" s="832"/>
      <c r="R341" s="832"/>
      <c r="S341" s="832"/>
      <c r="T341" s="832"/>
      <c r="U341" s="832"/>
      <c r="V341" s="832"/>
      <c r="W341" s="832"/>
      <c r="X341" s="832"/>
    </row>
    <row r="342" spans="1:24" s="812" customFormat="1" ht="39.950000000000003" hidden="1" customHeight="1" x14ac:dyDescent="0.15">
      <c r="A342" s="2072">
        <f t="shared" ca="1" si="89"/>
        <v>5</v>
      </c>
      <c r="B342" s="833" t="s">
        <v>1945</v>
      </c>
      <c r="C342" s="2" t="str">
        <f>VLOOKUP($B342,[1]BOLETIM_SEL!$A:$H,2,0)</f>
        <v>COMPOSIÇÃO</v>
      </c>
      <c r="D342" s="315" t="str">
        <f>VLOOKUP($B342,[1]BOLETIM_SEL!$A:$H,4,0)</f>
        <v>Tubo dreno, corrugado, espiralado, flexível, perfurado, em polietileno de alta densidade (PEAD), DN 100 mm para drenagem – fornecimento e assentamento em vala</v>
      </c>
      <c r="E342" s="2"/>
      <c r="F342" s="2" t="str">
        <f>VLOOKUP($B342,[1]BOLETIM_SEL!$A:$H,6,0)</f>
        <v>M</v>
      </c>
      <c r="G342" s="1407">
        <f>VLOOKUP($B342,[1]BOLETIM_SEL!$A:$H,7,0)</f>
        <v>32.950000000000003</v>
      </c>
      <c r="H342" s="1608">
        <f>Bacia_Amortecimento!J42</f>
        <v>0</v>
      </c>
      <c r="I342" s="876">
        <f t="shared" si="93"/>
        <v>40.19</v>
      </c>
      <c r="J342" s="1607">
        <f t="shared" si="94"/>
        <v>0</v>
      </c>
      <c r="K342" s="2069">
        <f t="shared" ca="1" si="95"/>
        <v>0</v>
      </c>
      <c r="L342" s="1570" t="e">
        <f t="shared" si="96"/>
        <v>#DIV/0!</v>
      </c>
      <c r="M342" s="1442"/>
      <c r="N342" s="1646"/>
      <c r="O342" s="1645"/>
      <c r="Q342" s="832"/>
      <c r="R342" s="832"/>
      <c r="S342" s="832"/>
      <c r="T342" s="832"/>
      <c r="U342" s="832"/>
      <c r="V342" s="832"/>
      <c r="W342" s="832"/>
      <c r="X342" s="832"/>
    </row>
    <row r="343" spans="1:24" s="812" customFormat="1" ht="39.950000000000003" hidden="1" customHeight="1" x14ac:dyDescent="0.15">
      <c r="A343" s="2072">
        <f t="shared" ref="A343:A344" ca="1" si="107">IF(H343&gt;0,A342+0.01,A342)</f>
        <v>5</v>
      </c>
      <c r="B343" s="833" t="s">
        <v>2639</v>
      </c>
      <c r="C343" s="2" t="str">
        <f>VLOOKUP($B343,[1]BOLETIM_SEL!$A:$H,2,0)</f>
        <v>COMPOSIÇÃO</v>
      </c>
      <c r="D343" s="315" t="str">
        <f>VLOOKUP($B343,[1]BOLETIM_SEL!$A:$H,4,0)</f>
        <v>Meia cana em concreto simples, D = 0,60m (174kg/m), PB, Classe P-1, fornecimento, assentamento e rejuntamento, ref SINAPI 73882/005, data: 01/2020</v>
      </c>
      <c r="E343" s="2"/>
      <c r="F343" s="2" t="str">
        <f>VLOOKUP($B343,[1]BOLETIM_SEL!$A:$H,6,0)</f>
        <v>M</v>
      </c>
      <c r="G343" s="1407">
        <f>VLOOKUP($B343,[1]BOLETIM_SEL!$A:$H,7,0)</f>
        <v>125.08</v>
      </c>
      <c r="H343" s="1608">
        <f>+Bacia_Amortecimento!J43</f>
        <v>0</v>
      </c>
      <c r="I343" s="876">
        <f t="shared" ref="I343:I344" si="108">TRUNC(G343*(1+$J$5),2)</f>
        <v>152.59</v>
      </c>
      <c r="J343" s="1607">
        <f t="shared" ref="J343:J344" si="109">TRUNC(H343*I343,2)</f>
        <v>0</v>
      </c>
      <c r="K343" s="2069">
        <f t="shared" ca="1" si="95"/>
        <v>0</v>
      </c>
      <c r="L343" s="1570" t="e">
        <f t="shared" ref="L343:L344" si="110">J343/$J$314</f>
        <v>#DIV/0!</v>
      </c>
      <c r="M343" s="1442"/>
      <c r="N343" s="1646"/>
      <c r="O343" s="1645"/>
      <c r="Q343" s="832"/>
      <c r="R343" s="832"/>
      <c r="S343" s="832"/>
      <c r="T343" s="832"/>
      <c r="U343" s="832"/>
      <c r="V343" s="832"/>
      <c r="W343" s="832"/>
      <c r="X343" s="832"/>
    </row>
    <row r="344" spans="1:24" s="812" customFormat="1" ht="39.950000000000003" hidden="1" customHeight="1" x14ac:dyDescent="0.15">
      <c r="A344" s="2072">
        <f t="shared" ca="1" si="107"/>
        <v>5</v>
      </c>
      <c r="B344" s="833" t="s">
        <v>2640</v>
      </c>
      <c r="C344" s="2" t="str">
        <f>VLOOKUP($B344,[1]BOLETIM_SEL!$A:$H,2,0)</f>
        <v>COMPOSIÇÃO</v>
      </c>
      <c r="D344" s="315" t="str">
        <f>VLOOKUP($B344,[1]BOLETIM_SEL!$A:$H,4,0)</f>
        <v>Valeta de concreto com concreto moldado in loco, acabamento convencional, armado, com seção trapezoidal 1,00m x 0,30m (b x h), espessura 6cm, com junta seca de dilatação a cada 3m</v>
      </c>
      <c r="E344" s="2"/>
      <c r="F344" s="2" t="str">
        <f>VLOOKUP($B344,[1]BOLETIM_SEL!$A:$H,6,0)</f>
        <v>M</v>
      </c>
      <c r="G344" s="1407">
        <f>VLOOKUP($B344,[1]BOLETIM_SEL!$A:$H,7,0)</f>
        <v>133.69999999999999</v>
      </c>
      <c r="H344" s="1608">
        <f>+Bacia_Amortecimento!J44</f>
        <v>0</v>
      </c>
      <c r="I344" s="876">
        <f t="shared" si="108"/>
        <v>163.11000000000001</v>
      </c>
      <c r="J344" s="1607">
        <f t="shared" si="109"/>
        <v>0</v>
      </c>
      <c r="K344" s="2069">
        <f t="shared" ca="1" si="95"/>
        <v>0</v>
      </c>
      <c r="L344" s="1570" t="e">
        <f t="shared" si="110"/>
        <v>#DIV/0!</v>
      </c>
      <c r="M344" s="1442"/>
      <c r="N344" s="1646"/>
      <c r="O344" s="1645"/>
      <c r="Q344" s="832"/>
      <c r="R344" s="832"/>
      <c r="S344" s="832"/>
      <c r="T344" s="832"/>
      <c r="U344" s="832"/>
      <c r="V344" s="832"/>
      <c r="W344" s="832"/>
      <c r="X344" s="832"/>
    </row>
    <row r="345" spans="1:24" s="812" customFormat="1" ht="24.95" hidden="1" customHeight="1" x14ac:dyDescent="0.15">
      <c r="A345" s="2072"/>
      <c r="B345" s="833"/>
      <c r="C345" s="2"/>
      <c r="D345" s="1449" t="s">
        <v>2100</v>
      </c>
      <c r="E345" s="2"/>
      <c r="F345" s="2"/>
      <c r="G345" s="1814"/>
      <c r="H345" s="2"/>
      <c r="I345" s="2"/>
      <c r="J345" s="838" t="str">
        <f>IF(J346=0,"-","")</f>
        <v>-</v>
      </c>
      <c r="K345" s="2069"/>
      <c r="L345" s="1570"/>
      <c r="M345" s="1442"/>
      <c r="N345" s="832"/>
      <c r="O345" s="832"/>
      <c r="Q345" s="832"/>
      <c r="R345" s="832"/>
      <c r="S345" s="832"/>
      <c r="T345" s="832"/>
      <c r="U345" s="832"/>
      <c r="V345" s="832"/>
      <c r="W345" s="832"/>
      <c r="X345" s="832"/>
    </row>
    <row r="346" spans="1:24" s="812" customFormat="1" ht="39.950000000000003" hidden="1" customHeight="1" x14ac:dyDescent="0.15">
      <c r="A346" s="2072">
        <f ca="1">IF(H346&gt;0,A344+0.01,A344)</f>
        <v>5</v>
      </c>
      <c r="B346" s="833">
        <v>94962</v>
      </c>
      <c r="C346" s="2" t="str">
        <f>VLOOKUP($B346,[1]BOLETIM_SEL!$A:$H,2,0)</f>
        <v>SINAPI</v>
      </c>
      <c r="D346" s="315" t="str">
        <f>VLOOKUP($B346,[1]BOLETIM_SEL!$A:$H,4,0)</f>
        <v>Concreto magro para lastro, traço 1:4,5:4,5 (cimento/ areia média/ brita 1) - preparo mecânico com betoneira 400 l. AF_07/2016</v>
      </c>
      <c r="E346" s="2"/>
      <c r="F346" s="2" t="str">
        <f>VLOOKUP($B346,[1]BOLETIM_SEL!$A:$H,6,0)</f>
        <v>M3</v>
      </c>
      <c r="G346" s="1407">
        <f>VLOOKUP($B346,[1]BOLETIM_SEL!$A:$H,7,0)</f>
        <v>385.69</v>
      </c>
      <c r="H346" s="1608">
        <f>Bacia_Amortecimento!J45</f>
        <v>0</v>
      </c>
      <c r="I346" s="876">
        <f t="shared" ref="I346:I385" si="111">TRUNC(G346*(1+$J$5),2)</f>
        <v>470.54</v>
      </c>
      <c r="J346" s="1607">
        <f t="shared" ref="J346:J385" si="112">TRUNC(H346*I346,2)</f>
        <v>0</v>
      </c>
      <c r="K346" s="2069">
        <f t="shared" ref="K346:K385" ca="1" si="113">J346/J$930</f>
        <v>0</v>
      </c>
      <c r="L346" s="1570" t="e">
        <f t="shared" ref="L346:L385" si="114">J346/$J$314</f>
        <v>#DIV/0!</v>
      </c>
      <c r="M346" s="1442"/>
      <c r="N346" s="832"/>
      <c r="O346" s="832"/>
      <c r="Q346" s="832"/>
      <c r="R346" s="832"/>
      <c r="S346" s="832"/>
      <c r="T346" s="832"/>
      <c r="U346" s="832"/>
      <c r="V346" s="832"/>
      <c r="W346" s="832"/>
      <c r="X346" s="832"/>
    </row>
    <row r="347" spans="1:24" s="812" customFormat="1" ht="30" hidden="1" customHeight="1" x14ac:dyDescent="0.15">
      <c r="A347" s="2072">
        <f t="shared" ref="A347:A385" ca="1" si="115">IF(H347&gt;0,A346+0.01,A346)</f>
        <v>5</v>
      </c>
      <c r="B347" s="833">
        <f>IF(M347="usinado",34492,94964)</f>
        <v>94964</v>
      </c>
      <c r="C347" s="2" t="str">
        <f>VLOOKUP($B347,[1]BOLETIM_SEL!$A:$H,2,0)</f>
        <v>SINAPI</v>
      </c>
      <c r="D347" s="315" t="str">
        <f>VLOOKUP($B347,[1]BOLETIM_SEL!$A:$H,4,0)</f>
        <v>Concreto FCK = 20 MPA, traço 1:2,7:3 (cimento/ areia média/ brita 1) - preparo mecânico com betoneira 400 l. AF_07/2016</v>
      </c>
      <c r="E347" s="2"/>
      <c r="F347" s="2" t="str">
        <f>VLOOKUP($B347,[1]BOLETIM_SEL!$A:$H,6,0)</f>
        <v>M3</v>
      </c>
      <c r="G347" s="1407">
        <f>VLOOKUP($B347,[1]BOLETIM_SEL!$A:$H,7,0)</f>
        <v>475.66</v>
      </c>
      <c r="H347" s="1608">
        <f>Bacia_Amortecimento!J46</f>
        <v>0</v>
      </c>
      <c r="I347" s="876">
        <f t="shared" si="111"/>
        <v>580.29999999999995</v>
      </c>
      <c r="J347" s="1607">
        <f t="shared" si="112"/>
        <v>0</v>
      </c>
      <c r="K347" s="2069">
        <f t="shared" ca="1" si="113"/>
        <v>0</v>
      </c>
      <c r="L347" s="1570" t="e">
        <f t="shared" si="114"/>
        <v>#DIV/0!</v>
      </c>
      <c r="M347" s="1585" t="s">
        <v>2109</v>
      </c>
      <c r="N347" s="832"/>
      <c r="O347" s="832"/>
      <c r="Q347" s="832"/>
      <c r="R347" s="832"/>
      <c r="S347" s="832"/>
      <c r="T347" s="832"/>
      <c r="U347" s="832"/>
      <c r="V347" s="832"/>
      <c r="W347" s="832"/>
      <c r="X347" s="832"/>
    </row>
    <row r="348" spans="1:24" s="812" customFormat="1" ht="30" hidden="1" customHeight="1" x14ac:dyDescent="0.15">
      <c r="A348" s="2072">
        <f t="shared" ca="1" si="115"/>
        <v>5</v>
      </c>
      <c r="B348" s="833">
        <f>IF(M347="usinado",34493,94965)</f>
        <v>94965</v>
      </c>
      <c r="C348" s="2" t="str">
        <f>VLOOKUP($B348,[1]BOLETIM_SEL!$A:$H,2,0)</f>
        <v>SINAPI</v>
      </c>
      <c r="D348" s="315" t="str">
        <f>VLOOKUP($B348,[1]BOLETIM_SEL!$A:$H,4,0)</f>
        <v>Concreto FCK = 25 MPA, traço 1:2,3:2,7 (cimento/ areia média/ brita 1) - preparo mecânico com betoneira 400 l. AF_07/2016</v>
      </c>
      <c r="E348" s="2"/>
      <c r="F348" s="2" t="str">
        <f>VLOOKUP($B348,[1]BOLETIM_SEL!$A:$H,6,0)</f>
        <v>M3</v>
      </c>
      <c r="G348" s="1407">
        <f>VLOOKUP($B348,[1]BOLETIM_SEL!$A:$H,7,0)</f>
        <v>497.39</v>
      </c>
      <c r="H348" s="1608">
        <f>Bacia_Amortecimento!J47</f>
        <v>0</v>
      </c>
      <c r="I348" s="876">
        <f t="shared" si="111"/>
        <v>606.80999999999995</v>
      </c>
      <c r="J348" s="1607">
        <f t="shared" si="112"/>
        <v>0</v>
      </c>
      <c r="K348" s="2069">
        <f t="shared" ca="1" si="113"/>
        <v>0</v>
      </c>
      <c r="L348" s="1570" t="e">
        <f t="shared" si="114"/>
        <v>#DIV/0!</v>
      </c>
      <c r="M348" s="1585" t="s">
        <v>1852</v>
      </c>
      <c r="N348" s="832"/>
      <c r="O348" s="832"/>
      <c r="Q348" s="832"/>
      <c r="R348" s="832"/>
      <c r="S348" s="832"/>
      <c r="T348" s="832"/>
      <c r="U348" s="832"/>
      <c r="V348" s="832"/>
      <c r="W348" s="832"/>
      <c r="X348" s="832"/>
    </row>
    <row r="349" spans="1:24" s="812" customFormat="1" ht="30" hidden="1" customHeight="1" x14ac:dyDescent="0.15">
      <c r="A349" s="2072">
        <f t="shared" ca="1" si="115"/>
        <v>5</v>
      </c>
      <c r="B349" s="833">
        <f>IF(M347="usinado",34494,94966)</f>
        <v>94966</v>
      </c>
      <c r="C349" s="2" t="str">
        <f>VLOOKUP($B349,[1]BOLETIM_SEL!$A:$H,2,0)</f>
        <v>SINAPI</v>
      </c>
      <c r="D349" s="315" t="str">
        <f>VLOOKUP($B349,[1]BOLETIM_SEL!$A:$H,4,0)</f>
        <v>Concreto FCK = 30 MPA, traço 1:2,1:2,5 (cimento/ areia média/ brita 1) - preparo mecânico com betoneira 400 l. AF_07/2016</v>
      </c>
      <c r="E349" s="2"/>
      <c r="F349" s="2" t="str">
        <f>VLOOKUP($B349,[1]BOLETIM_SEL!$A:$H,6,0)</f>
        <v>M3</v>
      </c>
      <c r="G349" s="1407">
        <f>VLOOKUP($B349,[1]BOLETIM_SEL!$A:$H,7,0)</f>
        <v>515.91999999999996</v>
      </c>
      <c r="H349" s="1608">
        <f>Bacia_Amortecimento!J48</f>
        <v>0</v>
      </c>
      <c r="I349" s="876">
        <f t="shared" si="111"/>
        <v>629.41999999999996</v>
      </c>
      <c r="J349" s="1607">
        <f t="shared" si="112"/>
        <v>0</v>
      </c>
      <c r="K349" s="2069">
        <f t="shared" ca="1" si="113"/>
        <v>0</v>
      </c>
      <c r="L349" s="1570" t="e">
        <f t="shared" si="114"/>
        <v>#DIV/0!</v>
      </c>
      <c r="M349" s="1585" t="s">
        <v>1852</v>
      </c>
      <c r="N349" s="832"/>
      <c r="O349" s="832"/>
      <c r="Q349" s="832"/>
      <c r="R349" s="832"/>
      <c r="S349" s="832"/>
      <c r="T349" s="832"/>
      <c r="U349" s="832"/>
      <c r="V349" s="832"/>
      <c r="W349" s="832"/>
      <c r="X349" s="832"/>
    </row>
    <row r="350" spans="1:24" s="812" customFormat="1" ht="39.950000000000003" hidden="1" customHeight="1" x14ac:dyDescent="0.15">
      <c r="A350" s="2072">
        <f t="shared" ca="1" si="115"/>
        <v>5</v>
      </c>
      <c r="B350" s="833">
        <v>34495</v>
      </c>
      <c r="C350" s="2" t="str">
        <f>VLOOKUP($B350,[1]BOLETIM_SEL!$A:$H,2,0)</f>
        <v>SINAPI</v>
      </c>
      <c r="D350" s="315" t="str">
        <f>VLOOKUP($B350,[1]BOLETIM_SEL!$A:$H,4,0)</f>
        <v>Concreto usinado bombeável, classe de resistência C35, com brita 0,00 e 1, slump = 100 +/- 20 mm, exclui serviço de bombeamento (NBR 8953)</v>
      </c>
      <c r="E350" s="2"/>
      <c r="F350" s="2" t="str">
        <f>VLOOKUP($B350,[1]BOLETIM_SEL!$A:$H,6,0)</f>
        <v xml:space="preserve">M3    </v>
      </c>
      <c r="G350" s="1407">
        <f>VLOOKUP($B350,[1]BOLETIM_SEL!$A:$H,7,0)</f>
        <v>597.71</v>
      </c>
      <c r="H350" s="1608">
        <f>Bacia_Amortecimento!J49</f>
        <v>0</v>
      </c>
      <c r="I350" s="876">
        <f t="shared" si="111"/>
        <v>729.2</v>
      </c>
      <c r="J350" s="1607">
        <f t="shared" si="112"/>
        <v>0</v>
      </c>
      <c r="K350" s="2069">
        <f t="shared" ca="1" si="113"/>
        <v>0</v>
      </c>
      <c r="L350" s="1570" t="e">
        <f t="shared" si="114"/>
        <v>#DIV/0!</v>
      </c>
      <c r="M350" s="1442"/>
      <c r="N350" s="832"/>
      <c r="O350" s="832"/>
      <c r="Q350" s="832"/>
      <c r="R350" s="832"/>
      <c r="S350" s="832"/>
      <c r="T350" s="832"/>
      <c r="U350" s="832"/>
      <c r="V350" s="832"/>
      <c r="W350" s="832"/>
      <c r="X350" s="832"/>
    </row>
    <row r="351" spans="1:24" s="812" customFormat="1" ht="30" hidden="1" customHeight="1" x14ac:dyDescent="0.15">
      <c r="A351" s="2072">
        <f t="shared" ca="1" si="115"/>
        <v>5</v>
      </c>
      <c r="B351" s="833">
        <v>103670</v>
      </c>
      <c r="C351" s="2" t="str">
        <f>VLOOKUP($B351,[1]BOLETIM_SEL!$A:$H,2,0)</f>
        <v>SINAPI</v>
      </c>
      <c r="D351" s="315" t="str">
        <f>VLOOKUP($B351,[1]BOLETIM_SEL!$A:$H,4,0)</f>
        <v>Lançamento com uso de baldes, adensamento e acabamento de concreto em estruturas. AF_12/2015</v>
      </c>
      <c r="E351" s="2"/>
      <c r="F351" s="2" t="str">
        <f>VLOOKUP($B351,[1]BOLETIM_SEL!$A:$H,6,0)</f>
        <v>M3</v>
      </c>
      <c r="G351" s="1407">
        <f>VLOOKUP($B351,[1]BOLETIM_SEL!$A:$H,7,0)</f>
        <v>268.77999999999997</v>
      </c>
      <c r="H351" s="1608">
        <f>H346+IF(M347="usinado",0,H347)+IF(M348="usinado",0,H348)+IF(M349="usinado",0,H349)</f>
        <v>0</v>
      </c>
      <c r="I351" s="876">
        <f t="shared" si="111"/>
        <v>327.91</v>
      </c>
      <c r="J351" s="1607">
        <f t="shared" si="112"/>
        <v>0</v>
      </c>
      <c r="K351" s="2069">
        <f t="shared" ca="1" si="113"/>
        <v>0</v>
      </c>
      <c r="L351" s="1570" t="e">
        <f t="shared" si="114"/>
        <v>#DIV/0!</v>
      </c>
      <c r="M351" s="1442"/>
      <c r="N351" s="832"/>
      <c r="O351" s="832"/>
      <c r="Q351" s="832"/>
      <c r="R351" s="832"/>
      <c r="S351" s="832"/>
      <c r="T351" s="832"/>
      <c r="U351" s="832"/>
      <c r="V351" s="832"/>
      <c r="W351" s="832"/>
      <c r="X351" s="832"/>
    </row>
    <row r="352" spans="1:24" s="812" customFormat="1" ht="30" hidden="1" customHeight="1" x14ac:dyDescent="0.15">
      <c r="A352" s="2072">
        <f t="shared" ca="1" si="115"/>
        <v>5</v>
      </c>
      <c r="B352" s="1827">
        <v>103673</v>
      </c>
      <c r="C352" s="2" t="str">
        <f>VLOOKUP($B352,[1]BOLETIM_SEL!$A:$H,2,0)</f>
        <v>SINAPI</v>
      </c>
      <c r="D352" s="315" t="str">
        <f>VLOOKUP($B352,[1]BOLETIM_SEL!$A:$H,4,0)</f>
        <v>Lançamento com uso de bomba, adensamento e acabamento de concreto em estruturas. AF_12/2015</v>
      </c>
      <c r="E352" s="2"/>
      <c r="F352" s="2" t="str">
        <f>VLOOKUP($B352,[1]BOLETIM_SEL!$A:$H,6,0)</f>
        <v>M3</v>
      </c>
      <c r="G352" s="1407">
        <f>VLOOKUP($B352,[1]BOLETIM_SEL!$A:$H,7,0)</f>
        <v>37.76</v>
      </c>
      <c r="H352" s="1608">
        <f>H350+IF(M347="usinado",H347,0)+IF(M348="usinado",H348,0)+IF(M349="usinado",H349,0)</f>
        <v>0</v>
      </c>
      <c r="I352" s="876">
        <f t="shared" si="111"/>
        <v>46.06</v>
      </c>
      <c r="J352" s="1607">
        <f t="shared" si="112"/>
        <v>0</v>
      </c>
      <c r="K352" s="2069">
        <f t="shared" ca="1" si="113"/>
        <v>0</v>
      </c>
      <c r="L352" s="1570" t="e">
        <f t="shared" si="114"/>
        <v>#DIV/0!</v>
      </c>
      <c r="M352" s="1442"/>
      <c r="N352" s="832"/>
      <c r="O352" s="832"/>
      <c r="Q352" s="832"/>
      <c r="R352" s="832"/>
      <c r="S352" s="832"/>
      <c r="T352" s="832"/>
      <c r="U352" s="832"/>
      <c r="V352" s="832"/>
      <c r="W352" s="832"/>
      <c r="X352" s="832"/>
    </row>
    <row r="353" spans="1:24" s="812" customFormat="1" ht="30" hidden="1" customHeight="1" x14ac:dyDescent="0.15">
      <c r="A353" s="2072">
        <f t="shared" ca="1" si="115"/>
        <v>5</v>
      </c>
      <c r="B353" s="833">
        <v>102487</v>
      </c>
      <c r="C353" s="2" t="str">
        <f>VLOOKUP($B353,[1]BOLETIM_SEL!$A:$H,2,0)</f>
        <v>SINAPI</v>
      </c>
      <c r="D353" s="315" t="str">
        <f>VLOOKUP($B353,[1]BOLETIM_SEL!$A:$H,4,0)</f>
        <v>Concreto ciclópico FCK = 15 MPA, 30% pedra de mão em volume real, inclusive lançamento</v>
      </c>
      <c r="E353" s="2"/>
      <c r="F353" s="2" t="str">
        <f>VLOOKUP($B353,[1]BOLETIM_SEL!$A:$H,6,0)</f>
        <v>M3</v>
      </c>
      <c r="G353" s="1407">
        <f>VLOOKUP($B353,[1]BOLETIM_SEL!$A:$H,7,0)</f>
        <v>562.11</v>
      </c>
      <c r="H353" s="1608">
        <f>Bacia_Amortecimento!J50</f>
        <v>0</v>
      </c>
      <c r="I353" s="876">
        <f t="shared" si="111"/>
        <v>685.77</v>
      </c>
      <c r="J353" s="1607">
        <f t="shared" si="112"/>
        <v>0</v>
      </c>
      <c r="K353" s="2069">
        <f t="shared" ca="1" si="113"/>
        <v>0</v>
      </c>
      <c r="L353" s="1570" t="e">
        <f t="shared" si="114"/>
        <v>#DIV/0!</v>
      </c>
      <c r="M353" s="1442"/>
      <c r="N353" s="832"/>
      <c r="O353" s="832"/>
      <c r="Q353" s="832"/>
      <c r="R353" s="832"/>
      <c r="S353" s="832"/>
      <c r="T353" s="832"/>
      <c r="U353" s="832"/>
      <c r="V353" s="832"/>
      <c r="W353" s="832"/>
      <c r="X353" s="832"/>
    </row>
    <row r="354" spans="1:24" s="812" customFormat="1" ht="39.950000000000003" hidden="1" customHeight="1" x14ac:dyDescent="0.15">
      <c r="A354" s="2072">
        <f t="shared" ca="1" si="115"/>
        <v>5</v>
      </c>
      <c r="B354" s="833">
        <v>93959</v>
      </c>
      <c r="C354" s="2" t="str">
        <f>VLOOKUP($B354,[1]BOLETIM_SEL!$A:$H,2,0)</f>
        <v>SINAPI</v>
      </c>
      <c r="D354" s="315" t="str">
        <f>VLOOKUP($B354,[1]BOLETIM_SEL!$A:$H,4,0)</f>
        <v>Execução de grampo para solo grampeado com comprimento maior que 6 m e menor ou igual a 8 m, diâmetro nominal de 10 cm, perfuração com equipamento manual e armadura com diâmetro nominal de 20 mm. AF_05/2016</v>
      </c>
      <c r="E354" s="2"/>
      <c r="F354" s="2" t="str">
        <f>VLOOKUP($B354,[1]BOLETIM_SEL!$A:$H,6,0)</f>
        <v>M</v>
      </c>
      <c r="G354" s="1407">
        <f>VLOOKUP($B354,[1]BOLETIM_SEL!$A:$H,7,0)</f>
        <v>223.4</v>
      </c>
      <c r="H354" s="1608">
        <f>Bacia_Amortecimento!J65</f>
        <v>0</v>
      </c>
      <c r="I354" s="876">
        <f t="shared" ref="I354:I357" si="116">TRUNC(G354*(1+$J$5),2)</f>
        <v>272.54000000000002</v>
      </c>
      <c r="J354" s="1607">
        <f t="shared" ref="J354:J357" si="117">TRUNC(H354*I354,2)</f>
        <v>0</v>
      </c>
      <c r="K354" s="2069">
        <f t="shared" ca="1" si="113"/>
        <v>0</v>
      </c>
      <c r="L354" s="1570" t="e">
        <f t="shared" ref="L354:L357" si="118">J354/$J$314</f>
        <v>#DIV/0!</v>
      </c>
      <c r="M354" s="1442"/>
      <c r="N354" s="832"/>
      <c r="O354" s="832"/>
      <c r="Q354" s="832"/>
      <c r="R354" s="832"/>
      <c r="S354" s="832"/>
      <c r="T354" s="832"/>
      <c r="U354" s="832"/>
      <c r="V354" s="832"/>
      <c r="W354" s="832"/>
      <c r="X354" s="832"/>
    </row>
    <row r="355" spans="1:24" s="812" customFormat="1" ht="39.950000000000003" hidden="1" customHeight="1" x14ac:dyDescent="0.15">
      <c r="A355" s="2072">
        <f t="shared" ca="1" si="115"/>
        <v>5</v>
      </c>
      <c r="B355" s="833">
        <v>93960</v>
      </c>
      <c r="C355" s="2" t="str">
        <f>VLOOKUP($B355,[1]BOLETIM_SEL!$A:$H,2,0)</f>
        <v>SINAPI</v>
      </c>
      <c r="D355" s="315" t="str">
        <f>VLOOKUP($B355,[1]BOLETIM_SEL!$A:$H,4,0)</f>
        <v>Execução de grampo para solo grampeado com comprimento maior que 8 m e menor ou igual a 10 m, diâmetro nominal de 10 cm, perfuração com equipamento manual e armadura com diâmetro nominal de 20 mm. AF_05/2016</v>
      </c>
      <c r="E355" s="2"/>
      <c r="F355" s="2" t="str">
        <f>VLOOKUP($B355,[1]BOLETIM_SEL!$A:$H,6,0)</f>
        <v>M</v>
      </c>
      <c r="G355" s="1407">
        <f>VLOOKUP($B355,[1]BOLETIM_SEL!$A:$H,7,0)</f>
        <v>216.16</v>
      </c>
      <c r="H355" s="1608">
        <f>Bacia_Amortecimento!J66</f>
        <v>0</v>
      </c>
      <c r="I355" s="876">
        <f t="shared" ref="I355" si="119">TRUNC(G355*(1+$J$5),2)</f>
        <v>263.70999999999998</v>
      </c>
      <c r="J355" s="1607">
        <f t="shared" ref="J355" si="120">TRUNC(H355*I355,2)</f>
        <v>0</v>
      </c>
      <c r="K355" s="2069">
        <f t="shared" ca="1" si="113"/>
        <v>0</v>
      </c>
      <c r="L355" s="1570" t="e">
        <f t="shared" ref="L355" si="121">J355/$J$314</f>
        <v>#DIV/0!</v>
      </c>
      <c r="M355" s="1442"/>
      <c r="N355" s="832"/>
      <c r="O355" s="832"/>
      <c r="Q355" s="832"/>
      <c r="R355" s="832"/>
      <c r="S355" s="832"/>
      <c r="T355" s="832"/>
      <c r="U355" s="832"/>
      <c r="V355" s="832"/>
      <c r="W355" s="832"/>
      <c r="X355" s="832"/>
    </row>
    <row r="356" spans="1:24" s="812" customFormat="1" ht="39.950000000000003" hidden="1" customHeight="1" x14ac:dyDescent="0.15">
      <c r="A356" s="2072">
        <f t="shared" ca="1" si="115"/>
        <v>5</v>
      </c>
      <c r="B356" s="833">
        <v>91074</v>
      </c>
      <c r="C356" s="2" t="str">
        <f>VLOOKUP($B356,[1]BOLETIM_SEL!$A:$H,2,0)</f>
        <v>SINAPI</v>
      </c>
      <c r="D356" s="315" t="str">
        <f>VLOOKUP($B356,[1]BOLETIM_SEL!$A:$H,4,0)</f>
        <v>Execução de revestimento de concreto projetado com espessura de 10 cm, armado com tela, inclinação menor que 90°, aplicação contínua, utilizando equipamento de projeção com 3 m³/h de capacidade. AF_01/2016</v>
      </c>
      <c r="E356" s="2"/>
      <c r="F356" s="2" t="str">
        <f>VLOOKUP($B356,[1]BOLETIM_SEL!$A:$H,6,0)</f>
        <v>M2</v>
      </c>
      <c r="G356" s="1407">
        <f>VLOOKUP($B356,[1]BOLETIM_SEL!$A:$H,7,0)</f>
        <v>146.28</v>
      </c>
      <c r="H356" s="1608">
        <f>Bacia_Amortecimento!J67</f>
        <v>0</v>
      </c>
      <c r="I356" s="876">
        <f t="shared" si="116"/>
        <v>178.46</v>
      </c>
      <c r="J356" s="1607">
        <f t="shared" si="117"/>
        <v>0</v>
      </c>
      <c r="K356" s="2069">
        <f t="shared" ca="1" si="113"/>
        <v>0</v>
      </c>
      <c r="L356" s="1570" t="e">
        <f t="shared" si="118"/>
        <v>#DIV/0!</v>
      </c>
      <c r="M356" s="1442"/>
      <c r="N356" s="832"/>
      <c r="O356" s="832"/>
      <c r="Q356" s="832"/>
      <c r="R356" s="832"/>
      <c r="S356" s="832"/>
      <c r="T356" s="832"/>
      <c r="U356" s="832"/>
      <c r="V356" s="832"/>
      <c r="W356" s="832"/>
      <c r="X356" s="832"/>
    </row>
    <row r="357" spans="1:24" s="812" customFormat="1" ht="39.950000000000003" hidden="1" customHeight="1" x14ac:dyDescent="0.15">
      <c r="A357" s="2072">
        <f t="shared" ca="1" si="115"/>
        <v>5</v>
      </c>
      <c r="B357" s="833">
        <v>91099</v>
      </c>
      <c r="C357" s="2" t="str">
        <f>VLOOKUP($B357,[1]BOLETIM_SEL!$A:$H,2,0)</f>
        <v>SINAPI</v>
      </c>
      <c r="D357" s="315" t="str">
        <f>VLOOKUP($B357,[1]BOLETIM_SEL!$A:$H,4,0)</f>
        <v>Execução de revestimento de concreto projetado com espessura de 10 cm, armado com fibras de aço, inclinação menor que 90°, aplicação descontínua, utilizando equipamento de projeção com 3 m³/h de capacidade. AF_01/2016</v>
      </c>
      <c r="E357" s="2"/>
      <c r="F357" s="2" t="str">
        <f>VLOOKUP($B357,[1]BOLETIM_SEL!$A:$H,6,0)</f>
        <v>M2</v>
      </c>
      <c r="G357" s="1407">
        <f>VLOOKUP($B357,[1]BOLETIM_SEL!$A:$H,7,0)</f>
        <v>182.99</v>
      </c>
      <c r="H357" s="1608">
        <f>Bacia_Amortecimento!J68</f>
        <v>0</v>
      </c>
      <c r="I357" s="876">
        <f t="shared" si="116"/>
        <v>223.24</v>
      </c>
      <c r="J357" s="1607">
        <f t="shared" si="117"/>
        <v>0</v>
      </c>
      <c r="K357" s="2069">
        <f t="shared" ca="1" si="113"/>
        <v>0</v>
      </c>
      <c r="L357" s="1570" t="e">
        <f t="shared" si="118"/>
        <v>#DIV/0!</v>
      </c>
      <c r="M357" s="1442"/>
      <c r="N357" s="832"/>
      <c r="O357" s="832"/>
      <c r="Q357" s="832"/>
      <c r="R357" s="832"/>
      <c r="S357" s="832"/>
      <c r="T357" s="832"/>
      <c r="U357" s="832"/>
      <c r="V357" s="832"/>
      <c r="W357" s="832"/>
      <c r="X357" s="832"/>
    </row>
    <row r="358" spans="1:24" s="812" customFormat="1" ht="39.950000000000003" hidden="1" customHeight="1" x14ac:dyDescent="0.15">
      <c r="A358" s="2072">
        <f t="shared" ca="1" si="115"/>
        <v>5</v>
      </c>
      <c r="B358" s="833">
        <v>92415</v>
      </c>
      <c r="C358" s="2" t="str">
        <f>VLOOKUP($B358,[1]BOLETIM_SEL!$A:$H,2,0)</f>
        <v>SINAPI</v>
      </c>
      <c r="D358" s="315" t="str">
        <f>VLOOKUP($B358,[1]BOLETIM_SEL!$A:$H,4,0)</f>
        <v>Montagem e desmontagem de fôrma de pilares retangulares e estruturas similares, pé-direito simples, em chapa de madeira compensada resinada, 2 utilizações. AF_09/2020</v>
      </c>
      <c r="E358" s="2"/>
      <c r="F358" s="2" t="str">
        <f>VLOOKUP($B358,[1]BOLETIM_SEL!$A:$H,6,0)</f>
        <v>M2</v>
      </c>
      <c r="G358" s="1407">
        <f>VLOOKUP($B358,[1]BOLETIM_SEL!$A:$H,7,0)</f>
        <v>137.13999999999999</v>
      </c>
      <c r="H358" s="1608">
        <f>Bacia_Amortecimento!J51</f>
        <v>0</v>
      </c>
      <c r="I358" s="876">
        <f t="shared" si="111"/>
        <v>167.31</v>
      </c>
      <c r="J358" s="1607">
        <f t="shared" si="112"/>
        <v>0</v>
      </c>
      <c r="K358" s="2069">
        <f t="shared" ca="1" si="113"/>
        <v>0</v>
      </c>
      <c r="L358" s="1570" t="e">
        <f t="shared" si="114"/>
        <v>#DIV/0!</v>
      </c>
      <c r="M358" s="1442"/>
      <c r="N358" s="832"/>
      <c r="O358" s="832"/>
      <c r="Q358" s="832"/>
      <c r="R358" s="832"/>
      <c r="S358" s="832"/>
      <c r="T358" s="832"/>
      <c r="U358" s="832"/>
      <c r="V358" s="832"/>
      <c r="W358" s="832"/>
      <c r="X358" s="832"/>
    </row>
    <row r="359" spans="1:24" s="812" customFormat="1" ht="39.950000000000003" hidden="1" customHeight="1" x14ac:dyDescent="0.15">
      <c r="A359" s="2072">
        <f t="shared" ca="1" si="115"/>
        <v>5</v>
      </c>
      <c r="B359" s="833">
        <v>92423</v>
      </c>
      <c r="C359" s="2" t="str">
        <f>VLOOKUP($B359,[1]BOLETIM_SEL!$A:$H,2,0)</f>
        <v>SINAPI</v>
      </c>
      <c r="D359" s="315" t="str">
        <f>VLOOKUP($B359,[1]BOLETIM_SEL!$A:$H,4,0)</f>
        <v>Montagem e desmontagem de fôrma de pilares retangulares e estruturas similares, pé-direito simples, em chapa de madeira compensada resinada, 6 utilizações. AF_09/2020</v>
      </c>
      <c r="E359" s="2"/>
      <c r="F359" s="2" t="str">
        <f>VLOOKUP($B359,[1]BOLETIM_SEL!$A:$H,6,0)</f>
        <v>M2</v>
      </c>
      <c r="G359" s="1407">
        <f>VLOOKUP($B359,[1]BOLETIM_SEL!$A:$H,7,0)</f>
        <v>69.709999999999994</v>
      </c>
      <c r="H359" s="1608">
        <f>Bacia_Amortecimento!J52</f>
        <v>0</v>
      </c>
      <c r="I359" s="876">
        <f t="shared" si="111"/>
        <v>85.04</v>
      </c>
      <c r="J359" s="1607">
        <f t="shared" si="112"/>
        <v>0</v>
      </c>
      <c r="K359" s="2069">
        <f t="shared" ca="1" si="113"/>
        <v>0</v>
      </c>
      <c r="L359" s="1570" t="e">
        <f t="shared" si="114"/>
        <v>#DIV/0!</v>
      </c>
      <c r="M359" s="1442"/>
      <c r="N359" s="832"/>
      <c r="O359" s="832"/>
      <c r="Q359" s="832"/>
      <c r="R359" s="832"/>
      <c r="S359" s="832"/>
      <c r="T359" s="832"/>
      <c r="U359" s="832"/>
      <c r="V359" s="832"/>
      <c r="W359" s="832"/>
      <c r="X359" s="832"/>
    </row>
    <row r="360" spans="1:24" s="812" customFormat="1" ht="39.950000000000003" hidden="1" customHeight="1" x14ac:dyDescent="0.15">
      <c r="A360" s="2072">
        <f t="shared" ca="1" si="115"/>
        <v>5</v>
      </c>
      <c r="B360" s="833">
        <v>92413</v>
      </c>
      <c r="C360" s="2" t="str">
        <f>VLOOKUP($B360,[1]BOLETIM_SEL!$A:$H,2,0)</f>
        <v>SINAPI</v>
      </c>
      <c r="D360" s="315" t="str">
        <f>VLOOKUP($B360,[1]BOLETIM_SEL!$A:$H,4,0)</f>
        <v>Montagem e desmontagem de fôrma de pilares retangulares e estruturas similares, pé-direito simples, em madeira serrada, 4 utilizações. AF_09/2020</v>
      </c>
      <c r="E360" s="2"/>
      <c r="F360" s="2" t="str">
        <f>VLOOKUP($B360,[1]BOLETIM_SEL!$A:$H,6,0)</f>
        <v>M2</v>
      </c>
      <c r="G360" s="1407">
        <f>VLOOKUP($B360,[1]BOLETIM_SEL!$A:$H,7,0)</f>
        <v>92.38</v>
      </c>
      <c r="H360" s="1608">
        <f>Bacia_Amortecimento!J53</f>
        <v>0</v>
      </c>
      <c r="I360" s="876">
        <f t="shared" si="111"/>
        <v>112.7</v>
      </c>
      <c r="J360" s="1607">
        <f t="shared" si="112"/>
        <v>0</v>
      </c>
      <c r="K360" s="2069">
        <f t="shared" ca="1" si="113"/>
        <v>0</v>
      </c>
      <c r="L360" s="1570" t="e">
        <f t="shared" si="114"/>
        <v>#DIV/0!</v>
      </c>
      <c r="M360" s="1442"/>
      <c r="N360" s="832"/>
      <c r="O360" s="832"/>
      <c r="Q360" s="832"/>
      <c r="R360" s="832"/>
      <c r="S360" s="832"/>
      <c r="T360" s="832"/>
      <c r="U360" s="832"/>
      <c r="V360" s="832"/>
      <c r="W360" s="832"/>
      <c r="X360" s="832"/>
    </row>
    <row r="361" spans="1:24" s="812" customFormat="1" ht="39.950000000000003" hidden="1" customHeight="1" x14ac:dyDescent="0.15">
      <c r="A361" s="2072">
        <f t="shared" ca="1" si="115"/>
        <v>5</v>
      </c>
      <c r="B361" s="833">
        <v>101792</v>
      </c>
      <c r="C361" s="2" t="str">
        <f>VLOOKUP($B361,[1]BOLETIM_SEL!$A:$H,2,0)</f>
        <v>SINAPI</v>
      </c>
      <c r="D361" s="315" t="str">
        <f>VLOOKUP($B361,[1]BOLETIM_SEL!$A:$H,4,0)</f>
        <v>Escoramento de fôrmas de laje em madeira não aparelhada, pé-direito simples, incluso travamento, 4 utilizações. AF_09/2020</v>
      </c>
      <c r="E361" s="2"/>
      <c r="F361" s="2" t="str">
        <f>VLOOKUP($B361,[1]BOLETIM_SEL!$A:$H,6,0)</f>
        <v>M3</v>
      </c>
      <c r="G361" s="1407">
        <f>VLOOKUP($B361,[1]BOLETIM_SEL!$A:$H,7,0)</f>
        <v>16.079999999999998</v>
      </c>
      <c r="H361" s="1608">
        <f>Bacia_Amortecimento!J54</f>
        <v>0</v>
      </c>
      <c r="I361" s="876">
        <f t="shared" ref="I361" si="122">TRUNC(G361*(1+$J$5),2)</f>
        <v>19.61</v>
      </c>
      <c r="J361" s="1607">
        <f t="shared" ref="J361" si="123">TRUNC(H361*I361,2)</f>
        <v>0</v>
      </c>
      <c r="K361" s="2069">
        <f t="shared" ca="1" si="113"/>
        <v>0</v>
      </c>
      <c r="L361" s="1570" t="e">
        <f t="shared" ref="L361" si="124">J361/$J$314</f>
        <v>#DIV/0!</v>
      </c>
      <c r="M361" s="1442"/>
      <c r="N361" s="832"/>
      <c r="O361" s="832"/>
      <c r="Q361" s="832"/>
      <c r="R361" s="832"/>
      <c r="S361" s="832"/>
      <c r="T361" s="832"/>
      <c r="U361" s="832"/>
      <c r="V361" s="832"/>
      <c r="W361" s="832"/>
      <c r="X361" s="832"/>
    </row>
    <row r="362" spans="1:24" s="812" customFormat="1" ht="30" hidden="1" customHeight="1" x14ac:dyDescent="0.15">
      <c r="A362" s="2072">
        <f t="shared" ca="1" si="115"/>
        <v>5</v>
      </c>
      <c r="B362" s="833">
        <v>96543</v>
      </c>
      <c r="C362" s="2" t="str">
        <f>VLOOKUP($B362,[1]BOLETIM_SEL!$A:$H,2,0)</f>
        <v>SINAPI</v>
      </c>
      <c r="D362" s="315" t="str">
        <f>VLOOKUP($B362,[1]BOLETIM_SEL!$A:$H,4,0)</f>
        <v>Armação de bloco, viga baldrame e sapata utilizando aço CA-60 de 5 mm - montagem. AF_06/2017</v>
      </c>
      <c r="E362" s="2"/>
      <c r="F362" s="2" t="str">
        <f>VLOOKUP($B362,[1]BOLETIM_SEL!$A:$H,6,0)</f>
        <v>KG</v>
      </c>
      <c r="G362" s="1407">
        <f>VLOOKUP($B362,[1]BOLETIM_SEL!$A:$H,7,0)</f>
        <v>17.2</v>
      </c>
      <c r="H362" s="1608">
        <f>Bacia_Amortecimento!J55</f>
        <v>0</v>
      </c>
      <c r="I362" s="876">
        <f t="shared" si="111"/>
        <v>20.98</v>
      </c>
      <c r="J362" s="1607">
        <f t="shared" si="112"/>
        <v>0</v>
      </c>
      <c r="K362" s="2069">
        <f t="shared" ca="1" si="113"/>
        <v>0</v>
      </c>
      <c r="L362" s="1570" t="e">
        <f t="shared" si="114"/>
        <v>#DIV/0!</v>
      </c>
      <c r="M362" s="1442"/>
      <c r="N362" s="832"/>
      <c r="O362" s="832"/>
      <c r="Q362" s="832"/>
      <c r="R362" s="832"/>
      <c r="S362" s="832"/>
      <c r="T362" s="832"/>
      <c r="U362" s="832"/>
      <c r="V362" s="832"/>
      <c r="W362" s="832"/>
      <c r="X362" s="832"/>
    </row>
    <row r="363" spans="1:24" s="812" customFormat="1" ht="30" hidden="1" customHeight="1" x14ac:dyDescent="0.15">
      <c r="A363" s="2072">
        <f t="shared" ca="1" si="115"/>
        <v>5</v>
      </c>
      <c r="B363" s="833">
        <v>100342</v>
      </c>
      <c r="C363" s="2" t="str">
        <f>VLOOKUP($B363,[1]BOLETIM_SEL!$A:$H,2,0)</f>
        <v>SINAPI</v>
      </c>
      <c r="D363" s="315" t="str">
        <f>VLOOKUP($B363,[1]BOLETIM_SEL!$A:$H,4,0)</f>
        <v>Armação de cortina de contenção em concreto armado, com aço CA-50 de 6,3 mm - montagem. AF_07/2019</v>
      </c>
      <c r="E363" s="2"/>
      <c r="F363" s="2" t="str">
        <f>VLOOKUP($B363,[1]BOLETIM_SEL!$A:$H,6,0)</f>
        <v>KG</v>
      </c>
      <c r="G363" s="1407">
        <f>VLOOKUP($B363,[1]BOLETIM_SEL!$A:$H,7,0)</f>
        <v>14.19</v>
      </c>
      <c r="H363" s="1608">
        <f>Bacia_Amortecimento!J56</f>
        <v>0</v>
      </c>
      <c r="I363" s="876">
        <f t="shared" si="111"/>
        <v>17.309999999999999</v>
      </c>
      <c r="J363" s="1607">
        <f t="shared" si="112"/>
        <v>0</v>
      </c>
      <c r="K363" s="2069">
        <f t="shared" ca="1" si="113"/>
        <v>0</v>
      </c>
      <c r="L363" s="1570" t="e">
        <f t="shared" si="114"/>
        <v>#DIV/0!</v>
      </c>
      <c r="M363" s="1442"/>
      <c r="N363" s="832"/>
      <c r="O363" s="832"/>
      <c r="Q363" s="832"/>
      <c r="R363" s="832"/>
      <c r="S363" s="832"/>
      <c r="T363" s="832"/>
      <c r="U363" s="832"/>
      <c r="V363" s="832"/>
      <c r="W363" s="832"/>
      <c r="X363" s="832"/>
    </row>
    <row r="364" spans="1:24" s="812" customFormat="1" ht="30" hidden="1" customHeight="1" x14ac:dyDescent="0.15">
      <c r="A364" s="2072">
        <f t="shared" ca="1" si="115"/>
        <v>5</v>
      </c>
      <c r="B364" s="833">
        <v>100343</v>
      </c>
      <c r="C364" s="2" t="str">
        <f>VLOOKUP($B364,[1]BOLETIM_SEL!$A:$H,2,0)</f>
        <v>SINAPI</v>
      </c>
      <c r="D364" s="315" t="str">
        <f>VLOOKUP($B364,[1]BOLETIM_SEL!$A:$H,4,0)</f>
        <v>Armação de cortina de contenção em concreto armado, com aço CA-50 de 8 mm - montagem. AF_07/2019</v>
      </c>
      <c r="E364" s="2"/>
      <c r="F364" s="2" t="str">
        <f>VLOOKUP($B364,[1]BOLETIM_SEL!$A:$H,6,0)</f>
        <v>KG</v>
      </c>
      <c r="G364" s="1407">
        <f>VLOOKUP($B364,[1]BOLETIM_SEL!$A:$H,7,0)</f>
        <v>13.38</v>
      </c>
      <c r="H364" s="1608">
        <f>Bacia_Amortecimento!J57</f>
        <v>0</v>
      </c>
      <c r="I364" s="876">
        <f t="shared" si="111"/>
        <v>16.32</v>
      </c>
      <c r="J364" s="1607">
        <f t="shared" si="112"/>
        <v>0</v>
      </c>
      <c r="K364" s="2069">
        <f t="shared" ca="1" si="113"/>
        <v>0</v>
      </c>
      <c r="L364" s="1570" t="e">
        <f t="shared" si="114"/>
        <v>#DIV/0!</v>
      </c>
      <c r="M364" s="1442"/>
      <c r="N364" s="832"/>
      <c r="O364" s="832"/>
      <c r="Q364" s="832"/>
      <c r="R364" s="832"/>
      <c r="S364" s="832"/>
      <c r="T364" s="832"/>
      <c r="U364" s="832"/>
      <c r="V364" s="832"/>
      <c r="W364" s="832"/>
      <c r="X364" s="832"/>
    </row>
    <row r="365" spans="1:24" s="812" customFormat="1" ht="30" hidden="1" customHeight="1" x14ac:dyDescent="0.15">
      <c r="A365" s="2072">
        <f t="shared" ca="1" si="115"/>
        <v>5</v>
      </c>
      <c r="B365" s="833">
        <v>100344</v>
      </c>
      <c r="C365" s="2" t="str">
        <f>VLOOKUP($B365,[1]BOLETIM_SEL!$A:$H,2,0)</f>
        <v>SINAPI</v>
      </c>
      <c r="D365" s="315" t="str">
        <f>VLOOKUP($B365,[1]BOLETIM_SEL!$A:$H,4,0)</f>
        <v>Armação de cortina de contenção em concreto armado, com aço CA-50 de 10 mm - montagem. AF_07/2019</v>
      </c>
      <c r="E365" s="2"/>
      <c r="F365" s="2" t="str">
        <f>VLOOKUP($B365,[1]BOLETIM_SEL!$A:$H,6,0)</f>
        <v>KG</v>
      </c>
      <c r="G365" s="1407">
        <f>VLOOKUP($B365,[1]BOLETIM_SEL!$A:$H,7,0)</f>
        <v>11.98</v>
      </c>
      <c r="H365" s="1608">
        <f>Bacia_Amortecimento!J58</f>
        <v>0</v>
      </c>
      <c r="I365" s="876">
        <f t="shared" si="111"/>
        <v>14.61</v>
      </c>
      <c r="J365" s="1607">
        <f t="shared" si="112"/>
        <v>0</v>
      </c>
      <c r="K365" s="2069">
        <f t="shared" ca="1" si="113"/>
        <v>0</v>
      </c>
      <c r="L365" s="1570" t="e">
        <f t="shared" si="114"/>
        <v>#DIV/0!</v>
      </c>
      <c r="M365" s="1442"/>
      <c r="N365" s="832"/>
      <c r="O365" s="832"/>
      <c r="Q365" s="832"/>
      <c r="R365" s="832"/>
      <c r="S365" s="832"/>
      <c r="T365" s="832"/>
      <c r="U365" s="832"/>
      <c r="V365" s="832"/>
      <c r="W365" s="832"/>
      <c r="X365" s="832"/>
    </row>
    <row r="366" spans="1:24" s="812" customFormat="1" ht="30" hidden="1" customHeight="1" x14ac:dyDescent="0.15">
      <c r="A366" s="2072">
        <f t="shared" ca="1" si="115"/>
        <v>5</v>
      </c>
      <c r="B366" s="833">
        <v>100345</v>
      </c>
      <c r="C366" s="2" t="str">
        <f>VLOOKUP($B366,[1]BOLETIM_SEL!$A:$H,2,0)</f>
        <v>SINAPI</v>
      </c>
      <c r="D366" s="315" t="str">
        <f>VLOOKUP($B366,[1]BOLETIM_SEL!$A:$H,4,0)</f>
        <v>Armação de cortina de contenção em concreto armado, com aço CA-50 de 12,5 mm - montagem. AF_07/2019</v>
      </c>
      <c r="E366" s="2"/>
      <c r="F366" s="2" t="str">
        <f>VLOOKUP($B366,[1]BOLETIM_SEL!$A:$H,6,0)</f>
        <v>KG</v>
      </c>
      <c r="G366" s="1407">
        <f>VLOOKUP($B366,[1]BOLETIM_SEL!$A:$H,7,0)</f>
        <v>10.130000000000001</v>
      </c>
      <c r="H366" s="1608">
        <f>Bacia_Amortecimento!J59</f>
        <v>0</v>
      </c>
      <c r="I366" s="876">
        <f t="shared" si="111"/>
        <v>12.35</v>
      </c>
      <c r="J366" s="1607">
        <f t="shared" si="112"/>
        <v>0</v>
      </c>
      <c r="K366" s="2069">
        <f t="shared" ca="1" si="113"/>
        <v>0</v>
      </c>
      <c r="L366" s="1570" t="e">
        <f t="shared" si="114"/>
        <v>#DIV/0!</v>
      </c>
      <c r="M366" s="1442"/>
      <c r="N366" s="832"/>
      <c r="O366" s="832"/>
      <c r="Q366" s="832"/>
      <c r="R366" s="832"/>
      <c r="S366" s="832"/>
      <c r="T366" s="832"/>
      <c r="U366" s="832"/>
      <c r="V366" s="832"/>
      <c r="W366" s="832"/>
      <c r="X366" s="832"/>
    </row>
    <row r="367" spans="1:24" s="812" customFormat="1" ht="39.950000000000003" hidden="1" customHeight="1" x14ac:dyDescent="0.15">
      <c r="A367" s="2072">
        <f t="shared" ca="1" si="115"/>
        <v>5</v>
      </c>
      <c r="B367" s="833">
        <v>92922</v>
      </c>
      <c r="C367" s="2" t="str">
        <f>VLOOKUP($B367,[1]BOLETIM_SEL!$A:$H,2,0)</f>
        <v>SINAPI</v>
      </c>
      <c r="D367" s="315" t="str">
        <f>VLOOKUP($B367,[1]BOLETIM_SEL!$A:$H,4,0)</f>
        <v>Armação de estruturas de concreto armado, exceto vigas, pilares, lajes e fundações, utilizando aço CA-50 de 16,0 mm - montagem. AF_12/2015</v>
      </c>
      <c r="E367" s="2"/>
      <c r="F367" s="2" t="str">
        <f>VLOOKUP($B367,[1]BOLETIM_SEL!$A:$H,6,0)</f>
        <v>KG</v>
      </c>
      <c r="G367" s="1407">
        <f>VLOOKUP($B367,[1]BOLETIM_SEL!$A:$H,7,0)</f>
        <v>9.7799999999999994</v>
      </c>
      <c r="H367" s="1608">
        <f>Bacia_Amortecimento!J60</f>
        <v>0</v>
      </c>
      <c r="I367" s="876">
        <f t="shared" ref="I367:I369" si="125">TRUNC(G367*(1+$J$5),2)</f>
        <v>11.93</v>
      </c>
      <c r="J367" s="1607">
        <f t="shared" ref="J367:J369" si="126">TRUNC(H367*I367,2)</f>
        <v>0</v>
      </c>
      <c r="K367" s="2069">
        <f t="shared" ca="1" si="113"/>
        <v>0</v>
      </c>
      <c r="L367" s="1570" t="e">
        <f t="shared" ref="L367:L369" si="127">J367/$J$314</f>
        <v>#DIV/0!</v>
      </c>
      <c r="M367" s="1442"/>
      <c r="N367" s="832"/>
      <c r="O367" s="832"/>
      <c r="Q367" s="832"/>
      <c r="R367" s="832"/>
      <c r="S367" s="832"/>
      <c r="T367" s="832"/>
      <c r="U367" s="832"/>
      <c r="V367" s="832"/>
      <c r="W367" s="832"/>
      <c r="X367" s="832"/>
    </row>
    <row r="368" spans="1:24" s="812" customFormat="1" ht="39.950000000000003" hidden="1" customHeight="1" x14ac:dyDescent="0.15">
      <c r="A368" s="2072">
        <f t="shared" ca="1" si="115"/>
        <v>5</v>
      </c>
      <c r="B368" s="833">
        <v>92923</v>
      </c>
      <c r="C368" s="2" t="str">
        <f>VLOOKUP($B368,[1]BOLETIM_SEL!$A:$H,2,0)</f>
        <v>SINAPI</v>
      </c>
      <c r="D368" s="315" t="str">
        <f>VLOOKUP($B368,[1]BOLETIM_SEL!$A:$H,4,0)</f>
        <v>Armação de estruturas de concreto armado, exceto vigas, pilares, lajes e fundações, utilizando aço CA-50 de 20,0 mm - montagem. AF_12/2015</v>
      </c>
      <c r="E368" s="2"/>
      <c r="F368" s="2" t="str">
        <f>VLOOKUP($B368,[1]BOLETIM_SEL!$A:$H,6,0)</f>
        <v>KG</v>
      </c>
      <c r="G368" s="1407">
        <f>VLOOKUP($B368,[1]BOLETIM_SEL!$A:$H,7,0)</f>
        <v>11.02</v>
      </c>
      <c r="H368" s="1608">
        <f>Bacia_Amortecimento!J61</f>
        <v>0</v>
      </c>
      <c r="I368" s="876">
        <f t="shared" si="125"/>
        <v>13.44</v>
      </c>
      <c r="J368" s="1607">
        <f t="shared" si="126"/>
        <v>0</v>
      </c>
      <c r="K368" s="2069">
        <f t="shared" ca="1" si="113"/>
        <v>0</v>
      </c>
      <c r="L368" s="1570" t="e">
        <f t="shared" si="127"/>
        <v>#DIV/0!</v>
      </c>
      <c r="M368" s="1442"/>
      <c r="N368" s="832"/>
      <c r="O368" s="832"/>
      <c r="Q368" s="832"/>
      <c r="R368" s="832"/>
      <c r="S368" s="832"/>
      <c r="T368" s="832"/>
      <c r="U368" s="832"/>
      <c r="V368" s="832"/>
      <c r="W368" s="832"/>
      <c r="X368" s="832"/>
    </row>
    <row r="369" spans="1:24" s="812" customFormat="1" ht="39.950000000000003" hidden="1" customHeight="1" x14ac:dyDescent="0.15">
      <c r="A369" s="2072">
        <f t="shared" ca="1" si="115"/>
        <v>5</v>
      </c>
      <c r="B369" s="833">
        <v>92924</v>
      </c>
      <c r="C369" s="2" t="str">
        <f>VLOOKUP($B369,[1]BOLETIM_SEL!$A:$H,2,0)</f>
        <v>SINAPI</v>
      </c>
      <c r="D369" s="315" t="str">
        <f>VLOOKUP($B369,[1]BOLETIM_SEL!$A:$H,4,0)</f>
        <v>Armação de estruturas de concreto armado, exceto vigas, pilares, lajes e fundações, utilizando aço CA-50 de 25,0 mm - montagem. AF_12/2015</v>
      </c>
      <c r="E369" s="2"/>
      <c r="F369" s="2" t="str">
        <f>VLOOKUP($B369,[1]BOLETIM_SEL!$A:$H,6,0)</f>
        <v>KG</v>
      </c>
      <c r="G369" s="1407">
        <f>VLOOKUP($B369,[1]BOLETIM_SEL!$A:$H,7,0)</f>
        <v>10.84</v>
      </c>
      <c r="H369" s="1608">
        <f>Bacia_Amortecimento!J62</f>
        <v>0</v>
      </c>
      <c r="I369" s="876">
        <f t="shared" si="125"/>
        <v>13.22</v>
      </c>
      <c r="J369" s="1607">
        <f t="shared" si="126"/>
        <v>0</v>
      </c>
      <c r="K369" s="2069">
        <f t="shared" ca="1" si="113"/>
        <v>0</v>
      </c>
      <c r="L369" s="1570" t="e">
        <f t="shared" si="127"/>
        <v>#DIV/0!</v>
      </c>
      <c r="M369" s="1442"/>
      <c r="N369" s="832"/>
      <c r="O369" s="832"/>
      <c r="Q369" s="832"/>
      <c r="R369" s="832"/>
      <c r="S369" s="832"/>
      <c r="T369" s="832"/>
      <c r="U369" s="832"/>
      <c r="V369" s="832"/>
      <c r="W369" s="832"/>
      <c r="X369" s="832"/>
    </row>
    <row r="370" spans="1:24" s="812" customFormat="1" ht="39.950000000000003" hidden="1" customHeight="1" x14ac:dyDescent="0.15">
      <c r="A370" s="2072">
        <f t="shared" ca="1" si="115"/>
        <v>5</v>
      </c>
      <c r="B370" s="833">
        <v>91593</v>
      </c>
      <c r="C370" s="2" t="str">
        <f>VLOOKUP($B370,[1]BOLETIM_SEL!$A:$H,2,0)</f>
        <v>SINAPI</v>
      </c>
      <c r="D370" s="315" t="str">
        <f>VLOOKUP($B370,[1]BOLETIM_SEL!$A:$H,4,0)</f>
        <v>Armação do sistema de paredes de concreto, executada em paredes de edificações de múltiplos pavimentos, tela Q-138. AF_06/2019</v>
      </c>
      <c r="E370" s="2"/>
      <c r="F370" s="2" t="str">
        <f>VLOOKUP($B370,[1]BOLETIM_SEL!$A:$H,6,0)</f>
        <v>KG</v>
      </c>
      <c r="G370" s="1407">
        <f>VLOOKUP($B370,[1]BOLETIM_SEL!$A:$H,7,0)</f>
        <v>9.74</v>
      </c>
      <c r="H370" s="1608">
        <f>Bacia_Amortecimento!J63</f>
        <v>0</v>
      </c>
      <c r="I370" s="876">
        <f t="shared" ref="I370" si="128">TRUNC(G370*(1+$J$5),2)</f>
        <v>11.88</v>
      </c>
      <c r="J370" s="1607">
        <f t="shared" ref="J370" si="129">TRUNC(H370*I370,2)</f>
        <v>0</v>
      </c>
      <c r="K370" s="2069">
        <f t="shared" ca="1" si="113"/>
        <v>0</v>
      </c>
      <c r="L370" s="1570" t="e">
        <f t="shared" ref="L370" si="130">J370/$J$314</f>
        <v>#DIV/0!</v>
      </c>
      <c r="M370" s="1442"/>
      <c r="N370" s="832"/>
      <c r="O370" s="832"/>
      <c r="Q370" s="832"/>
      <c r="R370" s="832"/>
      <c r="S370" s="832"/>
      <c r="T370" s="832"/>
      <c r="U370" s="832"/>
      <c r="V370" s="832"/>
      <c r="W370" s="832"/>
      <c r="X370" s="832"/>
    </row>
    <row r="371" spans="1:24" s="812" customFormat="1" ht="39.950000000000003" hidden="1" customHeight="1" x14ac:dyDescent="0.15">
      <c r="A371" s="2072">
        <f t="shared" ca="1" si="115"/>
        <v>5</v>
      </c>
      <c r="B371" s="833">
        <v>91594</v>
      </c>
      <c r="C371" s="2" t="str">
        <f>VLOOKUP($B371,[1]BOLETIM_SEL!$A:$H,2,0)</f>
        <v>SINAPI</v>
      </c>
      <c r="D371" s="315" t="str">
        <f>VLOOKUP($B371,[1]BOLETIM_SEL!$A:$H,4,0)</f>
        <v>Armação em tela soldada nervurada Q-92 (15x15cm) #4,2x4,2mm (1,48kg/m²), aço CA-60, para estrutura, fornecimento e aplicação</v>
      </c>
      <c r="E371" s="2"/>
      <c r="F371" s="2" t="str">
        <f>VLOOKUP($B371,[1]BOLETIM_SEL!$A:$H,6,0)</f>
        <v>KG</v>
      </c>
      <c r="G371" s="1407">
        <f>VLOOKUP($B371,[1]BOLETIM_SEL!$A:$H,7,0)</f>
        <v>10.14</v>
      </c>
      <c r="H371" s="1608">
        <f>Bacia_Amortecimento!J64</f>
        <v>0</v>
      </c>
      <c r="I371" s="876">
        <f t="shared" si="111"/>
        <v>12.37</v>
      </c>
      <c r="J371" s="1607">
        <f t="shared" si="112"/>
        <v>0</v>
      </c>
      <c r="K371" s="2069">
        <f t="shared" ca="1" si="113"/>
        <v>0</v>
      </c>
      <c r="L371" s="1570" t="e">
        <f t="shared" si="114"/>
        <v>#DIV/0!</v>
      </c>
      <c r="M371" s="1442"/>
      <c r="N371" s="832"/>
      <c r="O371" s="832"/>
      <c r="Q371" s="832"/>
      <c r="R371" s="832"/>
      <c r="S371" s="832"/>
      <c r="T371" s="832"/>
      <c r="U371" s="832"/>
      <c r="V371" s="832"/>
      <c r="W371" s="832"/>
      <c r="X371" s="832"/>
    </row>
    <row r="372" spans="1:24" s="812" customFormat="1" ht="50.1" hidden="1" customHeight="1" x14ac:dyDescent="0.15">
      <c r="A372" s="2072">
        <f t="shared" ca="1" si="115"/>
        <v>5</v>
      </c>
      <c r="B372" s="833" t="s">
        <v>2101</v>
      </c>
      <c r="C372" s="2" t="str">
        <f>VLOOKUP($B372,[1]BOLETIM_SEL!$A:$H,2,0)</f>
        <v>COMPOSIÇÃO</v>
      </c>
      <c r="D372" s="315" t="str">
        <f>VLOOKUP($B372,[1]BOLETIM_SEL!$A:$H,4,0)</f>
        <v>Muro de gabião, enchimento com pedra de mão tipo rachão, de gravidade, com gaiolas (ZN/AL+PVC # 8x10cm Ø2.4mm) de comprimento igual a 2 metros, altura do muro de até 4 metros, geotêxtil RT10 - fornecimento e execução. Exclusive transporte  (REF. SINAPI COD. 92743)</v>
      </c>
      <c r="E372" s="2"/>
      <c r="F372" s="2" t="str">
        <f>VLOOKUP($B372,[1]BOLETIM_SEL!$A:$H,6,0)</f>
        <v>M3</v>
      </c>
      <c r="G372" s="1407">
        <f>VLOOKUP($B372,[1]BOLETIM_SEL!$A:$H,7,0)</f>
        <v>713.73</v>
      </c>
      <c r="H372" s="1608">
        <f>Bacia_Amortecimento!J69</f>
        <v>0</v>
      </c>
      <c r="I372" s="876">
        <f t="shared" si="111"/>
        <v>870.75</v>
      </c>
      <c r="J372" s="1607">
        <f t="shared" si="112"/>
        <v>0</v>
      </c>
      <c r="K372" s="2069">
        <f t="shared" ca="1" si="113"/>
        <v>0</v>
      </c>
      <c r="L372" s="1570" t="e">
        <f t="shared" si="114"/>
        <v>#DIV/0!</v>
      </c>
      <c r="M372" s="1442"/>
      <c r="N372" s="832"/>
      <c r="O372" s="832"/>
      <c r="Q372" s="832"/>
      <c r="R372" s="832"/>
      <c r="S372" s="832"/>
      <c r="T372" s="832"/>
      <c r="U372" s="832"/>
      <c r="V372" s="832"/>
      <c r="W372" s="832"/>
      <c r="X372" s="832"/>
    </row>
    <row r="373" spans="1:24" s="812" customFormat="1" ht="50.1" hidden="1" customHeight="1" x14ac:dyDescent="0.15">
      <c r="A373" s="2072">
        <f t="shared" ca="1" si="115"/>
        <v>5</v>
      </c>
      <c r="B373" s="833" t="s">
        <v>2102</v>
      </c>
      <c r="C373" s="2" t="str">
        <f>VLOOKUP($B373,[1]BOLETIM_SEL!$A:$H,2,0)</f>
        <v>COMPOSIÇÃO</v>
      </c>
      <c r="D373" s="315" t="str">
        <f>VLOOKUP($B373,[1]BOLETIM_SEL!$A:$H,4,0)</f>
        <v>Muro de gabião, enchimento com pedra de mão tipo rachão, de gravidade, com gaiolas (ZN/AL+PVC # 8x10cm Ø2.4mm) de comprimento igual a 2 metros, altura do muro acima de 4 metros e até 6 metros, geotêxtil RT10 - fornecimento e execução. Exclusive transporte  (REF. SINAPI COD. 92745)</v>
      </c>
      <c r="E373" s="2"/>
      <c r="F373" s="2" t="str">
        <f>VLOOKUP($B373,[1]BOLETIM_SEL!$A:$H,6,0)</f>
        <v>M3</v>
      </c>
      <c r="G373" s="1407">
        <f>VLOOKUP($B373,[1]BOLETIM_SEL!$A:$H,7,0)</f>
        <v>833.82</v>
      </c>
      <c r="H373" s="1608">
        <f>Bacia_Amortecimento!J70</f>
        <v>0</v>
      </c>
      <c r="I373" s="876">
        <f t="shared" si="111"/>
        <v>1017.26</v>
      </c>
      <c r="J373" s="1607">
        <f t="shared" si="112"/>
        <v>0</v>
      </c>
      <c r="K373" s="2069">
        <f t="shared" ca="1" si="113"/>
        <v>0</v>
      </c>
      <c r="L373" s="1570" t="e">
        <f t="shared" si="114"/>
        <v>#DIV/0!</v>
      </c>
      <c r="M373" s="1442"/>
      <c r="N373" s="832"/>
      <c r="O373" s="832"/>
      <c r="Q373" s="832"/>
      <c r="R373" s="832"/>
      <c r="S373" s="832"/>
      <c r="T373" s="832"/>
      <c r="U373" s="832"/>
      <c r="V373" s="832"/>
      <c r="W373" s="832"/>
      <c r="X373" s="832"/>
    </row>
    <row r="374" spans="1:24" s="812" customFormat="1" ht="50.1" hidden="1" customHeight="1" x14ac:dyDescent="0.15">
      <c r="A374" s="2072">
        <f t="shared" ca="1" si="115"/>
        <v>5</v>
      </c>
      <c r="B374" s="833" t="s">
        <v>2103</v>
      </c>
      <c r="C374" s="2" t="str">
        <f>VLOOKUP($B374,[1]BOLETIM_SEL!$A:$H,2,0)</f>
        <v>COMPOSIÇÃO</v>
      </c>
      <c r="D374" s="315" t="str">
        <f>VLOOKUP($B374,[1]BOLETIM_SEL!$A:$H,4,0)</f>
        <v>Muro de gabião, enchimento com pedra de mão tipo rachão, de gravidade, com gaiolas (ZN/AL+PVC # 8x10cm Ø2.4mm) de comprimento igual a 2 metros, altura do muro acima de 6 metros e até 10 metros, geotêxtil RT10 - fornecimento e execução. Exclusive transporte  (REF. SINAPI COD. 92747)</v>
      </c>
      <c r="E374" s="2"/>
      <c r="F374" s="2" t="str">
        <f>VLOOKUP($B374,[1]BOLETIM_SEL!$A:$H,6,0)</f>
        <v>M3</v>
      </c>
      <c r="G374" s="1407">
        <f>VLOOKUP($B374,[1]BOLETIM_SEL!$A:$H,7,0)</f>
        <v>901.34</v>
      </c>
      <c r="H374" s="1608">
        <f>Bacia_Amortecimento!J71</f>
        <v>0</v>
      </c>
      <c r="I374" s="876">
        <f t="shared" si="111"/>
        <v>1099.6300000000001</v>
      </c>
      <c r="J374" s="1607">
        <f t="shared" si="112"/>
        <v>0</v>
      </c>
      <c r="K374" s="2069">
        <f t="shared" ca="1" si="113"/>
        <v>0</v>
      </c>
      <c r="L374" s="1570" t="e">
        <f t="shared" si="114"/>
        <v>#DIV/0!</v>
      </c>
      <c r="M374" s="1442"/>
      <c r="N374" s="832"/>
      <c r="O374" s="832"/>
      <c r="Q374" s="832"/>
      <c r="R374" s="832"/>
      <c r="S374" s="832"/>
      <c r="T374" s="832"/>
      <c r="U374" s="832"/>
      <c r="V374" s="832"/>
      <c r="W374" s="832"/>
      <c r="X374" s="832"/>
    </row>
    <row r="375" spans="1:24" s="812" customFormat="1" ht="39.950000000000003" hidden="1" customHeight="1" x14ac:dyDescent="0.15">
      <c r="A375" s="2072">
        <f t="shared" ca="1" si="115"/>
        <v>5</v>
      </c>
      <c r="B375" s="833">
        <v>92749</v>
      </c>
      <c r="C375" s="2" t="str">
        <f>VLOOKUP($B375,[1]BOLETIM_SEL!$A:$H,2,0)</f>
        <v>SINAPI</v>
      </c>
      <c r="D375" s="315" t="str">
        <f>VLOOKUP($B375,[1]BOLETIM_SEL!$A:$H,4,0)</f>
        <v>Muro de gabião, enchimento com pedra de mão tipo rachão, com solo reforçado, para muros com altura menor ou igual a 4 m fornecimento e execução. AF_12/2015</v>
      </c>
      <c r="E375" s="2"/>
      <c r="F375" s="2" t="str">
        <f>VLOOKUP($B375,[1]BOLETIM_SEL!$A:$H,6,0)</f>
        <v>M3</v>
      </c>
      <c r="G375" s="1407">
        <f>VLOOKUP($B375,[1]BOLETIM_SEL!$A:$H,7,0)</f>
        <v>814.38</v>
      </c>
      <c r="H375" s="1608">
        <f>Bacia_Amortecimento!J72</f>
        <v>0</v>
      </c>
      <c r="I375" s="876">
        <f t="shared" si="111"/>
        <v>993.54</v>
      </c>
      <c r="J375" s="1607">
        <f t="shared" si="112"/>
        <v>0</v>
      </c>
      <c r="K375" s="2069">
        <f t="shared" ca="1" si="113"/>
        <v>0</v>
      </c>
      <c r="L375" s="1570" t="e">
        <f t="shared" si="114"/>
        <v>#DIV/0!</v>
      </c>
      <c r="M375" s="1442"/>
      <c r="N375" s="832"/>
      <c r="O375" s="832"/>
      <c r="Q375" s="832"/>
      <c r="R375" s="832"/>
      <c r="S375" s="832"/>
      <c r="T375" s="832"/>
      <c r="U375" s="832"/>
      <c r="V375" s="832"/>
      <c r="W375" s="832"/>
      <c r="X375" s="832"/>
    </row>
    <row r="376" spans="1:24" s="812" customFormat="1" ht="50.1" hidden="1" customHeight="1" x14ac:dyDescent="0.15">
      <c r="A376" s="2072">
        <f t="shared" ref="A376" ca="1" si="131">IF(H376&gt;0,A375+0.01,A375)</f>
        <v>5</v>
      </c>
      <c r="B376" s="833" t="s">
        <v>2104</v>
      </c>
      <c r="C376" s="2" t="str">
        <f>VLOOKUP($B376,[1]BOLETIM_SEL!$A:$H,2,0)</f>
        <v>COMPOSIÇÃO</v>
      </c>
      <c r="D376" s="315" t="str">
        <f>VLOOKUP($B376,[1]BOLETIM_SEL!$A:$H,4,0)</f>
        <v>Muro de gabião, enchimento com pedra de mão tipo rachão, para solo reforçado com gaiolas com painel de ancoragem de 4 m (ZN/AL+PVC # 8x10cm Ø2.7mm) e geotêxtil RT10, altura do muro acima de 4 e até 12 metros - fornecimento e execução. Exclusive transporte. REF SINAPI CÓD 92750, DATA 05/2020</v>
      </c>
      <c r="E376" s="2"/>
      <c r="F376" s="2" t="str">
        <f>VLOOKUP($B376,[1]BOLETIM_SEL!$A:$H,6,0)</f>
        <v>M3</v>
      </c>
      <c r="G376" s="1407">
        <f>VLOOKUP($B376,[1]BOLETIM_SEL!$A:$H,7,0)</f>
        <v>869.18</v>
      </c>
      <c r="H376" s="1608">
        <f>Bacia_Amortecimento!J73</f>
        <v>0</v>
      </c>
      <c r="I376" s="876">
        <f t="shared" ref="I376" si="132">TRUNC(G376*(1+$J$5),2)</f>
        <v>1060.3900000000001</v>
      </c>
      <c r="J376" s="1607">
        <f t="shared" ref="J376" si="133">TRUNC(H376*I376,2)</f>
        <v>0</v>
      </c>
      <c r="K376" s="2069">
        <f t="shared" ca="1" si="113"/>
        <v>0</v>
      </c>
      <c r="L376" s="1570" t="e">
        <f t="shared" ref="L376" si="134">J376/$J$314</f>
        <v>#DIV/0!</v>
      </c>
      <c r="M376" s="1442"/>
      <c r="N376" s="832"/>
      <c r="O376" s="832"/>
      <c r="Q376" s="832"/>
      <c r="R376" s="832"/>
      <c r="S376" s="832"/>
      <c r="T376" s="832"/>
      <c r="U376" s="832"/>
      <c r="V376" s="832"/>
      <c r="W376" s="832"/>
      <c r="X376" s="832"/>
    </row>
    <row r="377" spans="1:24" s="812" customFormat="1" ht="39.950000000000003" hidden="1" customHeight="1" x14ac:dyDescent="0.15">
      <c r="A377" s="2072">
        <f ca="1">IF(H377&gt;0,A375+0.01,A375)</f>
        <v>5</v>
      </c>
      <c r="B377" s="833">
        <v>92750</v>
      </c>
      <c r="C377" s="2" t="str">
        <f>VLOOKUP($B377,[1]BOLETIM_SEL!$A:$H,2,0)</f>
        <v>SINAPI</v>
      </c>
      <c r="D377" s="315" t="str">
        <f>VLOOKUP($B377,[1]BOLETIM_SEL!$A:$H,4,0)</f>
        <v>Muro de gabião, enchimento com pedra de mão tipo rachão, com solo reforçado, para muros com altura maior que 4 m e menor ou igual a 12 m fornecimento e execução. AF_12/2015</v>
      </c>
      <c r="E377" s="2"/>
      <c r="F377" s="2" t="str">
        <f>VLOOKUP($B377,[1]BOLETIM_SEL!$A:$H,6,0)</f>
        <v>M3</v>
      </c>
      <c r="G377" s="1407">
        <f>VLOOKUP($B377,[1]BOLETIM_SEL!$A:$H,7,0)</f>
        <v>1345.36</v>
      </c>
      <c r="H377" s="1608">
        <f>Bacia_Amortecimento!J74</f>
        <v>0</v>
      </c>
      <c r="I377" s="876">
        <f t="shared" si="111"/>
        <v>1641.33</v>
      </c>
      <c r="J377" s="1607">
        <f t="shared" si="112"/>
        <v>0</v>
      </c>
      <c r="K377" s="2069">
        <f t="shared" ca="1" si="113"/>
        <v>0</v>
      </c>
      <c r="L377" s="1570" t="e">
        <f t="shared" si="114"/>
        <v>#DIV/0!</v>
      </c>
      <c r="M377" s="1442"/>
      <c r="N377" s="832"/>
      <c r="O377" s="832"/>
      <c r="Q377" s="832"/>
      <c r="R377" s="832"/>
      <c r="S377" s="832"/>
      <c r="T377" s="832"/>
      <c r="U377" s="832"/>
      <c r="V377" s="832"/>
      <c r="W377" s="832"/>
      <c r="X377" s="832"/>
    </row>
    <row r="378" spans="1:24" s="812" customFormat="1" ht="50.1" hidden="1" customHeight="1" x14ac:dyDescent="0.15">
      <c r="A378" s="2072">
        <f t="shared" ref="A378:A379" ca="1" si="135">IF(H378&gt;0,A376+0.01,A376)</f>
        <v>5</v>
      </c>
      <c r="B378" s="833" t="s">
        <v>2105</v>
      </c>
      <c r="C378" s="2" t="str">
        <f>VLOOKUP($B378,[1]BOLETIM_SEL!$A:$H,2,0)</f>
        <v>COMPOSIÇÃO</v>
      </c>
      <c r="D378" s="315" t="str">
        <f>VLOOKUP($B378,[1]BOLETIM_SEL!$A:$H,4,0)</f>
        <v>Muro de gabião, enchimento com pedra de mão tipo rachão, para solo reforçado com gaiolas com painel de ancoragem de 5 m (ZN/AL+PVC # 8x10cm Ø2.7mm), altura do muro acima de 4 e até 12 metros, geotêxtil RT10 - fornecimento e execução. Exclusive transporte.REF SINAPI CÓD 92750</v>
      </c>
      <c r="E378" s="2"/>
      <c r="F378" s="2" t="str">
        <f>VLOOKUP($B378,[1]BOLETIM_SEL!$A:$H,6,0)</f>
        <v>M3</v>
      </c>
      <c r="G378" s="1407">
        <f>VLOOKUP($B378,[1]BOLETIM_SEL!$A:$H,7,0)</f>
        <v>1108.97</v>
      </c>
      <c r="H378" s="1608">
        <f>Bacia_Amortecimento!J75</f>
        <v>0</v>
      </c>
      <c r="I378" s="876">
        <f t="shared" si="111"/>
        <v>1352.94</v>
      </c>
      <c r="J378" s="1607">
        <f t="shared" si="112"/>
        <v>0</v>
      </c>
      <c r="K378" s="2069">
        <f t="shared" ca="1" si="113"/>
        <v>0</v>
      </c>
      <c r="L378" s="1570" t="e">
        <f t="shared" si="114"/>
        <v>#DIV/0!</v>
      </c>
      <c r="M378" s="1442"/>
      <c r="N378" s="832"/>
      <c r="O378" s="832"/>
      <c r="Q378" s="832"/>
      <c r="R378" s="832"/>
      <c r="S378" s="832"/>
      <c r="T378" s="832"/>
      <c r="U378" s="832"/>
      <c r="V378" s="832"/>
      <c r="W378" s="832"/>
      <c r="X378" s="832"/>
    </row>
    <row r="379" spans="1:24" s="812" customFormat="1" ht="50.1" hidden="1" customHeight="1" x14ac:dyDescent="0.15">
      <c r="A379" s="2072">
        <f t="shared" ca="1" si="135"/>
        <v>5</v>
      </c>
      <c r="B379" s="833" t="s">
        <v>2106</v>
      </c>
      <c r="C379" s="2" t="str">
        <f>VLOOKUP($B379,[1]BOLETIM_SEL!$A:$H,2,0)</f>
        <v>COMPOSIÇÃO</v>
      </c>
      <c r="D379" s="315" t="str">
        <f>VLOOKUP($B379,[1]BOLETIM_SEL!$A:$H,4,0)</f>
        <v>Muro de gabião, enchimento com pedra de mão tipo rachão, para solo reforçado com gaiolas com painel de ancoragem de 6 m (ZN/AL+PVC # 8x10cm Ø2.7mm), altura do muro acima de 4 e até 12 metros, geotêxtil RT10 - fornecimento e execução. Exclusive transporte. REF SINAPI 92750</v>
      </c>
      <c r="E379" s="2"/>
      <c r="F379" s="2" t="str">
        <f>VLOOKUP($B379,[1]BOLETIM_SEL!$A:$H,6,0)</f>
        <v>M3</v>
      </c>
      <c r="G379" s="1407">
        <f>VLOOKUP($B379,[1]BOLETIM_SEL!$A:$H,7,0)</f>
        <v>1174.31</v>
      </c>
      <c r="H379" s="1608">
        <f>Bacia_Amortecimento!J76</f>
        <v>0</v>
      </c>
      <c r="I379" s="876">
        <f t="shared" si="111"/>
        <v>1432.65</v>
      </c>
      <c r="J379" s="1607">
        <f t="shared" si="112"/>
        <v>0</v>
      </c>
      <c r="K379" s="2069">
        <f t="shared" ca="1" si="113"/>
        <v>0</v>
      </c>
      <c r="L379" s="1570" t="e">
        <f t="shared" si="114"/>
        <v>#DIV/0!</v>
      </c>
      <c r="M379" s="1442"/>
      <c r="N379" s="832"/>
      <c r="O379" s="832"/>
      <c r="Q379" s="832"/>
      <c r="R379" s="832"/>
      <c r="S379" s="832"/>
      <c r="T379" s="832"/>
      <c r="U379" s="832"/>
      <c r="V379" s="832"/>
      <c r="W379" s="832"/>
      <c r="X379" s="832"/>
    </row>
    <row r="380" spans="1:24" s="812" customFormat="1" ht="39.950000000000003" hidden="1" customHeight="1" x14ac:dyDescent="0.15">
      <c r="A380" s="2072">
        <f t="shared" ca="1" si="115"/>
        <v>5</v>
      </c>
      <c r="B380" s="833">
        <v>92755</v>
      </c>
      <c r="C380" s="2" t="str">
        <f>VLOOKUP($B380,[1]BOLETIM_SEL!$A:$H,2,0)</f>
        <v>SINAPI</v>
      </c>
      <c r="D380" s="315" t="str">
        <f>VLOOKUP($B380,[1]BOLETIM_SEL!$A:$H,4,0)</f>
        <v>Proteção superficial de canal em gabião tipo colchão, altura de 17 centímetros, enchimento com pedra de mão tipo rachão - fornecimento e execução. AF_12/2015</v>
      </c>
      <c r="E380" s="2"/>
      <c r="F380" s="2" t="str">
        <f>VLOOKUP($B380,[1]BOLETIM_SEL!$A:$H,6,0)</f>
        <v>M2</v>
      </c>
      <c r="G380" s="1407">
        <f>VLOOKUP($B380,[1]BOLETIM_SEL!$A:$H,7,0)</f>
        <v>212.35</v>
      </c>
      <c r="H380" s="1608">
        <f>Bacia_Amortecimento!J77</f>
        <v>0</v>
      </c>
      <c r="I380" s="876">
        <f t="shared" si="111"/>
        <v>259.06</v>
      </c>
      <c r="J380" s="1607">
        <f t="shared" si="112"/>
        <v>0</v>
      </c>
      <c r="K380" s="2069">
        <f t="shared" ca="1" si="113"/>
        <v>0</v>
      </c>
      <c r="L380" s="1570" t="e">
        <f t="shared" si="114"/>
        <v>#DIV/0!</v>
      </c>
      <c r="M380" s="1442"/>
      <c r="N380" s="832"/>
      <c r="O380" s="832"/>
      <c r="Q380" s="832"/>
      <c r="R380" s="832"/>
      <c r="S380" s="832"/>
      <c r="T380" s="832"/>
      <c r="U380" s="832"/>
      <c r="V380" s="832"/>
      <c r="W380" s="832"/>
      <c r="X380" s="832"/>
    </row>
    <row r="381" spans="1:24" s="812" customFormat="1" ht="39.950000000000003" hidden="1" customHeight="1" x14ac:dyDescent="0.15">
      <c r="A381" s="2072">
        <f t="shared" ca="1" si="115"/>
        <v>5</v>
      </c>
      <c r="B381" s="833">
        <v>92756</v>
      </c>
      <c r="C381" s="2" t="str">
        <f>VLOOKUP($B381,[1]BOLETIM_SEL!$A:$H,2,0)</f>
        <v>SINAPI</v>
      </c>
      <c r="D381" s="315" t="str">
        <f>VLOOKUP($B381,[1]BOLETIM_SEL!$A:$H,4,0)</f>
        <v>Proteção superficial de canal em gabião tipo colchão, altura de 23 centímetros, enchimento com pedra de mão tipo rachão - fornecimento e execução. AF_12/2015</v>
      </c>
      <c r="E381" s="2"/>
      <c r="F381" s="2" t="str">
        <f>VLOOKUP($B381,[1]BOLETIM_SEL!$A:$H,6,0)</f>
        <v>M2</v>
      </c>
      <c r="G381" s="1407">
        <f>VLOOKUP($B381,[1]BOLETIM_SEL!$A:$H,7,0)</f>
        <v>242.55</v>
      </c>
      <c r="H381" s="1608">
        <f>Bacia_Amortecimento!J78</f>
        <v>0</v>
      </c>
      <c r="I381" s="876">
        <f t="shared" si="111"/>
        <v>295.91000000000003</v>
      </c>
      <c r="J381" s="1607">
        <f t="shared" si="112"/>
        <v>0</v>
      </c>
      <c r="K381" s="2069">
        <f t="shared" ca="1" si="113"/>
        <v>0</v>
      </c>
      <c r="L381" s="1570" t="e">
        <f t="shared" si="114"/>
        <v>#DIV/0!</v>
      </c>
      <c r="M381" s="1442"/>
      <c r="O381" s="832"/>
      <c r="P381" s="832"/>
      <c r="Q381" s="832"/>
      <c r="R381" s="832"/>
      <c r="S381" s="832"/>
      <c r="T381" s="832"/>
      <c r="U381" s="832"/>
      <c r="V381" s="832"/>
      <c r="W381" s="832"/>
      <c r="X381" s="832"/>
    </row>
    <row r="382" spans="1:24" s="812" customFormat="1" ht="39.950000000000003" hidden="1" customHeight="1" x14ac:dyDescent="0.15">
      <c r="A382" s="2072">
        <f t="shared" ca="1" si="115"/>
        <v>5</v>
      </c>
      <c r="B382" s="833">
        <v>92757</v>
      </c>
      <c r="C382" s="2" t="str">
        <f>VLOOKUP($B382,[1]BOLETIM_SEL!$A:$H,2,0)</f>
        <v>SINAPI</v>
      </c>
      <c r="D382" s="315" t="str">
        <f>VLOOKUP($B382,[1]BOLETIM_SEL!$A:$H,4,0)</f>
        <v>Proteção superficial de canal em gabião tipo colchão, altura de 30 centímetros, enchimento com pedra de mão tipo rachão - fornecimento e execução. AF_12/2015</v>
      </c>
      <c r="E382" s="2"/>
      <c r="F382" s="2" t="str">
        <f>VLOOKUP($B382,[1]BOLETIM_SEL!$A:$H,6,0)</f>
        <v>M2</v>
      </c>
      <c r="G382" s="1407">
        <f>VLOOKUP($B382,[1]BOLETIM_SEL!$A:$H,7,0)</f>
        <v>279.02999999999997</v>
      </c>
      <c r="H382" s="1608">
        <f>Bacia_Amortecimento!J79</f>
        <v>0</v>
      </c>
      <c r="I382" s="876">
        <f t="shared" si="111"/>
        <v>340.41</v>
      </c>
      <c r="J382" s="1607">
        <f t="shared" si="112"/>
        <v>0</v>
      </c>
      <c r="K382" s="2069">
        <f t="shared" ca="1" si="113"/>
        <v>0</v>
      </c>
      <c r="L382" s="1570" t="e">
        <f t="shared" si="114"/>
        <v>#DIV/0!</v>
      </c>
      <c r="M382" s="1442"/>
      <c r="O382" s="832"/>
      <c r="P382" s="832"/>
      <c r="Q382" s="832"/>
      <c r="R382" s="832"/>
      <c r="S382" s="832"/>
      <c r="T382" s="832"/>
      <c r="U382" s="832"/>
      <c r="V382" s="832"/>
      <c r="W382" s="832"/>
      <c r="X382" s="832"/>
    </row>
    <row r="383" spans="1:24" s="812" customFormat="1" ht="39.950000000000003" hidden="1" customHeight="1" x14ac:dyDescent="0.15">
      <c r="A383" s="2072">
        <f t="shared" ca="1" si="115"/>
        <v>5</v>
      </c>
      <c r="B383" s="833">
        <v>92758</v>
      </c>
      <c r="C383" s="2" t="str">
        <f>VLOOKUP($B383,[1]BOLETIM_SEL!$A:$H,2,0)</f>
        <v>SINAPI</v>
      </c>
      <c r="D383" s="315" t="str">
        <f>VLOOKUP($B383,[1]BOLETIM_SEL!$A:$H,4,0)</f>
        <v>Proteção superficial de canal em gabião tipo saco (ZN/AL+PVC # 8x10cm Ø2,4mm), diâmetro de 65 centímetros, enchimento manual com pedra de mão tipo rachão - fornecimento e execução. Exclusive transporte AF_12/2015</v>
      </c>
      <c r="E383" s="2"/>
      <c r="F383" s="2" t="str">
        <f>VLOOKUP($B383,[1]BOLETIM_SEL!$A:$H,6,0)</f>
        <v>M3</v>
      </c>
      <c r="G383" s="1407">
        <f>VLOOKUP($B383,[1]BOLETIM_SEL!$A:$H,7,0)</f>
        <v>616.38</v>
      </c>
      <c r="H383" s="1608">
        <f>Bacia_Amortecimento!J80</f>
        <v>0</v>
      </c>
      <c r="I383" s="876">
        <f t="shared" si="111"/>
        <v>751.98</v>
      </c>
      <c r="J383" s="1607">
        <f t="shared" si="112"/>
        <v>0</v>
      </c>
      <c r="K383" s="2069">
        <f t="shared" ca="1" si="113"/>
        <v>0</v>
      </c>
      <c r="L383" s="1570" t="e">
        <f t="shared" si="114"/>
        <v>#DIV/0!</v>
      </c>
      <c r="M383" s="1442"/>
      <c r="O383" s="832"/>
      <c r="P383" s="832"/>
      <c r="Q383" s="832"/>
      <c r="R383" s="832"/>
      <c r="S383" s="832"/>
      <c r="T383" s="832"/>
      <c r="U383" s="832"/>
      <c r="V383" s="832"/>
      <c r="W383" s="832"/>
      <c r="X383" s="832"/>
    </row>
    <row r="384" spans="1:24" s="812" customFormat="1" ht="39.950000000000003" hidden="1" customHeight="1" x14ac:dyDescent="0.15">
      <c r="A384" s="2072">
        <f t="shared" ca="1" si="115"/>
        <v>5</v>
      </c>
      <c r="B384" s="833" t="s">
        <v>426</v>
      </c>
      <c r="C384" s="2" t="str">
        <f>VLOOKUP($B384,[1]BOLETIM_SEL!$A:$H,2,0)</f>
        <v>COMPOSIÇÃO</v>
      </c>
      <c r="D384" s="315" t="str">
        <f>VLOOKUP($B384,[1]BOLETIM_SEL!$A:$H,4,0)</f>
        <v>Tubo aço galvanizado com costura para guarda-corpo, classe leve, DN 40 mm (1 1/2"),  DIN 2440 / NBR 5580 classe leve, espessura 3,00 mm, *3,48* kg/m</v>
      </c>
      <c r="E384" s="2"/>
      <c r="F384" s="2" t="str">
        <f>VLOOKUP($B384,[1]BOLETIM_SEL!$A:$H,6,0)</f>
        <v>M</v>
      </c>
      <c r="G384" s="1407">
        <f>VLOOKUP($B384,[1]BOLETIM_SEL!$A:$H,7,0)</f>
        <v>55.08</v>
      </c>
      <c r="H384" s="1608">
        <f>Bacia_Amortecimento!J81</f>
        <v>0</v>
      </c>
      <c r="I384" s="876">
        <f t="shared" si="111"/>
        <v>67.19</v>
      </c>
      <c r="J384" s="1607">
        <f t="shared" si="112"/>
        <v>0</v>
      </c>
      <c r="K384" s="2069">
        <f t="shared" ca="1" si="113"/>
        <v>0</v>
      </c>
      <c r="L384" s="1570" t="e">
        <f t="shared" si="114"/>
        <v>#DIV/0!</v>
      </c>
      <c r="M384" s="1442"/>
      <c r="O384" s="832"/>
      <c r="P384" s="832"/>
      <c r="Q384" s="832"/>
      <c r="R384" s="832"/>
      <c r="S384" s="832"/>
      <c r="T384" s="832"/>
      <c r="U384" s="832"/>
      <c r="V384" s="832"/>
      <c r="W384" s="832"/>
      <c r="X384" s="832"/>
    </row>
    <row r="385" spans="1:24" s="812" customFormat="1" ht="39.950000000000003" hidden="1" customHeight="1" x14ac:dyDescent="0.15">
      <c r="A385" s="2072">
        <f t="shared" ca="1" si="115"/>
        <v>5</v>
      </c>
      <c r="B385" s="833" t="s">
        <v>1816</v>
      </c>
      <c r="C385" s="2" t="str">
        <f>VLOOKUP($B385,[1]BOLETIM_SEL!$A:$H,2,0)</f>
        <v>COMPOSIÇÃO</v>
      </c>
      <c r="D385" s="315" t="str">
        <f>VLOOKUP($B385,[1]BOLETIM_SEL!$A:$H,4,0)</f>
        <v>Tubo aço galvanizado com costura para guarda-corpo, classe leve, DN 50 mm (2"),  DIN 2440 / NBR 5580 classe leve, espessura 3,00 mm, *4,40* kg/m</v>
      </c>
      <c r="E385" s="2"/>
      <c r="F385" s="2" t="str">
        <f>VLOOKUP($B385,[1]BOLETIM_SEL!$A:$H,6,0)</f>
        <v>M</v>
      </c>
      <c r="G385" s="1407">
        <f>VLOOKUP($B385,[1]BOLETIM_SEL!$A:$H,7,0)</f>
        <v>71.86</v>
      </c>
      <c r="H385" s="1608">
        <f>Bacia_Amortecimento!J82</f>
        <v>0</v>
      </c>
      <c r="I385" s="876">
        <f t="shared" si="111"/>
        <v>87.66</v>
      </c>
      <c r="J385" s="1607">
        <f t="shared" si="112"/>
        <v>0</v>
      </c>
      <c r="K385" s="2069">
        <f t="shared" ca="1" si="113"/>
        <v>0</v>
      </c>
      <c r="L385" s="1570" t="e">
        <f t="shared" si="114"/>
        <v>#DIV/0!</v>
      </c>
      <c r="M385" s="1442"/>
      <c r="O385" s="832"/>
      <c r="P385" s="832"/>
      <c r="Q385" s="832"/>
      <c r="R385" s="832"/>
      <c r="S385" s="832"/>
      <c r="T385" s="832"/>
      <c r="U385" s="832"/>
      <c r="V385" s="832"/>
      <c r="W385" s="832"/>
      <c r="X385" s="832"/>
    </row>
    <row r="386" spans="1:24" s="812" customFormat="1" ht="24.95" hidden="1" customHeight="1" x14ac:dyDescent="0.15">
      <c r="A386" s="2072"/>
      <c r="B386" s="833"/>
      <c r="C386" s="2"/>
      <c r="D386" s="1449" t="s">
        <v>2107</v>
      </c>
      <c r="E386" s="2"/>
      <c r="F386" s="2"/>
      <c r="G386" s="1407"/>
      <c r="H386" s="2"/>
      <c r="I386" s="2"/>
      <c r="J386" s="838" t="str">
        <f>IF(J387=0,"-","")</f>
        <v>-</v>
      </c>
      <c r="K386" s="2069"/>
      <c r="L386" s="1570"/>
      <c r="M386" s="1442"/>
      <c r="O386" s="832"/>
      <c r="P386" s="832"/>
      <c r="Q386" s="832"/>
      <c r="R386" s="832"/>
      <c r="S386" s="832"/>
      <c r="T386" s="832"/>
      <c r="U386" s="832"/>
      <c r="V386" s="832"/>
      <c r="W386" s="832"/>
      <c r="X386" s="832"/>
    </row>
    <row r="387" spans="1:24" s="812" customFormat="1" ht="39.950000000000003" hidden="1" customHeight="1" x14ac:dyDescent="0.15">
      <c r="A387" s="2072">
        <f ca="1">IF(H387&gt;0,A385+0.01,A385)</f>
        <v>5</v>
      </c>
      <c r="B387" s="833" t="s">
        <v>2040</v>
      </c>
      <c r="C387" s="2" t="str">
        <f>VLOOKUP($B387,[1]BOLETIM_SEL!$A:$H,2,0)</f>
        <v>COMPOSIÇÃO</v>
      </c>
      <c r="D387" s="315" t="str">
        <f>VLOOKUP($B387,[1]BOLETIM_SEL!$A:$H,4,0)</f>
        <v>Alambrado com tela de aço galvanizado, fio 14, malha 1½" , três fios de arame liso, poste curvo de concreto com altura livre de 1,80m, mureta de concreto com altura de 30cm, conforme projeto. REF SINAPI 98522</v>
      </c>
      <c r="E387" s="2"/>
      <c r="F387" s="2" t="str">
        <f>VLOOKUP($B387,[1]BOLETIM_SEL!$A:$H,6,0)</f>
        <v>M</v>
      </c>
      <c r="G387" s="1407">
        <f>VLOOKUP($B387,[1]BOLETIM_SEL!$A:$H,7,0)</f>
        <v>262.20999999999998</v>
      </c>
      <c r="H387" s="1608">
        <f>Bacia_Amortecimento!J83</f>
        <v>0</v>
      </c>
      <c r="I387" s="876">
        <f t="shared" ref="I387:I399" si="136">TRUNC(G387*(1+$J$5),2)</f>
        <v>319.89</v>
      </c>
      <c r="J387" s="1607">
        <f t="shared" ref="J387:J399" si="137">TRUNC(H387*I387,2)</f>
        <v>0</v>
      </c>
      <c r="K387" s="2069">
        <f t="shared" ref="K387:K399" ca="1" si="138">J387/J$930</f>
        <v>0</v>
      </c>
      <c r="L387" s="1570" t="e">
        <f t="shared" ref="L387:L401" si="139">J387/$J$314</f>
        <v>#DIV/0!</v>
      </c>
      <c r="M387" s="2"/>
      <c r="N387" s="832"/>
      <c r="O387" s="832"/>
      <c r="Q387" s="832"/>
      <c r="R387" s="832"/>
      <c r="S387" s="832"/>
      <c r="T387" s="832"/>
      <c r="U387" s="832"/>
      <c r="V387" s="832"/>
      <c r="W387" s="832"/>
      <c r="X387" s="832"/>
    </row>
    <row r="388" spans="1:24" s="812" customFormat="1" ht="39.950000000000003" hidden="1" customHeight="1" x14ac:dyDescent="0.15">
      <c r="A388" s="2072">
        <f t="shared" ref="A388:A399" ca="1" si="140">IF(H388&gt;0,A387+0.01,A387)</f>
        <v>5</v>
      </c>
      <c r="B388" s="1833">
        <v>101199</v>
      </c>
      <c r="C388" s="2" t="str">
        <f>VLOOKUP($B388,[1]BOLETIM_SEL!$A:$H,2,0)</f>
        <v>SINAPI</v>
      </c>
      <c r="D388" s="315" t="str">
        <f>VLOOKUP($B388,[1]BOLETIM_SEL!$A:$H,4,0)</f>
        <v>Cerca com mourões de concreto, seção "t" ponta inclinada, 10x10cm, espaçamento de 2,5m, cravados 0,5m, com 11 fios de arame misto - fornecimento e instalação. AF_05/2020</v>
      </c>
      <c r="E388" s="2"/>
      <c r="F388" s="2" t="str">
        <f>VLOOKUP($B388,[1]BOLETIM_SEL!$A:$H,6,0)</f>
        <v>M</v>
      </c>
      <c r="G388" s="1407">
        <f>VLOOKUP($B388,[1]BOLETIM_SEL!$A:$H,7,0)</f>
        <v>84.28</v>
      </c>
      <c r="H388" s="1608">
        <f>Bacia_Amortecimento!J84</f>
        <v>0</v>
      </c>
      <c r="I388" s="876">
        <f t="shared" ref="I388" si="141">TRUNC(G388*(1+$J$5),2)</f>
        <v>102.82</v>
      </c>
      <c r="J388" s="1607">
        <f t="shared" ref="J388" si="142">TRUNC(H388*I388,2)</f>
        <v>0</v>
      </c>
      <c r="K388" s="2069">
        <f t="shared" ca="1" si="138"/>
        <v>0</v>
      </c>
      <c r="L388" s="1570" t="e">
        <f t="shared" ref="L388" si="143">J388/$J$314</f>
        <v>#DIV/0!</v>
      </c>
      <c r="M388" s="2"/>
      <c r="N388" s="832"/>
      <c r="O388" s="832"/>
      <c r="Q388" s="832"/>
      <c r="R388" s="832"/>
      <c r="S388" s="832"/>
      <c r="T388" s="832"/>
      <c r="U388" s="832"/>
      <c r="V388" s="832"/>
      <c r="W388" s="832"/>
      <c r="X388" s="832"/>
    </row>
    <row r="389" spans="1:24" s="812" customFormat="1" ht="39.950000000000003" hidden="1" customHeight="1" x14ac:dyDescent="0.15">
      <c r="A389" s="2072">
        <f t="shared" ca="1" si="140"/>
        <v>5</v>
      </c>
      <c r="B389" s="833" t="s">
        <v>1633</v>
      </c>
      <c r="C389" s="2" t="str">
        <f>VLOOKUP($B389,[1]BOLETIM_SEL!$A:$H,2,0)</f>
        <v>COMPOSIÇÃO</v>
      </c>
      <c r="D389" s="315" t="str">
        <f>VLOOKUP($B389,[1]BOLETIM_SEL!$A:$H,4,0)</f>
        <v>Portão para veículos em tela arame galvanizado n.12 malha 2" e moldura em tubos de aco com duas folhas de abrir, incluso ferragens (REF. SINAPI COD. 74238/2 - Descontinuado)</v>
      </c>
      <c r="E389" s="2"/>
      <c r="F389" s="2" t="str">
        <f>VLOOKUP($B389,[1]BOLETIM_SEL!$A:$H,6,0)</f>
        <v>M2</v>
      </c>
      <c r="G389" s="1407">
        <f>VLOOKUP($B389,[1]BOLETIM_SEL!$A:$H,7,0)</f>
        <v>999.41</v>
      </c>
      <c r="H389" s="1608">
        <f>Bacia_Amortecimento!J85</f>
        <v>0</v>
      </c>
      <c r="I389" s="876">
        <f t="shared" si="136"/>
        <v>1219.28</v>
      </c>
      <c r="J389" s="1607">
        <f t="shared" si="137"/>
        <v>0</v>
      </c>
      <c r="K389" s="2069">
        <f t="shared" ca="1" si="138"/>
        <v>0</v>
      </c>
      <c r="L389" s="1570" t="e">
        <f t="shared" si="139"/>
        <v>#DIV/0!</v>
      </c>
      <c r="M389" s="2"/>
      <c r="N389" s="832"/>
      <c r="O389" s="832"/>
      <c r="Q389" s="832"/>
      <c r="R389" s="832"/>
      <c r="S389" s="832"/>
      <c r="T389" s="832"/>
      <c r="U389" s="832"/>
      <c r="V389" s="832"/>
      <c r="W389" s="832"/>
      <c r="X389" s="832"/>
    </row>
    <row r="390" spans="1:24" s="812" customFormat="1" ht="30" hidden="1" customHeight="1" x14ac:dyDescent="0.15">
      <c r="A390" s="2072">
        <f t="shared" ca="1" si="140"/>
        <v>5</v>
      </c>
      <c r="B390" s="833">
        <f>IF(M390="ESMERALDA","SC/0082",98504)</f>
        <v>98504</v>
      </c>
      <c r="C390" s="2" t="str">
        <f>VLOOKUP($B390,[1]BOLETIM_SEL!$A:$H,2,0)</f>
        <v>SINAPI</v>
      </c>
      <c r="D390" s="315" t="str">
        <f>VLOOKUP($B390,[1]BOLETIM_SEL!$A:$H,4,0)</f>
        <v>Plantio de grama em placas. AF_05/2018</v>
      </c>
      <c r="E390" s="2"/>
      <c r="F390" s="2" t="str">
        <f>VLOOKUP($B390,[1]BOLETIM_SEL!$A:$H,6,0)</f>
        <v>M2</v>
      </c>
      <c r="G390" s="1407">
        <f>VLOOKUP($B390,[1]BOLETIM_SEL!$A:$H,7,0)</f>
        <v>10.08</v>
      </c>
      <c r="H390" s="1608">
        <f>+Bacia_Amortecimento!J86</f>
        <v>0</v>
      </c>
      <c r="I390" s="876">
        <f t="shared" ref="I390" si="144">TRUNC(G390*(1+$J$5),2)</f>
        <v>12.29</v>
      </c>
      <c r="J390" s="1607">
        <f t="shared" ref="J390" si="145">TRUNC(H390*I390,2)</f>
        <v>0</v>
      </c>
      <c r="K390" s="2069">
        <f t="shared" ca="1" si="138"/>
        <v>0</v>
      </c>
      <c r="L390" s="1570" t="e">
        <f t="shared" ref="L390" si="146">J390/$J$314</f>
        <v>#DIV/0!</v>
      </c>
      <c r="M390" s="1585" t="s">
        <v>2240</v>
      </c>
      <c r="N390" s="832"/>
      <c r="O390" s="832"/>
      <c r="Q390" s="832"/>
      <c r="R390" s="832"/>
      <c r="S390" s="832"/>
      <c r="T390" s="832"/>
      <c r="U390" s="832"/>
      <c r="V390" s="832"/>
      <c r="W390" s="832"/>
      <c r="X390" s="832"/>
    </row>
    <row r="391" spans="1:24" s="812" customFormat="1" ht="30" hidden="1" customHeight="1" x14ac:dyDescent="0.15">
      <c r="A391" s="2072">
        <f t="shared" ca="1" si="140"/>
        <v>5</v>
      </c>
      <c r="B391" s="833" t="s">
        <v>2611</v>
      </c>
      <c r="C391" s="2" t="str">
        <f>VLOOKUP($B391,[1]BOLETIM_SEL!$A:$H,2,0)</f>
        <v>COMPOSIÇÃO</v>
      </c>
      <c r="D391" s="315" t="str">
        <f>VLOOKUP($B391,[1]BOLETIM_SEL!$A:$H,4,0)</f>
        <v>Hidrossemeadura. Ref SICRO CÓD  4413905, DB 04-2021</v>
      </c>
      <c r="E391" s="2"/>
      <c r="F391" s="2" t="str">
        <f>VLOOKUP($B391,[1]BOLETIM_SEL!$A:$H,6,0)</f>
        <v>M2</v>
      </c>
      <c r="G391" s="1407">
        <f>VLOOKUP($B391,[1]BOLETIM_SEL!$A:$H,7,0)</f>
        <v>6.65</v>
      </c>
      <c r="H391" s="1608">
        <f>+Bacia_Amortecimento!J87</f>
        <v>0</v>
      </c>
      <c r="I391" s="876">
        <f t="shared" ref="I391" si="147">TRUNC(G391*(1+$J$5),2)</f>
        <v>8.11</v>
      </c>
      <c r="J391" s="1607">
        <f t="shared" ref="J391" si="148">TRUNC(H391*I391,2)</f>
        <v>0</v>
      </c>
      <c r="K391" s="2069">
        <f t="shared" ca="1" si="138"/>
        <v>0</v>
      </c>
      <c r="L391" s="1570" t="e">
        <f t="shared" ref="L391" si="149">J391/$J$314</f>
        <v>#DIV/0!</v>
      </c>
      <c r="M391" s="2"/>
      <c r="N391" s="832"/>
      <c r="O391" s="832"/>
      <c r="Q391" s="832"/>
      <c r="R391" s="832"/>
      <c r="S391" s="832"/>
      <c r="T391" s="832"/>
      <c r="U391" s="832"/>
      <c r="V391" s="832"/>
      <c r="W391" s="832"/>
      <c r="X391" s="832"/>
    </row>
    <row r="392" spans="1:24" s="812" customFormat="1" ht="30" hidden="1" customHeight="1" x14ac:dyDescent="0.15">
      <c r="A392" s="2072">
        <f t="shared" ca="1" si="140"/>
        <v>5</v>
      </c>
      <c r="B392" s="833">
        <f>IF(M392="MENOR",98510,98511)</f>
        <v>98510</v>
      </c>
      <c r="C392" s="2" t="str">
        <f>VLOOKUP($B392,[1]BOLETIM_SEL!$A:$H,2,0)</f>
        <v>SINAPI</v>
      </c>
      <c r="D392" s="315" t="str">
        <f>VLOOKUP($B392,[1]BOLETIM_SEL!$A:$H,4,0)</f>
        <v>Plantio de árvore ornamental com altura de muda menor ou igual a 2,00 m. AF_05/2018</v>
      </c>
      <c r="E392" s="2"/>
      <c r="F392" s="2" t="str">
        <f>VLOOKUP($B392,[1]BOLETIM_SEL!$A:$H,6,0)</f>
        <v>UN</v>
      </c>
      <c r="G392" s="1407">
        <f>VLOOKUP($B392,[1]BOLETIM_SEL!$A:$H,7,0)</f>
        <v>69.27</v>
      </c>
      <c r="H392" s="1608">
        <f>Bacia_Amortecimento!J88</f>
        <v>0</v>
      </c>
      <c r="I392" s="876">
        <f t="shared" si="136"/>
        <v>84.5</v>
      </c>
      <c r="J392" s="1607">
        <f t="shared" si="137"/>
        <v>0</v>
      </c>
      <c r="K392" s="2069">
        <f t="shared" ca="1" si="138"/>
        <v>0</v>
      </c>
      <c r="L392" s="1570" t="e">
        <f t="shared" si="139"/>
        <v>#DIV/0!</v>
      </c>
      <c r="M392" s="1585" t="s">
        <v>1827</v>
      </c>
      <c r="N392" s="832"/>
      <c r="O392" s="832"/>
      <c r="Q392" s="832"/>
      <c r="R392" s="832"/>
      <c r="S392" s="832"/>
      <c r="T392" s="832"/>
      <c r="U392" s="832"/>
      <c r="V392" s="832"/>
      <c r="W392" s="832"/>
      <c r="X392" s="832"/>
    </row>
    <row r="393" spans="1:24" s="812" customFormat="1" ht="30" hidden="1" customHeight="1" x14ac:dyDescent="0.15">
      <c r="A393" s="2072">
        <f t="shared" ca="1" si="140"/>
        <v>5</v>
      </c>
      <c r="B393" s="833">
        <v>98516</v>
      </c>
      <c r="C393" s="2" t="str">
        <f>VLOOKUP($B393,[1]BOLETIM_SEL!$A:$H,2,0)</f>
        <v>SINAPI</v>
      </c>
      <c r="D393" s="315" t="str">
        <f>VLOOKUP($B393,[1]BOLETIM_SEL!$A:$H,4,0)</f>
        <v>Plantio de palmeira com altura de muda menor ou igual a 2,00 m. AF_05/2018</v>
      </c>
      <c r="E393" s="2"/>
      <c r="F393" s="2" t="str">
        <f>VLOOKUP($B393,[1]BOLETIM_SEL!$A:$H,6,0)</f>
        <v>UN</v>
      </c>
      <c r="G393" s="1407">
        <f>VLOOKUP($B393,[1]BOLETIM_SEL!$A:$H,7,0)</f>
        <v>350.16</v>
      </c>
      <c r="H393" s="1608">
        <f>Bacia_Amortecimento!J89</f>
        <v>0</v>
      </c>
      <c r="I393" s="876">
        <f t="shared" si="136"/>
        <v>427.19</v>
      </c>
      <c r="J393" s="1607">
        <f t="shared" si="137"/>
        <v>0</v>
      </c>
      <c r="K393" s="2069">
        <f t="shared" ca="1" si="138"/>
        <v>0</v>
      </c>
      <c r="L393" s="1570" t="e">
        <f t="shared" si="139"/>
        <v>#DIV/0!</v>
      </c>
      <c r="M393" s="1442"/>
      <c r="N393" s="832"/>
      <c r="O393" s="832"/>
      <c r="Q393" s="832"/>
      <c r="R393" s="832"/>
      <c r="S393" s="832"/>
      <c r="T393" s="832"/>
      <c r="U393" s="832"/>
      <c r="V393" s="832"/>
      <c r="W393" s="832"/>
      <c r="X393" s="832"/>
    </row>
    <row r="394" spans="1:24" s="812" customFormat="1" ht="39.950000000000003" hidden="1" customHeight="1" x14ac:dyDescent="0.15">
      <c r="A394" s="2072">
        <f t="shared" ca="1" si="140"/>
        <v>5</v>
      </c>
      <c r="B394" s="833" t="s">
        <v>1851</v>
      </c>
      <c r="C394" s="2" t="str">
        <f>VLOOKUP($B394,[1]BOLETIM_SEL!$A:$H,2,0)</f>
        <v>COMPOSIÇÃO</v>
      </c>
      <c r="D394" s="315" t="str">
        <f>VLOOKUP($B394,[1]BOLETIM_SEL!$A:$H,4,0)</f>
        <v>Piso tátil de alerta ou direcional com lajota cimentícia  25x25x2cm, nas cores da NBR 16537, assentado com argamassa de cimento e areia 1:3</v>
      </c>
      <c r="E394" s="2"/>
      <c r="F394" s="2" t="str">
        <f>VLOOKUP($B394,[1]BOLETIM_SEL!$A:$H,6,0)</f>
        <v>M</v>
      </c>
      <c r="G394" s="1407">
        <f>VLOOKUP($B394,[1]BOLETIM_SEL!$A:$H,7,0)</f>
        <v>38.18</v>
      </c>
      <c r="H394" s="1608">
        <f>Bacia_Amortecimento!J90</f>
        <v>0</v>
      </c>
      <c r="I394" s="876">
        <f t="shared" si="136"/>
        <v>46.57</v>
      </c>
      <c r="J394" s="1607">
        <f t="shared" si="137"/>
        <v>0</v>
      </c>
      <c r="K394" s="2069">
        <f t="shared" ca="1" si="138"/>
        <v>0</v>
      </c>
      <c r="L394" s="1570" t="e">
        <f t="shared" si="139"/>
        <v>#DIV/0!</v>
      </c>
      <c r="M394" s="1442"/>
      <c r="N394" s="832"/>
      <c r="O394" s="832"/>
      <c r="Q394" s="832"/>
      <c r="R394" s="832"/>
      <c r="S394" s="832"/>
      <c r="T394" s="832"/>
      <c r="U394" s="832"/>
      <c r="V394" s="832"/>
      <c r="W394" s="832"/>
      <c r="X394" s="832"/>
    </row>
    <row r="395" spans="1:24" s="812" customFormat="1" ht="39.950000000000003" hidden="1" customHeight="1" x14ac:dyDescent="0.15">
      <c r="A395" s="2072">
        <f t="shared" ca="1" si="140"/>
        <v>5</v>
      </c>
      <c r="B395" s="833">
        <v>94962</v>
      </c>
      <c r="C395" s="2" t="str">
        <f>VLOOKUP($B395,[1]BOLETIM_SEL!$A:$H,2,0)</f>
        <v>SINAPI</v>
      </c>
      <c r="D395" s="315" t="str">
        <f>VLOOKUP($B395,[1]BOLETIM_SEL!$A:$H,4,0)</f>
        <v>Concreto magro para lastro, traço 1:4,5:4,5 (cimento/ areia média/ brita 1) - preparo mecânico com betoneira 400 l. AF_07/2016</v>
      </c>
      <c r="E395" s="2"/>
      <c r="F395" s="2" t="str">
        <f>VLOOKUP($B395,[1]BOLETIM_SEL!$A:$H,6,0)</f>
        <v>M3</v>
      </c>
      <c r="G395" s="1407">
        <f>VLOOKUP($B395,[1]BOLETIM_SEL!$A:$H,7,0)</f>
        <v>385.69</v>
      </c>
      <c r="H395" s="1608">
        <f>Bacia_Amortecimento!J91</f>
        <v>0</v>
      </c>
      <c r="I395" s="876">
        <f t="shared" si="136"/>
        <v>470.54</v>
      </c>
      <c r="J395" s="1607">
        <f t="shared" si="137"/>
        <v>0</v>
      </c>
      <c r="K395" s="2069">
        <f t="shared" ca="1" si="138"/>
        <v>0</v>
      </c>
      <c r="L395" s="1570" t="e">
        <f t="shared" si="139"/>
        <v>#DIV/0!</v>
      </c>
      <c r="M395" s="1442"/>
      <c r="N395" s="832"/>
      <c r="O395" s="832"/>
      <c r="Q395" s="832"/>
      <c r="R395" s="832"/>
      <c r="S395" s="832"/>
      <c r="T395" s="832"/>
      <c r="U395" s="832"/>
      <c r="V395" s="832"/>
      <c r="W395" s="832"/>
      <c r="X395" s="832"/>
    </row>
    <row r="396" spans="1:24" s="812" customFormat="1" ht="39.950000000000003" hidden="1" customHeight="1" x14ac:dyDescent="0.15">
      <c r="A396" s="2072">
        <f t="shared" ca="1" si="140"/>
        <v>5</v>
      </c>
      <c r="B396" s="833">
        <f>IF(M396="USINADO",94991,94990)</f>
        <v>94991</v>
      </c>
      <c r="C396" s="2" t="str">
        <f>VLOOKUP($B396,[1]BOLETIM_SEL!$A:$H,2,0)</f>
        <v>SINAPI</v>
      </c>
      <c r="D396" s="315" t="str">
        <f>VLOOKUP($B396,[1]BOLETIM_SEL!$A:$H,4,0)</f>
        <v>Execução de passeio (calçada) ou piso de concreto com concreto moldado in loco, usinado, acabamento convencional, não armado. AF_07/2016</v>
      </c>
      <c r="E396" s="2"/>
      <c r="F396" s="2" t="str">
        <f>VLOOKUP($B396,[1]BOLETIM_SEL!$A:$H,6,0)</f>
        <v>M3</v>
      </c>
      <c r="G396" s="1407">
        <f>VLOOKUP($B396,[1]BOLETIM_SEL!$A:$H,7,0)</f>
        <v>775.77</v>
      </c>
      <c r="H396" s="1608">
        <f>Bacia_Amortecimento!J96</f>
        <v>0</v>
      </c>
      <c r="I396" s="876">
        <f t="shared" si="136"/>
        <v>946.43</v>
      </c>
      <c r="J396" s="1607">
        <f t="shared" si="137"/>
        <v>0</v>
      </c>
      <c r="K396" s="2069">
        <f t="shared" ca="1" si="138"/>
        <v>0</v>
      </c>
      <c r="L396" s="1570" t="e">
        <f t="shared" si="139"/>
        <v>#DIV/0!</v>
      </c>
      <c r="M396" s="1585" t="s">
        <v>1852</v>
      </c>
      <c r="N396" s="832"/>
      <c r="O396" s="841"/>
      <c r="Q396" s="841"/>
      <c r="R396" s="841"/>
      <c r="S396" s="841"/>
      <c r="T396" s="841"/>
      <c r="U396" s="841"/>
      <c r="V396" s="841"/>
      <c r="W396" s="841"/>
      <c r="X396" s="832"/>
    </row>
    <row r="397" spans="1:24" s="812" customFormat="1" ht="39.950000000000003" hidden="1" customHeight="1" x14ac:dyDescent="0.15">
      <c r="A397" s="2072">
        <f t="shared" ca="1" si="140"/>
        <v>5</v>
      </c>
      <c r="B397" s="833">
        <f>IF(M397="USINADO",94995,94994)</f>
        <v>94994</v>
      </c>
      <c r="C397" s="2" t="str">
        <f>VLOOKUP($B397,[1]BOLETIM_SEL!$A:$H,2,0)</f>
        <v>SINAPI</v>
      </c>
      <c r="D397" s="315" t="str">
        <f>VLOOKUP($B397,[1]BOLETIM_SEL!$A:$H,4,0)</f>
        <v>Execução de passeio (calçada) ou piso de concreto com concreto moldado in loco, feito em obra, acabamento convencional, espessura 8 cm, armado. AF_07/2016</v>
      </c>
      <c r="E397" s="2"/>
      <c r="F397" s="2" t="str">
        <f>VLOOKUP($B397,[1]BOLETIM_SEL!$A:$H,6,0)</f>
        <v>M2</v>
      </c>
      <c r="G397" s="1407">
        <f>VLOOKUP($B397,[1]BOLETIM_SEL!$A:$H,7,0)</f>
        <v>90.92</v>
      </c>
      <c r="H397" s="1608">
        <f>Bacia_Amortecimento!J97</f>
        <v>0</v>
      </c>
      <c r="I397" s="876">
        <f t="shared" si="136"/>
        <v>110.92</v>
      </c>
      <c r="J397" s="1607">
        <f t="shared" si="137"/>
        <v>0</v>
      </c>
      <c r="K397" s="2069">
        <f t="shared" ca="1" si="138"/>
        <v>0</v>
      </c>
      <c r="L397" s="1570" t="e">
        <f t="shared" si="139"/>
        <v>#DIV/0!</v>
      </c>
      <c r="M397" s="1585" t="s">
        <v>1853</v>
      </c>
      <c r="N397" s="832"/>
      <c r="O397" s="841"/>
      <c r="Q397" s="841"/>
      <c r="R397" s="841"/>
      <c r="S397" s="841"/>
      <c r="T397" s="841"/>
      <c r="U397" s="841"/>
      <c r="V397" s="841"/>
      <c r="W397" s="841"/>
      <c r="X397" s="832"/>
    </row>
    <row r="398" spans="1:24" s="812" customFormat="1" ht="39.950000000000003" hidden="1" customHeight="1" x14ac:dyDescent="0.15">
      <c r="A398" s="2072">
        <f t="shared" ca="1" si="140"/>
        <v>5</v>
      </c>
      <c r="B398" s="833">
        <v>100324</v>
      </c>
      <c r="C398" s="2" t="str">
        <f>VLOOKUP($B398,[1]BOLETIM_SEL!$A:$H,2,0)</f>
        <v>SINAPI</v>
      </c>
      <c r="D398" s="315" t="str">
        <f>VLOOKUP($B398,[1]BOLETIM_SEL!$A:$H,4,0)</f>
        <v>Lastro com material granular (pedra britada n.1 e pedra britada n.2), aplicado em pisos ou radiers, espessura de *10 cm*. AF_07/2019</v>
      </c>
      <c r="E398" s="2"/>
      <c r="F398" s="2" t="str">
        <f>VLOOKUP($B398,[1]BOLETIM_SEL!$A:$H,6,0)</f>
        <v>M3</v>
      </c>
      <c r="G398" s="1407">
        <f>VLOOKUP($B398,[1]BOLETIM_SEL!$A:$H,7,0)</f>
        <v>150.93</v>
      </c>
      <c r="H398" s="1608">
        <f>Bacia_Amortecimento!J102</f>
        <v>0</v>
      </c>
      <c r="I398" s="876">
        <f t="shared" ref="I398" si="150">TRUNC(G398*(1+$J$5),2)</f>
        <v>184.13</v>
      </c>
      <c r="J398" s="1607">
        <f t="shared" ref="J398" si="151">TRUNC(H398*I398,2)</f>
        <v>0</v>
      </c>
      <c r="K398" s="2069">
        <f t="shared" ca="1" si="138"/>
        <v>0</v>
      </c>
      <c r="L398" s="1570" t="e">
        <f t="shared" ref="L398" si="152">J398/$J$314</f>
        <v>#DIV/0!</v>
      </c>
      <c r="M398" s="1585" t="s">
        <v>1853</v>
      </c>
      <c r="N398" s="832"/>
      <c r="O398" s="841"/>
      <c r="Q398" s="841"/>
      <c r="R398" s="841"/>
      <c r="S398" s="841"/>
      <c r="T398" s="841"/>
      <c r="U398" s="841"/>
      <c r="V398" s="841"/>
      <c r="W398" s="841"/>
      <c r="X398" s="832"/>
    </row>
    <row r="399" spans="1:24" s="812" customFormat="1" ht="30" hidden="1" customHeight="1" x14ac:dyDescent="0.15">
      <c r="A399" s="2072">
        <f t="shared" ca="1" si="140"/>
        <v>5</v>
      </c>
      <c r="B399" s="833">
        <f>IF(M399="RETANGULAR",92396,92402)</f>
        <v>92396</v>
      </c>
      <c r="C399" s="2" t="str">
        <f>VLOOKUP($B399,[1]BOLETIM_SEL!$A:$H,2,0)</f>
        <v>SINAPI</v>
      </c>
      <c r="D399" s="315" t="str">
        <f>VLOOKUP($B399,[1]BOLETIM_SEL!$A:$H,4,0)</f>
        <v>Execução de passeio em piso intertravado, com bloco retangular cor natural de 20 x 10 cm, espessura 6 cm. AF_12/2015</v>
      </c>
      <c r="E399" s="2"/>
      <c r="F399" s="2" t="str">
        <f>VLOOKUP($B399,[1]BOLETIM_SEL!$A:$H,6,0)</f>
        <v>M2</v>
      </c>
      <c r="G399" s="1407">
        <f>VLOOKUP($B399,[1]BOLETIM_SEL!$A:$H,7,0)</f>
        <v>72.95</v>
      </c>
      <c r="H399" s="1608">
        <f>Bacia_Amortecimento!J103</f>
        <v>0</v>
      </c>
      <c r="I399" s="876">
        <f t="shared" si="136"/>
        <v>88.99</v>
      </c>
      <c r="J399" s="1607">
        <f t="shared" si="137"/>
        <v>0</v>
      </c>
      <c r="K399" s="2069">
        <f t="shared" ca="1" si="138"/>
        <v>0</v>
      </c>
      <c r="L399" s="1570" t="e">
        <f t="shared" si="139"/>
        <v>#DIV/0!</v>
      </c>
      <c r="M399" s="1585" t="s">
        <v>2045</v>
      </c>
      <c r="N399" s="832"/>
      <c r="O399" s="841"/>
      <c r="Q399" s="841"/>
      <c r="R399" s="841"/>
      <c r="S399" s="841"/>
      <c r="T399" s="841"/>
      <c r="U399" s="841"/>
      <c r="V399" s="841"/>
      <c r="W399" s="841"/>
      <c r="X399" s="832"/>
    </row>
    <row r="400" spans="1:24" s="812" customFormat="1" ht="24.95" hidden="1" customHeight="1" x14ac:dyDescent="0.15">
      <c r="A400" s="2072"/>
      <c r="B400" s="833"/>
      <c r="C400" s="2"/>
      <c r="D400" s="1449" t="s">
        <v>1801</v>
      </c>
      <c r="E400" s="2"/>
      <c r="F400" s="2"/>
      <c r="G400" s="1407"/>
      <c r="H400" s="2"/>
      <c r="I400" s="2"/>
      <c r="J400" s="838" t="str">
        <f>IF(J401=0,"-","")</f>
        <v>-</v>
      </c>
      <c r="K400" s="2069"/>
      <c r="L400" s="1570"/>
      <c r="M400" s="1442" t="s">
        <v>1944</v>
      </c>
      <c r="O400" s="832"/>
      <c r="P400" s="832"/>
      <c r="Q400" s="832"/>
      <c r="R400" s="832"/>
      <c r="S400" s="832"/>
      <c r="T400" s="832"/>
      <c r="U400" s="832"/>
      <c r="V400" s="832"/>
      <c r="W400" s="832"/>
      <c r="X400" s="832"/>
    </row>
    <row r="401" spans="1:24" s="812" customFormat="1" ht="39.950000000000003" hidden="1" customHeight="1" x14ac:dyDescent="0.15">
      <c r="A401" s="2072">
        <f ca="1">IF(H401&gt;0,A399+0.01,A399)</f>
        <v>5</v>
      </c>
      <c r="B401" s="833">
        <v>95876</v>
      </c>
      <c r="C401" s="2" t="str">
        <f>VLOOKUP($B401,[1]BOLETIM_SEL!$A:$H,2,0)</f>
        <v>SINAPI</v>
      </c>
      <c r="D401" s="315" t="str">
        <f>VLOOKUP($B401,[1]BOLETIM_SEL!$A:$H,4,0)</f>
        <v>Transporte com caminhão basculante de 14 m3, em via urbana pavimentada, DMT até 30,00 km (unidade: m3xkm). AF_07/2020</v>
      </c>
      <c r="E401" s="2">
        <f>Dados_DMT!$B$17</f>
        <v>8</v>
      </c>
      <c r="F401" s="2" t="str">
        <f>VLOOKUP($B401,[1]BOLETIM_SEL!$A:$H,6,0)</f>
        <v>M3XKM</v>
      </c>
      <c r="G401" s="1407">
        <f>VLOOKUP($B401,[1]BOLETIM_SEL!$A:$H,7,0)</f>
        <v>2.0699999999999998</v>
      </c>
      <c r="H401" s="1608">
        <f>ROUND(Bacia_Amortecimento!J104*E401,2)</f>
        <v>0</v>
      </c>
      <c r="I401" s="876">
        <f>TRUNC(G401*(1+$J$5),2)</f>
        <v>2.52</v>
      </c>
      <c r="J401" s="1607">
        <f>TRUNC(H401*I401,2)</f>
        <v>0</v>
      </c>
      <c r="K401" s="2069">
        <f ca="1">J401/J$930</f>
        <v>0</v>
      </c>
      <c r="L401" s="1570" t="e">
        <f t="shared" si="139"/>
        <v>#DIV/0!</v>
      </c>
      <c r="M401" s="1450">
        <v>2000</v>
      </c>
      <c r="O401" s="1414"/>
      <c r="P401" s="832"/>
      <c r="Q401" s="832"/>
      <c r="R401" s="832"/>
      <c r="S401" s="832"/>
      <c r="T401" s="832"/>
      <c r="U401" s="832"/>
      <c r="V401" s="832"/>
      <c r="W401" s="832"/>
      <c r="X401" s="832"/>
    </row>
    <row r="402" spans="1:24" s="812" customFormat="1" ht="24.95" hidden="1" customHeight="1" x14ac:dyDescent="0.15">
      <c r="A402" s="2072"/>
      <c r="B402" s="2"/>
      <c r="C402" s="2"/>
      <c r="D402" s="1449" t="s">
        <v>1798</v>
      </c>
      <c r="E402" s="2"/>
      <c r="F402" s="2"/>
      <c r="G402" s="1407"/>
      <c r="H402" s="2"/>
      <c r="I402" s="2"/>
      <c r="J402" s="838" t="str">
        <f>IF(J403=0,"-","")</f>
        <v>-</v>
      </c>
      <c r="K402" s="2069"/>
      <c r="L402" s="1570"/>
      <c r="M402" s="1442" t="s">
        <v>1942</v>
      </c>
      <c r="N402" s="832"/>
      <c r="O402" s="832"/>
      <c r="Q402" s="832"/>
      <c r="R402" s="832"/>
      <c r="S402" s="832"/>
      <c r="T402" s="832"/>
      <c r="U402" s="832"/>
      <c r="V402" s="832"/>
      <c r="W402" s="832"/>
      <c r="X402" s="832"/>
    </row>
    <row r="403" spans="1:24" s="812" customFormat="1" ht="39.950000000000003" hidden="1" customHeight="1" x14ac:dyDescent="0.15">
      <c r="A403" s="2072">
        <f ca="1">IF(H403&gt;0,A401+0.01,A401)</f>
        <v>5</v>
      </c>
      <c r="B403" s="833">
        <f>IF(M403="RP",93589,95875)</f>
        <v>95875</v>
      </c>
      <c r="C403" s="2" t="str">
        <f>VLOOKUP($B403,[1]BOLETIM_SEL!$A:$H,2,0)</f>
        <v>SINAPI</v>
      </c>
      <c r="D403" s="315" t="str">
        <f>VLOOKUP($B403,[1]BOLETIM_SEL!$A:$H,4,0)</f>
        <v>Transporte com caminhão basculante de 10 m3, em via urbana pavimentada, DMT até 30,00 km (unidade: m3xkm). AF_07/2020</v>
      </c>
      <c r="E403" s="2">
        <f>Dados_DMT!$B$17</f>
        <v>8</v>
      </c>
      <c r="F403" s="2" t="str">
        <f>VLOOKUP($B403,[1]BOLETIM_SEL!$A:$H,6,0)</f>
        <v>M3XKM</v>
      </c>
      <c r="G403" s="1407">
        <f>VLOOKUP($B403,[1]BOLETIM_SEL!$A:$H,7,0)</f>
        <v>2.36</v>
      </c>
      <c r="H403" s="1608">
        <f>ROUND(Bacia_Amortecimento!J105*E403,2)</f>
        <v>0</v>
      </c>
      <c r="I403" s="876">
        <f>TRUNC(G403*(1+$J$5),2)</f>
        <v>2.87</v>
      </c>
      <c r="J403" s="1607">
        <f>TRUNC(H403*I403,2)</f>
        <v>0</v>
      </c>
      <c r="K403" s="2069">
        <f ca="1">J403/J$930</f>
        <v>0</v>
      </c>
      <c r="L403" s="1570" t="e">
        <f t="shared" ref="L403" si="153">J403/$J$314</f>
        <v>#DIV/0!</v>
      </c>
      <c r="M403" s="1585" t="s">
        <v>2099</v>
      </c>
      <c r="N403" s="832"/>
      <c r="O403" s="832"/>
      <c r="Q403" s="832"/>
      <c r="R403" s="832"/>
      <c r="S403" s="832"/>
      <c r="T403" s="832"/>
      <c r="U403" s="832"/>
      <c r="V403" s="832"/>
      <c r="W403" s="832"/>
      <c r="X403" s="832"/>
    </row>
    <row r="404" spans="1:24" s="812" customFormat="1" ht="24.95" hidden="1" customHeight="1" x14ac:dyDescent="0.15">
      <c r="A404" s="2072"/>
      <c r="B404" s="833"/>
      <c r="C404" s="2"/>
      <c r="D404" s="1449" t="s">
        <v>1797</v>
      </c>
      <c r="E404" s="2"/>
      <c r="F404" s="2"/>
      <c r="G404" s="1407"/>
      <c r="H404" s="2"/>
      <c r="I404" s="2"/>
      <c r="J404" s="838" t="str">
        <f>IF(J405=0,"-","")</f>
        <v>-</v>
      </c>
      <c r="K404" s="2069"/>
      <c r="L404" s="1570"/>
      <c r="M404" s="1442" t="s">
        <v>1941</v>
      </c>
      <c r="N404" s="832"/>
      <c r="O404" s="832"/>
      <c r="Q404" s="832"/>
      <c r="R404" s="832"/>
      <c r="S404" s="832"/>
      <c r="T404" s="832"/>
      <c r="U404" s="832"/>
      <c r="V404" s="832"/>
      <c r="W404" s="832"/>
      <c r="X404" s="832"/>
    </row>
    <row r="405" spans="1:24" s="812" customFormat="1" ht="39.950000000000003" hidden="1" customHeight="1" x14ac:dyDescent="0.15">
      <c r="A405" s="2072">
        <f ca="1">IF(H405&gt;0,A403+0.01,A403)</f>
        <v>5</v>
      </c>
      <c r="B405" s="833">
        <f>IF(AND(M405&lt;=50,E405&lt;=30),95875,IF(AND(M405&lt;=50,E405&gt;30),93590,IF(AND(M405&gt;50,E405&lt;=30),95876,93593)))</f>
        <v>95875</v>
      </c>
      <c r="C405" s="2" t="str">
        <f>VLOOKUP($B405,[1]BOLETIM_SEL!$A:$H,2,0)</f>
        <v>SINAPI</v>
      </c>
      <c r="D405" s="315" t="str">
        <f>VLOOKUP($B405,[1]BOLETIM_SEL!$A:$H,4,0)</f>
        <v>Transporte com caminhão basculante de 10 m3, em via urbana pavimentada, DMT até 30,00 km (unidade: m3xkm). AF_07/2020</v>
      </c>
      <c r="E405" s="2">
        <f>Dados_DMT!$B$16</f>
        <v>0</v>
      </c>
      <c r="F405" s="2" t="str">
        <f>VLOOKUP($B405,[1]BOLETIM_SEL!$A:$H,6,0)</f>
        <v>M3XKM</v>
      </c>
      <c r="G405" s="1407">
        <f>VLOOKUP($B405,[1]BOLETIM_SEL!$A:$H,7,0)</f>
        <v>2.36</v>
      </c>
      <c r="H405" s="1608">
        <f>ROUND(Bacia_Amortecimento!J106*E405,2)</f>
        <v>0</v>
      </c>
      <c r="I405" s="876">
        <f>TRUNC(G405*(1+$J$5),2)</f>
        <v>2.87</v>
      </c>
      <c r="J405" s="1607">
        <f>TRUNC(H405*I405,2)</f>
        <v>0</v>
      </c>
      <c r="K405" s="2069">
        <f ca="1">J405/J$930</f>
        <v>0</v>
      </c>
      <c r="L405" s="1570" t="e">
        <f t="shared" ref="L405" si="154">J405/$J$314</f>
        <v>#DIV/0!</v>
      </c>
      <c r="M405" s="1450">
        <f>IF(H405=0,0,H405/E405)</f>
        <v>0</v>
      </c>
      <c r="N405" s="832"/>
      <c r="O405" s="832"/>
      <c r="Q405" s="832"/>
      <c r="R405" s="832"/>
      <c r="S405" s="832"/>
      <c r="T405" s="832"/>
      <c r="U405" s="832"/>
      <c r="V405" s="832"/>
      <c r="W405" s="832"/>
      <c r="X405" s="832"/>
    </row>
    <row r="406" spans="1:24" s="812" customFormat="1" ht="24.95" hidden="1" customHeight="1" x14ac:dyDescent="0.15">
      <c r="A406" s="2072"/>
      <c r="B406" s="833"/>
      <c r="C406" s="2"/>
      <c r="D406" s="1449" t="s">
        <v>2122</v>
      </c>
      <c r="E406" s="2"/>
      <c r="F406" s="2"/>
      <c r="G406" s="1407"/>
      <c r="H406" s="2"/>
      <c r="I406" s="2"/>
      <c r="J406" s="838" t="str">
        <f>IF(J407=0,"-","")</f>
        <v>-</v>
      </c>
      <c r="K406" s="2069"/>
      <c r="L406" s="1570"/>
      <c r="M406" s="1442"/>
      <c r="N406" s="832"/>
      <c r="O406" s="832"/>
      <c r="Q406" s="832"/>
      <c r="R406" s="832"/>
      <c r="S406" s="832"/>
      <c r="T406" s="832"/>
      <c r="U406" s="832"/>
      <c r="V406" s="832"/>
      <c r="W406" s="832"/>
      <c r="X406" s="832"/>
    </row>
    <row r="407" spans="1:24" s="812" customFormat="1" ht="30" hidden="1" customHeight="1" x14ac:dyDescent="0.15">
      <c r="A407" s="2072">
        <f ca="1">IF(H407&gt;0,A405+0.01,A405)</f>
        <v>5</v>
      </c>
      <c r="B407" s="2">
        <v>100939</v>
      </c>
      <c r="C407" s="2" t="str">
        <f>VLOOKUP($B407,[1]BOLETIM_SEL!$A:$H,2,0)</f>
        <v>SINAPI</v>
      </c>
      <c r="D407" s="315" t="str">
        <f>VLOOKUP($B407,[1]BOLETIM_SEL!$A:$H,4,0)</f>
        <v>Transporte com caminhão basculante de 14 m3, em via interna (dentro do canteiro - unidade:m3xkm). AF_07/2020</v>
      </c>
      <c r="E407" s="2">
        <f>Dados_DMT!$B$15</f>
        <v>1</v>
      </c>
      <c r="F407" s="2" t="str">
        <f>VLOOKUP($B407,[1]BOLETIM_SEL!$A:$H,6,0)</f>
        <v>M3XKM</v>
      </c>
      <c r="G407" s="1407">
        <f>VLOOKUP($B407,[1]BOLETIM_SEL!$A:$H,7,0)</f>
        <v>6.29</v>
      </c>
      <c r="H407" s="1608">
        <f>ROUND(Bacia_Amortecimento!J107*E407,2)</f>
        <v>0</v>
      </c>
      <c r="I407" s="876">
        <f t="shared" ref="I407" si="155">TRUNC(G407*(1+$J$5),2)</f>
        <v>7.67</v>
      </c>
      <c r="J407" s="1607">
        <f t="shared" ref="J407" si="156">TRUNC(H407*I407,2)</f>
        <v>0</v>
      </c>
      <c r="K407" s="2069">
        <f ca="1">J407/J$930</f>
        <v>0</v>
      </c>
      <c r="L407" s="1570" t="e">
        <f t="shared" ref="L407" si="157">J407/$J$314</f>
        <v>#DIV/0!</v>
      </c>
      <c r="M407" s="1450">
        <f>IF(H407=0,0,H407/E407)</f>
        <v>0</v>
      </c>
      <c r="N407" s="832"/>
      <c r="O407" s="832"/>
      <c r="Q407" s="832"/>
      <c r="R407" s="832"/>
      <c r="S407" s="832"/>
      <c r="T407" s="832"/>
      <c r="U407" s="832"/>
      <c r="V407" s="832"/>
      <c r="W407" s="832"/>
      <c r="X407" s="832"/>
    </row>
    <row r="408" spans="1:24" s="812" customFormat="1" ht="24.95" hidden="1" customHeight="1" x14ac:dyDescent="0.15">
      <c r="A408" s="2072"/>
      <c r="B408" s="833"/>
      <c r="C408" s="2"/>
      <c r="D408" s="1449" t="s">
        <v>1811</v>
      </c>
      <c r="E408" s="2"/>
      <c r="F408" s="2"/>
      <c r="G408" s="1407"/>
      <c r="H408" s="2"/>
      <c r="I408" s="2"/>
      <c r="J408" s="838" t="str">
        <f>IF(J409=0,"-","")</f>
        <v>-</v>
      </c>
      <c r="K408" s="2069"/>
      <c r="L408" s="1570"/>
      <c r="M408" s="1442"/>
      <c r="N408" s="832"/>
      <c r="O408" s="832"/>
      <c r="Q408" s="832"/>
      <c r="R408" s="832"/>
      <c r="S408" s="832"/>
      <c r="T408" s="832"/>
      <c r="U408" s="832"/>
      <c r="V408" s="832"/>
      <c r="W408" s="832"/>
      <c r="X408" s="832"/>
    </row>
    <row r="409" spans="1:24" s="812" customFormat="1" ht="39.950000000000003" hidden="1" customHeight="1" x14ac:dyDescent="0.15">
      <c r="A409" s="2072">
        <f ca="1">IF(H409&gt;0,A405+0.01,A405)</f>
        <v>5</v>
      </c>
      <c r="B409" s="833">
        <f>IF(AND(M409&lt;=50,E409&lt;=30),95875,IF(AND(M409&lt;=50,E409&gt;30),93590,IF(AND(M409&gt;50,E409&lt;=30),95876,93593)))</f>
        <v>95875</v>
      </c>
      <c r="C409" s="2" t="str">
        <f>VLOOKUP($B409,[1]BOLETIM_SEL!$A:$H,2,0)</f>
        <v>SINAPI</v>
      </c>
      <c r="D409" s="315" t="str">
        <f>VLOOKUP($B409,[1]BOLETIM_SEL!$A:$H,4,0)</f>
        <v>Transporte com caminhão basculante de 10 m3, em via urbana pavimentada, DMT até 30,00 km (unidade: m3xkm). AF_07/2020</v>
      </c>
      <c r="E409" s="2">
        <f>Dados_DMT!$B$14</f>
        <v>7</v>
      </c>
      <c r="F409" s="2" t="str">
        <f>VLOOKUP($B409,[1]BOLETIM_SEL!$A:$H,6,0)</f>
        <v>M3XKM</v>
      </c>
      <c r="G409" s="1407">
        <f>VLOOKUP($B409,[1]BOLETIM_SEL!$A:$H,7,0)</f>
        <v>2.36</v>
      </c>
      <c r="H409" s="1608">
        <f>ROUND(Bacia_Amortecimento!J108*E409,2)</f>
        <v>0</v>
      </c>
      <c r="I409" s="876">
        <f>TRUNC(G409*(1+$J$5),2)</f>
        <v>2.87</v>
      </c>
      <c r="J409" s="1607">
        <f>TRUNC(H409*I409,2)</f>
        <v>0</v>
      </c>
      <c r="K409" s="2069">
        <f ca="1">J409/J$930</f>
        <v>0</v>
      </c>
      <c r="L409" s="1570" t="e">
        <f t="shared" ref="L409" si="158">J409/$J$314</f>
        <v>#DIV/0!</v>
      </c>
      <c r="M409" s="1450">
        <f>IF(H409=0,0,H409/E409)</f>
        <v>0</v>
      </c>
      <c r="N409" s="832"/>
      <c r="O409" s="832"/>
      <c r="Q409" s="832"/>
      <c r="R409" s="832"/>
      <c r="S409" s="832"/>
      <c r="T409" s="832"/>
      <c r="U409" s="832"/>
      <c r="V409" s="832"/>
      <c r="W409" s="832"/>
      <c r="X409" s="832"/>
    </row>
    <row r="410" spans="1:24" s="812" customFormat="1" ht="24.95" hidden="1" customHeight="1" x14ac:dyDescent="0.15">
      <c r="A410" s="2072"/>
      <c r="B410" s="2"/>
      <c r="C410" s="2"/>
      <c r="D410" s="1449" t="s">
        <v>2178</v>
      </c>
      <c r="E410" s="2"/>
      <c r="F410" s="2"/>
      <c r="G410" s="1407"/>
      <c r="H410" s="2"/>
      <c r="I410" s="2"/>
      <c r="J410" s="838" t="str">
        <f>IF(J411=0,"-","")</f>
        <v>-</v>
      </c>
      <c r="K410" s="2069"/>
      <c r="L410" s="1570"/>
      <c r="M410" s="1442"/>
      <c r="N410" s="832"/>
      <c r="O410" s="832"/>
      <c r="Q410" s="832"/>
      <c r="R410" s="832"/>
      <c r="S410" s="832"/>
      <c r="T410" s="832"/>
      <c r="U410" s="832"/>
      <c r="V410" s="832"/>
      <c r="W410" s="832"/>
      <c r="X410" s="832"/>
    </row>
    <row r="411" spans="1:24" s="812" customFormat="1" ht="39.950000000000003" hidden="1" customHeight="1" x14ac:dyDescent="0.15">
      <c r="A411" s="2072">
        <f ca="1">IF(H411&gt;0,A409+0.01,A409)</f>
        <v>5</v>
      </c>
      <c r="B411" s="833">
        <f>IF(AND(M411&lt;=50,E411&lt;=30),95875,IF(AND(M411&lt;=50,E411&gt;30),93590,IF(AND(M411&gt;50,E411&lt;=30),95876,93593)))</f>
        <v>95875</v>
      </c>
      <c r="C411" s="2" t="str">
        <f>VLOOKUP($B411,[1]BOLETIM_SEL!$A:$H,2,0)</f>
        <v>SINAPI</v>
      </c>
      <c r="D411" s="315" t="str">
        <f>VLOOKUP($B411,[1]BOLETIM_SEL!$A:$H,4,0)</f>
        <v>Transporte com caminhão basculante de 10 m3, em via urbana pavimentada, DMT até 30,00 km (unidade: m3xkm). AF_07/2020</v>
      </c>
      <c r="E411" s="2">
        <f>Dados_DMT!$B$34</f>
        <v>24</v>
      </c>
      <c r="F411" s="2" t="str">
        <f>VLOOKUP($B411,[1]BOLETIM_SEL!$A:$H,6,0)</f>
        <v>M3XKM</v>
      </c>
      <c r="G411" s="1407">
        <f>VLOOKUP($B411,[1]BOLETIM_SEL!$A:$H,7,0)</f>
        <v>2.36</v>
      </c>
      <c r="H411" s="1608">
        <f>ROUND(Bacia_Amortecimento!J109*E411,2)</f>
        <v>0</v>
      </c>
      <c r="I411" s="876">
        <f>TRUNC(G411*(1+$J$5),2)</f>
        <v>2.87</v>
      </c>
      <c r="J411" s="1607">
        <f>TRUNC(H411*I411,2)</f>
        <v>0</v>
      </c>
      <c r="K411" s="2069">
        <f ca="1">J411/J$930</f>
        <v>0</v>
      </c>
      <c r="L411" s="1570" t="e">
        <f t="shared" ref="L411" si="159">J411/$J$314</f>
        <v>#DIV/0!</v>
      </c>
      <c r="M411" s="1450">
        <f>IF(H411=0,0,H411/E411)</f>
        <v>0</v>
      </c>
      <c r="N411" s="832"/>
      <c r="O411" s="832"/>
      <c r="Q411" s="832"/>
      <c r="R411" s="832"/>
      <c r="S411" s="832"/>
      <c r="T411" s="832"/>
      <c r="U411" s="832"/>
      <c r="V411" s="832"/>
      <c r="W411" s="832"/>
      <c r="X411" s="832"/>
    </row>
    <row r="412" spans="1:24" s="812" customFormat="1" ht="24.95" hidden="1" customHeight="1" x14ac:dyDescent="0.15">
      <c r="A412" s="2072"/>
      <c r="B412" s="833"/>
      <c r="C412" s="833"/>
      <c r="D412" s="834"/>
      <c r="E412" s="2"/>
      <c r="F412" s="833"/>
      <c r="G412" s="1814"/>
      <c r="H412" s="1"/>
      <c r="I412" s="876"/>
      <c r="J412" s="838">
        <f>IF(J314=0,0,"")</f>
        <v>0</v>
      </c>
      <c r="K412" s="2069"/>
      <c r="L412" s="1570"/>
      <c r="M412" s="1826"/>
      <c r="N412" s="832"/>
      <c r="O412" s="832"/>
      <c r="Q412" s="832"/>
      <c r="R412" s="832"/>
      <c r="S412" s="832"/>
      <c r="T412" s="832"/>
      <c r="U412" s="832"/>
      <c r="V412" s="832"/>
      <c r="W412" s="832"/>
      <c r="X412" s="832"/>
    </row>
    <row r="413" spans="1:24" s="832" customFormat="1" ht="24.95" hidden="1" customHeight="1" x14ac:dyDescent="0.15">
      <c r="A413" s="2073">
        <f ca="1">IF(J413&gt;0,INT(A314)+1,IF(J413=0,INT(A314),0))</f>
        <v>5</v>
      </c>
      <c r="B413" s="1626"/>
      <c r="C413" s="1626"/>
      <c r="D413" s="1627" t="s">
        <v>39</v>
      </c>
      <c r="E413" s="1821"/>
      <c r="F413" s="1628"/>
      <c r="G413" s="1813" t="s">
        <v>652</v>
      </c>
      <c r="H413" s="1630"/>
      <c r="I413" s="1633" t="str">
        <f ca="1">CONCATENATE("SUB-TOTAL ",A413)</f>
        <v>SUB-TOTAL 5</v>
      </c>
      <c r="J413" s="1632">
        <f>SUM(J414:J446)</f>
        <v>0</v>
      </c>
      <c r="K413" s="2070">
        <f t="shared" ref="K413:K438" ca="1" si="160">J413/J$930</f>
        <v>0</v>
      </c>
      <c r="L413" s="1605" t="e">
        <f>J413/$J$413</f>
        <v>#DIV/0!</v>
      </c>
      <c r="N413" s="1648" t="s">
        <v>1951</v>
      </c>
      <c r="O413" s="1648" t="s">
        <v>1977</v>
      </c>
    </row>
    <row r="414" spans="1:24" s="812" customFormat="1" ht="39.950000000000003" hidden="1" customHeight="1" x14ac:dyDescent="0.15">
      <c r="A414" s="2072">
        <f t="shared" ref="A414:A438" ca="1" si="161">IF(H414&gt;0,A413+0.01,A413)</f>
        <v>5</v>
      </c>
      <c r="B414" s="833" t="s">
        <v>1458</v>
      </c>
      <c r="C414" s="2" t="str">
        <f>+VLOOKUP($B414,[1]BOLETIM_SEL!$A:$H,2,0)</f>
        <v>COMPOSIÇÃO</v>
      </c>
      <c r="D414" s="315" t="str">
        <f>+VLOOKUP($B414,[1]BOLETIM_SEL!$A:$H,4,0)</f>
        <v>Dreno longitudinal de pavimento, Tipo GH040, altura 0,40 m, com brita (20x20cm), geocomposto drenante e tubo PEAD corrugado perfurado DN 100 mm, inclusive escavação e reaterro (REF. SICRO COD. 2004509)</v>
      </c>
      <c r="E414" s="2"/>
      <c r="F414" s="2" t="str">
        <f>+VLOOKUP($B414,[1]BOLETIM_SEL!$A:$H,6,0)</f>
        <v>M</v>
      </c>
      <c r="G414" s="1407">
        <f>VLOOKUP($B414,[1]BOLETIM_SEL!$A:$H,7,0)</f>
        <v>35.86</v>
      </c>
      <c r="H414" s="1606">
        <f>+Dre_Profunda!I4</f>
        <v>0</v>
      </c>
      <c r="I414" s="876">
        <f t="shared" ref="I414:I429" si="162">+TRUNC(G414*(1+$J$5),2)</f>
        <v>43.74</v>
      </c>
      <c r="J414" s="1607">
        <f>TRUNC(H414*I414,2)</f>
        <v>0</v>
      </c>
      <c r="K414" s="2069">
        <f t="shared" ca="1" si="160"/>
        <v>0</v>
      </c>
      <c r="L414" s="1570" t="e">
        <f>J414/$J$413</f>
        <v>#DIV/0!</v>
      </c>
      <c r="M414" s="1442"/>
      <c r="N414" s="1644">
        <f>VLOOKUP($B414,[1]BOLETIM_SEL!$A:$H,3,0)</f>
        <v>173</v>
      </c>
      <c r="O414" s="1645">
        <f>+H414/N414</f>
        <v>0</v>
      </c>
      <c r="Q414" s="832"/>
      <c r="R414" s="832"/>
      <c r="S414" s="832"/>
      <c r="T414" s="832"/>
      <c r="U414" s="832"/>
      <c r="V414" s="832"/>
      <c r="W414" s="832"/>
      <c r="X414" s="832"/>
    </row>
    <row r="415" spans="1:24" s="812" customFormat="1" ht="39.950000000000003" hidden="1" customHeight="1" x14ac:dyDescent="0.15">
      <c r="A415" s="2072">
        <f t="shared" ca="1" si="161"/>
        <v>5</v>
      </c>
      <c r="B415" s="833" t="s">
        <v>993</v>
      </c>
      <c r="C415" s="2" t="str">
        <f>+VLOOKUP($B415,[1]BOLETIM_SEL!$A:$H,2,0)</f>
        <v>COMPOSIÇÃO</v>
      </c>
      <c r="D415" s="315" t="str">
        <f>+VLOOKUP($B415,[1]BOLETIM_SEL!$A:$H,4,0)</f>
        <v>Dreno longitudinal de pavimento, Tipo GH100, altura 1,00 m, com brita (20x20cm), geocomposto drenante e tubo PEAD corrugado perfurado DN 100 mm, inclusive escavação e reaterro (REF. SICRO COD. 2004511)</v>
      </c>
      <c r="E415" s="2"/>
      <c r="F415" s="2" t="str">
        <f>+VLOOKUP($B415,[1]BOLETIM_SEL!$A:$H,6,0)</f>
        <v>M</v>
      </c>
      <c r="G415" s="1407">
        <f>VLOOKUP($B415,[1]BOLETIM_SEL!$A:$H,7,0)</f>
        <v>61.71</v>
      </c>
      <c r="H415" s="1606">
        <f>+Dre_Profunda!I5</f>
        <v>0</v>
      </c>
      <c r="I415" s="876">
        <f t="shared" si="162"/>
        <v>75.28</v>
      </c>
      <c r="J415" s="1607">
        <f t="shared" ref="J415:J438" si="163">TRUNC(H415*I415,2)</f>
        <v>0</v>
      </c>
      <c r="K415" s="2069">
        <f t="shared" ca="1" si="160"/>
        <v>0</v>
      </c>
      <c r="L415" s="1570" t="e">
        <f t="shared" ref="L415:L438" si="164">J415/$J$413</f>
        <v>#DIV/0!</v>
      </c>
      <c r="M415" s="1442"/>
      <c r="N415" s="1644">
        <f>VLOOKUP($B415,[1]BOLETIM_SEL!$A:$H,3,0)</f>
        <v>132</v>
      </c>
      <c r="O415" s="1645">
        <f>+H415/N415</f>
        <v>0</v>
      </c>
      <c r="Q415" s="832"/>
      <c r="R415" s="832"/>
      <c r="S415" s="832"/>
      <c r="T415" s="832"/>
      <c r="U415" s="832"/>
      <c r="V415" s="832"/>
      <c r="W415" s="832"/>
      <c r="X415" s="832"/>
    </row>
    <row r="416" spans="1:24" s="812" customFormat="1" ht="39.950000000000003" hidden="1" customHeight="1" x14ac:dyDescent="0.15">
      <c r="A416" s="2072">
        <f t="shared" ca="1" si="161"/>
        <v>5</v>
      </c>
      <c r="B416" s="833" t="s">
        <v>1459</v>
      </c>
      <c r="C416" s="2" t="str">
        <f>+VLOOKUP($B416,[1]BOLETIM_SEL!$A:$H,2,0)</f>
        <v>COMPOSIÇÃO</v>
      </c>
      <c r="D416" s="315" t="str">
        <f>+VLOOKUP($B416,[1]BOLETIM_SEL!$A:$H,4,0)</f>
        <v>Dreno longitudinal de pavimento, Tipo GH150, altura 1,50 m, com brita (20x20cm), geocomposto drenante e tubo PEAD corrugado perfurado DN 100 mm, inclusive escavação e reaterro (REF. SICRO COD. 2004512)</v>
      </c>
      <c r="E416" s="2"/>
      <c r="F416" s="2" t="str">
        <f>+VLOOKUP($B416,[1]BOLETIM_SEL!$A:$H,6,0)</f>
        <v>M</v>
      </c>
      <c r="G416" s="1407">
        <f>VLOOKUP($B416,[1]BOLETIM_SEL!$A:$H,7,0)</f>
        <v>83.23</v>
      </c>
      <c r="H416" s="1606">
        <f>+Dre_Profunda!I6</f>
        <v>0</v>
      </c>
      <c r="I416" s="876">
        <f t="shared" si="162"/>
        <v>101.54</v>
      </c>
      <c r="J416" s="1607">
        <f t="shared" si="163"/>
        <v>0</v>
      </c>
      <c r="K416" s="2069">
        <f t="shared" ca="1" si="160"/>
        <v>0</v>
      </c>
      <c r="L416" s="1570" t="e">
        <f t="shared" si="164"/>
        <v>#DIV/0!</v>
      </c>
      <c r="M416" s="1442"/>
      <c r="N416" s="1644">
        <f>VLOOKUP($B416,[1]BOLETIM_SEL!$A:$H,3,0)</f>
        <v>113</v>
      </c>
      <c r="O416" s="1645">
        <f>+H416/N416</f>
        <v>0</v>
      </c>
      <c r="Q416" s="832"/>
      <c r="R416" s="832"/>
      <c r="S416" s="832"/>
      <c r="T416" s="832"/>
      <c r="U416" s="832"/>
      <c r="V416" s="832"/>
      <c r="W416" s="832"/>
      <c r="X416" s="832"/>
    </row>
    <row r="417" spans="1:24" s="812" customFormat="1" ht="39.950000000000003" hidden="1" customHeight="1" x14ac:dyDescent="0.15">
      <c r="A417" s="2072">
        <f t="shared" ca="1" si="161"/>
        <v>5</v>
      </c>
      <c r="B417" s="833" t="s">
        <v>994</v>
      </c>
      <c r="C417" s="2" t="str">
        <f>+VLOOKUP($B417,[1]BOLETIM_SEL!$A:$H,2,0)</f>
        <v>COMPOSIÇÃO</v>
      </c>
      <c r="D417" s="315" t="str">
        <f>+VLOOKUP($B417,[1]BOLETIM_SEL!$A:$H,4,0)</f>
        <v>Dreno francês de lençol freático, Tipo FH100, com tubo PEAD Ø 100mm e brita (50x50cm), incluindo escavação (h=100cm), reaterro e geotextil RT-09. Exclusive transporte e bota-fora</v>
      </c>
      <c r="E417" s="2"/>
      <c r="F417" s="2" t="str">
        <f>+VLOOKUP($B417,[1]BOLETIM_SEL!$A:$H,6,0)</f>
        <v>M</v>
      </c>
      <c r="G417" s="1407">
        <f>VLOOKUP($B417,[1]BOLETIM_SEL!$A:$H,7,0)</f>
        <v>102.9</v>
      </c>
      <c r="H417" s="1606">
        <f>+Dre_Profunda!I7</f>
        <v>0</v>
      </c>
      <c r="I417" s="876">
        <f t="shared" si="162"/>
        <v>125.53</v>
      </c>
      <c r="J417" s="1607">
        <f t="shared" si="163"/>
        <v>0</v>
      </c>
      <c r="K417" s="2069">
        <f t="shared" ca="1" si="160"/>
        <v>0</v>
      </c>
      <c r="L417" s="1570" t="e">
        <f t="shared" si="164"/>
        <v>#DIV/0!</v>
      </c>
      <c r="M417" s="1442"/>
      <c r="N417" s="1644">
        <f>VLOOKUP($B417,[1]BOLETIM_SEL!$A:$H,3,0)</f>
        <v>29.98</v>
      </c>
      <c r="O417" s="1645">
        <f>+H417/N417</f>
        <v>0</v>
      </c>
      <c r="Q417" s="832"/>
      <c r="R417" s="832"/>
      <c r="S417" s="832"/>
      <c r="T417" s="832"/>
      <c r="U417" s="832"/>
      <c r="V417" s="832"/>
      <c r="W417" s="832"/>
      <c r="X417" s="832"/>
    </row>
    <row r="418" spans="1:24" s="812" customFormat="1" ht="39.950000000000003" hidden="1" customHeight="1" x14ac:dyDescent="0.15">
      <c r="A418" s="2072">
        <f t="shared" ca="1" si="161"/>
        <v>5</v>
      </c>
      <c r="B418" s="833" t="s">
        <v>1460</v>
      </c>
      <c r="C418" s="2" t="str">
        <f>+VLOOKUP($B418,[1]BOLETIM_SEL!$A:$H,2,0)</f>
        <v>COMPOSIÇÃO</v>
      </c>
      <c r="D418" s="315" t="str">
        <f>+VLOOKUP($B418,[1]BOLETIM_SEL!$A:$H,4,0)</f>
        <v>Dreno francês de lençol freático, Tipo FH150, com tubo PEAD Ø 150mm e brita (50x100cm), incluindo escavação (h=150cm), reaterro e geotextil RT-09. Exclusive transporte e bota-fora</v>
      </c>
      <c r="E418" s="2"/>
      <c r="F418" s="2" t="str">
        <f>+VLOOKUP($B418,[1]BOLETIM_SEL!$A:$H,6,0)</f>
        <v>M</v>
      </c>
      <c r="G418" s="1407">
        <f>VLOOKUP($B418,[1]BOLETIM_SEL!$A:$H,7,0)</f>
        <v>182.95</v>
      </c>
      <c r="H418" s="1606">
        <f>+Dre_Profunda!I8</f>
        <v>0</v>
      </c>
      <c r="I418" s="876">
        <f t="shared" si="162"/>
        <v>223.19</v>
      </c>
      <c r="J418" s="1607">
        <f t="shared" si="163"/>
        <v>0</v>
      </c>
      <c r="K418" s="2069">
        <f t="shared" ca="1" si="160"/>
        <v>0</v>
      </c>
      <c r="L418" s="1570" t="e">
        <f t="shared" si="164"/>
        <v>#DIV/0!</v>
      </c>
      <c r="M418" s="1442"/>
      <c r="N418" s="1644">
        <f>VLOOKUP($B418,[1]BOLETIM_SEL!$A:$H,3,0)</f>
        <v>19.989999999999998</v>
      </c>
      <c r="O418" s="1645">
        <f>+H418/N418</f>
        <v>0</v>
      </c>
      <c r="Q418" s="832"/>
      <c r="R418" s="832"/>
      <c r="S418" s="832"/>
      <c r="T418" s="832"/>
      <c r="U418" s="832"/>
      <c r="V418" s="832"/>
      <c r="W418" s="832"/>
      <c r="X418" s="832"/>
    </row>
    <row r="419" spans="1:24" s="812" customFormat="1" ht="39.950000000000003" hidden="1" customHeight="1" x14ac:dyDescent="0.15">
      <c r="A419" s="2072">
        <f t="shared" ca="1" si="161"/>
        <v>5</v>
      </c>
      <c r="B419" s="833" t="s">
        <v>1945</v>
      </c>
      <c r="C419" s="2" t="str">
        <f>+VLOOKUP($B419,[1]BOLETIM_SEL!$A:$H,2,0)</f>
        <v>COMPOSIÇÃO</v>
      </c>
      <c r="D419" s="315" t="str">
        <f>+VLOOKUP($B419,[1]BOLETIM_SEL!$A:$H,4,0)</f>
        <v>Tubo dreno, corrugado, espiralado, flexível, perfurado, em polietileno de alta densidade (PEAD), DN 100 mm para drenagem – fornecimento e assentamento em vala</v>
      </c>
      <c r="E419" s="2"/>
      <c r="F419" s="2" t="str">
        <f>+VLOOKUP($B419,[1]BOLETIM_SEL!$A:$H,6,0)</f>
        <v>M</v>
      </c>
      <c r="G419" s="1407">
        <f>VLOOKUP($B419,[1]BOLETIM_SEL!$A:$H,7,0)</f>
        <v>32.950000000000003</v>
      </c>
      <c r="H419" s="1606">
        <f>+Dre_Profunda!I18</f>
        <v>0</v>
      </c>
      <c r="I419" s="876">
        <f t="shared" si="162"/>
        <v>40.19</v>
      </c>
      <c r="J419" s="1607">
        <f t="shared" ref="J419:J420" si="165">TRUNC(H419*I419,2)</f>
        <v>0</v>
      </c>
      <c r="K419" s="2069">
        <f t="shared" ca="1" si="160"/>
        <v>0</v>
      </c>
      <c r="L419" s="1570" t="e">
        <f t="shared" ref="L419:L420" si="166">J419/$J$413</f>
        <v>#DIV/0!</v>
      </c>
      <c r="M419" s="1442"/>
      <c r="N419" s="1646"/>
      <c r="O419" s="1645"/>
      <c r="Q419" s="832"/>
      <c r="R419" s="832"/>
      <c r="S419" s="832"/>
      <c r="T419" s="832"/>
      <c r="U419" s="832"/>
      <c r="V419" s="832"/>
      <c r="W419" s="832"/>
      <c r="X419" s="832"/>
    </row>
    <row r="420" spans="1:24" s="812" customFormat="1" ht="39.950000000000003" hidden="1" customHeight="1" x14ac:dyDescent="0.15">
      <c r="A420" s="2072">
        <f t="shared" ca="1" si="161"/>
        <v>5</v>
      </c>
      <c r="B420" s="833" t="s">
        <v>1946</v>
      </c>
      <c r="C420" s="2" t="str">
        <f>+VLOOKUP($B420,[1]BOLETIM_SEL!$A:$H,2,0)</f>
        <v>COMPOSIÇÃO</v>
      </c>
      <c r="D420" s="315" t="str">
        <f>+VLOOKUP($B420,[1]BOLETIM_SEL!$A:$H,4,0)</f>
        <v>Tubo dreno, corrugado, espiralado, flexível, perfurado, em polietileno de alta densidade (PEAD), DN 150 mm para drenagem – fornecimento e assentamento em vala</v>
      </c>
      <c r="E420" s="2"/>
      <c r="F420" s="2" t="str">
        <f>+VLOOKUP($B420,[1]BOLETIM_SEL!$A:$H,6,0)</f>
        <v>M</v>
      </c>
      <c r="G420" s="1407">
        <f>VLOOKUP($B420,[1]BOLETIM_SEL!$A:$H,7,0)</f>
        <v>45.57</v>
      </c>
      <c r="H420" s="1606">
        <f>+Dre_Profunda!I19</f>
        <v>0</v>
      </c>
      <c r="I420" s="876">
        <f t="shared" si="162"/>
        <v>55.59</v>
      </c>
      <c r="J420" s="1607">
        <f t="shared" si="165"/>
        <v>0</v>
      </c>
      <c r="K420" s="2069">
        <f t="shared" ca="1" si="160"/>
        <v>0</v>
      </c>
      <c r="L420" s="1570" t="e">
        <f t="shared" si="166"/>
        <v>#DIV/0!</v>
      </c>
      <c r="M420" s="1442"/>
      <c r="N420" s="1646"/>
      <c r="O420" s="1645"/>
      <c r="Q420" s="832"/>
      <c r="R420" s="832"/>
      <c r="S420" s="832"/>
      <c r="T420" s="832"/>
      <c r="U420" s="832"/>
      <c r="V420" s="832"/>
      <c r="W420" s="832"/>
      <c r="X420" s="832"/>
    </row>
    <row r="421" spans="1:24" s="812" customFormat="1" ht="39.950000000000003" hidden="1" customHeight="1" x14ac:dyDescent="0.15">
      <c r="A421" s="2072">
        <f t="shared" ca="1" si="161"/>
        <v>5</v>
      </c>
      <c r="B421" s="833" t="s">
        <v>1674</v>
      </c>
      <c r="C421" s="2" t="str">
        <f>+VLOOKUP($B421,[1]BOLETIM_SEL!$A:$H,2,0)</f>
        <v>COMPOSIÇÃO</v>
      </c>
      <c r="D421" s="315" t="str">
        <f>+VLOOKUP($B421,[1]BOLETIM_SEL!$A:$H,4,0)</f>
        <v>Escavação de vala em rocha - 3a categoria, com uso de explosivos e perfuração mecânica, em locais com alto nível de interferência. Inclusive carga</v>
      </c>
      <c r="E421" s="2"/>
      <c r="F421" s="2" t="str">
        <f>+VLOOKUP($B421,[1]BOLETIM_SEL!$A:$H,6,0)</f>
        <v>M3</v>
      </c>
      <c r="G421" s="1407">
        <f>VLOOKUP($B421,[1]BOLETIM_SEL!$A:$H,7,0)</f>
        <v>492.1</v>
      </c>
      <c r="H421" s="1606">
        <f>+Dre_Profunda!I29</f>
        <v>0</v>
      </c>
      <c r="I421" s="876">
        <f t="shared" si="162"/>
        <v>600.36</v>
      </c>
      <c r="J421" s="1607">
        <f t="shared" si="163"/>
        <v>0</v>
      </c>
      <c r="K421" s="2069">
        <f t="shared" ca="1" si="160"/>
        <v>0</v>
      </c>
      <c r="L421" s="1570" t="e">
        <f t="shared" si="164"/>
        <v>#DIV/0!</v>
      </c>
      <c r="M421" s="1442"/>
      <c r="N421" s="1647">
        <f>VLOOKUP($B421,[1]BOLETIM_SEL!$A:$H,3,0)</f>
        <v>3</v>
      </c>
      <c r="O421" s="1645">
        <f>+H421/N421</f>
        <v>0</v>
      </c>
      <c r="Q421" s="832"/>
      <c r="R421" s="832"/>
      <c r="S421" s="832"/>
      <c r="T421" s="832"/>
      <c r="U421" s="832"/>
      <c r="V421" s="832"/>
      <c r="W421" s="832"/>
      <c r="X421" s="832"/>
    </row>
    <row r="422" spans="1:24" s="812" customFormat="1" ht="50.1" hidden="1" customHeight="1" x14ac:dyDescent="0.15">
      <c r="A422" s="2072">
        <f t="shared" ca="1" si="161"/>
        <v>5</v>
      </c>
      <c r="B422" s="833">
        <v>90099</v>
      </c>
      <c r="C422" s="2" t="str">
        <f>+VLOOKUP($B422,[1]BOLETIM_SEL!$A:$H,2,0)</f>
        <v>SINAPI</v>
      </c>
      <c r="D422" s="315" t="str">
        <f>+VLOOKUP($B422,[1]BOLETIM_SEL!$A:$H,4,0)</f>
        <v>Escavação mecanizada de vala com profundidade até 1,50 m (média entre montante e jusante / uma composição por trecho), com retroescavadeira (capacidade da caçamba: 0,26 m3 / potência: 88 HP), largura menor que 0,80 m, em solo de 1a categoria, em locais com alto nível de interferência. AF_01/2015</v>
      </c>
      <c r="E422" s="2"/>
      <c r="F422" s="2" t="str">
        <f>+VLOOKUP($B422,[1]BOLETIM_SEL!$A:$H,6,0)</f>
        <v>M3</v>
      </c>
      <c r="G422" s="1407">
        <f>VLOOKUP($B422,[1]BOLETIM_SEL!$A:$H,7,0)</f>
        <v>15.47</v>
      </c>
      <c r="H422" s="1606">
        <f>+Dre_Profunda!I30</f>
        <v>0</v>
      </c>
      <c r="I422" s="876">
        <f t="shared" si="162"/>
        <v>18.87</v>
      </c>
      <c r="J422" s="1607">
        <f t="shared" si="163"/>
        <v>0</v>
      </c>
      <c r="K422" s="2069">
        <f t="shared" ca="1" si="160"/>
        <v>0</v>
      </c>
      <c r="L422" s="1570" t="e">
        <f t="shared" si="164"/>
        <v>#DIV/0!</v>
      </c>
      <c r="M422" s="1442" t="str">
        <f>VLOOKUP($B422,[1]BOLETIM_SEL!$A:$H,5,0)</f>
        <v>H &lt; 1,50
alta Interferência</v>
      </c>
      <c r="N422" s="1647">
        <f>VLOOKUP($B422,[1]BOLETIM_SEL!$A:$H,3,0)</f>
        <v>7.62</v>
      </c>
      <c r="O422" s="1645">
        <f>+H422/N422</f>
        <v>0</v>
      </c>
      <c r="Q422" s="832"/>
      <c r="R422" s="832"/>
      <c r="S422" s="832"/>
      <c r="T422" s="832"/>
      <c r="U422" s="832"/>
      <c r="V422" s="832"/>
      <c r="W422" s="832"/>
      <c r="X422" s="832"/>
    </row>
    <row r="423" spans="1:24" s="812" customFormat="1" ht="30" hidden="1" customHeight="1" x14ac:dyDescent="0.15">
      <c r="A423" s="2072">
        <f t="shared" ca="1" si="161"/>
        <v>5</v>
      </c>
      <c r="B423" s="833" t="s">
        <v>1844</v>
      </c>
      <c r="C423" s="2" t="str">
        <f>+VLOOKUP($B423,[1]BOLETIM_SEL!$A:$H,2,0)</f>
        <v>COMPOSIÇÃO</v>
      </c>
      <c r="D423" s="315" t="str">
        <f>+VLOOKUP($B423,[1]BOLETIM_SEL!$A:$H,4,0)</f>
        <v>Escavação mecânica de vala para drenagem com mimiescavadeira em material de 1a categoria (REF. SINAPI COD. 96525)</v>
      </c>
      <c r="E423" s="2"/>
      <c r="F423" s="2" t="str">
        <f>+VLOOKUP($B423,[1]BOLETIM_SEL!$A:$H,6,0)</f>
        <v>M3</v>
      </c>
      <c r="G423" s="1407">
        <f>VLOOKUP($B423,[1]BOLETIM_SEL!$A:$H,7,0)</f>
        <v>43.96</v>
      </c>
      <c r="H423" s="1606">
        <f>+Dre_Profunda!I31</f>
        <v>0</v>
      </c>
      <c r="I423" s="876">
        <f t="shared" si="162"/>
        <v>53.63</v>
      </c>
      <c r="J423" s="1607">
        <f t="shared" si="163"/>
        <v>0</v>
      </c>
      <c r="K423" s="2069">
        <f t="shared" ca="1" si="160"/>
        <v>0</v>
      </c>
      <c r="L423" s="1570" t="e">
        <f t="shared" si="164"/>
        <v>#DIV/0!</v>
      </c>
      <c r="M423" s="1442"/>
      <c r="N423" s="1647">
        <f>VLOOKUP($B423,[1]BOLETIM_SEL!$A:$H,3,0)</f>
        <v>2.33</v>
      </c>
      <c r="O423" s="1645">
        <f>+H423/N423</f>
        <v>0</v>
      </c>
      <c r="Q423" s="832"/>
      <c r="R423" s="832"/>
      <c r="S423" s="832"/>
      <c r="T423" s="832"/>
      <c r="U423" s="832"/>
      <c r="V423" s="832"/>
      <c r="W423" s="832"/>
      <c r="X423" s="832"/>
    </row>
    <row r="424" spans="1:24" s="812" customFormat="1" ht="30" hidden="1" customHeight="1" x14ac:dyDescent="0.15">
      <c r="A424" s="2072">
        <f t="shared" ca="1" si="161"/>
        <v>5</v>
      </c>
      <c r="B424" s="833">
        <v>93382</v>
      </c>
      <c r="C424" s="2" t="str">
        <f>+VLOOKUP($B424,[1]BOLETIM_SEL!$A:$H,2,0)</f>
        <v>SINAPI</v>
      </c>
      <c r="D424" s="315" t="str">
        <f>+VLOOKUP($B424,[1]BOLETIM_SEL!$A:$H,4,0)</f>
        <v>Reaterro manual de valas com compactação mecanizada. AF_04/2016</v>
      </c>
      <c r="E424" s="2"/>
      <c r="F424" s="2" t="str">
        <f>+VLOOKUP($B424,[1]BOLETIM_SEL!$A:$H,6,0)</f>
        <v>M3</v>
      </c>
      <c r="G424" s="1407">
        <f>VLOOKUP($B424,[1]BOLETIM_SEL!$A:$H,7,0)</f>
        <v>23.92</v>
      </c>
      <c r="H424" s="1606">
        <f>+Dre_Profunda!I32</f>
        <v>0</v>
      </c>
      <c r="I424" s="876">
        <f t="shared" si="162"/>
        <v>29.18</v>
      </c>
      <c r="J424" s="1607">
        <f t="shared" si="163"/>
        <v>0</v>
      </c>
      <c r="K424" s="2069">
        <f t="shared" ca="1" si="160"/>
        <v>0</v>
      </c>
      <c r="L424" s="1570" t="e">
        <f t="shared" si="164"/>
        <v>#DIV/0!</v>
      </c>
      <c r="M424" s="1442"/>
      <c r="N424" s="832"/>
      <c r="O424" s="832"/>
      <c r="Q424" s="832"/>
      <c r="R424" s="832"/>
      <c r="S424" s="832"/>
      <c r="T424" s="832"/>
      <c r="U424" s="832"/>
      <c r="V424" s="832"/>
      <c r="W424" s="832"/>
      <c r="X424" s="832"/>
    </row>
    <row r="425" spans="1:24" s="812" customFormat="1" ht="30" hidden="1" customHeight="1" x14ac:dyDescent="0.15">
      <c r="A425" s="2072">
        <f t="shared" ca="1" si="161"/>
        <v>5</v>
      </c>
      <c r="B425" s="2010">
        <v>101570</v>
      </c>
      <c r="C425" s="2" t="str">
        <f>+VLOOKUP($B425,[1]BOLETIM_SEL!$A:$H,2,0)</f>
        <v>SINAPI</v>
      </c>
      <c r="D425" s="315" t="str">
        <f>+VLOOKUP($B425,[1]BOLETIM_SEL!$A:$H,4,0)</f>
        <v>Escoramento de vala, tipo pontaleteamento, com profundidade de 0,00 a 1,50 m, largura menor que 1,50 m. AF_08/2020</v>
      </c>
      <c r="E425" s="2"/>
      <c r="F425" s="2" t="str">
        <f>+VLOOKUP($B425,[1]BOLETIM_SEL!$A:$H,6,0)</f>
        <v>M2</v>
      </c>
      <c r="G425" s="1407">
        <f>VLOOKUP($B425,[1]BOLETIM_SEL!$A:$H,7,0)</f>
        <v>22.68</v>
      </c>
      <c r="H425" s="1606">
        <f>+Dre_Profunda!I35</f>
        <v>0</v>
      </c>
      <c r="I425" s="876">
        <f t="shared" si="162"/>
        <v>27.66</v>
      </c>
      <c r="J425" s="1607">
        <f t="shared" si="163"/>
        <v>0</v>
      </c>
      <c r="K425" s="2069">
        <f t="shared" ca="1" si="160"/>
        <v>0</v>
      </c>
      <c r="L425" s="1570" t="e">
        <f t="shared" si="164"/>
        <v>#DIV/0!</v>
      </c>
      <c r="M425" s="1442" t="str">
        <f>VLOOKUP($B425,[1]BOLETIM_SEL!$A:$H,5,0)</f>
        <v>PONTALETEAMENTO</v>
      </c>
      <c r="N425" s="832"/>
      <c r="O425" s="832"/>
      <c r="Q425" s="832"/>
      <c r="R425" s="832"/>
      <c r="S425" s="832"/>
      <c r="T425" s="832"/>
      <c r="U425" s="832"/>
      <c r="V425" s="832"/>
      <c r="W425" s="832"/>
      <c r="X425" s="832"/>
    </row>
    <row r="426" spans="1:24" s="812" customFormat="1" ht="39.950000000000003" hidden="1" customHeight="1" x14ac:dyDescent="0.15">
      <c r="A426" s="2072">
        <f t="shared" ca="1" si="161"/>
        <v>5</v>
      </c>
      <c r="B426" s="833">
        <v>102712</v>
      </c>
      <c r="C426" s="2" t="str">
        <f>+VLOOKUP($B426,[1]BOLETIM_SEL!$A:$H,2,0)</f>
        <v>SINAPI</v>
      </c>
      <c r="D426" s="315" t="str">
        <f>+VLOOKUP($B426,[1]BOLETIM_SEL!$A:$H,4,0)</f>
        <v>Geotêxtil não tecido 100% poliéster, resistência a tração de 9 kn/m (RT - 9), instalado em dreno - fornecimento e instalação. AF_07/2021</v>
      </c>
      <c r="E426" s="2"/>
      <c r="F426" s="2" t="str">
        <f>+VLOOKUP($B426,[1]BOLETIM_SEL!$A:$H,6,0)</f>
        <v>M2</v>
      </c>
      <c r="G426" s="1407">
        <f>VLOOKUP($B426,[1]BOLETIM_SEL!$A:$H,7,0)</f>
        <v>13.77</v>
      </c>
      <c r="H426" s="1606">
        <f>+Dre_Profunda!I37</f>
        <v>0</v>
      </c>
      <c r="I426" s="876">
        <f t="shared" si="162"/>
        <v>16.79</v>
      </c>
      <c r="J426" s="1607">
        <f t="shared" si="163"/>
        <v>0</v>
      </c>
      <c r="K426" s="2069">
        <f t="shared" ca="1" si="160"/>
        <v>0</v>
      </c>
      <c r="L426" s="1570" t="e">
        <f t="shared" si="164"/>
        <v>#DIV/0!</v>
      </c>
      <c r="M426" s="1442"/>
      <c r="N426" s="832"/>
      <c r="O426" s="832"/>
      <c r="Q426" s="832"/>
      <c r="R426" s="832"/>
      <c r="S426" s="832"/>
      <c r="T426" s="832"/>
      <c r="U426" s="832"/>
      <c r="V426" s="832"/>
      <c r="W426" s="832"/>
      <c r="X426" s="832"/>
    </row>
    <row r="427" spans="1:24" s="812" customFormat="1" ht="30" hidden="1" customHeight="1" x14ac:dyDescent="0.15">
      <c r="A427" s="2072">
        <f t="shared" ca="1" si="161"/>
        <v>5</v>
      </c>
      <c r="B427" s="833" t="s">
        <v>1839</v>
      </c>
      <c r="C427" s="2" t="str">
        <f>+VLOOKUP($B427,[1]BOLETIM_SEL!$A:$H,2,0)</f>
        <v>COMPOSIÇÃO</v>
      </c>
      <c r="D427" s="315" t="str">
        <f>+VLOOKUP($B427,[1]BOLETIM_SEL!$A:$H,4,0)</f>
        <v>Brita n. 2 para dreno, lançamento manual, em local com nível baixo de interferência. Fornecimento, exclusive transporte</v>
      </c>
      <c r="E427" s="2"/>
      <c r="F427" s="2" t="str">
        <f>+VLOOKUP($B427,[1]BOLETIM_SEL!$A:$H,6,0)</f>
        <v>M3</v>
      </c>
      <c r="G427" s="1407">
        <f>VLOOKUP($B427,[1]BOLETIM_SEL!$A:$H,7,0)</f>
        <v>190.92</v>
      </c>
      <c r="H427" s="1606">
        <f>+Dre_Profunda!I43</f>
        <v>0</v>
      </c>
      <c r="I427" s="876">
        <f t="shared" si="162"/>
        <v>232.92</v>
      </c>
      <c r="J427" s="1607">
        <f t="shared" si="163"/>
        <v>0</v>
      </c>
      <c r="K427" s="2069">
        <f t="shared" ca="1" si="160"/>
        <v>0</v>
      </c>
      <c r="L427" s="1570" t="e">
        <f t="shared" si="164"/>
        <v>#DIV/0!</v>
      </c>
      <c r="M427" s="1442"/>
      <c r="N427" s="832"/>
      <c r="O427" s="832"/>
      <c r="Q427" s="832"/>
      <c r="R427" s="832"/>
      <c r="S427" s="832"/>
      <c r="T427" s="832"/>
      <c r="U427" s="832"/>
      <c r="V427" s="832"/>
      <c r="W427" s="832"/>
      <c r="X427" s="832"/>
    </row>
    <row r="428" spans="1:24" s="812" customFormat="1" ht="50.1" hidden="1" customHeight="1" x14ac:dyDescent="0.15">
      <c r="A428" s="2072">
        <f t="shared" ca="1" si="161"/>
        <v>5</v>
      </c>
      <c r="B428" s="833">
        <v>104733</v>
      </c>
      <c r="C428" s="2" t="str">
        <f>+VLOOKUP($B428,[1]BOLETIM_SEL!$A:$H,2,0)</f>
        <v>SINAPI</v>
      </c>
      <c r="D428" s="315" t="str">
        <f>+VLOOKUP($B428,[1]BOLETIM_SEL!$A:$H,4,0)</f>
        <v>Reaterro mecanizado de vala com retroescavadeira (capacidade   da   caçamba   da retro: 0,26 M³/potência: 88 HP), largura até 0,8 m, profundidade até 1,5 m, com solo (sem substituição) de 1ª categoria, com placa vibratória. AF_08/2023</v>
      </c>
      <c r="E428" s="2"/>
      <c r="F428" s="2" t="str">
        <f>+VLOOKUP($B428,[1]BOLETIM_SEL!$A:$H,6,0)</f>
        <v>M3</v>
      </c>
      <c r="G428" s="1407">
        <f>VLOOKUP($B428,[1]BOLETIM_SEL!$A:$H,7,0)</f>
        <v>18.45</v>
      </c>
      <c r="H428" s="1606">
        <f>+Dre_Profunda!I45</f>
        <v>0</v>
      </c>
      <c r="I428" s="876">
        <f t="shared" si="162"/>
        <v>22.5</v>
      </c>
      <c r="J428" s="1607">
        <f t="shared" si="163"/>
        <v>0</v>
      </c>
      <c r="K428" s="2069">
        <f t="shared" ca="1" si="160"/>
        <v>0</v>
      </c>
      <c r="L428" s="1570" t="e">
        <f t="shared" si="164"/>
        <v>#DIV/0!</v>
      </c>
      <c r="M428" s="1442" t="str">
        <f>VLOOKUP($B428,[1]BOLETIM_SEL!$A:$H,5,0)</f>
        <v>H &lt; 1,50
alta Interferência</v>
      </c>
      <c r="N428" s="832"/>
      <c r="O428" s="832"/>
      <c r="Q428" s="832"/>
      <c r="R428" s="832"/>
      <c r="S428" s="832"/>
      <c r="T428" s="832"/>
      <c r="U428" s="832"/>
      <c r="V428" s="832"/>
      <c r="W428" s="832"/>
      <c r="X428" s="832"/>
    </row>
    <row r="429" spans="1:24" s="812" customFormat="1" ht="50.1" hidden="1" customHeight="1" x14ac:dyDescent="0.15">
      <c r="A429" s="2072">
        <f t="shared" ca="1" si="161"/>
        <v>5</v>
      </c>
      <c r="B429" s="833">
        <v>101230</v>
      </c>
      <c r="C429" s="2" t="str">
        <f>+VLOOKUP($B429,[1]BOLETIM_SEL!$A:$H,2,0)</f>
        <v>SINAPI</v>
      </c>
      <c r="D429" s="315" t="str">
        <f>+VLOOKUP($B429,[1]BOLETIM_SEL!$A:$H,4,0)</f>
        <v>Escavação vertical a céu aberto, em obras de infraestrutura, incluindo carga, descarga e transporte, em solo de 1a categoria com escavadeira hidráulica (caçamba: 0,80 m3 / 111 HP), frota de 3 caminhões basculantes de 14 m3, DMT até 1 km e velocidade média 14 km/h. AF_05/2020</v>
      </c>
      <c r="E429" s="2"/>
      <c r="F429" s="2" t="str">
        <f>+VLOOKUP($B429,[1]BOLETIM_SEL!$A:$H,6,0)</f>
        <v>M3</v>
      </c>
      <c r="G429" s="1407">
        <f>VLOOKUP($B429,[1]BOLETIM_SEL!$A:$H,7,0)</f>
        <v>10.75</v>
      </c>
      <c r="H429" s="1606">
        <f>IF(H430=0,Dre_Profunda!I50,0)</f>
        <v>0</v>
      </c>
      <c r="I429" s="876">
        <f t="shared" si="162"/>
        <v>13.11</v>
      </c>
      <c r="J429" s="1607">
        <f t="shared" ref="J429" si="167">TRUNC(H429*I429,2)</f>
        <v>0</v>
      </c>
      <c r="K429" s="2069">
        <f t="shared" ca="1" si="160"/>
        <v>0</v>
      </c>
      <c r="L429" s="1570" t="e">
        <f t="shared" ref="L429" si="168">J429/$J$413</f>
        <v>#DIV/0!</v>
      </c>
      <c r="M429" s="1442"/>
      <c r="N429" s="832"/>
      <c r="O429" s="832"/>
      <c r="Q429" s="832"/>
      <c r="R429" s="832"/>
      <c r="S429" s="832"/>
      <c r="T429" s="832"/>
      <c r="U429" s="832"/>
      <c r="V429" s="832"/>
      <c r="W429" s="832"/>
      <c r="X429" s="832"/>
    </row>
    <row r="430" spans="1:24" s="812" customFormat="1" ht="39.950000000000003" hidden="1" customHeight="1" x14ac:dyDescent="0.15">
      <c r="A430" s="2072">
        <f t="shared" ca="1" si="161"/>
        <v>5</v>
      </c>
      <c r="B430" s="833">
        <v>6079</v>
      </c>
      <c r="C430" s="2" t="str">
        <f>+VLOOKUP($B430,[1]BOLETIM_SEL!$A:$H,2,0)</f>
        <v>COTAÇÃO - SINAPI</v>
      </c>
      <c r="D430" s="315" t="str">
        <f>+VLOOKUP($B430,[1]BOLETIM_SEL!$A:$H,4,0)</f>
        <v>Argila, argila vermelha ou argila arenosa (retirada na jazida, sem transporte)</v>
      </c>
      <c r="E430" s="2221" t="s">
        <v>2632</v>
      </c>
      <c r="F430" s="2" t="str">
        <f>+VLOOKUP($B430,[1]BOLETIM_SEL!$A:$H,6,0)</f>
        <v xml:space="preserve">M3    </v>
      </c>
      <c r="G430" s="1407">
        <f>VLOOKUP($B430,[1]BOLETIM_SEL!$A:$H,7,0)</f>
        <v>36.51</v>
      </c>
      <c r="H430" s="1606">
        <f>IF(M430="COMERCIAL",Dre_Profunda!I50,0)</f>
        <v>0</v>
      </c>
      <c r="I430" s="2222">
        <f t="shared" ref="I430" si="169">TRUNC(G430*(1+$J$6),2)</f>
        <v>42.08</v>
      </c>
      <c r="J430" s="1607">
        <f t="shared" si="163"/>
        <v>0</v>
      </c>
      <c r="K430" s="2069">
        <f t="shared" ca="1" si="160"/>
        <v>0</v>
      </c>
      <c r="L430" s="1570" t="e">
        <f t="shared" si="164"/>
        <v>#DIV/0!</v>
      </c>
      <c r="M430" s="1585" t="s">
        <v>410</v>
      </c>
      <c r="N430" s="832"/>
      <c r="O430" s="832"/>
      <c r="Q430" s="832"/>
      <c r="R430" s="832"/>
      <c r="S430" s="832"/>
      <c r="T430" s="832"/>
      <c r="U430" s="832"/>
      <c r="V430" s="832"/>
      <c r="W430" s="832"/>
      <c r="X430" s="832"/>
    </row>
    <row r="431" spans="1:24" s="812" customFormat="1" ht="30" hidden="1" customHeight="1" x14ac:dyDescent="0.15">
      <c r="A431" s="2072">
        <f t="shared" ca="1" si="161"/>
        <v>5</v>
      </c>
      <c r="B431" s="833" t="s">
        <v>692</v>
      </c>
      <c r="C431" s="2" t="str">
        <f>+VLOOKUP($B431,[1]BOLETIM_SEL!$A:$H,2,0)</f>
        <v>COMPOSIÇÃO</v>
      </c>
      <c r="D431" s="315" t="str">
        <f>+VLOOKUP($B431,[1]BOLETIM_SEL!$A:$H,4,0)</f>
        <v>Esgotamento de água com bomba submersa (REF. SICRO COD. 2003864)</v>
      </c>
      <c r="E431" s="2"/>
      <c r="F431" s="2" t="str">
        <f>+VLOOKUP($B431,[1]BOLETIM_SEL!$A:$H,6,0)</f>
        <v>H</v>
      </c>
      <c r="G431" s="1407">
        <f>VLOOKUP($B431,[1]BOLETIM_SEL!$A:$H,7,0)</f>
        <v>22.17</v>
      </c>
      <c r="H431" s="1606">
        <f>+Dre_Profunda!I52</f>
        <v>0</v>
      </c>
      <c r="I431" s="876">
        <f t="shared" ref="I431:I446" si="170">+TRUNC(G431*(1+$J$5),2)</f>
        <v>27.04</v>
      </c>
      <c r="J431" s="1607">
        <f t="shared" si="163"/>
        <v>0</v>
      </c>
      <c r="K431" s="2069">
        <f t="shared" ca="1" si="160"/>
        <v>0</v>
      </c>
      <c r="L431" s="1570" t="e">
        <f t="shared" si="164"/>
        <v>#DIV/0!</v>
      </c>
      <c r="M431" s="1442"/>
      <c r="N431" s="832"/>
      <c r="O431" s="832"/>
      <c r="Q431" s="832"/>
      <c r="R431" s="832"/>
      <c r="S431" s="832"/>
      <c r="T431" s="832"/>
      <c r="U431" s="832"/>
      <c r="V431" s="832"/>
      <c r="W431" s="832"/>
      <c r="X431" s="832"/>
    </row>
    <row r="432" spans="1:24" s="812" customFormat="1" ht="39.950000000000003" hidden="1" customHeight="1" x14ac:dyDescent="0.15">
      <c r="A432" s="2072">
        <f t="shared" ca="1" si="161"/>
        <v>5</v>
      </c>
      <c r="B432" s="833" t="s">
        <v>1675</v>
      </c>
      <c r="C432" s="2" t="str">
        <f>+VLOOKUP($B432,[1]BOLETIM_SEL!$A:$H,2,0)</f>
        <v>COMPOSIÇÃO</v>
      </c>
      <c r="D432" s="315" t="str">
        <f>+VLOOKUP($B432,[1]BOLETIM_SEL!$A:$H,4,0)</f>
        <v>Lastro ou enrocamento de pedra-de-mão ou rachão lançado, fornecimento e apiloamento. Exclusive transporte, ref SINAPI 73697, data 01/2020 e SINAPI 92744.</v>
      </c>
      <c r="E432" s="2"/>
      <c r="F432" s="2" t="str">
        <f>+VLOOKUP($B432,[1]BOLETIM_SEL!$A:$H,6,0)</f>
        <v>M3</v>
      </c>
      <c r="G432" s="1407">
        <f>VLOOKUP($B432,[1]BOLETIM_SEL!$A:$H,7,0)</f>
        <v>266.85000000000002</v>
      </c>
      <c r="H432" s="1606">
        <f>+Dre_Profunda!I56</f>
        <v>0</v>
      </c>
      <c r="I432" s="876">
        <f t="shared" si="170"/>
        <v>325.55</v>
      </c>
      <c r="J432" s="1607">
        <f t="shared" si="163"/>
        <v>0</v>
      </c>
      <c r="K432" s="2069">
        <f t="shared" ca="1" si="160"/>
        <v>0</v>
      </c>
      <c r="L432" s="1570" t="e">
        <f t="shared" si="164"/>
        <v>#DIV/0!</v>
      </c>
      <c r="M432" s="1442"/>
      <c r="N432" s="832"/>
      <c r="O432" s="832"/>
      <c r="Q432" s="832"/>
      <c r="R432" s="832"/>
      <c r="S432" s="832"/>
      <c r="T432" s="832"/>
      <c r="U432" s="832"/>
      <c r="V432" s="832"/>
      <c r="W432" s="832"/>
      <c r="X432" s="832"/>
    </row>
    <row r="433" spans="1:24" s="812" customFormat="1" ht="39.950000000000003" hidden="1" customHeight="1" x14ac:dyDescent="0.15">
      <c r="A433" s="2072">
        <f t="shared" ca="1" si="161"/>
        <v>5</v>
      </c>
      <c r="B433" s="833" t="s">
        <v>280</v>
      </c>
      <c r="C433" s="2" t="str">
        <f>+VLOOKUP($B433,[1]BOLETIM_SEL!$A:$H,2,0)</f>
        <v>COMPOSIÇÃO</v>
      </c>
      <c r="D433" s="315" t="str">
        <f>+VLOOKUP($B433,[1]BOLETIM_SEL!$A:$H,4,0)</f>
        <v>PV-0 - Poço de Visita Circular, com dimensão interna de Ø 0,80m, em alvenaria de tijolo comum de 1 vez assentada e revestida internamente com argamassa de cimento e areia 1:3, conforme projeto tipo. Exclusive tampão</v>
      </c>
      <c r="E433" s="2"/>
      <c r="F433" s="2" t="str">
        <f>+VLOOKUP($B433,[1]BOLETIM_SEL!$A:$H,6,0)</f>
        <v>UN</v>
      </c>
      <c r="G433" s="1407">
        <f>VLOOKUP($B433,[1]BOLETIM_SEL!$A:$H,7,0)</f>
        <v>1823.15</v>
      </c>
      <c r="H433" s="1606">
        <f>+Dre_Profunda!I60</f>
        <v>0</v>
      </c>
      <c r="I433" s="876">
        <f t="shared" si="170"/>
        <v>2224.2399999999998</v>
      </c>
      <c r="J433" s="1607">
        <f t="shared" si="163"/>
        <v>0</v>
      </c>
      <c r="K433" s="2069">
        <f t="shared" ca="1" si="160"/>
        <v>0</v>
      </c>
      <c r="L433" s="1570" t="e">
        <f t="shared" si="164"/>
        <v>#DIV/0!</v>
      </c>
      <c r="M433" s="1442"/>
      <c r="N433" s="832"/>
      <c r="O433" s="832"/>
      <c r="Q433" s="832"/>
      <c r="R433" s="832"/>
      <c r="S433" s="832"/>
      <c r="T433" s="832"/>
      <c r="U433" s="832"/>
      <c r="V433" s="832"/>
      <c r="W433" s="832"/>
      <c r="X433" s="832"/>
    </row>
    <row r="434" spans="1:24" s="812" customFormat="1" ht="30" hidden="1" customHeight="1" x14ac:dyDescent="0.15">
      <c r="A434" s="2072">
        <f t="shared" ca="1" si="161"/>
        <v>5</v>
      </c>
      <c r="B434" s="833">
        <v>94963</v>
      </c>
      <c r="C434" s="2" t="str">
        <f>+VLOOKUP($B434,[1]BOLETIM_SEL!$A:$H,2,0)</f>
        <v>SINAPI</v>
      </c>
      <c r="D434" s="315" t="str">
        <f>+VLOOKUP($B434,[1]BOLETIM_SEL!$A:$H,4,0)</f>
        <v>Concreto FCK = 15 MPA, traço 1:3,4:3,5 (cimento/ areia média/ brita 1) - preparo mecânico com betoneira 400 l. AF_07/2016</v>
      </c>
      <c r="E434" s="2"/>
      <c r="F434" s="2" t="str">
        <f>+VLOOKUP($B434,[1]BOLETIM_SEL!$A:$H,6,0)</f>
        <v>M3</v>
      </c>
      <c r="G434" s="1407">
        <f>VLOOKUP($B434,[1]BOLETIM_SEL!$A:$H,7,0)</f>
        <v>432.03</v>
      </c>
      <c r="H434" s="1606">
        <f>+Dre_Profunda!I62</f>
        <v>0</v>
      </c>
      <c r="I434" s="876">
        <f t="shared" si="170"/>
        <v>527.07000000000005</v>
      </c>
      <c r="J434" s="1607">
        <f t="shared" si="163"/>
        <v>0</v>
      </c>
      <c r="K434" s="2069">
        <f t="shared" ca="1" si="160"/>
        <v>0</v>
      </c>
      <c r="L434" s="1570" t="e">
        <f t="shared" si="164"/>
        <v>#DIV/0!</v>
      </c>
      <c r="M434" s="1442"/>
      <c r="N434" s="832"/>
      <c r="O434" s="832"/>
      <c r="Q434" s="832"/>
      <c r="R434" s="832"/>
      <c r="S434" s="832"/>
      <c r="T434" s="832"/>
      <c r="U434" s="832"/>
      <c r="V434" s="832"/>
      <c r="W434" s="832"/>
      <c r="X434" s="832"/>
    </row>
    <row r="435" spans="1:24" s="812" customFormat="1" ht="30" hidden="1" customHeight="1" x14ac:dyDescent="0.15">
      <c r="A435" s="2072">
        <f t="shared" ca="1" si="161"/>
        <v>5</v>
      </c>
      <c r="B435" s="833">
        <v>103670</v>
      </c>
      <c r="C435" s="2" t="str">
        <f>+VLOOKUP($B435,[1]BOLETIM_SEL!$A:$H,2,0)</f>
        <v>SINAPI</v>
      </c>
      <c r="D435" s="315" t="str">
        <f>+VLOOKUP($B435,[1]BOLETIM_SEL!$A:$H,4,0)</f>
        <v>Lançamento com uso de baldes, adensamento e acabamento de concreto em estruturas. AF_12/2015</v>
      </c>
      <c r="E435" s="2"/>
      <c r="F435" s="2" t="str">
        <f>+VLOOKUP($B435,[1]BOLETIM_SEL!$A:$H,6,0)</f>
        <v>M3</v>
      </c>
      <c r="G435" s="1407">
        <f>VLOOKUP($B435,[1]BOLETIM_SEL!$A:$H,7,0)</f>
        <v>268.77999999999997</v>
      </c>
      <c r="H435" s="1606">
        <f>+H434</f>
        <v>0</v>
      </c>
      <c r="I435" s="876">
        <f t="shared" si="170"/>
        <v>327.91</v>
      </c>
      <c r="J435" s="1607">
        <f t="shared" si="163"/>
        <v>0</v>
      </c>
      <c r="K435" s="2069">
        <f t="shared" ca="1" si="160"/>
        <v>0</v>
      </c>
      <c r="L435" s="1570" t="e">
        <f t="shared" si="164"/>
        <v>#DIV/0!</v>
      </c>
      <c r="M435" s="1442"/>
      <c r="N435" s="832"/>
      <c r="O435" s="832"/>
      <c r="Q435" s="832"/>
      <c r="R435" s="832"/>
      <c r="S435" s="832"/>
      <c r="T435" s="832"/>
      <c r="U435" s="832"/>
      <c r="V435" s="832"/>
      <c r="W435" s="832"/>
      <c r="X435" s="832"/>
    </row>
    <row r="436" spans="1:24" s="812" customFormat="1" ht="39.950000000000003" hidden="1" customHeight="1" x14ac:dyDescent="0.15">
      <c r="A436" s="2072">
        <f t="shared" ca="1" si="161"/>
        <v>5</v>
      </c>
      <c r="B436" s="833" t="s">
        <v>2035</v>
      </c>
      <c r="C436" s="2" t="str">
        <f>+VLOOKUP($B436,[1]BOLETIM_SEL!$A:$H,2,0)</f>
        <v>COMPOSIÇÃO</v>
      </c>
      <c r="D436" s="315" t="str">
        <f>+VLOOKUP($B436,[1]BOLETIM_SEL!$A:$H,4,0)</f>
        <v>Alvenaria em tijolo cerâmico maciço 5x10x20cm 1 vez (espessura 20cm), assentado com argamassa de betoneira, traço 1:2:8 (cimento, cal e areia), REF SINAPI 72131, DATA 04/2020</v>
      </c>
      <c r="E436" s="2"/>
      <c r="F436" s="2" t="str">
        <f>+VLOOKUP($B436,[1]BOLETIM_SEL!$A:$H,6,0)</f>
        <v>M2</v>
      </c>
      <c r="G436" s="1407">
        <f>VLOOKUP($B436,[1]BOLETIM_SEL!$A:$H,7,0)</f>
        <v>207.02</v>
      </c>
      <c r="H436" s="1606">
        <f>+Dre_Profunda!I63</f>
        <v>0</v>
      </c>
      <c r="I436" s="876">
        <f t="shared" si="170"/>
        <v>252.56</v>
      </c>
      <c r="J436" s="1607">
        <f t="shared" si="163"/>
        <v>0</v>
      </c>
      <c r="K436" s="2069">
        <f t="shared" ca="1" si="160"/>
        <v>0</v>
      </c>
      <c r="L436" s="1570" t="e">
        <f t="shared" si="164"/>
        <v>#DIV/0!</v>
      </c>
      <c r="M436" s="1442"/>
      <c r="N436" s="832"/>
      <c r="O436" s="832"/>
      <c r="Q436" s="832"/>
      <c r="R436" s="832"/>
      <c r="S436" s="832"/>
      <c r="T436" s="832"/>
      <c r="U436" s="832"/>
      <c r="V436" s="832"/>
      <c r="W436" s="832"/>
      <c r="X436" s="832"/>
    </row>
    <row r="437" spans="1:24" s="812" customFormat="1" ht="39.950000000000003" hidden="1" customHeight="1" x14ac:dyDescent="0.15">
      <c r="A437" s="2072">
        <f t="shared" ca="1" si="161"/>
        <v>5</v>
      </c>
      <c r="B437" s="833">
        <v>87878</v>
      </c>
      <c r="C437" s="2" t="str">
        <f>+VLOOKUP($B437,[1]BOLETIM_SEL!$A:$H,2,0)</f>
        <v>SINAPI</v>
      </c>
      <c r="D437" s="315" t="str">
        <f>+VLOOKUP($B437,[1]BOLETIM_SEL!$A:$H,4,0)</f>
        <v>Chapisco aplicado em alvenarias e estruturas de concreto internas, com colher de pedreiro. Argamassa traço 1:3 com preparo manual. AF_06/2014</v>
      </c>
      <c r="E437" s="2"/>
      <c r="F437" s="2" t="str">
        <f>+VLOOKUP($B437,[1]BOLETIM_SEL!$A:$H,6,0)</f>
        <v>M2</v>
      </c>
      <c r="G437" s="1407">
        <f>VLOOKUP($B437,[1]BOLETIM_SEL!$A:$H,7,0)</f>
        <v>4.55</v>
      </c>
      <c r="H437" s="1606">
        <f>+Dre_Profunda!I64</f>
        <v>0</v>
      </c>
      <c r="I437" s="876">
        <f t="shared" si="170"/>
        <v>5.55</v>
      </c>
      <c r="J437" s="1607">
        <f t="shared" si="163"/>
        <v>0</v>
      </c>
      <c r="K437" s="2069">
        <f t="shared" ca="1" si="160"/>
        <v>0</v>
      </c>
      <c r="L437" s="1570" t="e">
        <f t="shared" si="164"/>
        <v>#DIV/0!</v>
      </c>
      <c r="M437" s="1442"/>
      <c r="N437" s="832"/>
      <c r="O437" s="832"/>
      <c r="Q437" s="832"/>
      <c r="R437" s="832"/>
      <c r="S437" s="832"/>
      <c r="T437" s="832"/>
      <c r="U437" s="832"/>
      <c r="V437" s="832"/>
      <c r="W437" s="832"/>
      <c r="X437" s="832"/>
    </row>
    <row r="438" spans="1:24" s="812" customFormat="1" ht="39.950000000000003" hidden="1" customHeight="1" x14ac:dyDescent="0.15">
      <c r="A438" s="2072">
        <f t="shared" ca="1" si="161"/>
        <v>5</v>
      </c>
      <c r="B438" s="833">
        <v>87313</v>
      </c>
      <c r="C438" s="2" t="str">
        <f>+VLOOKUP($B438,[1]BOLETIM_SEL!$A:$H,2,0)</f>
        <v>SINAPI</v>
      </c>
      <c r="D438" s="315" t="str">
        <f>+VLOOKUP($B438,[1]BOLETIM_SEL!$A:$H,4,0)</f>
        <v>Argamassa traço 1:3 (em volume de cimento e areia grossa úmida) para chapisco convencional, preparo mecânico com betoneira 400 l. AF_08/2019</v>
      </c>
      <c r="E438" s="2"/>
      <c r="F438" s="2" t="str">
        <f>+VLOOKUP($B438,[1]BOLETIM_SEL!$A:$H,6,0)</f>
        <v>M3</v>
      </c>
      <c r="G438" s="1407">
        <f>VLOOKUP($B438,[1]BOLETIM_SEL!$A:$H,7,0)</f>
        <v>527.79</v>
      </c>
      <c r="H438" s="1606">
        <f>+Dre_Profunda!I65</f>
        <v>0</v>
      </c>
      <c r="I438" s="876">
        <f t="shared" si="170"/>
        <v>643.9</v>
      </c>
      <c r="J438" s="1607">
        <f t="shared" si="163"/>
        <v>0</v>
      </c>
      <c r="K438" s="2069">
        <f t="shared" ca="1" si="160"/>
        <v>0</v>
      </c>
      <c r="L438" s="1570" t="e">
        <f t="shared" si="164"/>
        <v>#DIV/0!</v>
      </c>
      <c r="M438" s="1442"/>
      <c r="N438" s="832"/>
      <c r="O438" s="832"/>
      <c r="Q438" s="832"/>
      <c r="R438" s="832"/>
      <c r="S438" s="832"/>
      <c r="T438" s="832"/>
      <c r="U438" s="832"/>
      <c r="V438" s="832"/>
      <c r="W438" s="832"/>
      <c r="X438" s="832"/>
    </row>
    <row r="439" spans="1:24" s="812" customFormat="1" ht="24.95" hidden="1" customHeight="1" x14ac:dyDescent="0.15">
      <c r="A439" s="2072"/>
      <c r="B439" s="833"/>
      <c r="C439" s="2"/>
      <c r="D439" s="1449" t="s">
        <v>1797</v>
      </c>
      <c r="E439" s="2"/>
      <c r="F439" s="2"/>
      <c r="G439" s="1407"/>
      <c r="H439" s="2"/>
      <c r="I439" s="2"/>
      <c r="J439" s="838" t="str">
        <f>IF(J440=0,"-","")</f>
        <v>-</v>
      </c>
      <c r="K439" s="2069"/>
      <c r="L439" s="1570"/>
      <c r="M439" s="1442" t="s">
        <v>1941</v>
      </c>
      <c r="N439" s="832"/>
      <c r="O439" s="832"/>
      <c r="Q439" s="832"/>
      <c r="R439" s="832"/>
      <c r="S439" s="832"/>
      <c r="T439" s="832"/>
      <c r="U439" s="832"/>
      <c r="V439" s="832"/>
      <c r="W439" s="832"/>
      <c r="X439" s="832"/>
    </row>
    <row r="440" spans="1:24" s="812" customFormat="1" ht="39.950000000000003" hidden="1" customHeight="1" x14ac:dyDescent="0.15">
      <c r="A440" s="2072">
        <f ca="1">IF(H440&gt;0,A438+0.01,A438)</f>
        <v>5</v>
      </c>
      <c r="B440" s="833">
        <f>IF(AND(M440&lt;=50,E440&lt;=30),95875,IF(AND(M440&lt;=50,E440&gt;30),93590,IF(AND(M440&gt;50,E440&lt;=30),95876,93593)))</f>
        <v>95875</v>
      </c>
      <c r="C440" s="2" t="str">
        <f>VLOOKUP($B440,[1]BOLETIM_SEL!$A:$H,2,0)</f>
        <v>SINAPI</v>
      </c>
      <c r="D440" s="315" t="str">
        <f>VLOOKUP($B440,[1]BOLETIM_SEL!$A:$H,4,0)</f>
        <v>Transporte com caminhão basculante de 10 m3, em via urbana pavimentada, DMT até 30,00 km (unidade: m3xkm). AF_07/2020</v>
      </c>
      <c r="E440" s="2">
        <f>Dados_DMT!$B$16</f>
        <v>0</v>
      </c>
      <c r="F440" s="2" t="str">
        <f>VLOOKUP($B440,[1]BOLETIM_SEL!$A:$H,6,0)</f>
        <v>M3XKM</v>
      </c>
      <c r="G440" s="1407">
        <f>VLOOKUP($B440,[1]BOLETIM_SEL!$A:$H,7,0)</f>
        <v>2.36</v>
      </c>
      <c r="H440" s="1606">
        <f>ROUND(Dre_Profunda!I68*E440,2)</f>
        <v>0</v>
      </c>
      <c r="I440" s="876">
        <f t="shared" si="170"/>
        <v>2.87</v>
      </c>
      <c r="J440" s="1607">
        <f>TRUNC(H440*I440,2)</f>
        <v>0</v>
      </c>
      <c r="K440" s="2069">
        <f ca="1">J440/J$930</f>
        <v>0</v>
      </c>
      <c r="L440" s="1570" t="e">
        <f>J440/$J$413</f>
        <v>#DIV/0!</v>
      </c>
      <c r="M440" s="1450">
        <f>IF(H440=0,0,H440/E440)</f>
        <v>0</v>
      </c>
      <c r="N440" s="832"/>
      <c r="O440" s="832"/>
      <c r="Q440" s="832"/>
      <c r="R440" s="832"/>
      <c r="S440" s="832"/>
      <c r="T440" s="832"/>
      <c r="U440" s="832"/>
      <c r="V440" s="832"/>
      <c r="W440" s="832"/>
      <c r="X440" s="832"/>
    </row>
    <row r="441" spans="1:24" s="812" customFormat="1" ht="24.95" hidden="1" customHeight="1" x14ac:dyDescent="0.15">
      <c r="A441" s="2072"/>
      <c r="B441" s="833"/>
      <c r="C441" s="2"/>
      <c r="D441" s="1449" t="s">
        <v>1798</v>
      </c>
      <c r="E441" s="2"/>
      <c r="F441" s="2"/>
      <c r="G441" s="1407"/>
      <c r="H441" s="2"/>
      <c r="I441" s="2"/>
      <c r="J441" s="838" t="str">
        <f>IF(J442=0,"-","")</f>
        <v>-</v>
      </c>
      <c r="K441" s="2069"/>
      <c r="L441" s="1570"/>
      <c r="M441" s="1442" t="s">
        <v>1943</v>
      </c>
      <c r="N441" s="832"/>
      <c r="O441" s="832"/>
      <c r="Q441" s="832"/>
      <c r="R441" s="832"/>
      <c r="S441" s="832"/>
      <c r="T441" s="832"/>
      <c r="U441" s="832"/>
      <c r="V441" s="832"/>
      <c r="W441" s="832"/>
      <c r="X441" s="832"/>
    </row>
    <row r="442" spans="1:24" s="812" customFormat="1" ht="39.950000000000003" hidden="1" customHeight="1" x14ac:dyDescent="0.15">
      <c r="A442" s="2072">
        <f ca="1">IF(H442&gt;0,A440+0.01,A440)</f>
        <v>5</v>
      </c>
      <c r="B442" s="833">
        <f>IF(AND(M442&lt;=50,E442&lt;=30),95875,IF(AND(M442&lt;=50,E442&gt;30),93590,IF(AND(M442&gt;50,E442&lt;=30),95876,93593)))</f>
        <v>95875</v>
      </c>
      <c r="C442" s="2" t="str">
        <f>VLOOKUP($B442,[1]BOLETIM_SEL!$A:$H,2,0)</f>
        <v>SINAPI</v>
      </c>
      <c r="D442" s="315" t="str">
        <f>VLOOKUP($B442,[1]BOLETIM_SEL!$A:$H,4,0)</f>
        <v>Transporte com caminhão basculante de 10 m3, em via urbana pavimentada, DMT até 30,00 km (unidade: m3xkm). AF_07/2020</v>
      </c>
      <c r="E442" s="2">
        <f>Dados_DMT!$B$17</f>
        <v>8</v>
      </c>
      <c r="F442" s="2" t="str">
        <f>VLOOKUP($B442,[1]BOLETIM_SEL!$A:$H,6,0)</f>
        <v>M3XKM</v>
      </c>
      <c r="G442" s="1407">
        <f>VLOOKUP($B442,[1]BOLETIM_SEL!$A:$H,7,0)</f>
        <v>2.36</v>
      </c>
      <c r="H442" s="1606">
        <f>ROUND(Dre_Profunda!I69*E442,2)</f>
        <v>0</v>
      </c>
      <c r="I442" s="876">
        <f t="shared" si="170"/>
        <v>2.87</v>
      </c>
      <c r="J442" s="1607">
        <f>TRUNC(H442*I442,2)</f>
        <v>0</v>
      </c>
      <c r="K442" s="2069">
        <f ca="1">J442/J$930</f>
        <v>0</v>
      </c>
      <c r="L442" s="1570" t="e">
        <f>J442/$J$413</f>
        <v>#DIV/0!</v>
      </c>
      <c r="M442" s="1450">
        <f>IF(H442=0,0,H442/E442)</f>
        <v>0</v>
      </c>
      <c r="N442" s="832"/>
      <c r="O442" s="832"/>
      <c r="Q442" s="832"/>
      <c r="R442" s="832"/>
      <c r="S442" s="832"/>
      <c r="T442" s="832"/>
      <c r="U442" s="832"/>
      <c r="V442" s="832"/>
      <c r="W442" s="832"/>
      <c r="X442" s="832"/>
    </row>
    <row r="443" spans="1:24" s="812" customFormat="1" ht="24.95" hidden="1" customHeight="1" x14ac:dyDescent="0.15">
      <c r="A443" s="2072"/>
      <c r="B443" s="833"/>
      <c r="C443" s="2"/>
      <c r="D443" s="1449" t="s">
        <v>1811</v>
      </c>
      <c r="E443" s="2"/>
      <c r="F443" s="2"/>
      <c r="G443" s="1407"/>
      <c r="H443" s="2"/>
      <c r="I443" s="2"/>
      <c r="J443" s="838" t="str">
        <f>IF(J444=0,"-","")</f>
        <v>-</v>
      </c>
      <c r="K443" s="2069"/>
      <c r="L443" s="1570"/>
      <c r="M443" s="1442"/>
      <c r="N443" s="832"/>
      <c r="O443" s="832"/>
      <c r="Q443" s="832"/>
      <c r="R443" s="832"/>
      <c r="S443" s="832"/>
      <c r="T443" s="832"/>
      <c r="U443" s="832"/>
      <c r="V443" s="832"/>
      <c r="W443" s="832"/>
      <c r="X443" s="832"/>
    </row>
    <row r="444" spans="1:24" s="812" customFormat="1" ht="39.950000000000003" hidden="1" customHeight="1" x14ac:dyDescent="0.15">
      <c r="A444" s="2072">
        <f ca="1">IF(H444&gt;0,A442+0.01,A442)</f>
        <v>5</v>
      </c>
      <c r="B444" s="833">
        <f>IF(AND(M444&lt;=50,E444&lt;=30),95875,IF(AND(M444&lt;=50,E444&gt;30),93590,IF(AND(M444&gt;50,E444&lt;=30),95876,93593)))</f>
        <v>95875</v>
      </c>
      <c r="C444" s="2" t="str">
        <f>VLOOKUP($B444,[1]BOLETIM_SEL!$A:$H,2,0)</f>
        <v>SINAPI</v>
      </c>
      <c r="D444" s="315" t="str">
        <f>VLOOKUP($B444,[1]BOLETIM_SEL!$A:$H,4,0)</f>
        <v>Transporte com caminhão basculante de 10 m3, em via urbana pavimentada, DMT até 30,00 km (unidade: m3xkm). AF_07/2020</v>
      </c>
      <c r="E444" s="2">
        <f>Dados_DMT!$B$14</f>
        <v>7</v>
      </c>
      <c r="F444" s="2" t="str">
        <f>VLOOKUP($B444,[1]BOLETIM_SEL!$A:$H,6,0)</f>
        <v>M3XKM</v>
      </c>
      <c r="G444" s="1407">
        <f>VLOOKUP($B444,[1]BOLETIM_SEL!$A:$H,7,0)</f>
        <v>2.36</v>
      </c>
      <c r="H444" s="1606">
        <f>ROUND(Dre_Profunda!I70*E444,2)</f>
        <v>0</v>
      </c>
      <c r="I444" s="876">
        <f t="shared" si="170"/>
        <v>2.87</v>
      </c>
      <c r="J444" s="1607">
        <f>TRUNC(H444*I444,2)</f>
        <v>0</v>
      </c>
      <c r="K444" s="2069">
        <f ca="1">J444/J$930</f>
        <v>0</v>
      </c>
      <c r="L444" s="1570" t="e">
        <f>J444/$J$413</f>
        <v>#DIV/0!</v>
      </c>
      <c r="M444" s="1450">
        <f>IF(H444=0,0,H444/E444)</f>
        <v>0</v>
      </c>
      <c r="N444" s="832"/>
      <c r="O444" s="832"/>
      <c r="Q444" s="832"/>
      <c r="R444" s="832"/>
      <c r="S444" s="832"/>
      <c r="T444" s="832"/>
      <c r="U444" s="832"/>
      <c r="V444" s="832"/>
      <c r="W444" s="832"/>
      <c r="X444" s="832"/>
    </row>
    <row r="445" spans="1:24" s="812" customFormat="1" ht="24.95" hidden="1" customHeight="1" x14ac:dyDescent="0.15">
      <c r="A445" s="2072"/>
      <c r="B445" s="833"/>
      <c r="C445" s="2"/>
      <c r="D445" s="1449" t="s">
        <v>2178</v>
      </c>
      <c r="E445" s="2"/>
      <c r="F445" s="2"/>
      <c r="G445" s="1407"/>
      <c r="H445" s="2"/>
      <c r="I445" s="2"/>
      <c r="J445" s="838" t="str">
        <f>IF(J446=0,"-","")</f>
        <v>-</v>
      </c>
      <c r="K445" s="2069"/>
      <c r="L445" s="1570"/>
      <c r="M445" s="1442"/>
      <c r="N445" s="832"/>
      <c r="O445" s="832"/>
      <c r="Q445" s="832"/>
      <c r="R445" s="832"/>
      <c r="S445" s="832"/>
      <c r="T445" s="832"/>
      <c r="U445" s="832"/>
      <c r="V445" s="832"/>
      <c r="W445" s="832"/>
      <c r="X445" s="832"/>
    </row>
    <row r="446" spans="1:24" s="812" customFormat="1" ht="39.950000000000003" hidden="1" customHeight="1" x14ac:dyDescent="0.15">
      <c r="A446" s="2072">
        <f ca="1">IF(H446&gt;0,A444+0.01,A444)</f>
        <v>5</v>
      </c>
      <c r="B446" s="833">
        <f>IF(AND(M446&lt;=50,E446&lt;=30),95875,IF(AND(M446&lt;=50,E446&gt;30),93590,IF(AND(M446&gt;50,E446&lt;=30),95876,93593)))</f>
        <v>95875</v>
      </c>
      <c r="C446" s="2" t="str">
        <f>VLOOKUP($B446,[1]BOLETIM_SEL!$A:$H,2,0)</f>
        <v>SINAPI</v>
      </c>
      <c r="D446" s="315" t="str">
        <f>VLOOKUP($B446,[1]BOLETIM_SEL!$A:$H,4,0)</f>
        <v>Transporte com caminhão basculante de 10 m3, em via urbana pavimentada, DMT até 30,00 km (unidade: m3xkm). AF_07/2020</v>
      </c>
      <c r="E446" s="2">
        <f>Dados_DMT!$B$34</f>
        <v>24</v>
      </c>
      <c r="F446" s="2" t="str">
        <f>VLOOKUP($B446,[1]BOLETIM_SEL!$A:$H,6,0)</f>
        <v>M3XKM</v>
      </c>
      <c r="G446" s="1407">
        <f>VLOOKUP($B446,[1]BOLETIM_SEL!$A:$H,7,0)</f>
        <v>2.36</v>
      </c>
      <c r="H446" s="1606">
        <f>ROUND(Dre_Profunda!I74*E446,2)</f>
        <v>0</v>
      </c>
      <c r="I446" s="876">
        <f t="shared" si="170"/>
        <v>2.87</v>
      </c>
      <c r="J446" s="1607">
        <f>TRUNC(H446*I446,2)</f>
        <v>0</v>
      </c>
      <c r="K446" s="2069">
        <f ca="1">J446/J$930</f>
        <v>0</v>
      </c>
      <c r="L446" s="1570" t="e">
        <f>J446/$J$413</f>
        <v>#DIV/0!</v>
      </c>
      <c r="M446" s="1450">
        <f>IF(H446=0,0,H446/E446)</f>
        <v>0</v>
      </c>
      <c r="N446" s="832"/>
      <c r="O446" s="832"/>
      <c r="Q446" s="832"/>
      <c r="R446" s="832"/>
      <c r="S446" s="832"/>
      <c r="T446" s="832"/>
      <c r="U446" s="832"/>
      <c r="V446" s="832"/>
      <c r="W446" s="832"/>
      <c r="X446" s="832"/>
    </row>
    <row r="447" spans="1:24" s="812" customFormat="1" ht="24.95" hidden="1" customHeight="1" x14ac:dyDescent="0.15">
      <c r="A447" s="2072"/>
      <c r="B447" s="833"/>
      <c r="C447" s="833"/>
      <c r="D447" s="834"/>
      <c r="E447" s="2"/>
      <c r="F447" s="833"/>
      <c r="G447" s="1814"/>
      <c r="H447" s="1"/>
      <c r="I447" s="876"/>
      <c r="J447" s="838">
        <f>IF(J413=0,0,"")</f>
        <v>0</v>
      </c>
      <c r="K447" s="2069"/>
      <c r="L447" s="1570"/>
      <c r="M447" s="1443"/>
      <c r="N447" s="832"/>
      <c r="O447" s="832"/>
      <c r="Q447" s="832"/>
      <c r="R447" s="832"/>
      <c r="S447" s="832"/>
      <c r="T447" s="832"/>
      <c r="U447" s="832"/>
      <c r="V447" s="832"/>
      <c r="W447" s="832"/>
      <c r="X447" s="832"/>
    </row>
    <row r="448" spans="1:24" s="832" customFormat="1" ht="24.95" customHeight="1" x14ac:dyDescent="0.15">
      <c r="A448" s="2073">
        <f ca="1">IF(J448&gt;0,INT(A446)+1,IF(J448=0,INT(A446),0))</f>
        <v>6</v>
      </c>
      <c r="B448" s="1626"/>
      <c r="C448" s="1626"/>
      <c r="D448" s="1627" t="s">
        <v>745</v>
      </c>
      <c r="E448" s="1821"/>
      <c r="F448" s="1628"/>
      <c r="G448" s="1813" t="s">
        <v>647</v>
      </c>
      <c r="H448" s="1630"/>
      <c r="I448" s="1633" t="str">
        <f ca="1">CONCATENATE("SUB-TOTAL ",A448)</f>
        <v>SUB-TOTAL 6</v>
      </c>
      <c r="J448" s="1632">
        <f>SUM(J449:J504)</f>
        <v>618.7399999999999</v>
      </c>
      <c r="K448" s="2070">
        <f t="shared" ref="K448:K466" ca="1" si="171">J448/J$930</f>
        <v>1.6817903033691046E-4</v>
      </c>
      <c r="L448" s="1605">
        <f t="shared" ref="L448:L466" si="172">J448/$J$448</f>
        <v>1</v>
      </c>
      <c r="U448" s="1809">
        <f>J449+J454+J459+J460+J462+J468+J478+J496</f>
        <v>618.33999999999992</v>
      </c>
    </row>
    <row r="449" spans="1:24" s="812" customFormat="1" ht="50.1" customHeight="1" x14ac:dyDescent="0.15">
      <c r="A449" s="2072">
        <f t="shared" ref="A449:A466" ca="1" si="173">IF(H449&gt;0,A448+0.01,A448)</f>
        <v>6.01</v>
      </c>
      <c r="B449" s="833">
        <v>90105</v>
      </c>
      <c r="C449" s="2" t="str">
        <f>VLOOKUP($B449,[1]BOLETIM_SEL!$A:$H,2,0)</f>
        <v>SINAPI</v>
      </c>
      <c r="D449" s="315" t="str">
        <f>VLOOKUP($B449,[1]BOLETIM_SEL!$A:$H,4,0)</f>
        <v>Escavação mecanizada de vala com profundidade até 1,50 m (média entre montante e jusante / uma composição por trecho) com retroescavadeira (capacidade da caçamba: 0,26 m3 / potência: 88 HP), largura menor que 0,80 m, em solo de 1a categoria, locais com baixo nível de interferência. AF_01/2015</v>
      </c>
      <c r="E449" s="2"/>
      <c r="F449" s="2" t="str">
        <f>VLOOKUP($B449,[1]BOLETIM_SEL!$A:$H,6,0)</f>
        <v>M3</v>
      </c>
      <c r="G449" s="1407">
        <f>VLOOKUP($B449,[1]BOLETIM_SEL!$A:$H,7,0)</f>
        <v>8.52</v>
      </c>
      <c r="H449" s="1606">
        <f>+Dre_Fecha_Vala!H16</f>
        <v>1.01</v>
      </c>
      <c r="I449" s="876">
        <f>TRUNC(G449*(1+$J$5),2)</f>
        <v>10.39</v>
      </c>
      <c r="J449" s="1607">
        <f t="shared" ref="J449:J466" si="174">TRUNC(H449*I449,2)</f>
        <v>10.49</v>
      </c>
      <c r="K449" s="2069">
        <f t="shared" ca="1" si="171"/>
        <v>2.8512752177557473E-6</v>
      </c>
      <c r="L449" s="1570">
        <f t="shared" si="172"/>
        <v>1.6953809354494621E-2</v>
      </c>
      <c r="M449" s="1442"/>
      <c r="N449" s="832"/>
      <c r="O449" s="832"/>
      <c r="Q449" s="832"/>
      <c r="R449" s="832"/>
      <c r="S449" s="832"/>
      <c r="T449" s="832"/>
      <c r="U449" s="832"/>
      <c r="V449" s="832"/>
      <c r="W449" s="832"/>
      <c r="X449" s="832"/>
    </row>
    <row r="450" spans="1:24" s="812" customFormat="1" ht="50.1" hidden="1" customHeight="1" x14ac:dyDescent="0.15">
      <c r="A450" s="2072">
        <f t="shared" ca="1" si="173"/>
        <v>6.01</v>
      </c>
      <c r="B450" s="833">
        <v>101230</v>
      </c>
      <c r="C450" s="2" t="str">
        <f>VLOOKUP($B450,[1]BOLETIM_SEL!$A:$H,2,0)</f>
        <v>SINAPI</v>
      </c>
      <c r="D450" s="315" t="str">
        <f>VLOOKUP($B450,[1]BOLETIM_SEL!$A:$H,4,0)</f>
        <v>Escavação vertical a céu aberto, em obras de infraestrutura, incluindo carga, descarga e transporte, em solo de 1a categoria com escavadeira hidráulica (caçamba: 0,80 m3 / 111 HP), frota de 3 caminhões basculantes de 14 m3, DMT até 1 km e velocidade média 14 km/h. AF_05/2020</v>
      </c>
      <c r="E450" s="2"/>
      <c r="F450" s="2" t="str">
        <f>VLOOKUP($B450,[1]BOLETIM_SEL!$A:$H,6,0)</f>
        <v>M3</v>
      </c>
      <c r="G450" s="1407">
        <f>VLOOKUP($B450,[1]BOLETIM_SEL!$A:$H,7,0)</f>
        <v>10.75</v>
      </c>
      <c r="H450" s="1606">
        <f>IF(H451=0,Dre_Fecha_Vala!H27,0)+IF(H453=0,Dre_Fecha_Vala!H29,0)</f>
        <v>0</v>
      </c>
      <c r="I450" s="876">
        <f>TRUNC(G450*(1+$J$5),2)</f>
        <v>13.11</v>
      </c>
      <c r="J450" s="1607">
        <f t="shared" si="174"/>
        <v>0</v>
      </c>
      <c r="K450" s="2069">
        <f t="shared" ca="1" si="171"/>
        <v>0</v>
      </c>
      <c r="L450" s="1570">
        <f t="shared" si="172"/>
        <v>0</v>
      </c>
      <c r="M450" s="1442"/>
      <c r="N450" s="832"/>
      <c r="O450" s="832"/>
      <c r="Q450" s="832"/>
      <c r="R450" s="832"/>
      <c r="S450" s="832"/>
      <c r="T450" s="832"/>
      <c r="U450" s="832"/>
      <c r="V450" s="832"/>
      <c r="W450" s="832"/>
      <c r="X450" s="832"/>
    </row>
    <row r="451" spans="1:24" s="812" customFormat="1" ht="39.950000000000003" hidden="1" customHeight="1" x14ac:dyDescent="0.15">
      <c r="A451" s="2072">
        <f t="shared" ca="1" si="173"/>
        <v>6.01</v>
      </c>
      <c r="B451" s="833">
        <v>6079</v>
      </c>
      <c r="C451" s="2" t="str">
        <f>VLOOKUP($B451,[1]BOLETIM_SEL!$A:$H,2,0)</f>
        <v>COTAÇÃO - SINAPI</v>
      </c>
      <c r="D451" s="315" t="str">
        <f>VLOOKUP($B451,[1]BOLETIM_SEL!$A:$H,4,0)</f>
        <v>Argila, argila vermelha ou argila arenosa (retirada na jazida, sem transporte)</v>
      </c>
      <c r="E451" s="2221" t="s">
        <v>2632</v>
      </c>
      <c r="F451" s="2" t="str">
        <f>VLOOKUP($B451,[1]BOLETIM_SEL!$A:$H,6,0)</f>
        <v xml:space="preserve">M3    </v>
      </c>
      <c r="G451" s="1407">
        <f>VLOOKUP($B451,[1]BOLETIM_SEL!$A:$H,7,0)</f>
        <v>36.51</v>
      </c>
      <c r="H451" s="1606">
        <f>IF(M451="COMERCIAL",+Dre_Fecha_Vala!H27,0)</f>
        <v>0</v>
      </c>
      <c r="I451" s="2222">
        <f>TRUNC(G451*(1+$J$6),2)</f>
        <v>42.08</v>
      </c>
      <c r="J451" s="1607">
        <f t="shared" si="174"/>
        <v>0</v>
      </c>
      <c r="K451" s="2069">
        <f t="shared" ca="1" si="171"/>
        <v>0</v>
      </c>
      <c r="L451" s="1570">
        <f t="shared" si="172"/>
        <v>0</v>
      </c>
      <c r="M451" s="1585" t="s">
        <v>410</v>
      </c>
      <c r="N451" s="832"/>
      <c r="O451" s="832"/>
      <c r="Q451" s="832"/>
      <c r="R451" s="832"/>
      <c r="S451" s="832"/>
      <c r="T451" s="832"/>
      <c r="U451" s="832"/>
      <c r="V451" s="832"/>
      <c r="W451" s="832"/>
      <c r="X451" s="832"/>
    </row>
    <row r="452" spans="1:24" s="812" customFormat="1" ht="39.950000000000003" hidden="1" customHeight="1" x14ac:dyDescent="0.15">
      <c r="A452" s="2072">
        <f t="shared" ca="1" si="173"/>
        <v>6.01</v>
      </c>
      <c r="B452" s="833">
        <v>4721</v>
      </c>
      <c r="C452" s="2" t="str">
        <f>VLOOKUP($B452,[1]BOLETIM_SEL!$A:$H,2,0)</f>
        <v>COTAÇÃO - SINAPI</v>
      </c>
      <c r="D452" s="315" t="str">
        <f>VLOOKUP($B452,[1]BOLETIM_SEL!$A:$H,4,0)</f>
        <v>Pedra britada n. 1 (9,5 A 19 mm) posto pedreira/fornecedor, sem frete</v>
      </c>
      <c r="E452" s="2221" t="s">
        <v>2632</v>
      </c>
      <c r="F452" s="2" t="str">
        <f>VLOOKUP($B452,[1]BOLETIM_SEL!$A:$H,6,0)</f>
        <v xml:space="preserve">M3    </v>
      </c>
      <c r="G452" s="1407">
        <f>VLOOKUP($B452,[1]BOLETIM_SEL!$A:$H,7,0)</f>
        <v>104.45</v>
      </c>
      <c r="H452" s="1606">
        <f>+Dre_Fecha_Vala!H28</f>
        <v>0</v>
      </c>
      <c r="I452" s="2222">
        <f t="shared" ref="I452:I455" si="175">TRUNC(G452*(1+$J$6),2)</f>
        <v>120.4</v>
      </c>
      <c r="J452" s="1607">
        <f t="shared" si="174"/>
        <v>0</v>
      </c>
      <c r="K452" s="2069">
        <f t="shared" ca="1" si="171"/>
        <v>0</v>
      </c>
      <c r="L452" s="1570">
        <f t="shared" si="172"/>
        <v>0</v>
      </c>
      <c r="M452" s="1442"/>
      <c r="N452" s="832"/>
      <c r="O452" s="832"/>
      <c r="Q452" s="832"/>
      <c r="R452" s="832"/>
      <c r="S452" s="832"/>
      <c r="T452" s="832"/>
      <c r="U452" s="832"/>
      <c r="V452" s="832"/>
      <c r="W452" s="832"/>
      <c r="X452" s="832"/>
    </row>
    <row r="453" spans="1:24" s="812" customFormat="1" ht="39.950000000000003" hidden="1" customHeight="1" x14ac:dyDescent="0.15">
      <c r="A453" s="2072">
        <f t="shared" ca="1" si="173"/>
        <v>6.01</v>
      </c>
      <c r="B453" s="833">
        <v>4743</v>
      </c>
      <c r="C453" s="2" t="str">
        <f>VLOOKUP($B453,[1]BOLETIM_SEL!$A:$H,2,0)</f>
        <v>COTAÇÃO - SINAPI</v>
      </c>
      <c r="D453" s="315" t="str">
        <f>VLOOKUP($B453,[1]BOLETIM_SEL!$A:$H,4,0)</f>
        <v>Cascalho de cava</v>
      </c>
      <c r="E453" s="2221" t="s">
        <v>2632</v>
      </c>
      <c r="F453" s="2" t="str">
        <f>VLOOKUP($B453,[1]BOLETIM_SEL!$A:$H,6,0)</f>
        <v xml:space="preserve">M3    </v>
      </c>
      <c r="G453" s="1407">
        <f>VLOOKUP($B453,[1]BOLETIM_SEL!$A:$H,7,0)</f>
        <v>60.9</v>
      </c>
      <c r="H453" s="1606">
        <f>IF(M453="COMERCIAL",+Dre_Fecha_Vala!H29,0)</f>
        <v>0</v>
      </c>
      <c r="I453" s="2222">
        <f t="shared" si="175"/>
        <v>70.2</v>
      </c>
      <c r="J453" s="1607">
        <f t="shared" si="174"/>
        <v>0</v>
      </c>
      <c r="K453" s="2069">
        <f t="shared" ca="1" si="171"/>
        <v>0</v>
      </c>
      <c r="L453" s="1570">
        <f t="shared" si="172"/>
        <v>0</v>
      </c>
      <c r="M453" s="1585" t="s">
        <v>410</v>
      </c>
      <c r="N453" s="832"/>
      <c r="O453" s="832"/>
      <c r="Q453" s="832"/>
      <c r="R453" s="832"/>
      <c r="S453" s="832"/>
      <c r="T453" s="832"/>
      <c r="U453" s="832"/>
      <c r="V453" s="832"/>
      <c r="W453" s="832"/>
      <c r="X453" s="832"/>
    </row>
    <row r="454" spans="1:24" s="812" customFormat="1" ht="39.950000000000003" customHeight="1" x14ac:dyDescent="0.15">
      <c r="A454" s="2072">
        <f t="shared" ca="1" si="173"/>
        <v>6.02</v>
      </c>
      <c r="B454" s="833">
        <v>4748</v>
      </c>
      <c r="C454" s="2" t="str">
        <f>VLOOKUP($B454,[1]BOLETIM_SEL!$A:$H,2,0)</f>
        <v>COTAÇÃO - SINAPI</v>
      </c>
      <c r="D454" s="315" t="str">
        <f>VLOOKUP($B454,[1]BOLETIM_SEL!$A:$H,4,0)</f>
        <v>Pedra britada ou bica corrida, não classificada (posto pedreira/fornecedor, sem frete)</v>
      </c>
      <c r="E454" s="2221" t="s">
        <v>2632</v>
      </c>
      <c r="F454" s="2" t="str">
        <f>VLOOKUP($B454,[1]BOLETIM_SEL!$A:$H,6,0)</f>
        <v xml:space="preserve">M3    </v>
      </c>
      <c r="G454" s="1407">
        <f>VLOOKUP($B454,[1]BOLETIM_SEL!$A:$H,7,0)</f>
        <v>96.47</v>
      </c>
      <c r="H454" s="1606">
        <f>+Dre_Fecha_Vala!H30</f>
        <v>1.1599999999999999</v>
      </c>
      <c r="I454" s="2222">
        <f t="shared" si="175"/>
        <v>111.21</v>
      </c>
      <c r="J454" s="1607">
        <f t="shared" si="174"/>
        <v>129</v>
      </c>
      <c r="K454" s="2069">
        <f t="shared" ca="1" si="171"/>
        <v>3.5063346338464384E-5</v>
      </c>
      <c r="L454" s="1570">
        <f t="shared" si="172"/>
        <v>0.20848821799140191</v>
      </c>
      <c r="M454" s="1442"/>
      <c r="N454" s="832"/>
      <c r="O454" s="832"/>
      <c r="Q454" s="832"/>
      <c r="R454" s="832"/>
      <c r="S454" s="832"/>
      <c r="T454" s="832"/>
      <c r="U454" s="832"/>
      <c r="V454" s="832"/>
      <c r="W454" s="832"/>
      <c r="X454" s="832"/>
    </row>
    <row r="455" spans="1:24" s="812" customFormat="1" ht="39.950000000000003" hidden="1" customHeight="1" x14ac:dyDescent="0.15">
      <c r="A455" s="2072">
        <f t="shared" ca="1" si="173"/>
        <v>6.02</v>
      </c>
      <c r="B455" s="833">
        <v>4729</v>
      </c>
      <c r="C455" s="2" t="str">
        <f>VLOOKUP($B455,[1]BOLETIM_SEL!$A:$H,2,0)</f>
        <v>COTAÇÃO - SINAPI</v>
      </c>
      <c r="D455" s="315" t="str">
        <f>VLOOKUP($B455,[1]BOLETIM_SEL!$A:$H,4,0)</f>
        <v>Pedra britada graduada, classificada (posto pedreira/fornecedor, sem frete)</v>
      </c>
      <c r="E455" s="2221" t="s">
        <v>2632</v>
      </c>
      <c r="F455" s="2" t="str">
        <f>VLOOKUP($B455,[1]BOLETIM_SEL!$A:$H,6,0)</f>
        <v xml:space="preserve">M3    </v>
      </c>
      <c r="G455" s="1407">
        <f>VLOOKUP($B455,[1]BOLETIM_SEL!$A:$H,7,0)</f>
        <v>105.24</v>
      </c>
      <c r="H455" s="1606">
        <f>Dre_Fecha_Vala!H31</f>
        <v>0</v>
      </c>
      <c r="I455" s="2222">
        <f t="shared" si="175"/>
        <v>121.32</v>
      </c>
      <c r="J455" s="1607">
        <f t="shared" si="174"/>
        <v>0</v>
      </c>
      <c r="K455" s="2069">
        <f t="shared" ca="1" si="171"/>
        <v>0</v>
      </c>
      <c r="L455" s="1570">
        <f t="shared" si="172"/>
        <v>0</v>
      </c>
      <c r="M455" s="1442"/>
      <c r="N455" s="832"/>
      <c r="O455" s="832"/>
      <c r="Q455" s="832"/>
      <c r="R455" s="832"/>
      <c r="S455" s="832"/>
      <c r="T455" s="832"/>
      <c r="U455" s="832"/>
      <c r="V455" s="832"/>
      <c r="W455" s="832"/>
      <c r="X455" s="832"/>
    </row>
    <row r="456" spans="1:24" s="812" customFormat="1" ht="39.950000000000003" hidden="1" customHeight="1" x14ac:dyDescent="0.15">
      <c r="A456" s="2072">
        <f t="shared" ca="1" si="173"/>
        <v>6.02</v>
      </c>
      <c r="B456" s="864">
        <v>101767</v>
      </c>
      <c r="C456" s="2" t="str">
        <f>VLOOKUP($B456,[1]BOLETIM_SEL!$A:$H,2,0)</f>
        <v>SINAPI</v>
      </c>
      <c r="D456" s="315" t="str">
        <f>VLOOKUP($B456,[1]BOLETIM_SEL!$A:$H,4,0)</f>
        <v>Execução e compactação de base e ou sub base para pavimentação de solos estabilizados granulometricamente com mistura de solos em pista - exclusive solo, escavação, carga e transporte. AF_11/2019</v>
      </c>
      <c r="E456" s="2"/>
      <c r="F456" s="2" t="str">
        <f>VLOOKUP($B456,[1]BOLETIM_SEL!$A:$H,6,0)</f>
        <v>M3</v>
      </c>
      <c r="G456" s="1407">
        <f>VLOOKUP($B456,[1]BOLETIM_SEL!$A:$H,7,0)</f>
        <v>27.35</v>
      </c>
      <c r="H456" s="1606">
        <f>+Dre_Fecha_Vala!H19</f>
        <v>0</v>
      </c>
      <c r="I456" s="876">
        <f t="shared" ref="I456:I466" si="176">TRUNC(G456*(1+$J$5),2)</f>
        <v>33.36</v>
      </c>
      <c r="J456" s="1607">
        <f t="shared" si="174"/>
        <v>0</v>
      </c>
      <c r="K456" s="2069">
        <f t="shared" ca="1" si="171"/>
        <v>0</v>
      </c>
      <c r="L456" s="1570">
        <f t="shared" si="172"/>
        <v>0</v>
      </c>
      <c r="M456" s="1442"/>
      <c r="N456" s="832"/>
      <c r="O456" s="832"/>
      <c r="Q456" s="832"/>
      <c r="R456" s="832"/>
      <c r="S456" s="832"/>
      <c r="T456" s="832"/>
      <c r="U456" s="832"/>
      <c r="V456" s="832"/>
      <c r="W456" s="832"/>
      <c r="X456" s="832"/>
    </row>
    <row r="457" spans="1:24" s="812" customFormat="1" ht="39.950000000000003" hidden="1" customHeight="1" x14ac:dyDescent="0.15">
      <c r="A457" s="2072">
        <f t="shared" ca="1" si="173"/>
        <v>6.02</v>
      </c>
      <c r="B457" s="864" t="s">
        <v>1873</v>
      </c>
      <c r="C457" s="2" t="str">
        <f>VLOOKUP($B457,[1]BOLETIM_SEL!$A:$H,2,0)</f>
        <v>COMPOSIÇÃO</v>
      </c>
      <c r="D457" s="315" t="str">
        <f>VLOOKUP($B457,[1]BOLETIM_SEL!$A:$H,4,0)</f>
        <v>Execução e compactação de base e ou sub-base, estabilizado granulometricamente, sem mistura, com material de jazida. Exclusive fornecimento e transporte (REF. SINAPI COD. 4011219)</v>
      </c>
      <c r="E457" s="2"/>
      <c r="F457" s="2" t="str">
        <f>VLOOKUP($B457,[1]BOLETIM_SEL!$A:$H,6,0)</f>
        <v>M3</v>
      </c>
      <c r="G457" s="1407">
        <f>VLOOKUP($B457,[1]BOLETIM_SEL!$A:$H,7,0)</f>
        <v>19.13</v>
      </c>
      <c r="H457" s="1606">
        <f>Dre_Fecha_Vala!H21</f>
        <v>0</v>
      </c>
      <c r="I457" s="876">
        <f t="shared" si="176"/>
        <v>23.33</v>
      </c>
      <c r="J457" s="1607">
        <f t="shared" si="174"/>
        <v>0</v>
      </c>
      <c r="K457" s="2069">
        <f t="shared" ca="1" si="171"/>
        <v>0</v>
      </c>
      <c r="L457" s="1570">
        <f t="shared" si="172"/>
        <v>0</v>
      </c>
      <c r="M457" s="1442"/>
      <c r="N457" s="832"/>
      <c r="O457" s="832"/>
      <c r="Q457" s="832"/>
      <c r="R457" s="832"/>
      <c r="S457" s="832"/>
      <c r="T457" s="832"/>
      <c r="U457" s="832"/>
      <c r="V457" s="832"/>
      <c r="W457" s="832"/>
      <c r="X457" s="832"/>
    </row>
    <row r="458" spans="1:24" s="812" customFormat="1" ht="30" hidden="1" customHeight="1" x14ac:dyDescent="0.15">
      <c r="A458" s="2072">
        <f t="shared" ca="1" si="173"/>
        <v>6.02</v>
      </c>
      <c r="B458" s="2" t="s">
        <v>2612</v>
      </c>
      <c r="C458" s="2" t="str">
        <f>VLOOKUP($B458,[1]BOLETIM_SEL!$A:$H,2,0)</f>
        <v>COMPOSIÇÃO</v>
      </c>
      <c r="D458" s="315" t="str">
        <f>VLOOKUP($B458,[1]BOLETIM_SEL!$A:$H,4,0)</f>
        <v>Usinagem de brita graduada simples, exclusive fornecimento de materiais (REF. SINAPI COD. 96393, DB 05-2021)</v>
      </c>
      <c r="E458" s="2"/>
      <c r="F458" s="2" t="str">
        <f>VLOOKUP($B458,[1]BOLETIM_SEL!$A:$H,6,0)</f>
        <v>M3</v>
      </c>
      <c r="G458" s="1407">
        <f>VLOOKUP($B458,[1]BOLETIM_SEL!$A:$H,7,0)</f>
        <v>6.29</v>
      </c>
      <c r="H458" s="1606"/>
      <c r="I458" s="876">
        <f t="shared" ref="I458" si="177">TRUNC(G458*(1+$J$5),2)</f>
        <v>7.67</v>
      </c>
      <c r="J458" s="1607">
        <f t="shared" ref="J458" si="178">TRUNC(H458*I458,2)</f>
        <v>0</v>
      </c>
      <c r="K458" s="2069">
        <f t="shared" ca="1" si="171"/>
        <v>0</v>
      </c>
      <c r="L458" s="1570">
        <f t="shared" ref="L458" si="179">J458/$J$448</f>
        <v>0</v>
      </c>
      <c r="M458" s="1442"/>
      <c r="N458" s="832"/>
      <c r="O458" s="832"/>
      <c r="Q458" s="832"/>
      <c r="R458" s="832"/>
      <c r="S458" s="832"/>
      <c r="T458" s="832"/>
      <c r="U458" s="832"/>
      <c r="V458" s="832"/>
      <c r="W458" s="832"/>
      <c r="X458" s="832"/>
    </row>
    <row r="459" spans="1:24" s="812" customFormat="1" ht="39.950000000000003" customHeight="1" x14ac:dyDescent="0.15">
      <c r="A459" s="2072">
        <f t="shared" ca="1" si="173"/>
        <v>6.0299999999999994</v>
      </c>
      <c r="B459" s="2" t="s">
        <v>196</v>
      </c>
      <c r="C459" s="2" t="str">
        <f>VLOOKUP($B459,[1]BOLETIM_SEL!$A:$H,2,0)</f>
        <v>COMPOSIÇÃO</v>
      </c>
      <c r="D459" s="315" t="str">
        <f>VLOOKUP($B459,[1]BOLETIM_SEL!$A:$H,4,0)</f>
        <v>Execução e compactação de base e ou sub-base com material produto de britagem. Exclusive fornecimento e transporte de materiais (REF. SINAPI COD. 96396)</v>
      </c>
      <c r="E459" s="2"/>
      <c r="F459" s="2" t="str">
        <f>VLOOKUP($B459,[1]BOLETIM_SEL!$A:$H,6,0)</f>
        <v>M3</v>
      </c>
      <c r="G459" s="1407">
        <f>VLOOKUP($B459,[1]BOLETIM_SEL!$A:$H,7,0)</f>
        <v>13.44</v>
      </c>
      <c r="H459" s="1606">
        <f>+Dre_Fecha_Vala!H20</f>
        <v>0.84</v>
      </c>
      <c r="I459" s="876">
        <f t="shared" si="176"/>
        <v>16.39</v>
      </c>
      <c r="J459" s="1607">
        <f t="shared" si="174"/>
        <v>13.76</v>
      </c>
      <c r="K459" s="2069">
        <f t="shared" ca="1" si="171"/>
        <v>3.7400902761028678E-6</v>
      </c>
      <c r="L459" s="1570">
        <f t="shared" si="172"/>
        <v>2.2238743252416204E-2</v>
      </c>
      <c r="M459" s="1442"/>
      <c r="N459" s="832"/>
      <c r="O459" s="832"/>
      <c r="Q459" s="832"/>
      <c r="R459" s="832"/>
      <c r="S459" s="832"/>
      <c r="T459" s="832"/>
      <c r="U459" s="832"/>
      <c r="V459" s="832"/>
      <c r="W459" s="832"/>
      <c r="X459" s="832"/>
    </row>
    <row r="460" spans="1:24" s="812" customFormat="1" ht="30" customHeight="1" x14ac:dyDescent="0.15">
      <c r="A460" s="2072">
        <f t="shared" ca="1" si="173"/>
        <v>6.0399999999999991</v>
      </c>
      <c r="B460" s="833" t="str">
        <f>IF(M460="EAI","PA/0025",96401)</f>
        <v>PA/0025</v>
      </c>
      <c r="C460" s="2" t="str">
        <f>VLOOKUP($B460,[1]BOLETIM_SEL!$A:$H,2,0)</f>
        <v>COMPOSIÇÃO</v>
      </c>
      <c r="D460" s="315" t="str">
        <f>VLOOKUP($B460,[1]BOLETIM_SEL!$A:$H,4,0)</f>
        <v>Imprimação da base, execução e fornecimento de emulsão asfáltica EAI (REF. SINAPI COD. 102470)</v>
      </c>
      <c r="E460" s="2"/>
      <c r="F460" s="2" t="str">
        <f>VLOOKUP($B460,[1]BOLETIM_SEL!$A:$H,6,0)</f>
        <v>M2</v>
      </c>
      <c r="G460" s="1407">
        <f>VLOOKUP($B460,[1]BOLETIM_SEL!$A:$H,7,0)</f>
        <v>5.23</v>
      </c>
      <c r="H460" s="1606">
        <f>+Dre_Fecha_Vala!H32</f>
        <v>5.6</v>
      </c>
      <c r="I460" s="876">
        <f>TRUNC(G460*(1+$J$5),2)</f>
        <v>6.38</v>
      </c>
      <c r="J460" s="1607">
        <f t="shared" si="174"/>
        <v>35.72</v>
      </c>
      <c r="K460" s="2069">
        <f t="shared" ca="1" si="171"/>
        <v>9.7090134202321528E-6</v>
      </c>
      <c r="L460" s="1570">
        <f t="shared" si="172"/>
        <v>5.7730225943045554E-2</v>
      </c>
      <c r="M460" s="1585" t="s">
        <v>2091</v>
      </c>
      <c r="N460" s="832"/>
      <c r="O460" s="832"/>
      <c r="Q460" s="832"/>
      <c r="R460" s="832"/>
      <c r="S460" s="832"/>
      <c r="T460" s="832"/>
      <c r="U460" s="832"/>
      <c r="V460" s="832"/>
      <c r="W460" s="832"/>
      <c r="X460" s="832"/>
    </row>
    <row r="461" spans="1:24" s="812" customFormat="1" ht="39.950000000000003" hidden="1" customHeight="1" x14ac:dyDescent="0.15">
      <c r="A461" s="2072">
        <f t="shared" ca="1" si="173"/>
        <v>6.0399999999999991</v>
      </c>
      <c r="B461" s="833" t="s">
        <v>2716</v>
      </c>
      <c r="C461" s="2" t="str">
        <f>VLOOKUP($B461,[1]BOLETIM_SEL!$A:$H,2,0)</f>
        <v>COMPOSIÇÃO</v>
      </c>
      <c r="D461" s="315" t="str">
        <f>VLOOKUP($B461,[1]BOLETIM_SEL!$A:$H,4,0)</f>
        <v>PAVIMENTO COM TRATAMENTO SUPERFICIAL DUPLO, COM EMULSÃO ASFÁLTICA RR-2C (REF. SINAPI COD. 03.PAVI.TSUP.005/01-104389 DB 09-21)</v>
      </c>
      <c r="E461" s="2"/>
      <c r="F461" s="2" t="str">
        <f>VLOOKUP($B461,[1]BOLETIM_SEL!$A:$H,6,0)</f>
        <v>M2</v>
      </c>
      <c r="G461" s="1407">
        <f>VLOOKUP($B461,[1]BOLETIM_SEL!$A:$H,7,0)</f>
        <v>15.93</v>
      </c>
      <c r="H461" s="1606">
        <f>+Dre_Fecha_Vala!H34</f>
        <v>0</v>
      </c>
      <c r="I461" s="876">
        <f t="shared" si="176"/>
        <v>19.43</v>
      </c>
      <c r="J461" s="1607">
        <f t="shared" si="174"/>
        <v>0</v>
      </c>
      <c r="K461" s="2069">
        <f t="shared" ca="1" si="171"/>
        <v>0</v>
      </c>
      <c r="L461" s="1570">
        <f t="shared" si="172"/>
        <v>0</v>
      </c>
      <c r="M461" s="1442"/>
      <c r="N461" s="832"/>
      <c r="O461" s="832"/>
      <c r="Q461" s="832"/>
      <c r="R461" s="832"/>
      <c r="S461" s="832"/>
      <c r="T461" s="832"/>
      <c r="U461" s="832"/>
      <c r="V461" s="832"/>
      <c r="W461" s="832"/>
      <c r="X461" s="832"/>
    </row>
    <row r="462" spans="1:24" s="812" customFormat="1" ht="39.950000000000003" customHeight="1" x14ac:dyDescent="0.15">
      <c r="A462" s="2072">
        <f t="shared" ca="1" si="173"/>
        <v>6.0499999999999989</v>
      </c>
      <c r="B462" s="833" t="str">
        <f>IF(M462="COMERCIAL","RE/0050","RE/0051")</f>
        <v>RE/0050</v>
      </c>
      <c r="C462" s="2" t="str">
        <f>VLOOKUP($B462,[1]BOLETIM_SEL!$A:$H,2,0)</f>
        <v>COMPOSIÇÃO</v>
      </c>
      <c r="D462" s="315" t="str">
        <f>VLOOKUP($B462,[1]BOLETIM_SEL!$A:$H,4,0)</f>
        <v>CBUQ (usina comercial) - aplicação manual em fechamento de vala e remendos. Incluindo fornecimento dos materiais e compactação com rolo tandem compacto. Exclusive transporte. Ref BP 09.05.0500 RIO SCO</v>
      </c>
      <c r="E462" s="2"/>
      <c r="F462" s="2" t="str">
        <f>VLOOKUP($B462,[1]BOLETIM_SEL!$A:$H,6,0)</f>
        <v>M3</v>
      </c>
      <c r="G462" s="1407">
        <f>VLOOKUP($B462,[1]BOLETIM_SEL!$A:$H,7,0)</f>
        <v>1542.67</v>
      </c>
      <c r="H462" s="1606">
        <f>+Dre_Fecha_Vala!H40</f>
        <v>0.17</v>
      </c>
      <c r="I462" s="876">
        <f t="shared" si="176"/>
        <v>1882.05</v>
      </c>
      <c r="J462" s="1607">
        <f t="shared" si="174"/>
        <v>319.94</v>
      </c>
      <c r="K462" s="2069">
        <f t="shared" ca="1" si="171"/>
        <v>8.6962535097118564E-5</v>
      </c>
      <c r="L462" s="1570">
        <f t="shared" si="172"/>
        <v>0.5170831043734041</v>
      </c>
      <c r="M462" s="1585" t="s">
        <v>410</v>
      </c>
      <c r="N462" s="832"/>
      <c r="O462" s="832"/>
      <c r="Q462" s="832"/>
      <c r="R462" s="832"/>
      <c r="S462" s="832"/>
      <c r="T462" s="832"/>
      <c r="U462" s="832"/>
      <c r="V462" s="832"/>
      <c r="W462" s="832"/>
      <c r="X462" s="832"/>
    </row>
    <row r="463" spans="1:24" s="812" customFormat="1" ht="39.950000000000003" hidden="1" customHeight="1" x14ac:dyDescent="0.15">
      <c r="A463" s="2072">
        <f t="shared" ca="1" si="173"/>
        <v>6.0499999999999989</v>
      </c>
      <c r="B463" s="833" t="str">
        <f>IF(M463="COMERCIAL","RE/0055","RE/0056")</f>
        <v>RE/0055</v>
      </c>
      <c r="C463" s="2" t="str">
        <f>VLOOKUP($B463,[1]BOLETIM_SEL!$A:$H,2,0)</f>
        <v>COMPOSIÇÃO</v>
      </c>
      <c r="D463" s="315" t="str">
        <f>VLOOKUP($B463,[1]BOLETIM_SEL!$A:$H,4,0)</f>
        <v>CBUQ (usina comercial) - aplicação com motoniveladora (reperfilamento). Incluindo fornecimento de materiais. Exclusive transporte</v>
      </c>
      <c r="E463" s="2"/>
      <c r="F463" s="2" t="str">
        <f>VLOOKUP($B463,[1]BOLETIM_SEL!$A:$H,6,0)</f>
        <v>M3</v>
      </c>
      <c r="G463" s="1407">
        <f>VLOOKUP($B463,[1]BOLETIM_SEL!$A:$H,7,0)</f>
        <v>1571.5</v>
      </c>
      <c r="H463" s="1606">
        <f>+Dre_Fecha_Vala!H41</f>
        <v>0</v>
      </c>
      <c r="I463" s="876">
        <f t="shared" si="176"/>
        <v>1917.23</v>
      </c>
      <c r="J463" s="1607">
        <f t="shared" si="174"/>
        <v>0</v>
      </c>
      <c r="K463" s="2069">
        <f t="shared" ca="1" si="171"/>
        <v>0</v>
      </c>
      <c r="L463" s="1570">
        <f t="shared" si="172"/>
        <v>0</v>
      </c>
      <c r="M463" s="1585" t="s">
        <v>410</v>
      </c>
      <c r="N463" s="832"/>
      <c r="O463" s="832"/>
      <c r="Q463" s="832"/>
      <c r="R463" s="832"/>
      <c r="S463" s="832"/>
      <c r="T463" s="832"/>
      <c r="U463" s="832"/>
      <c r="V463" s="832"/>
      <c r="W463" s="832"/>
      <c r="X463" s="832"/>
    </row>
    <row r="464" spans="1:24" s="812" customFormat="1" ht="50.1" hidden="1" customHeight="1" x14ac:dyDescent="0.15">
      <c r="A464" s="2072">
        <f t="shared" ca="1" si="173"/>
        <v>6.0499999999999989</v>
      </c>
      <c r="B464" s="833" t="s">
        <v>423</v>
      </c>
      <c r="C464" s="2" t="str">
        <f>VLOOKUP($B464,[1]BOLETIM_SEL!$A:$H,2,0)</f>
        <v>COMPOSIÇÃO</v>
      </c>
      <c r="D464" s="315" t="str">
        <f>VLOOKUP($B464,[1]BOLETIM_SEL!$A:$H,4,0)</f>
        <v>Execução de pré-misturado a frio - PMF, faixa C (semidenso), com emulsão asfáltica RL-1C, aplicação manual em fechamento de vala e remendos. Incluindo fornecimento dos materiais, usinagem e compactação com rolo tandem compacto. Exclusive transporte</v>
      </c>
      <c r="E464" s="2"/>
      <c r="F464" s="2" t="str">
        <f>VLOOKUP($B464,[1]BOLETIM_SEL!$A:$H,6,0)</f>
        <v>M3</v>
      </c>
      <c r="G464" s="1407">
        <f>VLOOKUP($B464,[1]BOLETIM_SEL!$A:$H,7,0)</f>
        <v>1040</v>
      </c>
      <c r="H464" s="1606">
        <f>+Dre_Fecha_Vala!H47</f>
        <v>0</v>
      </c>
      <c r="I464" s="876">
        <f t="shared" si="176"/>
        <v>1268.8</v>
      </c>
      <c r="J464" s="1607">
        <f t="shared" si="174"/>
        <v>0</v>
      </c>
      <c r="K464" s="2069">
        <f t="shared" ca="1" si="171"/>
        <v>0</v>
      </c>
      <c r="L464" s="1570">
        <f t="shared" si="172"/>
        <v>0</v>
      </c>
      <c r="M464" s="1442"/>
      <c r="N464" s="832"/>
      <c r="O464" s="832"/>
      <c r="Q464" s="832"/>
      <c r="R464" s="832"/>
      <c r="S464" s="832"/>
      <c r="T464" s="832"/>
      <c r="U464" s="832"/>
      <c r="V464" s="832"/>
      <c r="W464" s="832"/>
      <c r="X464" s="832"/>
    </row>
    <row r="465" spans="1:24" s="812" customFormat="1" ht="39.950000000000003" hidden="1" customHeight="1" x14ac:dyDescent="0.15">
      <c r="A465" s="2072">
        <f t="shared" ca="1" si="173"/>
        <v>6.0499999999999989</v>
      </c>
      <c r="B465" s="833" t="s">
        <v>1749</v>
      </c>
      <c r="C465" s="2" t="str">
        <f>VLOOKUP($B465,[1]BOLETIM_SEL!$A:$H,2,0)</f>
        <v>COMPOSIÇÃO</v>
      </c>
      <c r="D465" s="315" t="str">
        <f>VLOOKUP($B465,[1]BOLETIM_SEL!$A:$H,4,0)</f>
        <v>Execução de pré-misturado a frio - PMF, faixa C (semidenso), com emulsão asfáltica RL-1C, aplicação com motoniveladora (reperfilamento). Incluindo fornecimento de materiais. Exclusive transporte</v>
      </c>
      <c r="E465" s="2"/>
      <c r="F465" s="2" t="str">
        <f>VLOOKUP($B465,[1]BOLETIM_SEL!$A:$H,6,0)</f>
        <v>M3</v>
      </c>
      <c r="G465" s="1407">
        <f>VLOOKUP($B465,[1]BOLETIM_SEL!$A:$H,7,0)</f>
        <v>1066.82</v>
      </c>
      <c r="H465" s="1606">
        <f>+Dre_Fecha_Vala!H48</f>
        <v>0</v>
      </c>
      <c r="I465" s="876">
        <f t="shared" si="176"/>
        <v>1301.52</v>
      </c>
      <c r="J465" s="1607">
        <f t="shared" si="174"/>
        <v>0</v>
      </c>
      <c r="K465" s="2069">
        <f t="shared" ca="1" si="171"/>
        <v>0</v>
      </c>
      <c r="L465" s="1570">
        <f t="shared" si="172"/>
        <v>0</v>
      </c>
      <c r="M465" s="1442"/>
      <c r="N465" s="832"/>
      <c r="O465" s="832"/>
      <c r="Q465" s="832"/>
      <c r="R465" s="832"/>
      <c r="S465" s="832"/>
      <c r="T465" s="832"/>
      <c r="U465" s="832"/>
      <c r="V465" s="832"/>
      <c r="W465" s="832"/>
      <c r="X465" s="832"/>
    </row>
    <row r="466" spans="1:24" s="812" customFormat="1" ht="39.950000000000003" hidden="1" customHeight="1" x14ac:dyDescent="0.15">
      <c r="A466" s="2072">
        <f t="shared" ca="1" si="173"/>
        <v>6.0499999999999989</v>
      </c>
      <c r="B466" s="833">
        <f>IF(M466="escavadeira",100978,100974)</f>
        <v>100978</v>
      </c>
      <c r="C466" s="2" t="str">
        <f>VLOOKUP($B466,[1]BOLETIM_SEL!$A:$H,2,0)</f>
        <v>SINAPI</v>
      </c>
      <c r="D466" s="315" t="str">
        <f>VLOOKUP($B466,[1]BOLETIM_SEL!$A:$H,4,0)</f>
        <v>Carga, manobra e descarga de solos e materiais granulares em caminhão basculante 10 m3 - carga com escavadeira hidráulica (capacidade da caçamba: 1,20 m3 / potência: 155 HP) e descarga livre (unidade: m3). AF_07/2020</v>
      </c>
      <c r="E466" s="2"/>
      <c r="F466" s="2" t="str">
        <f>VLOOKUP($B466,[1]BOLETIM_SEL!$A:$H,6,0)</f>
        <v>M3</v>
      </c>
      <c r="G466" s="1407">
        <f>VLOOKUP($B466,[1]BOLETIM_SEL!$A:$H,7,0)</f>
        <v>6.71</v>
      </c>
      <c r="H466" s="1606">
        <f>Dre_Fecha_Vala!H61</f>
        <v>0</v>
      </c>
      <c r="I466" s="876">
        <f t="shared" si="176"/>
        <v>8.18</v>
      </c>
      <c r="J466" s="1607">
        <f t="shared" si="174"/>
        <v>0</v>
      </c>
      <c r="K466" s="2069">
        <f t="shared" ca="1" si="171"/>
        <v>0</v>
      </c>
      <c r="L466" s="1570">
        <f t="shared" si="172"/>
        <v>0</v>
      </c>
      <c r="M466" s="1585" t="s">
        <v>2094</v>
      </c>
      <c r="N466" s="832"/>
      <c r="O466" s="832"/>
      <c r="Q466" s="832"/>
      <c r="R466" s="832"/>
      <c r="S466" s="832"/>
      <c r="T466" s="832"/>
      <c r="U466" s="832"/>
      <c r="V466" s="832"/>
      <c r="W466" s="832"/>
      <c r="X466" s="832"/>
    </row>
    <row r="467" spans="1:24" s="812" customFormat="1" ht="24.95" customHeight="1" x14ac:dyDescent="0.15">
      <c r="A467" s="2072"/>
      <c r="B467" s="833"/>
      <c r="C467" s="2"/>
      <c r="D467" s="1449" t="s">
        <v>2436</v>
      </c>
      <c r="E467" s="2"/>
      <c r="F467" s="2"/>
      <c r="G467" s="1407"/>
      <c r="H467" s="2"/>
      <c r="I467" s="2"/>
      <c r="J467" s="838" t="str">
        <f>IF(J468=0,"-","")</f>
        <v/>
      </c>
      <c r="K467" s="2069"/>
      <c r="L467" s="1570"/>
      <c r="M467" s="1442" t="s">
        <v>1943</v>
      </c>
      <c r="N467" s="832"/>
      <c r="O467" s="832"/>
      <c r="Q467" s="832"/>
      <c r="R467" s="832"/>
      <c r="S467" s="832"/>
      <c r="T467" s="832"/>
      <c r="U467" s="832"/>
      <c r="V467" s="832"/>
      <c r="W467" s="832"/>
      <c r="X467" s="832"/>
    </row>
    <row r="468" spans="1:24" s="812" customFormat="1" ht="39.950000000000003" customHeight="1" x14ac:dyDescent="0.15">
      <c r="A468" s="2072">
        <f ca="1">IF(H468&gt;0,A466+0.01,A466)</f>
        <v>6.0599999999999987</v>
      </c>
      <c r="B468" s="833">
        <f>IF(AND(M468&lt;=50,E468&lt;=30),95876,IF(AND(M468&lt;=50,E468&gt;30),93590,IF(AND(M468&gt;50,E468&lt;=30),95876,93593)))</f>
        <v>95876</v>
      </c>
      <c r="C468" s="2" t="str">
        <f>VLOOKUP($B468,[1]BOLETIM_SEL!$A:$H,2,0)</f>
        <v>SINAPI</v>
      </c>
      <c r="D468" s="315" t="str">
        <f>VLOOKUP($B468,[1]BOLETIM_SEL!$A:$H,4,0)</f>
        <v>Transporte com caminhão basculante de 14 m3, em via urbana pavimentada, DMT até 30,00 km (unidade: m3xkm). AF_07/2020</v>
      </c>
      <c r="E468" s="2">
        <f>Dados_DMT!$B$17</f>
        <v>8</v>
      </c>
      <c r="F468" s="2" t="str">
        <f>VLOOKUP($B468,[1]BOLETIM_SEL!$A:$H,6,0)</f>
        <v>M3XKM</v>
      </c>
      <c r="G468" s="1407">
        <f>VLOOKUP($B468,[1]BOLETIM_SEL!$A:$H,7,0)</f>
        <v>2.0699999999999998</v>
      </c>
      <c r="H468" s="1606">
        <f>ROUND(Dre_Fecha_Vala!H62*E468,2)</f>
        <v>10.08</v>
      </c>
      <c r="I468" s="876">
        <f>TRUNC(G468*(1+$J$5),2)</f>
        <v>2.52</v>
      </c>
      <c r="J468" s="1607">
        <f>TRUNC(H468*I468,2)</f>
        <v>25.4</v>
      </c>
      <c r="K468" s="2069">
        <f ca="1">J468/J$930</f>
        <v>6.9039457131550022E-6</v>
      </c>
      <c r="L468" s="1570">
        <f>J468/$J$448</f>
        <v>4.1051168503733401E-2</v>
      </c>
      <c r="M468" s="1450">
        <f>IF(H468=0,0,H468/E468)</f>
        <v>1.26</v>
      </c>
      <c r="N468" s="832"/>
      <c r="O468" s="832"/>
      <c r="Q468" s="832"/>
      <c r="R468" s="832"/>
      <c r="S468" s="832"/>
      <c r="T468" s="832"/>
      <c r="U468" s="832"/>
      <c r="V468" s="832"/>
      <c r="W468" s="832"/>
      <c r="X468" s="832"/>
    </row>
    <row r="469" spans="1:24" s="812" customFormat="1" ht="24.95" hidden="1" customHeight="1" x14ac:dyDescent="0.15">
      <c r="A469" s="2074"/>
      <c r="B469" s="833"/>
      <c r="C469" s="2"/>
      <c r="D469" s="1449" t="s">
        <v>1939</v>
      </c>
      <c r="E469" s="2"/>
      <c r="F469" s="2"/>
      <c r="G469" s="1407"/>
      <c r="H469" s="2"/>
      <c r="I469" s="2"/>
      <c r="J469" s="838" t="str">
        <f>IF(J472=0,"-","")</f>
        <v>-</v>
      </c>
      <c r="K469" s="2069"/>
      <c r="L469" s="1570"/>
      <c r="M469" s="1442"/>
      <c r="N469" s="832"/>
      <c r="O469" s="832"/>
      <c r="Q469" s="832"/>
      <c r="R469" s="832"/>
      <c r="S469" s="832"/>
      <c r="T469" s="832"/>
      <c r="U469" s="832"/>
      <c r="V469" s="832"/>
      <c r="W469" s="832"/>
      <c r="X469" s="832"/>
    </row>
    <row r="470" spans="1:24" s="812" customFormat="1" ht="39.950000000000003" hidden="1" customHeight="1" x14ac:dyDescent="0.15">
      <c r="A470" s="2072">
        <f ca="1">IF(H470&gt;0,A468+0.01,A468)</f>
        <v>6.0599999999999987</v>
      </c>
      <c r="B470" s="833">
        <f>IF(AND(M470&lt;=50,E470&lt;=30),95875,IF(AND(M470&lt;=50,E470&gt;30),93590,IF(AND(M470&gt;50,E470&lt;=30),95876,93593)))</f>
        <v>95875</v>
      </c>
      <c r="C470" s="2" t="str">
        <f>VLOOKUP($B470,[1]BOLETIM_SEL!$A:$H,2,0)</f>
        <v>SINAPI</v>
      </c>
      <c r="D470" s="315" t="str">
        <f>VLOOKUP($B470,[1]BOLETIM_SEL!$A:$H,4,0)</f>
        <v>Transporte com caminhão basculante de 10 m3, em via urbana pavimentada, DMT até 30,00 km (unidade: m3xkm). AF_07/2020</v>
      </c>
      <c r="E470" s="2">
        <f>+Dados_DMT!$B$14</f>
        <v>7</v>
      </c>
      <c r="F470" s="2" t="str">
        <f>VLOOKUP($B470,[1]BOLETIM_SEL!$A:$H,6,0)</f>
        <v>M3XKM</v>
      </c>
      <c r="G470" s="1407">
        <f>VLOOKUP($B470,[1]BOLETIM_SEL!$A:$H,7,0)</f>
        <v>2.36</v>
      </c>
      <c r="H470" s="1606">
        <f>ROUND(Dre_Fecha_Vala!H63*E470,2)</f>
        <v>0</v>
      </c>
      <c r="I470" s="876">
        <f>TRUNC(G470*(1+$J$5),2)</f>
        <v>2.87</v>
      </c>
      <c r="J470" s="1607">
        <f>TRUNC(H470*I470,2)</f>
        <v>0</v>
      </c>
      <c r="K470" s="2069">
        <f ca="1">J470/J$930</f>
        <v>0</v>
      </c>
      <c r="L470" s="1570">
        <f>J470/$J$448</f>
        <v>0</v>
      </c>
      <c r="M470" s="1450">
        <f>IF(H470=0,0,H470/E470)</f>
        <v>0</v>
      </c>
      <c r="N470" s="832"/>
      <c r="O470" s="832"/>
      <c r="Q470" s="832"/>
      <c r="R470" s="832"/>
      <c r="S470" s="832"/>
      <c r="T470" s="832"/>
      <c r="U470" s="832"/>
      <c r="V470" s="832"/>
      <c r="W470" s="832"/>
      <c r="X470" s="832"/>
    </row>
    <row r="471" spans="1:24" s="812" customFormat="1" ht="24.95" hidden="1" customHeight="1" x14ac:dyDescent="0.15">
      <c r="A471" s="2074"/>
      <c r="B471" s="833"/>
      <c r="C471" s="2"/>
      <c r="D471" s="1449" t="s">
        <v>1894</v>
      </c>
      <c r="E471" s="2"/>
      <c r="F471" s="835"/>
      <c r="G471" s="1407"/>
      <c r="H471" s="2"/>
      <c r="I471" s="835"/>
      <c r="J471" s="838" t="str">
        <f>IF(J470=0,"-","")</f>
        <v>-</v>
      </c>
      <c r="K471" s="2069"/>
      <c r="L471" s="1570"/>
      <c r="M471" s="1442"/>
      <c r="N471" s="832"/>
      <c r="O471" s="832"/>
      <c r="Q471" s="832"/>
      <c r="R471" s="832"/>
      <c r="S471" s="832"/>
      <c r="T471" s="832"/>
      <c r="U471" s="832"/>
      <c r="V471" s="832"/>
      <c r="W471" s="832"/>
      <c r="X471" s="832"/>
    </row>
    <row r="472" spans="1:24" s="812" customFormat="1" ht="30" hidden="1" customHeight="1" x14ac:dyDescent="0.15">
      <c r="A472" s="2072">
        <f ca="1">IF(H472&gt;0,A470+0.01,A470)</f>
        <v>6.0599999999999987</v>
      </c>
      <c r="B472" s="833">
        <v>100938</v>
      </c>
      <c r="C472" s="2" t="str">
        <f>VLOOKUP($B472,[1]BOLETIM_SEL!$A:$H,2,0)</f>
        <v>SINAPI</v>
      </c>
      <c r="D472" s="315" t="str">
        <f>VLOOKUP($B472,[1]BOLETIM_SEL!$A:$H,4,0)</f>
        <v>Transporte com caminhão basculante de 10 m3, em via interna (dentro do canteiro - unidade: m3xkm). AF_07/2020</v>
      </c>
      <c r="E472" s="2">
        <f>+Dados_DMT!$B$15</f>
        <v>1</v>
      </c>
      <c r="F472" s="2" t="str">
        <f>VLOOKUP($B472,[1]BOLETIM_SEL!$A:$H,6,0)</f>
        <v>M3XKM</v>
      </c>
      <c r="G472" s="1407">
        <f>VLOOKUP($B472,[1]BOLETIM_SEL!$A:$H,7,0)</f>
        <v>7.11</v>
      </c>
      <c r="H472" s="1606">
        <f>ROUND(Dre_Fecha_Vala!H61*E472,2)</f>
        <v>0</v>
      </c>
      <c r="I472" s="876">
        <f>TRUNC(G472*(1+$J$5),2)</f>
        <v>8.67</v>
      </c>
      <c r="J472" s="1607">
        <f>TRUNC(H472*I472,2)</f>
        <v>0</v>
      </c>
      <c r="K472" s="2069">
        <f ca="1">J472/J$930</f>
        <v>0</v>
      </c>
      <c r="L472" s="1570">
        <f>J472/$J$448</f>
        <v>0</v>
      </c>
      <c r="M472" s="1442"/>
      <c r="N472" s="832"/>
      <c r="O472" s="832"/>
      <c r="Q472" s="832"/>
      <c r="R472" s="832"/>
      <c r="S472" s="832"/>
      <c r="T472" s="832"/>
      <c r="U472" s="832"/>
      <c r="V472" s="832"/>
      <c r="W472" s="832"/>
      <c r="X472" s="832"/>
    </row>
    <row r="473" spans="1:24" s="812" customFormat="1" ht="24.95" hidden="1" customHeight="1" x14ac:dyDescent="0.15">
      <c r="A473" s="2074"/>
      <c r="B473" s="833"/>
      <c r="C473" s="2"/>
      <c r="D473" s="1449" t="s">
        <v>1890</v>
      </c>
      <c r="E473" s="2"/>
      <c r="F473" s="2"/>
      <c r="G473" s="1407"/>
      <c r="H473" s="2"/>
      <c r="I473" s="2"/>
      <c r="J473" s="838" t="str">
        <f>IF(J474=0,"-","")</f>
        <v>-</v>
      </c>
      <c r="K473" s="2069"/>
      <c r="L473" s="1570"/>
      <c r="M473" s="1442"/>
      <c r="N473" s="832"/>
      <c r="O473" s="832"/>
      <c r="Q473" s="832"/>
      <c r="R473" s="832"/>
      <c r="S473" s="832"/>
      <c r="T473" s="832"/>
      <c r="U473" s="832"/>
      <c r="V473" s="832"/>
      <c r="W473" s="832"/>
      <c r="X473" s="832"/>
    </row>
    <row r="474" spans="1:24" s="812" customFormat="1" ht="39.950000000000003" hidden="1" customHeight="1" x14ac:dyDescent="0.15">
      <c r="A474" s="2072">
        <f ca="1">IF(H474&gt;0,A472+0.01,A472)</f>
        <v>6.0599999999999987</v>
      </c>
      <c r="B474" s="833">
        <f>IF(AND(M474&lt;=50,E474&lt;=30),95875,IF(AND(M474&lt;=50,E474&gt;30),93590,IF(AND(M474&gt;50,E474&lt;=30),95876,93593)))</f>
        <v>95875</v>
      </c>
      <c r="C474" s="2" t="str">
        <f>VLOOKUP($B474,[1]BOLETIM_SEL!$A:$H,2,0)</f>
        <v>SINAPI</v>
      </c>
      <c r="D474" s="315" t="str">
        <f>VLOOKUP($B474,[1]BOLETIM_SEL!$A:$H,4,0)</f>
        <v>Transporte com caminhão basculante de 10 m3, em via urbana pavimentada, DMT até 30,00 km (unidade: m3xkm). AF_07/2020</v>
      </c>
      <c r="E474" s="2">
        <f>+Dados_DMT!$B$24</f>
        <v>0</v>
      </c>
      <c r="F474" s="2" t="str">
        <f>VLOOKUP($B474,[1]BOLETIM_SEL!$A:$H,6,0)</f>
        <v>M3XKM</v>
      </c>
      <c r="G474" s="1407">
        <f>VLOOKUP($B474,[1]BOLETIM_SEL!$A:$H,7,0)</f>
        <v>2.36</v>
      </c>
      <c r="H474" s="1606">
        <f>ROUND(Dre_Fecha_Vala!H69*E474,2)</f>
        <v>0</v>
      </c>
      <c r="I474" s="876">
        <f>TRUNC(G474*(1+$J$5),2)</f>
        <v>2.87</v>
      </c>
      <c r="J474" s="1607">
        <f>TRUNC(H474*I474,2)</f>
        <v>0</v>
      </c>
      <c r="K474" s="2069">
        <f ca="1">J474/J$930</f>
        <v>0</v>
      </c>
      <c r="L474" s="1570">
        <f>J474/$J$448</f>
        <v>0</v>
      </c>
      <c r="M474" s="1450">
        <f>IF(H474=0,0,H474/E474)</f>
        <v>0</v>
      </c>
      <c r="N474" s="832"/>
      <c r="O474" s="832"/>
      <c r="Q474" s="832"/>
      <c r="R474" s="832"/>
      <c r="S474" s="832"/>
      <c r="T474" s="832"/>
      <c r="U474" s="832"/>
      <c r="V474" s="832"/>
      <c r="W474" s="832"/>
      <c r="X474" s="832"/>
    </row>
    <row r="475" spans="1:24" s="812" customFormat="1" ht="24.95" hidden="1" customHeight="1" x14ac:dyDescent="0.15">
      <c r="A475" s="2074"/>
      <c r="B475" s="833"/>
      <c r="C475" s="2"/>
      <c r="D475" s="1449" t="s">
        <v>1895</v>
      </c>
      <c r="E475" s="2"/>
      <c r="F475" s="2"/>
      <c r="G475" s="1407"/>
      <c r="H475" s="2"/>
      <c r="I475" s="2"/>
      <c r="J475" s="838" t="str">
        <f>IF(J476=0,"-","")</f>
        <v>-</v>
      </c>
      <c r="K475" s="2069"/>
      <c r="L475" s="1570"/>
      <c r="M475" s="1442"/>
      <c r="N475" s="832"/>
      <c r="O475" s="832"/>
      <c r="Q475" s="832"/>
      <c r="R475" s="832"/>
      <c r="S475" s="832"/>
      <c r="T475" s="832"/>
      <c r="U475" s="832"/>
      <c r="V475" s="832"/>
      <c r="W475" s="832"/>
      <c r="X475" s="832"/>
    </row>
    <row r="476" spans="1:24" s="812" customFormat="1" ht="39.950000000000003" hidden="1" customHeight="1" x14ac:dyDescent="0.15">
      <c r="A476" s="2072">
        <f ca="1">IF(H476&gt;0,A474+0.01,A474)</f>
        <v>6.0599999999999987</v>
      </c>
      <c r="B476" s="833">
        <f>IF(AND(M476&lt;=50,E476&lt;=30),95875,IF(AND(M476&lt;=50,E476&gt;30),93590,IF(AND(M476&gt;50,E476&lt;=30),95876,93593)))</f>
        <v>95875</v>
      </c>
      <c r="C476" s="2" t="str">
        <f>VLOOKUP($B476,[1]BOLETIM_SEL!$A:$H,2,0)</f>
        <v>SINAPI</v>
      </c>
      <c r="D476" s="315" t="str">
        <f>VLOOKUP($B476,[1]BOLETIM_SEL!$A:$H,4,0)</f>
        <v>Transporte com caminhão basculante de 10 m3, em via urbana pavimentada, DMT até 30,00 km (unidade: m3xkm). AF_07/2020</v>
      </c>
      <c r="E476" s="2">
        <f>+Dados_DMT!$B$34</f>
        <v>24</v>
      </c>
      <c r="F476" s="2" t="str">
        <f>VLOOKUP($B476,[1]BOLETIM_SEL!$A:$H,6,0)</f>
        <v>M3XKM</v>
      </c>
      <c r="G476" s="1407">
        <f>VLOOKUP($B476,[1]BOLETIM_SEL!$A:$H,7,0)</f>
        <v>2.36</v>
      </c>
      <c r="H476" s="1606">
        <f>ROUND(Dre_Fecha_Vala!H70*E476,2)</f>
        <v>0</v>
      </c>
      <c r="I476" s="876">
        <f>TRUNC(G476*(1+$J$5),2)</f>
        <v>2.87</v>
      </c>
      <c r="J476" s="1607">
        <f>TRUNC(H476*I476,2)</f>
        <v>0</v>
      </c>
      <c r="K476" s="2069">
        <f ca="1">J476/J$930</f>
        <v>0</v>
      </c>
      <c r="L476" s="1570">
        <f>J476/$J$448</f>
        <v>0</v>
      </c>
      <c r="M476" s="1450">
        <f>IF(H476=0,0,H476/E476)</f>
        <v>0</v>
      </c>
      <c r="N476" s="832"/>
      <c r="O476" s="832"/>
      <c r="Q476" s="832"/>
      <c r="R476" s="832"/>
      <c r="S476" s="832"/>
      <c r="T476" s="832"/>
      <c r="U476" s="832"/>
      <c r="V476" s="832"/>
      <c r="W476" s="832"/>
      <c r="X476" s="832"/>
    </row>
    <row r="477" spans="1:24" s="812" customFormat="1" ht="24.95" customHeight="1" x14ac:dyDescent="0.15">
      <c r="A477" s="2074"/>
      <c r="B477" s="833"/>
      <c r="C477" s="2"/>
      <c r="D477" s="1449" t="s">
        <v>1891</v>
      </c>
      <c r="E477" s="2"/>
      <c r="F477" s="2"/>
      <c r="G477" s="1407"/>
      <c r="H477" s="2"/>
      <c r="I477" s="2"/>
      <c r="J477" s="838" t="str">
        <f>IF(J478=0,"-","")</f>
        <v/>
      </c>
      <c r="K477" s="2069"/>
      <c r="L477" s="1570"/>
      <c r="M477" s="1442"/>
      <c r="N477" s="832"/>
      <c r="O477" s="832"/>
      <c r="Q477" s="832"/>
      <c r="R477" s="832"/>
      <c r="S477" s="832"/>
      <c r="T477" s="832"/>
      <c r="U477" s="832"/>
      <c r="V477" s="832"/>
      <c r="W477" s="832"/>
      <c r="X477" s="832"/>
    </row>
    <row r="478" spans="1:24" s="812" customFormat="1" ht="39.950000000000003" customHeight="1" x14ac:dyDescent="0.15">
      <c r="A478" s="2072">
        <f ca="1">IF(H478&gt;0,A476+0.01,A476)</f>
        <v>6.0699999999999985</v>
      </c>
      <c r="B478" s="833">
        <f>IF(AND(M478&lt;=50,E478&lt;=30),95876,IF(AND(M478&lt;=50,E478&gt;30),93590,IF(AND(M478&gt;50,E478&lt;=30),95876,93593)))</f>
        <v>95876</v>
      </c>
      <c r="C478" s="2" t="str">
        <f>VLOOKUP($B478,[1]BOLETIM_SEL!$A:$H,2,0)</f>
        <v>SINAPI</v>
      </c>
      <c r="D478" s="315" t="str">
        <f>VLOOKUP($B478,[1]BOLETIM_SEL!$A:$H,4,0)</f>
        <v>Transporte com caminhão basculante de 14 m3, em via urbana pavimentada, DMT até 30,00 km (unidade: m3xkm). AF_07/2020</v>
      </c>
      <c r="E478" s="2">
        <f>+Dados_DMT!$B$34</f>
        <v>24</v>
      </c>
      <c r="F478" s="2" t="str">
        <f>VLOOKUP($B478,[1]BOLETIM_SEL!$A:$H,6,0)</f>
        <v>M3XKM</v>
      </c>
      <c r="G478" s="1407">
        <f>VLOOKUP($B478,[1]BOLETIM_SEL!$A:$H,7,0)</f>
        <v>2.0699999999999998</v>
      </c>
      <c r="H478" s="1606">
        <f>ROUND(Dre_Fecha_Vala!H71*E478,2)</f>
        <v>27.84</v>
      </c>
      <c r="I478" s="876">
        <f>TRUNC(G478*(1+$J$5),2)</f>
        <v>2.52</v>
      </c>
      <c r="J478" s="1607">
        <f>TRUNC(H478*I478,2)</f>
        <v>70.150000000000006</v>
      </c>
      <c r="K478" s="2069">
        <f ca="1">J478/J$930</f>
        <v>1.9067393377079665E-5</v>
      </c>
      <c r="L478" s="1570">
        <f>J478/$J$448</f>
        <v>0.1133755697061771</v>
      </c>
      <c r="M478" s="1450">
        <f>IF(H478=0,0,H478/E478)</f>
        <v>1.1599999999999999</v>
      </c>
      <c r="N478" s="832"/>
      <c r="O478" s="832"/>
      <c r="Q478" s="832"/>
      <c r="R478" s="832"/>
      <c r="S478" s="832"/>
      <c r="T478" s="832"/>
      <c r="U478" s="832"/>
      <c r="V478" s="832"/>
      <c r="W478" s="832"/>
      <c r="X478" s="832"/>
    </row>
    <row r="479" spans="1:24" s="812" customFormat="1" ht="24.95" hidden="1" customHeight="1" x14ac:dyDescent="0.15">
      <c r="A479" s="2072"/>
      <c r="B479" s="833"/>
      <c r="C479" s="2"/>
      <c r="D479" s="1449" t="s">
        <v>1892</v>
      </c>
      <c r="E479" s="2"/>
      <c r="F479" s="2"/>
      <c r="G479" s="1407"/>
      <c r="H479" s="2"/>
      <c r="I479" s="2"/>
      <c r="J479" s="838" t="str">
        <f>IF(J480=0,"-","")</f>
        <v>-</v>
      </c>
      <c r="K479" s="2069"/>
      <c r="L479" s="1570"/>
      <c r="M479" s="1442"/>
      <c r="N479" s="832"/>
      <c r="O479" s="832"/>
      <c r="Q479" s="832"/>
      <c r="R479" s="832"/>
      <c r="S479" s="832"/>
      <c r="T479" s="832"/>
      <c r="U479" s="832"/>
      <c r="V479" s="832"/>
      <c r="W479" s="832"/>
      <c r="X479" s="832"/>
    </row>
    <row r="480" spans="1:24" s="812" customFormat="1" ht="39.950000000000003" hidden="1" customHeight="1" x14ac:dyDescent="0.15">
      <c r="A480" s="2072">
        <f ca="1">IF(H480&gt;0,A478+0.01,A478)</f>
        <v>6.0699999999999985</v>
      </c>
      <c r="B480" s="833">
        <f>IF(AND(M480&lt;=50,E480&lt;=30),95875,IF(AND(M480&lt;=50,E480&gt;30),93590,IF(AND(M480&gt;50,E480&lt;=30),95876,93593)))</f>
        <v>95875</v>
      </c>
      <c r="C480" s="2" t="str">
        <f>VLOOKUP($B480,[1]BOLETIM_SEL!$A:$H,2,0)</f>
        <v>SINAPI</v>
      </c>
      <c r="D480" s="315" t="str">
        <f>VLOOKUP($B480,[1]BOLETIM_SEL!$A:$H,4,0)</f>
        <v>Transporte com caminhão basculante de 10 m3, em via urbana pavimentada, DMT até 30,00 km (unidade: m3xkm). AF_07/2020</v>
      </c>
      <c r="E480" s="2">
        <f>+Dados_DMT!$B$34</f>
        <v>24</v>
      </c>
      <c r="F480" s="2" t="str">
        <f>VLOOKUP($B480,[1]BOLETIM_SEL!$A:$H,6,0)</f>
        <v>M3XKM</v>
      </c>
      <c r="G480" s="1407">
        <f>VLOOKUP($B480,[1]BOLETIM_SEL!$A:$H,7,0)</f>
        <v>2.36</v>
      </c>
      <c r="H480" s="1606">
        <f>ROUND(Dre_Fecha_Vala!H72*E480,2)</f>
        <v>0</v>
      </c>
      <c r="I480" s="876">
        <f>TRUNC(G480*(1+$J$5),2)</f>
        <v>2.87</v>
      </c>
      <c r="J480" s="1607">
        <f>TRUNC(H480*I480,2)</f>
        <v>0</v>
      </c>
      <c r="K480" s="2069">
        <f ca="1">J480/J$930</f>
        <v>0</v>
      </c>
      <c r="L480" s="1570">
        <f>J480/$J$448</f>
        <v>0</v>
      </c>
      <c r="M480" s="1450">
        <f>IF(H480=0,0,H480/E480)</f>
        <v>0</v>
      </c>
      <c r="N480" s="832"/>
      <c r="O480" s="832"/>
      <c r="Q480" s="832"/>
      <c r="R480" s="832"/>
      <c r="S480" s="832"/>
      <c r="T480" s="832"/>
      <c r="U480" s="832"/>
      <c r="V480" s="832"/>
      <c r="W480" s="832"/>
      <c r="X480" s="832"/>
    </row>
    <row r="481" spans="1:24" s="812" customFormat="1" ht="24.95" hidden="1" customHeight="1" x14ac:dyDescent="0.15">
      <c r="A481" s="2072"/>
      <c r="B481" s="833"/>
      <c r="C481" s="2"/>
      <c r="D481" s="1449" t="s">
        <v>1898</v>
      </c>
      <c r="E481" s="2"/>
      <c r="F481" s="2"/>
      <c r="G481" s="1407"/>
      <c r="H481" s="2"/>
      <c r="I481" s="2"/>
      <c r="J481" s="838" t="str">
        <f>IF(J482=0,"-","")</f>
        <v>-</v>
      </c>
      <c r="K481" s="2069"/>
      <c r="L481" s="1570"/>
      <c r="M481" s="1442"/>
      <c r="N481" s="832"/>
      <c r="O481" s="832"/>
      <c r="Q481" s="832"/>
      <c r="R481" s="832"/>
      <c r="S481" s="832"/>
      <c r="T481" s="832"/>
      <c r="U481" s="832"/>
      <c r="V481" s="832"/>
      <c r="W481" s="832"/>
      <c r="X481" s="832"/>
    </row>
    <row r="482" spans="1:24" s="812" customFormat="1" ht="39.950000000000003" hidden="1" customHeight="1" x14ac:dyDescent="0.15">
      <c r="A482" s="2072">
        <f ca="1">IF(H482&gt;0,A480+0.01,A480)</f>
        <v>6.0699999999999985</v>
      </c>
      <c r="B482" s="833">
        <f>IF(AND(M482&lt;=50,E482&lt;=30),95875,IF(AND(M482&lt;=50,E482&gt;30),93590,IF(AND(M482&gt;50,E482&lt;=30),95876,93593)))</f>
        <v>95875</v>
      </c>
      <c r="C482" s="2" t="str">
        <f>VLOOKUP($B482,[1]BOLETIM_SEL!$A:$H,2,0)</f>
        <v>SINAPI</v>
      </c>
      <c r="D482" s="315" t="str">
        <f>VLOOKUP($B482,[1]BOLETIM_SEL!$A:$H,4,0)</f>
        <v>Transporte com caminhão basculante de 10 m3, em via urbana pavimentada, DMT até 30,00 km (unidade: m3xkm). AF_07/2020</v>
      </c>
      <c r="E482" s="2">
        <f>+Dados_DMT!$B$34</f>
        <v>24</v>
      </c>
      <c r="F482" s="2" t="str">
        <f>VLOOKUP($B482,[1]BOLETIM_SEL!$A:$H,6,0)</f>
        <v>M3XKM</v>
      </c>
      <c r="G482" s="1407">
        <f>VLOOKUP($B482,[1]BOLETIM_SEL!$A:$H,7,0)</f>
        <v>2.36</v>
      </c>
      <c r="H482" s="1606">
        <f>ROUND(Dre_Fecha_Vala!H73*E482,2)</f>
        <v>0</v>
      </c>
      <c r="I482" s="876">
        <f>TRUNC(G482*(1+$J$5),2)</f>
        <v>2.87</v>
      </c>
      <c r="J482" s="1607">
        <f>TRUNC(H482*I482,2)</f>
        <v>0</v>
      </c>
      <c r="K482" s="2069">
        <f ca="1">J482/J$930</f>
        <v>0</v>
      </c>
      <c r="L482" s="1570">
        <f>J482/$J$448</f>
        <v>0</v>
      </c>
      <c r="M482" s="1450">
        <f>IF(H482=0,0,H482/E482)</f>
        <v>0</v>
      </c>
      <c r="N482" s="832"/>
      <c r="O482" s="832"/>
      <c r="Q482" s="832"/>
      <c r="R482" s="832"/>
      <c r="S482" s="832"/>
      <c r="T482" s="832"/>
      <c r="U482" s="832"/>
      <c r="V482" s="832"/>
      <c r="W482" s="832"/>
      <c r="X482" s="832"/>
    </row>
    <row r="483" spans="1:24" s="812" customFormat="1" ht="24.95" hidden="1" customHeight="1" x14ac:dyDescent="0.15">
      <c r="A483" s="2072"/>
      <c r="B483" s="833"/>
      <c r="C483" s="2"/>
      <c r="D483" s="1449" t="s">
        <v>1897</v>
      </c>
      <c r="E483" s="2"/>
      <c r="F483" s="2"/>
      <c r="G483" s="1407"/>
      <c r="H483" s="2"/>
      <c r="I483" s="2"/>
      <c r="J483" s="838" t="str">
        <f>IF(J484=0,"-","")</f>
        <v>-</v>
      </c>
      <c r="K483" s="2069"/>
      <c r="L483" s="1570"/>
      <c r="M483" s="1442"/>
      <c r="N483" s="832"/>
      <c r="O483" s="832"/>
      <c r="Q483" s="832"/>
      <c r="R483" s="832"/>
      <c r="S483" s="832"/>
      <c r="T483" s="832"/>
      <c r="U483" s="832"/>
      <c r="V483" s="832"/>
      <c r="W483" s="832"/>
      <c r="X483" s="832"/>
    </row>
    <row r="484" spans="1:24" s="812" customFormat="1" ht="39.950000000000003" hidden="1" customHeight="1" x14ac:dyDescent="0.15">
      <c r="A484" s="2072">
        <f ca="1">IF(H484&gt;0,A482+0.01,A482)</f>
        <v>6.0699999999999985</v>
      </c>
      <c r="B484" s="833">
        <f>IF(AND(M484&lt;=50,E484&lt;=30),95875,IF(AND(M484&lt;=50,E484&gt;30),93590,IF(AND(M484&gt;50,E484&lt;=30),95876,93593)))</f>
        <v>95875</v>
      </c>
      <c r="C484" s="2" t="str">
        <f>VLOOKUP($B484,[1]BOLETIM_SEL!$A:$H,2,0)</f>
        <v>SINAPI</v>
      </c>
      <c r="D484" s="315" t="str">
        <f>VLOOKUP($B484,[1]BOLETIM_SEL!$A:$H,4,0)</f>
        <v>Transporte com caminhão basculante de 10 m3, em via urbana pavimentada, DMT até 30,00 km (unidade: m3xkm). AF_07/2020</v>
      </c>
      <c r="E484" s="2">
        <f>+Dados_DMT!$B$33</f>
        <v>0</v>
      </c>
      <c r="F484" s="2" t="str">
        <f>VLOOKUP($B484,[1]BOLETIM_SEL!$A:$H,6,0)</f>
        <v>M3XKM</v>
      </c>
      <c r="G484" s="1407">
        <f>VLOOKUP($B484,[1]BOLETIM_SEL!$A:$H,7,0)</f>
        <v>2.36</v>
      </c>
      <c r="H484" s="1606">
        <f>ROUND(Dre_Fecha_Vala!H76*E484,2)</f>
        <v>0</v>
      </c>
      <c r="I484" s="876">
        <f>TRUNC(G484*(1+$J$5),2)</f>
        <v>2.87</v>
      </c>
      <c r="J484" s="1607">
        <f>TRUNC(H484*I484,2)</f>
        <v>0</v>
      </c>
      <c r="K484" s="2069">
        <f ca="1">J484/J$930</f>
        <v>0</v>
      </c>
      <c r="L484" s="1570">
        <f>J484/$J$448</f>
        <v>0</v>
      </c>
      <c r="M484" s="1450">
        <f>IF(H484=0,0,H484/E484)</f>
        <v>0</v>
      </c>
      <c r="N484" s="832"/>
      <c r="O484" s="832"/>
      <c r="Q484" s="832"/>
      <c r="R484" s="832"/>
      <c r="S484" s="832"/>
      <c r="T484" s="832"/>
      <c r="U484" s="832"/>
      <c r="V484" s="832"/>
      <c r="W484" s="832"/>
      <c r="X484" s="832"/>
    </row>
    <row r="485" spans="1:24" s="812" customFormat="1" ht="24.95" hidden="1" customHeight="1" x14ac:dyDescent="0.15">
      <c r="A485" s="2072"/>
      <c r="B485" s="833"/>
      <c r="C485" s="2"/>
      <c r="D485" s="1449" t="s">
        <v>1896</v>
      </c>
      <c r="E485" s="2"/>
      <c r="F485" s="2"/>
      <c r="G485" s="1407"/>
      <c r="H485" s="2"/>
      <c r="I485" s="2"/>
      <c r="J485" s="838" t="str">
        <f>IF(J486=0,"-","")</f>
        <v>-</v>
      </c>
      <c r="K485" s="2069"/>
      <c r="L485" s="1570"/>
      <c r="M485" s="1442"/>
      <c r="N485" s="832"/>
      <c r="O485" s="832"/>
      <c r="Q485" s="832"/>
      <c r="R485" s="832"/>
      <c r="S485" s="832"/>
      <c r="T485" s="832"/>
      <c r="U485" s="832"/>
      <c r="V485" s="832"/>
      <c r="W485" s="832"/>
      <c r="X485" s="832"/>
    </row>
    <row r="486" spans="1:24" s="812" customFormat="1" ht="39.950000000000003" hidden="1" customHeight="1" x14ac:dyDescent="0.15">
      <c r="A486" s="2072">
        <f ca="1">IF(H486&gt;0,A484+0.01,A484)</f>
        <v>6.0699999999999985</v>
      </c>
      <c r="B486" s="833">
        <f>IF(AND(M486&lt;=50,E486&lt;=30),95875,IF(AND(M486&lt;=50,E486&gt;30),93590,IF(AND(M486&gt;50,E486&lt;=30),95876,93593)))</f>
        <v>95875</v>
      </c>
      <c r="C486" s="2" t="str">
        <f>VLOOKUP($B486,[1]BOLETIM_SEL!$A:$H,2,0)</f>
        <v>SINAPI</v>
      </c>
      <c r="D486" s="315" t="str">
        <f>VLOOKUP($B486,[1]BOLETIM_SEL!$A:$H,4,0)</f>
        <v>Transporte com caminhão basculante de 10 m3, em via urbana pavimentada, DMT até 30,00 km (unidade: m3xkm). AF_07/2020</v>
      </c>
      <c r="E486" s="2">
        <f>+Dados_DMT!$B$32</f>
        <v>0</v>
      </c>
      <c r="F486" s="2" t="str">
        <f>VLOOKUP($B486,[1]BOLETIM_SEL!$A:$H,6,0)</f>
        <v>M3XKM</v>
      </c>
      <c r="G486" s="1407">
        <f>VLOOKUP($B486,[1]BOLETIM_SEL!$A:$H,7,0)</f>
        <v>2.36</v>
      </c>
      <c r="H486" s="1606">
        <f>ROUND(Dre_Fecha_Vala!H75*E486,2)</f>
        <v>0</v>
      </c>
      <c r="I486" s="876">
        <f>TRUNC(G486*(1+$J$5),2)</f>
        <v>2.87</v>
      </c>
      <c r="J486" s="1607">
        <f>TRUNC(H486*I486,2)</f>
        <v>0</v>
      </c>
      <c r="K486" s="2069">
        <f ca="1">J486/J$930</f>
        <v>0</v>
      </c>
      <c r="L486" s="1570">
        <f>J486/$J$448</f>
        <v>0</v>
      </c>
      <c r="M486" s="1450">
        <f>IF(H486=0,0,H486/E486)</f>
        <v>0</v>
      </c>
      <c r="N486" s="832"/>
      <c r="O486" s="832"/>
      <c r="Q486" s="832"/>
      <c r="R486" s="832"/>
      <c r="S486" s="832"/>
      <c r="T486" s="832"/>
      <c r="U486" s="832"/>
      <c r="V486" s="832"/>
      <c r="W486" s="832"/>
      <c r="X486" s="832"/>
    </row>
    <row r="487" spans="1:24" s="812" customFormat="1" ht="24.95" hidden="1" customHeight="1" x14ac:dyDescent="0.15">
      <c r="A487" s="2072"/>
      <c r="B487" s="833"/>
      <c r="C487" s="2"/>
      <c r="D487" s="1449" t="s">
        <v>1836</v>
      </c>
      <c r="E487" s="2"/>
      <c r="F487" s="2"/>
      <c r="G487" s="1407"/>
      <c r="H487" s="2"/>
      <c r="I487" s="2"/>
      <c r="J487" s="838" t="str">
        <f>IF(J488=0,"-","")</f>
        <v>-</v>
      </c>
      <c r="K487" s="2069"/>
      <c r="L487" s="1570"/>
      <c r="M487" s="1442"/>
      <c r="N487" s="832"/>
      <c r="O487" s="832"/>
      <c r="Q487" s="832"/>
      <c r="R487" s="832"/>
      <c r="S487" s="832"/>
      <c r="T487" s="832"/>
      <c r="U487" s="832"/>
      <c r="V487" s="832"/>
      <c r="W487" s="832"/>
      <c r="X487" s="832"/>
    </row>
    <row r="488" spans="1:24" s="812" customFormat="1" ht="39.950000000000003" hidden="1" customHeight="1" x14ac:dyDescent="0.15">
      <c r="A488" s="2072">
        <f ca="1">IF(H488&gt;0,A484+0.01,A484)</f>
        <v>6.0699999999999985</v>
      </c>
      <c r="B488" s="833">
        <f>IF(AND(M488&lt;=50,E488&lt;=30),95875,IF(AND(M488&lt;=50,E488&gt;30),93590,IF(AND(M488&gt;50,E488&lt;=30),95876,93593)))</f>
        <v>95875</v>
      </c>
      <c r="C488" s="2" t="str">
        <f>VLOOKUP($B488,[1]BOLETIM_SEL!$A:$H,2,0)</f>
        <v>SINAPI</v>
      </c>
      <c r="D488" s="315" t="str">
        <f>VLOOKUP($B488,[1]BOLETIM_SEL!$A:$H,4,0)</f>
        <v>Transporte com caminhão basculante de 10 m3, em via urbana pavimentada, DMT até 30,00 km (unidade: m3xkm). AF_07/2020</v>
      </c>
      <c r="E488" s="2">
        <f>+Dados_DMT!$B$21</f>
        <v>0</v>
      </c>
      <c r="F488" s="2" t="str">
        <f>VLOOKUP($B488,[1]BOLETIM_SEL!$A:$H,6,0)</f>
        <v>M3XKM</v>
      </c>
      <c r="G488" s="1407">
        <f>VLOOKUP($B488,[1]BOLETIM_SEL!$A:$H,7,0)</f>
        <v>2.36</v>
      </c>
      <c r="H488" s="1606">
        <f>ROUND(Dre_Fecha_Vala!H66*E488,2)</f>
        <v>0</v>
      </c>
      <c r="I488" s="876">
        <f>TRUNC(G488*(1+$J$5),2)</f>
        <v>2.87</v>
      </c>
      <c r="J488" s="1607">
        <f>TRUNC(H488*I488,2)</f>
        <v>0</v>
      </c>
      <c r="K488" s="2069">
        <f ca="1">J488/J$930</f>
        <v>0</v>
      </c>
      <c r="L488" s="1570">
        <f>J488/$J$448</f>
        <v>0</v>
      </c>
      <c r="M488" s="1450">
        <f>IF(H488=0,0,H488/E488)</f>
        <v>0</v>
      </c>
      <c r="N488" s="832"/>
      <c r="O488" s="832"/>
      <c r="Q488" s="832"/>
      <c r="R488" s="832"/>
      <c r="S488" s="832"/>
      <c r="T488" s="832"/>
      <c r="U488" s="832"/>
      <c r="V488" s="832"/>
      <c r="W488" s="832"/>
      <c r="X488" s="832"/>
    </row>
    <row r="489" spans="1:24" s="812" customFormat="1" ht="24.95" hidden="1" customHeight="1" x14ac:dyDescent="0.15">
      <c r="A489" s="2072"/>
      <c r="B489" s="833"/>
      <c r="C489" s="2"/>
      <c r="D489" s="1449" t="s">
        <v>1759</v>
      </c>
      <c r="E489" s="2"/>
      <c r="F489" s="2"/>
      <c r="G489" s="1407"/>
      <c r="H489" s="2"/>
      <c r="I489" s="2"/>
      <c r="J489" s="838" t="str">
        <f>IF(J490=0,"-","")</f>
        <v>-</v>
      </c>
      <c r="K489" s="2069"/>
      <c r="L489" s="1570"/>
      <c r="M489" s="1442"/>
      <c r="N489" s="832"/>
      <c r="O489" s="832"/>
      <c r="Q489" s="832"/>
      <c r="R489" s="832"/>
      <c r="S489" s="832"/>
      <c r="T489" s="832"/>
      <c r="U489" s="832"/>
      <c r="V489" s="832"/>
      <c r="W489" s="832"/>
      <c r="X489" s="832"/>
    </row>
    <row r="490" spans="1:24" s="812" customFormat="1" ht="39.950000000000003" hidden="1" customHeight="1" x14ac:dyDescent="0.15">
      <c r="A490" s="2072">
        <f ca="1">IF(H490&gt;0,A486+0.01,A486)</f>
        <v>6.0699999999999985</v>
      </c>
      <c r="B490" s="833">
        <f>IF(AND(M490&lt;=50,E490&lt;=30),95875,IF(AND(M490&lt;=50,E490&gt;30),93590,IF(AND(M490&gt;50,E490&lt;=30),95876,93593)))</f>
        <v>95875</v>
      </c>
      <c r="C490" s="2" t="str">
        <f>VLOOKUP($B490,[1]BOLETIM_SEL!$A:$H,2,0)</f>
        <v>SINAPI</v>
      </c>
      <c r="D490" s="315" t="str">
        <f>VLOOKUP($B490,[1]BOLETIM_SEL!$A:$H,4,0)</f>
        <v>Transporte com caminhão basculante de 10 m3, em via urbana pavimentada, DMT até 30,00 km (unidade: m3xkm). AF_07/2020</v>
      </c>
      <c r="E490" s="2">
        <f>+Dados_DMT!$B$23</f>
        <v>0</v>
      </c>
      <c r="F490" s="2" t="str">
        <f>VLOOKUP($B490,[1]BOLETIM_SEL!$A:$H,6,0)</f>
        <v>M3XKM</v>
      </c>
      <c r="G490" s="1407">
        <f>VLOOKUP($B490,[1]BOLETIM_SEL!$A:$H,7,0)</f>
        <v>2.36</v>
      </c>
      <c r="H490" s="1606">
        <f>ROUND(Dre_Fecha_Vala!H68*E490,2)</f>
        <v>0</v>
      </c>
      <c r="I490" s="876">
        <f>TRUNC(G490*(1+$J$5),2)</f>
        <v>2.87</v>
      </c>
      <c r="J490" s="1607">
        <f>TRUNC(H490*I490,2)</f>
        <v>0</v>
      </c>
      <c r="K490" s="2069">
        <f ca="1">J490/J$930</f>
        <v>0</v>
      </c>
      <c r="L490" s="1570">
        <f>J490/$J$448</f>
        <v>0</v>
      </c>
      <c r="M490" s="1450">
        <f>IF(H490=0,0,H490/E490)</f>
        <v>0</v>
      </c>
      <c r="N490" s="832"/>
      <c r="O490" s="832"/>
      <c r="Q490" s="832"/>
      <c r="R490" s="832"/>
      <c r="S490" s="832"/>
      <c r="T490" s="832"/>
      <c r="U490" s="832"/>
      <c r="V490" s="832"/>
      <c r="W490" s="832"/>
      <c r="X490" s="832"/>
    </row>
    <row r="491" spans="1:24" s="812" customFormat="1" ht="24.95" hidden="1" customHeight="1" x14ac:dyDescent="0.15">
      <c r="A491" s="2072"/>
      <c r="B491" s="833"/>
      <c r="C491" s="2"/>
      <c r="D491" s="1449" t="s">
        <v>1760</v>
      </c>
      <c r="E491" s="2"/>
      <c r="F491" s="2"/>
      <c r="G491" s="1407"/>
      <c r="H491" s="2"/>
      <c r="I491" s="2"/>
      <c r="J491" s="838" t="str">
        <f>IF(J492=0,"-","")</f>
        <v>-</v>
      </c>
      <c r="K491" s="2069"/>
      <c r="L491" s="1570"/>
      <c r="M491" s="1442"/>
      <c r="N491" s="832"/>
      <c r="O491" s="832"/>
      <c r="Q491" s="832"/>
      <c r="R491" s="832"/>
      <c r="S491" s="832"/>
      <c r="T491" s="832"/>
      <c r="U491" s="832"/>
      <c r="V491" s="832"/>
      <c r="W491" s="832"/>
      <c r="X491" s="832"/>
    </row>
    <row r="492" spans="1:24" s="812" customFormat="1" ht="39.950000000000003" hidden="1" customHeight="1" x14ac:dyDescent="0.15">
      <c r="A492" s="2072">
        <f ca="1">IF(H492&gt;0,A490+0.01,A490)</f>
        <v>6.0699999999999985</v>
      </c>
      <c r="B492" s="833">
        <f>IF(AND(M492&lt;=50,E492&lt;=30),95875,IF(AND(M492&lt;=50,E492&gt;30),93590,IF(AND(M492&gt;50,E492&lt;=30),95876,93593)))</f>
        <v>95875</v>
      </c>
      <c r="C492" s="2" t="str">
        <f>VLOOKUP($B492,[1]BOLETIM_SEL!$A:$H,2,0)</f>
        <v>SINAPI</v>
      </c>
      <c r="D492" s="315" t="str">
        <f>VLOOKUP($B492,[1]BOLETIM_SEL!$A:$H,4,0)</f>
        <v>Transporte com caminhão basculante de 10 m3, em via urbana pavimentada, DMT até 30,00 km (unidade: m3xkm). AF_07/2020</v>
      </c>
      <c r="E492" s="2">
        <f>+Dados_DMT!$B$22</f>
        <v>0</v>
      </c>
      <c r="F492" s="2" t="str">
        <f>VLOOKUP($B492,[1]BOLETIM_SEL!$A:$H,6,0)</f>
        <v>M3XKM</v>
      </c>
      <c r="G492" s="1407">
        <f>VLOOKUP($B492,[1]BOLETIM_SEL!$A:$H,7,0)</f>
        <v>2.36</v>
      </c>
      <c r="H492" s="1606">
        <f>ROUND(Dre_Fecha_Vala!H67*E492,2)</f>
        <v>0</v>
      </c>
      <c r="I492" s="876">
        <f>TRUNC(G492*(1+$J$5),2)</f>
        <v>2.87</v>
      </c>
      <c r="J492" s="1607">
        <f>TRUNC(H492*I492,2)</f>
        <v>0</v>
      </c>
      <c r="K492" s="2069">
        <f ca="1">J492/J$930</f>
        <v>0</v>
      </c>
      <c r="L492" s="1570">
        <f>J492/$J$448</f>
        <v>0</v>
      </c>
      <c r="M492" s="1450">
        <f>IF(H492=0,0,H492/E492)</f>
        <v>0</v>
      </c>
      <c r="N492" s="832"/>
      <c r="O492" s="832"/>
      <c r="Q492" s="832"/>
      <c r="R492" s="832"/>
      <c r="S492" s="832"/>
      <c r="T492" s="832"/>
      <c r="U492" s="832"/>
      <c r="V492" s="832"/>
      <c r="W492" s="832"/>
      <c r="X492" s="832"/>
    </row>
    <row r="493" spans="1:24" s="812" customFormat="1" ht="24.95" hidden="1" customHeight="1" x14ac:dyDescent="0.15">
      <c r="A493" s="2072"/>
      <c r="B493" s="833"/>
      <c r="C493" s="2"/>
      <c r="D493" s="1449" t="s">
        <v>1757</v>
      </c>
      <c r="E493" s="2"/>
      <c r="F493" s="2"/>
      <c r="G493" s="1407"/>
      <c r="H493" s="2"/>
      <c r="I493" s="2"/>
      <c r="J493" s="838" t="str">
        <f>IF(J494=0,"-","")</f>
        <v>-</v>
      </c>
      <c r="K493" s="2069"/>
      <c r="L493" s="1570"/>
      <c r="M493" s="1442"/>
      <c r="N493" s="832"/>
      <c r="O493" s="832"/>
      <c r="Q493" s="832"/>
      <c r="R493" s="832"/>
      <c r="S493" s="832"/>
      <c r="T493" s="832"/>
      <c r="U493" s="832"/>
      <c r="V493" s="832"/>
      <c r="W493" s="832"/>
      <c r="X493" s="832"/>
    </row>
    <row r="494" spans="1:24" s="812" customFormat="1" ht="39.950000000000003" hidden="1" customHeight="1" x14ac:dyDescent="0.15">
      <c r="A494" s="2072">
        <f ca="1">IF(H494&gt;0,A492+0.01,A492)</f>
        <v>6.0699999999999985</v>
      </c>
      <c r="B494" s="833">
        <f>IF(AND(M494&lt;=50,E494&lt;=30),95875,IF(AND(M494&lt;=50,E494&gt;30),93590,IF(AND(M494&gt;50,E494&lt;=30),95876,93593)))</f>
        <v>95875</v>
      </c>
      <c r="C494" s="2" t="str">
        <f>VLOOKUP($B494,[1]BOLETIM_SEL!$A:$H,2,0)</f>
        <v>SINAPI</v>
      </c>
      <c r="D494" s="315" t="str">
        <f>VLOOKUP($B494,[1]BOLETIM_SEL!$A:$H,4,0)</f>
        <v>Transporte com caminhão basculante de 10 m3, em via urbana pavimentada, DMT até 30,00 km (unidade: m3xkm). AF_07/2020</v>
      </c>
      <c r="E494" s="2">
        <f>+Dados_DMT!$B$31</f>
        <v>0</v>
      </c>
      <c r="F494" s="2" t="str">
        <f>VLOOKUP($B494,[1]BOLETIM_SEL!$A:$H,6,0)</f>
        <v>M3XKM</v>
      </c>
      <c r="G494" s="1407">
        <f>VLOOKUP($B494,[1]BOLETIM_SEL!$A:$H,7,0)</f>
        <v>2.36</v>
      </c>
      <c r="H494" s="1606">
        <f>ROUND(Dre_Fecha_Vala!H83*E494,2)</f>
        <v>0</v>
      </c>
      <c r="I494" s="876">
        <f>TRUNC(G494*(1+$J$5),2)</f>
        <v>2.87</v>
      </c>
      <c r="J494" s="1607">
        <f>TRUNC(H494*I494,2)</f>
        <v>0</v>
      </c>
      <c r="K494" s="2069">
        <f ca="1">J494/J$930</f>
        <v>0</v>
      </c>
      <c r="L494" s="1570">
        <f>J494/$J$448</f>
        <v>0</v>
      </c>
      <c r="M494" s="1450">
        <f>IF(H494=0,0,H494/E494)</f>
        <v>0</v>
      </c>
      <c r="N494" s="832"/>
      <c r="O494" s="832"/>
      <c r="Q494" s="832"/>
      <c r="R494" s="832"/>
      <c r="S494" s="832"/>
      <c r="T494" s="832"/>
      <c r="U494" s="832"/>
      <c r="V494" s="832"/>
      <c r="W494" s="832"/>
      <c r="X494" s="832"/>
    </row>
    <row r="495" spans="1:24" s="812" customFormat="1" ht="24.95" customHeight="1" x14ac:dyDescent="0.15">
      <c r="A495" s="2072"/>
      <c r="B495" s="833"/>
      <c r="C495" s="2"/>
      <c r="D495" s="1449" t="s">
        <v>1758</v>
      </c>
      <c r="E495" s="2"/>
      <c r="F495" s="2"/>
      <c r="G495" s="1407"/>
      <c r="H495" s="2"/>
      <c r="I495" s="2"/>
      <c r="J495" s="838" t="str">
        <f>IF(J496=0,"-","")</f>
        <v/>
      </c>
      <c r="K495" s="2069"/>
      <c r="L495" s="1570"/>
      <c r="M495" s="1442"/>
      <c r="N495" s="832"/>
      <c r="O495" s="832"/>
      <c r="Q495" s="832"/>
      <c r="R495" s="832"/>
      <c r="S495" s="832"/>
      <c r="T495" s="832"/>
      <c r="U495" s="832"/>
      <c r="V495" s="832"/>
      <c r="W495" s="832"/>
      <c r="X495" s="832"/>
    </row>
    <row r="496" spans="1:24" s="812" customFormat="1" ht="39.950000000000003" customHeight="1" x14ac:dyDescent="0.15">
      <c r="A496" s="2072">
        <f ca="1">IF(H496&gt;0,A494+0.01,A494)</f>
        <v>6.0799999999999983</v>
      </c>
      <c r="B496" s="833">
        <f>IF(AND(M496&lt;=50,E496&lt;=30),95879,IF(AND(M496&lt;=50,E496&gt;30),93599,IF(AND(M496&gt;50,E496&lt;=30),95879,93599)))</f>
        <v>95879</v>
      </c>
      <c r="C496" s="2" t="str">
        <f>VLOOKUP($B496,[1]BOLETIM_SEL!$A:$H,2,0)</f>
        <v>SINAPI</v>
      </c>
      <c r="D496" s="315" t="str">
        <f>VLOOKUP($B496,[1]BOLETIM_SEL!$A:$H,4,0)</f>
        <v>Transporte com caminhão basculante de 14 m3, em via urbana pavimentada, DMT até 30,00 km (unidade: txkm). AF_07/2020</v>
      </c>
      <c r="E496" s="2">
        <f>+Dados_DMT!$B$30</f>
        <v>19</v>
      </c>
      <c r="F496" s="2" t="str">
        <f>VLOOKUP($B496,[1]BOLETIM_SEL!$A:$H,6,0)</f>
        <v>TXKM</v>
      </c>
      <c r="G496" s="1407">
        <f>VLOOKUP($B496,[1]BOLETIM_SEL!$A:$H,7,0)</f>
        <v>1.4</v>
      </c>
      <c r="H496" s="1606">
        <f>ROUND(Dre_Fecha_Vala!H82*E496,2)</f>
        <v>8.17</v>
      </c>
      <c r="I496" s="876">
        <f>TRUNC(G496*(1+$J$5),2)</f>
        <v>1.7</v>
      </c>
      <c r="J496" s="1607">
        <f>TRUNC(H496*I496,2)</f>
        <v>13.88</v>
      </c>
      <c r="K496" s="2069">
        <f ca="1">J496/J$930</f>
        <v>3.77270734246423E-6</v>
      </c>
      <c r="L496" s="1570">
        <f>J496/$J$448</f>
        <v>2.2432685780780299E-2</v>
      </c>
      <c r="M496" s="1451">
        <f>IF(H496=0,0,H496/E496)</f>
        <v>0.43</v>
      </c>
      <c r="N496" s="832"/>
      <c r="O496" s="832"/>
      <c r="Q496" s="832"/>
      <c r="R496" s="832"/>
      <c r="S496" s="832"/>
      <c r="T496" s="832"/>
      <c r="U496" s="832"/>
      <c r="V496" s="832"/>
      <c r="W496" s="832"/>
      <c r="X496" s="832"/>
    </row>
    <row r="497" spans="1:24" s="812" customFormat="1" ht="24.95" hidden="1" customHeight="1" x14ac:dyDescent="0.15">
      <c r="A497" s="2072"/>
      <c r="B497" s="833"/>
      <c r="C497" s="2"/>
      <c r="D497" s="1449" t="s">
        <v>1755</v>
      </c>
      <c r="E497" s="2"/>
      <c r="F497" s="2"/>
      <c r="G497" s="1407"/>
      <c r="H497" s="2"/>
      <c r="I497" s="2"/>
      <c r="J497" s="838" t="str">
        <f>IF(J498=0,"-","")</f>
        <v>-</v>
      </c>
      <c r="K497" s="2069"/>
      <c r="L497" s="1570"/>
      <c r="M497" s="1442"/>
      <c r="N497" s="832"/>
      <c r="O497" s="832"/>
      <c r="Q497" s="832"/>
      <c r="R497" s="832"/>
      <c r="S497" s="832"/>
      <c r="T497" s="832"/>
      <c r="U497" s="832"/>
      <c r="V497" s="832"/>
      <c r="W497" s="832"/>
      <c r="X497" s="832"/>
    </row>
    <row r="498" spans="1:24" s="812" customFormat="1" ht="39.950000000000003" hidden="1" customHeight="1" x14ac:dyDescent="0.15">
      <c r="A498" s="2072">
        <f ca="1">IF(H498&gt;0,A496+0.01,A496)</f>
        <v>6.0799999999999983</v>
      </c>
      <c r="B498" s="833">
        <v>102332</v>
      </c>
      <c r="C498" s="2" t="str">
        <f>VLOOKUP($B498,[1]BOLETIM_SEL!$A:$H,2,0)</f>
        <v>SINAPI</v>
      </c>
      <c r="D498" s="315" t="str">
        <f>VLOOKUP($B498,[1]BOLETIM_SEL!$A:$H,4,0)</f>
        <v>Transporte com caminhão tanque de transporte de material asfáltico de 20.000 l, em via urbana pavimentada, DMT até 30,00 km (unidade: txkm). AF_07/2020</v>
      </c>
      <c r="E498" s="2">
        <f>+Dados_DMT!$B$25</f>
        <v>19</v>
      </c>
      <c r="F498" s="2" t="str">
        <f>VLOOKUP($B498,[1]BOLETIM_SEL!$A:$H,6,0)</f>
        <v>TXKM</v>
      </c>
      <c r="G498" s="1407">
        <f>VLOOKUP($B498,[1]BOLETIM_SEL!$A:$H,7,0)</f>
        <v>1.75</v>
      </c>
      <c r="H498" s="1606">
        <f>IF(B460="PA/0025",0,ROUND(Dre_Fecha_Vala!H79*E498,2))</f>
        <v>0</v>
      </c>
      <c r="I498" s="876">
        <f>TRUNC(G498*(1+$J$5),2)</f>
        <v>2.13</v>
      </c>
      <c r="J498" s="1607">
        <f>TRUNC(H498*I498,2)</f>
        <v>0</v>
      </c>
      <c r="K498" s="2069">
        <f ca="1">J498/J$930</f>
        <v>0</v>
      </c>
      <c r="L498" s="1570">
        <f>J498/$J$448</f>
        <v>0</v>
      </c>
      <c r="M498" s="1451">
        <f>IF(H498=0,0,H498/E498)</f>
        <v>0</v>
      </c>
      <c r="N498" s="832"/>
      <c r="O498" s="832"/>
      <c r="Q498" s="832"/>
      <c r="R498" s="832"/>
      <c r="S498" s="832"/>
      <c r="T498" s="832"/>
      <c r="U498" s="832"/>
      <c r="V498" s="832"/>
      <c r="W498" s="832"/>
      <c r="X498" s="832"/>
    </row>
    <row r="499" spans="1:24" s="812" customFormat="1" ht="24.95" customHeight="1" x14ac:dyDescent="0.15">
      <c r="A499" s="2072"/>
      <c r="B499" s="833"/>
      <c r="C499" s="2"/>
      <c r="D499" s="1449" t="s">
        <v>1754</v>
      </c>
      <c r="E499" s="2"/>
      <c r="F499" s="2"/>
      <c r="G499" s="1407"/>
      <c r="H499" s="2"/>
      <c r="I499" s="2"/>
      <c r="J499" s="838" t="str">
        <f>IF(J500=0,"-","")</f>
        <v/>
      </c>
      <c r="K499" s="2069"/>
      <c r="L499" s="1570"/>
      <c r="M499" s="1442"/>
      <c r="N499" s="832"/>
      <c r="O499" s="832"/>
      <c r="Q499" s="832"/>
      <c r="R499" s="832"/>
      <c r="S499" s="832"/>
      <c r="T499" s="832"/>
      <c r="U499" s="832"/>
      <c r="V499" s="832"/>
      <c r="W499" s="832"/>
      <c r="X499" s="832"/>
    </row>
    <row r="500" spans="1:24" s="812" customFormat="1" ht="39.950000000000003" customHeight="1" x14ac:dyDescent="0.15">
      <c r="A500" s="2072">
        <f ca="1">IF(H500&gt;0,A498+0.01,A498)</f>
        <v>6.0899999999999981</v>
      </c>
      <c r="B500" s="833">
        <v>102332</v>
      </c>
      <c r="C500" s="2" t="str">
        <f>VLOOKUP($B500,[1]BOLETIM_SEL!$A:$H,2,0)</f>
        <v>SINAPI</v>
      </c>
      <c r="D500" s="315" t="str">
        <f>VLOOKUP($B500,[1]BOLETIM_SEL!$A:$H,4,0)</f>
        <v>Transporte com caminhão tanque de transporte de material asfáltico de 20.000 l, em via urbana pavimentada, DMT até 30,00 km (unidade: txkm). AF_07/2020</v>
      </c>
      <c r="E500" s="2">
        <f>+Dados_DMT!$B$25</f>
        <v>19</v>
      </c>
      <c r="F500" s="2" t="str">
        <f>VLOOKUP($B500,[1]BOLETIM_SEL!$A:$H,6,0)</f>
        <v>TXKM</v>
      </c>
      <c r="G500" s="1407">
        <f>VLOOKUP($B500,[1]BOLETIM_SEL!$A:$H,7,0)</f>
        <v>1.75</v>
      </c>
      <c r="H500" s="1606">
        <f>IF(B460="PA/0025",ROUND(Dre_Fecha_Vala!H79*E500,2),0)+ROUND(Dre_Fecha_Vala!H80*E500,2)</f>
        <v>0.19</v>
      </c>
      <c r="I500" s="876">
        <f>TRUNC(G500*(1+$J$5),2)</f>
        <v>2.13</v>
      </c>
      <c r="J500" s="1607">
        <f>TRUNC(H500*I500,2)</f>
        <v>0.4</v>
      </c>
      <c r="K500" s="2069">
        <f ca="1">J500/J$930</f>
        <v>1.0872355453787407E-7</v>
      </c>
      <c r="L500" s="1570">
        <f>J500/$J$448</f>
        <v>6.4647509454698274E-4</v>
      </c>
      <c r="M500" s="1451">
        <f>IF(H500=0,0,H500/E500)</f>
        <v>0.01</v>
      </c>
      <c r="N500" s="832"/>
      <c r="O500" s="832"/>
      <c r="Q500" s="832"/>
      <c r="R500" s="832"/>
      <c r="S500" s="832"/>
      <c r="T500" s="832"/>
      <c r="U500" s="832"/>
      <c r="V500" s="832"/>
      <c r="W500" s="832"/>
      <c r="X500" s="832"/>
    </row>
    <row r="501" spans="1:24" s="812" customFormat="1" ht="24.95" hidden="1" customHeight="1" x14ac:dyDescent="0.15">
      <c r="A501" s="2072"/>
      <c r="B501" s="833"/>
      <c r="C501" s="2"/>
      <c r="D501" s="1449" t="s">
        <v>1789</v>
      </c>
      <c r="E501" s="2"/>
      <c r="F501" s="2"/>
      <c r="G501" s="1407"/>
      <c r="H501" s="2"/>
      <c r="I501" s="2"/>
      <c r="J501" s="838" t="str">
        <f>IF(J502=0,"-","")</f>
        <v>-</v>
      </c>
      <c r="K501" s="2069"/>
      <c r="L501" s="1570"/>
      <c r="M501" s="1442"/>
      <c r="N501" s="832"/>
      <c r="O501" s="832"/>
      <c r="Q501" s="832"/>
      <c r="R501" s="832"/>
      <c r="S501" s="832"/>
      <c r="T501" s="832"/>
      <c r="U501" s="832"/>
      <c r="V501" s="832"/>
      <c r="W501" s="832"/>
      <c r="X501" s="832"/>
    </row>
    <row r="502" spans="1:24" s="812" customFormat="1" ht="39.950000000000003" hidden="1" customHeight="1" x14ac:dyDescent="0.15">
      <c r="A502" s="2072">
        <f ca="1">IF(H502&gt;0,A500+0.01,A500)</f>
        <v>6.0899999999999981</v>
      </c>
      <c r="B502" s="833">
        <v>102332</v>
      </c>
      <c r="C502" s="2" t="str">
        <f>VLOOKUP($B502,[1]BOLETIM_SEL!$A:$H,2,0)</f>
        <v>SINAPI</v>
      </c>
      <c r="D502" s="315" t="str">
        <f>VLOOKUP($B502,[1]BOLETIM_SEL!$A:$H,4,0)</f>
        <v>Transporte com caminhão tanque de transporte de material asfáltico de 20.000 l, em via urbana pavimentada, DMT até 30,00 km (unidade: txkm). AF_07/2020</v>
      </c>
      <c r="E502" s="2">
        <f>+Dados_DMT!$B$26</f>
        <v>0</v>
      </c>
      <c r="F502" s="2" t="str">
        <f>VLOOKUP($B502,[1]BOLETIM_SEL!$A:$H,6,0)</f>
        <v>TXKM</v>
      </c>
      <c r="G502" s="1407">
        <f>VLOOKUP($B502,[1]BOLETIM_SEL!$A:$H,7,0)</f>
        <v>1.75</v>
      </c>
      <c r="H502" s="1606">
        <f>ROUND(Dre_Fecha_Vala!H81*E502,2)</f>
        <v>0</v>
      </c>
      <c r="I502" s="876">
        <f>TRUNC(G502*(1+$J$5),2)</f>
        <v>2.13</v>
      </c>
      <c r="J502" s="1607">
        <f>TRUNC(H502*I502,2)</f>
        <v>0</v>
      </c>
      <c r="K502" s="2069">
        <f ca="1">J502/J$930</f>
        <v>0</v>
      </c>
      <c r="L502" s="1570">
        <f>J502/$J$448</f>
        <v>0</v>
      </c>
      <c r="M502" s="1451">
        <f>IF(H502=0,0,H502/E502)</f>
        <v>0</v>
      </c>
      <c r="N502" s="832"/>
      <c r="O502" s="832"/>
      <c r="Q502" s="832"/>
      <c r="R502" s="832"/>
      <c r="S502" s="832"/>
      <c r="T502" s="832"/>
      <c r="U502" s="832"/>
      <c r="V502" s="832"/>
      <c r="W502" s="832"/>
      <c r="X502" s="832"/>
    </row>
    <row r="503" spans="1:24" s="812" customFormat="1" ht="24.95" hidden="1" customHeight="1" x14ac:dyDescent="0.15">
      <c r="A503" s="2072"/>
      <c r="B503" s="833"/>
      <c r="C503" s="2"/>
      <c r="D503" s="1449" t="s">
        <v>1756</v>
      </c>
      <c r="E503" s="2"/>
      <c r="F503" s="2"/>
      <c r="G503" s="1407"/>
      <c r="H503" s="2"/>
      <c r="I503" s="2"/>
      <c r="J503" s="838" t="str">
        <f>IF(J504=0,"-","")</f>
        <v>-</v>
      </c>
      <c r="K503" s="2069"/>
      <c r="L503" s="1570"/>
      <c r="M503" s="1442"/>
      <c r="N503" s="832"/>
      <c r="O503" s="832"/>
      <c r="Q503" s="832"/>
      <c r="R503" s="832"/>
      <c r="S503" s="832"/>
      <c r="T503" s="832"/>
      <c r="U503" s="832"/>
      <c r="V503" s="832"/>
      <c r="W503" s="832"/>
      <c r="X503" s="832"/>
    </row>
    <row r="504" spans="1:24" s="812" customFormat="1" ht="39.950000000000003" hidden="1" customHeight="1" x14ac:dyDescent="0.15">
      <c r="A504" s="2072">
        <f ca="1">IF(H504&gt;0,A502+0.01,A502)</f>
        <v>6.0899999999999981</v>
      </c>
      <c r="B504" s="833">
        <v>102333</v>
      </c>
      <c r="C504" s="2" t="str">
        <f>VLOOKUP($B504,[1]BOLETIM_SEL!$A:$H,2,0)</f>
        <v>SINAPI</v>
      </c>
      <c r="D504" s="315" t="str">
        <f>VLOOKUP($B504,[1]BOLETIM_SEL!$A:$H,4,0)</f>
        <v>Transporte com caminhão tanque de transporte de material asfáltico de 20.000 l, em via urbana pavimentada, adicional para DMT excedente a 30,00 km (unidade: txkm). AF_07/2020</v>
      </c>
      <c r="E504" s="2">
        <f>+Dados_DMT!$B$27</f>
        <v>0</v>
      </c>
      <c r="F504" s="2" t="str">
        <f>VLOOKUP($B504,[1]BOLETIM_SEL!$A:$H,6,0)</f>
        <v>TXKM</v>
      </c>
      <c r="G504" s="1407">
        <f>VLOOKUP($B504,[1]BOLETIM_SEL!$A:$H,7,0)</f>
        <v>0.7</v>
      </c>
      <c r="H504" s="1606">
        <f>ROUND(Dre_Fecha_Vala!H78*E504,2)</f>
        <v>0</v>
      </c>
      <c r="I504" s="876">
        <f>TRUNC(G504*(1+$J$5),2)</f>
        <v>0.85</v>
      </c>
      <c r="J504" s="1607">
        <f>TRUNC(H504*I504,2)</f>
        <v>0</v>
      </c>
      <c r="K504" s="2069">
        <f ca="1">J504/J$930</f>
        <v>0</v>
      </c>
      <c r="L504" s="1570">
        <f>J504/$J$448</f>
        <v>0</v>
      </c>
      <c r="M504" s="1451">
        <f>IF(H504=0,0,H504/E504)</f>
        <v>0</v>
      </c>
      <c r="N504" s="832"/>
      <c r="O504" s="832"/>
      <c r="Q504" s="832"/>
      <c r="R504" s="832"/>
      <c r="S504" s="832"/>
      <c r="T504" s="832"/>
      <c r="U504" s="832"/>
      <c r="V504" s="832"/>
      <c r="W504" s="832"/>
      <c r="X504" s="832"/>
    </row>
    <row r="505" spans="1:24" s="812" customFormat="1" ht="24.95" customHeight="1" x14ac:dyDescent="0.15">
      <c r="A505" s="2072"/>
      <c r="B505" s="833"/>
      <c r="C505" s="833"/>
      <c r="D505" s="834"/>
      <c r="E505" s="2"/>
      <c r="F505" s="833"/>
      <c r="G505" s="1814"/>
      <c r="H505" s="1"/>
      <c r="I505" s="876"/>
      <c r="J505" s="838" t="str">
        <f>IF(J448=0,0,"")</f>
        <v/>
      </c>
      <c r="K505" s="2069"/>
      <c r="L505" s="1570"/>
      <c r="M505" s="1443"/>
      <c r="N505" s="832"/>
      <c r="O505" s="832"/>
      <c r="Q505" s="832"/>
      <c r="R505" s="832"/>
      <c r="S505" s="832"/>
      <c r="T505" s="832"/>
      <c r="U505" s="832"/>
      <c r="V505" s="832"/>
      <c r="W505" s="832"/>
      <c r="X505" s="832"/>
    </row>
    <row r="506" spans="1:24" s="832" customFormat="1" ht="24.95" hidden="1" customHeight="1" x14ac:dyDescent="0.15">
      <c r="A506" s="2073">
        <f ca="1">IF(J506&gt;0,INT(A504)+1,IF(J506=0,INT(A504),0))</f>
        <v>6</v>
      </c>
      <c r="B506" s="1626"/>
      <c r="C506" s="1626"/>
      <c r="D506" s="1634" t="s">
        <v>1007</v>
      </c>
      <c r="E506" s="1821"/>
      <c r="F506" s="1628"/>
      <c r="G506" s="1813" t="s">
        <v>648</v>
      </c>
      <c r="H506" s="1630"/>
      <c r="I506" s="1633" t="str">
        <f ca="1">CONCATENATE("SUB-TOTAL ",A506)</f>
        <v>SUB-TOTAL 6</v>
      </c>
      <c r="J506" s="1632">
        <f>SUM(J507:J580)</f>
        <v>0</v>
      </c>
      <c r="K506" s="2070">
        <f t="shared" ref="K506:K542" ca="1" si="180">J506/J$930</f>
        <v>0</v>
      </c>
      <c r="L506" s="1605" t="e">
        <f>J506/$J$506</f>
        <v>#DIV/0!</v>
      </c>
    </row>
    <row r="507" spans="1:24" s="812" customFormat="1" ht="39.950000000000003" hidden="1" customHeight="1" x14ac:dyDescent="0.15">
      <c r="A507" s="2072">
        <f t="shared" ref="A507:A542" ca="1" si="181">IF(H507&gt;0,A506+0.01,A506)</f>
        <v>6</v>
      </c>
      <c r="B507" s="833" t="s">
        <v>1765</v>
      </c>
      <c r="C507" s="2" t="str">
        <f>VLOOKUP($B507,[1]BOLETIM_SEL!$A:$H,2,0)</f>
        <v>COMPOSIÇÃO</v>
      </c>
      <c r="D507" s="315" t="str">
        <f>VLOOKUP($B507,[1]BOLETIM_SEL!$A:$H,4,0)</f>
        <v>Correção de defeitos por fresagem descontínua, com emprego de fresadora e minicarregadeira (REF. SICRO COD. 4915705, data 01/2020)</v>
      </c>
      <c r="E507" s="2"/>
      <c r="F507" s="2" t="str">
        <f>VLOOKUP($B507,[1]BOLETIM_SEL!$A:$H,6,0)</f>
        <v>M3</v>
      </c>
      <c r="G507" s="1407">
        <f>VLOOKUP($B507,[1]BOLETIM_SEL!$A:$H,7,0)</f>
        <v>320.83</v>
      </c>
      <c r="H507" s="1606">
        <f>+Recap_Previo!J11</f>
        <v>0</v>
      </c>
      <c r="I507" s="876">
        <f t="shared" ref="I507:I526" si="182">TRUNC(G507*(1+$J$5),2)</f>
        <v>391.41</v>
      </c>
      <c r="J507" s="1607">
        <f t="shared" ref="J507:J576" si="183">TRUNC(H507*I507,2)</f>
        <v>0</v>
      </c>
      <c r="K507" s="2069">
        <f t="shared" ca="1" si="180"/>
        <v>0</v>
      </c>
      <c r="L507" s="1570" t="e">
        <f t="shared" ref="L507:L574" si="184">J507/$J$506</f>
        <v>#DIV/0!</v>
      </c>
      <c r="M507" s="1442"/>
      <c r="N507" s="832"/>
      <c r="O507" s="832"/>
      <c r="Q507" s="832"/>
      <c r="R507" s="832"/>
      <c r="S507" s="832"/>
      <c r="T507" s="832"/>
      <c r="U507" s="832"/>
      <c r="V507" s="832"/>
      <c r="W507" s="832"/>
      <c r="X507" s="832"/>
    </row>
    <row r="508" spans="1:24" s="812" customFormat="1" ht="39.950000000000003" hidden="1" customHeight="1" x14ac:dyDescent="0.15">
      <c r="A508" s="2072">
        <f t="shared" ca="1" si="181"/>
        <v>6</v>
      </c>
      <c r="B508" s="833" t="s">
        <v>1766</v>
      </c>
      <c r="C508" s="2" t="str">
        <f>VLOOKUP($B508,[1]BOLETIM_SEL!$A:$H,2,0)</f>
        <v>COMPOSIÇÃO</v>
      </c>
      <c r="D508" s="315" t="str">
        <f>VLOOKUP($B508,[1]BOLETIM_SEL!$A:$H,4,0)</f>
        <v>Remendo superfcial (tapa buraco), com requadramento mecânico, escavação, compactação da mistura betuminosa e carga do entulho. Exclusive materiais e bota-fora (REF. SICRO COD. 4915757)</v>
      </c>
      <c r="E508" s="2"/>
      <c r="F508" s="2" t="str">
        <f>VLOOKUP($B508,[1]BOLETIM_SEL!$A:$H,6,0)</f>
        <v>M3</v>
      </c>
      <c r="G508" s="1407">
        <f>VLOOKUP($B508,[1]BOLETIM_SEL!$A:$H,7,0)</f>
        <v>221.53</v>
      </c>
      <c r="H508" s="1606">
        <f>+Recap_Previo!J15</f>
        <v>0</v>
      </c>
      <c r="I508" s="876">
        <f t="shared" si="182"/>
        <v>270.26</v>
      </c>
      <c r="J508" s="1607">
        <f t="shared" si="183"/>
        <v>0</v>
      </c>
      <c r="K508" s="2069">
        <f t="shared" ca="1" si="180"/>
        <v>0</v>
      </c>
      <c r="L508" s="1570" t="e">
        <f t="shared" si="184"/>
        <v>#DIV/0!</v>
      </c>
      <c r="M508" s="1442"/>
      <c r="N508" s="832"/>
      <c r="O508" s="832"/>
      <c r="Q508" s="832"/>
      <c r="R508" s="832"/>
      <c r="S508" s="832"/>
      <c r="T508" s="832"/>
      <c r="U508" s="832"/>
      <c r="V508" s="832"/>
      <c r="W508" s="832"/>
      <c r="X508" s="832"/>
    </row>
    <row r="509" spans="1:24" s="812" customFormat="1" ht="39.950000000000003" hidden="1" customHeight="1" x14ac:dyDescent="0.15">
      <c r="A509" s="2072">
        <f t="shared" ca="1" si="181"/>
        <v>6</v>
      </c>
      <c r="B509" s="833" t="s">
        <v>1767</v>
      </c>
      <c r="C509" s="2" t="str">
        <f>VLOOKUP($B509,[1]BOLETIM_SEL!$A:$H,2,0)</f>
        <v>COMPOSIÇÃO</v>
      </c>
      <c r="D509" s="315" t="str">
        <f>VLOOKUP($B509,[1]BOLETIM_SEL!$A:$H,4,0)</f>
        <v>Remendo profundo, com requadramento mecânico, escavação, compactação do material de base e da mistura betuminosa e carga do entulho. Exclusive materiais e bota-fora (REF. SICRO COD. 4915746)</v>
      </c>
      <c r="E509" s="2"/>
      <c r="F509" s="2" t="str">
        <f>VLOOKUP($B509,[1]BOLETIM_SEL!$A:$H,6,0)</f>
        <v>M3</v>
      </c>
      <c r="G509" s="1407">
        <f>VLOOKUP($B509,[1]BOLETIM_SEL!$A:$H,7,0)</f>
        <v>128.46</v>
      </c>
      <c r="H509" s="1606">
        <f>+Recap_Previo!J19</f>
        <v>0</v>
      </c>
      <c r="I509" s="876">
        <f t="shared" si="182"/>
        <v>156.72</v>
      </c>
      <c r="J509" s="1607">
        <f t="shared" si="183"/>
        <v>0</v>
      </c>
      <c r="K509" s="2069">
        <f t="shared" ca="1" si="180"/>
        <v>0</v>
      </c>
      <c r="L509" s="1570" t="e">
        <f t="shared" si="184"/>
        <v>#DIV/0!</v>
      </c>
      <c r="M509" s="1442"/>
      <c r="N509" s="832"/>
      <c r="O509" s="832"/>
      <c r="Q509" s="832"/>
      <c r="R509" s="832"/>
      <c r="S509" s="832"/>
      <c r="T509" s="832"/>
      <c r="U509" s="832"/>
      <c r="V509" s="832"/>
      <c r="W509" s="832"/>
      <c r="X509" s="832"/>
    </row>
    <row r="510" spans="1:24" s="812" customFormat="1" ht="50.1" hidden="1" customHeight="1" x14ac:dyDescent="0.15">
      <c r="A510" s="2072">
        <f t="shared" ca="1" si="181"/>
        <v>6</v>
      </c>
      <c r="B510" s="833">
        <v>90105</v>
      </c>
      <c r="C510" s="2" t="str">
        <f>VLOOKUP($B510,[1]BOLETIM_SEL!$A:$H,2,0)</f>
        <v>SINAPI</v>
      </c>
      <c r="D510" s="315" t="str">
        <f>VLOOKUP($B510,[1]BOLETIM_SEL!$A:$H,4,0)</f>
        <v>Escavação mecanizada de vala com profundidade até 1,50 m (média entre montante e jusante / uma composição por trecho) com retroescavadeira (capacidade da caçamba: 0,26 m3 / potência: 88 HP), largura menor que 0,80 m, em solo de 1a categoria, locais com baixo nível de interferência. AF_01/2015</v>
      </c>
      <c r="E510" s="2"/>
      <c r="F510" s="2" t="str">
        <f>VLOOKUP($B510,[1]BOLETIM_SEL!$A:$H,6,0)</f>
        <v>M3</v>
      </c>
      <c r="G510" s="1407">
        <f>VLOOKUP($B510,[1]BOLETIM_SEL!$A:$H,7,0)</f>
        <v>8.52</v>
      </c>
      <c r="H510" s="1606">
        <f>+Recap_Previo!J28</f>
        <v>0</v>
      </c>
      <c r="I510" s="876">
        <f t="shared" si="182"/>
        <v>10.39</v>
      </c>
      <c r="J510" s="1607">
        <f t="shared" si="183"/>
        <v>0</v>
      </c>
      <c r="K510" s="2069">
        <f t="shared" ca="1" si="180"/>
        <v>0</v>
      </c>
      <c r="L510" s="1570" t="e">
        <f t="shared" si="184"/>
        <v>#DIV/0!</v>
      </c>
      <c r="M510" s="1442"/>
      <c r="N510" s="832"/>
      <c r="O510" s="832"/>
      <c r="Q510" s="832"/>
      <c r="R510" s="832"/>
      <c r="S510" s="832"/>
      <c r="T510" s="832"/>
      <c r="U510" s="832"/>
      <c r="V510" s="832"/>
      <c r="W510" s="832"/>
      <c r="X510" s="832"/>
    </row>
    <row r="511" spans="1:24" s="812" customFormat="1" ht="39.950000000000003" hidden="1" customHeight="1" x14ac:dyDescent="0.15">
      <c r="A511" s="2072">
        <f t="shared" ca="1" si="181"/>
        <v>6</v>
      </c>
      <c r="B511" s="833" t="s">
        <v>195</v>
      </c>
      <c r="C511" s="2" t="str">
        <f>VLOOKUP($B511,[1]BOLETIM_SEL!$A:$H,2,0)</f>
        <v>COMPOSIÇÃO</v>
      </c>
      <c r="D511" s="315" t="str">
        <f>VLOOKUP($B511,[1]BOLETIM_SEL!$A:$H,4,0)</f>
        <v>Colchão de rachão e/ou pedra-de-mão, com camada final de pedra brita. Fornecimento e execução. Exclusive transporte da pedra</v>
      </c>
      <c r="E511" s="2"/>
      <c r="F511" s="2" t="str">
        <f>VLOOKUP($B511,[1]BOLETIM_SEL!$A:$H,6,0)</f>
        <v>M3</v>
      </c>
      <c r="G511" s="1407">
        <f>VLOOKUP($B511,[1]BOLETIM_SEL!$A:$H,7,0)</f>
        <v>148.07</v>
      </c>
      <c r="H511" s="1606">
        <f>+Recap_Previo!J32</f>
        <v>0</v>
      </c>
      <c r="I511" s="876">
        <f t="shared" si="182"/>
        <v>180.64</v>
      </c>
      <c r="J511" s="1607">
        <f t="shared" si="183"/>
        <v>0</v>
      </c>
      <c r="K511" s="2069">
        <f t="shared" ca="1" si="180"/>
        <v>0</v>
      </c>
      <c r="L511" s="1570" t="e">
        <f t="shared" si="184"/>
        <v>#DIV/0!</v>
      </c>
      <c r="M511" s="1442"/>
      <c r="N511" s="832"/>
      <c r="O511" s="832"/>
      <c r="Q511" s="832"/>
      <c r="R511" s="832"/>
      <c r="S511" s="832"/>
      <c r="T511" s="832"/>
      <c r="U511" s="832"/>
      <c r="V511" s="832"/>
      <c r="W511" s="832"/>
      <c r="X511" s="832"/>
    </row>
    <row r="512" spans="1:24" s="812" customFormat="1" ht="39.950000000000003" hidden="1" customHeight="1" x14ac:dyDescent="0.15">
      <c r="A512" s="2072">
        <f t="shared" ca="1" si="181"/>
        <v>6</v>
      </c>
      <c r="B512" s="833" t="s">
        <v>1675</v>
      </c>
      <c r="C512" s="2" t="str">
        <f>VLOOKUP($B512,[1]BOLETIM_SEL!$A:$H,2,0)</f>
        <v>COMPOSIÇÃO</v>
      </c>
      <c r="D512" s="315" t="str">
        <f>VLOOKUP($B512,[1]BOLETIM_SEL!$A:$H,4,0)</f>
        <v>Lastro ou enrocamento de pedra-de-mão ou rachão lançado, fornecimento e apiloamento. Exclusive transporte, ref SINAPI 73697, data 01/2020 e SINAPI 92744.</v>
      </c>
      <c r="E512" s="2"/>
      <c r="F512" s="2" t="str">
        <f>VLOOKUP($B512,[1]BOLETIM_SEL!$A:$H,6,0)</f>
        <v>M3</v>
      </c>
      <c r="G512" s="1407">
        <f>VLOOKUP($B512,[1]BOLETIM_SEL!$A:$H,7,0)</f>
        <v>266.85000000000002</v>
      </c>
      <c r="H512" s="1606">
        <f>+Recap_Previo!J33</f>
        <v>0</v>
      </c>
      <c r="I512" s="876">
        <f t="shared" ref="I512:I515" si="185">TRUNC(G512*(1+$J$5),2)</f>
        <v>325.55</v>
      </c>
      <c r="J512" s="1607">
        <f t="shared" ref="J512:J515" si="186">TRUNC(H512*I512,2)</f>
        <v>0</v>
      </c>
      <c r="K512" s="2069">
        <f t="shared" ca="1" si="180"/>
        <v>0</v>
      </c>
      <c r="L512" s="1570" t="e">
        <f t="shared" ref="L512:L515" si="187">J512/$J$506</f>
        <v>#DIV/0!</v>
      </c>
      <c r="M512" s="1442"/>
      <c r="N512" s="832"/>
      <c r="O512" s="832"/>
      <c r="Q512" s="832"/>
      <c r="R512" s="832"/>
      <c r="S512" s="832"/>
      <c r="T512" s="832"/>
      <c r="U512" s="832"/>
      <c r="V512" s="832"/>
      <c r="W512" s="832"/>
      <c r="X512" s="832"/>
    </row>
    <row r="513" spans="1:24" s="812" customFormat="1" ht="50.1" hidden="1" customHeight="1" x14ac:dyDescent="0.15">
      <c r="A513" s="2072">
        <f t="shared" ca="1" si="181"/>
        <v>6</v>
      </c>
      <c r="B513" s="833">
        <v>101230</v>
      </c>
      <c r="C513" s="2" t="str">
        <f>+VLOOKUP($B513,[1]BOLETIM_SEL!$A:$H,2,0)</f>
        <v>SINAPI</v>
      </c>
      <c r="D513" s="315" t="str">
        <f>+VLOOKUP($B513,[1]BOLETIM_SEL!$A:$H,4,0)</f>
        <v>Escavação vertical a céu aberto, em obras de infraestrutura, incluindo carga, descarga e transporte, em solo de 1a categoria com escavadeira hidráulica (caçamba: 0,80 m3 / 111 HP), frota de 3 caminhões basculantes de 14 m3, DMT até 1 km e velocidade média 14 km/h. AF_05/2020</v>
      </c>
      <c r="E513" s="2"/>
      <c r="F513" s="2" t="str">
        <f>+VLOOKUP($B513,[1]BOLETIM_SEL!$A:$H,6,0)</f>
        <v>M3</v>
      </c>
      <c r="G513" s="1407">
        <f>VLOOKUP($B513,[1]BOLETIM_SEL!$A:$H,7,0)</f>
        <v>10.75</v>
      </c>
      <c r="H513" s="1606">
        <f>IF(H514=0,Recap_Previo!J127,0)</f>
        <v>0</v>
      </c>
      <c r="I513" s="876">
        <f t="shared" ref="I513:I514" si="188">TRUNC(G513*(1+$J$5),2)</f>
        <v>13.11</v>
      </c>
      <c r="J513" s="1607">
        <f t="shared" ref="J513:J514" si="189">TRUNC(H513*I513,2)</f>
        <v>0</v>
      </c>
      <c r="K513" s="2069">
        <f t="shared" ca="1" si="180"/>
        <v>0</v>
      </c>
      <c r="L513" s="1570" t="e">
        <f t="shared" ref="L513:L514" si="190">J513/$J$506</f>
        <v>#DIV/0!</v>
      </c>
      <c r="M513" s="1442"/>
      <c r="N513" s="832"/>
      <c r="O513" s="832"/>
      <c r="Q513" s="832"/>
      <c r="R513" s="832"/>
      <c r="S513" s="832"/>
      <c r="T513" s="832"/>
      <c r="U513" s="832"/>
      <c r="V513" s="832"/>
      <c r="W513" s="832"/>
      <c r="X513" s="832"/>
    </row>
    <row r="514" spans="1:24" s="812" customFormat="1" ht="39.950000000000003" hidden="1" customHeight="1" x14ac:dyDescent="0.15">
      <c r="A514" s="2072">
        <f t="shared" ca="1" si="181"/>
        <v>6</v>
      </c>
      <c r="B514" s="833">
        <v>6079</v>
      </c>
      <c r="C514" s="2" t="str">
        <f>+VLOOKUP($B514,[1]BOLETIM_SEL!$A:$H,2,0)</f>
        <v>COTAÇÃO - SINAPI</v>
      </c>
      <c r="D514" s="315" t="str">
        <f>+VLOOKUP($B514,[1]BOLETIM_SEL!$A:$H,4,0)</f>
        <v>Argila, argila vermelha ou argila arenosa (retirada na jazida, sem transporte)</v>
      </c>
      <c r="E514" s="2"/>
      <c r="F514" s="2" t="str">
        <f>+VLOOKUP($B514,[1]BOLETIM_SEL!$A:$H,6,0)</f>
        <v xml:space="preserve">M3    </v>
      </c>
      <c r="G514" s="1407">
        <f>VLOOKUP($B514,[1]BOLETIM_SEL!$A:$H,7,0)</f>
        <v>36.51</v>
      </c>
      <c r="H514" s="1606">
        <f>IF(M514="COMERCIAL",Recap_Previo!J127,0)</f>
        <v>0</v>
      </c>
      <c r="I514" s="876">
        <f t="shared" si="188"/>
        <v>44.54</v>
      </c>
      <c r="J514" s="1607">
        <f t="shared" si="189"/>
        <v>0</v>
      </c>
      <c r="K514" s="2069">
        <f t="shared" ca="1" si="180"/>
        <v>0</v>
      </c>
      <c r="L514" s="1570" t="e">
        <f t="shared" si="190"/>
        <v>#DIV/0!</v>
      </c>
      <c r="M514" s="1585" t="s">
        <v>410</v>
      </c>
      <c r="N514" s="832"/>
      <c r="O514" s="832"/>
      <c r="Q514" s="832"/>
      <c r="R514" s="832"/>
      <c r="S514" s="832"/>
      <c r="T514" s="832"/>
      <c r="U514" s="832"/>
      <c r="V514" s="832"/>
      <c r="W514" s="832"/>
      <c r="X514" s="832"/>
    </row>
    <row r="515" spans="1:24" s="812" customFormat="1" ht="39.950000000000003" hidden="1" customHeight="1" x14ac:dyDescent="0.15">
      <c r="A515" s="2072">
        <f t="shared" ca="1" si="181"/>
        <v>6</v>
      </c>
      <c r="B515" s="833">
        <f>IF(M515="arenoso",96386,96385)</f>
        <v>96386</v>
      </c>
      <c r="C515" s="2" t="str">
        <f>+VLOOKUP($B515,[1]BOLETIM_SEL!$A:$H,2,0)</f>
        <v>SINAPI</v>
      </c>
      <c r="D515" s="315" t="str">
        <f>+VLOOKUP($B515,[1]BOLETIM_SEL!$A:$H,4,0)</f>
        <v>Execução e compactação de aterro com solo predominantemente arenoso - exclusive solo, escavação, carga e transporte. AF_11/2019</v>
      </c>
      <c r="E515" s="2"/>
      <c r="F515" s="2" t="str">
        <f>+VLOOKUP($B515,[1]BOLETIM_SEL!$A:$H,6,0)</f>
        <v>M3</v>
      </c>
      <c r="G515" s="1407">
        <f>VLOOKUP($B515,[1]BOLETIM_SEL!$A:$H,7,0)</f>
        <v>8.4700000000000006</v>
      </c>
      <c r="H515" s="1606">
        <f>+Recap_Previo!J36</f>
        <v>0</v>
      </c>
      <c r="I515" s="876">
        <f t="shared" si="185"/>
        <v>10.33</v>
      </c>
      <c r="J515" s="1607">
        <f t="shared" si="186"/>
        <v>0</v>
      </c>
      <c r="K515" s="2069">
        <f t="shared" ca="1" si="180"/>
        <v>0</v>
      </c>
      <c r="L515" s="1570" t="e">
        <f t="shared" si="187"/>
        <v>#DIV/0!</v>
      </c>
      <c r="M515" s="1585" t="s">
        <v>1799</v>
      </c>
      <c r="N515" s="832"/>
      <c r="O515" s="832"/>
      <c r="Q515" s="832"/>
      <c r="R515" s="832"/>
      <c r="S515" s="832"/>
      <c r="T515" s="832"/>
      <c r="U515" s="832"/>
      <c r="V515" s="832"/>
      <c r="W515" s="832"/>
      <c r="X515" s="832"/>
    </row>
    <row r="516" spans="1:24" s="812" customFormat="1" ht="30" hidden="1" customHeight="1" x14ac:dyDescent="0.15">
      <c r="A516" s="2072">
        <f t="shared" ca="1" si="181"/>
        <v>6</v>
      </c>
      <c r="B516" s="833">
        <v>94319</v>
      </c>
      <c r="C516" s="2" t="str">
        <f>VLOOKUP($B516,[1]BOLETIM_SEL!$A:$H,2,0)</f>
        <v>SINAPI</v>
      </c>
      <c r="D516" s="315" t="str">
        <f>VLOOKUP($B516,[1]BOLETIM_SEL!$A:$H,4,0)</f>
        <v>Aterro manual de valas com solo argilo-arenoso e compactação mecanizada. AF_05/2016</v>
      </c>
      <c r="E516" s="2"/>
      <c r="F516" s="2" t="str">
        <f>VLOOKUP($B516,[1]BOLETIM_SEL!$A:$H,6,0)</f>
        <v>M3</v>
      </c>
      <c r="G516" s="1407">
        <f>VLOOKUP($B516,[1]BOLETIM_SEL!$A:$H,7,0)</f>
        <v>74.62</v>
      </c>
      <c r="H516" s="1606">
        <f>+Recap_Previo!J37</f>
        <v>0</v>
      </c>
      <c r="I516" s="876">
        <f t="shared" si="182"/>
        <v>91.03</v>
      </c>
      <c r="J516" s="1607">
        <f t="shared" si="183"/>
        <v>0</v>
      </c>
      <c r="K516" s="2069">
        <f t="shared" ca="1" si="180"/>
        <v>0</v>
      </c>
      <c r="L516" s="1570" t="e">
        <f t="shared" si="184"/>
        <v>#DIV/0!</v>
      </c>
      <c r="M516" s="1442"/>
      <c r="N516" s="832"/>
      <c r="O516" s="832"/>
      <c r="Q516" s="832"/>
      <c r="R516" s="832"/>
      <c r="S516" s="832"/>
      <c r="T516" s="832"/>
      <c r="U516" s="832"/>
      <c r="V516" s="832"/>
      <c r="W516" s="832"/>
      <c r="X516" s="832"/>
    </row>
    <row r="517" spans="1:24" s="812" customFormat="1" ht="39.950000000000003" hidden="1" customHeight="1" x14ac:dyDescent="0.15">
      <c r="A517" s="2072">
        <f t="shared" ca="1" si="181"/>
        <v>6</v>
      </c>
      <c r="B517" s="833" t="s">
        <v>1768</v>
      </c>
      <c r="C517" s="2" t="str">
        <f>VLOOKUP($B517,[1]BOLETIM_SEL!$A:$H,2,0)</f>
        <v>COMPOSIÇÃO</v>
      </c>
      <c r="D517" s="315" t="str">
        <f>VLOOKUP($B517,[1]BOLETIM_SEL!$A:$H,4,0)</f>
        <v>Remoção mecanizada de revestimento betuminoso, com motoniveladora. Exclusive carga e bota-fora (REF. SICRO COD. 4915667)</v>
      </c>
      <c r="E517" s="2"/>
      <c r="F517" s="2" t="str">
        <f>VLOOKUP($B517,[1]BOLETIM_SEL!$A:$H,6,0)</f>
        <v>M3</v>
      </c>
      <c r="G517" s="1407">
        <f>VLOOKUP($B517,[1]BOLETIM_SEL!$A:$H,7,0)</f>
        <v>15.74</v>
      </c>
      <c r="H517" s="1606">
        <f>+Recap_Previo!J48</f>
        <v>0</v>
      </c>
      <c r="I517" s="876">
        <f t="shared" si="182"/>
        <v>19.2</v>
      </c>
      <c r="J517" s="1607">
        <f t="shared" si="183"/>
        <v>0</v>
      </c>
      <c r="K517" s="2069">
        <f t="shared" ca="1" si="180"/>
        <v>0</v>
      </c>
      <c r="L517" s="1570" t="e">
        <f t="shared" si="184"/>
        <v>#DIV/0!</v>
      </c>
      <c r="M517" s="1442"/>
      <c r="N517" s="832"/>
      <c r="O517" s="832"/>
      <c r="Q517" s="832"/>
      <c r="R517" s="832"/>
      <c r="S517" s="832"/>
      <c r="T517" s="832"/>
      <c r="U517" s="832"/>
      <c r="V517" s="832"/>
      <c r="W517" s="832"/>
      <c r="X517" s="832"/>
    </row>
    <row r="518" spans="1:24" s="812" customFormat="1" ht="39.950000000000003" hidden="1" customHeight="1" x14ac:dyDescent="0.15">
      <c r="A518" s="2072">
        <f t="shared" ca="1" si="181"/>
        <v>6</v>
      </c>
      <c r="B518" s="833" t="s">
        <v>422</v>
      </c>
      <c r="C518" s="2" t="str">
        <f>VLOOKUP($B518,[1]BOLETIM_SEL!$A:$H,2,0)</f>
        <v>COMPOSIÇÃO</v>
      </c>
      <c r="D518" s="315" t="str">
        <f>VLOOKUP($B518,[1]BOLETIM_SEL!$A:$H,4,0)</f>
        <v>Remoção mecanizada de camada granular do pavimento, com mototoniveladora. Exclusive carga e bota-fora (REF. SICRO COD. 4915669)</v>
      </c>
      <c r="E518" s="2"/>
      <c r="F518" s="2" t="str">
        <f>VLOOKUP($B518,[1]BOLETIM_SEL!$A:$H,6,0)</f>
        <v>M3</v>
      </c>
      <c r="G518" s="1407">
        <f>VLOOKUP($B518,[1]BOLETIM_SEL!$A:$H,7,0)</f>
        <v>15.3</v>
      </c>
      <c r="H518" s="1606">
        <f>+Recap_Previo!J54</f>
        <v>0</v>
      </c>
      <c r="I518" s="876">
        <f t="shared" si="182"/>
        <v>18.66</v>
      </c>
      <c r="J518" s="1607">
        <f t="shared" si="183"/>
        <v>0</v>
      </c>
      <c r="K518" s="2069">
        <f t="shared" ca="1" si="180"/>
        <v>0</v>
      </c>
      <c r="L518" s="1570" t="e">
        <f t="shared" si="184"/>
        <v>#DIV/0!</v>
      </c>
      <c r="M518" s="1442"/>
      <c r="N518" s="832"/>
      <c r="O518" s="832"/>
      <c r="Q518" s="832"/>
      <c r="R518" s="832"/>
      <c r="S518" s="832"/>
      <c r="T518" s="832"/>
      <c r="U518" s="832"/>
      <c r="V518" s="832"/>
      <c r="W518" s="832"/>
      <c r="X518" s="832"/>
    </row>
    <row r="519" spans="1:24" s="812" customFormat="1" ht="30" hidden="1" customHeight="1" x14ac:dyDescent="0.15">
      <c r="A519" s="2072">
        <f t="shared" ca="1" si="181"/>
        <v>6</v>
      </c>
      <c r="B519" s="833" t="s">
        <v>698</v>
      </c>
      <c r="C519" s="2" t="str">
        <f>VLOOKUP($B519,[1]BOLETIM_SEL!$A:$H,2,0)</f>
        <v>COMPOSIÇÃO</v>
      </c>
      <c r="D519" s="315" t="str">
        <f>VLOOKUP($B519,[1]BOLETIM_SEL!$A:$H,4,0)</f>
        <v>Recomposição manual de base para pavimentação - execução. Exclusive fornecimento de material e transporte</v>
      </c>
      <c r="E519" s="2"/>
      <c r="F519" s="2" t="str">
        <f>VLOOKUP($B519,[1]BOLETIM_SEL!$A:$H,6,0)</f>
        <v>M3</v>
      </c>
      <c r="G519" s="1407">
        <f>VLOOKUP($B519,[1]BOLETIM_SEL!$A:$H,7,0)</f>
        <v>36.770000000000003</v>
      </c>
      <c r="H519" s="1606">
        <f>+Recap_Previo!J41</f>
        <v>0</v>
      </c>
      <c r="I519" s="876">
        <f t="shared" si="182"/>
        <v>44.85</v>
      </c>
      <c r="J519" s="1607">
        <f t="shared" si="183"/>
        <v>0</v>
      </c>
      <c r="K519" s="2069">
        <f t="shared" ca="1" si="180"/>
        <v>0</v>
      </c>
      <c r="L519" s="1570" t="e">
        <f t="shared" si="184"/>
        <v>#DIV/0!</v>
      </c>
      <c r="M519" s="1442"/>
      <c r="N519" s="832"/>
      <c r="O519" s="832"/>
      <c r="Q519" s="832"/>
      <c r="R519" s="832"/>
      <c r="S519" s="832"/>
      <c r="T519" s="832"/>
      <c r="U519" s="832"/>
      <c r="V519" s="832"/>
      <c r="W519" s="832"/>
      <c r="X519" s="832"/>
    </row>
    <row r="520" spans="1:24" s="812" customFormat="1" ht="39.950000000000003" hidden="1" customHeight="1" x14ac:dyDescent="0.15">
      <c r="A520" s="2072">
        <f t="shared" ca="1" si="181"/>
        <v>6</v>
      </c>
      <c r="B520" s="864">
        <v>100565</v>
      </c>
      <c r="C520" s="2" t="str">
        <f>VLOOKUP($B520,[1]BOLETIM_SEL!$A:$H,2,0)</f>
        <v>SINAPI</v>
      </c>
      <c r="D520" s="315" t="str">
        <f>VLOOKUP($B520,[1]BOLETIM_SEL!$A:$H,4,0)</f>
        <v>Execução e compactação de base e ou sub-base para pavimentação de solo (predominantemente arenoso) brita - 50/50 - exclusive solo, escavação, carga e transporte. AF_11/2019</v>
      </c>
      <c r="E520" s="2"/>
      <c r="F520" s="2" t="str">
        <f>VLOOKUP($B520,[1]BOLETIM_SEL!$A:$H,6,0)</f>
        <v>M3</v>
      </c>
      <c r="G520" s="1407">
        <f>VLOOKUP($B520,[1]BOLETIM_SEL!$A:$H,7,0)</f>
        <v>94.46</v>
      </c>
      <c r="H520" s="1606">
        <f>+Recap_Previo!J74</f>
        <v>0</v>
      </c>
      <c r="I520" s="876">
        <f t="shared" ref="I520" si="191">TRUNC(G520*(1+$J$5),2)</f>
        <v>115.24</v>
      </c>
      <c r="J520" s="1607">
        <f t="shared" si="183"/>
        <v>0</v>
      </c>
      <c r="K520" s="2069">
        <f t="shared" ca="1" si="180"/>
        <v>0</v>
      </c>
      <c r="L520" s="1570" t="e">
        <f t="shared" si="184"/>
        <v>#DIV/0!</v>
      </c>
      <c r="M520" s="1442"/>
      <c r="N520" s="832"/>
      <c r="O520" s="832"/>
      <c r="Q520" s="832"/>
      <c r="R520" s="832"/>
      <c r="S520" s="832"/>
      <c r="T520" s="832"/>
      <c r="U520" s="832"/>
      <c r="V520" s="832"/>
      <c r="W520" s="832"/>
      <c r="X520" s="832"/>
    </row>
    <row r="521" spans="1:24" s="812" customFormat="1" ht="39.950000000000003" hidden="1" customHeight="1" x14ac:dyDescent="0.15">
      <c r="A521" s="2072">
        <f t="shared" ca="1" si="181"/>
        <v>6</v>
      </c>
      <c r="B521" s="2" t="s">
        <v>1873</v>
      </c>
      <c r="C521" s="2" t="str">
        <f>VLOOKUP($B521,[1]BOLETIM_SEL!$A:$H,2,0)</f>
        <v>COMPOSIÇÃO</v>
      </c>
      <c r="D521" s="315" t="str">
        <f>VLOOKUP($B521,[1]BOLETIM_SEL!$A:$H,4,0)</f>
        <v>Execução e compactação de base e ou sub-base, estabilizado granulometricamente, sem mistura, com material de jazida. Exclusive fornecimento e transporte (REF. SINAPI COD. 4011219)</v>
      </c>
      <c r="E521" s="2"/>
      <c r="F521" s="2" t="str">
        <f>VLOOKUP($B521,[1]BOLETIM_SEL!$A:$H,6,0)</f>
        <v>M3</v>
      </c>
      <c r="G521" s="1407">
        <f>VLOOKUP($B521,[1]BOLETIM_SEL!$A:$H,7,0)</f>
        <v>19.13</v>
      </c>
      <c r="H521" s="1606">
        <f>+Recap_Previo!J75</f>
        <v>0</v>
      </c>
      <c r="I521" s="876">
        <f t="shared" si="182"/>
        <v>23.33</v>
      </c>
      <c r="J521" s="1607">
        <f t="shared" ref="J521" si="192">TRUNC(H521*I521,2)</f>
        <v>0</v>
      </c>
      <c r="K521" s="2069">
        <f t="shared" ca="1" si="180"/>
        <v>0</v>
      </c>
      <c r="L521" s="1570" t="e">
        <f t="shared" ref="L521" si="193">J521/$J$506</f>
        <v>#DIV/0!</v>
      </c>
      <c r="M521" s="1442"/>
      <c r="N521" s="832"/>
      <c r="O521" s="832"/>
      <c r="Q521" s="832"/>
      <c r="R521" s="832"/>
      <c r="S521" s="832"/>
      <c r="T521" s="832"/>
      <c r="U521" s="832"/>
      <c r="V521" s="832"/>
      <c r="W521" s="832"/>
      <c r="X521" s="832"/>
    </row>
    <row r="522" spans="1:24" s="812" customFormat="1" ht="39.950000000000003" hidden="1" customHeight="1" x14ac:dyDescent="0.15">
      <c r="A522" s="2072">
        <f t="shared" ca="1" si="181"/>
        <v>6</v>
      </c>
      <c r="B522" s="833" t="s">
        <v>196</v>
      </c>
      <c r="C522" s="2" t="str">
        <f>VLOOKUP($B522,[1]BOLETIM_SEL!$A:$H,2,0)</f>
        <v>COMPOSIÇÃO</v>
      </c>
      <c r="D522" s="315" t="str">
        <f>VLOOKUP($B522,[1]BOLETIM_SEL!$A:$H,4,0)</f>
        <v>Execução e compactação de base e ou sub-base com material produto de britagem. Exclusive fornecimento e transporte de materiais (REF. SINAPI COD. 96396)</v>
      </c>
      <c r="E522" s="2"/>
      <c r="F522" s="2" t="str">
        <f>VLOOKUP($B522,[1]BOLETIM_SEL!$A:$H,6,0)</f>
        <v>M3</v>
      </c>
      <c r="G522" s="1407">
        <f>VLOOKUP($B522,[1]BOLETIM_SEL!$A:$H,7,0)</f>
        <v>13.44</v>
      </c>
      <c r="H522" s="1606">
        <f>+Recap_Previo!J76+Recap_Previo!J77</f>
        <v>0</v>
      </c>
      <c r="I522" s="876">
        <f t="shared" si="182"/>
        <v>16.39</v>
      </c>
      <c r="J522" s="1607">
        <f t="shared" si="183"/>
        <v>0</v>
      </c>
      <c r="K522" s="2069">
        <f t="shared" ca="1" si="180"/>
        <v>0</v>
      </c>
      <c r="L522" s="1570" t="e">
        <f t="shared" si="184"/>
        <v>#DIV/0!</v>
      </c>
      <c r="M522" s="1442"/>
      <c r="N522" s="832"/>
      <c r="O522" s="832"/>
      <c r="Q522" s="832"/>
      <c r="R522" s="832"/>
      <c r="S522" s="832"/>
      <c r="T522" s="832"/>
      <c r="U522" s="832"/>
      <c r="V522" s="832"/>
      <c r="W522" s="832"/>
      <c r="X522" s="832"/>
    </row>
    <row r="523" spans="1:24" s="812" customFormat="1" ht="30" hidden="1" customHeight="1" x14ac:dyDescent="0.15">
      <c r="A523" s="2072">
        <f t="shared" ca="1" si="181"/>
        <v>6</v>
      </c>
      <c r="B523" s="833" t="s">
        <v>424</v>
      </c>
      <c r="C523" s="2" t="str">
        <f>VLOOKUP($B523,[1]BOLETIM_SEL!$A:$H,2,0)</f>
        <v>COMPOSIÇÃO</v>
      </c>
      <c r="D523" s="315" t="str">
        <f>VLOOKUP($B523,[1]BOLETIM_SEL!$A:$H,4,0)</f>
        <v>Reciclagem simples com incorporação do revestimento asfáltico à base (REF. SICRO COD. 4011481)</v>
      </c>
      <c r="E523" s="2"/>
      <c r="F523" s="2" t="str">
        <f>VLOOKUP($B523,[1]BOLETIM_SEL!$A:$H,6,0)</f>
        <v>M3</v>
      </c>
      <c r="G523" s="1407">
        <f>VLOOKUP($B523,[1]BOLETIM_SEL!$A:$H,7,0)</f>
        <v>39.99</v>
      </c>
      <c r="H523" s="1606">
        <f>+Recap_Previo!J84</f>
        <v>0</v>
      </c>
      <c r="I523" s="876">
        <f t="shared" si="182"/>
        <v>48.78</v>
      </c>
      <c r="J523" s="1607">
        <f t="shared" si="183"/>
        <v>0</v>
      </c>
      <c r="K523" s="2069">
        <f t="shared" ca="1" si="180"/>
        <v>0</v>
      </c>
      <c r="L523" s="1570" t="e">
        <f t="shared" si="184"/>
        <v>#DIV/0!</v>
      </c>
      <c r="M523" s="1442"/>
      <c r="N523" s="832"/>
      <c r="O523" s="832"/>
      <c r="Q523" s="832"/>
      <c r="R523" s="832"/>
      <c r="S523" s="832"/>
      <c r="T523" s="832"/>
      <c r="U523" s="832"/>
      <c r="V523" s="832"/>
      <c r="W523" s="832"/>
      <c r="X523" s="832"/>
    </row>
    <row r="524" spans="1:24" s="812" customFormat="1" ht="39.950000000000003" hidden="1" customHeight="1" x14ac:dyDescent="0.15">
      <c r="A524" s="2072">
        <f t="shared" ca="1" si="181"/>
        <v>6</v>
      </c>
      <c r="B524" s="833" t="s">
        <v>440</v>
      </c>
      <c r="C524" s="2" t="str">
        <f>VLOOKUP($B524,[1]BOLETIM_SEL!$A:$H,2,0)</f>
        <v>COMPOSIÇÃO</v>
      </c>
      <c r="D524" s="315" t="str">
        <f>VLOOKUP($B524,[1]BOLETIM_SEL!$A:$H,4,0)</f>
        <v>Reciclagem com adição de cimento e incorporação do revestimento asfáltico à base. Exclusive fornecimento de cimento (REF. SICRO COD. 4011482)</v>
      </c>
      <c r="E524" s="2"/>
      <c r="F524" s="2" t="str">
        <f>VLOOKUP($B524,[1]BOLETIM_SEL!$A:$H,6,0)</f>
        <v>M3</v>
      </c>
      <c r="G524" s="1407">
        <f>VLOOKUP($B524,[1]BOLETIM_SEL!$A:$H,7,0)</f>
        <v>41.66</v>
      </c>
      <c r="H524" s="1606">
        <f>+Recap_Previo!J85</f>
        <v>0</v>
      </c>
      <c r="I524" s="876">
        <f t="shared" si="182"/>
        <v>50.82</v>
      </c>
      <c r="J524" s="1607">
        <f t="shared" si="183"/>
        <v>0</v>
      </c>
      <c r="K524" s="2069">
        <f t="shared" ca="1" si="180"/>
        <v>0</v>
      </c>
      <c r="L524" s="1570" t="e">
        <f t="shared" si="184"/>
        <v>#DIV/0!</v>
      </c>
      <c r="M524" s="1442"/>
      <c r="N524" s="832"/>
      <c r="O524" s="832"/>
      <c r="Q524" s="832"/>
      <c r="R524" s="832"/>
      <c r="S524" s="832"/>
      <c r="T524" s="832"/>
      <c r="U524" s="832"/>
      <c r="V524" s="832"/>
      <c r="W524" s="832"/>
      <c r="X524" s="832"/>
    </row>
    <row r="525" spans="1:24" s="812" customFormat="1" ht="39.950000000000003" hidden="1" customHeight="1" x14ac:dyDescent="0.15">
      <c r="A525" s="2072">
        <f t="shared" ca="1" si="181"/>
        <v>6</v>
      </c>
      <c r="B525" s="833" t="s">
        <v>425</v>
      </c>
      <c r="C525" s="2" t="str">
        <f>VLOOKUP($B525,[1]BOLETIM_SEL!$A:$H,2,0)</f>
        <v>COMPOSIÇÃO</v>
      </c>
      <c r="D525" s="315" t="str">
        <f>VLOOKUP($B525,[1]BOLETIM_SEL!$A:$H,4,0)</f>
        <v>Reciclagem com adição de brita e incorporação do revestimento asfáltico à base. Exclusive fornecimento de brita (REF. SICRO COD. 4011484)</v>
      </c>
      <c r="E525" s="2"/>
      <c r="F525" s="2" t="str">
        <f>VLOOKUP($B525,[1]BOLETIM_SEL!$A:$H,6,0)</f>
        <v>M3</v>
      </c>
      <c r="G525" s="1407">
        <f>VLOOKUP($B525,[1]BOLETIM_SEL!$A:$H,7,0)</f>
        <v>42.84</v>
      </c>
      <c r="H525" s="1606">
        <f>+Recap_Previo!J86</f>
        <v>0</v>
      </c>
      <c r="I525" s="876">
        <f t="shared" si="182"/>
        <v>52.26</v>
      </c>
      <c r="J525" s="1607">
        <f t="shared" si="183"/>
        <v>0</v>
      </c>
      <c r="K525" s="2069">
        <f t="shared" ca="1" si="180"/>
        <v>0</v>
      </c>
      <c r="L525" s="1570" t="e">
        <f t="shared" si="184"/>
        <v>#DIV/0!</v>
      </c>
      <c r="M525" s="1442"/>
      <c r="N525" s="832"/>
      <c r="O525" s="832"/>
      <c r="Q525" s="832"/>
      <c r="R525" s="832"/>
      <c r="S525" s="832"/>
      <c r="T525" s="832"/>
      <c r="U525" s="832"/>
      <c r="V525" s="832"/>
      <c r="W525" s="832"/>
      <c r="X525" s="832"/>
    </row>
    <row r="526" spans="1:24" s="812" customFormat="1" ht="30" hidden="1" customHeight="1" x14ac:dyDescent="0.15">
      <c r="A526" s="2072">
        <f t="shared" ca="1" si="181"/>
        <v>6</v>
      </c>
      <c r="B526" s="833">
        <v>96001</v>
      </c>
      <c r="C526" s="2" t="str">
        <f>VLOOKUP($B526,[1]BOLETIM_SEL!$A:$H,2,0)</f>
        <v>SINAPI</v>
      </c>
      <c r="D526" s="315" t="str">
        <f>VLOOKUP($B526,[1]BOLETIM_SEL!$A:$H,4,0)</f>
        <v>Fresagem de pavimento asfáltico (profundidade até 5,0 cm) - exclusive transporte. AF_11/2019</v>
      </c>
      <c r="E526" s="2"/>
      <c r="F526" s="2" t="str">
        <f>VLOOKUP($B526,[1]BOLETIM_SEL!$A:$H,6,0)</f>
        <v>M2</v>
      </c>
      <c r="G526" s="1407">
        <f>VLOOKUP($B526,[1]BOLETIM_SEL!$A:$H,7,0)</f>
        <v>7.72</v>
      </c>
      <c r="H526" s="1606">
        <f>+Recap_Previo!J91</f>
        <v>0</v>
      </c>
      <c r="I526" s="876">
        <f t="shared" si="182"/>
        <v>9.41</v>
      </c>
      <c r="J526" s="1607">
        <f t="shared" si="183"/>
        <v>0</v>
      </c>
      <c r="K526" s="2069">
        <f t="shared" ca="1" si="180"/>
        <v>0</v>
      </c>
      <c r="L526" s="1570" t="e">
        <f t="shared" si="184"/>
        <v>#DIV/0!</v>
      </c>
      <c r="M526" s="1442"/>
      <c r="N526" s="832"/>
      <c r="O526" s="832"/>
      <c r="Q526" s="832"/>
      <c r="R526" s="832"/>
      <c r="S526" s="832"/>
      <c r="T526" s="832"/>
      <c r="U526" s="832"/>
      <c r="V526" s="832"/>
      <c r="W526" s="832"/>
      <c r="X526" s="832"/>
    </row>
    <row r="527" spans="1:24" s="812" customFormat="1" ht="39.950000000000003" hidden="1" customHeight="1" x14ac:dyDescent="0.15">
      <c r="A527" s="2072">
        <f t="shared" ca="1" si="181"/>
        <v>6</v>
      </c>
      <c r="B527" s="833">
        <v>4743</v>
      </c>
      <c r="C527" s="2" t="str">
        <f>VLOOKUP($B527,[1]BOLETIM_SEL!$A:$H,2,0)</f>
        <v>COTAÇÃO - SINAPI</v>
      </c>
      <c r="D527" s="315" t="str">
        <f>VLOOKUP($B527,[1]BOLETIM_SEL!$A:$H,4,0)</f>
        <v>Cascalho de cava</v>
      </c>
      <c r="E527" s="2221" t="s">
        <v>2632</v>
      </c>
      <c r="F527" s="2" t="str">
        <f>VLOOKUP($B527,[1]BOLETIM_SEL!$A:$H,6,0)</f>
        <v xml:space="preserve">M3    </v>
      </c>
      <c r="G527" s="1407">
        <f>VLOOKUP($B527,[1]BOLETIM_SEL!$A:$H,7,0)</f>
        <v>60.9</v>
      </c>
      <c r="H527" s="1606">
        <f>+Recap_Previo!J71</f>
        <v>0</v>
      </c>
      <c r="I527" s="2222">
        <f t="shared" ref="I527:I531" si="194">TRUNC(G527*(1+$J$6),2)</f>
        <v>70.2</v>
      </c>
      <c r="J527" s="1607">
        <f t="shared" si="183"/>
        <v>0</v>
      </c>
      <c r="K527" s="2069">
        <f t="shared" ca="1" si="180"/>
        <v>0</v>
      </c>
      <c r="L527" s="1570" t="e">
        <f t="shared" si="184"/>
        <v>#DIV/0!</v>
      </c>
      <c r="M527" s="1442"/>
      <c r="N527" s="832"/>
      <c r="O527" s="832"/>
      <c r="Q527" s="832"/>
      <c r="R527" s="832"/>
      <c r="S527" s="832"/>
      <c r="T527" s="832"/>
      <c r="U527" s="832"/>
      <c r="V527" s="832"/>
      <c r="W527" s="832"/>
      <c r="X527" s="832"/>
    </row>
    <row r="528" spans="1:24" s="812" customFormat="1" ht="39.950000000000003" hidden="1" customHeight="1" x14ac:dyDescent="0.15">
      <c r="A528" s="2072">
        <f t="shared" ca="1" si="181"/>
        <v>6</v>
      </c>
      <c r="B528" s="833">
        <v>4748</v>
      </c>
      <c r="C528" s="2" t="str">
        <f>VLOOKUP($B528,[1]BOLETIM_SEL!$A:$H,2,0)</f>
        <v>COTAÇÃO - SINAPI</v>
      </c>
      <c r="D528" s="315" t="str">
        <f>VLOOKUP($B528,[1]BOLETIM_SEL!$A:$H,4,0)</f>
        <v>Pedra britada ou bica corrida, não classificada (posto pedreira/fornecedor, sem frete)</v>
      </c>
      <c r="E528" s="2221" t="s">
        <v>2632</v>
      </c>
      <c r="F528" s="2" t="str">
        <f>VLOOKUP($B528,[1]BOLETIM_SEL!$A:$H,6,0)</f>
        <v xml:space="preserve">M3    </v>
      </c>
      <c r="G528" s="1407">
        <f>VLOOKUP($B528,[1]BOLETIM_SEL!$A:$H,7,0)</f>
        <v>96.47</v>
      </c>
      <c r="H528" s="1606">
        <f>+Recap_Previo!J72</f>
        <v>0</v>
      </c>
      <c r="I528" s="2222">
        <f t="shared" si="194"/>
        <v>111.21</v>
      </c>
      <c r="J528" s="1607">
        <f t="shared" si="183"/>
        <v>0</v>
      </c>
      <c r="K528" s="2069">
        <f t="shared" ca="1" si="180"/>
        <v>0</v>
      </c>
      <c r="L528" s="1570" t="e">
        <f t="shared" si="184"/>
        <v>#DIV/0!</v>
      </c>
      <c r="M528" s="1442"/>
      <c r="N528" s="832"/>
      <c r="O528" s="832"/>
      <c r="Q528" s="832"/>
      <c r="R528" s="832"/>
      <c r="S528" s="832"/>
      <c r="T528" s="832"/>
      <c r="U528" s="832"/>
      <c r="V528" s="832"/>
      <c r="W528" s="832"/>
      <c r="X528" s="832"/>
    </row>
    <row r="529" spans="1:24" s="812" customFormat="1" ht="39.950000000000003" hidden="1" customHeight="1" x14ac:dyDescent="0.15">
      <c r="A529" s="2072">
        <f t="shared" ca="1" si="181"/>
        <v>6</v>
      </c>
      <c r="B529" s="833">
        <v>4729</v>
      </c>
      <c r="C529" s="2" t="str">
        <f>VLOOKUP($B529,[1]BOLETIM_SEL!$A:$H,2,0)</f>
        <v>COTAÇÃO - SINAPI</v>
      </c>
      <c r="D529" s="315" t="str">
        <f>VLOOKUP($B529,[1]BOLETIM_SEL!$A:$H,4,0)</f>
        <v>Pedra britada graduada, classificada (posto pedreira/fornecedor, sem frete)</v>
      </c>
      <c r="E529" s="2221" t="s">
        <v>2632</v>
      </c>
      <c r="F529" s="2" t="str">
        <f>VLOOKUP($B529,[1]BOLETIM_SEL!$A:$H,6,0)</f>
        <v xml:space="preserve">M3    </v>
      </c>
      <c r="G529" s="1407">
        <f>VLOOKUP($B529,[1]BOLETIM_SEL!$A:$H,7,0)</f>
        <v>105.24</v>
      </c>
      <c r="H529" s="1606">
        <f>+Recap_Previo!J73</f>
        <v>0</v>
      </c>
      <c r="I529" s="2222">
        <f t="shared" si="194"/>
        <v>121.32</v>
      </c>
      <c r="J529" s="1607">
        <f t="shared" si="183"/>
        <v>0</v>
      </c>
      <c r="K529" s="2069">
        <f t="shared" ca="1" si="180"/>
        <v>0</v>
      </c>
      <c r="L529" s="1570" t="e">
        <f t="shared" si="184"/>
        <v>#DIV/0!</v>
      </c>
      <c r="M529" s="1442"/>
      <c r="N529" s="832"/>
      <c r="O529" s="832"/>
      <c r="Q529" s="832"/>
      <c r="R529" s="832"/>
      <c r="S529" s="832"/>
      <c r="T529" s="832"/>
      <c r="U529" s="832"/>
      <c r="V529" s="832"/>
      <c r="W529" s="832"/>
      <c r="X529" s="832"/>
    </row>
    <row r="530" spans="1:24" s="812" customFormat="1" ht="39.950000000000003" hidden="1" customHeight="1" x14ac:dyDescent="0.15">
      <c r="A530" s="2072">
        <f t="shared" ca="1" si="181"/>
        <v>6</v>
      </c>
      <c r="B530" s="833">
        <v>4721</v>
      </c>
      <c r="C530" s="2" t="str">
        <f>VLOOKUP($B530,[1]BOLETIM_SEL!$A:$H,2,0)</f>
        <v>COTAÇÃO - SINAPI</v>
      </c>
      <c r="D530" s="315" t="str">
        <f>VLOOKUP($B530,[1]BOLETIM_SEL!$A:$H,4,0)</f>
        <v>Pedra britada n. 1 (9,5 A 19 mm) posto pedreira/fornecedor, sem frete</v>
      </c>
      <c r="E530" s="2221" t="s">
        <v>2632</v>
      </c>
      <c r="F530" s="2" t="str">
        <f>VLOOKUP($B530,[1]BOLETIM_SEL!$A:$H,6,0)</f>
        <v xml:space="preserve">M3    </v>
      </c>
      <c r="G530" s="1407">
        <f>VLOOKUP($B530,[1]BOLETIM_SEL!$A:$H,7,0)</f>
        <v>104.45</v>
      </c>
      <c r="H530" s="1606">
        <f>+Recap_Previo!J88</f>
        <v>0</v>
      </c>
      <c r="I530" s="2222">
        <f t="shared" si="194"/>
        <v>120.4</v>
      </c>
      <c r="J530" s="1607">
        <f t="shared" si="183"/>
        <v>0</v>
      </c>
      <c r="K530" s="2069">
        <f t="shared" ca="1" si="180"/>
        <v>0</v>
      </c>
      <c r="L530" s="1570" t="e">
        <f t="shared" si="184"/>
        <v>#DIV/0!</v>
      </c>
      <c r="M530" s="1442"/>
      <c r="N530" s="832"/>
      <c r="O530" s="832"/>
      <c r="Q530" s="832"/>
      <c r="R530" s="832"/>
      <c r="S530" s="832"/>
      <c r="T530" s="832"/>
      <c r="U530" s="832"/>
      <c r="V530" s="832"/>
      <c r="W530" s="832"/>
      <c r="X530" s="832"/>
    </row>
    <row r="531" spans="1:24" s="812" customFormat="1" ht="39.950000000000003" hidden="1" customHeight="1" x14ac:dyDescent="0.15">
      <c r="A531" s="2072">
        <f t="shared" ca="1" si="181"/>
        <v>6</v>
      </c>
      <c r="B531" s="833">
        <v>1379</v>
      </c>
      <c r="C531" s="2" t="str">
        <f>VLOOKUP($B531,[1]BOLETIM_SEL!$A:$H,2,0)</f>
        <v>COTAÇÃO - SINAPI</v>
      </c>
      <c r="D531" s="315" t="str">
        <f>VLOOKUP($B531,[1]BOLETIM_SEL!$A:$H,4,0)</f>
        <v>Cimento portland composto CP II-32</v>
      </c>
      <c r="E531" s="2221" t="s">
        <v>2632</v>
      </c>
      <c r="F531" s="2" t="str">
        <f>VLOOKUP($B531,[1]BOLETIM_SEL!$A:$H,6,0)</f>
        <v xml:space="preserve">KG    </v>
      </c>
      <c r="G531" s="1407">
        <f>VLOOKUP($B531,[1]BOLETIM_SEL!$A:$H,7,0)</f>
        <v>0.8</v>
      </c>
      <c r="H531" s="1606">
        <f>+Recap_Previo!J87</f>
        <v>0</v>
      </c>
      <c r="I531" s="2222">
        <f t="shared" si="194"/>
        <v>0.92</v>
      </c>
      <c r="J531" s="1607">
        <f t="shared" si="183"/>
        <v>0</v>
      </c>
      <c r="K531" s="2069">
        <f t="shared" ca="1" si="180"/>
        <v>0</v>
      </c>
      <c r="L531" s="1570" t="e">
        <f t="shared" si="184"/>
        <v>#DIV/0!</v>
      </c>
      <c r="M531" s="1442"/>
      <c r="N531" s="832"/>
      <c r="O531" s="832"/>
      <c r="Q531" s="832"/>
      <c r="R531" s="832"/>
      <c r="S531" s="832"/>
      <c r="T531" s="832"/>
      <c r="U531" s="832"/>
      <c r="V531" s="832"/>
      <c r="W531" s="832"/>
      <c r="X531" s="832"/>
    </row>
    <row r="532" spans="1:24" s="812" customFormat="1" ht="30" hidden="1" customHeight="1" x14ac:dyDescent="0.15">
      <c r="A532" s="2072">
        <f t="shared" ca="1" si="181"/>
        <v>6</v>
      </c>
      <c r="B532" s="833" t="str">
        <f>IF(M532="EAI","PA/0025",96401)</f>
        <v>PA/0025</v>
      </c>
      <c r="C532" s="2" t="str">
        <f>VLOOKUP($B532,[1]BOLETIM_SEL!$A:$H,2,0)</f>
        <v>COMPOSIÇÃO</v>
      </c>
      <c r="D532" s="315" t="str">
        <f>VLOOKUP($B532,[1]BOLETIM_SEL!$A:$H,4,0)</f>
        <v>Imprimação da base, execução e fornecimento de emulsão asfáltica EAI (REF. SINAPI COD. 102470)</v>
      </c>
      <c r="E532" s="2"/>
      <c r="F532" s="2" t="str">
        <f>VLOOKUP($B532,[1]BOLETIM_SEL!$A:$H,6,0)</f>
        <v>M2</v>
      </c>
      <c r="G532" s="1407">
        <f>VLOOKUP($B532,[1]BOLETIM_SEL!$A:$H,7,0)</f>
        <v>5.23</v>
      </c>
      <c r="H532" s="1606">
        <f>+Recap_Previo!J97</f>
        <v>0</v>
      </c>
      <c r="I532" s="876">
        <f t="shared" ref="I532:I542" si="195">TRUNC(G532*(1+$J$5),2)</f>
        <v>6.38</v>
      </c>
      <c r="J532" s="1607">
        <f t="shared" si="183"/>
        <v>0</v>
      </c>
      <c r="K532" s="2069">
        <f t="shared" ca="1" si="180"/>
        <v>0</v>
      </c>
      <c r="L532" s="1570" t="e">
        <f t="shared" si="184"/>
        <v>#DIV/0!</v>
      </c>
      <c r="M532" s="1585" t="s">
        <v>2091</v>
      </c>
      <c r="N532" s="832"/>
      <c r="O532" s="832"/>
      <c r="Q532" s="832"/>
      <c r="R532" s="832"/>
      <c r="S532" s="832"/>
      <c r="T532" s="832"/>
      <c r="U532" s="832"/>
      <c r="V532" s="832"/>
      <c r="W532" s="832"/>
      <c r="X532" s="832"/>
    </row>
    <row r="533" spans="1:24" s="812" customFormat="1" ht="30" hidden="1" customHeight="1" x14ac:dyDescent="0.15">
      <c r="A533" s="2072">
        <f t="shared" ca="1" si="181"/>
        <v>6</v>
      </c>
      <c r="B533" s="833" t="s">
        <v>1772</v>
      </c>
      <c r="C533" s="2" t="str">
        <f>VLOOKUP($B533,[1]BOLETIM_SEL!$A:$H,2,0)</f>
        <v>COMPOSIÇÃO</v>
      </c>
      <c r="D533" s="315" t="str">
        <f>VLOOKUP($B533,[1]BOLETIM_SEL!$A:$H,4,0)</f>
        <v>Pintura de ligação, execução e fornecimento de emulsão asfáltica RR-1C (ref SINAPI cód 104375)</v>
      </c>
      <c r="E533" s="2"/>
      <c r="F533" s="2" t="str">
        <f>VLOOKUP($B533,[1]BOLETIM_SEL!$A:$H,6,0)</f>
        <v>M2</v>
      </c>
      <c r="G533" s="1407">
        <f>VLOOKUP($B533,[1]BOLETIM_SEL!$A:$H,7,0)</f>
        <v>2.5099999999999998</v>
      </c>
      <c r="H533" s="1606">
        <f>+Recap_Previo!J101</f>
        <v>0</v>
      </c>
      <c r="I533" s="876">
        <f t="shared" si="195"/>
        <v>3.06</v>
      </c>
      <c r="J533" s="1607">
        <f t="shared" si="183"/>
        <v>0</v>
      </c>
      <c r="K533" s="2069">
        <f t="shared" ca="1" si="180"/>
        <v>0</v>
      </c>
      <c r="L533" s="1570" t="e">
        <f t="shared" si="184"/>
        <v>#DIV/0!</v>
      </c>
      <c r="M533" s="1442"/>
      <c r="N533" s="832"/>
      <c r="O533" s="832"/>
      <c r="Q533" s="832"/>
      <c r="R533" s="832"/>
      <c r="S533" s="832"/>
      <c r="T533" s="832"/>
      <c r="U533" s="832"/>
      <c r="V533" s="832"/>
      <c r="W533" s="832"/>
      <c r="X533" s="832"/>
    </row>
    <row r="534" spans="1:24" s="812" customFormat="1" ht="39.950000000000003" hidden="1" customHeight="1" x14ac:dyDescent="0.15">
      <c r="A534" s="2072">
        <f t="shared" ca="1" si="181"/>
        <v>6</v>
      </c>
      <c r="B534" s="833" t="str">
        <f>IF(M534="COMERCIAL","RE/0050","RE/0051")</f>
        <v>RE/0050</v>
      </c>
      <c r="C534" s="2" t="str">
        <f>VLOOKUP($B534,[1]BOLETIM_SEL!$A:$H,2,0)</f>
        <v>COMPOSIÇÃO</v>
      </c>
      <c r="D534" s="315" t="str">
        <f>VLOOKUP($B534,[1]BOLETIM_SEL!$A:$H,4,0)</f>
        <v>CBUQ (usina comercial) - aplicação manual em fechamento de vala e remendos. Incluindo fornecimento dos materiais e compactação com rolo tandem compacto. Exclusive transporte. Ref BP 09.05.0500 RIO SCO</v>
      </c>
      <c r="E534" s="2"/>
      <c r="F534" s="2" t="str">
        <f>VLOOKUP($B534,[1]BOLETIM_SEL!$A:$H,6,0)</f>
        <v>M3</v>
      </c>
      <c r="G534" s="1407">
        <f>VLOOKUP($B534,[1]BOLETIM_SEL!$A:$H,7,0)</f>
        <v>1542.67</v>
      </c>
      <c r="H534" s="1606">
        <f>+Recap_Previo!J109</f>
        <v>0</v>
      </c>
      <c r="I534" s="876">
        <f t="shared" si="195"/>
        <v>1882.05</v>
      </c>
      <c r="J534" s="1607">
        <f t="shared" si="183"/>
        <v>0</v>
      </c>
      <c r="K534" s="2069">
        <f t="shared" ca="1" si="180"/>
        <v>0</v>
      </c>
      <c r="L534" s="1570" t="e">
        <f t="shared" si="184"/>
        <v>#DIV/0!</v>
      </c>
      <c r="M534" s="1585" t="s">
        <v>410</v>
      </c>
      <c r="N534" s="832"/>
      <c r="O534" s="832"/>
      <c r="Q534" s="832"/>
      <c r="R534" s="832"/>
      <c r="S534" s="832"/>
      <c r="T534" s="832"/>
      <c r="U534" s="832"/>
      <c r="V534" s="832"/>
      <c r="W534" s="832"/>
      <c r="X534" s="832"/>
    </row>
    <row r="535" spans="1:24" s="812" customFormat="1" ht="39.950000000000003" hidden="1" customHeight="1" x14ac:dyDescent="0.15">
      <c r="A535" s="2072">
        <f t="shared" ca="1" si="181"/>
        <v>6</v>
      </c>
      <c r="B535" s="833" t="str">
        <f>IF(M535="COMERCIAL","RE/0055","RE/0056")</f>
        <v>RE/0055</v>
      </c>
      <c r="C535" s="2" t="str">
        <f>VLOOKUP($B535,[1]BOLETIM_SEL!$A:$H,2,0)</f>
        <v>COMPOSIÇÃO</v>
      </c>
      <c r="D535" s="315" t="str">
        <f>VLOOKUP($B535,[1]BOLETIM_SEL!$A:$H,4,0)</f>
        <v>CBUQ (usina comercial) - aplicação com motoniveladora (reperfilamento). Incluindo fornecimento de materiais. Exclusive transporte</v>
      </c>
      <c r="E535" s="2"/>
      <c r="F535" s="2" t="str">
        <f>VLOOKUP($B535,[1]BOLETIM_SEL!$A:$H,6,0)</f>
        <v>M3</v>
      </c>
      <c r="G535" s="1407">
        <f>VLOOKUP($B535,[1]BOLETIM_SEL!$A:$H,7,0)</f>
        <v>1571.5</v>
      </c>
      <c r="H535" s="1606">
        <f>+Recap_Previo!J110</f>
        <v>0</v>
      </c>
      <c r="I535" s="876">
        <f t="shared" si="195"/>
        <v>1917.23</v>
      </c>
      <c r="J535" s="1607">
        <f t="shared" si="183"/>
        <v>0</v>
      </c>
      <c r="K535" s="2069">
        <f t="shared" ca="1" si="180"/>
        <v>0</v>
      </c>
      <c r="L535" s="1570" t="e">
        <f t="shared" si="184"/>
        <v>#DIV/0!</v>
      </c>
      <c r="M535" s="1585" t="s">
        <v>410</v>
      </c>
      <c r="N535" s="832"/>
      <c r="O535" s="832"/>
      <c r="Q535" s="832"/>
      <c r="R535" s="832"/>
      <c r="S535" s="832"/>
      <c r="T535" s="832"/>
      <c r="U535" s="832"/>
      <c r="V535" s="832"/>
      <c r="W535" s="832"/>
      <c r="X535" s="832"/>
    </row>
    <row r="536" spans="1:24" s="812" customFormat="1" ht="39.950000000000003" hidden="1" customHeight="1" x14ac:dyDescent="0.15">
      <c r="A536" s="2072">
        <f t="shared" ca="1" si="181"/>
        <v>6</v>
      </c>
      <c r="B536" s="833" t="str">
        <f>IF(M536="COMERCIAL 50/70",95995,IF(M536="COMERCIAL 30/45","PA/0040",IF(M536="INSTALADA 50/70","PA/0042","PA/0041")))</f>
        <v>PA/0040</v>
      </c>
      <c r="C536" s="2" t="str">
        <f>VLOOKUP($B536,[1]BOLETIM_SEL!$A:$H,2,0)</f>
        <v>COMPOSIÇÃO</v>
      </c>
      <c r="D536" s="315" t="str">
        <f>VLOOKUP($B536,[1]BOLETIM_SEL!$A:$H,4,0)</f>
        <v>Construção de pavimento com aplicação de concreto betuminoso usinado à quente (CBUQ - faixa C - CAP 30/45 - usina comercial), camada de rolamento, exclusive transporte da mistura (REF. SINAPI COD. 95995)</v>
      </c>
      <c r="E536" s="2"/>
      <c r="F536" s="2" t="str">
        <f>VLOOKUP($B536,[1]BOLETIM_SEL!$A:$H,6,0)</f>
        <v>M3</v>
      </c>
      <c r="G536" s="1407">
        <f>VLOOKUP($B536,[1]BOLETIM_SEL!$A:$H,7,0)</f>
        <v>1623.14</v>
      </c>
      <c r="H536" s="1606">
        <f>+Recap_Previo!J111</f>
        <v>0</v>
      </c>
      <c r="I536" s="876">
        <f t="shared" si="195"/>
        <v>1980.23</v>
      </c>
      <c r="J536" s="1607">
        <f t="shared" si="183"/>
        <v>0</v>
      </c>
      <c r="K536" s="2069">
        <f t="shared" ca="1" si="180"/>
        <v>0</v>
      </c>
      <c r="L536" s="1570" t="e">
        <f t="shared" si="184"/>
        <v>#DIV/0!</v>
      </c>
      <c r="M536" s="1585" t="s">
        <v>2412</v>
      </c>
      <c r="N536" s="832"/>
      <c r="O536" s="832"/>
      <c r="Q536" s="832"/>
      <c r="R536" s="832"/>
      <c r="S536" s="832"/>
      <c r="T536" s="832"/>
      <c r="U536" s="832"/>
      <c r="V536" s="832"/>
      <c r="W536" s="832"/>
      <c r="X536" s="832"/>
    </row>
    <row r="537" spans="1:24" s="812" customFormat="1" ht="50.1" hidden="1" customHeight="1" x14ac:dyDescent="0.15">
      <c r="A537" s="2072">
        <f t="shared" ca="1" si="181"/>
        <v>6</v>
      </c>
      <c r="B537" s="833" t="s">
        <v>423</v>
      </c>
      <c r="C537" s="2" t="str">
        <f>VLOOKUP($B537,[1]BOLETIM_SEL!$A:$H,2,0)</f>
        <v>COMPOSIÇÃO</v>
      </c>
      <c r="D537" s="315" t="str">
        <f>VLOOKUP($B537,[1]BOLETIM_SEL!$A:$H,4,0)</f>
        <v>Execução de pré-misturado a frio - PMF, faixa C (semidenso), com emulsão asfáltica RL-1C, aplicação manual em fechamento de vala e remendos. Incluindo fornecimento dos materiais, usinagem e compactação com rolo tandem compacto. Exclusive transporte</v>
      </c>
      <c r="E537" s="2"/>
      <c r="F537" s="2" t="str">
        <f>VLOOKUP($B537,[1]BOLETIM_SEL!$A:$H,6,0)</f>
        <v>M3</v>
      </c>
      <c r="G537" s="1407">
        <f>VLOOKUP($B537,[1]BOLETIM_SEL!$A:$H,7,0)</f>
        <v>1040</v>
      </c>
      <c r="H537" s="1606">
        <f>+Recap_Previo!J116</f>
        <v>0</v>
      </c>
      <c r="I537" s="876">
        <f t="shared" si="195"/>
        <v>1268.8</v>
      </c>
      <c r="J537" s="1607">
        <f t="shared" si="183"/>
        <v>0</v>
      </c>
      <c r="K537" s="2069">
        <f t="shared" ca="1" si="180"/>
        <v>0</v>
      </c>
      <c r="L537" s="1570" t="e">
        <f t="shared" si="184"/>
        <v>#DIV/0!</v>
      </c>
      <c r="M537" s="1442"/>
      <c r="N537" s="832"/>
      <c r="O537" s="832"/>
      <c r="Q537" s="832"/>
      <c r="R537" s="832"/>
      <c r="S537" s="832"/>
      <c r="T537" s="832"/>
      <c r="U537" s="832"/>
      <c r="V537" s="832"/>
      <c r="W537" s="832"/>
      <c r="X537" s="832"/>
    </row>
    <row r="538" spans="1:24" s="812" customFormat="1" ht="39.950000000000003" hidden="1" customHeight="1" x14ac:dyDescent="0.15">
      <c r="A538" s="2072">
        <f t="shared" ca="1" si="181"/>
        <v>6</v>
      </c>
      <c r="B538" s="833" t="s">
        <v>1749</v>
      </c>
      <c r="C538" s="2" t="str">
        <f>VLOOKUP($B538,[1]BOLETIM_SEL!$A:$H,2,0)</f>
        <v>COMPOSIÇÃO</v>
      </c>
      <c r="D538" s="315" t="str">
        <f>VLOOKUP($B538,[1]BOLETIM_SEL!$A:$H,4,0)</f>
        <v>Execução de pré-misturado a frio - PMF, faixa C (semidenso), com emulsão asfáltica RL-1C, aplicação com motoniveladora (reperfilamento). Incluindo fornecimento de materiais. Exclusive transporte</v>
      </c>
      <c r="E538" s="2"/>
      <c r="F538" s="2" t="str">
        <f>VLOOKUP($B538,[1]BOLETIM_SEL!$A:$H,6,0)</f>
        <v>M3</v>
      </c>
      <c r="G538" s="1407">
        <f>VLOOKUP($B538,[1]BOLETIM_SEL!$A:$H,7,0)</f>
        <v>1066.82</v>
      </c>
      <c r="H538" s="1606">
        <f>+Recap_Previo!J117</f>
        <v>0</v>
      </c>
      <c r="I538" s="876">
        <f t="shared" si="195"/>
        <v>1301.52</v>
      </c>
      <c r="J538" s="1607">
        <f t="shared" si="183"/>
        <v>0</v>
      </c>
      <c r="K538" s="2069">
        <f t="shared" ca="1" si="180"/>
        <v>0</v>
      </c>
      <c r="L538" s="1570" t="e">
        <f t="shared" si="184"/>
        <v>#DIV/0!</v>
      </c>
      <c r="M538" s="1442"/>
      <c r="N538" s="832"/>
      <c r="O538" s="832"/>
      <c r="Q538" s="832"/>
      <c r="R538" s="832"/>
      <c r="S538" s="832"/>
      <c r="T538" s="832"/>
      <c r="U538" s="832"/>
      <c r="V538" s="832"/>
      <c r="W538" s="832"/>
      <c r="X538" s="832"/>
    </row>
    <row r="539" spans="1:24" s="812" customFormat="1" ht="39.950000000000003" hidden="1" customHeight="1" x14ac:dyDescent="0.15">
      <c r="A539" s="2072">
        <f t="shared" ca="1" si="181"/>
        <v>6</v>
      </c>
      <c r="B539" s="833" t="s">
        <v>1773</v>
      </c>
      <c r="C539" s="2" t="str">
        <f>VLOOKUP($B539,[1]BOLETIM_SEL!$A:$H,2,0)</f>
        <v>COMPOSIÇÃO</v>
      </c>
      <c r="D539" s="315" t="str">
        <f>VLOOKUP($B539,[1]BOLETIM_SEL!$A:$H,4,0)</f>
        <v>Execução de pré-misturado a frio - PMF, faixa C (semidenso), com emulsão asfáltica RL-1C, para revestimento, aplicação com vibroacabadora. Exclusive transporte</v>
      </c>
      <c r="E539" s="2"/>
      <c r="F539" s="2" t="str">
        <f>VLOOKUP($B539,[1]BOLETIM_SEL!$A:$H,6,0)</f>
        <v>M3</v>
      </c>
      <c r="G539" s="1407"/>
      <c r="H539" s="1608">
        <f>+Recap_Previo!J118</f>
        <v>0</v>
      </c>
      <c r="I539" s="2180">
        <f t="shared" si="195"/>
        <v>0</v>
      </c>
      <c r="J539" s="2181">
        <f t="shared" si="183"/>
        <v>0</v>
      </c>
      <c r="K539" s="2182">
        <f t="shared" ca="1" si="180"/>
        <v>0</v>
      </c>
      <c r="L539" s="2368" t="e">
        <f t="shared" si="184"/>
        <v>#DIV/0!</v>
      </c>
      <c r="M539" s="1442"/>
      <c r="N539" s="832"/>
      <c r="O539" s="832"/>
      <c r="Q539" s="832"/>
      <c r="R539" s="832"/>
      <c r="S539" s="832"/>
      <c r="T539" s="832"/>
      <c r="U539" s="832"/>
      <c r="V539" s="832"/>
      <c r="W539" s="832"/>
      <c r="X539" s="832"/>
    </row>
    <row r="540" spans="1:24" s="812" customFormat="1" ht="39.950000000000003" hidden="1" customHeight="1" x14ac:dyDescent="0.15">
      <c r="A540" s="2072">
        <f t="shared" ca="1" si="181"/>
        <v>6</v>
      </c>
      <c r="B540" s="833">
        <f>IF(M540="escavadeira",100978,100974)</f>
        <v>100978</v>
      </c>
      <c r="C540" s="2" t="str">
        <f>VLOOKUP($B540,[1]BOLETIM_SEL!$A:$H,2,0)</f>
        <v>SINAPI</v>
      </c>
      <c r="D540" s="315" t="str">
        <f>VLOOKUP($B540,[1]BOLETIM_SEL!$A:$H,4,0)</f>
        <v>Carga, manobra e descarga de solos e materiais granulares em caminhão basculante 10 m3 - carga com escavadeira hidráulica (capacidade da caçamba: 1,20 m3 / potência: 155 HP) e descarga livre (unidade: m3). AF_07/2020</v>
      </c>
      <c r="E540" s="2"/>
      <c r="F540" s="2" t="str">
        <f>VLOOKUP($B540,[1]BOLETIM_SEL!$A:$H,6,0)</f>
        <v>M3</v>
      </c>
      <c r="G540" s="1407">
        <f>VLOOKUP($B540,[1]BOLETIM_SEL!$A:$H,7,0)</f>
        <v>6.71</v>
      </c>
      <c r="H540" s="1606">
        <f>IF(Recap_Previo!J122&lt;=50,Recap_Previo!J122,0)+IF(Recap_Previo!J124&lt;=50,Recap_Previo!J124,0)</f>
        <v>0</v>
      </c>
      <c r="I540" s="876">
        <f t="shared" si="195"/>
        <v>8.18</v>
      </c>
      <c r="J540" s="1607">
        <f t="shared" si="183"/>
        <v>0</v>
      </c>
      <c r="K540" s="2069">
        <f t="shared" ca="1" si="180"/>
        <v>0</v>
      </c>
      <c r="L540" s="1570" t="e">
        <f t="shared" si="184"/>
        <v>#DIV/0!</v>
      </c>
      <c r="M540" s="1585" t="s">
        <v>2094</v>
      </c>
      <c r="N540" s="832"/>
      <c r="O540" s="832"/>
      <c r="Q540" s="832"/>
      <c r="R540" s="832"/>
      <c r="S540" s="832"/>
      <c r="T540" s="832"/>
      <c r="U540" s="832"/>
      <c r="V540" s="832"/>
      <c r="W540" s="832"/>
      <c r="X540" s="832"/>
    </row>
    <row r="541" spans="1:24" s="812" customFormat="1" ht="39.950000000000003" hidden="1" customHeight="1" x14ac:dyDescent="0.15">
      <c r="A541" s="2072">
        <f t="shared" ca="1" si="181"/>
        <v>6</v>
      </c>
      <c r="B541" s="833">
        <f>IF(M541="escavadeira",100979,100975)</f>
        <v>100979</v>
      </c>
      <c r="C541" s="2" t="str">
        <f>VLOOKUP($B541,[1]BOLETIM_SEL!$A:$H,2,0)</f>
        <v>SINAPI</v>
      </c>
      <c r="D541" s="315" t="str">
        <f>VLOOKUP($B541,[1]BOLETIM_SEL!$A:$H,4,0)</f>
        <v>Carga, manobra e descarga de solos e materiais granulares em caminhão basculante 14 m3 - carga com escavadeira hidráulica (capacidade da caçamba: 1,20 m3 / potência: 155 HP) e descarga livre (unidade: m3). AF_07/2020</v>
      </c>
      <c r="E541" s="2"/>
      <c r="F541" s="2" t="str">
        <f>VLOOKUP($B541,[1]BOLETIM_SEL!$A:$H,6,0)</f>
        <v>M3</v>
      </c>
      <c r="G541" s="1407">
        <f>VLOOKUP($B541,[1]BOLETIM_SEL!$A:$H,7,0)</f>
        <v>6.46</v>
      </c>
      <c r="H541" s="1606">
        <f>IF(Recap_Previo!J122&gt;50,Recap_Previo!J122,0)+IF(Recap_Previo!J124&gt;50,Recap_Previo!J124,0)</f>
        <v>0</v>
      </c>
      <c r="I541" s="876">
        <f t="shared" si="195"/>
        <v>7.88</v>
      </c>
      <c r="J541" s="1607">
        <f t="shared" si="183"/>
        <v>0</v>
      </c>
      <c r="K541" s="2069">
        <f t="shared" ca="1" si="180"/>
        <v>0</v>
      </c>
      <c r="L541" s="1570" t="e">
        <f t="shared" si="184"/>
        <v>#DIV/0!</v>
      </c>
      <c r="M541" s="1585" t="s">
        <v>2094</v>
      </c>
      <c r="N541" s="832"/>
      <c r="O541" s="832"/>
      <c r="Q541" s="832"/>
      <c r="R541" s="832"/>
      <c r="S541" s="832"/>
      <c r="T541" s="832"/>
      <c r="U541" s="832"/>
      <c r="V541" s="832"/>
      <c r="W541" s="832"/>
      <c r="X541" s="832"/>
    </row>
    <row r="542" spans="1:24" s="812" customFormat="1" ht="39.950000000000003" hidden="1" customHeight="1" x14ac:dyDescent="0.15">
      <c r="A542" s="2072">
        <f t="shared" ca="1" si="181"/>
        <v>6</v>
      </c>
      <c r="B542" s="833" t="s">
        <v>438</v>
      </c>
      <c r="C542" s="2" t="str">
        <f>VLOOKUP($B542,[1]BOLETIM_SEL!$A:$H,2,0)</f>
        <v>COMPOSIÇÃO</v>
      </c>
      <c r="D542" s="315" t="str">
        <f>VLOOKUP($B542,[1]BOLETIM_SEL!$A:$H,4,0)</f>
        <v>Carga, manobra e descarga de materiais diversos em caminhão carroceria - carga e descaga manuais (REF. SICRO COD. 5915474)</v>
      </c>
      <c r="E542" s="2"/>
      <c r="F542" s="2" t="str">
        <f>VLOOKUP($B542,[1]BOLETIM_SEL!$A:$H,6,0)</f>
        <v>T</v>
      </c>
      <c r="G542" s="1407">
        <f>VLOOKUP($B542,[1]BOLETIM_SEL!$A:$H,7,0)</f>
        <v>30.39</v>
      </c>
      <c r="H542" s="1606">
        <f>+Recap_Previo!J123</f>
        <v>0</v>
      </c>
      <c r="I542" s="876">
        <f t="shared" si="195"/>
        <v>37.07</v>
      </c>
      <c r="J542" s="1607">
        <f t="shared" si="183"/>
        <v>0</v>
      </c>
      <c r="K542" s="2069">
        <f t="shared" ca="1" si="180"/>
        <v>0</v>
      </c>
      <c r="L542" s="1570" t="e">
        <f t="shared" si="184"/>
        <v>#DIV/0!</v>
      </c>
      <c r="M542" s="1442" t="s">
        <v>2002</v>
      </c>
      <c r="N542" s="832"/>
      <c r="O542" s="832"/>
      <c r="Q542" s="832"/>
      <c r="R542" s="832"/>
      <c r="S542" s="832"/>
      <c r="T542" s="832"/>
      <c r="U542" s="832"/>
      <c r="V542" s="832"/>
      <c r="W542" s="832"/>
      <c r="X542" s="832"/>
    </row>
    <row r="543" spans="1:24" s="812" customFormat="1" ht="24.95" hidden="1" customHeight="1" x14ac:dyDescent="0.15">
      <c r="A543" s="2072"/>
      <c r="B543" s="833"/>
      <c r="C543" s="2"/>
      <c r="D543" s="1449" t="s">
        <v>2436</v>
      </c>
      <c r="E543" s="2"/>
      <c r="F543" s="2"/>
      <c r="G543" s="1407"/>
      <c r="H543" s="2"/>
      <c r="I543" s="2"/>
      <c r="J543" s="838" t="str">
        <f>IF(J544=0,"-","")</f>
        <v>-</v>
      </c>
      <c r="K543" s="2069"/>
      <c r="L543" s="1570"/>
      <c r="M543" s="1442"/>
      <c r="N543" s="832"/>
      <c r="O543" s="832"/>
      <c r="Q543" s="832"/>
      <c r="R543" s="832"/>
      <c r="S543" s="832"/>
      <c r="T543" s="832"/>
      <c r="U543" s="832"/>
      <c r="V543" s="832"/>
      <c r="W543" s="832"/>
      <c r="X543" s="832"/>
    </row>
    <row r="544" spans="1:24" s="812" customFormat="1" ht="39.950000000000003" hidden="1" customHeight="1" x14ac:dyDescent="0.15">
      <c r="A544" s="2072">
        <f ca="1">IF(H544&gt;0,A542+0.01,A542)</f>
        <v>6</v>
      </c>
      <c r="B544" s="833">
        <f>IF(AND(M544&lt;=50,E544&lt;=30),95875,IF(AND(M544&lt;=50,E544&gt;30),93590,IF(AND(M544&gt;50,E544&lt;=30),95876,93593)))</f>
        <v>95875</v>
      </c>
      <c r="C544" s="2" t="str">
        <f>VLOOKUP($B544,[1]BOLETIM_SEL!$A:$H,2,0)</f>
        <v>SINAPI</v>
      </c>
      <c r="D544" s="315" t="str">
        <f>VLOOKUP($B544,[1]BOLETIM_SEL!$A:$H,4,0)</f>
        <v>Transporte com caminhão basculante de 10 m3, em via urbana pavimentada, DMT até 30,00 km (unidade: m3xkm). AF_07/2020</v>
      </c>
      <c r="E544" s="2">
        <f>+Dados_DMT!$B$17</f>
        <v>8</v>
      </c>
      <c r="F544" s="2" t="str">
        <f>VLOOKUP($B544,[1]BOLETIM_SEL!$A:$H,6,0)</f>
        <v>M3XKM</v>
      </c>
      <c r="G544" s="1407">
        <f>VLOOKUP($B544,[1]BOLETIM_SEL!$A:$H,7,0)</f>
        <v>2.36</v>
      </c>
      <c r="H544" s="1606">
        <f>ROUND(Recap_Previo!J125*E544,2)</f>
        <v>0</v>
      </c>
      <c r="I544" s="876">
        <f>TRUNC(G544*(1+$J$5),2)</f>
        <v>2.87</v>
      </c>
      <c r="J544" s="1607">
        <f t="shared" si="183"/>
        <v>0</v>
      </c>
      <c r="K544" s="2069">
        <f ca="1">J544/J$930</f>
        <v>0</v>
      </c>
      <c r="L544" s="1570" t="e">
        <f t="shared" si="184"/>
        <v>#DIV/0!</v>
      </c>
      <c r="M544" s="1450">
        <f>IF(H544=0,0,H544/E544)</f>
        <v>0</v>
      </c>
      <c r="N544" s="832"/>
      <c r="O544" s="832"/>
      <c r="Q544" s="832"/>
      <c r="R544" s="832"/>
      <c r="S544" s="832"/>
      <c r="T544" s="832"/>
      <c r="U544" s="832"/>
      <c r="V544" s="832"/>
      <c r="W544" s="832"/>
      <c r="X544" s="832"/>
    </row>
    <row r="545" spans="1:24" s="812" customFormat="1" ht="24.95" hidden="1" customHeight="1" x14ac:dyDescent="0.15">
      <c r="A545" s="2072"/>
      <c r="B545" s="833"/>
      <c r="C545" s="2"/>
      <c r="D545" s="1449" t="s">
        <v>1790</v>
      </c>
      <c r="E545" s="2"/>
      <c r="F545" s="2"/>
      <c r="G545" s="1407"/>
      <c r="H545" s="2"/>
      <c r="I545" s="2"/>
      <c r="J545" s="838" t="str">
        <f>IF(J546=0,"-","")</f>
        <v>-</v>
      </c>
      <c r="K545" s="2069"/>
      <c r="L545" s="1570"/>
      <c r="M545" s="1442" t="s">
        <v>1941</v>
      </c>
      <c r="N545" s="832"/>
      <c r="O545" s="832"/>
      <c r="Q545" s="832"/>
      <c r="R545" s="832"/>
      <c r="S545" s="832"/>
      <c r="T545" s="832"/>
      <c r="U545" s="832"/>
      <c r="V545" s="832"/>
      <c r="W545" s="832"/>
      <c r="X545" s="832"/>
    </row>
    <row r="546" spans="1:24" s="812" customFormat="1" ht="39.950000000000003" hidden="1" customHeight="1" x14ac:dyDescent="0.15">
      <c r="A546" s="2072">
        <f ca="1">IF(H546&gt;0,A544+0.01,A544)</f>
        <v>6</v>
      </c>
      <c r="B546" s="833">
        <f>IF(AND(M546&lt;=50,E546&lt;=30),95878,IF(AND(M546&lt;=50,E546&gt;30),93596,IF(AND(M546&gt;50,E546&lt;=30),95879,93599)))</f>
        <v>95878</v>
      </c>
      <c r="C546" s="2" t="str">
        <f>VLOOKUP($B546,[1]BOLETIM_SEL!$A:$H,2,0)</f>
        <v>SINAPI</v>
      </c>
      <c r="D546" s="315" t="str">
        <f>VLOOKUP($B546,[1]BOLETIM_SEL!$A:$H,4,0)</f>
        <v>Transporte com caminhão basculante de 10 m3, em via urbana pavimentada, DMT até 30,00 km (unidade: txkm). AF_07/2020</v>
      </c>
      <c r="E546" s="2">
        <f>+Dados_DMT!$B$19</f>
        <v>0</v>
      </c>
      <c r="F546" s="2" t="str">
        <f>VLOOKUP($B546,[1]BOLETIM_SEL!$A:$H,6,0)</f>
        <v>TXKM</v>
      </c>
      <c r="G546" s="1407">
        <f>VLOOKUP($B546,[1]BOLETIM_SEL!$A:$H,7,0)</f>
        <v>1.58</v>
      </c>
      <c r="H546" s="1606">
        <f>ROUND(Recap_Previo!J126*E546,2)</f>
        <v>0</v>
      </c>
      <c r="I546" s="876">
        <f>TRUNC(G546*(1+$J$5),2)</f>
        <v>1.92</v>
      </c>
      <c r="J546" s="1607">
        <f>TRUNC(H546*I546,2)</f>
        <v>0</v>
      </c>
      <c r="K546" s="2069">
        <f ca="1">J546/J$930</f>
        <v>0</v>
      </c>
      <c r="L546" s="1570" t="e">
        <f t="shared" si="184"/>
        <v>#DIV/0!</v>
      </c>
      <c r="M546" s="1451">
        <f>IF(H546=0,0,H546/E546)</f>
        <v>0</v>
      </c>
      <c r="N546" s="832"/>
      <c r="O546" s="832"/>
      <c r="Q546" s="832"/>
      <c r="R546" s="832"/>
      <c r="S546" s="832"/>
      <c r="T546" s="832"/>
      <c r="U546" s="832"/>
      <c r="V546" s="832"/>
      <c r="W546" s="832"/>
      <c r="X546" s="832"/>
    </row>
    <row r="547" spans="1:24" s="812" customFormat="1" ht="24.95" hidden="1" customHeight="1" x14ac:dyDescent="0.15">
      <c r="A547" s="2072"/>
      <c r="B547" s="833"/>
      <c r="C547" s="2"/>
      <c r="D547" s="1449" t="s">
        <v>1811</v>
      </c>
      <c r="E547" s="2"/>
      <c r="F547" s="2"/>
      <c r="G547" s="1407"/>
      <c r="H547" s="2"/>
      <c r="I547" s="2"/>
      <c r="J547" s="838" t="str">
        <f>IF(J548=0,"-","")</f>
        <v>-</v>
      </c>
      <c r="K547" s="2069"/>
      <c r="L547" s="1570"/>
      <c r="M547" s="1442"/>
      <c r="N547" s="832"/>
      <c r="O547" s="832"/>
      <c r="Q547" s="832"/>
      <c r="R547" s="832"/>
      <c r="S547" s="832"/>
      <c r="T547" s="832"/>
      <c r="U547" s="832"/>
      <c r="V547" s="832"/>
      <c r="W547" s="832"/>
      <c r="X547" s="832"/>
    </row>
    <row r="548" spans="1:24" s="812" customFormat="1" ht="39.950000000000003" hidden="1" customHeight="1" x14ac:dyDescent="0.15">
      <c r="A548" s="2072">
        <f ca="1">IF(H548&gt;0,A546+0.01,A546)</f>
        <v>6</v>
      </c>
      <c r="B548" s="833">
        <f>IF(AND(M548&lt;=50,E548&lt;=30),95875,IF(AND(M548&lt;=50,E548&gt;30),93590,IF(AND(M548&gt;50,E548&lt;=30),95876,93593)))</f>
        <v>95875</v>
      </c>
      <c r="C548" s="2" t="str">
        <f>VLOOKUP($B548,[1]BOLETIM_SEL!$A:$H,2,0)</f>
        <v>SINAPI</v>
      </c>
      <c r="D548" s="315" t="str">
        <f>VLOOKUP($B548,[1]BOLETIM_SEL!$A:$H,4,0)</f>
        <v>Transporte com caminhão basculante de 10 m3, em via urbana pavimentada, DMT até 30,00 km (unidade: m3xkm). AF_07/2020</v>
      </c>
      <c r="E548" s="2">
        <f>+Dados_DMT!$B$14</f>
        <v>7</v>
      </c>
      <c r="F548" s="2" t="str">
        <f>VLOOKUP($B548,[1]BOLETIM_SEL!$A:$H,6,0)</f>
        <v>M3XKM</v>
      </c>
      <c r="G548" s="1407">
        <f>VLOOKUP($B548,[1]BOLETIM_SEL!$A:$H,7,0)</f>
        <v>2.36</v>
      </c>
      <c r="H548" s="1606">
        <f>ROUND(Recap_Previo!J127*E548,2)</f>
        <v>0</v>
      </c>
      <c r="I548" s="876">
        <f>TRUNC(G548*(1+$J$5),2)</f>
        <v>2.87</v>
      </c>
      <c r="J548" s="1607">
        <f t="shared" si="183"/>
        <v>0</v>
      </c>
      <c r="K548" s="2069">
        <f ca="1">J548/J$930</f>
        <v>0</v>
      </c>
      <c r="L548" s="1570" t="e">
        <f t="shared" si="184"/>
        <v>#DIV/0!</v>
      </c>
      <c r="M548" s="1442"/>
      <c r="N548" s="832"/>
      <c r="O548" s="832"/>
      <c r="Q548" s="832"/>
      <c r="R548" s="832"/>
      <c r="S548" s="832"/>
      <c r="T548" s="832"/>
      <c r="U548" s="832"/>
      <c r="V548" s="832"/>
      <c r="W548" s="832"/>
      <c r="X548" s="832"/>
    </row>
    <row r="549" spans="1:24" s="812" customFormat="1" ht="24.95" hidden="1" customHeight="1" x14ac:dyDescent="0.15">
      <c r="A549" s="2072"/>
      <c r="B549" s="833"/>
      <c r="C549" s="2"/>
      <c r="D549" s="1449" t="s">
        <v>1890</v>
      </c>
      <c r="E549" s="2"/>
      <c r="F549" s="2"/>
      <c r="G549" s="1407"/>
      <c r="H549" s="2"/>
      <c r="I549" s="2"/>
      <c r="J549" s="838" t="str">
        <f>IF(J550=0,"-","")</f>
        <v>-</v>
      </c>
      <c r="K549" s="2069"/>
      <c r="L549" s="1570"/>
      <c r="M549" s="1442"/>
      <c r="N549" s="832"/>
      <c r="O549" s="832"/>
      <c r="Q549" s="832"/>
      <c r="R549" s="832"/>
      <c r="S549" s="832"/>
      <c r="T549" s="832"/>
      <c r="U549" s="832"/>
      <c r="V549" s="832"/>
      <c r="W549" s="832"/>
      <c r="X549" s="832"/>
    </row>
    <row r="550" spans="1:24" s="812" customFormat="1" ht="39.950000000000003" hidden="1" customHeight="1" x14ac:dyDescent="0.15">
      <c r="A550" s="2072">
        <f ca="1">IF(H550&gt;0,A548+0.01,A548)</f>
        <v>6</v>
      </c>
      <c r="B550" s="833">
        <f>IF(AND(M550&lt;=50,E550&lt;=30),95875,IF(AND(M550&lt;=50,E550&gt;30),93590,IF(AND(M550&gt;50,E550&lt;=30),95876,93593)))</f>
        <v>95875</v>
      </c>
      <c r="C550" s="2" t="str">
        <f>VLOOKUP($B550,[1]BOLETIM_SEL!$A:$H,2,0)</f>
        <v>SINAPI</v>
      </c>
      <c r="D550" s="315" t="str">
        <f>VLOOKUP($B550,[1]BOLETIM_SEL!$A:$H,4,0)</f>
        <v>Transporte com caminhão basculante de 10 m3, em via urbana pavimentada, DMT até 30,00 km (unidade: m3xkm). AF_07/2020</v>
      </c>
      <c r="E550" s="2">
        <f>+Dados_DMT!$B$24</f>
        <v>0</v>
      </c>
      <c r="F550" s="2" t="str">
        <f>VLOOKUP($B550,[1]BOLETIM_SEL!$A:$H,6,0)</f>
        <v>M3XKM</v>
      </c>
      <c r="G550" s="1407">
        <f>VLOOKUP($B550,[1]BOLETIM_SEL!$A:$H,7,0)</f>
        <v>2.36</v>
      </c>
      <c r="H550" s="1606">
        <f>ROUND(Recap_Previo!J131*E550,2)</f>
        <v>0</v>
      </c>
      <c r="I550" s="876">
        <f>TRUNC(G550*(1+$J$5),2)</f>
        <v>2.87</v>
      </c>
      <c r="J550" s="1607">
        <f t="shared" si="183"/>
        <v>0</v>
      </c>
      <c r="K550" s="2069">
        <f ca="1">J550/J$930</f>
        <v>0</v>
      </c>
      <c r="L550" s="1570" t="e">
        <f t="shared" si="184"/>
        <v>#DIV/0!</v>
      </c>
      <c r="M550" s="1450">
        <f>IF(H550=0,0,H550/E550)</f>
        <v>0</v>
      </c>
      <c r="N550" s="832"/>
      <c r="O550" s="832"/>
      <c r="Q550" s="832"/>
      <c r="R550" s="832"/>
      <c r="S550" s="832"/>
      <c r="T550" s="832"/>
      <c r="U550" s="832"/>
      <c r="V550" s="832"/>
      <c r="W550" s="832"/>
      <c r="X550" s="832"/>
    </row>
    <row r="551" spans="1:24" s="812" customFormat="1" ht="24.95" hidden="1" customHeight="1" x14ac:dyDescent="0.15">
      <c r="A551" s="2072"/>
      <c r="B551" s="833"/>
      <c r="C551" s="2"/>
      <c r="D551" s="1449" t="s">
        <v>2178</v>
      </c>
      <c r="E551" s="2"/>
      <c r="F551" s="2"/>
      <c r="G551" s="1407"/>
      <c r="H551" s="2"/>
      <c r="I551" s="2"/>
      <c r="J551" s="838" t="str">
        <f>IF(J552=0,"-","")</f>
        <v>-</v>
      </c>
      <c r="K551" s="2069"/>
      <c r="L551" s="1570"/>
      <c r="M551" s="1442"/>
      <c r="N551" s="832"/>
      <c r="O551" s="832"/>
      <c r="Q551" s="832"/>
      <c r="R551" s="832"/>
      <c r="S551" s="832"/>
      <c r="T551" s="832"/>
      <c r="U551" s="832"/>
      <c r="V551" s="832"/>
      <c r="W551" s="832"/>
      <c r="X551" s="832"/>
    </row>
    <row r="552" spans="1:24" s="812" customFormat="1" ht="39.950000000000003" hidden="1" customHeight="1" x14ac:dyDescent="0.15">
      <c r="A552" s="2072">
        <f ca="1">IF(H552&gt;0,A550+0.01,A550)</f>
        <v>6</v>
      </c>
      <c r="B552" s="833">
        <f>IF(AND(M552&lt;=50,E552&lt;=30),95875,IF(AND(M552&lt;=50,E552&gt;30),93590,IF(AND(M552&gt;50,E552&lt;=30),95876,93593)))</f>
        <v>95875</v>
      </c>
      <c r="C552" s="2" t="str">
        <f>VLOOKUP($B552,[1]BOLETIM_SEL!$A:$H,2,0)</f>
        <v>SINAPI</v>
      </c>
      <c r="D552" s="315" t="str">
        <f>VLOOKUP($B552,[1]BOLETIM_SEL!$A:$H,4,0)</f>
        <v>Transporte com caminhão basculante de 10 m3, em via urbana pavimentada, DMT até 30,00 km (unidade: m3xkm). AF_07/2020</v>
      </c>
      <c r="E552" s="2">
        <f>+Dados_DMT!$B$34</f>
        <v>24</v>
      </c>
      <c r="F552" s="2" t="str">
        <f>VLOOKUP($B552,[1]BOLETIM_SEL!$A:$H,6,0)</f>
        <v>M3XKM</v>
      </c>
      <c r="G552" s="1407">
        <f>VLOOKUP($B552,[1]BOLETIM_SEL!$A:$H,7,0)</f>
        <v>2.36</v>
      </c>
      <c r="H552" s="1606">
        <f>ROUND(Recap_Previo!J132*E552,2)</f>
        <v>0</v>
      </c>
      <c r="I552" s="876">
        <f>TRUNC(G552*(1+$J$5),2)</f>
        <v>2.87</v>
      </c>
      <c r="J552" s="1607">
        <f t="shared" si="183"/>
        <v>0</v>
      </c>
      <c r="K552" s="2069">
        <f ca="1">J552/J$930</f>
        <v>0</v>
      </c>
      <c r="L552" s="1570" t="e">
        <f t="shared" si="184"/>
        <v>#DIV/0!</v>
      </c>
      <c r="M552" s="1442"/>
      <c r="N552" s="832"/>
      <c r="O552" s="832"/>
      <c r="Q552" s="832"/>
      <c r="R552" s="832"/>
      <c r="S552" s="832"/>
      <c r="T552" s="832"/>
      <c r="U552" s="832"/>
      <c r="V552" s="832"/>
      <c r="W552" s="832"/>
      <c r="X552" s="832"/>
    </row>
    <row r="553" spans="1:24" s="812" customFormat="1" ht="24.95" hidden="1" customHeight="1" x14ac:dyDescent="0.15">
      <c r="A553" s="2072"/>
      <c r="B553" s="833"/>
      <c r="C553" s="2"/>
      <c r="D553" s="1449" t="s">
        <v>1891</v>
      </c>
      <c r="E553" s="2"/>
      <c r="F553" s="2"/>
      <c r="G553" s="1407"/>
      <c r="H553" s="2"/>
      <c r="I553" s="2"/>
      <c r="J553" s="838" t="str">
        <f>IF(J554=0,"-","")</f>
        <v>-</v>
      </c>
      <c r="K553" s="2069"/>
      <c r="L553" s="1570"/>
      <c r="M553" s="1442"/>
      <c r="N553" s="832"/>
      <c r="O553" s="832"/>
      <c r="Q553" s="832"/>
      <c r="R553" s="832"/>
      <c r="S553" s="832"/>
      <c r="T553" s="832"/>
      <c r="U553" s="832"/>
      <c r="V553" s="832"/>
      <c r="W553" s="832"/>
      <c r="X553" s="832"/>
    </row>
    <row r="554" spans="1:24" s="812" customFormat="1" ht="39.950000000000003" hidden="1" customHeight="1" x14ac:dyDescent="0.15">
      <c r="A554" s="2072">
        <f ca="1">IF(H554&gt;0,A552+0.01,A552)</f>
        <v>6</v>
      </c>
      <c r="B554" s="833">
        <f>IF(AND(M554&lt;=50,E554&lt;=30),95875,IF(AND(M554&lt;=50,E554&gt;30),93590,IF(AND(M554&gt;50,E554&lt;=30),95876,93593)))</f>
        <v>95875</v>
      </c>
      <c r="C554" s="2" t="str">
        <f>VLOOKUP($B554,[1]BOLETIM_SEL!$A:$H,2,0)</f>
        <v>SINAPI</v>
      </c>
      <c r="D554" s="315" t="str">
        <f>VLOOKUP($B554,[1]BOLETIM_SEL!$A:$H,4,0)</f>
        <v>Transporte com caminhão basculante de 10 m3, em via urbana pavimentada, DMT até 30,00 km (unidade: m3xkm). AF_07/2020</v>
      </c>
      <c r="E554" s="2">
        <f>+Dados_DMT!$B$34</f>
        <v>24</v>
      </c>
      <c r="F554" s="2" t="str">
        <f>VLOOKUP($B554,[1]BOLETIM_SEL!$A:$H,6,0)</f>
        <v>M3XKM</v>
      </c>
      <c r="G554" s="1407">
        <f>VLOOKUP($B554,[1]BOLETIM_SEL!$A:$H,7,0)</f>
        <v>2.36</v>
      </c>
      <c r="H554" s="1606">
        <f>ROUND(Recap_Previo!J133*E554,2)</f>
        <v>0</v>
      </c>
      <c r="I554" s="876">
        <f>TRUNC(G554*(1+$J$5),2)</f>
        <v>2.87</v>
      </c>
      <c r="J554" s="1607">
        <f t="shared" si="183"/>
        <v>0</v>
      </c>
      <c r="K554" s="2069">
        <f ca="1">J554/J$930</f>
        <v>0</v>
      </c>
      <c r="L554" s="1570" t="e">
        <f t="shared" si="184"/>
        <v>#DIV/0!</v>
      </c>
      <c r="M554" s="1450">
        <f>IF(H554=0,0,H554/E554)</f>
        <v>0</v>
      </c>
      <c r="N554" s="832"/>
      <c r="O554" s="832"/>
      <c r="Q554" s="832"/>
      <c r="R554" s="832"/>
      <c r="S554" s="832"/>
      <c r="T554" s="832"/>
      <c r="U554" s="832"/>
      <c r="V554" s="832"/>
      <c r="W554" s="832"/>
      <c r="X554" s="832"/>
    </row>
    <row r="555" spans="1:24" s="812" customFormat="1" ht="24.95" hidden="1" customHeight="1" x14ac:dyDescent="0.15">
      <c r="A555" s="2072"/>
      <c r="B555" s="833"/>
      <c r="C555" s="2"/>
      <c r="D555" s="1449" t="s">
        <v>1892</v>
      </c>
      <c r="E555" s="2"/>
      <c r="F555" s="2"/>
      <c r="G555" s="1407"/>
      <c r="H555" s="2"/>
      <c r="I555" s="2"/>
      <c r="J555" s="838" t="str">
        <f>IF(J556=0,"-","")</f>
        <v>-</v>
      </c>
      <c r="K555" s="2069"/>
      <c r="L555" s="1570"/>
      <c r="M555" s="1442"/>
      <c r="N555" s="832"/>
      <c r="O555" s="832"/>
      <c r="Q555" s="832"/>
      <c r="R555" s="832"/>
      <c r="S555" s="832"/>
      <c r="T555" s="832"/>
      <c r="U555" s="832"/>
      <c r="V555" s="832"/>
      <c r="W555" s="832"/>
      <c r="X555" s="832"/>
    </row>
    <row r="556" spans="1:24" s="812" customFormat="1" ht="39.950000000000003" hidden="1" customHeight="1" x14ac:dyDescent="0.15">
      <c r="A556" s="2072">
        <f ca="1">IF(H556&gt;0,A554+0.01,A554)</f>
        <v>6</v>
      </c>
      <c r="B556" s="833">
        <f>IF(AND(M556&lt;=50,E556&lt;=30),95875,IF(AND(M556&lt;=50,E556&gt;30),93590,IF(AND(M556&gt;50,E556&lt;=30),95876,93593)))</f>
        <v>95875</v>
      </c>
      <c r="C556" s="2" t="str">
        <f>VLOOKUP($B556,[1]BOLETIM_SEL!$A:$H,2,0)</f>
        <v>SINAPI</v>
      </c>
      <c r="D556" s="315" t="str">
        <f>VLOOKUP($B556,[1]BOLETIM_SEL!$A:$H,4,0)</f>
        <v>Transporte com caminhão basculante de 10 m3, em via urbana pavimentada, DMT até 30,00 km (unidade: m3xkm). AF_07/2020</v>
      </c>
      <c r="E556" s="2">
        <f>+Dados_DMT!$B$34</f>
        <v>24</v>
      </c>
      <c r="F556" s="2" t="str">
        <f>VLOOKUP($B556,[1]BOLETIM_SEL!$A:$H,6,0)</f>
        <v>M3XKM</v>
      </c>
      <c r="G556" s="1407">
        <f>VLOOKUP($B556,[1]BOLETIM_SEL!$A:$H,7,0)</f>
        <v>2.36</v>
      </c>
      <c r="H556" s="1606">
        <f>ROUND(Recap_Previo!J134*E556,2)</f>
        <v>0</v>
      </c>
      <c r="I556" s="876">
        <f>TRUNC(G556*(1+$J$5),2)</f>
        <v>2.87</v>
      </c>
      <c r="J556" s="1607">
        <f t="shared" si="183"/>
        <v>0</v>
      </c>
      <c r="K556" s="2069">
        <f ca="1">J556/J$930</f>
        <v>0</v>
      </c>
      <c r="L556" s="1570" t="e">
        <f t="shared" si="184"/>
        <v>#DIV/0!</v>
      </c>
      <c r="M556" s="1450">
        <f>IF(H556=0,0,H556/E556)</f>
        <v>0</v>
      </c>
      <c r="N556" s="832"/>
      <c r="O556" s="832"/>
      <c r="Q556" s="832"/>
      <c r="R556" s="832"/>
      <c r="S556" s="832"/>
      <c r="T556" s="832"/>
      <c r="U556" s="832"/>
      <c r="V556" s="832"/>
      <c r="W556" s="832"/>
      <c r="X556" s="832"/>
    </row>
    <row r="557" spans="1:24" s="812" customFormat="1" ht="24.95" hidden="1" customHeight="1" x14ac:dyDescent="0.15">
      <c r="A557" s="2072"/>
      <c r="B557" s="833"/>
      <c r="C557" s="2"/>
      <c r="D557" s="1449" t="s">
        <v>1897</v>
      </c>
      <c r="E557" s="2"/>
      <c r="F557" s="2"/>
      <c r="G557" s="1407"/>
      <c r="H557" s="2"/>
      <c r="I557" s="2"/>
      <c r="J557" s="838" t="str">
        <f>IF(J558=0,"-","")</f>
        <v>-</v>
      </c>
      <c r="K557" s="2069"/>
      <c r="L557" s="1570"/>
      <c r="M557" s="1442"/>
      <c r="N557" s="832"/>
      <c r="O557" s="832"/>
      <c r="Q557" s="832"/>
      <c r="R557" s="832"/>
      <c r="S557" s="832"/>
      <c r="T557" s="832"/>
      <c r="U557" s="832"/>
      <c r="V557" s="832"/>
      <c r="W557" s="832"/>
      <c r="X557" s="832"/>
    </row>
    <row r="558" spans="1:24" s="812" customFormat="1" ht="39.950000000000003" hidden="1" customHeight="1" x14ac:dyDescent="0.15">
      <c r="A558" s="2072">
        <f ca="1">IF(H558&gt;0,A556+0.01,A556)</f>
        <v>6</v>
      </c>
      <c r="B558" s="833">
        <f>IF(AND(M558&lt;=50,E558&lt;=30),95875,IF(AND(M558&lt;=50,E558&gt;30),93590,IF(AND(M558&gt;50,E558&lt;=30),95876,93593)))</f>
        <v>95875</v>
      </c>
      <c r="C558" s="2" t="str">
        <f>VLOOKUP($B558,[1]BOLETIM_SEL!$A:$H,2,0)</f>
        <v>SINAPI</v>
      </c>
      <c r="D558" s="315" t="str">
        <f>VLOOKUP($B558,[1]BOLETIM_SEL!$A:$H,4,0)</f>
        <v>Transporte com caminhão basculante de 10 m3, em via urbana pavimentada, DMT até 30,00 km (unidade: m3xkm). AF_07/2020</v>
      </c>
      <c r="E558" s="2">
        <f>+Dados_DMT!$B$33</f>
        <v>0</v>
      </c>
      <c r="F558" s="2" t="str">
        <f>VLOOKUP($B558,[1]BOLETIM_SEL!$A:$H,6,0)</f>
        <v>M3XKM</v>
      </c>
      <c r="G558" s="1407">
        <f>VLOOKUP($B558,[1]BOLETIM_SEL!$A:$H,7,0)</f>
        <v>2.36</v>
      </c>
      <c r="H558" s="1606">
        <f>ROUND(Recap_Previo!J136*E558,2)</f>
        <v>0</v>
      </c>
      <c r="I558" s="876">
        <f>TRUNC(G558*(1+$J$5),2)</f>
        <v>2.87</v>
      </c>
      <c r="J558" s="1607">
        <f t="shared" si="183"/>
        <v>0</v>
      </c>
      <c r="K558" s="2069">
        <f ca="1">J558/J$930</f>
        <v>0</v>
      </c>
      <c r="L558" s="1570" t="e">
        <f t="shared" si="184"/>
        <v>#DIV/0!</v>
      </c>
      <c r="M558" s="1450">
        <f>IF(H558=0,0,H558/E558)</f>
        <v>0</v>
      </c>
      <c r="N558" s="832"/>
      <c r="O558" s="832"/>
      <c r="Q558" s="832"/>
      <c r="R558" s="832"/>
      <c r="S558" s="832"/>
      <c r="T558" s="832"/>
      <c r="U558" s="832"/>
      <c r="V558" s="832"/>
      <c r="W558" s="832"/>
      <c r="X558" s="832"/>
    </row>
    <row r="559" spans="1:24" s="812" customFormat="1" ht="24.95" hidden="1" customHeight="1" x14ac:dyDescent="0.15">
      <c r="A559" s="2072"/>
      <c r="B559" s="833"/>
      <c r="C559" s="2"/>
      <c r="D559" s="1449" t="s">
        <v>1896</v>
      </c>
      <c r="E559" s="2"/>
      <c r="F559" s="2"/>
      <c r="G559" s="1407"/>
      <c r="H559" s="2"/>
      <c r="I559" s="2"/>
      <c r="J559" s="838" t="str">
        <f>IF(J560=0,"-","")</f>
        <v>-</v>
      </c>
      <c r="K559" s="2069"/>
      <c r="L559" s="1570"/>
      <c r="M559" s="1442"/>
      <c r="N559" s="832"/>
      <c r="O559" s="832"/>
      <c r="Q559" s="832"/>
      <c r="R559" s="832"/>
      <c r="S559" s="832"/>
      <c r="T559" s="832"/>
      <c r="U559" s="832"/>
      <c r="V559" s="832"/>
      <c r="W559" s="832"/>
      <c r="X559" s="832"/>
    </row>
    <row r="560" spans="1:24" s="812" customFormat="1" ht="39.950000000000003" hidden="1" customHeight="1" x14ac:dyDescent="0.15">
      <c r="A560" s="2072">
        <f ca="1">IF(H560&gt;0,A558+0.01,A558)</f>
        <v>6</v>
      </c>
      <c r="B560" s="833">
        <f>IF(AND(M560&lt;=50,E560&lt;=30),95875,IF(AND(M560&lt;=50,E560&gt;30),93590,IF(AND(M560&gt;50,E560&lt;=30),95876,93593)))</f>
        <v>95875</v>
      </c>
      <c r="C560" s="2" t="str">
        <f>VLOOKUP($B560,[1]BOLETIM_SEL!$A:$H,2,0)</f>
        <v>SINAPI</v>
      </c>
      <c r="D560" s="315" t="str">
        <f>VLOOKUP($B560,[1]BOLETIM_SEL!$A:$H,4,0)</f>
        <v>Transporte com caminhão basculante de 10 m3, em via urbana pavimentada, DMT até 30,00 km (unidade: m3xkm). AF_07/2020</v>
      </c>
      <c r="E560" s="2">
        <f>+Dados_DMT!$B$32</f>
        <v>0</v>
      </c>
      <c r="F560" s="2" t="str">
        <f>VLOOKUP($B560,[1]BOLETIM_SEL!$A:$H,6,0)</f>
        <v>M3XKM</v>
      </c>
      <c r="G560" s="1407">
        <f>VLOOKUP($B560,[1]BOLETIM_SEL!$A:$H,7,0)</f>
        <v>2.36</v>
      </c>
      <c r="H560" s="1606">
        <f>ROUND(Recap_Previo!J135*E560,2)</f>
        <v>0</v>
      </c>
      <c r="I560" s="876">
        <f>TRUNC(G560*(1+$J$5),2)</f>
        <v>2.87</v>
      </c>
      <c r="J560" s="1607">
        <f t="shared" si="183"/>
        <v>0</v>
      </c>
      <c r="K560" s="2069">
        <f ca="1">J560/J$930</f>
        <v>0</v>
      </c>
      <c r="L560" s="1570" t="e">
        <f t="shared" si="184"/>
        <v>#DIV/0!</v>
      </c>
      <c r="M560" s="1450">
        <f>IF(H560=0,0,H560/E560)</f>
        <v>0</v>
      </c>
      <c r="N560" s="832"/>
      <c r="O560" s="832"/>
      <c r="Q560" s="832"/>
      <c r="R560" s="832"/>
      <c r="S560" s="832"/>
      <c r="T560" s="832"/>
      <c r="U560" s="832"/>
      <c r="V560" s="832"/>
      <c r="W560" s="832"/>
      <c r="X560" s="832"/>
    </row>
    <row r="561" spans="1:24" s="812" customFormat="1" ht="24.95" hidden="1" customHeight="1" x14ac:dyDescent="0.15">
      <c r="A561" s="2072"/>
      <c r="B561" s="833"/>
      <c r="C561" s="2"/>
      <c r="D561" s="1449" t="s">
        <v>1899</v>
      </c>
      <c r="E561" s="2"/>
      <c r="F561" s="2"/>
      <c r="G561" s="1407"/>
      <c r="H561" s="2"/>
      <c r="I561" s="2"/>
      <c r="J561" s="838" t="str">
        <f>IF(J562=0,"-","")</f>
        <v>-</v>
      </c>
      <c r="K561" s="2069"/>
      <c r="L561" s="1570"/>
      <c r="M561" s="1442"/>
      <c r="N561" s="832"/>
      <c r="O561" s="832"/>
      <c r="Q561" s="832"/>
      <c r="R561" s="832"/>
      <c r="S561" s="832"/>
      <c r="T561" s="832"/>
      <c r="U561" s="832"/>
      <c r="V561" s="832"/>
      <c r="W561" s="832"/>
      <c r="X561" s="832"/>
    </row>
    <row r="562" spans="1:24" s="812" customFormat="1" ht="39.950000000000003" hidden="1" customHeight="1" x14ac:dyDescent="0.15">
      <c r="A562" s="2072">
        <f ca="1">IF(H562&gt;0,A560+0.01,A560)</f>
        <v>6</v>
      </c>
      <c r="B562" s="833">
        <f>IF(AND(M562&lt;=50,E562&lt;=30),95875,IF(AND(M562&lt;=50,E562&gt;30),93590,IF(AND(M562&gt;50,E562&lt;=30),95876,93593)))</f>
        <v>95875</v>
      </c>
      <c r="C562" s="2" t="str">
        <f>VLOOKUP($B562,[1]BOLETIM_SEL!$A:$H,2,0)</f>
        <v>SINAPI</v>
      </c>
      <c r="D562" s="315" t="str">
        <f>VLOOKUP($B562,[1]BOLETIM_SEL!$A:$H,4,0)</f>
        <v>Transporte com caminhão basculante de 10 m3, em via urbana pavimentada, DMT até 30,00 km (unidade: m3xkm). AF_07/2020</v>
      </c>
      <c r="E562" s="2">
        <f>+Dados_DMT!$B$34</f>
        <v>24</v>
      </c>
      <c r="F562" s="2" t="str">
        <f>VLOOKUP($B562,[1]BOLETIM_SEL!$A:$H,6,0)</f>
        <v>M3XKM</v>
      </c>
      <c r="G562" s="1407">
        <f>VLOOKUP($B562,[1]BOLETIM_SEL!$A:$H,7,0)</f>
        <v>2.36</v>
      </c>
      <c r="H562" s="1606">
        <f>ROUND(Recap_Previo!J137*E562,2)</f>
        <v>0</v>
      </c>
      <c r="I562" s="876">
        <f>TRUNC(G562*(1+$J$5),2)</f>
        <v>2.87</v>
      </c>
      <c r="J562" s="1607">
        <f t="shared" si="183"/>
        <v>0</v>
      </c>
      <c r="K562" s="2069">
        <f ca="1">J562/J$930</f>
        <v>0</v>
      </c>
      <c r="L562" s="1570" t="e">
        <f t="shared" si="184"/>
        <v>#DIV/0!</v>
      </c>
      <c r="M562" s="1450">
        <f>IF(H562=0,0,H562/E562)</f>
        <v>0</v>
      </c>
      <c r="N562" s="832"/>
      <c r="O562" s="832"/>
      <c r="Q562" s="832"/>
      <c r="R562" s="832"/>
      <c r="S562" s="832"/>
      <c r="T562" s="832"/>
      <c r="U562" s="832"/>
      <c r="V562" s="832"/>
      <c r="W562" s="832"/>
      <c r="X562" s="832"/>
    </row>
    <row r="563" spans="1:24" s="812" customFormat="1" ht="24.95" hidden="1" customHeight="1" x14ac:dyDescent="0.15">
      <c r="A563" s="2072"/>
      <c r="B563" s="833"/>
      <c r="C563" s="2"/>
      <c r="D563" s="1449" t="s">
        <v>1759</v>
      </c>
      <c r="E563" s="2"/>
      <c r="F563" s="2"/>
      <c r="G563" s="1407"/>
      <c r="H563" s="2"/>
      <c r="I563" s="2"/>
      <c r="J563" s="838" t="str">
        <f>IF(J564=0,"-","")</f>
        <v>-</v>
      </c>
      <c r="K563" s="2069"/>
      <c r="L563" s="1570"/>
      <c r="M563" s="1442"/>
      <c r="N563" s="832"/>
      <c r="O563" s="832"/>
      <c r="Q563" s="832"/>
      <c r="R563" s="832"/>
      <c r="S563" s="832"/>
      <c r="T563" s="832"/>
      <c r="U563" s="832"/>
      <c r="V563" s="832"/>
      <c r="W563" s="832"/>
      <c r="X563" s="832"/>
    </row>
    <row r="564" spans="1:24" s="812" customFormat="1" ht="39.950000000000003" hidden="1" customHeight="1" x14ac:dyDescent="0.15">
      <c r="A564" s="2072">
        <f ca="1">IF(H564&gt;0,A562+0.01,A562)</f>
        <v>6</v>
      </c>
      <c r="B564" s="833">
        <f>IF(AND(M564&lt;=50,E564&lt;=30),95875,IF(AND(M564&lt;=50,E564&gt;30),93590,IF(AND(M564&gt;50,E564&lt;=30),95876,93593)))</f>
        <v>95875</v>
      </c>
      <c r="C564" s="2" t="str">
        <f>VLOOKUP($B564,[1]BOLETIM_SEL!$A:$H,2,0)</f>
        <v>SINAPI</v>
      </c>
      <c r="D564" s="315" t="str">
        <f>VLOOKUP($B564,[1]BOLETIM_SEL!$A:$H,4,0)</f>
        <v>Transporte com caminhão basculante de 10 m3, em via urbana pavimentada, DMT até 30,00 km (unidade: m3xkm). AF_07/2020</v>
      </c>
      <c r="E564" s="2">
        <f>+Dados_DMT!$B$23</f>
        <v>0</v>
      </c>
      <c r="F564" s="2" t="str">
        <f>VLOOKUP($B564,[1]BOLETIM_SEL!$A:$H,6,0)</f>
        <v>M3XKM</v>
      </c>
      <c r="G564" s="1407">
        <f>VLOOKUP($B564,[1]BOLETIM_SEL!$A:$H,7,0)</f>
        <v>2.36</v>
      </c>
      <c r="H564" s="1606">
        <f>ROUND(Recap_Previo!J130*E564,2)</f>
        <v>0</v>
      </c>
      <c r="I564" s="876">
        <f>TRUNC(G564*(1+$J$5),2)</f>
        <v>2.87</v>
      </c>
      <c r="J564" s="1607">
        <f t="shared" si="183"/>
        <v>0</v>
      </c>
      <c r="K564" s="2069">
        <f ca="1">J564/J$930</f>
        <v>0</v>
      </c>
      <c r="L564" s="1570" t="e">
        <f t="shared" si="184"/>
        <v>#DIV/0!</v>
      </c>
      <c r="M564" s="1450">
        <f>IF(H564=0,0,H564/E564)</f>
        <v>0</v>
      </c>
      <c r="N564" s="832"/>
      <c r="O564" s="832"/>
      <c r="Q564" s="832"/>
      <c r="R564" s="832"/>
      <c r="S564" s="832"/>
      <c r="T564" s="832"/>
      <c r="U564" s="832"/>
      <c r="V564" s="832"/>
      <c r="W564" s="832"/>
      <c r="X564" s="832"/>
    </row>
    <row r="565" spans="1:24" s="812" customFormat="1" ht="24.95" hidden="1" customHeight="1" x14ac:dyDescent="0.15">
      <c r="A565" s="2072"/>
      <c r="B565" s="833"/>
      <c r="C565" s="2"/>
      <c r="D565" s="1449" t="s">
        <v>1760</v>
      </c>
      <c r="E565" s="2"/>
      <c r="F565" s="2"/>
      <c r="G565" s="1407"/>
      <c r="H565" s="2"/>
      <c r="I565" s="2"/>
      <c r="J565" s="838" t="str">
        <f>IF(J566=0,"-","")</f>
        <v>-</v>
      </c>
      <c r="K565" s="2069"/>
      <c r="L565" s="1570"/>
      <c r="M565" s="1442"/>
      <c r="N565" s="832"/>
      <c r="O565" s="832"/>
      <c r="Q565" s="832"/>
      <c r="R565" s="832"/>
      <c r="S565" s="832"/>
      <c r="T565" s="832"/>
      <c r="U565" s="832"/>
      <c r="V565" s="832"/>
      <c r="W565" s="832"/>
      <c r="X565" s="832"/>
    </row>
    <row r="566" spans="1:24" s="812" customFormat="1" ht="39.950000000000003" hidden="1" customHeight="1" x14ac:dyDescent="0.15">
      <c r="A566" s="2072">
        <f ca="1">IF(H566&gt;0,A564+0.01,A564)</f>
        <v>6</v>
      </c>
      <c r="B566" s="833">
        <f>IF(AND(M566&lt;=50,E566&lt;=30),95875,IF(AND(M566&lt;=50,E566&gt;30),93590,IF(AND(M566&gt;50,E566&lt;=30),95876,93593)))</f>
        <v>95875</v>
      </c>
      <c r="C566" s="2" t="str">
        <f>VLOOKUP($B566,[1]BOLETIM_SEL!$A:$H,2,0)</f>
        <v>SINAPI</v>
      </c>
      <c r="D566" s="315" t="str">
        <f>VLOOKUP($B566,[1]BOLETIM_SEL!$A:$H,4,0)</f>
        <v>Transporte com caminhão basculante de 10 m3, em via urbana pavimentada, DMT até 30,00 km (unidade: m3xkm). AF_07/2020</v>
      </c>
      <c r="E566" s="2">
        <f>+Dados_DMT!$B$22</f>
        <v>0</v>
      </c>
      <c r="F566" s="2" t="str">
        <f>VLOOKUP($B566,[1]BOLETIM_SEL!$A:$H,6,0)</f>
        <v>M3XKM</v>
      </c>
      <c r="G566" s="1407">
        <f>VLOOKUP($B566,[1]BOLETIM_SEL!$A:$H,7,0)</f>
        <v>2.36</v>
      </c>
      <c r="H566" s="1606">
        <f>ROUND(Recap_Previo!J129*E566,2)</f>
        <v>0</v>
      </c>
      <c r="I566" s="876">
        <f>TRUNC(G566*(1+$J$5),2)</f>
        <v>2.87</v>
      </c>
      <c r="J566" s="1607">
        <f t="shared" si="183"/>
        <v>0</v>
      </c>
      <c r="K566" s="2069">
        <f ca="1">J566/J$930</f>
        <v>0</v>
      </c>
      <c r="L566" s="1570" t="e">
        <f t="shared" si="184"/>
        <v>#DIV/0!</v>
      </c>
      <c r="M566" s="1450">
        <f>IF(H566=0,0,H566/E566)</f>
        <v>0</v>
      </c>
      <c r="N566" s="832"/>
      <c r="O566" s="832"/>
      <c r="Q566" s="832"/>
      <c r="R566" s="832"/>
      <c r="S566" s="832"/>
      <c r="T566" s="832"/>
      <c r="U566" s="832"/>
      <c r="V566" s="832"/>
      <c r="W566" s="832"/>
      <c r="X566" s="832"/>
    </row>
    <row r="567" spans="1:24" s="812" customFormat="1" ht="24.95" hidden="1" customHeight="1" x14ac:dyDescent="0.15">
      <c r="A567" s="2072"/>
      <c r="B567" s="833"/>
      <c r="C567" s="2"/>
      <c r="D567" s="1449" t="s">
        <v>1774</v>
      </c>
      <c r="E567" s="2"/>
      <c r="F567" s="2"/>
      <c r="G567" s="1407"/>
      <c r="H567" s="2"/>
      <c r="I567" s="2"/>
      <c r="J567" s="838" t="str">
        <f>IF(J568=0,"-","")</f>
        <v>-</v>
      </c>
      <c r="K567" s="2069"/>
      <c r="L567" s="1570"/>
      <c r="M567" s="1442"/>
      <c r="N567" s="832"/>
      <c r="O567" s="832"/>
      <c r="Q567" s="832"/>
      <c r="R567" s="832"/>
      <c r="S567" s="832"/>
      <c r="T567" s="832"/>
      <c r="U567" s="832"/>
      <c r="V567" s="832"/>
      <c r="W567" s="832"/>
      <c r="X567" s="832"/>
    </row>
    <row r="568" spans="1:24" s="812" customFormat="1" ht="30" hidden="1" customHeight="1" x14ac:dyDescent="0.15">
      <c r="A568" s="2072">
        <f ca="1">IF(H568&gt;0,A566+0.01,A566)</f>
        <v>6</v>
      </c>
      <c r="B568" s="833">
        <v>100947</v>
      </c>
      <c r="C568" s="2" t="str">
        <f>VLOOKUP($B568,[1]BOLETIM_SEL!$A:$H,2,0)</f>
        <v>SINAPI</v>
      </c>
      <c r="D568" s="315" t="str">
        <f>VLOOKUP($B568,[1]BOLETIM_SEL!$A:$H,4,0)</f>
        <v>Transporte com caminhão carroceria 9t, em via urbana pavimentada, DMT até 30,00 km (unidade: txkm). AF_07/2020</v>
      </c>
      <c r="E568" s="2">
        <f>+Dados_DMT!$B$35</f>
        <v>0</v>
      </c>
      <c r="F568" s="2" t="str">
        <f>VLOOKUP($B568,[1]BOLETIM_SEL!$A:$H,6,0)</f>
        <v>TXKM</v>
      </c>
      <c r="G568" s="1407">
        <f>VLOOKUP($B568,[1]BOLETIM_SEL!$A:$H,7,0)</f>
        <v>2.12</v>
      </c>
      <c r="H568" s="1606">
        <f>ROUND(Recap_Previo!J128*E568,2)</f>
        <v>0</v>
      </c>
      <c r="I568" s="876">
        <f>TRUNC(G568*(1+$J$5),2)</f>
        <v>2.58</v>
      </c>
      <c r="J568" s="1607">
        <f t="shared" si="183"/>
        <v>0</v>
      </c>
      <c r="K568" s="2069">
        <f ca="1">J568/J$930</f>
        <v>0</v>
      </c>
      <c r="L568" s="1570" t="e">
        <f t="shared" si="184"/>
        <v>#DIV/0!</v>
      </c>
      <c r="M568" s="1442"/>
      <c r="N568" s="832"/>
      <c r="O568" s="832"/>
      <c r="Q568" s="832"/>
      <c r="R568" s="832"/>
      <c r="S568" s="832"/>
      <c r="T568" s="832"/>
      <c r="U568" s="832"/>
      <c r="V568" s="832"/>
      <c r="W568" s="832"/>
      <c r="X568" s="832"/>
    </row>
    <row r="569" spans="1:24" s="812" customFormat="1" ht="24.95" hidden="1" customHeight="1" x14ac:dyDescent="0.15">
      <c r="A569" s="2072"/>
      <c r="B569" s="833"/>
      <c r="C569" s="2"/>
      <c r="D569" s="1449" t="s">
        <v>1757</v>
      </c>
      <c r="E569" s="2"/>
      <c r="F569" s="2"/>
      <c r="G569" s="1407"/>
      <c r="H569" s="2"/>
      <c r="I569" s="2"/>
      <c r="J569" s="838" t="str">
        <f>IF(J570=0,"-","")</f>
        <v>-</v>
      </c>
      <c r="K569" s="2069"/>
      <c r="L569" s="1570"/>
      <c r="M569" s="1442"/>
      <c r="N569" s="832"/>
      <c r="O569" s="832"/>
      <c r="Q569" s="832"/>
      <c r="R569" s="832"/>
      <c r="S569" s="832"/>
      <c r="T569" s="832"/>
      <c r="U569" s="832"/>
      <c r="V569" s="832"/>
      <c r="W569" s="832"/>
      <c r="X569" s="832"/>
    </row>
    <row r="570" spans="1:24" s="812" customFormat="1" ht="39.950000000000003" hidden="1" customHeight="1" x14ac:dyDescent="0.15">
      <c r="A570" s="2072">
        <f ca="1">IF(H570&gt;0,A568+0.01,A568)</f>
        <v>6</v>
      </c>
      <c r="B570" s="833">
        <f>IF(AND(M570&lt;=50,E570&lt;=30),95875,IF(AND(M570&lt;=50,E570&gt;30),93590,IF(AND(M570&gt;50,E570&lt;=30),95876,93593)))</f>
        <v>95875</v>
      </c>
      <c r="C570" s="2" t="str">
        <f>VLOOKUP($B570,[1]BOLETIM_SEL!$A:$H,2,0)</f>
        <v>SINAPI</v>
      </c>
      <c r="D570" s="315" t="str">
        <f>VLOOKUP($B570,[1]BOLETIM_SEL!$A:$H,4,0)</f>
        <v>Transporte com caminhão basculante de 10 m3, em via urbana pavimentada, DMT até 30,00 km (unidade: m3xkm). AF_07/2020</v>
      </c>
      <c r="E570" s="2">
        <f>+Dados_DMT!$B$31</f>
        <v>0</v>
      </c>
      <c r="F570" s="2" t="str">
        <f>VLOOKUP($B570,[1]BOLETIM_SEL!$A:$H,6,0)</f>
        <v>M3XKM</v>
      </c>
      <c r="G570" s="1407">
        <f>VLOOKUP($B570,[1]BOLETIM_SEL!$A:$H,7,0)</f>
        <v>2.36</v>
      </c>
      <c r="H570" s="1606">
        <f>ROUND(Recap_Previo!J143*E570,2)</f>
        <v>0</v>
      </c>
      <c r="I570" s="876">
        <f>TRUNC(G570*(1+$J$5),2)</f>
        <v>2.87</v>
      </c>
      <c r="J570" s="1607">
        <f t="shared" si="183"/>
        <v>0</v>
      </c>
      <c r="K570" s="2069">
        <f ca="1">J570/J$930</f>
        <v>0</v>
      </c>
      <c r="L570" s="1570" t="e">
        <f t="shared" si="184"/>
        <v>#DIV/0!</v>
      </c>
      <c r="M570" s="1450">
        <f>IF(H570=0,0,H570/E570)</f>
        <v>0</v>
      </c>
      <c r="N570" s="832"/>
      <c r="O570" s="832"/>
      <c r="Q570" s="832"/>
      <c r="R570" s="832"/>
      <c r="S570" s="832"/>
      <c r="T570" s="832"/>
      <c r="U570" s="832"/>
      <c r="V570" s="832"/>
      <c r="W570" s="832"/>
      <c r="X570" s="832"/>
    </row>
    <row r="571" spans="1:24" s="812" customFormat="1" ht="24.95" hidden="1" customHeight="1" x14ac:dyDescent="0.15">
      <c r="A571" s="2072"/>
      <c r="B571" s="833"/>
      <c r="C571" s="2"/>
      <c r="D571" s="1449" t="s">
        <v>1758</v>
      </c>
      <c r="E571" s="2"/>
      <c r="F571" s="2"/>
      <c r="G571" s="1407"/>
      <c r="H571" s="2"/>
      <c r="I571" s="2"/>
      <c r="J571" s="838" t="str">
        <f>IF(J572=0,"-","")</f>
        <v>-</v>
      </c>
      <c r="K571" s="2069"/>
      <c r="L571" s="1570"/>
      <c r="M571" s="1442"/>
      <c r="N571" s="832"/>
      <c r="O571" s="832"/>
      <c r="Q571" s="832"/>
      <c r="R571" s="832"/>
      <c r="S571" s="832"/>
      <c r="T571" s="832"/>
      <c r="U571" s="832"/>
      <c r="V571" s="832"/>
      <c r="W571" s="832"/>
      <c r="X571" s="832"/>
    </row>
    <row r="572" spans="1:24" s="812" customFormat="1" ht="39.950000000000003" hidden="1" customHeight="1" x14ac:dyDescent="0.15">
      <c r="A572" s="2072">
        <f ca="1">IF(H572&gt;0,A570+0.01,A570)</f>
        <v>6</v>
      </c>
      <c r="B572" s="833">
        <f>IF(AND(M572&lt;=50,E572&lt;=30),95878,IF(AND(M572&lt;=50,E572&gt;30),93596,IF(AND(M572&gt;50,E572&lt;=30),95879,93599)))</f>
        <v>95878</v>
      </c>
      <c r="C572" s="2" t="str">
        <f>VLOOKUP($B572,[1]BOLETIM_SEL!$A:$H,2,0)</f>
        <v>SINAPI</v>
      </c>
      <c r="D572" s="315" t="str">
        <f>VLOOKUP($B572,[1]BOLETIM_SEL!$A:$H,4,0)</f>
        <v>Transporte com caminhão basculante de 10 m3, em via urbana pavimentada, DMT até 30,00 km (unidade: txkm). AF_07/2020</v>
      </c>
      <c r="E572" s="2">
        <f>+Dados_DMT!$B$30</f>
        <v>19</v>
      </c>
      <c r="F572" s="2" t="str">
        <f>VLOOKUP($B572,[1]BOLETIM_SEL!$A:$H,6,0)</f>
        <v>TXKM</v>
      </c>
      <c r="G572" s="1407">
        <f>VLOOKUP($B572,[1]BOLETIM_SEL!$A:$H,7,0)</f>
        <v>1.58</v>
      </c>
      <c r="H572" s="1606">
        <f>ROUND(Recap_Previo!J142*E572,2)</f>
        <v>0</v>
      </c>
      <c r="I572" s="876">
        <f>TRUNC(G572*(1+$J$5),2)</f>
        <v>1.92</v>
      </c>
      <c r="J572" s="1607">
        <f t="shared" si="183"/>
        <v>0</v>
      </c>
      <c r="K572" s="2069">
        <f ca="1">J572/J$930</f>
        <v>0</v>
      </c>
      <c r="L572" s="1570" t="e">
        <f t="shared" si="184"/>
        <v>#DIV/0!</v>
      </c>
      <c r="M572" s="1451">
        <f>IF(H572=0,0,H572/E572)</f>
        <v>0</v>
      </c>
      <c r="N572" s="832"/>
      <c r="O572" s="832"/>
      <c r="Q572" s="832"/>
      <c r="R572" s="832"/>
      <c r="S572" s="832"/>
      <c r="T572" s="832"/>
      <c r="U572" s="832"/>
      <c r="V572" s="832"/>
      <c r="W572" s="832"/>
      <c r="X572" s="832"/>
    </row>
    <row r="573" spans="1:24" s="812" customFormat="1" ht="24.95" hidden="1" customHeight="1" x14ac:dyDescent="0.15">
      <c r="A573" s="2072"/>
      <c r="B573" s="833"/>
      <c r="C573" s="2"/>
      <c r="D573" s="1449" t="s">
        <v>1755</v>
      </c>
      <c r="E573" s="2"/>
      <c r="F573" s="2"/>
      <c r="G573" s="1407"/>
      <c r="H573" s="2"/>
      <c r="I573" s="2"/>
      <c r="J573" s="838" t="str">
        <f>IF(J574=0,"-","")</f>
        <v>-</v>
      </c>
      <c r="K573" s="2069"/>
      <c r="L573" s="1570"/>
      <c r="M573" s="1442"/>
      <c r="N573" s="832"/>
      <c r="O573" s="832"/>
      <c r="Q573" s="832"/>
      <c r="R573" s="832"/>
      <c r="S573" s="832"/>
      <c r="T573" s="832"/>
      <c r="U573" s="832"/>
      <c r="V573" s="832"/>
      <c r="W573" s="832"/>
      <c r="X573" s="832"/>
    </row>
    <row r="574" spans="1:24" s="812" customFormat="1" ht="39.950000000000003" hidden="1" customHeight="1" x14ac:dyDescent="0.15">
      <c r="A574" s="2072">
        <f ca="1">IF(H574&gt;0,A572+0.01,A572)</f>
        <v>6</v>
      </c>
      <c r="B574" s="833">
        <v>102332</v>
      </c>
      <c r="C574" s="2" t="str">
        <f>VLOOKUP($B574,[1]BOLETIM_SEL!$A:$H,2,0)</f>
        <v>SINAPI</v>
      </c>
      <c r="D574" s="315" t="str">
        <f>VLOOKUP($B574,[1]BOLETIM_SEL!$A:$H,4,0)</f>
        <v>Transporte com caminhão tanque de transporte de material asfáltico de 20.000 l, em via urbana pavimentada, DMT até 30,00 km (unidade: txkm). AF_07/2020</v>
      </c>
      <c r="E574" s="2">
        <f>+Dados_DMT!$B$25</f>
        <v>19</v>
      </c>
      <c r="F574" s="2" t="str">
        <f>VLOOKUP($B574,[1]BOLETIM_SEL!$A:$H,6,0)</f>
        <v>TXKM</v>
      </c>
      <c r="G574" s="1407">
        <f>VLOOKUP($B574,[1]BOLETIM_SEL!$A:$H,7,0)</f>
        <v>1.75</v>
      </c>
      <c r="H574" s="1606">
        <f>IF(B532="PA/0025",0,ROUND(Recap_Previo!J139*E574,2))</f>
        <v>0</v>
      </c>
      <c r="I574" s="876">
        <f>TRUNC(G574*(1+$J$5),2)</f>
        <v>2.13</v>
      </c>
      <c r="J574" s="1607">
        <f t="shared" si="183"/>
        <v>0</v>
      </c>
      <c r="K574" s="2069">
        <f ca="1">J574/J$930</f>
        <v>0</v>
      </c>
      <c r="L574" s="1570" t="e">
        <f t="shared" si="184"/>
        <v>#DIV/0!</v>
      </c>
      <c r="M574" s="1451">
        <f>IF(H574=0,0,H574/E574)</f>
        <v>0</v>
      </c>
      <c r="N574" s="832"/>
      <c r="O574" s="832"/>
      <c r="Q574" s="832"/>
      <c r="R574" s="832"/>
      <c r="S574" s="832"/>
      <c r="T574" s="832"/>
      <c r="U574" s="832"/>
      <c r="V574" s="832"/>
      <c r="W574" s="832"/>
      <c r="X574" s="832"/>
    </row>
    <row r="575" spans="1:24" s="812" customFormat="1" ht="24.95" hidden="1" customHeight="1" x14ac:dyDescent="0.15">
      <c r="A575" s="2072"/>
      <c r="B575" s="833"/>
      <c r="C575" s="2"/>
      <c r="D575" s="1449" t="s">
        <v>1754</v>
      </c>
      <c r="E575" s="2"/>
      <c r="F575" s="2"/>
      <c r="G575" s="1407"/>
      <c r="H575" s="2"/>
      <c r="I575" s="2"/>
      <c r="J575" s="838" t="str">
        <f>IF(J576=0,"-","")</f>
        <v>-</v>
      </c>
      <c r="K575" s="2069"/>
      <c r="L575" s="1570"/>
      <c r="M575" s="1442"/>
      <c r="N575" s="832"/>
      <c r="O575" s="832"/>
      <c r="Q575" s="832"/>
      <c r="R575" s="832"/>
      <c r="S575" s="832"/>
      <c r="T575" s="832"/>
      <c r="U575" s="832"/>
      <c r="V575" s="832"/>
      <c r="W575" s="832"/>
      <c r="X575" s="832"/>
    </row>
    <row r="576" spans="1:24" s="812" customFormat="1" ht="39.950000000000003" hidden="1" customHeight="1" x14ac:dyDescent="0.15">
      <c r="A576" s="2072">
        <f ca="1">IF(H576&gt;0,A574+0.01,A574)</f>
        <v>6</v>
      </c>
      <c r="B576" s="833">
        <v>102332</v>
      </c>
      <c r="C576" s="2" t="str">
        <f>VLOOKUP($B576,[1]BOLETIM_SEL!$A:$H,2,0)</f>
        <v>SINAPI</v>
      </c>
      <c r="D576" s="315" t="str">
        <f>VLOOKUP($B576,[1]BOLETIM_SEL!$A:$H,4,0)</f>
        <v>Transporte com caminhão tanque de transporte de material asfáltico de 20.000 l, em via urbana pavimentada, DMT até 30,00 km (unidade: txkm). AF_07/2020</v>
      </c>
      <c r="E576" s="2">
        <f>+Dados_DMT!$B$25</f>
        <v>19</v>
      </c>
      <c r="F576" s="2" t="str">
        <f>VLOOKUP($B576,[1]BOLETIM_SEL!$A:$H,6,0)</f>
        <v>TXKM</v>
      </c>
      <c r="G576" s="1407">
        <f>VLOOKUP($B576,[1]BOLETIM_SEL!$A:$H,7,0)</f>
        <v>1.75</v>
      </c>
      <c r="H576" s="1606">
        <f>IF(B532="PA/0025",ROUND(Recap_Previo!J139*E576,2),0)+ROUND(Recap_Previo!J140*E576,2)</f>
        <v>0</v>
      </c>
      <c r="I576" s="876">
        <f>TRUNC(G576*(1+$J$5),2)</f>
        <v>2.13</v>
      </c>
      <c r="J576" s="1607">
        <f t="shared" si="183"/>
        <v>0</v>
      </c>
      <c r="K576" s="2069">
        <f ca="1">J576/J$930</f>
        <v>0</v>
      </c>
      <c r="L576" s="1570" t="e">
        <f>J576/$J$506</f>
        <v>#DIV/0!</v>
      </c>
      <c r="M576" s="1451">
        <f>IF(H576=0,0,H576/E576)</f>
        <v>0</v>
      </c>
      <c r="N576" s="832"/>
      <c r="O576" s="832"/>
      <c r="Q576" s="832"/>
      <c r="R576" s="832"/>
      <c r="S576" s="832"/>
      <c r="T576" s="832"/>
      <c r="U576" s="832"/>
      <c r="V576" s="832"/>
      <c r="W576" s="832"/>
      <c r="X576" s="832"/>
    </row>
    <row r="577" spans="1:24" s="812" customFormat="1" ht="24.95" hidden="1" customHeight="1" x14ac:dyDescent="0.15">
      <c r="A577" s="2072"/>
      <c r="B577" s="833"/>
      <c r="C577" s="2"/>
      <c r="D577" s="1449" t="s">
        <v>1789</v>
      </c>
      <c r="E577" s="2"/>
      <c r="F577" s="2"/>
      <c r="G577" s="1407"/>
      <c r="H577" s="2"/>
      <c r="I577" s="2"/>
      <c r="J577" s="838" t="str">
        <f>IF(J578=0,"-","")</f>
        <v>-</v>
      </c>
      <c r="K577" s="2069"/>
      <c r="L577" s="1570"/>
      <c r="M577" s="1442"/>
      <c r="N577" s="832"/>
      <c r="O577" s="832"/>
      <c r="Q577" s="832"/>
      <c r="R577" s="832"/>
      <c r="S577" s="832"/>
      <c r="T577" s="832"/>
      <c r="U577" s="832"/>
      <c r="V577" s="832"/>
      <c r="W577" s="832"/>
      <c r="X577" s="832"/>
    </row>
    <row r="578" spans="1:24" s="812" customFormat="1" ht="39.950000000000003" hidden="1" customHeight="1" x14ac:dyDescent="0.15">
      <c r="A578" s="2072">
        <f ca="1">IF(H578&gt;0,A576+0.01,A576)</f>
        <v>6</v>
      </c>
      <c r="B578" s="833">
        <v>102332</v>
      </c>
      <c r="C578" s="2" t="str">
        <f>VLOOKUP($B578,[1]BOLETIM_SEL!$A:$H,2,0)</f>
        <v>SINAPI</v>
      </c>
      <c r="D578" s="315" t="str">
        <f>VLOOKUP($B578,[1]BOLETIM_SEL!$A:$H,4,0)</f>
        <v>Transporte com caminhão tanque de transporte de material asfáltico de 20.000 l, em via urbana pavimentada, DMT até 30,00 km (unidade: txkm). AF_07/2020</v>
      </c>
      <c r="E578" s="2">
        <f>+Dados_DMT!$B$26</f>
        <v>0</v>
      </c>
      <c r="F578" s="2" t="str">
        <f>VLOOKUP($B578,[1]BOLETIM_SEL!$A:$H,6,0)</f>
        <v>TXKM</v>
      </c>
      <c r="G578" s="1407">
        <f>VLOOKUP($B578,[1]BOLETIM_SEL!$A:$H,7,0)</f>
        <v>1.75</v>
      </c>
      <c r="H578" s="1606">
        <f>ROUND(Recap_Previo!J141*E578,2)</f>
        <v>0</v>
      </c>
      <c r="I578" s="876">
        <f>TRUNC(G578*(1+$J$5),2)</f>
        <v>2.13</v>
      </c>
      <c r="J578" s="1607">
        <f>TRUNC(H578*I578,2)</f>
        <v>0</v>
      </c>
      <c r="K578" s="2069">
        <f ca="1">J578/J$930</f>
        <v>0</v>
      </c>
      <c r="L578" s="1570" t="e">
        <f>J578/$J$506</f>
        <v>#DIV/0!</v>
      </c>
      <c r="M578" s="1451">
        <f>IF(H578=0,0,H578/E578)</f>
        <v>0</v>
      </c>
      <c r="N578" s="832"/>
      <c r="O578" s="832"/>
      <c r="Q578" s="832"/>
      <c r="R578" s="832"/>
      <c r="S578" s="832"/>
      <c r="T578" s="832"/>
      <c r="U578" s="832"/>
      <c r="V578" s="832"/>
      <c r="W578" s="832"/>
      <c r="X578" s="832"/>
    </row>
    <row r="579" spans="1:24" s="812" customFormat="1" ht="24.95" hidden="1" customHeight="1" x14ac:dyDescent="0.15">
      <c r="A579" s="2072"/>
      <c r="B579" s="833"/>
      <c r="C579" s="2"/>
      <c r="D579" s="1449" t="s">
        <v>1756</v>
      </c>
      <c r="E579" s="2"/>
      <c r="F579" s="2"/>
      <c r="G579" s="1407"/>
      <c r="H579" s="2"/>
      <c r="I579" s="2"/>
      <c r="J579" s="838" t="str">
        <f>IF(J580=0,"-","")</f>
        <v>-</v>
      </c>
      <c r="K579" s="2069"/>
      <c r="L579" s="1570"/>
      <c r="M579" s="1442"/>
      <c r="N579" s="832"/>
      <c r="O579" s="832"/>
      <c r="Q579" s="832"/>
      <c r="R579" s="832"/>
      <c r="S579" s="832"/>
      <c r="T579" s="832"/>
      <c r="U579" s="832"/>
      <c r="V579" s="832"/>
      <c r="W579" s="832"/>
      <c r="X579" s="832"/>
    </row>
    <row r="580" spans="1:24" s="812" customFormat="1" ht="39.950000000000003" hidden="1" customHeight="1" x14ac:dyDescent="0.15">
      <c r="A580" s="2072">
        <f ca="1">IF(H580&gt;0,A578+0.01,A578)</f>
        <v>6</v>
      </c>
      <c r="B580" s="833">
        <v>102332</v>
      </c>
      <c r="C580" s="2" t="str">
        <f>VLOOKUP($B580,[1]BOLETIM_SEL!$A:$H,2,0)</f>
        <v>SINAPI</v>
      </c>
      <c r="D580" s="315" t="str">
        <f>VLOOKUP($B580,[1]BOLETIM_SEL!$A:$H,4,0)</f>
        <v>Transporte com caminhão tanque de transporte de material asfáltico de 20.000 l, em via urbana pavimentada, DMT até 30,00 km (unidade: txkm). AF_07/2020</v>
      </c>
      <c r="E580" s="2">
        <f>+Dados_DMT!$B$27</f>
        <v>0</v>
      </c>
      <c r="F580" s="2" t="str">
        <f>VLOOKUP($B580,[1]BOLETIM_SEL!$A:$H,6,0)</f>
        <v>TXKM</v>
      </c>
      <c r="G580" s="1407">
        <f>VLOOKUP($B580,[1]BOLETIM_SEL!$A:$H,7,0)</f>
        <v>1.75</v>
      </c>
      <c r="H580" s="1606">
        <f>ROUND(Recap_Previo!J138*E580,2)</f>
        <v>0</v>
      </c>
      <c r="I580" s="876">
        <f>TRUNC(G580*(1+$J$5),2)</f>
        <v>2.13</v>
      </c>
      <c r="J580" s="1607">
        <f>TRUNC(H580*I580,2)</f>
        <v>0</v>
      </c>
      <c r="K580" s="2069">
        <f ca="1">J580/J$930</f>
        <v>0</v>
      </c>
      <c r="L580" s="1570" t="e">
        <f>J580/$J$506</f>
        <v>#DIV/0!</v>
      </c>
      <c r="M580" s="1451">
        <f>IF(H580=0,0,H580/E580)</f>
        <v>0</v>
      </c>
      <c r="N580" s="832"/>
      <c r="O580" s="832"/>
      <c r="Q580" s="832"/>
      <c r="R580" s="832"/>
      <c r="S580" s="832"/>
      <c r="T580" s="832"/>
      <c r="U580" s="832"/>
      <c r="V580" s="832"/>
      <c r="W580" s="832"/>
      <c r="X580" s="832"/>
    </row>
    <row r="581" spans="1:24" s="812" customFormat="1" ht="24.95" hidden="1" customHeight="1" x14ac:dyDescent="0.15">
      <c r="A581" s="2072"/>
      <c r="B581" s="833"/>
      <c r="C581" s="833"/>
      <c r="D581" s="834"/>
      <c r="E581" s="2"/>
      <c r="F581" s="833"/>
      <c r="G581" s="1814"/>
      <c r="H581" s="1"/>
      <c r="I581" s="876"/>
      <c r="J581" s="838">
        <f>IF(J506=0,0,"")</f>
        <v>0</v>
      </c>
      <c r="K581" s="2069"/>
      <c r="L581" s="1570"/>
      <c r="M581" s="1443"/>
      <c r="N581" s="832"/>
      <c r="O581" s="832"/>
      <c r="Q581" s="832"/>
      <c r="R581" s="832"/>
      <c r="S581" s="832"/>
      <c r="T581" s="832"/>
      <c r="U581" s="832"/>
      <c r="V581" s="832"/>
      <c r="W581" s="832"/>
      <c r="X581" s="832"/>
    </row>
    <row r="582" spans="1:24" s="832" customFormat="1" ht="24.95" hidden="1" customHeight="1" x14ac:dyDescent="0.15">
      <c r="A582" s="2073">
        <f ca="1">IF(J582&gt;0,INT(A580)+1,IF(J582=0,INT(A580),0))</f>
        <v>6</v>
      </c>
      <c r="B582" s="1626"/>
      <c r="C582" s="1626"/>
      <c r="D582" s="1627" t="s">
        <v>747</v>
      </c>
      <c r="E582" s="1821"/>
      <c r="F582" s="1628"/>
      <c r="G582" s="1813" t="s">
        <v>649</v>
      </c>
      <c r="H582" s="1630"/>
      <c r="I582" s="1633" t="str">
        <f ca="1">CONCATENATE("SUB-TOTAL ",A582)</f>
        <v>SUB-TOTAL 6</v>
      </c>
      <c r="J582" s="1632">
        <f>SUM(J583:J622)</f>
        <v>0</v>
      </c>
      <c r="K582" s="2070">
        <f t="shared" ref="K582:K598" ca="1" si="196">J582/J$930</f>
        <v>0</v>
      </c>
      <c r="L582" s="1605" t="e">
        <f t="shared" ref="L582:L622" si="197">J582/$J$582</f>
        <v>#DIV/0!</v>
      </c>
      <c r="Q582" s="3"/>
      <c r="R582" s="3"/>
      <c r="S582" s="3"/>
      <c r="T582" s="3"/>
      <c r="U582" s="3"/>
      <c r="V582" s="3"/>
      <c r="W582" s="3"/>
    </row>
    <row r="583" spans="1:24" s="812" customFormat="1" ht="39.950000000000003" hidden="1" customHeight="1" x14ac:dyDescent="0.15">
      <c r="A583" s="2072">
        <f t="shared" ref="A583:A598" ca="1" si="198">+IF(H583&gt;0,A582+0.01,A582)</f>
        <v>6</v>
      </c>
      <c r="B583" s="864" t="s">
        <v>1769</v>
      </c>
      <c r="C583" s="2" t="str">
        <f>+VLOOKUP($B583,[1]BOLETIM_SEL!$A:$H,2,0)</f>
        <v>COMPOSIÇÃO</v>
      </c>
      <c r="D583" s="315" t="str">
        <f>+VLOOKUP($B583,[1]BOLETIM_SEL!$A:$H,4,0)</f>
        <v>Microrrevestimento a frio - Microflex, espessura 0,8 cm, com emulsão asfáltica polimerizada RC-1C-E, execução e fornecimento de materiais. Exclusive transportes de insumos e do ligante betuminoso (REF. SICRO COD. 4011408)</v>
      </c>
      <c r="E583" s="2"/>
      <c r="F583" s="2" t="str">
        <f>+VLOOKUP($B583,[1]BOLETIM_SEL!$A:$H,6,0)</f>
        <v>M2</v>
      </c>
      <c r="G583" s="1407">
        <f>VLOOKUP($B583,[1]BOLETIM_SEL!$A:$H,7,0)</f>
        <v>10.94</v>
      </c>
      <c r="H583" s="1606">
        <f>+Recap_Final!K39</f>
        <v>0</v>
      </c>
      <c r="I583" s="876">
        <f t="shared" ref="I583:I598" si="199">+TRUNC(G583*(1+$J$5),2)</f>
        <v>13.34</v>
      </c>
      <c r="J583" s="1607">
        <f t="shared" ref="J583:J585" si="200">TRUNC(H583*I583,2)</f>
        <v>0</v>
      </c>
      <c r="K583" s="2069">
        <f t="shared" ca="1" si="196"/>
        <v>0</v>
      </c>
      <c r="L583" s="1570" t="e">
        <f t="shared" ref="L583:L585" si="201">J583/$J$582</f>
        <v>#DIV/0!</v>
      </c>
      <c r="M583" s="1442"/>
      <c r="N583" s="832"/>
      <c r="O583" s="832"/>
      <c r="Q583" s="832"/>
      <c r="R583" s="832"/>
      <c r="S583" s="832"/>
      <c r="T583" s="832"/>
      <c r="U583" s="832"/>
      <c r="V583" s="832"/>
      <c r="W583" s="832"/>
      <c r="X583" s="832"/>
    </row>
    <row r="584" spans="1:24" s="812" customFormat="1" ht="39.950000000000003" hidden="1" customHeight="1" x14ac:dyDescent="0.15">
      <c r="A584" s="2072">
        <f t="shared" ca="1" si="198"/>
        <v>6</v>
      </c>
      <c r="B584" s="864" t="s">
        <v>712</v>
      </c>
      <c r="C584" s="2" t="str">
        <f>+VLOOKUP($B584,[1]BOLETIM_SEL!$A:$H,2,0)</f>
        <v>COMPOSIÇÃO</v>
      </c>
      <c r="D584" s="315" t="str">
        <f>+VLOOKUP($B584,[1]BOLETIM_SEL!$A:$H,4,0)</f>
        <v>Microrrevestimento a frio - Microflex, espessura 1,5 cm, com emulsão asfáltica polimerizada RC-1C-E, execução e fornecimento de materiais. Exclusive transportes de insumos e do ligante betuminoso (REF. SICRO COD. 4011410)</v>
      </c>
      <c r="E584" s="2"/>
      <c r="F584" s="2" t="str">
        <f>+VLOOKUP($B584,[1]BOLETIM_SEL!$A:$H,6,0)</f>
        <v>M2</v>
      </c>
      <c r="G584" s="1407">
        <f>VLOOKUP($B584,[1]BOLETIM_SEL!$A:$H,7,0)</f>
        <v>18.29</v>
      </c>
      <c r="H584" s="1606">
        <f>+Recap_Final!K42</f>
        <v>0</v>
      </c>
      <c r="I584" s="876">
        <f t="shared" si="199"/>
        <v>22.31</v>
      </c>
      <c r="J584" s="1607">
        <f t="shared" si="200"/>
        <v>0</v>
      </c>
      <c r="K584" s="2069">
        <f t="shared" ca="1" si="196"/>
        <v>0</v>
      </c>
      <c r="L584" s="1570" t="e">
        <f t="shared" si="201"/>
        <v>#DIV/0!</v>
      </c>
      <c r="M584" s="1442"/>
      <c r="N584" s="832"/>
      <c r="O584" s="832"/>
      <c r="Q584" s="832"/>
      <c r="R584" s="832"/>
      <c r="S584" s="832"/>
      <c r="T584" s="832"/>
      <c r="U584" s="832"/>
      <c r="V584" s="832"/>
      <c r="W584" s="832"/>
      <c r="X584" s="832"/>
    </row>
    <row r="585" spans="1:24" s="812" customFormat="1" ht="39.950000000000003" hidden="1" customHeight="1" x14ac:dyDescent="0.15">
      <c r="A585" s="2072">
        <f t="shared" ca="1" si="198"/>
        <v>6</v>
      </c>
      <c r="B585" s="864" t="s">
        <v>1770</v>
      </c>
      <c r="C585" s="2" t="str">
        <f>+VLOOKUP($B585,[1]BOLETIM_SEL!$A:$H,2,0)</f>
        <v>COMPOSIÇÃO</v>
      </c>
      <c r="D585" s="315" t="str">
        <f>+VLOOKUP($B585,[1]BOLETIM_SEL!$A:$H,4,0)</f>
        <v>Microrrevestimento a frio - Microflex, espessura 2,0 cm, com emulsão asfáltica polimerizada RC-1C-E, execução e fornecimento de materiais. Exclusive transportes de insumos e do ligante betuminoso (REF. SICRO COD. 4011412)</v>
      </c>
      <c r="E585" s="2"/>
      <c r="F585" s="2" t="str">
        <f>+VLOOKUP($B585,[1]BOLETIM_SEL!$A:$H,6,0)</f>
        <v>M2</v>
      </c>
      <c r="G585" s="1407">
        <f>VLOOKUP($B585,[1]BOLETIM_SEL!$A:$H,7,0)</f>
        <v>22.74</v>
      </c>
      <c r="H585" s="1606">
        <f>+Recap_Final!K45</f>
        <v>0</v>
      </c>
      <c r="I585" s="876">
        <f t="shared" si="199"/>
        <v>27.74</v>
      </c>
      <c r="J585" s="1607">
        <f t="shared" si="200"/>
        <v>0</v>
      </c>
      <c r="K585" s="2069">
        <f t="shared" ca="1" si="196"/>
        <v>0</v>
      </c>
      <c r="L585" s="1570" t="e">
        <f t="shared" si="201"/>
        <v>#DIV/0!</v>
      </c>
      <c r="M585" s="1442"/>
      <c r="N585" s="832"/>
      <c r="O585" s="832"/>
      <c r="Q585" s="832"/>
      <c r="R585" s="832"/>
      <c r="S585" s="832"/>
      <c r="T585" s="832"/>
      <c r="U585" s="832"/>
      <c r="V585" s="832"/>
      <c r="W585" s="832"/>
      <c r="X585" s="832"/>
    </row>
    <row r="586" spans="1:24" s="812" customFormat="1" ht="39.950000000000003" hidden="1" customHeight="1" x14ac:dyDescent="0.15">
      <c r="A586" s="2072">
        <f t="shared" ca="1" si="198"/>
        <v>6</v>
      </c>
      <c r="B586" s="864" t="s">
        <v>2716</v>
      </c>
      <c r="C586" s="2" t="str">
        <f>+VLOOKUP($B586,[1]BOLETIM_SEL!$A:$H,2,0)</f>
        <v>COMPOSIÇÃO</v>
      </c>
      <c r="D586" s="315" t="str">
        <f>+VLOOKUP($B586,[1]BOLETIM_SEL!$A:$H,4,0)</f>
        <v>PAVIMENTO COM TRATAMENTO SUPERFICIAL DUPLO, COM EMULSÃO ASFÁLTICA RR-2C (REF. SINAPI COD. 03.PAVI.TSUP.005/01-104389 DB 09-21)</v>
      </c>
      <c r="E586" s="2"/>
      <c r="F586" s="2" t="str">
        <f>+VLOOKUP($B586,[1]BOLETIM_SEL!$A:$H,6,0)</f>
        <v>M2</v>
      </c>
      <c r="G586" s="1407">
        <f>VLOOKUP($B586,[1]BOLETIM_SEL!$A:$H,7,0)</f>
        <v>15.93</v>
      </c>
      <c r="H586" s="1606">
        <f>+Recap_Final!K48</f>
        <v>0</v>
      </c>
      <c r="I586" s="876">
        <f t="shared" si="199"/>
        <v>19.43</v>
      </c>
      <c r="J586" s="1607">
        <f t="shared" ref="J586:J622" si="202">TRUNC(H586*I586,2)</f>
        <v>0</v>
      </c>
      <c r="K586" s="2069">
        <f t="shared" ca="1" si="196"/>
        <v>0</v>
      </c>
      <c r="L586" s="1570" t="e">
        <f t="shared" si="197"/>
        <v>#DIV/0!</v>
      </c>
      <c r="M586" s="1442"/>
      <c r="N586" s="832"/>
      <c r="O586" s="832"/>
      <c r="Q586" s="832"/>
      <c r="R586" s="832"/>
      <c r="S586" s="832"/>
      <c r="T586" s="832"/>
      <c r="U586" s="832"/>
      <c r="V586" s="832"/>
      <c r="W586" s="832"/>
      <c r="X586" s="832"/>
    </row>
    <row r="587" spans="1:24" s="812" customFormat="1" ht="30" hidden="1" customHeight="1" x14ac:dyDescent="0.15">
      <c r="A587" s="2072">
        <f t="shared" ca="1" si="198"/>
        <v>6</v>
      </c>
      <c r="B587" s="864" t="s">
        <v>1772</v>
      </c>
      <c r="C587" s="2" t="str">
        <f>+VLOOKUP($B587,[1]BOLETIM_SEL!$A:$H,2,0)</f>
        <v>COMPOSIÇÃO</v>
      </c>
      <c r="D587" s="315" t="str">
        <f>+VLOOKUP($B587,[1]BOLETIM_SEL!$A:$H,4,0)</f>
        <v>Pintura de ligação, execução e fornecimento de emulsão asfáltica RR-1C (ref SINAPI cód 104375)</v>
      </c>
      <c r="E587" s="2"/>
      <c r="F587" s="2" t="str">
        <f>+VLOOKUP($B587,[1]BOLETIM_SEL!$A:$H,6,0)</f>
        <v>M2</v>
      </c>
      <c r="G587" s="1407">
        <f>VLOOKUP($B587,[1]BOLETIM_SEL!$A:$H,7,0)</f>
        <v>2.5099999999999998</v>
      </c>
      <c r="H587" s="1606">
        <f>+Recap_Final!K52</f>
        <v>0</v>
      </c>
      <c r="I587" s="876">
        <f t="shared" si="199"/>
        <v>3.06</v>
      </c>
      <c r="J587" s="1607">
        <f t="shared" si="202"/>
        <v>0</v>
      </c>
      <c r="K587" s="2069">
        <f t="shared" ca="1" si="196"/>
        <v>0</v>
      </c>
      <c r="L587" s="1570" t="e">
        <f t="shared" si="197"/>
        <v>#DIV/0!</v>
      </c>
      <c r="M587" s="1442"/>
      <c r="N587" s="832"/>
      <c r="O587" s="832"/>
      <c r="Q587" s="832"/>
      <c r="R587" s="832"/>
      <c r="S587" s="832"/>
      <c r="T587" s="832"/>
      <c r="U587" s="832"/>
      <c r="V587" s="832"/>
      <c r="W587" s="832"/>
      <c r="X587" s="832"/>
    </row>
    <row r="588" spans="1:24" s="812" customFormat="1" ht="39.950000000000003" hidden="1" customHeight="1" x14ac:dyDescent="0.15">
      <c r="A588" s="2072">
        <f t="shared" ca="1" si="198"/>
        <v>6</v>
      </c>
      <c r="B588" s="864" t="s">
        <v>950</v>
      </c>
      <c r="C588" s="2" t="str">
        <f>+VLOOKUP($B588,[1]BOLETIM_SEL!$A:$H,2,0)</f>
        <v>COMPOSIÇÃO</v>
      </c>
      <c r="D588" s="315" t="str">
        <f>+VLOOKUP($B588,[1]BOLETIM_SEL!$A:$H,4,0)</f>
        <v>Capa selante para agulhamento na base, execução e fornecimento de emulsão asfáltica RR-2C. Exclusive transporte (REF. SICRO COD. 4915636)</v>
      </c>
      <c r="E588" s="2"/>
      <c r="F588" s="2" t="str">
        <f>+VLOOKUP($B588,[1]BOLETIM_SEL!$A:$H,6,0)</f>
        <v>M2</v>
      </c>
      <c r="G588" s="1407">
        <f>VLOOKUP($B588,[1]BOLETIM_SEL!$A:$H,7,0)</f>
        <v>4.92</v>
      </c>
      <c r="H588" s="1606">
        <f>+Recap_Final!K54</f>
        <v>0</v>
      </c>
      <c r="I588" s="876">
        <f t="shared" si="199"/>
        <v>6</v>
      </c>
      <c r="J588" s="1607">
        <f t="shared" si="202"/>
        <v>0</v>
      </c>
      <c r="K588" s="2069">
        <f t="shared" ca="1" si="196"/>
        <v>0</v>
      </c>
      <c r="L588" s="1570" t="e">
        <f t="shared" si="197"/>
        <v>#DIV/0!</v>
      </c>
      <c r="M588" s="1442"/>
      <c r="N588" s="832"/>
      <c r="O588" s="832"/>
      <c r="Q588" s="832"/>
      <c r="R588" s="832"/>
      <c r="S588" s="832"/>
      <c r="T588" s="832"/>
      <c r="U588" s="832"/>
      <c r="V588" s="832"/>
      <c r="W588" s="832"/>
      <c r="X588" s="832"/>
    </row>
    <row r="589" spans="1:24" s="812" customFormat="1" ht="39.950000000000003" hidden="1" customHeight="1" x14ac:dyDescent="0.15">
      <c r="A589" s="2072">
        <f t="shared" ca="1" si="198"/>
        <v>6</v>
      </c>
      <c r="B589" s="833" t="str">
        <f>IF(M589="COMERCIAL","PA/0040","PA/0041")</f>
        <v>PA/0040</v>
      </c>
      <c r="C589" s="2" t="str">
        <f>VLOOKUP($B589,[1]BOLETIM_SEL!$A:$H,2,0)</f>
        <v>COMPOSIÇÃO</v>
      </c>
      <c r="D589" s="315" t="str">
        <f>VLOOKUP($B589,[1]BOLETIM_SEL!$A:$H,4,0)</f>
        <v>Construção de pavimento com aplicação de concreto betuminoso usinado à quente (CBUQ - faixa C - CAP 30/45 - usina comercial), camada de rolamento, exclusive transporte da mistura (REF. SINAPI COD. 95995)</v>
      </c>
      <c r="E589" s="2"/>
      <c r="F589" s="2" t="str">
        <f>+VLOOKUP($B589,[1]BOLETIM_SEL!$A:$H,6,0)</f>
        <v>M3</v>
      </c>
      <c r="G589" s="1407">
        <f>VLOOKUP($B589,[1]BOLETIM_SEL!$A:$H,7,0)</f>
        <v>1623.14</v>
      </c>
      <c r="H589" s="1606">
        <f>+Recap_Final!K58</f>
        <v>0</v>
      </c>
      <c r="I589" s="876">
        <f t="shared" si="199"/>
        <v>1980.23</v>
      </c>
      <c r="J589" s="1607">
        <f t="shared" si="202"/>
        <v>0</v>
      </c>
      <c r="K589" s="2069">
        <f t="shared" ca="1" si="196"/>
        <v>0</v>
      </c>
      <c r="L589" s="1570" t="e">
        <f t="shared" si="197"/>
        <v>#DIV/0!</v>
      </c>
      <c r="M589" s="1585" t="s">
        <v>410</v>
      </c>
      <c r="N589" s="832"/>
      <c r="O589" s="832"/>
      <c r="Q589" s="832"/>
      <c r="R589" s="832"/>
      <c r="S589" s="832"/>
      <c r="T589" s="832"/>
      <c r="U589" s="832"/>
      <c r="V589" s="832"/>
      <c r="W589" s="832"/>
      <c r="X589" s="832"/>
    </row>
    <row r="590" spans="1:24" s="812" customFormat="1" ht="39.950000000000003" hidden="1" customHeight="1" x14ac:dyDescent="0.15">
      <c r="A590" s="2072">
        <f t="shared" ca="1" si="198"/>
        <v>6</v>
      </c>
      <c r="B590" s="833">
        <f>IF(M590="COMERCIAL",95995,"PA/0042")</f>
        <v>95995</v>
      </c>
      <c r="C590" s="2" t="str">
        <f>VLOOKUP($B590,[1]BOLETIM_SEL!$A:$H,2,0)</f>
        <v>SINAPI</v>
      </c>
      <c r="D590" s="315" t="str">
        <f>VLOOKUP($B590,[1]BOLETIM_SEL!$A:$H,4,0)</f>
        <v>Construção de pavimento com aplicação de concreto betuminoso usinado à quente (CBUQ - faixa C - CAP 50/70 - usina comercial), camada de rolamento. Exclusive transporte da mistura. Af_11/2019</v>
      </c>
      <c r="E590" s="2"/>
      <c r="F590" s="2" t="str">
        <f>+VLOOKUP($B590,[1]BOLETIM_SEL!$A:$H,6,0)</f>
        <v>M3</v>
      </c>
      <c r="G590" s="1407">
        <f>VLOOKUP($B590,[1]BOLETIM_SEL!$A:$H,7,0)</f>
        <v>1652.41</v>
      </c>
      <c r="H590" s="1606">
        <f>+Recap_Final!K59</f>
        <v>0</v>
      </c>
      <c r="I590" s="876">
        <f t="shared" si="199"/>
        <v>2015.94</v>
      </c>
      <c r="J590" s="1607">
        <f t="shared" si="202"/>
        <v>0</v>
      </c>
      <c r="K590" s="2069">
        <f t="shared" ca="1" si="196"/>
        <v>0</v>
      </c>
      <c r="L590" s="1570" t="e">
        <f t="shared" si="197"/>
        <v>#DIV/0!</v>
      </c>
      <c r="M590" s="1585" t="s">
        <v>410</v>
      </c>
      <c r="N590" s="832"/>
      <c r="O590" s="832"/>
      <c r="Q590" s="832"/>
      <c r="R590" s="832"/>
      <c r="S590" s="832"/>
      <c r="T590" s="832"/>
      <c r="U590" s="832"/>
      <c r="V590" s="832"/>
      <c r="W590" s="832"/>
      <c r="X590" s="832"/>
    </row>
    <row r="591" spans="1:24" s="812" customFormat="1" ht="39.950000000000003" hidden="1" customHeight="1" x14ac:dyDescent="0.15">
      <c r="A591" s="2072">
        <f t="shared" ca="1" si="198"/>
        <v>6</v>
      </c>
      <c r="B591" s="864" t="s">
        <v>1777</v>
      </c>
      <c r="C591" s="2" t="str">
        <f>+VLOOKUP($B591,[1]BOLETIM_SEL!$A:$H,2,0)</f>
        <v>COMPOSIÇÃO</v>
      </c>
      <c r="D591" s="315" t="str">
        <f>+VLOOKUP($B591,[1]BOLETIM_SEL!$A:$H,4,0)</f>
        <v>Construção de pavimento com aplicação de concreto betuminoso usinado à quente modificado por polímero elastomérico - CBUQ (p) - CAP 60-85-E - FAIXA "C", camada de rolamento. Exclusive transporte da mistura (REF. SINAPI COD. 95995)</v>
      </c>
      <c r="E591" s="2"/>
      <c r="F591" s="2" t="str">
        <f>+VLOOKUP($B591,[1]BOLETIM_SEL!$A:$H,6,0)</f>
        <v>M3</v>
      </c>
      <c r="G591" s="1407">
        <f>VLOOKUP($B591,[1]BOLETIM_SEL!$A:$H,7,0)</f>
        <v>1874.81</v>
      </c>
      <c r="H591" s="1606">
        <f>+Recap_Final!K60</f>
        <v>0</v>
      </c>
      <c r="I591" s="876">
        <f t="shared" si="199"/>
        <v>2287.2600000000002</v>
      </c>
      <c r="J591" s="1607">
        <f t="shared" si="202"/>
        <v>0</v>
      </c>
      <c r="K591" s="2069">
        <f t="shared" ca="1" si="196"/>
        <v>0</v>
      </c>
      <c r="L591" s="1570" t="e">
        <f t="shared" si="197"/>
        <v>#DIV/0!</v>
      </c>
      <c r="M591" s="1442"/>
      <c r="N591" s="832"/>
      <c r="O591" s="832"/>
      <c r="Q591" s="832"/>
      <c r="R591" s="832"/>
      <c r="S591" s="832"/>
      <c r="T591" s="832"/>
      <c r="U591" s="832"/>
      <c r="V591" s="832"/>
      <c r="W591" s="832"/>
      <c r="X591" s="832"/>
    </row>
    <row r="592" spans="1:24" s="812" customFormat="1" ht="39.950000000000003" hidden="1" customHeight="1" x14ac:dyDescent="0.15">
      <c r="A592" s="2072">
        <f t="shared" ca="1" si="198"/>
        <v>6</v>
      </c>
      <c r="B592" s="864" t="s">
        <v>1773</v>
      </c>
      <c r="C592" s="2" t="str">
        <f>+VLOOKUP($B592,[1]BOLETIM_SEL!$A:$H,2,0)</f>
        <v>COMPOSIÇÃO</v>
      </c>
      <c r="D592" s="315" t="str">
        <f>+VLOOKUP($B592,[1]BOLETIM_SEL!$A:$H,4,0)</f>
        <v>Execução de pré-misturado a frio - PMF, faixa C (semidenso), com emulsão asfáltica RL-1C, para revestimento, aplicação com vibroacabadora. Exclusive transporte</v>
      </c>
      <c r="E592" s="2"/>
      <c r="F592" s="2" t="str">
        <f>+VLOOKUP($B592,[1]BOLETIM_SEL!$A:$H,6,0)</f>
        <v>M3</v>
      </c>
      <c r="G592" s="1407"/>
      <c r="H592" s="1608">
        <f>+Recap_Final!K61</f>
        <v>0</v>
      </c>
      <c r="I592" s="2180">
        <f t="shared" si="199"/>
        <v>0</v>
      </c>
      <c r="J592" s="2181">
        <f t="shared" si="202"/>
        <v>0</v>
      </c>
      <c r="K592" s="2182">
        <f t="shared" ca="1" si="196"/>
        <v>0</v>
      </c>
      <c r="L592" s="2368" t="e">
        <f t="shared" si="197"/>
        <v>#DIV/0!</v>
      </c>
      <c r="M592" s="1442"/>
      <c r="N592" s="832"/>
      <c r="O592" s="832"/>
      <c r="Q592" s="832"/>
      <c r="R592" s="832"/>
      <c r="S592" s="832"/>
      <c r="T592" s="832"/>
      <c r="U592" s="832"/>
      <c r="V592" s="832"/>
      <c r="W592" s="832"/>
      <c r="X592" s="832"/>
    </row>
    <row r="593" spans="1:24" s="812" customFormat="1" ht="39.950000000000003" hidden="1" customHeight="1" x14ac:dyDescent="0.15">
      <c r="A593" s="2072">
        <f t="shared" ca="1" si="198"/>
        <v>6</v>
      </c>
      <c r="B593" s="833" t="s">
        <v>1747</v>
      </c>
      <c r="C593" s="2" t="str">
        <f>VLOOKUP($B593,[1]BOLETIM_SEL!$A:$H,2,0)</f>
        <v>COMPOSIÇÃO</v>
      </c>
      <c r="D593" s="315" t="str">
        <f>VLOOKUP($B593,[1]BOLETIM_SEL!$A:$H,4,0)</f>
        <v>Substituição de quadro e grelha articulada em F°F°, classe D400, carga máxima 40 T, 415 x 955 mm para boca de lobo, incluindo demolição e implantação da sarjeta de contorno (chama) em concreto FCK = 20 mpa</v>
      </c>
      <c r="E593" s="2"/>
      <c r="F593" s="2" t="str">
        <f>VLOOKUP($B593,[1]BOLETIM_SEL!$A:$H,6,0)</f>
        <v xml:space="preserve">UN </v>
      </c>
      <c r="G593" s="1407">
        <f>VLOOKUP($B593,[1]BOLETIM_SEL!$A:$H,7,0)</f>
        <v>958.63</v>
      </c>
      <c r="H593" s="1606">
        <f>+Recap_Final!K88</f>
        <v>0</v>
      </c>
      <c r="I593" s="876">
        <f t="shared" si="199"/>
        <v>1169.52</v>
      </c>
      <c r="J593" s="1607">
        <f t="shared" si="202"/>
        <v>0</v>
      </c>
      <c r="K593" s="2069">
        <f t="shared" ca="1" si="196"/>
        <v>0</v>
      </c>
      <c r="L593" s="1570" t="e">
        <f t="shared" si="197"/>
        <v>#DIV/0!</v>
      </c>
      <c r="M593" s="1442"/>
      <c r="N593" s="832"/>
      <c r="O593" s="832"/>
      <c r="Q593" s="832"/>
      <c r="R593" s="832"/>
      <c r="S593" s="832"/>
      <c r="T593" s="832"/>
      <c r="U593" s="832"/>
      <c r="V593" s="832"/>
      <c r="W593" s="832"/>
      <c r="X593" s="832"/>
    </row>
    <row r="594" spans="1:24" s="812" customFormat="1" ht="39.950000000000003" hidden="1" customHeight="1" x14ac:dyDescent="0.15">
      <c r="A594" s="2072">
        <f t="shared" ca="1" si="198"/>
        <v>6</v>
      </c>
      <c r="B594" s="833" t="s">
        <v>1748</v>
      </c>
      <c r="C594" s="2" t="str">
        <f>VLOOKUP($B594,[1]BOLETIM_SEL!$A:$H,2,0)</f>
        <v>COMPOSIÇÃO</v>
      </c>
      <c r="D594" s="315" t="str">
        <f>VLOOKUP($B594,[1]BOLETIM_SEL!$A:$H,4,0)</f>
        <v>Remoção e reassentamento de quadro e grelha articulada em F°F° para boca de lobo, incluindo demolição e implantação da sarjeta de contorno (chama) em concreto FCK = 20 Mpa</v>
      </c>
      <c r="E594" s="2"/>
      <c r="F594" s="2" t="str">
        <f>VLOOKUP($B594,[1]BOLETIM_SEL!$A:$H,6,0)</f>
        <v xml:space="preserve">UN </v>
      </c>
      <c r="G594" s="1407">
        <f>VLOOKUP($B594,[1]BOLETIM_SEL!$A:$H,7,0)</f>
        <v>225.51</v>
      </c>
      <c r="H594" s="1606">
        <f>+Recap_Final!K89</f>
        <v>0</v>
      </c>
      <c r="I594" s="876">
        <f t="shared" si="199"/>
        <v>275.12</v>
      </c>
      <c r="J594" s="1607">
        <f t="shared" si="202"/>
        <v>0</v>
      </c>
      <c r="K594" s="2069">
        <f t="shared" ca="1" si="196"/>
        <v>0</v>
      </c>
      <c r="L594" s="1570" t="e">
        <f t="shared" si="197"/>
        <v>#DIV/0!</v>
      </c>
      <c r="M594" s="1442"/>
      <c r="N594" s="832"/>
      <c r="O594" s="832"/>
      <c r="Q594" s="832"/>
      <c r="R594" s="832"/>
      <c r="S594" s="832"/>
      <c r="T594" s="832"/>
      <c r="U594" s="832"/>
      <c r="V594" s="832"/>
      <c r="W594" s="832"/>
      <c r="X594" s="832"/>
    </row>
    <row r="595" spans="1:24" s="812" customFormat="1" ht="39.950000000000003" hidden="1" customHeight="1" x14ac:dyDescent="0.15">
      <c r="A595" s="2072">
        <f t="shared" ca="1" si="198"/>
        <v>6</v>
      </c>
      <c r="B595" s="833" t="s">
        <v>1745</v>
      </c>
      <c r="C595" s="2" t="str">
        <f>VLOOKUP($B595,[1]BOLETIM_SEL!$A:$H,2,0)</f>
        <v>COMPOSIÇÃO</v>
      </c>
      <c r="D595" s="315" t="str">
        <f>VLOOKUP($B595,[1]BOLETIM_SEL!$A:$H,4,0)</f>
        <v>Substituição de tampão de PV, incluindo fornecimento de tampão de FºFº articulado, Classe B400, carga máxima 40 T, redondo tampa 600 mm para rede pluvial/esgoto, e requadro em concreto simples FCK 20mpa, de 1,00m x 1,00m x 0,20m</v>
      </c>
      <c r="E595" s="2"/>
      <c r="F595" s="2" t="str">
        <f>VLOOKUP($B595,[1]BOLETIM_SEL!$A:$H,6,0)</f>
        <v xml:space="preserve">UN </v>
      </c>
      <c r="G595" s="1407">
        <f>VLOOKUP($B595,[1]BOLETIM_SEL!$A:$H,7,0)</f>
        <v>849.99</v>
      </c>
      <c r="H595" s="1606">
        <f>+Recap_Final!K90</f>
        <v>0</v>
      </c>
      <c r="I595" s="876">
        <f t="shared" si="199"/>
        <v>1036.98</v>
      </c>
      <c r="J595" s="1607">
        <f t="shared" si="202"/>
        <v>0</v>
      </c>
      <c r="K595" s="2069">
        <f t="shared" ca="1" si="196"/>
        <v>0</v>
      </c>
      <c r="L595" s="1570" t="e">
        <f t="shared" si="197"/>
        <v>#DIV/0!</v>
      </c>
      <c r="M595" s="1442"/>
      <c r="N595" s="832"/>
      <c r="O595" s="832"/>
      <c r="Q595" s="832"/>
      <c r="R595" s="832"/>
      <c r="S595" s="832"/>
      <c r="T595" s="832"/>
      <c r="U595" s="832"/>
      <c r="V595" s="832"/>
      <c r="W595" s="832"/>
      <c r="X595" s="832"/>
    </row>
    <row r="596" spans="1:24" s="812" customFormat="1" ht="39.950000000000003" hidden="1" customHeight="1" x14ac:dyDescent="0.15">
      <c r="A596" s="2072">
        <f t="shared" ca="1" si="198"/>
        <v>6</v>
      </c>
      <c r="B596" s="833" t="s">
        <v>1746</v>
      </c>
      <c r="C596" s="2" t="str">
        <f>VLOOKUP($B596,[1]BOLETIM_SEL!$A:$H,2,0)</f>
        <v>COMPOSIÇÃO</v>
      </c>
      <c r="D596" s="315" t="str">
        <f>VLOOKUP($B596,[1]BOLETIM_SEL!$A:$H,4,0)</f>
        <v>Remoção e reassentamento de tampão em F°F° para PV, com  reaproveitamento, incluindo recorte, demolição e requadro em concreto simples FCK 20mpa, de 1,00m x 1,00m x 0,20m</v>
      </c>
      <c r="E596" s="2"/>
      <c r="F596" s="2" t="str">
        <f>VLOOKUP($B596,[1]BOLETIM_SEL!$A:$H,6,0)</f>
        <v xml:space="preserve">UN </v>
      </c>
      <c r="G596" s="1407">
        <f>VLOOKUP($B596,[1]BOLETIM_SEL!$A:$H,7,0)</f>
        <v>229.16</v>
      </c>
      <c r="H596" s="1606">
        <f>+Recap_Final!K91</f>
        <v>0</v>
      </c>
      <c r="I596" s="876">
        <f t="shared" si="199"/>
        <v>279.57</v>
      </c>
      <c r="J596" s="1607">
        <f t="shared" si="202"/>
        <v>0</v>
      </c>
      <c r="K596" s="2069">
        <f t="shared" ca="1" si="196"/>
        <v>0</v>
      </c>
      <c r="L596" s="1570" t="e">
        <f t="shared" si="197"/>
        <v>#DIV/0!</v>
      </c>
      <c r="M596" s="1442"/>
      <c r="N596" s="832"/>
      <c r="O596" s="832"/>
      <c r="Q596" s="832"/>
      <c r="R596" s="832"/>
      <c r="S596" s="832"/>
      <c r="T596" s="832"/>
      <c r="U596" s="832"/>
      <c r="V596" s="832"/>
      <c r="W596" s="832"/>
      <c r="X596" s="832"/>
    </row>
    <row r="597" spans="1:24" s="812" customFormat="1" ht="39.950000000000003" hidden="1" customHeight="1" x14ac:dyDescent="0.15">
      <c r="A597" s="2072">
        <f t="shared" ca="1" si="198"/>
        <v>6</v>
      </c>
      <c r="B597" s="864" t="s">
        <v>1779</v>
      </c>
      <c r="C597" s="2" t="str">
        <f>VLOOKUP($B597,[1]BOLETIM_SEL!$A:$H,2,0)</f>
        <v>COMPOSIÇÃO</v>
      </c>
      <c r="D597" s="315" t="str">
        <f>VLOOKUP($B597,[1]BOLETIM_SEL!$A:$H,4,0)</f>
        <v>Tampão F°F° articulado T9, classe B125, carga máxima 12,5 T, redondo tampa 100 mm para registro de água. Incluindo fornecimento, assentamento e requadro em concreto FCK 20mpa, de 0,50m x 0,50m x 0,20m</v>
      </c>
      <c r="E597" s="2"/>
      <c r="F597" s="2" t="str">
        <f>VLOOKUP($B597,[1]BOLETIM_SEL!$A:$H,6,0)</f>
        <v xml:space="preserve">UN </v>
      </c>
      <c r="G597" s="1407">
        <f>VLOOKUP($B597,[1]BOLETIM_SEL!$A:$H,7,0)</f>
        <v>630.48</v>
      </c>
      <c r="H597" s="1606">
        <f>+Recap_Final!K92</f>
        <v>0</v>
      </c>
      <c r="I597" s="876">
        <f t="shared" si="199"/>
        <v>769.18</v>
      </c>
      <c r="J597" s="1607">
        <f t="shared" si="202"/>
        <v>0</v>
      </c>
      <c r="K597" s="2069">
        <f t="shared" ca="1" si="196"/>
        <v>0</v>
      </c>
      <c r="L597" s="1570" t="e">
        <f t="shared" si="197"/>
        <v>#DIV/0!</v>
      </c>
      <c r="M597" s="1442"/>
      <c r="N597" s="832"/>
      <c r="O597" s="832"/>
      <c r="Q597" s="832"/>
      <c r="R597" s="832"/>
      <c r="S597" s="832"/>
      <c r="T597" s="832"/>
      <c r="U597" s="832"/>
      <c r="V597" s="832"/>
      <c r="W597" s="832"/>
      <c r="X597" s="832"/>
    </row>
    <row r="598" spans="1:24" s="812" customFormat="1" ht="39.950000000000003" hidden="1" customHeight="1" x14ac:dyDescent="0.15">
      <c r="A598" s="2072">
        <f t="shared" ca="1" si="198"/>
        <v>6</v>
      </c>
      <c r="B598" s="864" t="s">
        <v>1780</v>
      </c>
      <c r="C598" s="2" t="str">
        <f>VLOOKUP($B598,[1]BOLETIM_SEL!$A:$H,2,0)</f>
        <v>COMPOSIÇÃO</v>
      </c>
      <c r="D598" s="315" t="str">
        <f>VLOOKUP($B598,[1]BOLETIM_SEL!$A:$H,4,0)</f>
        <v>Substituição de tampão de registro de água, incluindo fornecimento de tampão de FºFº articulado T9, Classe B125, carga máxima 12,5 T, redondo tampa 100 mm e requadro em concreto simples FCK 20mpa, de 0,50m x 0,50m x 0,20m</v>
      </c>
      <c r="E598" s="2"/>
      <c r="F598" s="2" t="str">
        <f>VLOOKUP($B598,[1]BOLETIM_SEL!$A:$H,6,0)</f>
        <v xml:space="preserve">UN </v>
      </c>
      <c r="G598" s="1407">
        <f>VLOOKUP($B598,[1]BOLETIM_SEL!$A:$H,7,0)</f>
        <v>1306.1099999999999</v>
      </c>
      <c r="H598" s="1606">
        <f>+Recap_Final!K93</f>
        <v>0</v>
      </c>
      <c r="I598" s="876">
        <f t="shared" si="199"/>
        <v>1593.45</v>
      </c>
      <c r="J598" s="1607">
        <f t="shared" si="202"/>
        <v>0</v>
      </c>
      <c r="K598" s="2069">
        <f t="shared" ca="1" si="196"/>
        <v>0</v>
      </c>
      <c r="L598" s="1570" t="e">
        <f t="shared" si="197"/>
        <v>#DIV/0!</v>
      </c>
      <c r="M598" s="1442"/>
      <c r="N598" s="832"/>
      <c r="O598" s="832"/>
      <c r="Q598" s="832"/>
      <c r="R598" s="832"/>
      <c r="S598" s="832"/>
      <c r="T598" s="832"/>
      <c r="U598" s="832"/>
      <c r="V598" s="832"/>
      <c r="W598" s="832"/>
      <c r="X598" s="832"/>
    </row>
    <row r="599" spans="1:24" s="812" customFormat="1" ht="24.95" hidden="1" customHeight="1" x14ac:dyDescent="0.15">
      <c r="A599" s="2072"/>
      <c r="B599" s="833"/>
      <c r="C599" s="2"/>
      <c r="D599" s="1449" t="s">
        <v>1783</v>
      </c>
      <c r="E599" s="2"/>
      <c r="F599" s="2"/>
      <c r="G599" s="1407"/>
      <c r="H599" s="2"/>
      <c r="I599" s="2"/>
      <c r="J599" s="838" t="str">
        <f>IF(J600=0,"-","")</f>
        <v>-</v>
      </c>
      <c r="K599" s="2"/>
      <c r="L599" s="1570"/>
      <c r="M599" s="1442"/>
      <c r="N599" s="832"/>
      <c r="O599" s="1422"/>
      <c r="Q599" s="832"/>
      <c r="R599" s="832"/>
      <c r="S599" s="832"/>
      <c r="T599" s="832"/>
      <c r="U599" s="832"/>
      <c r="V599" s="832"/>
      <c r="W599" s="832"/>
      <c r="X599" s="832"/>
    </row>
    <row r="600" spans="1:24" s="812" customFormat="1" ht="39.950000000000003" hidden="1" customHeight="1" x14ac:dyDescent="0.15">
      <c r="A600" s="2072">
        <f ca="1">IF(H600&gt;0,A598+0.01,A598)</f>
        <v>6</v>
      </c>
      <c r="B600" s="833">
        <f>IF(AND(M600&lt;=50,E600&lt;=30),95875,IF(AND(M600&lt;=50,E600&gt;30),93590,IF(AND(M600&gt;50,E600&lt;=30),95876,93593)))</f>
        <v>95875</v>
      </c>
      <c r="C600" s="2" t="s">
        <v>1778</v>
      </c>
      <c r="D600" s="315" t="str">
        <f>VLOOKUP($B600,[1]BOLETIM_SEL!$A:$H,4,0)</f>
        <v>Transporte com caminhão basculante de 10 m3, em via urbana pavimentada, DMT até 30,00 km (unidade: m3xkm). AF_07/2020</v>
      </c>
      <c r="E600" s="2">
        <f>+Dados_DMT!$B$21</f>
        <v>0</v>
      </c>
      <c r="F600" s="2" t="str">
        <f>VLOOKUP($B600,[1]BOLETIM_SEL!$A:$H,6,0)</f>
        <v>M3XKM</v>
      </c>
      <c r="G600" s="1407">
        <f>VLOOKUP($B600,[1]BOLETIM_SEL!$A:$H,7,0)</f>
        <v>2.36</v>
      </c>
      <c r="H600" s="1606">
        <f>ROUND(Recap_Final!K98*E600,2)</f>
        <v>0</v>
      </c>
      <c r="I600" s="876">
        <f>+TRUNC(G600*(1+$J$5),2)</f>
        <v>2.87</v>
      </c>
      <c r="J600" s="1607">
        <f t="shared" si="202"/>
        <v>0</v>
      </c>
      <c r="K600" s="2069">
        <f ca="1">J600/J$930</f>
        <v>0</v>
      </c>
      <c r="L600" s="1570" t="e">
        <f t="shared" si="197"/>
        <v>#DIV/0!</v>
      </c>
      <c r="M600" s="1450">
        <f>IF(H600=0,0,H600/E600)</f>
        <v>0</v>
      </c>
      <c r="N600" s="832"/>
      <c r="O600" s="832"/>
      <c r="Q600" s="832"/>
      <c r="R600" s="832"/>
      <c r="S600" s="832"/>
      <c r="T600" s="832"/>
      <c r="U600" s="832"/>
      <c r="V600" s="832"/>
      <c r="W600" s="832"/>
      <c r="X600" s="832"/>
    </row>
    <row r="601" spans="1:24" s="812" customFormat="1" ht="24.95" hidden="1" customHeight="1" x14ac:dyDescent="0.15">
      <c r="A601" s="2072"/>
      <c r="B601" s="833"/>
      <c r="C601" s="2"/>
      <c r="D601" s="1449" t="s">
        <v>1784</v>
      </c>
      <c r="E601" s="2"/>
      <c r="F601" s="2"/>
      <c r="G601" s="1407"/>
      <c r="H601" s="2"/>
      <c r="I601" s="2"/>
      <c r="J601" s="838" t="str">
        <f>IF(J602=0,"-","")</f>
        <v>-</v>
      </c>
      <c r="K601" s="2"/>
      <c r="L601" s="1570"/>
      <c r="M601" s="1442"/>
      <c r="N601" s="832"/>
      <c r="O601" s="1422"/>
      <c r="Q601" s="832"/>
      <c r="R601" s="832"/>
      <c r="S601" s="832"/>
      <c r="T601" s="832"/>
      <c r="U601" s="832"/>
      <c r="V601" s="832"/>
      <c r="W601" s="832"/>
      <c r="X601" s="832"/>
    </row>
    <row r="602" spans="1:24" s="812" customFormat="1" ht="39.950000000000003" hidden="1" customHeight="1" x14ac:dyDescent="0.15">
      <c r="A602" s="2072">
        <f ca="1">IF(H602&gt;0,A600+0.01,A600)</f>
        <v>6</v>
      </c>
      <c r="B602" s="833">
        <f>IF(AND(M602&lt;=50,E602&lt;=30),95875,IF(AND(M602&lt;=50,E602&gt;30),93590,IF(AND(M602&gt;50,E602&lt;=30),95876,93593)))</f>
        <v>95875</v>
      </c>
      <c r="C602" s="2" t="s">
        <v>1778</v>
      </c>
      <c r="D602" s="315" t="str">
        <f>VLOOKUP($B602,[1]BOLETIM_SEL!$A:$H,4,0)</f>
        <v>Transporte com caminhão basculante de 10 m3, em via urbana pavimentada, DMT até 30,00 km (unidade: m3xkm). AF_07/2020</v>
      </c>
      <c r="E602" s="2">
        <f>+Dados_DMT!$B$22</f>
        <v>0</v>
      </c>
      <c r="F602" s="2" t="str">
        <f>VLOOKUP($B602,[1]BOLETIM_SEL!$A:$H,6,0)</f>
        <v>M3XKM</v>
      </c>
      <c r="G602" s="1407">
        <f>VLOOKUP($B602,[1]BOLETIM_SEL!$A:$H,7,0)</f>
        <v>2.36</v>
      </c>
      <c r="H602" s="1606">
        <f>ROUND(Recap_Final!K99*E602,2)</f>
        <v>0</v>
      </c>
      <c r="I602" s="876">
        <f>+TRUNC(G602*(1+$J$5),2)</f>
        <v>2.87</v>
      </c>
      <c r="J602" s="1607">
        <f t="shared" si="202"/>
        <v>0</v>
      </c>
      <c r="K602" s="2069">
        <f ca="1">J602/J$930</f>
        <v>0</v>
      </c>
      <c r="L602" s="1570" t="e">
        <f t="shared" si="197"/>
        <v>#DIV/0!</v>
      </c>
      <c r="M602" s="1450">
        <f>IF(H602=0,0,H602/E602)</f>
        <v>0</v>
      </c>
      <c r="N602" s="832"/>
      <c r="O602" s="832"/>
      <c r="Q602" s="832"/>
      <c r="R602" s="832"/>
      <c r="S602" s="832"/>
      <c r="T602" s="832"/>
      <c r="U602" s="832"/>
      <c r="V602" s="832"/>
      <c r="W602" s="832"/>
      <c r="X602" s="832"/>
    </row>
    <row r="603" spans="1:24" s="812" customFormat="1" ht="24.95" hidden="1" customHeight="1" x14ac:dyDescent="0.15">
      <c r="A603" s="2072"/>
      <c r="B603" s="833"/>
      <c r="C603" s="2"/>
      <c r="D603" s="1449" t="s">
        <v>1785</v>
      </c>
      <c r="E603" s="2"/>
      <c r="F603" s="2"/>
      <c r="G603" s="1407"/>
      <c r="H603" s="2"/>
      <c r="I603" s="2"/>
      <c r="J603" s="838" t="str">
        <f>IF(J604=0,"-","")</f>
        <v>-</v>
      </c>
      <c r="K603" s="2"/>
      <c r="L603" s="1570"/>
      <c r="M603" s="1442"/>
      <c r="N603" s="832"/>
      <c r="O603" s="1422"/>
      <c r="Q603" s="832"/>
      <c r="R603" s="832"/>
      <c r="S603" s="832"/>
      <c r="T603" s="832"/>
      <c r="U603" s="832"/>
      <c r="V603" s="832"/>
      <c r="W603" s="832"/>
      <c r="X603" s="832"/>
    </row>
    <row r="604" spans="1:24" s="812" customFormat="1" ht="39.950000000000003" hidden="1" customHeight="1" x14ac:dyDescent="0.15">
      <c r="A604" s="2072">
        <f ca="1">IF(H604&gt;0,A602+0.01,A602)</f>
        <v>6</v>
      </c>
      <c r="B604" s="833">
        <f>IF(AND(M604&lt;=50,E604&lt;=30),95875,IF(AND(M604&lt;=50,E604&gt;30),93590,IF(AND(M604&gt;50,E604&lt;=30),95876,93593)))</f>
        <v>95875</v>
      </c>
      <c r="C604" s="2" t="s">
        <v>1778</v>
      </c>
      <c r="D604" s="315" t="str">
        <f>VLOOKUP($B604,[1]BOLETIM_SEL!$A:$H,4,0)</f>
        <v>Transporte com caminhão basculante de 10 m3, em via urbana pavimentada, DMT até 30,00 km (unidade: m3xkm). AF_07/2020</v>
      </c>
      <c r="E604" s="2">
        <f>+Dados_DMT!$B$23</f>
        <v>0</v>
      </c>
      <c r="F604" s="2" t="str">
        <f>VLOOKUP($B604,[1]BOLETIM_SEL!$A:$H,6,0)</f>
        <v>M3XKM</v>
      </c>
      <c r="G604" s="1407">
        <f>VLOOKUP($B604,[1]BOLETIM_SEL!$A:$H,7,0)</f>
        <v>2.36</v>
      </c>
      <c r="H604" s="1606">
        <f>ROUND(Recap_Final!K100*E604,2)</f>
        <v>0</v>
      </c>
      <c r="I604" s="876">
        <f>+TRUNC(G604*(1+$J$5),2)</f>
        <v>2.87</v>
      </c>
      <c r="J604" s="1607">
        <f t="shared" si="202"/>
        <v>0</v>
      </c>
      <c r="K604" s="2069">
        <f ca="1">J604/J$930</f>
        <v>0</v>
      </c>
      <c r="L604" s="1570" t="e">
        <f t="shared" si="197"/>
        <v>#DIV/0!</v>
      </c>
      <c r="M604" s="1450">
        <f>IF(H604=0,0,H604/E604)</f>
        <v>0</v>
      </c>
      <c r="N604" s="832"/>
      <c r="O604" s="832"/>
      <c r="Q604" s="832"/>
      <c r="R604" s="832"/>
      <c r="S604" s="832"/>
      <c r="T604" s="832"/>
      <c r="U604" s="832"/>
      <c r="V604" s="832"/>
      <c r="W604" s="832"/>
      <c r="X604" s="832"/>
    </row>
    <row r="605" spans="1:24" s="812" customFormat="1" ht="24.95" hidden="1" customHeight="1" x14ac:dyDescent="0.15">
      <c r="A605" s="2072"/>
      <c r="B605" s="833"/>
      <c r="C605" s="2"/>
      <c r="D605" s="1449" t="s">
        <v>1900</v>
      </c>
      <c r="E605" s="2"/>
      <c r="F605" s="2"/>
      <c r="G605" s="1407"/>
      <c r="H605" s="2"/>
      <c r="I605" s="2"/>
      <c r="J605" s="838" t="str">
        <f>IF(J606=0,"-","")</f>
        <v>-</v>
      </c>
      <c r="K605" s="2"/>
      <c r="L605" s="1570"/>
      <c r="M605" s="1442"/>
      <c r="N605" s="832"/>
      <c r="O605" s="1422"/>
      <c r="Q605" s="832"/>
      <c r="R605" s="832"/>
      <c r="S605" s="832"/>
      <c r="T605" s="832"/>
      <c r="U605" s="832"/>
      <c r="V605" s="832"/>
      <c r="W605" s="832"/>
      <c r="X605" s="832"/>
    </row>
    <row r="606" spans="1:24" s="812" customFormat="1" ht="39.950000000000003" hidden="1" customHeight="1" x14ac:dyDescent="0.15">
      <c r="A606" s="2072">
        <f ca="1">IF(H606&gt;0,A604+0.01,A604)</f>
        <v>6</v>
      </c>
      <c r="B606" s="833">
        <f>IF(AND(M606&lt;=50,E606&lt;=30),95875,IF(AND(M606&lt;=50,E606&gt;30),93590,IF(AND(M606&gt;50,E606&lt;=30),95876,93593)))</f>
        <v>95875</v>
      </c>
      <c r="C606" s="2" t="s">
        <v>1778</v>
      </c>
      <c r="D606" s="315" t="str">
        <f>VLOOKUP($B606,[1]BOLETIM_SEL!$A:$H,4,0)</f>
        <v>Transporte com caminhão basculante de 10 m3, em via urbana pavimentada, DMT até 30,00 km (unidade: m3xkm). AF_07/2020</v>
      </c>
      <c r="E606" s="2">
        <f>+Dados_DMT!$B$34</f>
        <v>24</v>
      </c>
      <c r="F606" s="2" t="str">
        <f>VLOOKUP($B606,[1]BOLETIM_SEL!$A:$H,6,0)</f>
        <v>M3XKM</v>
      </c>
      <c r="G606" s="1407">
        <f>VLOOKUP($B606,[1]BOLETIM_SEL!$A:$H,7,0)</f>
        <v>2.36</v>
      </c>
      <c r="H606" s="1606">
        <f>ROUND(Recap_Final!K102*E606,2)</f>
        <v>0</v>
      </c>
      <c r="I606" s="876">
        <f>+TRUNC(G606*(1+$J$5),2)</f>
        <v>2.87</v>
      </c>
      <c r="J606" s="1607">
        <f t="shared" si="202"/>
        <v>0</v>
      </c>
      <c r="K606" s="2069">
        <f ca="1">J606/J$930</f>
        <v>0</v>
      </c>
      <c r="L606" s="1570" t="e">
        <f t="shared" si="197"/>
        <v>#DIV/0!</v>
      </c>
      <c r="M606" s="1450">
        <f>IF(H606=0,0,H606/E606)</f>
        <v>0</v>
      </c>
      <c r="N606" s="832"/>
      <c r="O606" s="832"/>
      <c r="Q606" s="832"/>
      <c r="R606" s="832"/>
      <c r="S606" s="832"/>
      <c r="T606" s="832"/>
      <c r="U606" s="832"/>
      <c r="V606" s="832"/>
      <c r="W606" s="832"/>
      <c r="X606" s="832"/>
    </row>
    <row r="607" spans="1:24" s="812" customFormat="1" ht="24.95" hidden="1" customHeight="1" x14ac:dyDescent="0.15">
      <c r="A607" s="2072"/>
      <c r="B607" s="833"/>
      <c r="C607" s="2"/>
      <c r="D607" s="1449" t="s">
        <v>1901</v>
      </c>
      <c r="E607" s="2"/>
      <c r="F607" s="2"/>
      <c r="G607" s="1407"/>
      <c r="H607" s="2"/>
      <c r="I607" s="2"/>
      <c r="J607" s="838" t="str">
        <f>IF(J608=0,"-","")</f>
        <v>-</v>
      </c>
      <c r="K607" s="2"/>
      <c r="L607" s="1570"/>
      <c r="M607" s="1442"/>
      <c r="N607" s="832"/>
      <c r="O607" s="1422"/>
      <c r="Q607" s="832"/>
      <c r="R607" s="832"/>
      <c r="S607" s="832"/>
      <c r="T607" s="832"/>
      <c r="U607" s="832"/>
      <c r="V607" s="832"/>
      <c r="W607" s="832"/>
      <c r="X607" s="832"/>
    </row>
    <row r="608" spans="1:24" s="812" customFormat="1" ht="39.950000000000003" hidden="1" customHeight="1" x14ac:dyDescent="0.15">
      <c r="A608" s="2072">
        <f ca="1">IF(H608&gt;0,A606+0.01,A606)</f>
        <v>6</v>
      </c>
      <c r="B608" s="833">
        <f>IF(AND(M608&lt;=50,E608&lt;=30),95875,IF(AND(M608&lt;=50,E608&gt;30),93590,IF(AND(M608&gt;50,E608&lt;=30),95876,93593)))</f>
        <v>95875</v>
      </c>
      <c r="C608" s="2" t="s">
        <v>1778</v>
      </c>
      <c r="D608" s="315" t="str">
        <f>VLOOKUP($B608,[1]BOLETIM_SEL!$A:$H,4,0)</f>
        <v>Transporte com caminhão basculante de 10 m3, em via urbana pavimentada, DMT até 30,00 km (unidade: m3xkm). AF_07/2020</v>
      </c>
      <c r="E608" s="2">
        <f>+Dados_DMT!$B$34</f>
        <v>24</v>
      </c>
      <c r="F608" s="2" t="str">
        <f>VLOOKUP($B608,[1]BOLETIM_SEL!$A:$H,6,0)</f>
        <v>M3XKM</v>
      </c>
      <c r="G608" s="1407">
        <f>VLOOKUP($B608,[1]BOLETIM_SEL!$A:$H,7,0)</f>
        <v>2.36</v>
      </c>
      <c r="H608" s="1606">
        <f>ROUND(Recap_Final!K103*E608,2)</f>
        <v>0</v>
      </c>
      <c r="I608" s="876">
        <f>+TRUNC(G608*(1+$J$5),2)</f>
        <v>2.87</v>
      </c>
      <c r="J608" s="1607">
        <f t="shared" si="202"/>
        <v>0</v>
      </c>
      <c r="K608" s="2069">
        <f ca="1">J608/J$930</f>
        <v>0</v>
      </c>
      <c r="L608" s="1570" t="e">
        <f t="shared" si="197"/>
        <v>#DIV/0!</v>
      </c>
      <c r="M608" s="1450">
        <f>IF(H608=0,0,H608/E608)</f>
        <v>0</v>
      </c>
      <c r="N608" s="832"/>
      <c r="O608" s="832"/>
      <c r="Q608" s="832"/>
      <c r="R608" s="832"/>
      <c r="S608" s="832"/>
      <c r="T608" s="832"/>
      <c r="U608" s="832"/>
      <c r="V608" s="832"/>
      <c r="W608" s="832"/>
      <c r="X608" s="832"/>
    </row>
    <row r="609" spans="1:24" s="812" customFormat="1" ht="24.95" hidden="1" customHeight="1" x14ac:dyDescent="0.15">
      <c r="A609" s="2072"/>
      <c r="B609" s="833"/>
      <c r="C609" s="2"/>
      <c r="D609" s="1449" t="s">
        <v>1896</v>
      </c>
      <c r="E609" s="2"/>
      <c r="F609" s="2"/>
      <c r="G609" s="1407"/>
      <c r="H609" s="2"/>
      <c r="I609" s="2"/>
      <c r="J609" s="838" t="str">
        <f>IF(J610=0,"-","")</f>
        <v>-</v>
      </c>
      <c r="K609" s="2"/>
      <c r="L609" s="1570"/>
      <c r="M609" s="1442"/>
      <c r="N609" s="832"/>
      <c r="O609" s="1422"/>
      <c r="Q609" s="832"/>
      <c r="R609" s="832"/>
      <c r="S609" s="832"/>
      <c r="T609" s="832"/>
      <c r="U609" s="832"/>
      <c r="V609" s="832"/>
      <c r="W609" s="832"/>
      <c r="X609" s="832"/>
    </row>
    <row r="610" spans="1:24" s="812" customFormat="1" ht="39.950000000000003" hidden="1" customHeight="1" x14ac:dyDescent="0.15">
      <c r="A610" s="2072">
        <f ca="1">IF(H610&gt;0,A608+0.01,A608)</f>
        <v>6</v>
      </c>
      <c r="B610" s="833">
        <f>IF(AND(M610&lt;=50,E610&lt;=30),95875,IF(AND(M610&lt;=50,E610&gt;30),93590,IF(AND(M610&gt;50,E610&lt;=30),95876,93593)))</f>
        <v>95875</v>
      </c>
      <c r="C610" s="2" t="s">
        <v>1778</v>
      </c>
      <c r="D610" s="315" t="str">
        <f>VLOOKUP($B610,[1]BOLETIM_SEL!$A:$H,4,0)</f>
        <v>Transporte com caminhão basculante de 10 m3, em via urbana pavimentada, DMT até 30,00 km (unidade: m3xkm). AF_07/2020</v>
      </c>
      <c r="E610" s="2">
        <f>+Dados_DMT!$B$32</f>
        <v>0</v>
      </c>
      <c r="F610" s="2" t="str">
        <f>VLOOKUP($B610,[1]BOLETIM_SEL!$A:$H,6,0)</f>
        <v>M3XKM</v>
      </c>
      <c r="G610" s="1407">
        <f>VLOOKUP($B610,[1]BOLETIM_SEL!$A:$H,7,0)</f>
        <v>2.36</v>
      </c>
      <c r="H610" s="1606">
        <f>ROUND(Recap_Final!K104*E610,2)</f>
        <v>0</v>
      </c>
      <c r="I610" s="876">
        <f>+TRUNC(G610*(1+$J$5),2)</f>
        <v>2.87</v>
      </c>
      <c r="J610" s="1607">
        <f t="shared" si="202"/>
        <v>0</v>
      </c>
      <c r="K610" s="2069">
        <f ca="1">J610/J$930</f>
        <v>0</v>
      </c>
      <c r="L610" s="1570" t="e">
        <f t="shared" si="197"/>
        <v>#DIV/0!</v>
      </c>
      <c r="M610" s="1450">
        <f>IF(H610=0,0,H610/E610)</f>
        <v>0</v>
      </c>
      <c r="N610" s="832"/>
      <c r="O610" s="832"/>
      <c r="Q610" s="832"/>
      <c r="R610" s="832"/>
      <c r="S610" s="832"/>
      <c r="T610" s="832"/>
      <c r="U610" s="832"/>
      <c r="V610" s="832"/>
      <c r="W610" s="832"/>
      <c r="X610" s="832"/>
    </row>
    <row r="611" spans="1:24" s="812" customFormat="1" ht="24.95" hidden="1" customHeight="1" x14ac:dyDescent="0.15">
      <c r="A611" s="2072"/>
      <c r="B611" s="833"/>
      <c r="C611" s="2"/>
      <c r="D611" s="1449" t="s">
        <v>1897</v>
      </c>
      <c r="E611" s="2"/>
      <c r="F611" s="2"/>
      <c r="G611" s="1407"/>
      <c r="H611" s="2"/>
      <c r="I611" s="2"/>
      <c r="J611" s="838" t="str">
        <f>IF(J612=0,"-","")</f>
        <v>-</v>
      </c>
      <c r="K611" s="2"/>
      <c r="L611" s="1570"/>
      <c r="M611" s="1442"/>
      <c r="N611" s="832"/>
      <c r="O611" s="1422"/>
      <c r="Q611" s="832"/>
      <c r="R611" s="832"/>
      <c r="S611" s="832"/>
      <c r="T611" s="832"/>
      <c r="U611" s="832"/>
      <c r="V611" s="832"/>
      <c r="W611" s="832"/>
      <c r="X611" s="832"/>
    </row>
    <row r="612" spans="1:24" s="812" customFormat="1" ht="39.950000000000003" hidden="1" customHeight="1" x14ac:dyDescent="0.15">
      <c r="A612" s="2072">
        <f ca="1">IF(H612&gt;0,A610+0.01,A610)</f>
        <v>6</v>
      </c>
      <c r="B612" s="833">
        <f>IF(AND(M612&lt;=50,E612&lt;=30),95875,IF(AND(M612&lt;=50,E612&gt;30),93590,IF(AND(M612&gt;50,E612&lt;=30),95876,93593)))</f>
        <v>95875</v>
      </c>
      <c r="C612" s="2" t="s">
        <v>1778</v>
      </c>
      <c r="D612" s="315" t="str">
        <f>VLOOKUP($B612,[1]BOLETIM_SEL!$A:$H,4,0)</f>
        <v>Transporte com caminhão basculante de 10 m3, em via urbana pavimentada, DMT até 30,00 km (unidade: m3xkm). AF_07/2020</v>
      </c>
      <c r="E612" s="2">
        <f>+Dados_DMT!$B$33</f>
        <v>0</v>
      </c>
      <c r="F612" s="2" t="str">
        <f>VLOOKUP($B612,[1]BOLETIM_SEL!$A:$H,6,0)</f>
        <v>M3XKM</v>
      </c>
      <c r="G612" s="1407">
        <f>VLOOKUP($B612,[1]BOLETIM_SEL!$A:$H,7,0)</f>
        <v>2.36</v>
      </c>
      <c r="H612" s="1606">
        <f>ROUND(Recap_Final!K105*E612,2)</f>
        <v>0</v>
      </c>
      <c r="I612" s="876">
        <f>+TRUNC(G612*(1+$J$5),2)</f>
        <v>2.87</v>
      </c>
      <c r="J612" s="1607">
        <f t="shared" si="202"/>
        <v>0</v>
      </c>
      <c r="K612" s="2069">
        <f ca="1">J612/J$930</f>
        <v>0</v>
      </c>
      <c r="L612" s="1570" t="e">
        <f t="shared" si="197"/>
        <v>#DIV/0!</v>
      </c>
      <c r="M612" s="1450">
        <f>IF(H612=0,0,H612/E612)</f>
        <v>0</v>
      </c>
      <c r="N612" s="832"/>
      <c r="O612" s="832"/>
      <c r="Q612" s="832"/>
      <c r="R612" s="832"/>
      <c r="S612" s="832"/>
      <c r="T612" s="832"/>
      <c r="U612" s="832"/>
      <c r="V612" s="832"/>
      <c r="W612" s="832"/>
      <c r="X612" s="832"/>
    </row>
    <row r="613" spans="1:24" s="812" customFormat="1" ht="24.95" hidden="1" customHeight="1" x14ac:dyDescent="0.15">
      <c r="A613" s="2072"/>
      <c r="B613" s="833"/>
      <c r="C613" s="2"/>
      <c r="D613" s="1449" t="s">
        <v>1758</v>
      </c>
      <c r="E613" s="2"/>
      <c r="F613" s="2"/>
      <c r="G613" s="1407"/>
      <c r="H613" s="2"/>
      <c r="I613" s="2"/>
      <c r="J613" s="838" t="str">
        <f>IF(J614=0,"-","")</f>
        <v>-</v>
      </c>
      <c r="K613" s="2"/>
      <c r="L613" s="1570"/>
      <c r="M613" s="1442"/>
      <c r="N613" s="832"/>
      <c r="O613" s="1422"/>
      <c r="Q613" s="832"/>
      <c r="R613" s="832"/>
      <c r="S613" s="832"/>
      <c r="T613" s="832"/>
      <c r="U613" s="832"/>
      <c r="V613" s="832"/>
      <c r="W613" s="832"/>
      <c r="X613" s="832"/>
    </row>
    <row r="614" spans="1:24" s="812" customFormat="1" ht="39.950000000000003" hidden="1" customHeight="1" x14ac:dyDescent="0.15">
      <c r="A614" s="2072">
        <f ca="1">IF(H614&gt;0,A612+0.01,A612)</f>
        <v>6</v>
      </c>
      <c r="B614" s="833">
        <f>IF(AND(M614&lt;=50,E614&lt;=30),95878,IF(AND(M614&lt;=50,E614&gt;30),93596,IF(AND(M614&gt;50,E614&lt;=30),95879,93599)))</f>
        <v>95878</v>
      </c>
      <c r="C614" s="2" t="str">
        <f>VLOOKUP($B614,[1]BOLETIM_SEL!$A:$H,2,0)</f>
        <v>SINAPI</v>
      </c>
      <c r="D614" s="315" t="str">
        <f>VLOOKUP($B614,[1]BOLETIM_SEL!$A:$H,4,0)</f>
        <v>Transporte com caminhão basculante de 10 m3, em via urbana pavimentada, DMT até 30,00 km (unidade: txkm). AF_07/2020</v>
      </c>
      <c r="E614" s="2">
        <f>+Dados_DMT!$B$30</f>
        <v>19</v>
      </c>
      <c r="F614" s="2" t="str">
        <f>VLOOKUP($B614,[1]BOLETIM_SEL!$A:$H,6,0)</f>
        <v>TXKM</v>
      </c>
      <c r="G614" s="1407">
        <f>VLOOKUP($B614,[1]BOLETIM_SEL!$A:$H,7,0)</f>
        <v>1.58</v>
      </c>
      <c r="H614" s="1606">
        <f>ROUND(Recap_Final!K113*E614,2)</f>
        <v>0</v>
      </c>
      <c r="I614" s="876">
        <f>+TRUNC(G614*(1+$J$5),2)</f>
        <v>1.92</v>
      </c>
      <c r="J614" s="1607">
        <f t="shared" si="202"/>
        <v>0</v>
      </c>
      <c r="K614" s="2069">
        <f ca="1">J614/J$930</f>
        <v>0</v>
      </c>
      <c r="L614" s="1570" t="e">
        <f t="shared" si="197"/>
        <v>#DIV/0!</v>
      </c>
      <c r="M614" s="1451">
        <f>IF(H614=0,0,H614/E614)</f>
        <v>0</v>
      </c>
      <c r="N614" s="832"/>
      <c r="O614" s="832"/>
      <c r="Q614" s="832"/>
      <c r="R614" s="832"/>
      <c r="S614" s="832"/>
      <c r="T614" s="832"/>
      <c r="U614" s="832"/>
      <c r="V614" s="832"/>
      <c r="W614" s="832"/>
      <c r="X614" s="832"/>
    </row>
    <row r="615" spans="1:24" s="812" customFormat="1" ht="24.95" hidden="1" customHeight="1" x14ac:dyDescent="0.15">
      <c r="A615" s="2072"/>
      <c r="B615" s="833"/>
      <c r="C615" s="2"/>
      <c r="D615" s="1449" t="s">
        <v>1757</v>
      </c>
      <c r="E615" s="2"/>
      <c r="F615" s="2"/>
      <c r="G615" s="1407"/>
      <c r="H615" s="2"/>
      <c r="I615" s="2"/>
      <c r="J615" s="838" t="str">
        <f>IF(J616=0,"-","")</f>
        <v>-</v>
      </c>
      <c r="K615" s="2"/>
      <c r="L615" s="1570"/>
      <c r="M615" s="1442"/>
      <c r="N615" s="832"/>
      <c r="O615" s="1422"/>
      <c r="Q615" s="832"/>
      <c r="R615" s="832"/>
      <c r="S615" s="832"/>
      <c r="T615" s="832"/>
      <c r="U615" s="832"/>
      <c r="V615" s="832"/>
      <c r="W615" s="832"/>
      <c r="X615" s="832"/>
    </row>
    <row r="616" spans="1:24" s="812" customFormat="1" ht="39.950000000000003" hidden="1" customHeight="1" x14ac:dyDescent="0.15">
      <c r="A616" s="2072">
        <f ca="1">IF(H616&gt;0,A614+0.01,A614)</f>
        <v>6</v>
      </c>
      <c r="B616" s="833">
        <f>IF(AND(M616&lt;=50,E616&lt;=30),95875,IF(AND(M616&lt;=50,E616&gt;30),93590,IF(AND(M616&gt;50,E616&lt;=30),95876,93593)))</f>
        <v>95875</v>
      </c>
      <c r="C616" s="2" t="s">
        <v>1778</v>
      </c>
      <c r="D616" s="315" t="str">
        <f>VLOOKUP($B616,[1]BOLETIM_SEL!$A:$H,4,0)</f>
        <v>Transporte com caminhão basculante de 10 m3, em via urbana pavimentada, DMT até 30,00 km (unidade: m3xkm). AF_07/2020</v>
      </c>
      <c r="E616" s="2">
        <f>+Dados_DMT!$B$31</f>
        <v>0</v>
      </c>
      <c r="F616" s="2" t="str">
        <f>VLOOKUP($B616,[1]BOLETIM_SEL!$A:$H,6,0)</f>
        <v>M3XKM</v>
      </c>
      <c r="G616" s="1407">
        <f>VLOOKUP($B616,[1]BOLETIM_SEL!$A:$H,7,0)</f>
        <v>2.36</v>
      </c>
      <c r="H616" s="1606">
        <f>ROUND(Recap_Final!K114*E616,2)</f>
        <v>0</v>
      </c>
      <c r="I616" s="876">
        <f>+TRUNC(G616*(1+$J$5),2)</f>
        <v>2.87</v>
      </c>
      <c r="J616" s="1607">
        <f t="shared" si="202"/>
        <v>0</v>
      </c>
      <c r="K616" s="2069">
        <f ca="1">J616/J$930</f>
        <v>0</v>
      </c>
      <c r="L616" s="1570" t="e">
        <f t="shared" si="197"/>
        <v>#DIV/0!</v>
      </c>
      <c r="M616" s="1450">
        <f>IF(H616=0,0,H616/E616)</f>
        <v>0</v>
      </c>
      <c r="N616" s="832"/>
      <c r="O616" s="832"/>
      <c r="Q616" s="832"/>
      <c r="R616" s="832"/>
      <c r="S616" s="832"/>
      <c r="T616" s="832"/>
      <c r="U616" s="832"/>
      <c r="V616" s="832"/>
      <c r="W616" s="832"/>
      <c r="X616" s="832"/>
    </row>
    <row r="617" spans="1:24" s="812" customFormat="1" ht="24.95" hidden="1" customHeight="1" x14ac:dyDescent="0.15">
      <c r="A617" s="2072"/>
      <c r="B617" s="833"/>
      <c r="C617" s="2"/>
      <c r="D617" s="1449" t="s">
        <v>1754</v>
      </c>
      <c r="E617" s="2"/>
      <c r="F617" s="2"/>
      <c r="G617" s="1407"/>
      <c r="H617" s="2"/>
      <c r="I617" s="2"/>
      <c r="J617" s="838" t="str">
        <f>IF(J618=0,"-","")</f>
        <v>-</v>
      </c>
      <c r="K617" s="2"/>
      <c r="L617" s="1570"/>
      <c r="M617" s="1442"/>
      <c r="N617" s="832"/>
      <c r="O617" s="1422"/>
      <c r="Q617" s="832"/>
      <c r="R617" s="832"/>
      <c r="S617" s="832"/>
      <c r="T617" s="832"/>
      <c r="U617" s="832"/>
      <c r="V617" s="832"/>
      <c r="W617" s="832"/>
      <c r="X617" s="832"/>
    </row>
    <row r="618" spans="1:24" s="812" customFormat="1" ht="39.950000000000003" hidden="1" customHeight="1" x14ac:dyDescent="0.15">
      <c r="A618" s="2072">
        <f ca="1">IF(H618&gt;0,A616+0.01,A616)</f>
        <v>6</v>
      </c>
      <c r="B618" s="833">
        <v>102333</v>
      </c>
      <c r="C618" s="2" t="s">
        <v>1778</v>
      </c>
      <c r="D618" s="315" t="str">
        <f>VLOOKUP($B618,[1]BOLETIM_SEL!$A:$H,4,0)</f>
        <v>Transporte com caminhão tanque de transporte de material asfáltico de 20.000 l, em via urbana pavimentada, adicional para DMT excedente a 30,00 km (unidade: txkm). AF_07/2020</v>
      </c>
      <c r="E618" s="2">
        <f>+Dados_DMT!$B$25</f>
        <v>19</v>
      </c>
      <c r="F618" s="2" t="str">
        <f>VLOOKUP($B618,[1]BOLETIM_SEL!$A:$H,6,0)</f>
        <v>TXKM</v>
      </c>
      <c r="G618" s="1407">
        <f>VLOOKUP($B618,[1]BOLETIM_SEL!$A:$H,7,0)</f>
        <v>0.7</v>
      </c>
      <c r="H618" s="1606">
        <f>ROUND((Recap_Final!K106+Recap_Final!K107+Recap_Final!K108)*E618,2)</f>
        <v>0</v>
      </c>
      <c r="I618" s="876">
        <f>+TRUNC(G618*(1+$J$5),2)</f>
        <v>0.85</v>
      </c>
      <c r="J618" s="1607">
        <f t="shared" si="202"/>
        <v>0</v>
      </c>
      <c r="K618" s="2069">
        <f ca="1">J618/J$930</f>
        <v>0</v>
      </c>
      <c r="L618" s="1570" t="e">
        <f t="shared" si="197"/>
        <v>#DIV/0!</v>
      </c>
      <c r="M618" s="1451">
        <f>IF(H618=0,0,H618/E618)</f>
        <v>0</v>
      </c>
      <c r="N618" s="832"/>
      <c r="O618" s="832"/>
      <c r="Q618" s="832"/>
      <c r="R618" s="832"/>
      <c r="S618" s="832"/>
      <c r="T618" s="832"/>
      <c r="U618" s="832"/>
      <c r="V618" s="832"/>
      <c r="W618" s="832"/>
      <c r="X618" s="832"/>
    </row>
    <row r="619" spans="1:24" s="812" customFormat="1" ht="24.95" hidden="1" customHeight="1" x14ac:dyDescent="0.15">
      <c r="A619" s="2072"/>
      <c r="B619" s="833"/>
      <c r="C619" s="2"/>
      <c r="D619" s="1449" t="s">
        <v>1789</v>
      </c>
      <c r="E619" s="2"/>
      <c r="F619" s="2"/>
      <c r="G619" s="1407"/>
      <c r="H619" s="2"/>
      <c r="I619" s="2"/>
      <c r="J619" s="838" t="str">
        <f>IF(J620=0,"-","")</f>
        <v>-</v>
      </c>
      <c r="K619" s="2"/>
      <c r="L619" s="1570"/>
      <c r="M619" s="1442"/>
      <c r="N619" s="832"/>
      <c r="O619" s="1422"/>
      <c r="Q619" s="832"/>
      <c r="R619" s="832"/>
      <c r="S619" s="832"/>
      <c r="T619" s="832"/>
      <c r="U619" s="832"/>
      <c r="V619" s="832"/>
      <c r="W619" s="832"/>
      <c r="X619" s="832"/>
    </row>
    <row r="620" spans="1:24" s="812" customFormat="1" ht="39.950000000000003" hidden="1" customHeight="1" x14ac:dyDescent="0.15">
      <c r="A620" s="2072">
        <f ca="1">IF(H620&gt;0,A618+0.01,A618)</f>
        <v>6</v>
      </c>
      <c r="B620" s="833">
        <v>102332</v>
      </c>
      <c r="C620" s="2" t="s">
        <v>1778</v>
      </c>
      <c r="D620" s="315" t="str">
        <f>VLOOKUP($B620,[1]BOLETIM_SEL!$A:$H,4,0)</f>
        <v>Transporte com caminhão tanque de transporte de material asfáltico de 20.000 l, em via urbana pavimentada, DMT até 30,00 km (unidade: txkm). AF_07/2020</v>
      </c>
      <c r="E620" s="2">
        <f>+Dados_DMT!$B$26</f>
        <v>0</v>
      </c>
      <c r="F620" s="2" t="str">
        <f>VLOOKUP($B620,[1]BOLETIM_SEL!$A:$H,6,0)</f>
        <v>TXKM</v>
      </c>
      <c r="G620" s="1407">
        <f>VLOOKUP($B620,[1]BOLETIM_SEL!$A:$H,7,0)</f>
        <v>1.75</v>
      </c>
      <c r="H620" s="1606">
        <f>ROUND(Recap_Final!K109*E620,2)</f>
        <v>0</v>
      </c>
      <c r="I620" s="876">
        <f>+TRUNC(G620*(1+$J$5),2)</f>
        <v>2.13</v>
      </c>
      <c r="J620" s="1607">
        <f>TRUNC(H620*I620,2)</f>
        <v>0</v>
      </c>
      <c r="K620" s="2069">
        <f ca="1">J620/J$930</f>
        <v>0</v>
      </c>
      <c r="L620" s="1570" t="e">
        <f t="shared" si="197"/>
        <v>#DIV/0!</v>
      </c>
      <c r="M620" s="1451">
        <f>IF(H620=0,0,H620/E620)</f>
        <v>0</v>
      </c>
      <c r="N620" s="832"/>
      <c r="O620" s="832"/>
      <c r="Q620" s="832"/>
      <c r="R620" s="832"/>
      <c r="S620" s="832"/>
      <c r="T620" s="832"/>
      <c r="U620" s="832"/>
      <c r="V620" s="832"/>
      <c r="W620" s="832"/>
      <c r="X620" s="832"/>
    </row>
    <row r="621" spans="1:24" s="812" customFormat="1" ht="24.95" hidden="1" customHeight="1" x14ac:dyDescent="0.15">
      <c r="A621" s="2072"/>
      <c r="B621" s="833"/>
      <c r="C621" s="2"/>
      <c r="D621" s="1449" t="s">
        <v>1756</v>
      </c>
      <c r="E621" s="2"/>
      <c r="F621" s="2"/>
      <c r="G621" s="1407"/>
      <c r="H621" s="2"/>
      <c r="I621" s="2"/>
      <c r="J621" s="838" t="str">
        <f>IF(J622=0,"-","")</f>
        <v>-</v>
      </c>
      <c r="K621" s="2"/>
      <c r="L621" s="1570"/>
      <c r="M621" s="1442"/>
      <c r="N621" s="832"/>
      <c r="O621" s="1422"/>
      <c r="Q621" s="832"/>
      <c r="R621" s="832"/>
      <c r="S621" s="832"/>
      <c r="T621" s="832"/>
      <c r="U621" s="832"/>
      <c r="V621" s="832"/>
      <c r="W621" s="832"/>
      <c r="X621" s="832"/>
    </row>
    <row r="622" spans="1:24" s="812" customFormat="1" ht="39.950000000000003" hidden="1" customHeight="1" x14ac:dyDescent="0.15">
      <c r="A622" s="2072">
        <f ca="1">IF(H622&gt;0,A620+0.01,A620)</f>
        <v>6</v>
      </c>
      <c r="B622" s="833">
        <v>102333</v>
      </c>
      <c r="C622" s="2" t="s">
        <v>1778</v>
      </c>
      <c r="D622" s="315" t="str">
        <f>VLOOKUP($B622,[1]BOLETIM_SEL!$A:$H,4,0)</f>
        <v>Transporte com caminhão tanque de transporte de material asfáltico de 20.000 l, em via urbana pavimentada, adicional para DMT excedente a 30,00 km (unidade: txkm). AF_07/2020</v>
      </c>
      <c r="E622" s="2">
        <f>+Dados_DMT!B27</f>
        <v>0</v>
      </c>
      <c r="F622" s="2" t="str">
        <f>VLOOKUP($B622,[1]BOLETIM_SEL!$A:$H,6,0)</f>
        <v>TXKM</v>
      </c>
      <c r="G622" s="1407">
        <f>VLOOKUP($B622,[1]BOLETIM_SEL!$A:$H,7,0)</f>
        <v>0.7</v>
      </c>
      <c r="H622" s="1606">
        <f>ROUND((Recap_Final!K110+Recap_Final!K111+Recap_Final!K112)*E622,2)</f>
        <v>0</v>
      </c>
      <c r="I622" s="876">
        <f>+TRUNC(G622*(1+$J$5),2)</f>
        <v>0.85</v>
      </c>
      <c r="J622" s="1607">
        <f t="shared" si="202"/>
        <v>0</v>
      </c>
      <c r="K622" s="2069">
        <f ca="1">J622/J$930</f>
        <v>0</v>
      </c>
      <c r="L622" s="1570" t="e">
        <f t="shared" si="197"/>
        <v>#DIV/0!</v>
      </c>
      <c r="M622" s="1451">
        <f>IF(H622=0,0,H622/E622)</f>
        <v>0</v>
      </c>
      <c r="N622" s="832"/>
      <c r="O622" s="832"/>
      <c r="Q622" s="832"/>
      <c r="R622" s="832"/>
      <c r="S622" s="832"/>
      <c r="T622" s="832"/>
      <c r="U622" s="832"/>
      <c r="V622" s="832"/>
      <c r="W622" s="832"/>
      <c r="X622" s="832"/>
    </row>
    <row r="623" spans="1:24" s="812" customFormat="1" ht="24.95" hidden="1" customHeight="1" x14ac:dyDescent="0.15">
      <c r="A623" s="2072"/>
      <c r="B623" s="833"/>
      <c r="C623" s="833"/>
      <c r="D623" s="834"/>
      <c r="E623" s="2"/>
      <c r="F623" s="833"/>
      <c r="G623" s="1407"/>
      <c r="H623" s="1"/>
      <c r="I623" s="876"/>
      <c r="J623" s="838">
        <f>IF(J582=0,0,"")</f>
        <v>0</v>
      </c>
      <c r="K623" s="2069"/>
      <c r="L623" s="1570"/>
      <c r="M623" s="1443"/>
      <c r="N623" s="832"/>
      <c r="O623" s="832"/>
      <c r="Q623" s="832"/>
      <c r="R623" s="832"/>
      <c r="S623" s="832"/>
      <c r="T623" s="832"/>
      <c r="U623" s="832"/>
      <c r="V623" s="832"/>
      <c r="W623" s="832"/>
      <c r="X623" s="832"/>
    </row>
    <row r="624" spans="1:24" s="832" customFormat="1" ht="24.95" customHeight="1" x14ac:dyDescent="0.15">
      <c r="A624" s="2073">
        <f ca="1">IF(J624&gt;0,INT(A622)+1,IF(J624=0,INT(A622),0))</f>
        <v>7</v>
      </c>
      <c r="B624" s="1626"/>
      <c r="C624" s="1626"/>
      <c r="D624" s="1627" t="s">
        <v>439</v>
      </c>
      <c r="E624" s="1821"/>
      <c r="F624" s="1628"/>
      <c r="G624" s="1813" t="s">
        <v>650</v>
      </c>
      <c r="H624" s="1630"/>
      <c r="I624" s="1633" t="str">
        <f ca="1">CONCATENATE("SUB-TOTAL ",A624)</f>
        <v>SUB-TOTAL 7</v>
      </c>
      <c r="J624" s="1632">
        <f>SUM(J625:J643)</f>
        <v>186288.82</v>
      </c>
      <c r="K624" s="2070">
        <f t="shared" ref="K624:K633" ca="1" si="203">J624/J$930</f>
        <v>5.0634956702665511E-2</v>
      </c>
      <c r="L624" s="1605">
        <f t="shared" ref="L624:L633" si="204">+J624/$J$624</f>
        <v>1</v>
      </c>
      <c r="U624" s="1809">
        <f>J626+J630+J631+J641+J643</f>
        <v>186087.05</v>
      </c>
    </row>
    <row r="625" spans="1:24" s="812" customFormat="1" ht="39.950000000000003" hidden="1" customHeight="1" x14ac:dyDescent="0.15">
      <c r="A625" s="2072">
        <f t="shared" ref="A625:A633" ca="1" si="205">+IF(H625&gt;0,A624+0.01,A624)</f>
        <v>7</v>
      </c>
      <c r="B625" s="833">
        <v>98525</v>
      </c>
      <c r="C625" s="2" t="str">
        <f>+VLOOKUP($B625,[1]BOLETIM_SEL!$A:$H,2,0)</f>
        <v>SINAPI</v>
      </c>
      <c r="D625" s="315" t="str">
        <f>+VLOOKUP($B625,[1]BOLETIM_SEL!$A:$H,4,0)</f>
        <v>Limpeza mecanizada de camada vegetal, vegetação e pequenas árvores (diâmetro nominal de tronco menor que 0,20 m), com trator de esteiras. AF_05/2018</v>
      </c>
      <c r="E625" s="2"/>
      <c r="F625" s="2" t="str">
        <f>+VLOOKUP($B625,[1]BOLETIM_SEL!$A:$H,6,0)</f>
        <v>M2</v>
      </c>
      <c r="G625" s="1407">
        <f>VLOOKUP($B625,[1]BOLETIM_SEL!$A:$H,7,0)</f>
        <v>0.37</v>
      </c>
      <c r="H625" s="1606">
        <f>+Pav_Terraplenagem!M10</f>
        <v>0</v>
      </c>
      <c r="I625" s="876">
        <f t="shared" ref="I625:I630" si="206">+TRUNC(G625*(1+$J$5),2)</f>
        <v>0.45</v>
      </c>
      <c r="J625" s="1607">
        <f t="shared" ref="J625:J630" si="207">TRUNC(H625*I625,2)</f>
        <v>0</v>
      </c>
      <c r="K625" s="2069">
        <f t="shared" ca="1" si="203"/>
        <v>0</v>
      </c>
      <c r="L625" s="1570">
        <f t="shared" si="204"/>
        <v>0</v>
      </c>
      <c r="M625" s="1442"/>
      <c r="N625" s="1648" t="s">
        <v>1951</v>
      </c>
      <c r="O625" s="1648" t="s">
        <v>1977</v>
      </c>
      <c r="Q625" s="832"/>
      <c r="R625" s="832"/>
      <c r="S625" s="832"/>
      <c r="T625" s="832"/>
      <c r="U625" s="832"/>
      <c r="V625" s="832"/>
      <c r="W625" s="832"/>
      <c r="X625" s="832"/>
    </row>
    <row r="626" spans="1:24" s="812" customFormat="1" ht="30" customHeight="1" x14ac:dyDescent="0.15">
      <c r="A626" s="2072">
        <f t="shared" ca="1" si="205"/>
        <v>7.01</v>
      </c>
      <c r="B626" s="833" t="s">
        <v>1791</v>
      </c>
      <c r="C626" s="2" t="str">
        <f>+VLOOKUP($B626,[1]BOLETIM_SEL!$A:$H,2,0)</f>
        <v>COMPOSIÇÃO</v>
      </c>
      <c r="D626" s="315" t="str">
        <f>+VLOOKUP($B626,[1]BOLETIM_SEL!$A:$H,4,0)</f>
        <v>Preparo do subleito, escavação e carga. Exclusive transporte</v>
      </c>
      <c r="E626" s="2"/>
      <c r="F626" s="2" t="str">
        <f>+VLOOKUP($B626,[1]BOLETIM_SEL!$A:$H,6,0)</f>
        <v>M3</v>
      </c>
      <c r="G626" s="1407">
        <f>VLOOKUP($B626,[1]BOLETIM_SEL!$A:$H,7,0)</f>
        <v>5.92</v>
      </c>
      <c r="H626" s="1606">
        <f>+Pav_Terraplenagem!M106</f>
        <v>5742.35</v>
      </c>
      <c r="I626" s="876">
        <f t="shared" si="206"/>
        <v>7.22</v>
      </c>
      <c r="J626" s="1607">
        <f t="shared" si="207"/>
        <v>41459.760000000002</v>
      </c>
      <c r="K626" s="2069">
        <f t="shared" ca="1" si="203"/>
        <v>1.1269131193717924E-2</v>
      </c>
      <c r="L626" s="1570">
        <f t="shared" si="204"/>
        <v>0.22255635093936393</v>
      </c>
      <c r="M626" s="1442"/>
      <c r="N626" s="1647">
        <f>VLOOKUP($B626,[1]BOLETIM_SEL!$A:$H,3,0)</f>
        <v>42</v>
      </c>
      <c r="O626" s="1645">
        <f>+H626/N626</f>
        <v>136.72261904761905</v>
      </c>
      <c r="Q626" s="832"/>
      <c r="R626" s="832"/>
      <c r="S626" s="832"/>
      <c r="T626" s="832"/>
      <c r="U626" s="832"/>
      <c r="V626" s="832"/>
      <c r="W626" s="832"/>
      <c r="X626" s="832"/>
    </row>
    <row r="627" spans="1:24" s="812" customFormat="1" ht="39.950000000000003" hidden="1" customHeight="1" x14ac:dyDescent="0.15">
      <c r="A627" s="2072">
        <f t="shared" ca="1" si="205"/>
        <v>7.01</v>
      </c>
      <c r="B627" s="833" t="s">
        <v>195</v>
      </c>
      <c r="C627" s="2" t="str">
        <f>+VLOOKUP($B627,[1]BOLETIM_SEL!$A:$H,2,0)</f>
        <v>COMPOSIÇÃO</v>
      </c>
      <c r="D627" s="315" t="str">
        <f>+VLOOKUP($B627,[1]BOLETIM_SEL!$A:$H,4,0)</f>
        <v>Colchão de rachão e/ou pedra-de-mão, com camada final de pedra brita. Fornecimento e execução. Exclusive transporte da pedra</v>
      </c>
      <c r="E627" s="2"/>
      <c r="F627" s="2" t="str">
        <f>+VLOOKUP($B627,[1]BOLETIM_SEL!$A:$H,6,0)</f>
        <v>M3</v>
      </c>
      <c r="G627" s="1407">
        <f>VLOOKUP($B627,[1]BOLETIM_SEL!$A:$H,7,0)</f>
        <v>148.07</v>
      </c>
      <c r="H627" s="1606">
        <f>+Pav_Terraplenagem!M103</f>
        <v>0</v>
      </c>
      <c r="I627" s="876">
        <f t="shared" si="206"/>
        <v>180.64</v>
      </c>
      <c r="J627" s="1607">
        <f t="shared" si="207"/>
        <v>0</v>
      </c>
      <c r="K627" s="2069">
        <f t="shared" ca="1" si="203"/>
        <v>0</v>
      </c>
      <c r="L627" s="1570">
        <f t="shared" si="204"/>
        <v>0</v>
      </c>
      <c r="M627" s="1442"/>
      <c r="N627" s="832"/>
      <c r="O627" s="832"/>
      <c r="Q627" s="832"/>
      <c r="R627" s="832"/>
      <c r="S627" s="832"/>
      <c r="T627" s="832"/>
      <c r="U627" s="832"/>
      <c r="V627" s="832"/>
      <c r="W627" s="832"/>
      <c r="X627" s="832"/>
    </row>
    <row r="628" spans="1:24" s="812" customFormat="1" ht="50.1" hidden="1" customHeight="1" x14ac:dyDescent="0.15">
      <c r="A628" s="2072">
        <f t="shared" ca="1" si="205"/>
        <v>7.01</v>
      </c>
      <c r="B628" s="833">
        <v>101230</v>
      </c>
      <c r="C628" s="2" t="str">
        <f>+VLOOKUP($B628,[1]BOLETIM_SEL!$A:$H,2,0)</f>
        <v>SINAPI</v>
      </c>
      <c r="D628" s="315" t="str">
        <f>+VLOOKUP($B628,[1]BOLETIM_SEL!$A:$H,4,0)</f>
        <v>Escavação vertical a céu aberto, em obras de infraestrutura, incluindo carga, descarga e transporte, em solo de 1a categoria com escavadeira hidráulica (caçamba: 0,80 m3 / 111 HP), frota de 3 caminhões basculantes de 14 m3, DMT até 1 km e velocidade média 14 km/h. AF_05/2020</v>
      </c>
      <c r="E628" s="2"/>
      <c r="F628" s="2" t="str">
        <f>+VLOOKUP($B628,[1]BOLETIM_SEL!$A:$H,6,0)</f>
        <v>M3</v>
      </c>
      <c r="G628" s="1407">
        <f>VLOOKUP($B628,[1]BOLETIM_SEL!$A:$H,7,0)</f>
        <v>10.75</v>
      </c>
      <c r="H628" s="1606">
        <f>IF(M631="COMERCIAL",0,Pav_Terraplenagem!M108)</f>
        <v>0</v>
      </c>
      <c r="I628" s="876">
        <f t="shared" si="206"/>
        <v>13.11</v>
      </c>
      <c r="J628" s="1607">
        <f t="shared" si="207"/>
        <v>0</v>
      </c>
      <c r="K628" s="2069">
        <f t="shared" ca="1" si="203"/>
        <v>0</v>
      </c>
      <c r="L628" s="1570">
        <f t="shared" si="204"/>
        <v>0</v>
      </c>
      <c r="M628" s="1442"/>
      <c r="N628" s="832"/>
      <c r="O628" s="832"/>
      <c r="Q628" s="832"/>
      <c r="R628" s="832"/>
      <c r="S628" s="832"/>
      <c r="T628" s="832"/>
      <c r="U628" s="832"/>
      <c r="V628" s="832"/>
      <c r="W628" s="832"/>
      <c r="X628" s="832"/>
    </row>
    <row r="629" spans="1:24" s="812" customFormat="1" ht="50.1" hidden="1" customHeight="1" x14ac:dyDescent="0.15">
      <c r="A629" s="2072">
        <f t="shared" ca="1" si="205"/>
        <v>7.01</v>
      </c>
      <c r="B629" s="833">
        <v>101232</v>
      </c>
      <c r="C629" s="2" t="str">
        <f>+VLOOKUP($B629,[1]BOLETIM_SEL!$A:$H,2,0)</f>
        <v>SINAPI</v>
      </c>
      <c r="D629" s="315" t="str">
        <f>+VLOOKUP($B629,[1]BOLETIM_SEL!$A:$H,4,0)</f>
        <v>Escavação vertical a céu aberto, em obras de infraestrutura, incluindo carga, descarga e transporte, em solo de 1a categoria com escavadeira hidráulica (caçamba: 1,20 m3 / 155 HP), frota de 3 caminhões basculantes de 14 m3, DMT até 1 km e velocidade média 14 km/h. AF_05/2020</v>
      </c>
      <c r="E629" s="2"/>
      <c r="F629" s="2" t="str">
        <f>+VLOOKUP($B629,[1]BOLETIM_SEL!$A:$H,6,0)</f>
        <v>M3</v>
      </c>
      <c r="G629" s="1407">
        <f>VLOOKUP($B629,[1]BOLETIM_SEL!$A:$H,7,0)</f>
        <v>9.18</v>
      </c>
      <c r="H629" s="1606">
        <f>+Pav_Terraplenagem!M104</f>
        <v>0</v>
      </c>
      <c r="I629" s="876">
        <f t="shared" si="206"/>
        <v>11.19</v>
      </c>
      <c r="J629" s="1607">
        <f t="shared" si="207"/>
        <v>0</v>
      </c>
      <c r="K629" s="2069">
        <f t="shared" ca="1" si="203"/>
        <v>0</v>
      </c>
      <c r="L629" s="1570">
        <f t="shared" si="204"/>
        <v>0</v>
      </c>
      <c r="M629" s="1442"/>
      <c r="N629" s="832"/>
      <c r="O629" s="832"/>
      <c r="Q629" s="832"/>
      <c r="R629" s="832"/>
      <c r="S629" s="1809"/>
      <c r="T629" s="832"/>
      <c r="U629" s="832"/>
      <c r="V629" s="832"/>
      <c r="W629" s="832"/>
      <c r="X629" s="832"/>
    </row>
    <row r="630" spans="1:24" s="812" customFormat="1" ht="39.950000000000003" customHeight="1" x14ac:dyDescent="0.15">
      <c r="A630" s="2072">
        <f t="shared" ca="1" si="205"/>
        <v>7.02</v>
      </c>
      <c r="B630" s="2">
        <v>96385</v>
      </c>
      <c r="C630" s="2" t="str">
        <f>+VLOOKUP($B630,[1]BOLETIM_SEL!$A:$H,2,0)</f>
        <v>SINAPI</v>
      </c>
      <c r="D630" s="315" t="str">
        <f>+VLOOKUP($B630,[1]BOLETIM_SEL!$A:$H,4,0)</f>
        <v>Execução e compactação de aterro com solo predominantemente argiloso - exclusive solo, escavação, carga e transporte. AF_11/2019</v>
      </c>
      <c r="E630" s="2"/>
      <c r="F630" s="2" t="str">
        <f>+VLOOKUP($B630,[1]BOLETIM_SEL!$A:$H,6,0)</f>
        <v>M3</v>
      </c>
      <c r="G630" s="1407">
        <f>VLOOKUP($B630,[1]BOLETIM_SEL!$A:$H,7,0)</f>
        <v>11.26</v>
      </c>
      <c r="H630" s="1606">
        <f>+Pav_Terraplenagem!M107</f>
        <v>6.95</v>
      </c>
      <c r="I630" s="876">
        <f t="shared" si="206"/>
        <v>13.73</v>
      </c>
      <c r="J630" s="1607">
        <f t="shared" si="207"/>
        <v>95.42</v>
      </c>
      <c r="K630" s="2069">
        <f t="shared" ca="1" si="203"/>
        <v>2.5936003935009857E-5</v>
      </c>
      <c r="L630" s="1570">
        <f t="shared" si="204"/>
        <v>5.1221538683856606E-4</v>
      </c>
      <c r="M630" s="1585" t="s">
        <v>2087</v>
      </c>
      <c r="N630" s="832"/>
      <c r="O630" s="832"/>
      <c r="Q630" s="832"/>
      <c r="R630" s="832"/>
      <c r="S630" s="832"/>
      <c r="T630" s="832"/>
      <c r="U630" s="832"/>
      <c r="V630" s="832"/>
      <c r="W630" s="832"/>
      <c r="X630" s="832"/>
    </row>
    <row r="631" spans="1:24" s="812" customFormat="1" ht="39.950000000000003" hidden="1" customHeight="1" x14ac:dyDescent="0.15">
      <c r="A631" s="2072">
        <f t="shared" ca="1" si="205"/>
        <v>7.02</v>
      </c>
      <c r="B631" s="833">
        <v>6079</v>
      </c>
      <c r="C631" s="2" t="str">
        <f>+VLOOKUP($B631,[1]BOLETIM_SEL!$A:$H,2,0)</f>
        <v>COTAÇÃO - SINAPI</v>
      </c>
      <c r="D631" s="315" t="str">
        <f>+VLOOKUP($B631,[1]BOLETIM_SEL!$A:$H,4,0)</f>
        <v>Argila, argila vermelha ou argila arenosa (retirada na jazida, sem transporte)</v>
      </c>
      <c r="E631" s="2221" t="s">
        <v>2632</v>
      </c>
      <c r="F631" s="2" t="str">
        <f>+VLOOKUP($B631,[1]BOLETIM_SEL!$A:$H,6,0)</f>
        <v xml:space="preserve">M3    </v>
      </c>
      <c r="G631" s="1407">
        <f>VLOOKUP($B631,[1]BOLETIM_SEL!$A:$H,7,0)</f>
        <v>36.51</v>
      </c>
      <c r="H631" s="1606">
        <f>IF(M631="COMERCIAL",Pav_Terraplenagem!M108,0)</f>
        <v>0</v>
      </c>
      <c r="I631" s="2222">
        <f t="shared" ref="I631" si="208">TRUNC(G631*(1+$J$6),2)</f>
        <v>42.08</v>
      </c>
      <c r="J631" s="1607">
        <f t="shared" ref="J631:J674" si="209">TRUNC(H631*I631,2)</f>
        <v>0</v>
      </c>
      <c r="K631" s="2069">
        <f t="shared" ca="1" si="203"/>
        <v>0</v>
      </c>
      <c r="L631" s="1570">
        <f t="shared" si="204"/>
        <v>0</v>
      </c>
      <c r="M631" s="1585" t="s">
        <v>410</v>
      </c>
      <c r="N631" s="832"/>
      <c r="O631" s="832"/>
      <c r="Q631" s="832"/>
      <c r="R631" s="832"/>
      <c r="S631" s="832"/>
      <c r="T631" s="832"/>
      <c r="U631" s="832"/>
      <c r="V631" s="832"/>
      <c r="W631" s="832"/>
      <c r="X631" s="832"/>
    </row>
    <row r="632" spans="1:24" s="812" customFormat="1" ht="39.950000000000003" customHeight="1" x14ac:dyDescent="0.15">
      <c r="A632" s="2072">
        <f t="shared" ca="1" si="205"/>
        <v>7.0299999999999994</v>
      </c>
      <c r="B632" s="833">
        <f>IF(M632="escavadeira",100979,100974)</f>
        <v>100979</v>
      </c>
      <c r="C632" s="2" t="str">
        <f>VLOOKUP($B632,[1]BOLETIM_SEL!$A:$H,2,0)</f>
        <v>SINAPI</v>
      </c>
      <c r="D632" s="315" t="str">
        <f>VLOOKUP($B632,[1]BOLETIM_SEL!$A:$H,4,0)</f>
        <v>Carga, manobra e descarga de solos e materiais granulares em caminhão basculante 14 m3 - carga com escavadeira hidráulica (capacidade da caçamba: 1,20 m3 / potência: 155 HP) e descarga livre (unidade: m3). AF_07/2020</v>
      </c>
      <c r="E632" s="2"/>
      <c r="F632" s="2" t="str">
        <f>VLOOKUP($B632,[1]BOLETIM_SEL!$A:$H,6,0)</f>
        <v>M3</v>
      </c>
      <c r="G632" s="1407">
        <f>VLOOKUP($B632,[1]BOLETIM_SEL!$A:$H,7,0)</f>
        <v>6.46</v>
      </c>
      <c r="H632" s="1606">
        <f>Pav_Terraplenagem!M111+IF(Pav_Terraplenagem!M109&lt;=50,Pav_Terraplenagem!M109,0)</f>
        <v>8.69</v>
      </c>
      <c r="I632" s="876">
        <f>+TRUNC(G632*(1+$J$5),2)</f>
        <v>7.88</v>
      </c>
      <c r="J632" s="1607">
        <f t="shared" si="209"/>
        <v>68.47</v>
      </c>
      <c r="K632" s="2069">
        <f t="shared" ca="1" si="203"/>
        <v>1.8610754448020594E-5</v>
      </c>
      <c r="L632" s="1570">
        <f t="shared" si="204"/>
        <v>3.6754755330996243E-4</v>
      </c>
      <c r="M632" s="1585" t="s">
        <v>2094</v>
      </c>
      <c r="N632" s="832"/>
      <c r="O632" s="832"/>
      <c r="Q632" s="832"/>
      <c r="R632" s="832"/>
      <c r="S632" s="832"/>
      <c r="T632" s="832"/>
      <c r="U632" s="832"/>
      <c r="V632" s="832"/>
      <c r="W632" s="832"/>
      <c r="X632" s="832"/>
    </row>
    <row r="633" spans="1:24" s="812" customFormat="1" ht="39.950000000000003" hidden="1" customHeight="1" x14ac:dyDescent="0.15">
      <c r="A633" s="2072">
        <f t="shared" ca="1" si="205"/>
        <v>7.0299999999999994</v>
      </c>
      <c r="B633" s="833">
        <f>IF(M633="escavadeira",100979,100975)</f>
        <v>100979</v>
      </c>
      <c r="C633" s="2" t="str">
        <f>VLOOKUP($B633,[1]BOLETIM_SEL!$A:$H,2,0)</f>
        <v>SINAPI</v>
      </c>
      <c r="D633" s="315" t="str">
        <f>VLOOKUP($B633,[1]BOLETIM_SEL!$A:$H,4,0)</f>
        <v>Carga, manobra e descarga de solos e materiais granulares em caminhão basculante 14 m3 - carga com escavadeira hidráulica (capacidade da caçamba: 1,20 m3 / potência: 155 HP) e descarga livre (unidade: m3). AF_07/2020</v>
      </c>
      <c r="E633" s="2"/>
      <c r="F633" s="2" t="str">
        <f>VLOOKUP($B633,[1]BOLETIM_SEL!$A:$H,6,0)</f>
        <v>M3</v>
      </c>
      <c r="G633" s="1407">
        <f>VLOOKUP($B633,[1]BOLETIM_SEL!$A:$H,7,0)</f>
        <v>6.46</v>
      </c>
      <c r="H633" s="1608">
        <f>+IF(Pav_Terraplenagem!M109&gt;50,Pav_Terraplenagem!M109,0)</f>
        <v>0</v>
      </c>
      <c r="I633" s="2180">
        <f>+TRUNC(G633*(1+$J$5),2)</f>
        <v>7.88</v>
      </c>
      <c r="J633" s="2181">
        <f t="shared" si="209"/>
        <v>0</v>
      </c>
      <c r="K633" s="2182">
        <f t="shared" ca="1" si="203"/>
        <v>0</v>
      </c>
      <c r="L633" s="1570">
        <f t="shared" si="204"/>
        <v>0</v>
      </c>
      <c r="M633" s="1585" t="s">
        <v>2094</v>
      </c>
      <c r="N633" s="832"/>
      <c r="O633" s="832"/>
      <c r="Q633" s="832"/>
      <c r="R633" s="832"/>
      <c r="S633" s="832"/>
      <c r="T633" s="832"/>
      <c r="U633" s="832"/>
      <c r="V633" s="832"/>
      <c r="W633" s="832"/>
      <c r="X633" s="832"/>
    </row>
    <row r="634" spans="1:24" s="812" customFormat="1" ht="24.95" customHeight="1" x14ac:dyDescent="0.15">
      <c r="A634" s="2072"/>
      <c r="B634" s="833"/>
      <c r="C634" s="2"/>
      <c r="D634" s="1449" t="s">
        <v>1792</v>
      </c>
      <c r="E634" s="2"/>
      <c r="F634" s="2"/>
      <c r="G634" s="1407"/>
      <c r="H634" s="2"/>
      <c r="I634" s="2"/>
      <c r="J634" s="838" t="str">
        <f>IF(J635=0,"-","")</f>
        <v/>
      </c>
      <c r="K634" s="2"/>
      <c r="L634" s="1570"/>
      <c r="M634" s="1442" t="s">
        <v>1669</v>
      </c>
      <c r="N634" s="832"/>
      <c r="O634" s="832"/>
      <c r="Q634" s="832"/>
      <c r="R634" s="832"/>
      <c r="S634" s="832"/>
      <c r="T634" s="832"/>
      <c r="U634" s="832"/>
      <c r="V634" s="832"/>
      <c r="W634" s="832"/>
      <c r="X634" s="832"/>
    </row>
    <row r="635" spans="1:24" s="812" customFormat="1" ht="30" customHeight="1" x14ac:dyDescent="0.15">
      <c r="A635" s="2072">
        <f ca="1">+IF(H635&gt;0,A633+0.01,A633)</f>
        <v>7.0399999999999991</v>
      </c>
      <c r="B635" s="833">
        <v>100939</v>
      </c>
      <c r="C635" s="2" t="str">
        <f>VLOOKUP($B635,[1]BOLETIM_SEL!$A:$H,2,0)</f>
        <v>SINAPI</v>
      </c>
      <c r="D635" s="315" t="str">
        <f>VLOOKUP($B635,[1]BOLETIM_SEL!$A:$H,4,0)</f>
        <v>Transporte com caminhão basculante de 14 m3, em via interna (dentro do canteiro - unidade:m3xkm). AF_07/2020</v>
      </c>
      <c r="E635" s="2">
        <f>+Dados_DMT!$B$15</f>
        <v>1</v>
      </c>
      <c r="F635" s="2" t="str">
        <f>VLOOKUP($B635,[1]BOLETIM_SEL!$A:$H,6,0)</f>
        <v>M3XKM</v>
      </c>
      <c r="G635" s="1407">
        <f>VLOOKUP($B635,[1]BOLETIM_SEL!$A:$H,7,0)</f>
        <v>6.29</v>
      </c>
      <c r="H635" s="1606">
        <f>ROUND(Pav_Terraplenagem!M116*E635,2)</f>
        <v>17.38</v>
      </c>
      <c r="I635" s="876">
        <f>+TRUNC(G635*(1+$J$5),2)</f>
        <v>7.67</v>
      </c>
      <c r="J635" s="1607">
        <f t="shared" si="209"/>
        <v>133.30000000000001</v>
      </c>
      <c r="K635" s="2069">
        <f ca="1">J635/J$930</f>
        <v>3.6232124549746535E-5</v>
      </c>
      <c r="L635" s="1570">
        <f>+J635/$J$624</f>
        <v>7.1555555507839925E-4</v>
      </c>
      <c r="M635" s="1442"/>
      <c r="N635" s="832"/>
      <c r="O635" s="832"/>
      <c r="Q635" s="832"/>
      <c r="R635" s="832"/>
      <c r="S635" s="832"/>
      <c r="T635" s="832"/>
      <c r="U635" s="832"/>
      <c r="V635" s="832"/>
      <c r="W635" s="832"/>
      <c r="X635" s="832"/>
    </row>
    <row r="636" spans="1:24" s="812" customFormat="1" ht="24.95" hidden="1" customHeight="1" x14ac:dyDescent="0.15">
      <c r="A636" s="2072"/>
      <c r="B636" s="833"/>
      <c r="C636" s="2"/>
      <c r="D636" s="1449" t="s">
        <v>2178</v>
      </c>
      <c r="E636" s="2"/>
      <c r="F636" s="2"/>
      <c r="G636" s="1407"/>
      <c r="H636" s="2"/>
      <c r="I636" s="2"/>
      <c r="J636" s="838" t="str">
        <f>IF(J637=0,"-","")</f>
        <v>-</v>
      </c>
      <c r="K636" s="2"/>
      <c r="L636" s="1570"/>
      <c r="M636" s="1442"/>
      <c r="N636" s="832"/>
      <c r="O636" s="832"/>
      <c r="Q636" s="832"/>
      <c r="R636" s="832"/>
      <c r="S636" s="832"/>
      <c r="T636" s="832"/>
      <c r="U636" s="832"/>
      <c r="V636" s="832"/>
      <c r="W636" s="832"/>
      <c r="X636" s="832"/>
    </row>
    <row r="637" spans="1:24" s="812" customFormat="1" ht="39.950000000000003" hidden="1" customHeight="1" x14ac:dyDescent="0.15">
      <c r="A637" s="2072">
        <f ca="1">+IF(H637&gt;0,A635+0.01,A635)</f>
        <v>7.0399999999999991</v>
      </c>
      <c r="B637" s="833">
        <f>IF(AND(M637&lt;=50,E637&lt;=30),95875,IF(AND(M637&lt;=50,E637&gt;30),93590,IF(AND(M637&gt;50,E637&lt;=30),95876,93593)))</f>
        <v>95875</v>
      </c>
      <c r="C637" s="2" t="str">
        <f>VLOOKUP($B637,[1]BOLETIM_SEL!$A:$H,2,0)</f>
        <v>SINAPI</v>
      </c>
      <c r="D637" s="315" t="str">
        <f>VLOOKUP($B637,[1]BOLETIM_SEL!$A:$H,4,0)</f>
        <v>Transporte com caminhão basculante de 10 m3, em via urbana pavimentada, DMT até 30,00 km (unidade: m3xkm). AF_07/2020</v>
      </c>
      <c r="E637" s="2">
        <f>+Dados_DMT!$B$34</f>
        <v>24</v>
      </c>
      <c r="F637" s="2" t="str">
        <f>VLOOKUP($B637,[1]BOLETIM_SEL!$A:$H,6,0)</f>
        <v>M3XKM</v>
      </c>
      <c r="G637" s="1407">
        <f>VLOOKUP($B637,[1]BOLETIM_SEL!$A:$H,7,0)</f>
        <v>2.36</v>
      </c>
      <c r="H637" s="1606">
        <f>ROUND(Pav_Terraplenagem!M112*E637,2)</f>
        <v>0</v>
      </c>
      <c r="I637" s="876">
        <f>+TRUNC(G637*(1+$J$5),2)</f>
        <v>2.87</v>
      </c>
      <c r="J637" s="1607">
        <f t="shared" si="209"/>
        <v>0</v>
      </c>
      <c r="K637" s="2069">
        <f ca="1">J637/J$930</f>
        <v>0</v>
      </c>
      <c r="L637" s="1570">
        <f>+J637/$J$624</f>
        <v>0</v>
      </c>
      <c r="M637" s="1450">
        <f>IF(H637=0,0,H637/E637)</f>
        <v>0</v>
      </c>
      <c r="N637" s="832"/>
      <c r="O637" s="832"/>
      <c r="Q637" s="832"/>
      <c r="R637" s="832"/>
      <c r="S637" s="832"/>
      <c r="T637" s="832"/>
      <c r="U637" s="832"/>
      <c r="V637" s="832"/>
      <c r="W637" s="832"/>
      <c r="X637" s="832"/>
    </row>
    <row r="638" spans="1:24" s="812" customFormat="1" ht="24.95" hidden="1" customHeight="1" x14ac:dyDescent="0.15">
      <c r="A638" s="2072"/>
      <c r="B638" s="833"/>
      <c r="C638" s="2"/>
      <c r="D638" s="1449" t="s">
        <v>1801</v>
      </c>
      <c r="E638" s="2"/>
      <c r="F638" s="2"/>
      <c r="G638" s="1407"/>
      <c r="H638" s="2"/>
      <c r="I638" s="2"/>
      <c r="J638" s="838" t="str">
        <f>IF(J639=0,"-","")</f>
        <v>-</v>
      </c>
      <c r="K638" s="2"/>
      <c r="L638" s="1570"/>
      <c r="M638" s="1442" t="s">
        <v>1944</v>
      </c>
      <c r="N638" s="832"/>
      <c r="O638" s="832"/>
      <c r="Q638" s="832"/>
      <c r="R638" s="832"/>
      <c r="S638" s="832"/>
      <c r="T638" s="832"/>
      <c r="U638" s="832"/>
      <c r="V638" s="832"/>
      <c r="W638" s="832"/>
      <c r="X638" s="832"/>
    </row>
    <row r="639" spans="1:24" s="812" customFormat="1" ht="39.950000000000003" hidden="1" customHeight="1" x14ac:dyDescent="0.15">
      <c r="A639" s="2072">
        <f ca="1">+IF(H639&gt;0,A637+0.01,A637)</f>
        <v>7.0399999999999991</v>
      </c>
      <c r="B639" s="833">
        <f>IF(AND(M639&lt;=50,E639&lt;=30),95875,IF(AND(M639&lt;=50,E639&gt;30),93590,IF(AND(M639&gt;50,E639&lt;=30),95876,93593)))</f>
        <v>95875</v>
      </c>
      <c r="C639" s="2" t="str">
        <f>VLOOKUP($B639,[1]BOLETIM_SEL!$A:$H,2,0)</f>
        <v>SINAPI</v>
      </c>
      <c r="D639" s="315" t="str">
        <f>VLOOKUP($B639,[1]BOLETIM_SEL!$A:$H,4,0)</f>
        <v>Transporte com caminhão basculante de 10 m3, em via urbana pavimentada, DMT até 30,00 km (unidade: m3xkm). AF_07/2020</v>
      </c>
      <c r="E639" s="2">
        <f>Dados_DMT!$B$17</f>
        <v>8</v>
      </c>
      <c r="F639" s="2" t="str">
        <f>VLOOKUP($B639,[1]BOLETIM_SEL!$A:$H,6,0)</f>
        <v>M3XKM</v>
      </c>
      <c r="G639" s="1407">
        <f>VLOOKUP($B639,[1]BOLETIM_SEL!$A:$H,7,0)</f>
        <v>2.36</v>
      </c>
      <c r="H639" s="1606">
        <f>ROUND(Pav_Terraplenagem!M114*E639,2)</f>
        <v>0</v>
      </c>
      <c r="I639" s="876">
        <f>+TRUNC(G639*(1+$J$5),2)</f>
        <v>2.87</v>
      </c>
      <c r="J639" s="1607">
        <f t="shared" si="209"/>
        <v>0</v>
      </c>
      <c r="K639" s="2069">
        <f ca="1">J639/J$930</f>
        <v>0</v>
      </c>
      <c r="L639" s="1570">
        <f>+J639/$J$624</f>
        <v>0</v>
      </c>
      <c r="M639" s="1450">
        <f>IF(H639=0,0,H639/E639)</f>
        <v>0</v>
      </c>
      <c r="N639" s="832"/>
      <c r="O639" s="832"/>
      <c r="Q639" s="832"/>
      <c r="R639" s="832"/>
      <c r="S639" s="832"/>
      <c r="T639" s="832"/>
      <c r="U639" s="832"/>
      <c r="V639" s="832"/>
      <c r="W639" s="832"/>
      <c r="X639" s="832"/>
    </row>
    <row r="640" spans="1:24" s="812" customFormat="1" ht="24.95" customHeight="1" x14ac:dyDescent="0.15">
      <c r="A640" s="2072"/>
      <c r="B640" s="833"/>
      <c r="C640" s="2"/>
      <c r="D640" s="1449" t="s">
        <v>1798</v>
      </c>
      <c r="E640" s="2"/>
      <c r="F640" s="2"/>
      <c r="G640" s="1407"/>
      <c r="H640" s="2"/>
      <c r="I640" s="2"/>
      <c r="J640" s="838" t="str">
        <f>IF(J641=0,"-","")</f>
        <v/>
      </c>
      <c r="K640" s="2"/>
      <c r="L640" s="1570"/>
      <c r="M640" s="1442" t="s">
        <v>1942</v>
      </c>
      <c r="N640" s="832"/>
      <c r="O640" s="832"/>
      <c r="Q640" s="832"/>
      <c r="R640" s="832"/>
      <c r="S640" s="832"/>
      <c r="T640" s="832"/>
      <c r="U640" s="832"/>
      <c r="V640" s="832"/>
      <c r="W640" s="832"/>
      <c r="X640" s="832"/>
    </row>
    <row r="641" spans="1:25" s="812" customFormat="1" ht="39.950000000000003" customHeight="1" x14ac:dyDescent="0.15">
      <c r="A641" s="2072">
        <f ca="1">+IF(H641&gt;0,A639+0.01,A639)</f>
        <v>7.0499999999999989</v>
      </c>
      <c r="B641" s="833">
        <f>IF(AND(M641&lt;=50,E641&lt;=30),95875,IF(AND(M641&lt;=50,E641&gt;30),93590,IF(AND(M641&gt;50,E641&lt;=30),95876,93593)))</f>
        <v>95876</v>
      </c>
      <c r="C641" s="2" t="str">
        <f>VLOOKUP($B641,[1]BOLETIM_SEL!$A:$H,2,0)</f>
        <v>SINAPI</v>
      </c>
      <c r="D641" s="315" t="str">
        <f>VLOOKUP($B641,[1]BOLETIM_SEL!$A:$H,4,0)</f>
        <v>Transporte com caminhão basculante de 14 m3, em via urbana pavimentada, DMT até 30,00 km (unidade: m3xkm). AF_07/2020</v>
      </c>
      <c r="E641" s="2">
        <f>+Dados_DMT!$B$17</f>
        <v>8</v>
      </c>
      <c r="F641" s="2" t="str">
        <f>VLOOKUP($B641,[1]BOLETIM_SEL!$A:$H,6,0)</f>
        <v>M3XKM</v>
      </c>
      <c r="G641" s="1407">
        <f>VLOOKUP($B641,[1]BOLETIM_SEL!$A:$H,7,0)</f>
        <v>2.0699999999999998</v>
      </c>
      <c r="H641" s="1606">
        <f>ROUND(Pav_Terraplenagem!M115*E641,2)</f>
        <v>57353.919999999998</v>
      </c>
      <c r="I641" s="876">
        <f>+TRUNC(G641*(1+$J$5),2)</f>
        <v>2.52</v>
      </c>
      <c r="J641" s="1607">
        <f t="shared" si="209"/>
        <v>144531.87</v>
      </c>
      <c r="K641" s="2069">
        <f ca="1">J641/J$930</f>
        <v>3.9285046626014807E-2</v>
      </c>
      <c r="L641" s="1570">
        <f>+J641/$J$624</f>
        <v>0.77584833056540903</v>
      </c>
      <c r="M641" s="1450">
        <f>IF(H641=0,0,H641/E641)</f>
        <v>7169.24</v>
      </c>
      <c r="N641" s="832"/>
      <c r="O641" s="832"/>
      <c r="Q641" s="832"/>
      <c r="R641" s="832"/>
      <c r="S641" s="832"/>
      <c r="T641" s="832"/>
      <c r="U641" s="832"/>
      <c r="V641" s="832"/>
      <c r="W641" s="832"/>
      <c r="X641" s="832"/>
    </row>
    <row r="642" spans="1:25" s="812" customFormat="1" ht="24.95" hidden="1" customHeight="1" x14ac:dyDescent="0.15">
      <c r="A642" s="2072"/>
      <c r="B642" s="833"/>
      <c r="C642" s="2"/>
      <c r="D642" s="1449" t="s">
        <v>1811</v>
      </c>
      <c r="E642" s="2"/>
      <c r="F642" s="2"/>
      <c r="G642" s="1407"/>
      <c r="H642" s="2"/>
      <c r="I642" s="2"/>
      <c r="J642" s="838" t="str">
        <f>IF(J643=0,"-","")</f>
        <v>-</v>
      </c>
      <c r="K642" s="2"/>
      <c r="L642" s="1570"/>
      <c r="M642" s="1442"/>
      <c r="N642" s="832"/>
      <c r="O642" s="832"/>
      <c r="Q642" s="832"/>
      <c r="R642" s="832"/>
      <c r="S642" s="832"/>
      <c r="T642" s="832"/>
      <c r="U642" s="832"/>
      <c r="V642" s="832"/>
      <c r="W642" s="832"/>
      <c r="X642" s="832"/>
    </row>
    <row r="643" spans="1:25" s="812" customFormat="1" ht="39.950000000000003" hidden="1" customHeight="1" x14ac:dyDescent="0.15">
      <c r="A643" s="2072">
        <f ca="1">+IF(H643&gt;0,A641+0.01,A641)</f>
        <v>7.0499999999999989</v>
      </c>
      <c r="B643" s="833">
        <f>IF(AND(M643&lt;=50,E643&lt;=30),95875,IF(AND(M643&lt;=50,E643&gt;30),93590,IF(AND(M643&gt;50,E643&lt;=30),95876,93593)))</f>
        <v>95875</v>
      </c>
      <c r="C643" s="2" t="str">
        <f>VLOOKUP($B643,[1]BOLETIM_SEL!$A:$H,2,0)</f>
        <v>SINAPI</v>
      </c>
      <c r="D643" s="315" t="str">
        <f>VLOOKUP($B643,[1]BOLETIM_SEL!$A:$H,4,0)</f>
        <v>Transporte com caminhão basculante de 10 m3, em via urbana pavimentada, DMT até 30,00 km (unidade: m3xkm). AF_07/2020</v>
      </c>
      <c r="E643" s="2">
        <f>+Dados_DMT!$B$14</f>
        <v>7</v>
      </c>
      <c r="F643" s="2" t="str">
        <f>VLOOKUP($B643,[1]BOLETIM_SEL!$A:$H,6,0)</f>
        <v>M3XKM</v>
      </c>
      <c r="G643" s="1407">
        <f>VLOOKUP($B643,[1]BOLETIM_SEL!$A:$H,7,0)</f>
        <v>2.36</v>
      </c>
      <c r="H643" s="1606">
        <f>ROUND(Pav_Terraplenagem!M117*E643,2)</f>
        <v>0</v>
      </c>
      <c r="I643" s="876">
        <f>+TRUNC(G643*(1+$J$5),2)</f>
        <v>2.87</v>
      </c>
      <c r="J643" s="1607">
        <f t="shared" si="209"/>
        <v>0</v>
      </c>
      <c r="K643" s="2069">
        <f ca="1">J643/J$930</f>
        <v>0</v>
      </c>
      <c r="L643" s="1570">
        <f>+J643/$J$624</f>
        <v>0</v>
      </c>
      <c r="M643" s="1450">
        <f>IF(H643=0,0,H643/E643)</f>
        <v>0</v>
      </c>
      <c r="N643" s="832"/>
      <c r="O643" s="832"/>
      <c r="Q643" s="832"/>
      <c r="R643" s="832"/>
      <c r="S643" s="832"/>
      <c r="T643" s="832"/>
      <c r="U643" s="832"/>
      <c r="V643" s="832"/>
      <c r="W643" s="832"/>
      <c r="X643" s="832"/>
    </row>
    <row r="644" spans="1:25" s="812" customFormat="1" ht="24.95" customHeight="1" x14ac:dyDescent="0.15">
      <c r="A644" s="2072"/>
      <c r="B644" s="833"/>
      <c r="C644" s="833"/>
      <c r="D644" s="834"/>
      <c r="E644" s="2"/>
      <c r="F644" s="833"/>
      <c r="G644" s="1407"/>
      <c r="H644" s="1"/>
      <c r="I644" s="876"/>
      <c r="J644" s="838" t="str">
        <f>IF(J624=0,0,"")</f>
        <v/>
      </c>
      <c r="K644" s="2069"/>
      <c r="L644" s="1570"/>
      <c r="M644" s="1443"/>
      <c r="N644" s="832"/>
      <c r="O644" s="832"/>
      <c r="Q644" s="832"/>
      <c r="R644" s="832"/>
      <c r="S644" s="832"/>
      <c r="T644" s="832"/>
      <c r="U644" s="832"/>
      <c r="V644" s="832"/>
      <c r="W644" s="832"/>
      <c r="X644" s="832"/>
    </row>
    <row r="645" spans="1:25" s="832" customFormat="1" ht="24.95" customHeight="1" x14ac:dyDescent="0.15">
      <c r="A645" s="2073">
        <f ca="1">IF(J645&gt;0,INT(A643)+1,IF(J645=0,INT(A643),0))</f>
        <v>8</v>
      </c>
      <c r="B645" s="1626"/>
      <c r="C645" s="1626"/>
      <c r="D645" s="1627" t="s">
        <v>442</v>
      </c>
      <c r="E645" s="1821"/>
      <c r="F645" s="1628"/>
      <c r="G645" s="1813" t="s">
        <v>651</v>
      </c>
      <c r="H645" s="1630"/>
      <c r="I645" s="1633" t="str">
        <f ca="1">CONCATENATE("SUB-TOTAL ",A645)</f>
        <v>SUB-TOTAL 8</v>
      </c>
      <c r="J645" s="1632">
        <f>SUM(J646:J717)</f>
        <v>1827993.5500000003</v>
      </c>
      <c r="K645" s="2070">
        <f t="shared" ref="K645:K675" ca="1" si="210">J645/J$930</f>
        <v>0.49686489107076764</v>
      </c>
      <c r="L645" s="1605">
        <f>J645/$J$645</f>
        <v>1</v>
      </c>
      <c r="N645" s="1648" t="s">
        <v>1951</v>
      </c>
      <c r="O645" s="1648" t="s">
        <v>1977</v>
      </c>
      <c r="U645" s="1809">
        <f>J646+J647+J649+J655+J656+J659+J668+J671+J673+J677+J679+J685+J705</f>
        <v>1741054.3</v>
      </c>
    </row>
    <row r="646" spans="1:25" s="812" customFormat="1" ht="30" customHeight="1" x14ac:dyDescent="0.15">
      <c r="A646" s="2072">
        <f t="shared" ref="A646:A674" ca="1" si="211">+IF(H646&gt;0,A645+0.01,A645)</f>
        <v>8.01</v>
      </c>
      <c r="B646" s="833">
        <f>IF(M646="arenoso",100577,100576)</f>
        <v>100576</v>
      </c>
      <c r="C646" s="2" t="str">
        <f>VLOOKUP($B646,[1]BOLETIM_SEL!$A:$H,2,0)</f>
        <v>SINAPI</v>
      </c>
      <c r="D646" s="315" t="str">
        <f>VLOOKUP($B646,[1]BOLETIM_SEL!$A:$H,4,0)</f>
        <v>Regularização e compactação de subleito de solo predominantemente argiloso. AF_11/2019</v>
      </c>
      <c r="E646" s="1824"/>
      <c r="F646" s="2" t="str">
        <f>VLOOKUP($B646,[1]BOLETIM_SEL!$A:$H,6,0)</f>
        <v>M2</v>
      </c>
      <c r="G646" s="1407">
        <f>VLOOKUP($B646,[1]BOLETIM_SEL!$A:$H,7,0)</f>
        <v>2.4500000000000002</v>
      </c>
      <c r="H646" s="1606">
        <f>+Pav_Estrutura!N11</f>
        <v>14446.49</v>
      </c>
      <c r="I646" s="876">
        <f t="shared" ref="I646:I667" si="212">+TRUNC(G646*(1+$J$5),2)</f>
        <v>2.98</v>
      </c>
      <c r="J646" s="1607">
        <f t="shared" si="209"/>
        <v>43050.54</v>
      </c>
      <c r="K646" s="2069">
        <f t="shared" ca="1" si="210"/>
        <v>1.1701519333937323E-2</v>
      </c>
      <c r="L646" s="1570">
        <f>J646/$J$645</f>
        <v>2.3550706729791249E-2</v>
      </c>
      <c r="M646" s="1585" t="s">
        <v>2087</v>
      </c>
      <c r="N646" s="1647">
        <f>VLOOKUP($B646,[1]BOLETIM_SEL!$A:$H,3,0)</f>
        <v>125</v>
      </c>
      <c r="O646" s="1645">
        <f t="shared" ref="O646:O654" si="213">+H646/N646</f>
        <v>115.57191999999999</v>
      </c>
      <c r="Q646" s="832"/>
      <c r="R646" s="832"/>
      <c r="S646" s="815"/>
      <c r="T646" s="815"/>
      <c r="U646" s="815"/>
      <c r="V646" s="815"/>
      <c r="W646" s="815"/>
      <c r="X646" s="815"/>
      <c r="Y646" s="2335"/>
    </row>
    <row r="647" spans="1:25" s="812" customFormat="1" ht="39.950000000000003" hidden="1" customHeight="1" x14ac:dyDescent="0.15">
      <c r="A647" s="2072">
        <f t="shared" ca="1" si="211"/>
        <v>8.01</v>
      </c>
      <c r="B647" s="864">
        <v>101767</v>
      </c>
      <c r="C647" s="2" t="str">
        <f>VLOOKUP($B647,[1]BOLETIM_SEL!$A:$H,2,0)</f>
        <v>SINAPI</v>
      </c>
      <c r="D647" s="315" t="str">
        <f>VLOOKUP($B647,[1]BOLETIM_SEL!$A:$H,4,0)</f>
        <v>Execução e compactação de base e ou sub base para pavimentação de solos estabilizados granulometricamente com mistura de solos em pista - exclusive solo, escavação, carga e transporte. AF_11/2019</v>
      </c>
      <c r="E647" s="2"/>
      <c r="F647" s="2" t="str">
        <f>VLOOKUP($B647,[1]BOLETIM_SEL!$A:$H,6,0)</f>
        <v>M3</v>
      </c>
      <c r="G647" s="1407">
        <f>VLOOKUP($B647,[1]BOLETIM_SEL!$A:$H,7,0)</f>
        <v>27.35</v>
      </c>
      <c r="H647" s="1606"/>
      <c r="I647" s="876">
        <f t="shared" si="212"/>
        <v>33.36</v>
      </c>
      <c r="J647" s="1607">
        <f t="shared" ref="J647:J667" si="214">TRUNC(H647*I647,2)</f>
        <v>0</v>
      </c>
      <c r="K647" s="2069">
        <f t="shared" ca="1" si="210"/>
        <v>0</v>
      </c>
      <c r="L647" s="1570">
        <f t="shared" ref="L647:L667" si="215">J647/$J$645</f>
        <v>0</v>
      </c>
      <c r="M647" s="1442"/>
      <c r="N647" s="1647">
        <v>20</v>
      </c>
      <c r="O647" s="1645">
        <f t="shared" si="213"/>
        <v>0</v>
      </c>
      <c r="Q647" s="832"/>
      <c r="R647" s="832"/>
      <c r="S647" s="832"/>
      <c r="T647" s="832"/>
      <c r="U647" s="832"/>
      <c r="V647" s="832"/>
      <c r="W647" s="832"/>
      <c r="X647" s="832"/>
    </row>
    <row r="648" spans="1:25" s="812" customFormat="1" ht="39.950000000000003" customHeight="1" x14ac:dyDescent="0.15">
      <c r="A648" s="2072">
        <f t="shared" ca="1" si="211"/>
        <v>8.02</v>
      </c>
      <c r="B648" s="864" t="s">
        <v>1873</v>
      </c>
      <c r="C648" s="2" t="str">
        <f>VLOOKUP($B648,[1]BOLETIM_SEL!$A:$H,2,0)</f>
        <v>COMPOSIÇÃO</v>
      </c>
      <c r="D648" s="315" t="str">
        <f>VLOOKUP($B648,[1]BOLETIM_SEL!$A:$H,4,0)</f>
        <v>Execução e compactação de base e ou sub-base, estabilizado granulometricamente, sem mistura, com material de jazida. Exclusive fornecimento e transporte (REF. SINAPI COD. 4011219)</v>
      </c>
      <c r="E648" s="2"/>
      <c r="F648" s="2" t="str">
        <f>VLOOKUP($B648,[1]BOLETIM_SEL!$A:$H,6,0)</f>
        <v>M3</v>
      </c>
      <c r="G648" s="1407">
        <f>VLOOKUP($B648,[1]BOLETIM_SEL!$A:$H,7,0)</f>
        <v>19.13</v>
      </c>
      <c r="H648" s="1606">
        <f>+Pav_Estrutura!N28+Pav_Estrutura!N54</f>
        <v>2166.9699999999998</v>
      </c>
      <c r="I648" s="876">
        <f t="shared" si="212"/>
        <v>23.33</v>
      </c>
      <c r="J648" s="1607">
        <f t="shared" si="214"/>
        <v>50555.41</v>
      </c>
      <c r="K648" s="2069">
        <f t="shared" ca="1" si="210"/>
        <v>1.3741409690798961E-2</v>
      </c>
      <c r="L648" s="1570">
        <f t="shared" si="215"/>
        <v>2.7656229968645127E-2</v>
      </c>
      <c r="M648" s="1442"/>
      <c r="N648" s="1647">
        <f>VLOOKUP($B648,[1]BOLETIM_SEL!$A:$H,3,0)</f>
        <v>28.75</v>
      </c>
      <c r="O648" s="1645">
        <f t="shared" si="213"/>
        <v>75.372869565217385</v>
      </c>
      <c r="Q648" s="832"/>
      <c r="R648" s="832"/>
      <c r="S648" s="832"/>
      <c r="T648" s="832"/>
      <c r="U648" s="832"/>
      <c r="V648" s="832"/>
      <c r="W648" s="832"/>
      <c r="X648" s="832"/>
    </row>
    <row r="649" spans="1:25" s="812" customFormat="1" ht="39.950000000000003" customHeight="1" x14ac:dyDescent="0.15">
      <c r="A649" s="2072">
        <f t="shared" ca="1" si="211"/>
        <v>8.0299999999999994</v>
      </c>
      <c r="B649" s="877" t="s">
        <v>196</v>
      </c>
      <c r="C649" s="2" t="str">
        <f>VLOOKUP($B649,[1]BOLETIM_SEL!$A:$H,2,0)</f>
        <v>COMPOSIÇÃO</v>
      </c>
      <c r="D649" s="315" t="str">
        <f>VLOOKUP($B649,[1]BOLETIM_SEL!$A:$H,4,0)</f>
        <v>Execução e compactação de base e ou sub-base com material produto de britagem. Exclusive fornecimento e transporte de materiais (REF. SINAPI COD. 96396)</v>
      </c>
      <c r="E649" s="2"/>
      <c r="F649" s="2" t="str">
        <f>VLOOKUP($B649,[1]BOLETIM_SEL!$A:$H,6,0)</f>
        <v>M3</v>
      </c>
      <c r="G649" s="1407">
        <f>VLOOKUP($B649,[1]BOLETIM_SEL!$A:$H,7,0)</f>
        <v>13.44</v>
      </c>
      <c r="H649" s="1606">
        <f>+Pav_Estrutura!N30+Pav_Estrutura!N31+Pav_Estrutura!N56+Pav_Estrutura!N57</f>
        <v>2472.2199999999998</v>
      </c>
      <c r="I649" s="876">
        <f t="shared" si="212"/>
        <v>16.39</v>
      </c>
      <c r="J649" s="1607">
        <f t="shared" si="214"/>
        <v>40519.68</v>
      </c>
      <c r="K649" s="2069">
        <f t="shared" ca="1" si="210"/>
        <v>1.1013609095843013E-2</v>
      </c>
      <c r="L649" s="1570">
        <f t="shared" si="215"/>
        <v>2.2166205126927276E-2</v>
      </c>
      <c r="M649" s="1442"/>
      <c r="N649" s="1647">
        <f>VLOOKUP($B649,[1]BOLETIM_SEL!$A:$H,3,0)</f>
        <v>33.33</v>
      </c>
      <c r="O649" s="1645">
        <f t="shared" si="213"/>
        <v>74.174017401740173</v>
      </c>
      <c r="Q649" s="832"/>
      <c r="R649" s="832"/>
      <c r="S649" s="815"/>
      <c r="T649" s="815"/>
      <c r="U649" s="815"/>
      <c r="V649" s="815"/>
      <c r="W649" s="815"/>
      <c r="X649" s="815"/>
      <c r="Y649" s="2335"/>
    </row>
    <row r="650" spans="1:25" s="812" customFormat="1" ht="30" hidden="1" customHeight="1" x14ac:dyDescent="0.15">
      <c r="A650" s="2072">
        <f t="shared" ca="1" si="211"/>
        <v>8.0299999999999994</v>
      </c>
      <c r="B650" s="877" t="s">
        <v>2612</v>
      </c>
      <c r="C650" s="2" t="str">
        <f>VLOOKUP($B650,[1]BOLETIM_SEL!$A:$H,2,0)</f>
        <v>COMPOSIÇÃO</v>
      </c>
      <c r="D650" s="315" t="str">
        <f>VLOOKUP($B650,[1]BOLETIM_SEL!$A:$H,4,0)</f>
        <v>Usinagem de brita graduada simples, exclusive fornecimento de materiais (REF. SINAPI COD. 96393, DB 05-2021)</v>
      </c>
      <c r="E650" s="2"/>
      <c r="F650" s="2" t="str">
        <f>VLOOKUP($B650,[1]BOLETIM_SEL!$A:$H,6,0)</f>
        <v>M3</v>
      </c>
      <c r="G650" s="1407">
        <f>VLOOKUP($B650,[1]BOLETIM_SEL!$A:$H,7,0)</f>
        <v>6.29</v>
      </c>
      <c r="H650" s="1606">
        <f>+Pav_Estrutura!N31+Pav_Estrutura!N57</f>
        <v>0</v>
      </c>
      <c r="I650" s="876">
        <f t="shared" ref="I650" si="216">+TRUNC(G650*(1+$J$5),2)</f>
        <v>7.67</v>
      </c>
      <c r="J650" s="1607">
        <f t="shared" ref="J650" si="217">TRUNC(H650*I650,2)</f>
        <v>0</v>
      </c>
      <c r="K650" s="2069">
        <f t="shared" ca="1" si="210"/>
        <v>0</v>
      </c>
      <c r="L650" s="1570">
        <f t="shared" ref="L650" si="218">J650/$J$645</f>
        <v>0</v>
      </c>
      <c r="M650" s="1442"/>
      <c r="N650" s="1647">
        <f>VLOOKUP($B650,[1]BOLETIM_SEL!$A:$H,3,0)</f>
        <v>33.33</v>
      </c>
      <c r="O650" s="1645">
        <f t="shared" ref="O650" si="219">+H650/N650</f>
        <v>0</v>
      </c>
      <c r="Q650" s="832"/>
      <c r="R650" s="832"/>
      <c r="S650" s="832"/>
      <c r="T650" s="832"/>
      <c r="U650" s="832"/>
      <c r="V650" s="832"/>
      <c r="W650" s="832"/>
      <c r="X650" s="832"/>
    </row>
    <row r="651" spans="1:25" s="812" customFormat="1" ht="39.950000000000003" hidden="1" customHeight="1" x14ac:dyDescent="0.15">
      <c r="A651" s="2072">
        <f t="shared" ca="1" si="211"/>
        <v>8.0299999999999994</v>
      </c>
      <c r="B651" s="2">
        <v>96389</v>
      </c>
      <c r="C651" s="2" t="str">
        <f>VLOOKUP($B651,[1]BOLETIM_SEL!$A:$H,2,0)</f>
        <v>SINAPI</v>
      </c>
      <c r="D651" s="315" t="str">
        <f>VLOOKUP($B651,[1]BOLETIM_SEL!$A:$H,4,0)</f>
        <v>Execução e compactação de base e ou sub base para pavimentação de solo (predominantemente arenoso) com cimento (teor de 2%) - exclusive solo, escavação, carga e transporte. AF_11/2019</v>
      </c>
      <c r="E651" s="2"/>
      <c r="F651" s="2" t="str">
        <f>VLOOKUP($B651,[1]BOLETIM_SEL!$A:$H,6,0)</f>
        <v>M3</v>
      </c>
      <c r="G651" s="1407">
        <f>VLOOKUP($B651,[1]BOLETIM_SEL!$A:$H,7,0)</f>
        <v>55.13</v>
      </c>
      <c r="H651" s="1606">
        <f>+Pav_Estrutura!N50</f>
        <v>0</v>
      </c>
      <c r="I651" s="876">
        <f t="shared" si="212"/>
        <v>67.25</v>
      </c>
      <c r="J651" s="1607">
        <f t="shared" si="214"/>
        <v>0</v>
      </c>
      <c r="K651" s="2069">
        <f t="shared" ca="1" si="210"/>
        <v>0</v>
      </c>
      <c r="L651" s="1570">
        <f t="shared" si="215"/>
        <v>0</v>
      </c>
      <c r="M651" s="1442"/>
      <c r="N651" s="1647">
        <f>VLOOKUP($B651,[1]BOLETIM_SEL!$A:$H,3,0)</f>
        <v>38.46</v>
      </c>
      <c r="O651" s="1645">
        <f t="shared" si="213"/>
        <v>0</v>
      </c>
      <c r="Q651" s="832"/>
      <c r="R651" s="832"/>
      <c r="S651" s="832"/>
      <c r="T651" s="832"/>
      <c r="U651" s="832"/>
      <c r="V651" s="832"/>
      <c r="W651" s="832"/>
      <c r="X651" s="832"/>
    </row>
    <row r="652" spans="1:25" s="812" customFormat="1" ht="39.950000000000003" hidden="1" customHeight="1" x14ac:dyDescent="0.15">
      <c r="A652" s="2072">
        <f t="shared" ca="1" si="211"/>
        <v>8.0299999999999994</v>
      </c>
      <c r="B652" s="2">
        <v>96390</v>
      </c>
      <c r="C652" s="2" t="str">
        <f>VLOOKUP($B652,[1]BOLETIM_SEL!$A:$H,2,0)</f>
        <v>SINAPI</v>
      </c>
      <c r="D652" s="315" t="str">
        <f>VLOOKUP($B652,[1]BOLETIM_SEL!$A:$H,4,0)</f>
        <v>Execução e compactação de base e ou sub base para pavimentação de solo (predominantemente arenoso) com cimento (teor de 4%) - exclusive solo, escavação, carga e transporte. AF_11/2019</v>
      </c>
      <c r="E652" s="2"/>
      <c r="F652" s="2" t="str">
        <f>VLOOKUP($B652,[1]BOLETIM_SEL!$A:$H,6,0)</f>
        <v>M3</v>
      </c>
      <c r="G652" s="1407">
        <f>VLOOKUP($B652,[1]BOLETIM_SEL!$A:$H,7,0)</f>
        <v>89.29</v>
      </c>
      <c r="H652" s="1606">
        <f>+Pav_Estrutura!N51</f>
        <v>0</v>
      </c>
      <c r="I652" s="876">
        <f t="shared" si="212"/>
        <v>108.93</v>
      </c>
      <c r="J652" s="1607">
        <f t="shared" si="214"/>
        <v>0</v>
      </c>
      <c r="K652" s="2069">
        <f t="shared" ca="1" si="210"/>
        <v>0</v>
      </c>
      <c r="L652" s="1570">
        <f t="shared" si="215"/>
        <v>0</v>
      </c>
      <c r="M652" s="1442"/>
      <c r="N652" s="1647">
        <f>VLOOKUP($B652,[1]BOLETIM_SEL!$A:$H,3,0)</f>
        <v>38.46</v>
      </c>
      <c r="O652" s="1645">
        <f t="shared" si="213"/>
        <v>0</v>
      </c>
      <c r="Q652" s="832"/>
      <c r="R652" s="832"/>
      <c r="S652" s="832"/>
      <c r="T652" s="832"/>
      <c r="U652" s="832"/>
      <c r="V652" s="832"/>
      <c r="W652" s="832"/>
      <c r="X652" s="832"/>
    </row>
    <row r="653" spans="1:25" s="812" customFormat="1" ht="39.950000000000003" hidden="1" customHeight="1" x14ac:dyDescent="0.15">
      <c r="A653" s="2072">
        <f t="shared" ca="1" si="211"/>
        <v>8.0299999999999994</v>
      </c>
      <c r="B653" s="2">
        <v>96391</v>
      </c>
      <c r="C653" s="2" t="str">
        <f>VLOOKUP($B653,[1]BOLETIM_SEL!$A:$H,2,0)</f>
        <v>SINAPI</v>
      </c>
      <c r="D653" s="315" t="str">
        <f>VLOOKUP($B653,[1]BOLETIM_SEL!$A:$H,4,0)</f>
        <v>Execução e compactação de base e ou sub base para pavimentação de solo (predominantemente arenoso) com cimento (teor de 6%) - exclusive solo, escavação, carga e transporte. AF_11/2019</v>
      </c>
      <c r="E653" s="2"/>
      <c r="F653" s="2" t="str">
        <f>VLOOKUP($B653,[1]BOLETIM_SEL!$A:$H,6,0)</f>
        <v>M3</v>
      </c>
      <c r="G653" s="1407">
        <f>VLOOKUP($B653,[1]BOLETIM_SEL!$A:$H,7,0)</f>
        <v>125</v>
      </c>
      <c r="H653" s="1606">
        <f>+Pav_Estrutura!N52</f>
        <v>0</v>
      </c>
      <c r="I653" s="876">
        <f t="shared" si="212"/>
        <v>152.5</v>
      </c>
      <c r="J653" s="1607">
        <f t="shared" si="214"/>
        <v>0</v>
      </c>
      <c r="K653" s="2069">
        <f t="shared" ca="1" si="210"/>
        <v>0</v>
      </c>
      <c r="L653" s="1570">
        <f t="shared" si="215"/>
        <v>0</v>
      </c>
      <c r="M653" s="1442"/>
      <c r="N653" s="1647">
        <f>VLOOKUP($B653,[1]BOLETIM_SEL!$A:$H,3,0)</f>
        <v>38.46</v>
      </c>
      <c r="O653" s="1645">
        <f t="shared" si="213"/>
        <v>0</v>
      </c>
      <c r="Q653" s="832"/>
      <c r="R653" s="832"/>
      <c r="S653" s="832"/>
      <c r="T653" s="832"/>
      <c r="U653" s="832"/>
      <c r="V653" s="832"/>
      <c r="W653" s="832"/>
      <c r="X653" s="832"/>
    </row>
    <row r="654" spans="1:25" s="812" customFormat="1" ht="39.950000000000003" hidden="1" customHeight="1" x14ac:dyDescent="0.15">
      <c r="A654" s="2072">
        <f t="shared" ca="1" si="211"/>
        <v>8.0299999999999994</v>
      </c>
      <c r="B654" s="2">
        <v>96392</v>
      </c>
      <c r="C654" s="2" t="str">
        <f>VLOOKUP($B654,[1]BOLETIM_SEL!$A:$H,2,0)</f>
        <v>SINAPI</v>
      </c>
      <c r="D654" s="315" t="str">
        <f>VLOOKUP($B654,[1]BOLETIM_SEL!$A:$H,4,0)</f>
        <v>Execução e compactação de base e ou sub base para pavimentação de solo (predominantemente arenoso) com cimento (teor de 8%) - exclusive solo, escavação, carga e transporte. AF_11/2019</v>
      </c>
      <c r="E654" s="2"/>
      <c r="F654" s="2" t="str">
        <f>VLOOKUP($B654,[1]BOLETIM_SEL!$A:$H,6,0)</f>
        <v>M3</v>
      </c>
      <c r="G654" s="1407">
        <f>VLOOKUP($B654,[1]BOLETIM_SEL!$A:$H,7,0)</f>
        <v>159.44999999999999</v>
      </c>
      <c r="H654" s="1606">
        <f>+Pav_Estrutura!N53</f>
        <v>0</v>
      </c>
      <c r="I654" s="876">
        <f t="shared" si="212"/>
        <v>194.52</v>
      </c>
      <c r="J654" s="1607">
        <f t="shared" si="214"/>
        <v>0</v>
      </c>
      <c r="K654" s="2069">
        <f t="shared" ca="1" si="210"/>
        <v>0</v>
      </c>
      <c r="L654" s="1570">
        <f t="shared" si="215"/>
        <v>0</v>
      </c>
      <c r="M654" s="1442"/>
      <c r="N654" s="1647">
        <f>VLOOKUP($B654,[1]BOLETIM_SEL!$A:$H,3,0)</f>
        <v>38.46</v>
      </c>
      <c r="O654" s="1645">
        <f t="shared" si="213"/>
        <v>0</v>
      </c>
      <c r="Q654" s="832"/>
      <c r="R654" s="832"/>
      <c r="S654" s="832"/>
      <c r="T654" s="832"/>
      <c r="U654" s="832"/>
      <c r="V654" s="832"/>
      <c r="W654" s="832"/>
      <c r="X654" s="832"/>
    </row>
    <row r="655" spans="1:25" s="812" customFormat="1" ht="30" customHeight="1" x14ac:dyDescent="0.15">
      <c r="A655" s="2072">
        <f t="shared" ca="1" si="211"/>
        <v>8.0399999999999991</v>
      </c>
      <c r="B655" s="833" t="str">
        <f>IF(M655="EAI","PA/0025",96401)</f>
        <v>PA/0025</v>
      </c>
      <c r="C655" s="2" t="str">
        <f>VLOOKUP($B655,[1]BOLETIM_SEL!$A:$H,2,0)</f>
        <v>COMPOSIÇÃO</v>
      </c>
      <c r="D655" s="315" t="str">
        <f>VLOOKUP($B655,[1]BOLETIM_SEL!$A:$H,4,0)</f>
        <v>Imprimação da base, execução e fornecimento de emulsão asfáltica EAI (REF. SINAPI COD. 102470)</v>
      </c>
      <c r="E655" s="2"/>
      <c r="F655" s="2" t="str">
        <f>VLOOKUP($B655,[1]BOLETIM_SEL!$A:$H,6,0)</f>
        <v>M2</v>
      </c>
      <c r="G655" s="1407">
        <f>VLOOKUP($B655,[1]BOLETIM_SEL!$A:$H,7,0)</f>
        <v>5.23</v>
      </c>
      <c r="H655" s="1606">
        <f>+Pav_Estrutura!N64</f>
        <v>12682.57</v>
      </c>
      <c r="I655" s="876">
        <f t="shared" si="212"/>
        <v>6.38</v>
      </c>
      <c r="J655" s="1607">
        <f t="shared" si="214"/>
        <v>80914.789999999994</v>
      </c>
      <c r="K655" s="2069">
        <f t="shared" ca="1" si="210"/>
        <v>2.1993358958714064E-2</v>
      </c>
      <c r="L655" s="1570">
        <f t="shared" si="215"/>
        <v>4.4264264499182714E-2</v>
      </c>
      <c r="M655" s="1585" t="s">
        <v>2091</v>
      </c>
      <c r="N655" s="1647"/>
      <c r="O655" s="1645"/>
      <c r="Q655" s="832"/>
      <c r="R655" s="832"/>
      <c r="S655" s="815"/>
      <c r="T655" s="815"/>
      <c r="U655" s="815"/>
      <c r="V655" s="815"/>
      <c r="W655" s="815"/>
      <c r="X655" s="815"/>
      <c r="Y655" s="2335"/>
    </row>
    <row r="656" spans="1:25" s="812" customFormat="1" ht="30" customHeight="1" x14ac:dyDescent="0.15">
      <c r="A656" s="2072">
        <f t="shared" ca="1" si="211"/>
        <v>8.0499999999999989</v>
      </c>
      <c r="B656" s="833" t="s">
        <v>1772</v>
      </c>
      <c r="C656" s="2" t="str">
        <f>VLOOKUP($B656,[1]BOLETIM_SEL!$A:$H,2,0)</f>
        <v>COMPOSIÇÃO</v>
      </c>
      <c r="D656" s="315" t="str">
        <f>VLOOKUP($B656,[1]BOLETIM_SEL!$A:$H,4,0)</f>
        <v>Pintura de ligação, execução e fornecimento de emulsão asfáltica RR-1C (ref SINAPI cód 104375)</v>
      </c>
      <c r="E656" s="2"/>
      <c r="F656" s="2" t="str">
        <f>VLOOKUP($B656,[1]BOLETIM_SEL!$A:$H,6,0)</f>
        <v>M2</v>
      </c>
      <c r="G656" s="1407">
        <f>VLOOKUP($B656,[1]BOLETIM_SEL!$A:$H,7,0)</f>
        <v>2.5099999999999998</v>
      </c>
      <c r="H656" s="1606">
        <f>+Pav_Estrutura!N66</f>
        <v>12682.57</v>
      </c>
      <c r="I656" s="876">
        <f t="shared" si="212"/>
        <v>3.06</v>
      </c>
      <c r="J656" s="1607">
        <f t="shared" si="214"/>
        <v>38808.660000000003</v>
      </c>
      <c r="K656" s="2069">
        <f t="shared" ca="1" si="210"/>
        <v>1.054853865512953E-2</v>
      </c>
      <c r="L656" s="1570">
        <f t="shared" si="215"/>
        <v>2.1230195259715222E-2</v>
      </c>
      <c r="M656" s="1442"/>
      <c r="N656" s="1647"/>
      <c r="O656" s="1645"/>
      <c r="Q656" s="832"/>
      <c r="R656" s="832"/>
      <c r="S656" s="815"/>
      <c r="T656" s="815"/>
      <c r="U656" s="815"/>
      <c r="V656" s="815"/>
      <c r="W656" s="815"/>
      <c r="X656" s="815"/>
      <c r="Y656" s="2335"/>
    </row>
    <row r="657" spans="1:25" s="812" customFormat="1" ht="39.950000000000003" hidden="1" customHeight="1" x14ac:dyDescent="0.15">
      <c r="A657" s="2072">
        <f t="shared" ca="1" si="211"/>
        <v>8.0499999999999989</v>
      </c>
      <c r="B657" s="833" t="s">
        <v>2716</v>
      </c>
      <c r="C657" s="2" t="str">
        <f>VLOOKUP($B657,[1]BOLETIM_SEL!$A:$H,2,0)</f>
        <v>COMPOSIÇÃO</v>
      </c>
      <c r="D657" s="315" t="str">
        <f>VLOOKUP($B657,[1]BOLETIM_SEL!$A:$H,4,0)</f>
        <v>PAVIMENTO COM TRATAMENTO SUPERFICIAL DUPLO, COM EMULSÃO ASFÁLTICA RR-2C (REF. SINAPI COD. 03.PAVI.TSUP.005/01-104389 DB 09-21)</v>
      </c>
      <c r="E657" s="2"/>
      <c r="F657" s="2" t="str">
        <f>VLOOKUP($B657,[1]BOLETIM_SEL!$A:$H,6,0)</f>
        <v>M2</v>
      </c>
      <c r="G657" s="1407">
        <f>VLOOKUP($B657,[1]BOLETIM_SEL!$A:$H,7,0)</f>
        <v>15.93</v>
      </c>
      <c r="H657" s="1606">
        <f>+Pav_Estrutura!N68</f>
        <v>0</v>
      </c>
      <c r="I657" s="876">
        <f t="shared" si="212"/>
        <v>19.43</v>
      </c>
      <c r="J657" s="1607">
        <f t="shared" si="214"/>
        <v>0</v>
      </c>
      <c r="K657" s="2069">
        <f t="shared" ca="1" si="210"/>
        <v>0</v>
      </c>
      <c r="L657" s="1570">
        <f t="shared" si="215"/>
        <v>0</v>
      </c>
      <c r="M657" s="1442"/>
      <c r="N657" s="1647">
        <f>VLOOKUP($B657,[1]BOLETIM_SEL!$A:$H,3,0)</f>
        <v>0</v>
      </c>
      <c r="O657" s="1645" t="e">
        <f t="shared" ref="O657:O665" si="220">+H657/N657</f>
        <v>#DIV/0!</v>
      </c>
      <c r="Q657" s="832"/>
      <c r="R657" s="832"/>
      <c r="S657" s="832"/>
      <c r="T657" s="832"/>
      <c r="U657" s="832"/>
      <c r="V657" s="832"/>
      <c r="W657" s="832"/>
      <c r="X657" s="832"/>
    </row>
    <row r="658" spans="1:25" s="812" customFormat="1" ht="39.950000000000003" hidden="1" customHeight="1" x14ac:dyDescent="0.15">
      <c r="A658" s="2072">
        <f t="shared" ca="1" si="211"/>
        <v>8.0499999999999989</v>
      </c>
      <c r="B658" s="833" t="s">
        <v>950</v>
      </c>
      <c r="C658" s="2" t="str">
        <f>VLOOKUP($B658,[1]BOLETIM_SEL!$A:$H,2,0)</f>
        <v>COMPOSIÇÃO</v>
      </c>
      <c r="D658" s="315" t="str">
        <f>VLOOKUP($B658,[1]BOLETIM_SEL!$A:$H,4,0)</f>
        <v>Capa selante para agulhamento na base, execução e fornecimento de emulsão asfáltica RR-2C. Exclusive transporte (REF. SICRO COD. 4915636)</v>
      </c>
      <c r="E658" s="2"/>
      <c r="F658" s="2" t="str">
        <f>VLOOKUP($B658,[1]BOLETIM_SEL!$A:$H,6,0)</f>
        <v>M2</v>
      </c>
      <c r="G658" s="1407">
        <f>VLOOKUP($B658,[1]BOLETIM_SEL!$A:$H,7,0)</f>
        <v>4.92</v>
      </c>
      <c r="H658" s="1606">
        <f>+Pav_Estrutura!N72</f>
        <v>0</v>
      </c>
      <c r="I658" s="876">
        <f t="shared" si="212"/>
        <v>6</v>
      </c>
      <c r="J658" s="1607">
        <f t="shared" si="214"/>
        <v>0</v>
      </c>
      <c r="K658" s="2069">
        <f t="shared" ca="1" si="210"/>
        <v>0</v>
      </c>
      <c r="L658" s="1570">
        <f t="shared" si="215"/>
        <v>0</v>
      </c>
      <c r="M658" s="1442"/>
      <c r="N658" s="1647">
        <f>VLOOKUP($B658,[1]BOLETIM_SEL!$A:$H,3,0)</f>
        <v>0</v>
      </c>
      <c r="O658" s="1645" t="e">
        <f t="shared" si="220"/>
        <v>#DIV/0!</v>
      </c>
      <c r="Q658" s="832"/>
      <c r="R658" s="832"/>
      <c r="S658" s="832"/>
      <c r="T658" s="832"/>
      <c r="U658" s="832"/>
      <c r="V658" s="832"/>
      <c r="W658" s="832"/>
      <c r="X658" s="832"/>
    </row>
    <row r="659" spans="1:25" s="812" customFormat="1" ht="39.950000000000003" customHeight="1" x14ac:dyDescent="0.15">
      <c r="A659" s="2072">
        <f t="shared" ca="1" si="211"/>
        <v>8.0599999999999987</v>
      </c>
      <c r="B659" s="833" t="str">
        <f>IF(M659="COMERCIAL","PA/0040","PA/0041")</f>
        <v>PA/0040</v>
      </c>
      <c r="C659" s="2" t="str">
        <f>VLOOKUP($B659,[1]BOLETIM_SEL!$A:$H,2,0)</f>
        <v>COMPOSIÇÃO</v>
      </c>
      <c r="D659" s="315" t="str">
        <f>VLOOKUP($B659,[1]BOLETIM_SEL!$A:$H,4,0)</f>
        <v>Construção de pavimento com aplicação de concreto betuminoso usinado à quente (CBUQ - faixa C - CAP 30/45 - usina comercial), camada de rolamento, exclusive transporte da mistura (REF. SINAPI COD. 95995)</v>
      </c>
      <c r="E659" s="2"/>
      <c r="F659" s="2" t="str">
        <f>VLOOKUP($B659,[1]BOLETIM_SEL!$A:$H,6,0)</f>
        <v>M3</v>
      </c>
      <c r="G659" s="1407">
        <f>VLOOKUP($B659,[1]BOLETIM_SEL!$A:$H,7,0)</f>
        <v>1623.14</v>
      </c>
      <c r="H659" s="1606">
        <f>Pav_Estrutura!N82</f>
        <v>439.39</v>
      </c>
      <c r="I659" s="876">
        <f t="shared" si="212"/>
        <v>1980.23</v>
      </c>
      <c r="J659" s="1607">
        <f t="shared" si="214"/>
        <v>870093.25</v>
      </c>
      <c r="K659" s="2069">
        <f t="shared" ca="1" si="210"/>
        <v>0.23649907729852773</v>
      </c>
      <c r="L659" s="1570">
        <f t="shared" si="215"/>
        <v>0.47598266963250491</v>
      </c>
      <c r="M659" s="1585" t="s">
        <v>410</v>
      </c>
      <c r="N659" s="1647">
        <f>VLOOKUP($B659,[1]BOLETIM_SEL!$A:$H,3,0)</f>
        <v>0</v>
      </c>
      <c r="O659" s="1645"/>
      <c r="Q659" s="832"/>
      <c r="R659" s="832"/>
      <c r="S659" s="815"/>
      <c r="T659" s="815"/>
      <c r="U659" s="815"/>
      <c r="V659" s="815"/>
      <c r="W659" s="815"/>
      <c r="X659" s="815"/>
      <c r="Y659" s="2335"/>
    </row>
    <row r="660" spans="1:25" s="812" customFormat="1" ht="39.950000000000003" hidden="1" customHeight="1" x14ac:dyDescent="0.15">
      <c r="A660" s="2072">
        <f t="shared" ca="1" si="211"/>
        <v>8.0599999999999987</v>
      </c>
      <c r="B660" s="833">
        <f>IF(M660="COMERCIAL",95995,"PA/0042")</f>
        <v>95995</v>
      </c>
      <c r="C660" s="2" t="str">
        <f>VLOOKUP($B660,[1]BOLETIM_SEL!$A:$H,2,0)</f>
        <v>SINAPI</v>
      </c>
      <c r="D660" s="315" t="str">
        <f>VLOOKUP($B660,[1]BOLETIM_SEL!$A:$H,4,0)</f>
        <v>Construção de pavimento com aplicação de concreto betuminoso usinado à quente (CBUQ - faixa C - CAP 50/70 - usina comercial), camada de rolamento. Exclusive transporte da mistura. Af_11/2019</v>
      </c>
      <c r="E660" s="2"/>
      <c r="F660" s="2" t="str">
        <f>VLOOKUP($B660,[1]BOLETIM_SEL!$A:$H,6,0)</f>
        <v>M3</v>
      </c>
      <c r="G660" s="1407">
        <f>VLOOKUP($B660,[1]BOLETIM_SEL!$A:$H,7,0)</f>
        <v>1652.41</v>
      </c>
      <c r="H660" s="1606">
        <f>Pav_Estrutura!N83</f>
        <v>0</v>
      </c>
      <c r="I660" s="876">
        <f t="shared" si="212"/>
        <v>2015.94</v>
      </c>
      <c r="J660" s="1607">
        <f t="shared" si="214"/>
        <v>0</v>
      </c>
      <c r="K660" s="2069">
        <f t="shared" ca="1" si="210"/>
        <v>0</v>
      </c>
      <c r="L660" s="1570">
        <f t="shared" si="215"/>
        <v>0</v>
      </c>
      <c r="M660" s="1585" t="s">
        <v>410</v>
      </c>
      <c r="N660" s="1647">
        <f>VLOOKUP($B660,[1]BOLETIM_SEL!$A:$H,3,0)</f>
        <v>0</v>
      </c>
      <c r="O660" s="1645" t="e">
        <f t="shared" si="220"/>
        <v>#DIV/0!</v>
      </c>
      <c r="Q660" s="832"/>
      <c r="R660" s="832"/>
      <c r="S660" s="832"/>
      <c r="T660" s="832"/>
      <c r="U660" s="832"/>
      <c r="V660" s="832"/>
      <c r="W660" s="832"/>
      <c r="X660" s="832"/>
    </row>
    <row r="661" spans="1:25" s="812" customFormat="1" ht="39.950000000000003" hidden="1" customHeight="1" x14ac:dyDescent="0.15">
      <c r="A661" s="2072">
        <f t="shared" ca="1" si="211"/>
        <v>8.0599999999999987</v>
      </c>
      <c r="B661" s="2" t="s">
        <v>1777</v>
      </c>
      <c r="C661" s="2" t="str">
        <f>VLOOKUP($B661,[1]BOLETIM_SEL!$A:$H,2,0)</f>
        <v>COMPOSIÇÃO</v>
      </c>
      <c r="D661" s="315" t="str">
        <f>VLOOKUP($B661,[1]BOLETIM_SEL!$A:$H,4,0)</f>
        <v>Construção de pavimento com aplicação de concreto betuminoso usinado à quente modificado por polímero elastomérico - CBUQ (p) - CAP 60-85-E - FAIXA "C", camada de rolamento. Exclusive transporte da mistura (REF. SINAPI COD. 95995)</v>
      </c>
      <c r="E661" s="2"/>
      <c r="F661" s="2" t="str">
        <f>VLOOKUP($B661,[1]BOLETIM_SEL!$A:$H,6,0)</f>
        <v>M3</v>
      </c>
      <c r="G661" s="1407">
        <f>VLOOKUP($B661,[1]BOLETIM_SEL!$A:$H,7,0)</f>
        <v>1874.81</v>
      </c>
      <c r="H661" s="1606">
        <f>Pav_Estrutura!N84</f>
        <v>0</v>
      </c>
      <c r="I661" s="876">
        <f t="shared" si="212"/>
        <v>2287.2600000000002</v>
      </c>
      <c r="J661" s="1607">
        <f t="shared" si="214"/>
        <v>0</v>
      </c>
      <c r="K661" s="2069">
        <f t="shared" ca="1" si="210"/>
        <v>0</v>
      </c>
      <c r="L661" s="1570">
        <f t="shared" si="215"/>
        <v>0</v>
      </c>
      <c r="M661" s="1442"/>
      <c r="N661" s="1647">
        <f>VLOOKUP($B661,[1]BOLETIM_SEL!$A:$H,3,0)</f>
        <v>0</v>
      </c>
      <c r="O661" s="1645" t="e">
        <f t="shared" si="220"/>
        <v>#DIV/0!</v>
      </c>
      <c r="Q661" s="832"/>
      <c r="R661" s="832"/>
      <c r="S661" s="832"/>
      <c r="T661" s="832"/>
      <c r="U661" s="832"/>
      <c r="V661" s="832"/>
      <c r="W661" s="832"/>
      <c r="X661" s="832"/>
    </row>
    <row r="662" spans="1:25" s="812" customFormat="1" ht="39.950000000000003" hidden="1" customHeight="1" x14ac:dyDescent="0.15">
      <c r="A662" s="2072">
        <f t="shared" ca="1" si="211"/>
        <v>8.0599999999999987</v>
      </c>
      <c r="B662" s="833" t="s">
        <v>1773</v>
      </c>
      <c r="C662" s="2" t="str">
        <f>VLOOKUP($B662,[1]BOLETIM_SEL!$A:$H,2,0)</f>
        <v>COMPOSIÇÃO</v>
      </c>
      <c r="D662" s="315" t="str">
        <f>VLOOKUP($B662,[1]BOLETIM_SEL!$A:$H,4,0)</f>
        <v>Execução de pré-misturado a frio - PMF, faixa C (semidenso), com emulsão asfáltica RL-1C, para revestimento, aplicação com vibroacabadora. Exclusive transporte</v>
      </c>
      <c r="E662" s="2"/>
      <c r="F662" s="2" t="str">
        <f>VLOOKUP($B662,[1]BOLETIM_SEL!$A:$H,6,0)</f>
        <v>M3</v>
      </c>
      <c r="G662" s="1407"/>
      <c r="H662" s="1608">
        <f>+Pav_Estrutura!N91</f>
        <v>0</v>
      </c>
      <c r="I662" s="2180">
        <f t="shared" si="212"/>
        <v>0</v>
      </c>
      <c r="J662" s="2181">
        <f t="shared" si="214"/>
        <v>0</v>
      </c>
      <c r="K662" s="2182">
        <f t="shared" ca="1" si="210"/>
        <v>0</v>
      </c>
      <c r="L662" s="2368">
        <f t="shared" si="215"/>
        <v>0</v>
      </c>
      <c r="M662" s="1442"/>
      <c r="N662" s="1647">
        <f>VLOOKUP($B662,[1]BOLETIM_SEL!$A:$H,3,0)</f>
        <v>0</v>
      </c>
      <c r="O662" s="1645" t="e">
        <f t="shared" si="220"/>
        <v>#DIV/0!</v>
      </c>
      <c r="Q662" s="832"/>
      <c r="R662" s="832"/>
      <c r="S662" s="832"/>
      <c r="T662" s="832"/>
      <c r="U662" s="832"/>
      <c r="V662" s="832"/>
      <c r="W662" s="832"/>
      <c r="X662" s="832"/>
    </row>
    <row r="663" spans="1:25" s="812" customFormat="1" ht="30" hidden="1" customHeight="1" x14ac:dyDescent="0.15">
      <c r="A663" s="2072">
        <f t="shared" ca="1" si="211"/>
        <v>8.0599999999999987</v>
      </c>
      <c r="B663" s="864">
        <v>92404</v>
      </c>
      <c r="C663" s="2" t="str">
        <f>VLOOKUP($B663,[1]BOLETIM_SEL!$A:$H,2,0)</f>
        <v>SINAPI</v>
      </c>
      <c r="D663" s="315" t="str">
        <f>VLOOKUP($B663,[1]BOLETIM_SEL!$A:$H,4,0)</f>
        <v>Execução de pavimento em piso intertravado, com bloco 16 faces de 22 x 11 cm, espessura 8 cm. AF_10/2022</v>
      </c>
      <c r="E663" s="2"/>
      <c r="F663" s="2" t="str">
        <f>VLOOKUP($B663,[1]BOLETIM_SEL!$A:$H,6,0)</f>
        <v>M2</v>
      </c>
      <c r="G663" s="1407">
        <f>VLOOKUP($B663,[1]BOLETIM_SEL!$A:$H,7,0)</f>
        <v>77.23</v>
      </c>
      <c r="H663" s="1606">
        <f>+Pav_Estrutura!N75</f>
        <v>0</v>
      </c>
      <c r="I663" s="876">
        <f t="shared" si="212"/>
        <v>94.22</v>
      </c>
      <c r="J663" s="1607">
        <f t="shared" si="214"/>
        <v>0</v>
      </c>
      <c r="K663" s="2069">
        <f t="shared" ca="1" si="210"/>
        <v>0</v>
      </c>
      <c r="L663" s="1570">
        <f t="shared" si="215"/>
        <v>0</v>
      </c>
      <c r="M663" s="1442"/>
      <c r="N663" s="1647">
        <f>VLOOKUP($B663,[1]BOLETIM_SEL!$A:$H,3,0)</f>
        <v>0</v>
      </c>
      <c r="O663" s="1645" t="e">
        <f t="shared" si="220"/>
        <v>#DIV/0!</v>
      </c>
      <c r="Q663" s="832"/>
      <c r="R663" s="832"/>
      <c r="S663" s="832"/>
      <c r="T663" s="832"/>
      <c r="U663" s="832"/>
      <c r="V663" s="832"/>
      <c r="W663" s="832"/>
      <c r="X663" s="832"/>
    </row>
    <row r="664" spans="1:25" s="812" customFormat="1" ht="30" hidden="1" customHeight="1" x14ac:dyDescent="0.15">
      <c r="A664" s="2072">
        <f t="shared" ca="1" si="211"/>
        <v>8.0599999999999987</v>
      </c>
      <c r="B664" s="864">
        <v>92406</v>
      </c>
      <c r="C664" s="2" t="str">
        <f>VLOOKUP($B664,[1]BOLETIM_SEL!$A:$H,2,0)</f>
        <v>SINAPI</v>
      </c>
      <c r="D664" s="315" t="str">
        <f>VLOOKUP($B664,[1]BOLETIM_SEL!$A:$H,4,0)</f>
        <v>Execução de pavimento em piso intertravado, com bloco 16 faces de 22 x 11 cm, espessura 10 cm. AF_10/2022</v>
      </c>
      <c r="E664" s="2"/>
      <c r="F664" s="2" t="str">
        <f>VLOOKUP($B664,[1]BOLETIM_SEL!$A:$H,6,0)</f>
        <v>M2</v>
      </c>
      <c r="G664" s="1407">
        <f>VLOOKUP($B664,[1]BOLETIM_SEL!$A:$H,7,0)</f>
        <v>92.61</v>
      </c>
      <c r="H664" s="1606">
        <f>+Pav_Estrutura!N76</f>
        <v>0</v>
      </c>
      <c r="I664" s="876">
        <f t="shared" si="212"/>
        <v>112.98</v>
      </c>
      <c r="J664" s="1607">
        <f t="shared" si="214"/>
        <v>0</v>
      </c>
      <c r="K664" s="2069">
        <f t="shared" ca="1" si="210"/>
        <v>0</v>
      </c>
      <c r="L664" s="1570">
        <f t="shared" si="215"/>
        <v>0</v>
      </c>
      <c r="M664" s="1442"/>
      <c r="N664" s="1647">
        <f>VLOOKUP($B664,[1]BOLETIM_SEL!$A:$H,3,0)</f>
        <v>0</v>
      </c>
      <c r="O664" s="1645" t="e">
        <f t="shared" si="220"/>
        <v>#DIV/0!</v>
      </c>
      <c r="Q664" s="832"/>
      <c r="R664" s="832"/>
      <c r="S664" s="832"/>
      <c r="T664" s="832"/>
      <c r="U664" s="832"/>
      <c r="V664" s="832"/>
      <c r="W664" s="832"/>
      <c r="X664" s="832"/>
    </row>
    <row r="665" spans="1:25" s="812" customFormat="1" ht="30" hidden="1" customHeight="1" x14ac:dyDescent="0.15">
      <c r="A665" s="2072">
        <f t="shared" ca="1" si="211"/>
        <v>8.0599999999999987</v>
      </c>
      <c r="B665" s="864">
        <v>92404</v>
      </c>
      <c r="C665" s="2" t="str">
        <f>VLOOKUP($B665,[1]BOLETIM_SEL!$A:$H,2,0)</f>
        <v>SINAPI</v>
      </c>
      <c r="D665" s="315" t="str">
        <f>VLOOKUP($B665,[1]BOLETIM_SEL!$A:$H,4,0)</f>
        <v>Execução de pavimento em piso intertravado, com bloco 16 faces de 22 x 11 cm, espessura 8 cm. AF_10/2022</v>
      </c>
      <c r="E665" s="2"/>
      <c r="F665" s="2" t="str">
        <f>VLOOKUP($B665,[1]BOLETIM_SEL!$A:$H,6,0)</f>
        <v>M2</v>
      </c>
      <c r="G665" s="1407">
        <f>VLOOKUP($B665,[1]BOLETIM_SEL!$A:$H,7,0)</f>
        <v>77.23</v>
      </c>
      <c r="H665" s="1606">
        <f>+Pav_Estrutura!N77</f>
        <v>0</v>
      </c>
      <c r="I665" s="876">
        <f t="shared" si="212"/>
        <v>94.22</v>
      </c>
      <c r="J665" s="1607">
        <f t="shared" si="214"/>
        <v>0</v>
      </c>
      <c r="K665" s="2069">
        <f t="shared" ca="1" si="210"/>
        <v>0</v>
      </c>
      <c r="L665" s="1570">
        <f t="shared" si="215"/>
        <v>0</v>
      </c>
      <c r="M665" s="1442"/>
      <c r="N665" s="1647">
        <f>VLOOKUP($B665,[1]BOLETIM_SEL!$A:$H,3,0)</f>
        <v>0</v>
      </c>
      <c r="O665" s="1645" t="e">
        <f t="shared" si="220"/>
        <v>#DIV/0!</v>
      </c>
      <c r="Q665" s="832"/>
      <c r="R665" s="832"/>
      <c r="S665" s="832"/>
      <c r="T665" s="832"/>
      <c r="U665" s="832"/>
      <c r="V665" s="832"/>
      <c r="W665" s="832"/>
      <c r="X665" s="832"/>
    </row>
    <row r="666" spans="1:25" s="812" customFormat="1" ht="30" hidden="1" customHeight="1" x14ac:dyDescent="0.15">
      <c r="A666" s="2072">
        <f t="shared" ca="1" si="211"/>
        <v>8.0599999999999987</v>
      </c>
      <c r="B666" s="864">
        <v>92406</v>
      </c>
      <c r="C666" s="2" t="str">
        <f>VLOOKUP($B666,[1]BOLETIM_SEL!$A:$H,2,0)</f>
        <v>SINAPI</v>
      </c>
      <c r="D666" s="315" t="str">
        <f>VLOOKUP($B666,[1]BOLETIM_SEL!$A:$H,4,0)</f>
        <v>Execução de pavimento em piso intertravado, com bloco 16 faces de 22 x 11 cm, espessura 10 cm. AF_10/2022</v>
      </c>
      <c r="E666" s="2"/>
      <c r="F666" s="2" t="str">
        <f>VLOOKUP($B666,[1]BOLETIM_SEL!$A:$H,6,0)</f>
        <v>M2</v>
      </c>
      <c r="G666" s="1407">
        <f>VLOOKUP($B666,[1]BOLETIM_SEL!$A:$H,7,0)</f>
        <v>92.61</v>
      </c>
      <c r="H666" s="1606">
        <f>+Pav_Estrutura!N78</f>
        <v>0</v>
      </c>
      <c r="I666" s="876">
        <f t="shared" si="212"/>
        <v>112.98</v>
      </c>
      <c r="J666" s="1607">
        <f t="shared" si="214"/>
        <v>0</v>
      </c>
      <c r="K666" s="2069">
        <f t="shared" ca="1" si="210"/>
        <v>0</v>
      </c>
      <c r="L666" s="1570">
        <f t="shared" si="215"/>
        <v>0</v>
      </c>
      <c r="M666" s="1442"/>
      <c r="N666" s="832"/>
      <c r="O666" s="832"/>
      <c r="Q666" s="832"/>
      <c r="R666" s="832"/>
      <c r="S666" s="832"/>
      <c r="T666" s="832"/>
      <c r="U666" s="832"/>
      <c r="V666" s="832"/>
      <c r="W666" s="832"/>
      <c r="X666" s="832"/>
    </row>
    <row r="667" spans="1:25" s="812" customFormat="1" ht="50.1" customHeight="1" x14ac:dyDescent="0.15">
      <c r="A667" s="2072">
        <f t="shared" ca="1" si="211"/>
        <v>8.0699999999999985</v>
      </c>
      <c r="B667" s="833">
        <v>101230</v>
      </c>
      <c r="C667" s="2" t="str">
        <f>VLOOKUP($B667,[1]BOLETIM_SEL!$A:$H,2,0)</f>
        <v>SINAPI</v>
      </c>
      <c r="D667" s="315" t="str">
        <f>VLOOKUP($B667,[1]BOLETIM_SEL!$A:$H,4,0)</f>
        <v>Escavação vertical a céu aberto, em obras de infraestrutura, incluindo carga, descarga e transporte, em solo de 1a categoria com escavadeira hidráulica (caçamba: 0,80 m3 / 111 HP), frota de 3 caminhões basculantes de 14 m3, DMT até 1 km e velocidade média 14 km/h. AF_05/2020</v>
      </c>
      <c r="E667" s="2"/>
      <c r="F667" s="2" t="str">
        <f>VLOOKUP($B667,[1]BOLETIM_SEL!$A:$H,6,0)</f>
        <v>M3</v>
      </c>
      <c r="G667" s="1407">
        <f>VLOOKUP($B667,[1]BOLETIM_SEL!$A:$H,7,0)</f>
        <v>10.75</v>
      </c>
      <c r="H667" s="1606">
        <f>IF(H668=0,Pav_Estrutura!N33+Pav_Estrutura!N59,0)+IF(H669=0,Pav_Estrutura!N35+Pav_Estrutura!N61,0)</f>
        <v>2708.72</v>
      </c>
      <c r="I667" s="876">
        <f t="shared" si="212"/>
        <v>13.11</v>
      </c>
      <c r="J667" s="1607">
        <f t="shared" si="214"/>
        <v>35511.31</v>
      </c>
      <c r="K667" s="2069">
        <f t="shared" ca="1" si="210"/>
        <v>9.6522896237408815E-3</v>
      </c>
      <c r="L667" s="1570">
        <f t="shared" si="215"/>
        <v>1.9426386925708788E-2</v>
      </c>
      <c r="M667" s="1442"/>
      <c r="N667" s="832"/>
      <c r="O667" s="832"/>
      <c r="Q667" s="832"/>
      <c r="R667" s="832"/>
      <c r="S667" s="832"/>
      <c r="T667" s="832"/>
      <c r="U667" s="832"/>
      <c r="V667" s="832"/>
      <c r="W667" s="832"/>
      <c r="X667" s="832"/>
    </row>
    <row r="668" spans="1:25" s="812" customFormat="1" ht="30" hidden="1" customHeight="1" x14ac:dyDescent="0.15">
      <c r="A668" s="2072">
        <f t="shared" ca="1" si="211"/>
        <v>8.0699999999999985</v>
      </c>
      <c r="B668" s="833">
        <v>6079</v>
      </c>
      <c r="C668" s="2" t="str">
        <f>VLOOKUP($B668,[1]BOLETIM_SEL!$A:$H,2,0)</f>
        <v>COTAÇÃO - SINAPI</v>
      </c>
      <c r="D668" s="315" t="str">
        <f>VLOOKUP($B668,[1]BOLETIM_SEL!$A:$H,4,0)</f>
        <v>Argila, argila vermelha ou argila arenosa (retirada na jazida, sem transporte)</v>
      </c>
      <c r="E668" s="2221" t="s">
        <v>2632</v>
      </c>
      <c r="F668" s="2" t="str">
        <f>VLOOKUP($B668,[1]BOLETIM_SEL!$A:$H,6,0)</f>
        <v xml:space="preserve">M3    </v>
      </c>
      <c r="G668" s="1407">
        <f>VLOOKUP($B668,[1]BOLETIM_SEL!$A:$H,7,0)</f>
        <v>36.51</v>
      </c>
      <c r="H668" s="1608">
        <f>IF(M668="COMERCIAL",Pav_Estrutura!N33+Pav_Estrutura!N59,0)</f>
        <v>0</v>
      </c>
      <c r="I668" s="2222">
        <f t="shared" ref="I668:I672" si="221">TRUNC(G668*(1+$J$6),2)</f>
        <v>42.08</v>
      </c>
      <c r="J668" s="1607">
        <f t="shared" si="209"/>
        <v>0</v>
      </c>
      <c r="K668" s="2069">
        <f t="shared" ca="1" si="210"/>
        <v>0</v>
      </c>
      <c r="L668" s="1570">
        <f t="shared" ref="L668:L674" si="222">J668/$J$645</f>
        <v>0</v>
      </c>
      <c r="M668" s="1585" t="s">
        <v>1703</v>
      </c>
      <c r="N668" s="832"/>
      <c r="O668" s="832"/>
      <c r="Q668" s="832"/>
      <c r="R668" s="832"/>
      <c r="S668" s="832"/>
      <c r="T668" s="832"/>
      <c r="U668" s="832"/>
      <c r="V668" s="832"/>
      <c r="W668" s="832"/>
      <c r="X668" s="832"/>
    </row>
    <row r="669" spans="1:25" s="812" customFormat="1" ht="39.950000000000003" hidden="1" customHeight="1" x14ac:dyDescent="0.15">
      <c r="A669" s="2072">
        <f t="shared" ca="1" si="211"/>
        <v>8.0699999999999985</v>
      </c>
      <c r="B669" s="833">
        <v>4743</v>
      </c>
      <c r="C669" s="2" t="str">
        <f>VLOOKUP($B669,[1]BOLETIM_SEL!$A:$H,2,0)</f>
        <v>COTAÇÃO - SINAPI</v>
      </c>
      <c r="D669" s="315" t="str">
        <f>VLOOKUP($B669,[1]BOLETIM_SEL!$A:$H,4,0)</f>
        <v>Cascalho de cava</v>
      </c>
      <c r="E669" s="2221" t="s">
        <v>2632</v>
      </c>
      <c r="F669" s="2" t="str">
        <f>VLOOKUP($B669,[1]BOLETIM_SEL!$A:$H,6,0)</f>
        <v xml:space="preserve">M3    </v>
      </c>
      <c r="G669" s="1407">
        <f>VLOOKUP($B669,[1]BOLETIM_SEL!$A:$H,7,0)</f>
        <v>60.9</v>
      </c>
      <c r="H669" s="1606">
        <f>IF(M669="COMERCIAL",Pav_Estrutura!N35+Pav_Estrutura!N61,0)</f>
        <v>0</v>
      </c>
      <c r="I669" s="2222">
        <f t="shared" si="221"/>
        <v>70.2</v>
      </c>
      <c r="J669" s="1607">
        <f t="shared" si="209"/>
        <v>0</v>
      </c>
      <c r="K669" s="2069">
        <f t="shared" ca="1" si="210"/>
        <v>0</v>
      </c>
      <c r="L669" s="1570">
        <f t="shared" si="222"/>
        <v>0</v>
      </c>
      <c r="M669" s="1585" t="s">
        <v>1703</v>
      </c>
      <c r="N669" s="832"/>
      <c r="O669" s="832"/>
      <c r="Q669" s="832"/>
      <c r="R669" s="832"/>
      <c r="S669" s="832"/>
      <c r="T669" s="832"/>
      <c r="U669" s="832"/>
      <c r="V669" s="832"/>
      <c r="W669" s="832"/>
      <c r="X669" s="832"/>
    </row>
    <row r="670" spans="1:25" s="812" customFormat="1" ht="39.950000000000003" hidden="1" customHeight="1" x14ac:dyDescent="0.15">
      <c r="A670" s="2072">
        <f t="shared" ca="1" si="211"/>
        <v>8.0699999999999985</v>
      </c>
      <c r="B670" s="833">
        <v>4721</v>
      </c>
      <c r="C670" s="2" t="str">
        <f>VLOOKUP($B670,[1]BOLETIM_SEL!$A:$H,2,0)</f>
        <v>COTAÇÃO - SINAPI</v>
      </c>
      <c r="D670" s="315" t="str">
        <f>VLOOKUP($B670,[1]BOLETIM_SEL!$A:$H,4,0)</f>
        <v>Pedra britada n. 1 (9,5 A 19 mm) posto pedreira/fornecedor, sem frete</v>
      </c>
      <c r="E670" s="2221" t="s">
        <v>2632</v>
      </c>
      <c r="F670" s="2" t="str">
        <f>VLOOKUP($B670,[1]BOLETIM_SEL!$A:$H,6,0)</f>
        <v xml:space="preserve">M3    </v>
      </c>
      <c r="G670" s="1407">
        <f>VLOOKUP($B670,[1]BOLETIM_SEL!$A:$H,7,0)</f>
        <v>104.45</v>
      </c>
      <c r="H670" s="1606">
        <f>+Pav_Estrutura!N34+Pav_Estrutura!N60</f>
        <v>0</v>
      </c>
      <c r="I670" s="2222">
        <f t="shared" si="221"/>
        <v>120.4</v>
      </c>
      <c r="J670" s="1607">
        <f t="shared" si="209"/>
        <v>0</v>
      </c>
      <c r="K670" s="2069">
        <f t="shared" ca="1" si="210"/>
        <v>0</v>
      </c>
      <c r="L670" s="1570">
        <f t="shared" si="222"/>
        <v>0</v>
      </c>
      <c r="M670" s="1442"/>
      <c r="N670" s="832"/>
      <c r="O670" s="832"/>
      <c r="Q670" s="832"/>
      <c r="R670" s="832"/>
      <c r="S670" s="832"/>
      <c r="T670" s="832"/>
      <c r="U670" s="832"/>
      <c r="V670" s="832"/>
      <c r="W670" s="832"/>
      <c r="X670" s="832"/>
    </row>
    <row r="671" spans="1:25" s="812" customFormat="1" ht="30" customHeight="1" x14ac:dyDescent="0.15">
      <c r="A671" s="2072">
        <f t="shared" ca="1" si="211"/>
        <v>8.0799999999999983</v>
      </c>
      <c r="B671" s="833">
        <v>4748</v>
      </c>
      <c r="C671" s="2" t="str">
        <f>VLOOKUP($B671,[1]BOLETIM_SEL!$A:$H,2,0)</f>
        <v>COTAÇÃO - SINAPI</v>
      </c>
      <c r="D671" s="315" t="str">
        <f>VLOOKUP($B671,[1]BOLETIM_SEL!$A:$H,4,0)</f>
        <v>Pedra britada ou bica corrida, não classificada (posto pedreira/fornecedor, sem frete)</v>
      </c>
      <c r="E671" s="2221" t="s">
        <v>2632</v>
      </c>
      <c r="F671" s="2" t="str">
        <f>VLOOKUP($B671,[1]BOLETIM_SEL!$A:$H,6,0)</f>
        <v xml:space="preserve">M3    </v>
      </c>
      <c r="G671" s="1407">
        <f>VLOOKUP($B671,[1]BOLETIM_SEL!$A:$H,7,0)</f>
        <v>96.47</v>
      </c>
      <c r="H671" s="1606">
        <f>+Pav_Estrutura!N36+Pav_Estrutura!N62</f>
        <v>3399.31</v>
      </c>
      <c r="I671" s="2222">
        <f t="shared" si="221"/>
        <v>111.21</v>
      </c>
      <c r="J671" s="1607">
        <f t="shared" si="209"/>
        <v>378037.26</v>
      </c>
      <c r="K671" s="2069">
        <f t="shared" ca="1" si="210"/>
        <v>0.10275388663739619</v>
      </c>
      <c r="L671" s="1570">
        <f t="shared" si="222"/>
        <v>0.2068044824337591</v>
      </c>
      <c r="M671" s="1442"/>
      <c r="N671" s="832"/>
      <c r="O671" s="832"/>
      <c r="Q671" s="832"/>
      <c r="R671" s="832"/>
      <c r="S671" s="815"/>
      <c r="T671" s="815"/>
      <c r="U671" s="815"/>
      <c r="V671" s="815"/>
      <c r="W671" s="815"/>
      <c r="X671" s="815"/>
      <c r="Y671" s="2335"/>
    </row>
    <row r="672" spans="1:25" s="812" customFormat="1" ht="39.950000000000003" hidden="1" customHeight="1" x14ac:dyDescent="0.15">
      <c r="A672" s="2072">
        <f t="shared" ca="1" si="211"/>
        <v>8.0799999999999983</v>
      </c>
      <c r="B672" s="833">
        <v>4729</v>
      </c>
      <c r="C672" s="2" t="str">
        <f>VLOOKUP($B672,[1]BOLETIM_SEL!$A:$H,2,0)</f>
        <v>COTAÇÃO - SINAPI</v>
      </c>
      <c r="D672" s="315" t="str">
        <f>VLOOKUP($B672,[1]BOLETIM_SEL!$A:$H,4,0)</f>
        <v>Pedra britada graduada, classificada (posto pedreira/fornecedor, sem frete)</v>
      </c>
      <c r="E672" s="2221" t="s">
        <v>2632</v>
      </c>
      <c r="F672" s="2" t="str">
        <f>VLOOKUP($B672,[1]BOLETIM_SEL!$A:$H,6,0)</f>
        <v xml:space="preserve">M3    </v>
      </c>
      <c r="G672" s="1407">
        <f>VLOOKUP($B672,[1]BOLETIM_SEL!$A:$H,7,0)</f>
        <v>105.24</v>
      </c>
      <c r="H672" s="1606">
        <f>Pav_Estrutura!N37+Pav_Estrutura!N63</f>
        <v>0</v>
      </c>
      <c r="I672" s="2222">
        <f t="shared" si="221"/>
        <v>121.32</v>
      </c>
      <c r="J672" s="1607">
        <f t="shared" si="209"/>
        <v>0</v>
      </c>
      <c r="K672" s="2069">
        <f t="shared" ca="1" si="210"/>
        <v>0</v>
      </c>
      <c r="L672" s="1570">
        <f t="shared" si="222"/>
        <v>0</v>
      </c>
      <c r="M672" s="1442"/>
      <c r="N672" s="832"/>
      <c r="O672" s="832"/>
      <c r="Q672" s="832"/>
      <c r="R672" s="832"/>
      <c r="S672" s="832"/>
      <c r="T672" s="832"/>
      <c r="U672" s="832"/>
      <c r="V672" s="832"/>
      <c r="W672" s="832"/>
      <c r="X672" s="832"/>
    </row>
    <row r="673" spans="1:25" s="812" customFormat="1" ht="39.950000000000003" hidden="1" customHeight="1" x14ac:dyDescent="0.15">
      <c r="A673" s="2072">
        <f t="shared" ca="1" si="211"/>
        <v>8.0799999999999983</v>
      </c>
      <c r="B673" s="833">
        <f>IF(M673="escavadeira",100978,100974)</f>
        <v>100978</v>
      </c>
      <c r="C673" s="2" t="str">
        <f>VLOOKUP($B673,[1]BOLETIM_SEL!$A:$H,2,0)</f>
        <v>SINAPI</v>
      </c>
      <c r="D673" s="315" t="str">
        <f>VLOOKUP($B673,[1]BOLETIM_SEL!$A:$H,4,0)</f>
        <v>Carga, manobra e descarga de solos e materiais granulares em caminhão basculante 10 m3 - carga com escavadeira hidráulica (capacidade da caçamba: 1,20 m3 / potência: 155 HP) e descarga livre (unidade: m3). AF_07/2020</v>
      </c>
      <c r="E673" s="2"/>
      <c r="F673" s="2" t="str">
        <f>VLOOKUP($B673,[1]BOLETIM_SEL!$A:$H,6,0)</f>
        <v>M3</v>
      </c>
      <c r="G673" s="1407">
        <f>VLOOKUP($B673,[1]BOLETIM_SEL!$A:$H,7,0)</f>
        <v>6.71</v>
      </c>
      <c r="H673" s="1606">
        <f>Pav_Estrutura!N110+IF(Pav_Estrutura!N106&lt;=50,Pav_Estrutura!N106,0)</f>
        <v>0</v>
      </c>
      <c r="I673" s="876">
        <f>+TRUNC(G673*(1+$J$5),2)</f>
        <v>8.18</v>
      </c>
      <c r="J673" s="1607">
        <f t="shared" si="209"/>
        <v>0</v>
      </c>
      <c r="K673" s="2069">
        <f t="shared" ca="1" si="210"/>
        <v>0</v>
      </c>
      <c r="L673" s="1570">
        <f t="shared" si="222"/>
        <v>0</v>
      </c>
      <c r="M673" s="1585" t="s">
        <v>2094</v>
      </c>
      <c r="N673" s="832"/>
      <c r="O673" s="832"/>
      <c r="Q673" s="832"/>
      <c r="R673" s="832"/>
      <c r="S673" s="832"/>
      <c r="T673" s="832"/>
      <c r="U673" s="832"/>
      <c r="V673" s="832"/>
      <c r="W673" s="832"/>
      <c r="X673" s="832"/>
    </row>
    <row r="674" spans="1:25" s="812" customFormat="1" ht="39.950000000000003" hidden="1" customHeight="1" x14ac:dyDescent="0.15">
      <c r="A674" s="2072">
        <f t="shared" ca="1" si="211"/>
        <v>8.0799999999999983</v>
      </c>
      <c r="B674" s="833">
        <f>IF(M674="escavadeira",100979,100975)</f>
        <v>100979</v>
      </c>
      <c r="C674" s="2" t="str">
        <f>VLOOKUP($B674,[1]BOLETIM_SEL!$A:$H,2,0)</f>
        <v>SINAPI</v>
      </c>
      <c r="D674" s="315" t="str">
        <f>VLOOKUP($B674,[1]BOLETIM_SEL!$A:$H,4,0)</f>
        <v>Carga, manobra e descarga de solos e materiais granulares em caminhão basculante 14 m3 - carga com escavadeira hidráulica (capacidade da caçamba: 1,20 m3 / potência: 155 HP) e descarga livre (unidade: m3). AF_07/2020</v>
      </c>
      <c r="E674" s="2"/>
      <c r="F674" s="2" t="str">
        <f>VLOOKUP($B674,[1]BOLETIM_SEL!$A:$H,6,0)</f>
        <v>M3</v>
      </c>
      <c r="G674" s="1407">
        <f>VLOOKUP($B674,[1]BOLETIM_SEL!$A:$H,7,0)</f>
        <v>6.46</v>
      </c>
      <c r="H674" s="2183"/>
      <c r="I674" s="876">
        <f>+TRUNC(G674*(1+$J$5),2)</f>
        <v>7.88</v>
      </c>
      <c r="J674" s="1607">
        <f t="shared" si="209"/>
        <v>0</v>
      </c>
      <c r="K674" s="2069">
        <f t="shared" ca="1" si="210"/>
        <v>0</v>
      </c>
      <c r="L674" s="1570">
        <f t="shared" si="222"/>
        <v>0</v>
      </c>
      <c r="M674" s="1585" t="s">
        <v>2094</v>
      </c>
      <c r="N674" s="832"/>
      <c r="O674" s="832"/>
      <c r="Q674" s="832"/>
      <c r="R674" s="832"/>
      <c r="S674" s="832"/>
      <c r="T674" s="832"/>
      <c r="U674" s="832"/>
      <c r="V674" s="832"/>
      <c r="W674" s="832"/>
      <c r="X674" s="832"/>
    </row>
    <row r="675" spans="1:25" s="812" customFormat="1" ht="39.950000000000003" hidden="1" customHeight="1" x14ac:dyDescent="0.15">
      <c r="A675" s="2072">
        <f t="shared" ref="A675" ca="1" si="223">+IF(H675&gt;0,A674+0.01,A674)</f>
        <v>8.0799999999999983</v>
      </c>
      <c r="B675" s="833">
        <v>3009086</v>
      </c>
      <c r="C675" s="2" t="s">
        <v>2698</v>
      </c>
      <c r="D675" s="315" t="s">
        <v>2699</v>
      </c>
      <c r="E675" s="2"/>
      <c r="F675" s="2" t="s">
        <v>953</v>
      </c>
      <c r="G675" s="1407">
        <v>1513.29</v>
      </c>
      <c r="H675" s="1606"/>
      <c r="I675" s="876">
        <f>+TRUNC(G675*(1+$J$5),2)</f>
        <v>1846.21</v>
      </c>
      <c r="J675" s="1607">
        <f t="shared" ref="J675" si="224">TRUNC(H675*I675,2)</f>
        <v>0</v>
      </c>
      <c r="K675" s="2069">
        <f t="shared" ca="1" si="210"/>
        <v>0</v>
      </c>
      <c r="L675" s="1570">
        <f t="shared" ref="L675" si="225">J675/$J$645</f>
        <v>0</v>
      </c>
      <c r="M675" s="1585" t="s">
        <v>2094</v>
      </c>
      <c r="N675" s="832"/>
      <c r="O675" s="832"/>
      <c r="Q675" s="832"/>
      <c r="R675" s="832"/>
      <c r="S675" s="832"/>
      <c r="T675" s="832"/>
      <c r="U675" s="832"/>
      <c r="V675" s="832"/>
      <c r="W675" s="832"/>
      <c r="X675" s="832"/>
    </row>
    <row r="676" spans="1:25" s="812" customFormat="1" ht="24.95" customHeight="1" x14ac:dyDescent="0.15">
      <c r="A676" s="2074"/>
      <c r="B676" s="833"/>
      <c r="C676" s="2"/>
      <c r="D676" s="1449" t="s">
        <v>2814</v>
      </c>
      <c r="E676" s="2"/>
      <c r="F676" s="2"/>
      <c r="G676" s="1407"/>
      <c r="H676" s="2"/>
      <c r="I676" s="2"/>
      <c r="J676" s="838" t="str">
        <f>IF(J677=0,"-","")</f>
        <v/>
      </c>
      <c r="K676" s="2069"/>
      <c r="L676" s="1570"/>
      <c r="M676" s="1442"/>
      <c r="N676" s="832"/>
      <c r="O676" s="832"/>
      <c r="Q676" s="832"/>
      <c r="R676" s="832"/>
      <c r="S676" s="832"/>
      <c r="T676" s="832"/>
      <c r="U676" s="832"/>
      <c r="V676" s="832"/>
      <c r="W676" s="832"/>
      <c r="X676" s="832"/>
    </row>
    <row r="677" spans="1:25" s="812" customFormat="1" ht="39.950000000000003" customHeight="1" x14ac:dyDescent="0.15">
      <c r="A677" s="2072">
        <f ca="1">+IF(H677&gt;0,A674+0.01,A674)</f>
        <v>8.0899999999999981</v>
      </c>
      <c r="B677" s="833">
        <f>IF(AND(M677&lt;=50,E677&lt;=30),95875,IF(AND(M677&lt;=50,E677&gt;30),93590,IF(AND(M677&gt;50,E677&lt;=30),95876,93593)))</f>
        <v>95876</v>
      </c>
      <c r="C677" s="2" t="str">
        <f>VLOOKUP($B677,[1]BOLETIM_SEL!$A:$H,2,0)</f>
        <v>SINAPI</v>
      </c>
      <c r="D677" s="315" t="str">
        <f>VLOOKUP($B677,[1]BOLETIM_SEL!$A:$H,4,0)</f>
        <v>Transporte com caminhão basculante de 14 m3, em via urbana pavimentada, DMT até 30,00 km (unidade: m3xkm). AF_07/2020</v>
      </c>
      <c r="E677" s="2">
        <f>+Dados_DMT!$B$14</f>
        <v>7</v>
      </c>
      <c r="F677" s="2" t="str">
        <f>VLOOKUP($B677,[1]BOLETIM_SEL!$A:$H,6,0)</f>
        <v>M3XKM</v>
      </c>
      <c r="G677" s="1407">
        <f>VLOOKUP($B677,[1]BOLETIM_SEL!$A:$H,7,0)</f>
        <v>2.0699999999999998</v>
      </c>
      <c r="H677" s="1606">
        <f>ROUND(Pav_Estrutura!N97*E677,2)</f>
        <v>18961.04</v>
      </c>
      <c r="I677" s="876">
        <f>+TRUNC(G677*(1+$J$5),2)</f>
        <v>2.52</v>
      </c>
      <c r="J677" s="1607">
        <f t="shared" ref="J677" si="226">TRUNC(H677*I677,2)</f>
        <v>47781.82</v>
      </c>
      <c r="K677" s="2069">
        <f ca="1">J677/J$930</f>
        <v>1.2987523281722204E-2</v>
      </c>
      <c r="L677" s="1570">
        <f t="shared" ref="L677" si="227">J677/$J$645</f>
        <v>2.6138943433361674E-2</v>
      </c>
      <c r="M677" s="1450">
        <f>IF(H677=0,0,H677/E677)</f>
        <v>2708.7200000000003</v>
      </c>
      <c r="N677" s="832"/>
      <c r="O677" s="832"/>
      <c r="Q677" s="832"/>
      <c r="R677" s="832"/>
      <c r="S677" s="832"/>
      <c r="T677" s="832"/>
      <c r="U677" s="832"/>
      <c r="V677" s="832"/>
      <c r="W677" s="832"/>
      <c r="X677" s="832"/>
    </row>
    <row r="678" spans="1:25" s="812" customFormat="1" ht="24.95" hidden="1" customHeight="1" x14ac:dyDescent="0.15">
      <c r="A678" s="2074"/>
      <c r="B678" s="833"/>
      <c r="C678" s="2"/>
      <c r="D678" s="1449" t="s">
        <v>1894</v>
      </c>
      <c r="E678" s="2"/>
      <c r="F678" s="835"/>
      <c r="G678" s="1407"/>
      <c r="H678" s="2"/>
      <c r="I678" s="835"/>
      <c r="J678" s="838" t="str">
        <f>IF(J679=0,"-","")</f>
        <v>-</v>
      </c>
      <c r="K678" s="2069"/>
      <c r="L678" s="1570"/>
      <c r="M678" s="1442" t="s">
        <v>1669</v>
      </c>
      <c r="N678" s="832"/>
      <c r="O678" s="832"/>
      <c r="Q678" s="832"/>
      <c r="R678" s="832"/>
      <c r="S678" s="832"/>
      <c r="T678" s="832"/>
      <c r="U678" s="832"/>
      <c r="V678" s="832"/>
      <c r="W678" s="832"/>
      <c r="X678" s="832"/>
    </row>
    <row r="679" spans="1:25" s="812" customFormat="1" ht="30" hidden="1" customHeight="1" x14ac:dyDescent="0.15">
      <c r="A679" s="2072">
        <f ca="1">+IF(H679&gt;0,A677+0.01,A677)</f>
        <v>8.0899999999999981</v>
      </c>
      <c r="B679" s="833">
        <v>100939</v>
      </c>
      <c r="C679" s="2" t="str">
        <f>VLOOKUP($B679,[1]BOLETIM_SEL!$A:$H,2,0)</f>
        <v>SINAPI</v>
      </c>
      <c r="D679" s="315" t="str">
        <f>VLOOKUP($B679,[1]BOLETIM_SEL!$A:$H,4,0)</f>
        <v>Transporte com caminhão basculante de 14 m3, em via interna (dentro do canteiro - unidade:m3xkm). AF_07/2020</v>
      </c>
      <c r="E679" s="2">
        <f>+Dados_DMT!$B$15</f>
        <v>1</v>
      </c>
      <c r="F679" s="2" t="str">
        <f>VLOOKUP($B679,[1]BOLETIM_SEL!$A:$H,6,0)</f>
        <v>M3XKM</v>
      </c>
      <c r="G679" s="1407">
        <f>VLOOKUP($B679,[1]BOLETIM_SEL!$A:$H,7,0)</f>
        <v>6.29</v>
      </c>
      <c r="H679" s="1608">
        <f>ROUND(Pav_Estrutura!N110*E679,2)</f>
        <v>0</v>
      </c>
      <c r="I679" s="876">
        <f>+TRUNC(G679*(1+$J$5),2)</f>
        <v>7.67</v>
      </c>
      <c r="J679" s="1607">
        <f t="shared" ref="J679" si="228">TRUNC(H679*I679,2)</f>
        <v>0</v>
      </c>
      <c r="K679" s="2069">
        <f ca="1">J679/J$930</f>
        <v>0</v>
      </c>
      <c r="L679" s="1570">
        <f t="shared" ref="L679" si="229">J679/$J$645</f>
        <v>0</v>
      </c>
      <c r="M679" s="1442"/>
      <c r="N679" s="832"/>
      <c r="O679" s="832"/>
      <c r="Q679" s="832"/>
      <c r="R679" s="832"/>
      <c r="S679" s="832"/>
      <c r="T679" s="832"/>
      <c r="U679" s="832"/>
      <c r="V679" s="832"/>
      <c r="W679" s="832"/>
      <c r="X679" s="832"/>
    </row>
    <row r="680" spans="1:25" s="812" customFormat="1" ht="24.95" hidden="1" customHeight="1" x14ac:dyDescent="0.15">
      <c r="A680" s="2074"/>
      <c r="B680" s="833"/>
      <c r="C680" s="2"/>
      <c r="D680" s="1449" t="s">
        <v>1890</v>
      </c>
      <c r="E680" s="2"/>
      <c r="F680" s="2"/>
      <c r="G680" s="1407"/>
      <c r="H680" s="2"/>
      <c r="I680" s="2"/>
      <c r="J680" s="838" t="str">
        <f>IF(J681=0,"-","")</f>
        <v>-</v>
      </c>
      <c r="K680" s="2069"/>
      <c r="L680" s="1570"/>
      <c r="M680" s="1442"/>
      <c r="N680" s="832"/>
      <c r="O680" s="832"/>
      <c r="Q680" s="832"/>
      <c r="R680" s="832"/>
      <c r="S680" s="832"/>
      <c r="T680" s="832"/>
      <c r="U680" s="832"/>
      <c r="V680" s="832"/>
      <c r="W680" s="832"/>
      <c r="X680" s="832"/>
    </row>
    <row r="681" spans="1:25" s="812" customFormat="1" ht="39.950000000000003" hidden="1" customHeight="1" x14ac:dyDescent="0.15">
      <c r="A681" s="2072">
        <f ca="1">+IF(H681&gt;0,A679+0.01,A679)</f>
        <v>8.0899999999999981</v>
      </c>
      <c r="B681" s="833">
        <f>IF(AND(M681&lt;=50,E681&lt;=30),95875,IF(AND(M681&lt;=50,E681&gt;30),93590,IF(AND(M681&gt;50,E681&lt;=30),95876,93593)))</f>
        <v>95875</v>
      </c>
      <c r="C681" s="2" t="str">
        <f>VLOOKUP($B681,[1]BOLETIM_SEL!$A:$H,2,0)</f>
        <v>SINAPI</v>
      </c>
      <c r="D681" s="315" t="str">
        <f>VLOOKUP($B681,[1]BOLETIM_SEL!$A:$H,4,0)</f>
        <v>Transporte com caminhão basculante de 10 m3, em via urbana pavimentada, DMT até 30,00 km (unidade: m3xkm). AF_07/2020</v>
      </c>
      <c r="E681" s="2">
        <f>+Dados_DMT!$B$24</f>
        <v>0</v>
      </c>
      <c r="F681" s="2" t="str">
        <f>VLOOKUP($B681,[1]BOLETIM_SEL!$A:$H,6,0)</f>
        <v>M3XKM</v>
      </c>
      <c r="G681" s="1407">
        <f>VLOOKUP($B681,[1]BOLETIM_SEL!$A:$H,7,0)</f>
        <v>2.36</v>
      </c>
      <c r="H681" s="1606">
        <f>ROUND(Pav_Estrutura!N103*E681,2)</f>
        <v>0</v>
      </c>
      <c r="I681" s="876">
        <f>+TRUNC(G681*(1+$J$5),2)</f>
        <v>2.87</v>
      </c>
      <c r="J681" s="1607">
        <f t="shared" ref="J681" si="230">TRUNC(H681*I681,2)</f>
        <v>0</v>
      </c>
      <c r="K681" s="2069">
        <f ca="1">J681/J$930</f>
        <v>0</v>
      </c>
      <c r="L681" s="1570">
        <f t="shared" ref="L681" si="231">J681/$J$645</f>
        <v>0</v>
      </c>
      <c r="M681" s="1450">
        <f>IF(H681=0,0,H681/E681)</f>
        <v>0</v>
      </c>
      <c r="N681" s="832"/>
      <c r="O681" s="832"/>
      <c r="Q681" s="832"/>
      <c r="R681" s="832"/>
      <c r="S681" s="832"/>
      <c r="T681" s="832"/>
      <c r="U681" s="832"/>
      <c r="V681" s="832"/>
      <c r="W681" s="832"/>
      <c r="X681" s="832"/>
    </row>
    <row r="682" spans="1:25" s="812" customFormat="1" ht="24.95" hidden="1" customHeight="1" x14ac:dyDescent="0.15">
      <c r="A682" s="2074"/>
      <c r="B682" s="833"/>
      <c r="C682" s="2"/>
      <c r="D682" s="1449" t="s">
        <v>1895</v>
      </c>
      <c r="E682" s="2"/>
      <c r="F682" s="2"/>
      <c r="G682" s="1407"/>
      <c r="H682" s="2"/>
      <c r="I682" s="2"/>
      <c r="J682" s="838" t="str">
        <f>IF(J683=0,"-","")</f>
        <v>-</v>
      </c>
      <c r="K682" s="2069"/>
      <c r="L682" s="1570"/>
      <c r="M682" s="1442"/>
      <c r="N682" s="832"/>
      <c r="O682" s="832"/>
      <c r="Q682" s="832"/>
      <c r="R682" s="832"/>
      <c r="S682" s="832"/>
      <c r="T682" s="832"/>
      <c r="U682" s="832"/>
      <c r="V682" s="832"/>
      <c r="W682" s="832"/>
      <c r="X682" s="832"/>
    </row>
    <row r="683" spans="1:25" s="812" customFormat="1" ht="39.950000000000003" hidden="1" customHeight="1" x14ac:dyDescent="0.15">
      <c r="A683" s="2072">
        <f ca="1">+IF(H683&gt;0,A681+0.01,A681)</f>
        <v>8.0899999999999981</v>
      </c>
      <c r="B683" s="833">
        <f>IF(AND(M683&lt;=50,E683&lt;=30),95875,IF(AND(M683&lt;=50,E683&gt;30),93590,IF(AND(M683&gt;50,E683&lt;=30),95876,93593)))</f>
        <v>95875</v>
      </c>
      <c r="C683" s="2" t="str">
        <f>VLOOKUP($B683,[1]BOLETIM_SEL!$A:$H,2,0)</f>
        <v>SINAPI</v>
      </c>
      <c r="D683" s="315" t="str">
        <f>VLOOKUP($B683,[1]BOLETIM_SEL!$A:$H,4,0)</f>
        <v>Transporte com caminhão basculante de 10 m3, em via urbana pavimentada, DMT até 30,00 km (unidade: m3xkm). AF_07/2020</v>
      </c>
      <c r="E683" s="2">
        <f>+Dados_DMT!$B$34</f>
        <v>24</v>
      </c>
      <c r="F683" s="2" t="str">
        <f>VLOOKUP($B683,[1]BOLETIM_SEL!$A:$H,6,0)</f>
        <v>M3XKM</v>
      </c>
      <c r="G683" s="1407">
        <f>VLOOKUP($B683,[1]BOLETIM_SEL!$A:$H,7,0)</f>
        <v>2.36</v>
      </c>
      <c r="H683" s="1606">
        <f>ROUND(Pav_Estrutura!N104*E683,2)</f>
        <v>0</v>
      </c>
      <c r="I683" s="876">
        <f>+TRUNC(G683*(1+$J$5),2)</f>
        <v>2.87</v>
      </c>
      <c r="J683" s="1607">
        <f>TRUNC(H683*I683,2)</f>
        <v>0</v>
      </c>
      <c r="K683" s="2069">
        <f ca="1">J683/J$930</f>
        <v>0</v>
      </c>
      <c r="L683" s="1570">
        <f>J683/$J$645</f>
        <v>0</v>
      </c>
      <c r="M683" s="1450">
        <f>IF(H683=0,0,H683/E683)</f>
        <v>0</v>
      </c>
      <c r="N683" s="832"/>
      <c r="O683" s="832"/>
      <c r="Q683" s="832"/>
      <c r="R683" s="832"/>
      <c r="S683" s="832"/>
      <c r="T683" s="832"/>
      <c r="U683" s="832"/>
      <c r="V683" s="832"/>
      <c r="W683" s="832"/>
      <c r="X683" s="832"/>
    </row>
    <row r="684" spans="1:25" s="812" customFormat="1" ht="24.95" customHeight="1" x14ac:dyDescent="0.15">
      <c r="A684" s="2074"/>
      <c r="B684" s="833"/>
      <c r="C684" s="2"/>
      <c r="D684" s="1449" t="s">
        <v>1891</v>
      </c>
      <c r="E684" s="2"/>
      <c r="F684" s="2"/>
      <c r="G684" s="1407"/>
      <c r="H684" s="2"/>
      <c r="I684" s="2"/>
      <c r="J684" s="838" t="str">
        <f>IF(J685=0,"-","")</f>
        <v/>
      </c>
      <c r="K684" s="2069"/>
      <c r="L684" s="1570"/>
      <c r="M684" s="1442"/>
      <c r="N684" s="832"/>
      <c r="O684" s="832"/>
      <c r="Q684" s="832"/>
      <c r="R684" s="832"/>
      <c r="S684" s="815"/>
      <c r="T684" s="815"/>
      <c r="U684" s="815"/>
      <c r="V684" s="815"/>
      <c r="W684" s="815"/>
      <c r="X684" s="815"/>
      <c r="Y684" s="815"/>
    </row>
    <row r="685" spans="1:25" s="812" customFormat="1" ht="45" customHeight="1" x14ac:dyDescent="0.15">
      <c r="A685" s="2072">
        <f ca="1">+IF(H685&gt;0,A683+0.01,A683)</f>
        <v>8.0999999999999979</v>
      </c>
      <c r="B685" s="833">
        <f>IF(AND(M685&lt;=50,E685&lt;=30),95875,IF(AND(M685&lt;=50,E685&gt;30),93590,IF(AND(M685&gt;50,E685&lt;=30),95876,93593)))</f>
        <v>95876</v>
      </c>
      <c r="C685" s="2" t="str">
        <f>VLOOKUP($B685,[1]BOLETIM_SEL!$A:$H,2,0)</f>
        <v>SINAPI</v>
      </c>
      <c r="D685" s="315" t="str">
        <f>VLOOKUP($B685,[1]BOLETIM_SEL!$A:$H,4,0)</f>
        <v>Transporte com caminhão basculante de 14 m3, em via urbana pavimentada, DMT até 30,00 km (unidade: m3xkm). AF_07/2020</v>
      </c>
      <c r="E685" s="2">
        <f>+Dados_DMT!$B$34</f>
        <v>24</v>
      </c>
      <c r="F685" s="2" t="str">
        <f>VLOOKUP($B685,[1]BOLETIM_SEL!$A:$H,6,0)</f>
        <v>M3XKM</v>
      </c>
      <c r="G685" s="1407">
        <f>VLOOKUP($B685,[1]BOLETIM_SEL!$A:$H,7,0)</f>
        <v>2.0699999999999998</v>
      </c>
      <c r="H685" s="1606">
        <f>ROUND(Pav_Estrutura!N105*E685,2)</f>
        <v>81583.44</v>
      </c>
      <c r="I685" s="876">
        <f>+TRUNC(G685*(1+$J$5),2)</f>
        <v>2.52</v>
      </c>
      <c r="J685" s="1607">
        <f>TRUNC(H685*I685,2)</f>
        <v>205590.26</v>
      </c>
      <c r="K685" s="2069">
        <f ca="1">J685/J$930</f>
        <v>5.5881259613914276E-2</v>
      </c>
      <c r="L685" s="1570">
        <f>J685/$J$645</f>
        <v>0.11246771631114343</v>
      </c>
      <c r="M685" s="1450">
        <f>IF(H685=0,0,H685/E685)</f>
        <v>3399.31</v>
      </c>
      <c r="N685" s="832"/>
      <c r="O685" s="832"/>
      <c r="Q685" s="832"/>
      <c r="R685" s="832"/>
      <c r="S685" s="815"/>
      <c r="T685" s="815"/>
      <c r="U685" s="815"/>
      <c r="V685" s="815"/>
      <c r="W685" s="815"/>
      <c r="X685" s="815"/>
      <c r="Y685" s="2335"/>
    </row>
    <row r="686" spans="1:25" s="812" customFormat="1" ht="24.95" hidden="1" customHeight="1" x14ac:dyDescent="0.15">
      <c r="A686" s="2072"/>
      <c r="B686" s="833"/>
      <c r="C686" s="2"/>
      <c r="D686" s="1449" t="s">
        <v>1892</v>
      </c>
      <c r="E686" s="2"/>
      <c r="F686" s="2"/>
      <c r="G686" s="1407"/>
      <c r="H686" s="2"/>
      <c r="I686" s="2"/>
      <c r="J686" s="838" t="str">
        <f>IF(J687=0,"-","")</f>
        <v>-</v>
      </c>
      <c r="K686" s="2069"/>
      <c r="L686" s="1570"/>
      <c r="M686" s="1442"/>
      <c r="N686" s="832"/>
      <c r="O686" s="832"/>
      <c r="Q686" s="832"/>
      <c r="R686" s="832"/>
      <c r="S686" s="832"/>
      <c r="T686" s="832"/>
      <c r="U686" s="832"/>
      <c r="V686" s="832"/>
      <c r="W686" s="832"/>
      <c r="X686" s="832"/>
    </row>
    <row r="687" spans="1:25" s="812" customFormat="1" ht="39.950000000000003" hidden="1" customHeight="1" x14ac:dyDescent="0.15">
      <c r="A687" s="2072">
        <f ca="1">+IF(H687&gt;0,A685+0.01,A685)</f>
        <v>8.0999999999999979</v>
      </c>
      <c r="B687" s="833">
        <f>IF(AND(M687&lt;=50,E687&lt;=30),95875,IF(AND(M687&lt;=50,E687&gt;30),93590,IF(AND(M687&gt;50,E687&lt;=30),95876,93593)))</f>
        <v>95875</v>
      </c>
      <c r="C687" s="2" t="str">
        <f>VLOOKUP($B687,[1]BOLETIM_SEL!$A:$H,2,0)</f>
        <v>SINAPI</v>
      </c>
      <c r="D687" s="315" t="str">
        <f>VLOOKUP($B687,[1]BOLETIM_SEL!$A:$H,4,0)</f>
        <v>Transporte com caminhão basculante de 10 m3, em via urbana pavimentada, DMT até 30,00 km (unidade: m3xkm). AF_07/2020</v>
      </c>
      <c r="E687" s="2">
        <f>+Dados_DMT!$B$34</f>
        <v>24</v>
      </c>
      <c r="F687" s="2" t="str">
        <f>VLOOKUP($B687,[1]BOLETIM_SEL!$A:$H,6,0)</f>
        <v>M3XKM</v>
      </c>
      <c r="G687" s="1407">
        <f>VLOOKUP($B687,[1]BOLETIM_SEL!$A:$H,7,0)</f>
        <v>2.36</v>
      </c>
      <c r="H687" s="1606">
        <f>ROUND(Pav_Estrutura!N106*E687,2)</f>
        <v>0</v>
      </c>
      <c r="I687" s="876">
        <f>+TRUNC(G687*(1+$J$5),2)</f>
        <v>2.87</v>
      </c>
      <c r="J687" s="1607">
        <f>TRUNC(H687*I687,2)</f>
        <v>0</v>
      </c>
      <c r="K687" s="2069">
        <f ca="1">J687/J$930</f>
        <v>0</v>
      </c>
      <c r="L687" s="1570">
        <f>J687/$J$645</f>
        <v>0</v>
      </c>
      <c r="M687" s="1450">
        <f>IF(H687=0,0,H687/E687)</f>
        <v>0</v>
      </c>
      <c r="N687" s="832"/>
      <c r="O687" s="832"/>
      <c r="Q687" s="832"/>
      <c r="R687" s="832"/>
      <c r="S687" s="832"/>
      <c r="T687" s="832"/>
      <c r="U687" s="832"/>
      <c r="V687" s="832"/>
      <c r="W687" s="832"/>
      <c r="X687" s="832"/>
    </row>
    <row r="688" spans="1:25" s="812" customFormat="1" ht="24.95" hidden="1" customHeight="1" x14ac:dyDescent="0.15">
      <c r="A688" s="2072"/>
      <c r="B688" s="833"/>
      <c r="C688" s="2"/>
      <c r="D688" s="1449" t="s">
        <v>1898</v>
      </c>
      <c r="E688" s="2"/>
      <c r="F688" s="2"/>
      <c r="G688" s="1407"/>
      <c r="H688" s="2"/>
      <c r="I688" s="2"/>
      <c r="J688" s="838" t="str">
        <f>IF(J689=0,"-","")</f>
        <v>-</v>
      </c>
      <c r="K688" s="2069"/>
      <c r="L688" s="1570"/>
      <c r="M688" s="1442"/>
      <c r="N688" s="832"/>
      <c r="O688" s="832"/>
      <c r="Q688" s="832"/>
      <c r="R688" s="832"/>
      <c r="S688" s="832"/>
      <c r="T688" s="832"/>
      <c r="U688" s="832"/>
      <c r="V688" s="832"/>
      <c r="W688" s="832"/>
      <c r="X688" s="832"/>
    </row>
    <row r="689" spans="1:25" s="812" customFormat="1" ht="39.950000000000003" hidden="1" customHeight="1" x14ac:dyDescent="0.15">
      <c r="A689" s="2072">
        <f ca="1">+IF(H689&gt;0,A687+0.01,A687)</f>
        <v>8.0999999999999979</v>
      </c>
      <c r="B689" s="833">
        <f>IF(AND(M689&lt;=50,E689&lt;=30),95875,IF(AND(M689&lt;=50,E689&gt;30),93590,IF(AND(M689&gt;50,E689&lt;=30),95876,93593)))</f>
        <v>95875</v>
      </c>
      <c r="C689" s="2" t="str">
        <f>VLOOKUP($B689,[1]BOLETIM_SEL!$A:$H,2,0)</f>
        <v>SINAPI</v>
      </c>
      <c r="D689" s="315" t="str">
        <f>VLOOKUP($B689,[1]BOLETIM_SEL!$A:$H,4,0)</f>
        <v>Transporte com caminhão basculante de 10 m3, em via urbana pavimentada, DMT até 30,00 km (unidade: m3xkm). AF_07/2020</v>
      </c>
      <c r="E689" s="2">
        <f>+Dados_DMT!$B$34</f>
        <v>24</v>
      </c>
      <c r="F689" s="2" t="str">
        <f>VLOOKUP($B689,[1]BOLETIM_SEL!$A:$H,6,0)</f>
        <v>M3XKM</v>
      </c>
      <c r="G689" s="1407">
        <f>VLOOKUP($B689,[1]BOLETIM_SEL!$A:$H,7,0)</f>
        <v>2.36</v>
      </c>
      <c r="H689" s="1606">
        <f>ROUND(Pav_Estrutura!N107*E689,2)</f>
        <v>0</v>
      </c>
      <c r="I689" s="876">
        <f>+TRUNC(G689*(1+$J$5),2)</f>
        <v>2.87</v>
      </c>
      <c r="J689" s="1607">
        <f>TRUNC(H689*I689,2)</f>
        <v>0</v>
      </c>
      <c r="K689" s="2069">
        <f ca="1">J689/J$930</f>
        <v>0</v>
      </c>
      <c r="L689" s="1570">
        <f>J689/$J$645</f>
        <v>0</v>
      </c>
      <c r="M689" s="1450">
        <f>IF(H689=0,0,H689/E689)</f>
        <v>0</v>
      </c>
      <c r="N689" s="832"/>
      <c r="O689" s="832"/>
      <c r="Q689" s="832"/>
      <c r="R689" s="832"/>
      <c r="S689" s="832"/>
      <c r="T689" s="832"/>
      <c r="U689" s="832"/>
      <c r="V689" s="832"/>
      <c r="W689" s="832"/>
      <c r="X689" s="832"/>
    </row>
    <row r="690" spans="1:25" s="812" customFormat="1" ht="24.95" hidden="1" customHeight="1" x14ac:dyDescent="0.15">
      <c r="A690" s="2072"/>
      <c r="B690" s="833"/>
      <c r="C690" s="2"/>
      <c r="D690" s="1449" t="s">
        <v>1897</v>
      </c>
      <c r="E690" s="2"/>
      <c r="F690" s="2"/>
      <c r="G690" s="1407"/>
      <c r="H690" s="2"/>
      <c r="I690" s="2"/>
      <c r="J690" s="838" t="str">
        <f>IF(J691=0,"-","")</f>
        <v>-</v>
      </c>
      <c r="K690" s="2069"/>
      <c r="L690" s="1570"/>
      <c r="M690" s="1442"/>
      <c r="N690" s="832"/>
      <c r="O690" s="832"/>
      <c r="Q690" s="832"/>
      <c r="R690" s="832"/>
      <c r="S690" s="832"/>
      <c r="T690" s="832"/>
      <c r="U690" s="832"/>
      <c r="V690" s="832"/>
      <c r="W690" s="832"/>
      <c r="X690" s="832"/>
    </row>
    <row r="691" spans="1:25" s="812" customFormat="1" ht="39.950000000000003" hidden="1" customHeight="1" x14ac:dyDescent="0.15">
      <c r="A691" s="2072">
        <f ca="1">+IF(H691&gt;0,A689+0.01,A689)</f>
        <v>8.0999999999999979</v>
      </c>
      <c r="B691" s="833">
        <f>IF(AND(M691&lt;=50,E691&lt;=30),95875,IF(AND(M691&lt;=50,E691&gt;30),93590,IF(AND(M691&gt;50,E691&lt;=30),95876,93593)))</f>
        <v>95875</v>
      </c>
      <c r="C691" s="2" t="str">
        <f>VLOOKUP($B691,[1]BOLETIM_SEL!$A:$H,2,0)</f>
        <v>SINAPI</v>
      </c>
      <c r="D691" s="315" t="str">
        <f>VLOOKUP($B691,[1]BOLETIM_SEL!$A:$H,4,0)</f>
        <v>Transporte com caminhão basculante de 10 m3, em via urbana pavimentada, DMT até 30,00 km (unidade: m3xkm). AF_07/2020</v>
      </c>
      <c r="E691" s="2">
        <f>+Dados_DMT!$B$33</f>
        <v>0</v>
      </c>
      <c r="F691" s="2" t="str">
        <f>VLOOKUP($B691,[1]BOLETIM_SEL!$A:$H,6,0)</f>
        <v>M3XKM</v>
      </c>
      <c r="G691" s="1407">
        <f>VLOOKUP($B691,[1]BOLETIM_SEL!$A:$H,7,0)</f>
        <v>2.36</v>
      </c>
      <c r="H691" s="1606">
        <f>ROUND(Pav_Estrutura!N109*E691,2)</f>
        <v>0</v>
      </c>
      <c r="I691" s="876">
        <f>+TRUNC(G691*(1+$J$5),2)</f>
        <v>2.87</v>
      </c>
      <c r="J691" s="1607">
        <f>TRUNC(H691*I691,2)</f>
        <v>0</v>
      </c>
      <c r="K691" s="2069">
        <f ca="1">J691/J$930</f>
        <v>0</v>
      </c>
      <c r="L691" s="1570">
        <f>J691/$J$645</f>
        <v>0</v>
      </c>
      <c r="M691" s="1450">
        <f>IF(H691=0,0,H691/E691)</f>
        <v>0</v>
      </c>
      <c r="N691" s="832"/>
      <c r="O691" s="832"/>
      <c r="Q691" s="832"/>
      <c r="R691" s="832"/>
      <c r="S691" s="832"/>
      <c r="T691" s="832"/>
      <c r="U691" s="832"/>
      <c r="V691" s="832"/>
      <c r="W691" s="832"/>
      <c r="X691" s="832"/>
    </row>
    <row r="692" spans="1:25" s="812" customFormat="1" ht="24.95" hidden="1" customHeight="1" x14ac:dyDescent="0.15">
      <c r="A692" s="2072"/>
      <c r="B692" s="833"/>
      <c r="C692" s="2"/>
      <c r="D692" s="1449" t="s">
        <v>1896</v>
      </c>
      <c r="E692" s="2"/>
      <c r="F692" s="2"/>
      <c r="G692" s="1407"/>
      <c r="H692" s="2"/>
      <c r="I692" s="2"/>
      <c r="J692" s="838" t="str">
        <f>IF(J693=0,"-","")</f>
        <v>-</v>
      </c>
      <c r="K692" s="2069"/>
      <c r="L692" s="1570"/>
      <c r="M692" s="1442"/>
      <c r="N692" s="832"/>
      <c r="O692" s="832"/>
      <c r="Q692" s="832"/>
      <c r="R692" s="832"/>
      <c r="S692" s="832"/>
      <c r="T692" s="832"/>
      <c r="U692" s="832"/>
      <c r="V692" s="832"/>
      <c r="W692" s="832"/>
      <c r="X692" s="832"/>
    </row>
    <row r="693" spans="1:25" s="812" customFormat="1" ht="39.950000000000003" hidden="1" customHeight="1" x14ac:dyDescent="0.15">
      <c r="A693" s="2072">
        <f ca="1">+IF(H693&gt;0,A691+0.01,A691)</f>
        <v>8.0999999999999979</v>
      </c>
      <c r="B693" s="833">
        <f>IF(AND(M693&lt;=50,E693&lt;=30),95875,IF(AND(M693&lt;=50,E693&gt;30),93590,IF(AND(M693&gt;50,E693&lt;=30),95876,93593)))</f>
        <v>95875</v>
      </c>
      <c r="C693" s="2" t="str">
        <f>VLOOKUP($B693,[1]BOLETIM_SEL!$A:$H,2,0)</f>
        <v>SINAPI</v>
      </c>
      <c r="D693" s="315" t="str">
        <f>VLOOKUP($B693,[1]BOLETIM_SEL!$A:$H,4,0)</f>
        <v>Transporte com caminhão basculante de 10 m3, em via urbana pavimentada, DMT até 30,00 km (unidade: m3xkm). AF_07/2020</v>
      </c>
      <c r="E693" s="2">
        <f>+Dados_DMT!$B$32</f>
        <v>0</v>
      </c>
      <c r="F693" s="2" t="str">
        <f>VLOOKUP($B693,[1]BOLETIM_SEL!$A:$H,6,0)</f>
        <v>M3XKM</v>
      </c>
      <c r="G693" s="1407">
        <f>VLOOKUP($B693,[1]BOLETIM_SEL!$A:$H,7,0)</f>
        <v>2.36</v>
      </c>
      <c r="H693" s="1606">
        <f>ROUND(Pav_Estrutura!N108*E693,2)</f>
        <v>0</v>
      </c>
      <c r="I693" s="876">
        <f>+TRUNC(G693*(1+$J$5),2)</f>
        <v>2.87</v>
      </c>
      <c r="J693" s="1607">
        <f>TRUNC(H693*I693,2)</f>
        <v>0</v>
      </c>
      <c r="K693" s="2069">
        <f ca="1">J693/J$930</f>
        <v>0</v>
      </c>
      <c r="L693" s="1570">
        <f>J693/$J$645</f>
        <v>0</v>
      </c>
      <c r="M693" s="1450">
        <f>IF(H693=0,0,H693/E693)</f>
        <v>0</v>
      </c>
      <c r="N693" s="832"/>
      <c r="O693" s="832"/>
      <c r="Q693" s="832"/>
      <c r="R693" s="832"/>
      <c r="S693" s="832"/>
      <c r="T693" s="832"/>
      <c r="U693" s="832"/>
      <c r="V693" s="832"/>
      <c r="W693" s="832"/>
      <c r="X693" s="832"/>
    </row>
    <row r="694" spans="1:25" s="812" customFormat="1" ht="24.95" hidden="1" customHeight="1" x14ac:dyDescent="0.15">
      <c r="A694" s="2072"/>
      <c r="B694" s="833"/>
      <c r="C694" s="2"/>
      <c r="D694" s="1449" t="s">
        <v>1759</v>
      </c>
      <c r="E694" s="2"/>
      <c r="F694" s="2"/>
      <c r="G694" s="1407"/>
      <c r="H694" s="2"/>
      <c r="I694" s="2"/>
      <c r="J694" s="838" t="str">
        <f>IF(J695=0,"-","")</f>
        <v>-</v>
      </c>
      <c r="K694" s="2069"/>
      <c r="L694" s="1570"/>
      <c r="M694" s="1442"/>
      <c r="N694" s="832"/>
      <c r="O694" s="832"/>
      <c r="Q694" s="832"/>
      <c r="R694" s="832"/>
      <c r="S694" s="832"/>
      <c r="T694" s="832"/>
      <c r="U694" s="832"/>
      <c r="V694" s="832"/>
      <c r="W694" s="832"/>
      <c r="X694" s="832"/>
    </row>
    <row r="695" spans="1:25" s="812" customFormat="1" ht="39.950000000000003" hidden="1" customHeight="1" x14ac:dyDescent="0.15">
      <c r="A695" s="2072">
        <f ca="1">+IF(H695&gt;0,A693+0.01,A693)</f>
        <v>8.0999999999999979</v>
      </c>
      <c r="B695" s="833">
        <f>IF(AND(M695&lt;=50,E695&lt;=30),95875,IF(AND(M695&lt;=50,E695&gt;30),93590,IF(AND(M695&gt;50,E695&lt;=30),95876,93593)))</f>
        <v>95875</v>
      </c>
      <c r="C695" s="2" t="str">
        <f>VLOOKUP($B695,[1]BOLETIM_SEL!$A:$H,2,0)</f>
        <v>SINAPI</v>
      </c>
      <c r="D695" s="315" t="str">
        <f>VLOOKUP($B695,[1]BOLETIM_SEL!$A:$H,4,0)</f>
        <v>Transporte com caminhão basculante de 10 m3, em via urbana pavimentada, DMT até 30,00 km (unidade: m3xkm). AF_07/2020</v>
      </c>
      <c r="E695" s="2">
        <f>+Dados_DMT!$B$23</f>
        <v>0</v>
      </c>
      <c r="F695" s="2" t="str">
        <f>VLOOKUP($B695,[1]BOLETIM_SEL!$A:$H,6,0)</f>
        <v>M3XKM</v>
      </c>
      <c r="G695" s="1407">
        <f>VLOOKUP($B695,[1]BOLETIM_SEL!$A:$H,7,0)</f>
        <v>2.36</v>
      </c>
      <c r="H695" s="1606">
        <f>ROUND(Pav_Estrutura!N102*E695,2)</f>
        <v>0</v>
      </c>
      <c r="I695" s="876">
        <f>+TRUNC(G695*(1+$J$5),2)</f>
        <v>2.87</v>
      </c>
      <c r="J695" s="1607">
        <f>TRUNC(H695*I695,2)</f>
        <v>0</v>
      </c>
      <c r="K695" s="2069">
        <f ca="1">J695/J$930</f>
        <v>0</v>
      </c>
      <c r="L695" s="1570">
        <f>J695/$J$645</f>
        <v>0</v>
      </c>
      <c r="M695" s="1450">
        <f>IF(H695=0,0,H695/E695)</f>
        <v>0</v>
      </c>
      <c r="N695" s="832"/>
      <c r="O695" s="832"/>
      <c r="Q695" s="832"/>
      <c r="R695" s="832"/>
      <c r="S695" s="832"/>
      <c r="T695" s="832"/>
      <c r="U695" s="832"/>
      <c r="V695" s="832"/>
      <c r="W695" s="832"/>
      <c r="X695" s="832"/>
    </row>
    <row r="696" spans="1:25" s="812" customFormat="1" ht="24.95" hidden="1" customHeight="1" x14ac:dyDescent="0.15">
      <c r="A696" s="2072"/>
      <c r="B696" s="833"/>
      <c r="C696" s="2"/>
      <c r="D696" s="1449" t="s">
        <v>1760</v>
      </c>
      <c r="E696" s="2"/>
      <c r="F696" s="2"/>
      <c r="G696" s="1407"/>
      <c r="H696" s="2"/>
      <c r="I696" s="2"/>
      <c r="J696" s="838" t="str">
        <f>IF(J697=0,"-","")</f>
        <v>-</v>
      </c>
      <c r="K696" s="2069"/>
      <c r="L696" s="1570"/>
      <c r="M696" s="1442"/>
      <c r="N696" s="832"/>
      <c r="O696" s="832"/>
      <c r="Q696" s="832"/>
      <c r="R696" s="832"/>
      <c r="S696" s="832"/>
      <c r="T696" s="832"/>
      <c r="U696" s="832"/>
      <c r="V696" s="832"/>
      <c r="W696" s="832"/>
      <c r="X696" s="832"/>
    </row>
    <row r="697" spans="1:25" s="812" customFormat="1" ht="39.950000000000003" hidden="1" customHeight="1" x14ac:dyDescent="0.15">
      <c r="A697" s="2072">
        <f ca="1">+IF(H697&gt;0,A695+0.01,A695)</f>
        <v>8.0999999999999979</v>
      </c>
      <c r="B697" s="833">
        <f>IF(AND(M697&lt;=50,E697&lt;=30),95875,IF(AND(M697&lt;=50,E697&gt;30),93590,IF(AND(M697&gt;50,E697&lt;=30),95876,93593)))</f>
        <v>95875</v>
      </c>
      <c r="C697" s="2" t="str">
        <f>VLOOKUP($B697,[1]BOLETIM_SEL!$A:$H,2,0)</f>
        <v>SINAPI</v>
      </c>
      <c r="D697" s="315" t="str">
        <f>VLOOKUP($B697,[1]BOLETIM_SEL!$A:$H,4,0)</f>
        <v>Transporte com caminhão basculante de 10 m3, em via urbana pavimentada, DMT até 30,00 km (unidade: m3xkm). AF_07/2020</v>
      </c>
      <c r="E697" s="2">
        <f>+Dados_DMT!$B$22</f>
        <v>0</v>
      </c>
      <c r="F697" s="2" t="str">
        <f>VLOOKUP($B697,[1]BOLETIM_SEL!$A:$H,6,0)</f>
        <v>M3XKM</v>
      </c>
      <c r="G697" s="1407">
        <f>VLOOKUP($B697,[1]BOLETIM_SEL!$A:$H,7,0)</f>
        <v>2.36</v>
      </c>
      <c r="H697" s="1606">
        <f>ROUND(Pav_Estrutura!N101*E697,2)</f>
        <v>0</v>
      </c>
      <c r="I697" s="876">
        <f>+TRUNC(G697*(1+$J$5),2)</f>
        <v>2.87</v>
      </c>
      <c r="J697" s="1607">
        <f>TRUNC(H697*I697,2)</f>
        <v>0</v>
      </c>
      <c r="K697" s="2069">
        <f ca="1">J697/J$930</f>
        <v>0</v>
      </c>
      <c r="L697" s="1570">
        <f>J697/$J$645</f>
        <v>0</v>
      </c>
      <c r="M697" s="1450">
        <f>IF(H697=0,0,H697/E697)</f>
        <v>0</v>
      </c>
      <c r="N697" s="832"/>
      <c r="O697" s="832"/>
      <c r="Q697" s="832"/>
      <c r="R697" s="832"/>
      <c r="S697" s="832"/>
      <c r="T697" s="832"/>
      <c r="U697" s="832"/>
      <c r="V697" s="832"/>
      <c r="W697" s="832"/>
      <c r="X697" s="832"/>
    </row>
    <row r="698" spans="1:25" s="812" customFormat="1" ht="24.95" hidden="1" customHeight="1" x14ac:dyDescent="0.15">
      <c r="A698" s="2072"/>
      <c r="B698" s="833"/>
      <c r="C698" s="2"/>
      <c r="D698" s="1449" t="s">
        <v>1836</v>
      </c>
      <c r="E698" s="2"/>
      <c r="F698" s="2"/>
      <c r="G698" s="1407"/>
      <c r="H698" s="2"/>
      <c r="I698" s="2"/>
      <c r="J698" s="838" t="str">
        <f>IF(J699=0,"-","")</f>
        <v>-</v>
      </c>
      <c r="K698" s="2069"/>
      <c r="L698" s="1570"/>
      <c r="M698" s="1442"/>
      <c r="N698" s="832"/>
      <c r="O698" s="832"/>
      <c r="Q698" s="832"/>
      <c r="R698" s="832"/>
      <c r="S698" s="832"/>
      <c r="T698" s="832"/>
      <c r="U698" s="832"/>
      <c r="V698" s="832"/>
      <c r="W698" s="832"/>
      <c r="X698" s="832"/>
    </row>
    <row r="699" spans="1:25" s="812" customFormat="1" ht="39.950000000000003" hidden="1" customHeight="1" x14ac:dyDescent="0.15">
      <c r="A699" s="2072">
        <f ca="1">+IF(H699&gt;0,A697+0.01,A697)</f>
        <v>8.0999999999999979</v>
      </c>
      <c r="B699" s="833">
        <f>IF(AND(M699&lt;=50,E699&lt;=30),95875,IF(AND(M699&lt;=50,E699&gt;30),93590,IF(AND(M699&gt;50,E699&lt;=30),95876,93593)))</f>
        <v>95875</v>
      </c>
      <c r="C699" s="2" t="str">
        <f>VLOOKUP($B699,[1]BOLETIM_SEL!$A:$H,2,0)</f>
        <v>SINAPI</v>
      </c>
      <c r="D699" s="315" t="str">
        <f>VLOOKUP($B699,[1]BOLETIM_SEL!$A:$H,4,0)</f>
        <v>Transporte com caminhão basculante de 10 m3, em via urbana pavimentada, DMT até 30,00 km (unidade: m3xkm). AF_07/2020</v>
      </c>
      <c r="E699" s="2">
        <f>+Dados_DMT!$B$21</f>
        <v>0</v>
      </c>
      <c r="F699" s="2" t="str">
        <f>VLOOKUP($B699,[1]BOLETIM_SEL!$A:$H,6,0)</f>
        <v>M3XKM</v>
      </c>
      <c r="G699" s="1407">
        <f>VLOOKUP($B699,[1]BOLETIM_SEL!$A:$H,7,0)</f>
        <v>2.36</v>
      </c>
      <c r="H699" s="1606">
        <f>ROUND(Pav_Estrutura!N100*E699,2)</f>
        <v>0</v>
      </c>
      <c r="I699" s="876">
        <f>+TRUNC(G699*(1+$J$5),2)</f>
        <v>2.87</v>
      </c>
      <c r="J699" s="1607">
        <f>TRUNC(H699*I699,2)</f>
        <v>0</v>
      </c>
      <c r="K699" s="2069">
        <f ca="1">J699/J$930</f>
        <v>0</v>
      </c>
      <c r="L699" s="1570">
        <f>J699/$J$645</f>
        <v>0</v>
      </c>
      <c r="M699" s="1450">
        <f>IF(H699=0,0,H699/E699)</f>
        <v>0</v>
      </c>
      <c r="N699" s="832"/>
      <c r="O699" s="832"/>
      <c r="Q699" s="832"/>
      <c r="R699" s="832"/>
      <c r="S699" s="832"/>
      <c r="T699" s="832"/>
      <c r="U699" s="832"/>
      <c r="V699" s="832"/>
      <c r="W699" s="832"/>
      <c r="X699" s="832"/>
    </row>
    <row r="700" spans="1:25" s="812" customFormat="1" ht="24.95" hidden="1" customHeight="1" x14ac:dyDescent="0.15">
      <c r="A700" s="2072"/>
      <c r="B700" s="833"/>
      <c r="C700" s="2"/>
      <c r="D700" s="1449" t="s">
        <v>1814</v>
      </c>
      <c r="E700" s="2"/>
      <c r="F700" s="2"/>
      <c r="G700" s="1407"/>
      <c r="H700" s="2"/>
      <c r="I700" s="2"/>
      <c r="J700" s="838" t="str">
        <f>IF(J701=0,"-","")</f>
        <v>-</v>
      </c>
      <c r="K700" s="2069"/>
      <c r="L700" s="1570"/>
      <c r="M700" s="1442"/>
      <c r="N700" s="832"/>
      <c r="O700" s="832"/>
      <c r="Q700" s="832"/>
      <c r="R700" s="832"/>
      <c r="S700" s="832"/>
      <c r="T700" s="832"/>
      <c r="U700" s="832"/>
      <c r="V700" s="832"/>
      <c r="W700" s="832"/>
      <c r="X700" s="832"/>
    </row>
    <row r="701" spans="1:25" s="812" customFormat="1" ht="39.950000000000003" hidden="1" customHeight="1" x14ac:dyDescent="0.15">
      <c r="A701" s="2072">
        <f ca="1">+IF(H701&gt;0,A699+0.01,A699)</f>
        <v>8.0999999999999979</v>
      </c>
      <c r="B701" s="833">
        <f>IF(AND(M701&lt;=50,E701&lt;=30),95875,IF(AND(M701&lt;=50,E701&gt;30),93590,IF(AND(M701&gt;50,E701&lt;=30),95876,93593)))</f>
        <v>95875</v>
      </c>
      <c r="C701" s="2" t="str">
        <f>VLOOKUP($B701,[1]BOLETIM_SEL!$A:$H,2,0)</f>
        <v>SINAPI</v>
      </c>
      <c r="D701" s="315" t="str">
        <f>VLOOKUP($B701,[1]BOLETIM_SEL!$A:$H,4,0)</f>
        <v>Transporte com caminhão basculante de 10 m3, em via urbana pavimentada, DMT até 30,00 km (unidade: m3xkm). AF_07/2020</v>
      </c>
      <c r="E701" s="2">
        <f>+Dados_DMT!$B$21</f>
        <v>0</v>
      </c>
      <c r="F701" s="2" t="str">
        <f>VLOOKUP($B701,[1]BOLETIM_SEL!$A:$H,6,0)</f>
        <v>M3XKM</v>
      </c>
      <c r="G701" s="1407">
        <f>VLOOKUP($B701,[1]BOLETIM_SEL!$A:$H,7,0)</f>
        <v>2.36</v>
      </c>
      <c r="H701" s="1606">
        <f>ROUND(Pav_Estrutura!N99*E701,2)</f>
        <v>0</v>
      </c>
      <c r="I701" s="876">
        <f>+TRUNC(G701*(1+$J$5),2)</f>
        <v>2.87</v>
      </c>
      <c r="J701" s="1607">
        <f>TRUNC(H701*I701,2)</f>
        <v>0</v>
      </c>
      <c r="K701" s="2069">
        <f ca="1">J701/J$930</f>
        <v>0</v>
      </c>
      <c r="L701" s="1570">
        <f>J701/$J$645</f>
        <v>0</v>
      </c>
      <c r="M701" s="1450">
        <f>IF(H701=0,0,H701/E701)</f>
        <v>0</v>
      </c>
      <c r="N701" s="832"/>
      <c r="O701" s="832"/>
      <c r="Q701" s="832"/>
      <c r="R701" s="832"/>
      <c r="S701" s="832"/>
      <c r="T701" s="832"/>
      <c r="U701" s="832"/>
      <c r="V701" s="832"/>
      <c r="W701" s="832"/>
      <c r="X701" s="832"/>
    </row>
    <row r="702" spans="1:25" s="812" customFormat="1" ht="24.95" hidden="1" customHeight="1" x14ac:dyDescent="0.15">
      <c r="A702" s="2072"/>
      <c r="B702" s="833"/>
      <c r="C702" s="2"/>
      <c r="D702" s="1449" t="s">
        <v>1757</v>
      </c>
      <c r="E702" s="2"/>
      <c r="F702" s="2"/>
      <c r="G702" s="1407"/>
      <c r="H702" s="2"/>
      <c r="I702" s="2"/>
      <c r="J702" s="838" t="str">
        <f>IF(J703=0,"-","")</f>
        <v>-</v>
      </c>
      <c r="K702" s="2069"/>
      <c r="L702" s="1570"/>
      <c r="M702" s="1442"/>
      <c r="N702" s="832"/>
      <c r="O702" s="832"/>
      <c r="Q702" s="832"/>
      <c r="R702" s="832"/>
      <c r="S702" s="832"/>
      <c r="T702" s="832"/>
      <c r="U702" s="832"/>
      <c r="V702" s="832"/>
      <c r="W702" s="832"/>
      <c r="X702" s="832"/>
    </row>
    <row r="703" spans="1:25" s="812" customFormat="1" ht="39.950000000000003" hidden="1" customHeight="1" x14ac:dyDescent="0.15">
      <c r="A703" s="2072">
        <f ca="1">+IF(H703&gt;0,A701+0.01,A701)</f>
        <v>8.0999999999999979</v>
      </c>
      <c r="B703" s="833">
        <f>IF(AND(M703&lt;=50,E703&lt;=30),95875,IF(AND(M703&lt;=50,E703&gt;30),93590,IF(AND(M703&gt;50,E703&lt;=30),95876,93593)))</f>
        <v>95875</v>
      </c>
      <c r="C703" s="2" t="str">
        <f>VLOOKUP($B703,[1]BOLETIM_SEL!$A:$H,2,0)</f>
        <v>SINAPI</v>
      </c>
      <c r="D703" s="315" t="str">
        <f>VLOOKUP($B703,[1]BOLETIM_SEL!$A:$H,4,0)</f>
        <v>Transporte com caminhão basculante de 10 m3, em via urbana pavimentada, DMT até 30,00 km (unidade: m3xkm). AF_07/2020</v>
      </c>
      <c r="E703" s="2">
        <f>+Dados_DMT!$B$31</f>
        <v>0</v>
      </c>
      <c r="F703" s="2" t="str">
        <f>VLOOKUP($B703,[1]BOLETIM_SEL!$A:$H,6,0)</f>
        <v>M3XKM</v>
      </c>
      <c r="G703" s="1407">
        <f>VLOOKUP($B703,[1]BOLETIM_SEL!$A:$H,7,0)</f>
        <v>2.36</v>
      </c>
      <c r="H703" s="1606">
        <f>ROUND(Pav_Estrutura!N120*E703,2)</f>
        <v>0</v>
      </c>
      <c r="I703" s="876">
        <f>+TRUNC(G703*(1+$J$5),2)</f>
        <v>2.87</v>
      </c>
      <c r="J703" s="1607">
        <f>TRUNC(H703*I703,2)</f>
        <v>0</v>
      </c>
      <c r="K703" s="2069">
        <f ca="1">J703/J$930</f>
        <v>0</v>
      </c>
      <c r="L703" s="1570">
        <f>J703/$J$645</f>
        <v>0</v>
      </c>
      <c r="M703" s="1450">
        <f>IF(H703=0,0,H703/E703)</f>
        <v>0</v>
      </c>
      <c r="N703" s="832"/>
      <c r="O703" s="832"/>
      <c r="Q703" s="832"/>
      <c r="R703" s="832"/>
      <c r="S703" s="832"/>
      <c r="T703" s="832"/>
      <c r="U703" s="832"/>
      <c r="V703" s="832"/>
      <c r="W703" s="832"/>
      <c r="X703" s="832"/>
    </row>
    <row r="704" spans="1:25" s="812" customFormat="1" ht="24.95" customHeight="1" x14ac:dyDescent="0.15">
      <c r="A704" s="2072"/>
      <c r="B704" s="833"/>
      <c r="C704" s="2"/>
      <c r="D704" s="1449" t="s">
        <v>1758</v>
      </c>
      <c r="E704" s="2"/>
      <c r="F704" s="2"/>
      <c r="G704" s="1407"/>
      <c r="H704" s="2"/>
      <c r="I704" s="2"/>
      <c r="J704" s="838" t="str">
        <f>IF(J705=0,"-","")</f>
        <v/>
      </c>
      <c r="K704" s="2069"/>
      <c r="L704" s="1570"/>
      <c r="M704" s="1442"/>
      <c r="N704" s="832"/>
      <c r="O704" s="832"/>
      <c r="Q704" s="832"/>
      <c r="R704" s="832"/>
      <c r="S704" s="815"/>
      <c r="T704" s="815"/>
      <c r="U704" s="815"/>
      <c r="V704" s="815"/>
      <c r="W704" s="815"/>
      <c r="X704" s="815"/>
      <c r="Y704" s="815"/>
    </row>
    <row r="705" spans="1:25" s="812" customFormat="1" ht="45" customHeight="1" x14ac:dyDescent="0.15">
      <c r="A705" s="2072">
        <f ca="1">+IF(H705&gt;0,A703+0.01,A703)</f>
        <v>8.1099999999999977</v>
      </c>
      <c r="B705" s="833">
        <f>IF(AND(M705&lt;=50,E705&lt;=30),95878,IF(AND(M705&lt;=50,E705&gt;30),93596,IF(AND(M705&gt;50,E705&lt;=30),95879,93599)))</f>
        <v>95879</v>
      </c>
      <c r="C705" s="2" t="str">
        <f>VLOOKUP($B705,[1]BOLETIM_SEL!$A:$H,2,0)</f>
        <v>SINAPI</v>
      </c>
      <c r="D705" s="315" t="str">
        <f>VLOOKUP($B705,[1]BOLETIM_SEL!$A:$H,4,0)</f>
        <v>Transporte com caminhão basculante de 14 m3, em via urbana pavimentada, DMT até 30,00 km (unidade: txkm). AF_07/2020</v>
      </c>
      <c r="E705" s="2">
        <f>+Dados_DMT!$B$30</f>
        <v>19</v>
      </c>
      <c r="F705" s="2" t="str">
        <f>VLOOKUP($B705,[1]BOLETIM_SEL!$A:$H,6,0)</f>
        <v>TXKM</v>
      </c>
      <c r="G705" s="1407">
        <f>VLOOKUP($B705,[1]BOLETIM_SEL!$A:$H,7,0)</f>
        <v>1.4</v>
      </c>
      <c r="H705" s="1606">
        <f>ROUND(Pav_Estrutura!N119*E705,2)</f>
        <v>21328.26</v>
      </c>
      <c r="I705" s="876">
        <f>+TRUNC(G705*(1+$J$5),2)</f>
        <v>1.7</v>
      </c>
      <c r="J705" s="1607">
        <f>TRUNC(H705*I705,2)</f>
        <v>36258.04</v>
      </c>
      <c r="K705" s="2069">
        <f ca="1">J705/J$930</f>
        <v>9.8552574734410477E-3</v>
      </c>
      <c r="L705" s="1570">
        <f>J705/$J$645</f>
        <v>1.9834883990701168E-2</v>
      </c>
      <c r="M705" s="1451">
        <f>IF(H705=0,0,H705/E705)</f>
        <v>1122.54</v>
      </c>
      <c r="N705" s="832"/>
      <c r="O705" s="832"/>
      <c r="Q705" s="832"/>
      <c r="R705" s="832"/>
      <c r="S705" s="815"/>
      <c r="T705" s="815"/>
      <c r="U705" s="815"/>
      <c r="V705" s="815"/>
      <c r="W705" s="815"/>
      <c r="X705" s="815"/>
      <c r="Y705" s="2335"/>
    </row>
    <row r="706" spans="1:25" s="812" customFormat="1" ht="24.95" hidden="1" customHeight="1" x14ac:dyDescent="0.15">
      <c r="A706" s="2072"/>
      <c r="B706" s="833"/>
      <c r="C706" s="2"/>
      <c r="D706" s="1449" t="s">
        <v>1755</v>
      </c>
      <c r="E706" s="2"/>
      <c r="F706" s="2"/>
      <c r="G706" s="1407"/>
      <c r="H706" s="2"/>
      <c r="I706" s="2"/>
      <c r="J706" s="838" t="str">
        <f>IF(J707=0,"-","")</f>
        <v>-</v>
      </c>
      <c r="K706" s="2069"/>
      <c r="L706" s="1570"/>
      <c r="M706" s="1442"/>
      <c r="N706" s="832"/>
      <c r="O706" s="832"/>
      <c r="Q706" s="832"/>
      <c r="R706" s="832"/>
      <c r="S706" s="832"/>
      <c r="T706" s="832"/>
      <c r="U706" s="832"/>
      <c r="V706" s="832"/>
      <c r="W706" s="832"/>
      <c r="X706" s="832"/>
    </row>
    <row r="707" spans="1:25" s="812" customFormat="1" ht="39.950000000000003" hidden="1" customHeight="1" x14ac:dyDescent="0.15">
      <c r="A707" s="2072">
        <f ca="1">+IF(H707&gt;0,A705+0.01,A705)</f>
        <v>8.1099999999999977</v>
      </c>
      <c r="B707" s="833">
        <v>102332</v>
      </c>
      <c r="C707" s="2" t="str">
        <f>VLOOKUP($B707,[1]BOLETIM_SEL!$A:$H,2,0)</f>
        <v>SINAPI</v>
      </c>
      <c r="D707" s="315" t="str">
        <f>VLOOKUP($B707,[1]BOLETIM_SEL!$A:$H,4,0)</f>
        <v>Transporte com caminhão tanque de transporte de material asfáltico de 20.000 l, em via urbana pavimentada, DMT até 30,00 km (unidade: txkm). AF_07/2020</v>
      </c>
      <c r="E707" s="2">
        <f>+Dados_DMT!$B$25</f>
        <v>19</v>
      </c>
      <c r="F707" s="2" t="str">
        <f>VLOOKUP($B707,[1]BOLETIM_SEL!$A:$H,6,0)</f>
        <v>TXKM</v>
      </c>
      <c r="G707" s="1407">
        <f>VLOOKUP($B707,[1]BOLETIM_SEL!$A:$H,7,0)</f>
        <v>1.75</v>
      </c>
      <c r="H707" s="1606">
        <f>IF(B655="PA/0025",0,ROUND(Pav_Estrutura!N112*E707,2))</f>
        <v>0</v>
      </c>
      <c r="I707" s="876">
        <f>+TRUNC(G707*(1+$J$5),2)</f>
        <v>2.13</v>
      </c>
      <c r="J707" s="1607">
        <f>TRUNC(H707*I707,2)</f>
        <v>0</v>
      </c>
      <c r="K707" s="2069">
        <f ca="1">J707/J$930</f>
        <v>0</v>
      </c>
      <c r="L707" s="1570">
        <f>J707/$J$645</f>
        <v>0</v>
      </c>
      <c r="M707" s="1451">
        <f>IF(H707=0,0,H707/E707)</f>
        <v>0</v>
      </c>
      <c r="N707" s="832"/>
      <c r="O707" s="832"/>
      <c r="Q707" s="832"/>
      <c r="R707" s="832"/>
      <c r="S707" s="832"/>
      <c r="T707" s="832"/>
      <c r="U707" s="832"/>
      <c r="V707" s="832"/>
      <c r="W707" s="832"/>
      <c r="X707" s="832"/>
    </row>
    <row r="708" spans="1:25" s="812" customFormat="1" ht="24.95" customHeight="1" x14ac:dyDescent="0.15">
      <c r="A708" s="2072"/>
      <c r="B708" s="833"/>
      <c r="C708" s="2"/>
      <c r="D708" s="1449" t="s">
        <v>1754</v>
      </c>
      <c r="E708" s="2"/>
      <c r="F708" s="2"/>
      <c r="G708" s="1407"/>
      <c r="H708" s="2"/>
      <c r="I708" s="2"/>
      <c r="J708" s="838" t="str">
        <f>IF(J709=0,"-","")</f>
        <v/>
      </c>
      <c r="K708" s="2069"/>
      <c r="L708" s="1570"/>
      <c r="M708" s="1442"/>
      <c r="N708" s="832"/>
      <c r="O708" s="832"/>
      <c r="Q708" s="832"/>
      <c r="R708" s="832"/>
      <c r="S708" s="832"/>
      <c r="T708" s="832"/>
      <c r="U708" s="832"/>
      <c r="V708" s="832"/>
      <c r="W708" s="832"/>
      <c r="X708" s="832"/>
    </row>
    <row r="709" spans="1:25" s="812" customFormat="1" ht="39.950000000000003" customHeight="1" x14ac:dyDescent="0.15">
      <c r="A709" s="2072">
        <f ca="1">+IF(H709&gt;0,A707+0.01,A707)</f>
        <v>8.1199999999999974</v>
      </c>
      <c r="B709" s="833">
        <v>102332</v>
      </c>
      <c r="C709" s="2" t="str">
        <f>VLOOKUP($B709,[1]BOLETIM_SEL!$A:$H,2,0)</f>
        <v>SINAPI</v>
      </c>
      <c r="D709" s="315" t="str">
        <f>VLOOKUP($B709,[1]BOLETIM_SEL!$A:$H,4,0)</f>
        <v>Transporte com caminhão tanque de transporte de material asfáltico de 20.000 l, em via urbana pavimentada, DMT até 30,00 km (unidade: txkm). AF_07/2020</v>
      </c>
      <c r="E709" s="2">
        <f>+Dados_DMT!$B$25</f>
        <v>19</v>
      </c>
      <c r="F709" s="2" t="str">
        <f>VLOOKUP($B709,[1]BOLETIM_SEL!$A:$H,6,0)</f>
        <v>TXKM</v>
      </c>
      <c r="G709" s="1407">
        <f>VLOOKUP($B709,[1]BOLETIM_SEL!$A:$H,7,0)</f>
        <v>1.75</v>
      </c>
      <c r="H709" s="1606">
        <f>IF(B655="PA/0025",ROUND(Pav_Estrutura!N112,2)*E709,0)+ROUND(SUM(Pav_Estrutura!N113:N114)*E709,2)</f>
        <v>409.64</v>
      </c>
      <c r="I709" s="876">
        <f>+TRUNC(G709*(1+$J$5),2)</f>
        <v>2.13</v>
      </c>
      <c r="J709" s="1607">
        <f>TRUNC(H709*I709,2)</f>
        <v>872.53</v>
      </c>
      <c r="K709" s="2069">
        <f ca="1">J709/J$930</f>
        <v>2.3716140760232814E-4</v>
      </c>
      <c r="L709" s="1570">
        <f>J709/$J$645</f>
        <v>4.7731568855918549E-4</v>
      </c>
      <c r="M709" s="1451">
        <f>IF(H709=0,0,H709/E709)</f>
        <v>21.56</v>
      </c>
      <c r="N709" s="832"/>
      <c r="O709" s="832"/>
      <c r="Q709" s="832"/>
      <c r="R709" s="832"/>
      <c r="S709" s="832"/>
      <c r="T709" s="832"/>
      <c r="U709" s="832"/>
      <c r="V709" s="832"/>
      <c r="W709" s="832"/>
      <c r="X709" s="832"/>
    </row>
    <row r="710" spans="1:25" s="812" customFormat="1" ht="24.95" hidden="1" customHeight="1" x14ac:dyDescent="0.15">
      <c r="A710" s="2072"/>
      <c r="B710" s="833"/>
      <c r="C710" s="2"/>
      <c r="D710" s="1449" t="s">
        <v>1789</v>
      </c>
      <c r="E710" s="2"/>
      <c r="F710" s="2"/>
      <c r="G710" s="1407"/>
      <c r="H710" s="2"/>
      <c r="I710" s="2"/>
      <c r="J710" s="838" t="str">
        <f>IF(J711=0,"-","")</f>
        <v>-</v>
      </c>
      <c r="K710" s="2069"/>
      <c r="L710" s="1570"/>
      <c r="M710" s="1442"/>
      <c r="N710" s="832"/>
      <c r="O710" s="832"/>
      <c r="Q710" s="832"/>
      <c r="R710" s="832"/>
      <c r="S710" s="832"/>
      <c r="T710" s="832"/>
      <c r="U710" s="832"/>
      <c r="V710" s="832"/>
      <c r="W710" s="832"/>
      <c r="X710" s="832"/>
    </row>
    <row r="711" spans="1:25" s="812" customFormat="1" ht="39.950000000000003" hidden="1" customHeight="1" x14ac:dyDescent="0.15">
      <c r="A711" s="2072">
        <f ca="1">+IF(H711&gt;0,A709+0.01,A709)</f>
        <v>8.1199999999999974</v>
      </c>
      <c r="B711" s="833">
        <v>102332</v>
      </c>
      <c r="C711" s="2" t="str">
        <f>VLOOKUP($B711,[1]BOLETIM_SEL!$A:$H,2,0)</f>
        <v>SINAPI</v>
      </c>
      <c r="D711" s="315" t="str">
        <f>VLOOKUP($B711,[1]BOLETIM_SEL!$A:$H,4,0)</f>
        <v>Transporte com caminhão tanque de transporte de material asfáltico de 20.000 l, em via urbana pavimentada, DMT até 30,00 km (unidade: txkm). AF_07/2020</v>
      </c>
      <c r="E711" s="2">
        <f>+Dados_DMT!$B$26</f>
        <v>0</v>
      </c>
      <c r="F711" s="2" t="str">
        <f>VLOOKUP($B711,[1]BOLETIM_SEL!$A:$H,6,0)</f>
        <v>TXKM</v>
      </c>
      <c r="G711" s="1407">
        <f>VLOOKUP($B711,[1]BOLETIM_SEL!$A:$H,7,0)</f>
        <v>1.75</v>
      </c>
      <c r="H711" s="1606">
        <f>ROUND(Pav_Estrutura!N115*E711,2)</f>
        <v>0</v>
      </c>
      <c r="I711" s="876">
        <f>+TRUNC(G711*(1+$J$5),2)</f>
        <v>2.13</v>
      </c>
      <c r="J711" s="1607">
        <f>TRUNC(H711*I711,2)</f>
        <v>0</v>
      </c>
      <c r="K711" s="2069">
        <f ca="1">J711/J$930</f>
        <v>0</v>
      </c>
      <c r="L711" s="1570">
        <f t="shared" ref="L711:L717" si="232">J711/$J$645</f>
        <v>0</v>
      </c>
      <c r="M711" s="1451">
        <f>IF(H711=0,0,H711/E711)</f>
        <v>0</v>
      </c>
      <c r="N711" s="832"/>
      <c r="O711" s="832"/>
      <c r="Q711" s="832"/>
      <c r="R711" s="832"/>
      <c r="S711" s="832"/>
      <c r="T711" s="832"/>
      <c r="U711" s="832"/>
      <c r="V711" s="832"/>
      <c r="W711" s="832"/>
      <c r="X711" s="832"/>
    </row>
    <row r="712" spans="1:25" s="812" customFormat="1" ht="24.95" hidden="1" customHeight="1" x14ac:dyDescent="0.15">
      <c r="A712" s="2072"/>
      <c r="B712" s="833"/>
      <c r="C712" s="2"/>
      <c r="D712" s="1449" t="s">
        <v>1756</v>
      </c>
      <c r="E712" s="2"/>
      <c r="F712" s="2"/>
      <c r="G712" s="1407"/>
      <c r="H712" s="2"/>
      <c r="I712" s="2"/>
      <c r="J712" s="838" t="str">
        <f>IF(J713=0,"-","")</f>
        <v>-</v>
      </c>
      <c r="K712" s="2069"/>
      <c r="L712" s="1570"/>
      <c r="M712" s="1442"/>
      <c r="N712" s="832"/>
      <c r="O712" s="832"/>
      <c r="Q712" s="832"/>
      <c r="R712" s="832"/>
      <c r="S712" s="832"/>
      <c r="T712" s="832"/>
      <c r="U712" s="832"/>
      <c r="V712" s="832"/>
      <c r="W712" s="832"/>
      <c r="X712" s="832"/>
    </row>
    <row r="713" spans="1:25" s="812" customFormat="1" ht="39.950000000000003" hidden="1" customHeight="1" x14ac:dyDescent="0.15">
      <c r="A713" s="2072">
        <f ca="1">+IF(H713&gt;0,A711+0.01,A711)</f>
        <v>8.1199999999999974</v>
      </c>
      <c r="B713" s="833">
        <v>102333</v>
      </c>
      <c r="C713" s="2" t="str">
        <f>VLOOKUP($B713,[1]BOLETIM_SEL!$A:$H,2,0)</f>
        <v>SINAPI</v>
      </c>
      <c r="D713" s="315" t="str">
        <f>VLOOKUP($B713,[1]BOLETIM_SEL!$A:$H,4,0)</f>
        <v>Transporte com caminhão tanque de transporte de material asfáltico de 20.000 l, em via urbana pavimentada, adicional para DMT excedente a 30,00 km (unidade: txkm). AF_07/2020</v>
      </c>
      <c r="E713" s="2">
        <f>+Dados_DMT!$B$27</f>
        <v>0</v>
      </c>
      <c r="F713" s="2" t="str">
        <f>VLOOKUP($B713,[1]BOLETIM_SEL!$A:$H,6,0)</f>
        <v>TXKM</v>
      </c>
      <c r="G713" s="1407">
        <f>VLOOKUP($B713,[1]BOLETIM_SEL!$A:$H,7,0)</f>
        <v>0.7</v>
      </c>
      <c r="H713" s="1606">
        <f>ROUND(SUM(Pav_Estrutura!N116:N118)*E713,2)</f>
        <v>0</v>
      </c>
      <c r="I713" s="876">
        <f>+TRUNC(G713*(1+$J$5),2)</f>
        <v>0.85</v>
      </c>
      <c r="J713" s="1607">
        <f>TRUNC(H713*I713,2)</f>
        <v>0</v>
      </c>
      <c r="K713" s="2069">
        <f ca="1">J713/J$930</f>
        <v>0</v>
      </c>
      <c r="L713" s="1570">
        <f t="shared" si="232"/>
        <v>0</v>
      </c>
      <c r="M713" s="1451">
        <f>IF(H713=0,0,H713/E713)</f>
        <v>0</v>
      </c>
      <c r="N713" s="832"/>
      <c r="O713" s="832"/>
      <c r="Q713" s="832"/>
      <c r="R713" s="832"/>
      <c r="S713" s="832"/>
      <c r="T713" s="832"/>
      <c r="U713" s="832"/>
      <c r="V713" s="832"/>
      <c r="W713" s="832"/>
      <c r="X713" s="832"/>
    </row>
    <row r="714" spans="1:25" s="812" customFormat="1" ht="24.95" hidden="1" customHeight="1" x14ac:dyDescent="0.15">
      <c r="A714" s="2072"/>
      <c r="B714" s="833"/>
      <c r="C714" s="2"/>
      <c r="D714" s="1449" t="s">
        <v>1812</v>
      </c>
      <c r="E714" s="2"/>
      <c r="F714" s="2"/>
      <c r="G714" s="1407"/>
      <c r="H714" s="2"/>
      <c r="I714" s="2"/>
      <c r="J714" s="838" t="str">
        <f>IF(J715=0,"-","")</f>
        <v>-</v>
      </c>
      <c r="K714" s="2069"/>
      <c r="L714" s="1570"/>
      <c r="M714" s="1442"/>
      <c r="N714" s="832"/>
      <c r="O714" s="832"/>
      <c r="Q714" s="832"/>
      <c r="R714" s="832"/>
      <c r="S714" s="832"/>
      <c r="T714" s="832"/>
      <c r="U714" s="832"/>
      <c r="V714" s="832"/>
      <c r="W714" s="832"/>
      <c r="X714" s="832"/>
    </row>
    <row r="715" spans="1:25" s="812" customFormat="1" ht="30" hidden="1" customHeight="1" x14ac:dyDescent="0.15">
      <c r="A715" s="2072">
        <f ca="1">+IF(H715&gt;0,A713+0.01,A713)</f>
        <v>8.1199999999999974</v>
      </c>
      <c r="B715" s="833">
        <v>100947</v>
      </c>
      <c r="C715" s="2" t="str">
        <f>VLOOKUP($B715,[1]BOLETIM_SEL!$A:$H,2,0)</f>
        <v>SINAPI</v>
      </c>
      <c r="D715" s="315" t="str">
        <f>VLOOKUP($B715,[1]BOLETIM_SEL!$A:$H,4,0)</f>
        <v>Transporte com caminhão carroceria 9t, em via urbana pavimentada, DMT até 30,00 km (unidade: txkm). AF_07/2020</v>
      </c>
      <c r="E715" s="2">
        <f>+Dados_DMT!$B$35</f>
        <v>0</v>
      </c>
      <c r="F715" s="2" t="str">
        <f>VLOOKUP($B715,[1]BOLETIM_SEL!$A:$H,6,0)</f>
        <v>TXKM</v>
      </c>
      <c r="G715" s="1407">
        <f>VLOOKUP($B715,[1]BOLETIM_SEL!$A:$H,7,0)</f>
        <v>2.12</v>
      </c>
      <c r="H715" s="1606">
        <f>ROUND(Pav_Estrutura!N98*E715,2)</f>
        <v>0</v>
      </c>
      <c r="I715" s="876">
        <f>+TRUNC(G715*(1+$J$5),2)</f>
        <v>2.58</v>
      </c>
      <c r="J715" s="1607">
        <f>TRUNC(H715*I715,2)</f>
        <v>0</v>
      </c>
      <c r="K715" s="2069">
        <f ca="1">J715/J$930</f>
        <v>0</v>
      </c>
      <c r="L715" s="1570">
        <f t="shared" si="232"/>
        <v>0</v>
      </c>
      <c r="M715" s="1442"/>
      <c r="N715" s="832"/>
      <c r="O715" s="832"/>
      <c r="Q715" s="832"/>
      <c r="R715" s="832"/>
      <c r="S715" s="832"/>
      <c r="T715" s="832"/>
      <c r="U715" s="832"/>
      <c r="V715" s="832"/>
      <c r="W715" s="832"/>
      <c r="X715" s="832"/>
    </row>
    <row r="716" spans="1:25" s="812" customFormat="1" ht="24.95" hidden="1" customHeight="1" x14ac:dyDescent="0.15">
      <c r="A716" s="2072"/>
      <c r="B716" s="833"/>
      <c r="C716" s="2"/>
      <c r="D716" s="1449" t="s">
        <v>1824</v>
      </c>
      <c r="E716" s="2"/>
      <c r="F716" s="2"/>
      <c r="G716" s="1407"/>
      <c r="H716" s="2"/>
      <c r="I716" s="2"/>
      <c r="J716" s="838" t="str">
        <f>IF(J717=0,"-","")</f>
        <v>-</v>
      </c>
      <c r="K716" s="2069"/>
      <c r="L716" s="1570"/>
      <c r="M716" s="1442"/>
      <c r="N716" s="832"/>
      <c r="O716" s="832"/>
      <c r="Q716" s="832"/>
      <c r="R716" s="832"/>
      <c r="S716" s="832"/>
      <c r="T716" s="832"/>
      <c r="U716" s="832"/>
      <c r="V716" s="832"/>
      <c r="W716" s="832"/>
      <c r="X716" s="832"/>
    </row>
    <row r="717" spans="1:25" s="812" customFormat="1" ht="30" hidden="1" customHeight="1" x14ac:dyDescent="0.15">
      <c r="A717" s="2072">
        <f ca="1">+IF(H717&gt;0,A715+0.01,A715)</f>
        <v>8.1199999999999974</v>
      </c>
      <c r="B717" s="833">
        <v>100947</v>
      </c>
      <c r="C717" s="2" t="str">
        <f>VLOOKUP($B717,[1]BOLETIM_SEL!$A:$H,2,0)</f>
        <v>SINAPI</v>
      </c>
      <c r="D717" s="315" t="str">
        <f>VLOOKUP($B717,[1]BOLETIM_SEL!$A:$H,4,0)</f>
        <v>Transporte com caminhão carroceria 9t, em via urbana pavimentada, DMT até 30,00 km (unidade: txkm). AF_07/2020</v>
      </c>
      <c r="E717" s="2">
        <f>+Dados_DMT!$B$13</f>
        <v>22</v>
      </c>
      <c r="F717" s="2" t="str">
        <f>VLOOKUP($B717,[1]BOLETIM_SEL!$A:$H,6,0)</f>
        <v>TXKM</v>
      </c>
      <c r="G717" s="1407">
        <f>VLOOKUP($B717,[1]BOLETIM_SEL!$A:$H,7,0)</f>
        <v>2.12</v>
      </c>
      <c r="H717" s="1606">
        <f>ROUND(Pav_Estrutura!N111*E717,2)</f>
        <v>0</v>
      </c>
      <c r="I717" s="876">
        <f>+TRUNC(G717*(1+$J$5),2)</f>
        <v>2.58</v>
      </c>
      <c r="J717" s="1607">
        <f>TRUNC(H717*I717,2)</f>
        <v>0</v>
      </c>
      <c r="K717" s="2069">
        <f ca="1">J717/J$930</f>
        <v>0</v>
      </c>
      <c r="L717" s="1570">
        <f t="shared" si="232"/>
        <v>0</v>
      </c>
      <c r="M717" s="1442"/>
      <c r="N717" s="832"/>
      <c r="O717" s="832"/>
      <c r="Q717" s="832"/>
      <c r="R717" s="832"/>
      <c r="S717" s="832"/>
      <c r="T717" s="832"/>
      <c r="U717" s="832"/>
      <c r="V717" s="832"/>
      <c r="W717" s="832"/>
      <c r="X717" s="832"/>
    </row>
    <row r="718" spans="1:25" s="812" customFormat="1" ht="24.95" customHeight="1" x14ac:dyDescent="0.15">
      <c r="A718" s="2072"/>
      <c r="B718" s="833"/>
      <c r="C718" s="833"/>
      <c r="D718" s="834"/>
      <c r="E718" s="2"/>
      <c r="F718" s="833"/>
      <c r="G718" s="1407"/>
      <c r="H718" s="1"/>
      <c r="I718" s="876"/>
      <c r="J718" s="838" t="str">
        <f>IF(J645=0,0,"")</f>
        <v/>
      </c>
      <c r="K718" s="2069"/>
      <c r="L718" s="1570"/>
      <c r="M718" s="1443"/>
      <c r="N718" s="832"/>
      <c r="O718" s="832"/>
      <c r="Q718" s="832"/>
      <c r="R718" s="832"/>
      <c r="S718" s="832"/>
      <c r="T718" s="832"/>
      <c r="U718" s="832"/>
      <c r="V718" s="832"/>
      <c r="W718" s="832"/>
      <c r="X718" s="832"/>
    </row>
    <row r="719" spans="1:25" s="832" customFormat="1" ht="24.95" customHeight="1" x14ac:dyDescent="0.15">
      <c r="A719" s="2073">
        <f ca="1">IF(J719&gt;0,INT(A717)+1,IF(J719=0,INT(A717),0))</f>
        <v>9</v>
      </c>
      <c r="B719" s="1626"/>
      <c r="C719" s="1626"/>
      <c r="D719" s="1627" t="s">
        <v>36</v>
      </c>
      <c r="E719" s="1821"/>
      <c r="F719" s="1628"/>
      <c r="G719" s="1813" t="s">
        <v>651</v>
      </c>
      <c r="H719" s="1630"/>
      <c r="I719" s="1633" t="str">
        <f ca="1">CONCATENATE("SUB-TOTAL ",A719)</f>
        <v>SUB-TOTAL 9</v>
      </c>
      <c r="J719" s="1632">
        <f>SUM(J720:J750)</f>
        <v>259559.26</v>
      </c>
      <c r="K719" s="2070">
        <f t="shared" ref="K719:K748" ca="1" si="233">J719/J$930</f>
        <v>7.0550513401050591E-2</v>
      </c>
      <c r="L719" s="1605">
        <f t="shared" ref="L719:L748" si="234">J719/$J$719</f>
        <v>1</v>
      </c>
      <c r="N719" s="1648" t="s">
        <v>1951</v>
      </c>
      <c r="O719" s="1648" t="s">
        <v>1977</v>
      </c>
      <c r="U719" s="1809">
        <f>J720+J731</f>
        <v>259559.26</v>
      </c>
    </row>
    <row r="720" spans="1:25" s="812" customFormat="1" ht="39.950000000000003" customHeight="1" x14ac:dyDescent="0.15">
      <c r="A720" s="2072">
        <f t="shared" ref="A720:A748" ca="1" si="235">+IF(H720&gt;0,A719+0.01,A719)</f>
        <v>9.01</v>
      </c>
      <c r="B720" s="2" t="s">
        <v>2677</v>
      </c>
      <c r="C720" s="2" t="str">
        <f>VLOOKUP($B720,[1]BOLETIM_SEL!$A:$H,2,0)</f>
        <v>COMPOSIÇÃO</v>
      </c>
      <c r="D720" s="315" t="str">
        <f>VLOOKUP($B720,[1]BOLETIM_SEL!$A:$H,4,0)</f>
        <v>Meio-fio (guia) com sarjeta, concreto FCK = 15mpa, seção 615 cm², moldado no local, inclusive escavação e pintura a cal em uma demão</v>
      </c>
      <c r="E720" s="2"/>
      <c r="F720" s="2" t="str">
        <f>VLOOKUP($B720,[1]BOLETIM_SEL!$A:$H,6,0)</f>
        <v>M</v>
      </c>
      <c r="G720" s="1407">
        <f>VLOOKUP($B720,[1]BOLETIM_SEL!$A:$H,7,0)</f>
        <v>54.04</v>
      </c>
      <c r="H720" s="1606">
        <f>+S_Complementares!P5</f>
        <v>3392.16</v>
      </c>
      <c r="I720" s="876">
        <f t="shared" ref="I720:I748" si="236">+TRUNC(G720*(1+$J$5),2)</f>
        <v>65.92</v>
      </c>
      <c r="J720" s="1607">
        <f>TRUNC(H720*I720,2)</f>
        <v>223611.18</v>
      </c>
      <c r="K720" s="2069">
        <f t="shared" ca="1" si="233"/>
        <v>6.077950581002093E-2</v>
      </c>
      <c r="L720" s="1570">
        <f t="shared" si="234"/>
        <v>0.86150338076938571</v>
      </c>
      <c r="M720" s="1585" t="s">
        <v>1848</v>
      </c>
      <c r="N720" s="1647">
        <f>VLOOKUP($B720,[1]BOLETIM_SEL!$A:$H,3,0)</f>
        <v>11.06</v>
      </c>
      <c r="O720" s="1645">
        <f t="shared" ref="O720:O726" si="237">+H720/N720</f>
        <v>306.70524412296561</v>
      </c>
      <c r="Q720" s="832"/>
      <c r="R720" s="832"/>
      <c r="S720" s="832"/>
      <c r="T720" s="832"/>
      <c r="U720" s="832"/>
      <c r="V720" s="832"/>
      <c r="W720" s="832"/>
      <c r="X720" s="832"/>
    </row>
    <row r="721" spans="1:24" s="812" customFormat="1" ht="39.950000000000003" hidden="1" customHeight="1" x14ac:dyDescent="0.15">
      <c r="A721" s="2072">
        <f t="shared" ca="1" si="235"/>
        <v>9.01</v>
      </c>
      <c r="B721" s="2" t="s">
        <v>2696</v>
      </c>
      <c r="C721" s="2" t="str">
        <f>VLOOKUP($B721,[1]BOLETIM_SEL!$A:$H,2,0)</f>
        <v>COMPOSIÇÃO</v>
      </c>
      <c r="D721" s="315" t="str">
        <f>VLOOKUP($B721,[1]BOLETIM_SEL!$A:$H,4,0)</f>
        <v>Meio-fio (guia) simples, concreto FCK = 15mpa, seção 285cm2, moldado no local, inclusive escavação e pintura a cal em uma demão</v>
      </c>
      <c r="E721" s="2"/>
      <c r="F721" s="2" t="str">
        <f>VLOOKUP($B721,[1]BOLETIM_SEL!$A:$H,6,0)</f>
        <v>M</v>
      </c>
      <c r="G721" s="1407">
        <f>VLOOKUP($B721,[1]BOLETIM_SEL!$A:$H,7,0)</f>
        <v>26.04</v>
      </c>
      <c r="H721" s="1606">
        <f>+S_Complementares!P6</f>
        <v>0</v>
      </c>
      <c r="I721" s="876">
        <f t="shared" si="236"/>
        <v>31.76</v>
      </c>
      <c r="J721" s="1607">
        <f>TRUNC(H721*I721,2)</f>
        <v>0</v>
      </c>
      <c r="K721" s="2069">
        <f t="shared" ca="1" si="233"/>
        <v>0</v>
      </c>
      <c r="L721" s="1570">
        <f t="shared" si="234"/>
        <v>0</v>
      </c>
      <c r="M721" s="1585" t="s">
        <v>1848</v>
      </c>
      <c r="N721" s="1647">
        <f>VLOOKUP($B721,[1]BOLETIM_SEL!$A:$H,3,0)</f>
        <v>23.86</v>
      </c>
      <c r="O721" s="1645">
        <f t="shared" si="237"/>
        <v>0</v>
      </c>
      <c r="Q721" s="832"/>
      <c r="R721" s="832"/>
      <c r="S721" s="832"/>
      <c r="T721" s="832"/>
      <c r="U721" s="832"/>
      <c r="V721" s="832"/>
      <c r="W721" s="832"/>
      <c r="X721" s="832"/>
    </row>
    <row r="722" spans="1:24" s="812" customFormat="1" ht="39.950000000000003" hidden="1" customHeight="1" x14ac:dyDescent="0.15">
      <c r="A722" s="2072">
        <f t="shared" ca="1" si="235"/>
        <v>9.01</v>
      </c>
      <c r="B722" s="833" t="str">
        <f>IF(M722="MANUAL","SC/0025","SC/0065")</f>
        <v>SC/0065</v>
      </c>
      <c r="C722" s="2" t="str">
        <f>VLOOKUP($B722,[1]BOLETIM_SEL!$A:$H,2,0)</f>
        <v>COMPOSIÇÃO</v>
      </c>
      <c r="D722" s="315" t="str">
        <f>VLOOKUP($B722,[1]BOLETIM_SEL!$A:$H,4,0)</f>
        <v>Guia para canteiro e ciclovia, concreto FCK = 15mpa, seção 150cm², moldado no local com extrusora, inclusive pintura a cal em uma demão</v>
      </c>
      <c r="E722" s="2"/>
      <c r="F722" s="2" t="str">
        <f>VLOOKUP($B722,[1]BOLETIM_SEL!$A:$H,6,0)</f>
        <v>M</v>
      </c>
      <c r="G722" s="1407">
        <f>VLOOKUP($B722,[1]BOLETIM_SEL!$A:$H,7,0)</f>
        <v>16.489999999999998</v>
      </c>
      <c r="H722" s="1606">
        <f>+S_Complementares!P7</f>
        <v>0</v>
      </c>
      <c r="I722" s="876">
        <f t="shared" si="236"/>
        <v>20.11</v>
      </c>
      <c r="J722" s="1607">
        <f t="shared" ref="J722:J742" si="238">TRUNC(H722*I722,2)</f>
        <v>0</v>
      </c>
      <c r="K722" s="2069">
        <f t="shared" ca="1" si="233"/>
        <v>0</v>
      </c>
      <c r="L722" s="1570">
        <f t="shared" si="234"/>
        <v>0</v>
      </c>
      <c r="M722" s="1585" t="s">
        <v>1848</v>
      </c>
      <c r="N722" s="1647">
        <f>VLOOKUP($B722,[1]BOLETIM_SEL!$A:$H,3,0)</f>
        <v>26.88</v>
      </c>
      <c r="O722" s="1645">
        <f t="shared" si="237"/>
        <v>0</v>
      </c>
      <c r="Q722" s="832"/>
      <c r="R722" s="832"/>
      <c r="S722" s="832"/>
      <c r="T722" s="832"/>
      <c r="U722" s="832"/>
      <c r="V722" s="832"/>
      <c r="W722" s="832"/>
      <c r="X722" s="832"/>
    </row>
    <row r="723" spans="1:24" s="812" customFormat="1" ht="39.950000000000003" hidden="1" customHeight="1" x14ac:dyDescent="0.15">
      <c r="A723" s="2072">
        <f t="shared" ca="1" si="235"/>
        <v>9.01</v>
      </c>
      <c r="B723" s="833" t="s">
        <v>273</v>
      </c>
      <c r="C723" s="2" t="str">
        <f>VLOOKUP($B723,[1]BOLETIM_SEL!$A:$H,2,0)</f>
        <v>COMPOSIÇÃO</v>
      </c>
      <c r="D723" s="315" t="str">
        <f>VLOOKUP($B723,[1]BOLETIM_SEL!$A:$H,4,0)</f>
        <v>Meio-fio (guia) para rotatórias e ilhas, concreto FCK = 15mpa, seção 875cm2, moldado no local, inclusive escavação e pintura a cal em uma demão</v>
      </c>
      <c r="E723" s="2"/>
      <c r="F723" s="2" t="str">
        <f>VLOOKUP($B723,[1]BOLETIM_SEL!$A:$H,6,0)</f>
        <v>M</v>
      </c>
      <c r="G723" s="1407">
        <f>VLOOKUP($B723,[1]BOLETIM_SEL!$A:$H,7,0)</f>
        <v>78.58</v>
      </c>
      <c r="H723" s="1606">
        <f>+S_Complementares!P8</f>
        <v>0</v>
      </c>
      <c r="I723" s="876">
        <f t="shared" si="236"/>
        <v>95.86</v>
      </c>
      <c r="J723" s="1607">
        <f t="shared" si="238"/>
        <v>0</v>
      </c>
      <c r="K723" s="2069">
        <f t="shared" ca="1" si="233"/>
        <v>0</v>
      </c>
      <c r="L723" s="1570">
        <f t="shared" si="234"/>
        <v>0</v>
      </c>
      <c r="M723" s="1442"/>
      <c r="N723" s="1647">
        <f>VLOOKUP($B723,[1]BOLETIM_SEL!$A:$H,3,0)</f>
        <v>7.77</v>
      </c>
      <c r="O723" s="1645">
        <f t="shared" si="237"/>
        <v>0</v>
      </c>
      <c r="Q723" s="832"/>
      <c r="R723" s="832"/>
      <c r="S723" s="832"/>
      <c r="T723" s="832"/>
      <c r="U723" s="832"/>
      <c r="V723" s="832"/>
      <c r="W723" s="832"/>
      <c r="X723" s="832"/>
    </row>
    <row r="724" spans="1:24" s="812" customFormat="1" ht="30" hidden="1" customHeight="1" x14ac:dyDescent="0.15">
      <c r="A724" s="2072">
        <f t="shared" ca="1" si="235"/>
        <v>9.01</v>
      </c>
      <c r="B724" s="833" t="s">
        <v>275</v>
      </c>
      <c r="C724" s="2" t="str">
        <f>VLOOKUP($B724,[1]BOLETIM_SEL!$A:$H,2,0)</f>
        <v>COMPOSIÇÃO</v>
      </c>
      <c r="D724" s="315" t="str">
        <f>VLOOKUP($B724,[1]BOLETIM_SEL!$A:$H,4,0)</f>
        <v xml:space="preserve">Tento (acabamento de limpa-rodas), concreto FCK = 15 mpa, seção 330cm², moldado no local, inclusive escavação </v>
      </c>
      <c r="E724" s="2"/>
      <c r="F724" s="2" t="str">
        <f>VLOOKUP($B724,[1]BOLETIM_SEL!$A:$H,6,0)</f>
        <v>M</v>
      </c>
      <c r="G724" s="1407">
        <f>VLOOKUP($B724,[1]BOLETIM_SEL!$A:$H,7,0)</f>
        <v>29.1</v>
      </c>
      <c r="H724" s="1606">
        <f>+S_Complementares!P9</f>
        <v>0</v>
      </c>
      <c r="I724" s="876">
        <f t="shared" si="236"/>
        <v>35.5</v>
      </c>
      <c r="J724" s="1607">
        <f t="shared" si="238"/>
        <v>0</v>
      </c>
      <c r="K724" s="2069">
        <f t="shared" ca="1" si="233"/>
        <v>0</v>
      </c>
      <c r="L724" s="1570">
        <f t="shared" si="234"/>
        <v>0</v>
      </c>
      <c r="M724" s="1442"/>
      <c r="N724" s="1647">
        <f>VLOOKUP($B724,[1]BOLETIM_SEL!$A:$H,3,0)</f>
        <v>20.61</v>
      </c>
      <c r="O724" s="1645">
        <f t="shared" si="237"/>
        <v>0</v>
      </c>
      <c r="Q724" s="832"/>
      <c r="R724" s="832"/>
      <c r="S724" s="832"/>
      <c r="T724" s="832"/>
      <c r="U724" s="832"/>
      <c r="V724" s="832"/>
      <c r="W724" s="832"/>
      <c r="X724" s="832"/>
    </row>
    <row r="725" spans="1:24" s="812" customFormat="1" ht="30" hidden="1" customHeight="1" x14ac:dyDescent="0.15">
      <c r="A725" s="2072">
        <f t="shared" ca="1" si="235"/>
        <v>9.01</v>
      </c>
      <c r="B725" s="833" t="s">
        <v>1815</v>
      </c>
      <c r="C725" s="2" t="str">
        <f>VLOOKUP($B725,[1]BOLETIM_SEL!$A:$H,2,0)</f>
        <v>COMPOSIÇÃO</v>
      </c>
      <c r="D725" s="315" t="str">
        <f>VLOOKUP($B725,[1]BOLETIM_SEL!$A:$H,4,0)</f>
        <v>Sarjeta em concreto FCK = 15mpa, seção 330cm², moldada no local, exclusive escavação</v>
      </c>
      <c r="E725" s="2"/>
      <c r="F725" s="2" t="str">
        <f>VLOOKUP($B725,[1]BOLETIM_SEL!$A:$H,6,0)</f>
        <v>M</v>
      </c>
      <c r="G725" s="1407">
        <f>VLOOKUP($B725,[1]BOLETIM_SEL!$A:$H,7,0)</f>
        <v>31.42</v>
      </c>
      <c r="H725" s="1606">
        <f>+S_Complementares!P10</f>
        <v>0</v>
      </c>
      <c r="I725" s="876">
        <f t="shared" si="236"/>
        <v>38.33</v>
      </c>
      <c r="J725" s="1607">
        <f>TRUNC(H725*I725,2)</f>
        <v>0</v>
      </c>
      <c r="K725" s="2069">
        <f t="shared" ca="1" si="233"/>
        <v>0</v>
      </c>
      <c r="L725" s="1570">
        <f t="shared" si="234"/>
        <v>0</v>
      </c>
      <c r="M725" s="1442"/>
      <c r="N725" s="1647">
        <f>VLOOKUP($B725,[1]BOLETIM_SEL!$A:$H,3,0)</f>
        <v>20.61</v>
      </c>
      <c r="O725" s="1645">
        <f t="shared" si="237"/>
        <v>0</v>
      </c>
      <c r="Q725" s="832"/>
      <c r="R725" s="832"/>
      <c r="S725" s="832"/>
      <c r="T725" s="832"/>
      <c r="U725" s="832"/>
      <c r="V725" s="832"/>
      <c r="W725" s="832"/>
      <c r="X725" s="832"/>
    </row>
    <row r="726" spans="1:24" s="812" customFormat="1" ht="30" hidden="1" customHeight="1" x14ac:dyDescent="0.15">
      <c r="A726" s="2072">
        <f t="shared" ca="1" si="235"/>
        <v>9.01</v>
      </c>
      <c r="B726" s="833" t="s">
        <v>274</v>
      </c>
      <c r="C726" s="2" t="str">
        <f>VLOOKUP($B726,[1]BOLETIM_SEL!$A:$H,2,0)</f>
        <v>COMPOSIÇÃO</v>
      </c>
      <c r="D726" s="315" t="str">
        <f>VLOOKUP($B726,[1]BOLETIM_SEL!$A:$H,4,0)</f>
        <v>Sarjeta tipo americana em concreto FCK = 15mpa, seção 455cm², moldada no local, exclusive escavação</v>
      </c>
      <c r="E726" s="2"/>
      <c r="F726" s="2" t="str">
        <f>VLOOKUP($B726,[1]BOLETIM_SEL!$A:$H,6,0)</f>
        <v>M</v>
      </c>
      <c r="G726" s="1407">
        <f>VLOOKUP($B726,[1]BOLETIM_SEL!$A:$H,7,0)</f>
        <v>41.54</v>
      </c>
      <c r="H726" s="1606">
        <f>+S_Complementares!P11</f>
        <v>0</v>
      </c>
      <c r="I726" s="876">
        <f t="shared" si="236"/>
        <v>50.67</v>
      </c>
      <c r="J726" s="1607">
        <f t="shared" si="238"/>
        <v>0</v>
      </c>
      <c r="K726" s="2069">
        <f t="shared" ca="1" si="233"/>
        <v>0</v>
      </c>
      <c r="L726" s="1570">
        <f t="shared" si="234"/>
        <v>0</v>
      </c>
      <c r="M726" s="1442"/>
      <c r="N726" s="1647">
        <f>VLOOKUP($B726,[1]BOLETIM_SEL!$A:$H,3,0)</f>
        <v>15.11</v>
      </c>
      <c r="O726" s="1645">
        <f t="shared" si="237"/>
        <v>0</v>
      </c>
      <c r="Q726" s="832"/>
      <c r="R726" s="832"/>
      <c r="S726" s="832"/>
      <c r="T726" s="832"/>
      <c r="U726" s="832"/>
      <c r="V726" s="832"/>
      <c r="W726" s="832"/>
      <c r="X726" s="832"/>
    </row>
    <row r="727" spans="1:24" s="812" customFormat="1" ht="30" hidden="1" customHeight="1" x14ac:dyDescent="0.15">
      <c r="A727" s="2072">
        <f t="shared" ca="1" si="235"/>
        <v>9.01</v>
      </c>
      <c r="B727" s="833">
        <v>97084</v>
      </c>
      <c r="C727" s="2" t="str">
        <f>VLOOKUP($B727,[1]BOLETIM_SEL!$A:$H,2,0)</f>
        <v>SINAPI</v>
      </c>
      <c r="D727" s="315" t="str">
        <f>VLOOKUP($B727,[1]BOLETIM_SEL!$A:$H,4,0)</f>
        <v>Compactação mecânica de solo para execução de radier, com compactador de solos tipo placa vibratória. AF_09/2021</v>
      </c>
      <c r="E727" s="2"/>
      <c r="F727" s="2" t="str">
        <f>VLOOKUP($B727,[1]BOLETIM_SEL!$A:$H,6,0)</f>
        <v>M2</v>
      </c>
      <c r="G727" s="1407">
        <f>VLOOKUP($B727,[1]BOLETIM_SEL!$A:$H,7,0)</f>
        <v>0.63</v>
      </c>
      <c r="H727" s="1606">
        <f>+S_Complementares!P33</f>
        <v>0</v>
      </c>
      <c r="I727" s="876">
        <f t="shared" si="236"/>
        <v>0.76</v>
      </c>
      <c r="J727" s="1607">
        <f t="shared" si="238"/>
        <v>0</v>
      </c>
      <c r="K727" s="2069">
        <f t="shared" ca="1" si="233"/>
        <v>0</v>
      </c>
      <c r="L727" s="1570">
        <f t="shared" si="234"/>
        <v>0</v>
      </c>
      <c r="M727" s="1442"/>
      <c r="N727" s="832"/>
      <c r="O727" s="832"/>
      <c r="Q727" s="832"/>
      <c r="R727" s="832"/>
      <c r="S727" s="832"/>
      <c r="T727" s="832"/>
      <c r="U727" s="832"/>
      <c r="V727" s="832"/>
      <c r="W727" s="832"/>
      <c r="X727" s="832"/>
    </row>
    <row r="728" spans="1:24" s="812" customFormat="1" ht="30" hidden="1" customHeight="1" x14ac:dyDescent="0.15">
      <c r="A728" s="2072">
        <f t="shared" ca="1" si="235"/>
        <v>9.01</v>
      </c>
      <c r="B728" s="833">
        <v>100575</v>
      </c>
      <c r="C728" s="2" t="str">
        <f>VLOOKUP($B728,[1]BOLETIM_SEL!$A:$H,2,0)</f>
        <v>SINAPI</v>
      </c>
      <c r="D728" s="315" t="str">
        <f>VLOOKUP($B728,[1]BOLETIM_SEL!$A:$H,4,0)</f>
        <v>Regularização de superfícies com motoniveladora. AF_11/2019</v>
      </c>
      <c r="E728" s="2"/>
      <c r="F728" s="2" t="str">
        <f>VLOOKUP($B728,[1]BOLETIM_SEL!$A:$H,6,0)</f>
        <v>M2</v>
      </c>
      <c r="G728" s="1407">
        <f>VLOOKUP($B728,[1]BOLETIM_SEL!$A:$H,7,0)</f>
        <v>0.12</v>
      </c>
      <c r="H728" s="1606">
        <f>+S_Complementares!P37</f>
        <v>0</v>
      </c>
      <c r="I728" s="876">
        <f t="shared" si="236"/>
        <v>0.14000000000000001</v>
      </c>
      <c r="J728" s="1607">
        <f t="shared" si="238"/>
        <v>0</v>
      </c>
      <c r="K728" s="2069">
        <f t="shared" ca="1" si="233"/>
        <v>0</v>
      </c>
      <c r="L728" s="1570">
        <f t="shared" si="234"/>
        <v>0</v>
      </c>
      <c r="M728" s="1442"/>
      <c r="N728" s="832"/>
      <c r="O728" s="832"/>
      <c r="Q728" s="832"/>
      <c r="R728" s="832"/>
      <c r="S728" s="832"/>
      <c r="T728" s="832"/>
      <c r="U728" s="832"/>
      <c r="V728" s="832"/>
      <c r="W728" s="832"/>
      <c r="X728" s="832"/>
    </row>
    <row r="729" spans="1:24" s="812" customFormat="1" ht="30" hidden="1" customHeight="1" x14ac:dyDescent="0.15">
      <c r="A729" s="2072">
        <f t="shared" ca="1" si="235"/>
        <v>9.01</v>
      </c>
      <c r="B729" s="2" t="s">
        <v>2611</v>
      </c>
      <c r="C729" s="2" t="str">
        <f>VLOOKUP($B729,[1]BOLETIM_SEL!$A:$H,2,0)</f>
        <v>COMPOSIÇÃO</v>
      </c>
      <c r="D729" s="315" t="str">
        <f>VLOOKUP($B729,[1]BOLETIM_SEL!$A:$H,4,0)</f>
        <v>Hidrossemeadura. Ref SICRO CÓD  4413905, DB 04-2021</v>
      </c>
      <c r="E729" s="2"/>
      <c r="F729" s="2" t="str">
        <f>VLOOKUP($B729,[1]BOLETIM_SEL!$A:$H,6,0)</f>
        <v>M2</v>
      </c>
      <c r="G729" s="1407">
        <f>VLOOKUP($B729,[1]BOLETIM_SEL!$A:$H,7,0)</f>
        <v>6.65</v>
      </c>
      <c r="H729" s="1608">
        <f>+S_Complementares!P15</f>
        <v>0</v>
      </c>
      <c r="I729" s="2180">
        <f t="shared" si="236"/>
        <v>8.11</v>
      </c>
      <c r="J729" s="2181">
        <f t="shared" si="238"/>
        <v>0</v>
      </c>
      <c r="K729" s="2182">
        <f t="shared" ca="1" si="233"/>
        <v>0</v>
      </c>
      <c r="L729" s="1570">
        <f t="shared" si="234"/>
        <v>0</v>
      </c>
      <c r="M729" s="1442"/>
      <c r="N729" s="832"/>
      <c r="O729" s="832"/>
      <c r="Q729" s="832"/>
      <c r="R729" s="832"/>
      <c r="S729" s="832"/>
      <c r="T729" s="832"/>
      <c r="U729" s="832"/>
      <c r="V729" s="832"/>
      <c r="W729" s="832"/>
      <c r="X729" s="832"/>
    </row>
    <row r="730" spans="1:24" s="812" customFormat="1" ht="30" hidden="1" customHeight="1" x14ac:dyDescent="0.15">
      <c r="A730" s="2072">
        <f t="shared" ca="1" si="235"/>
        <v>9.01</v>
      </c>
      <c r="B730" s="833">
        <v>98503</v>
      </c>
      <c r="C730" s="2" t="str">
        <f>VLOOKUP($B730,[1]BOLETIM_SEL!$A:$H,2,0)</f>
        <v>SINAPI</v>
      </c>
      <c r="D730" s="315" t="str">
        <f>VLOOKUP($B730,[1]BOLETIM_SEL!$A:$H,4,0)</f>
        <v>Plantio de grama em pavimento concregrama. AF_05/2018</v>
      </c>
      <c r="E730" s="2"/>
      <c r="F730" s="2" t="str">
        <f>VLOOKUP($B730,[1]BOLETIM_SEL!$A:$H,6,0)</f>
        <v>M2</v>
      </c>
      <c r="G730" s="1407">
        <f>VLOOKUP($B730,[1]BOLETIM_SEL!$A:$H,7,0)</f>
        <v>23.7</v>
      </c>
      <c r="H730" s="1606"/>
      <c r="I730" s="876">
        <f t="shared" si="236"/>
        <v>28.91</v>
      </c>
      <c r="J730" s="1607">
        <f t="shared" si="238"/>
        <v>0</v>
      </c>
      <c r="K730" s="2069">
        <f t="shared" ca="1" si="233"/>
        <v>0</v>
      </c>
      <c r="L730" s="1570">
        <f t="shared" si="234"/>
        <v>0</v>
      </c>
      <c r="M730" s="2"/>
      <c r="N730" s="832"/>
      <c r="O730" s="832"/>
      <c r="Q730" s="832"/>
      <c r="R730" s="832"/>
      <c r="S730" s="832"/>
      <c r="T730" s="832"/>
      <c r="U730" s="832"/>
      <c r="V730" s="832"/>
      <c r="W730" s="832"/>
      <c r="X730" s="832"/>
    </row>
    <row r="731" spans="1:24" s="812" customFormat="1" ht="30" customHeight="1" x14ac:dyDescent="0.15">
      <c r="A731" s="2072">
        <f t="shared" ca="1" si="235"/>
        <v>9.02</v>
      </c>
      <c r="B731" s="833" t="str">
        <f>IF(M731="ESMERALDA","SC/0082",98504)</f>
        <v>SC/0082</v>
      </c>
      <c r="C731" s="2" t="str">
        <f>VLOOKUP($B731,[1]BOLETIM_SEL!$A:$H,2,0)</f>
        <v>COMPOSIÇÃO</v>
      </c>
      <c r="D731" s="315" t="str">
        <f>VLOOKUP($B731,[1]BOLETIM_SEL!$A:$H,4,0)</f>
        <v>Grama em placas, tipo esmeralda, incluindo plantio, adubo, fertilizante, calcário, terra orgânica e irrigação</v>
      </c>
      <c r="E731" s="2"/>
      <c r="F731" s="2" t="str">
        <f>VLOOKUP($B731,[1]BOLETIM_SEL!$A:$H,6,0)</f>
        <v>M2</v>
      </c>
      <c r="G731" s="1407">
        <f>VLOOKUP($B731,[1]BOLETIM_SEL!$A:$H,7,0)</f>
        <v>22.02</v>
      </c>
      <c r="H731" s="1606">
        <f>+S_Complementares!P20</f>
        <v>1338.35</v>
      </c>
      <c r="I731" s="876">
        <f t="shared" si="236"/>
        <v>26.86</v>
      </c>
      <c r="J731" s="1607">
        <f t="shared" si="238"/>
        <v>35948.080000000002</v>
      </c>
      <c r="K731" s="2069">
        <f t="shared" ca="1" si="233"/>
        <v>9.7710075910296505E-3</v>
      </c>
      <c r="L731" s="1570">
        <f t="shared" si="234"/>
        <v>0.13849661923061424</v>
      </c>
      <c r="M731" s="1585" t="s">
        <v>1821</v>
      </c>
      <c r="N731" s="832"/>
      <c r="O731" s="832"/>
      <c r="Q731" s="832"/>
      <c r="R731" s="832"/>
      <c r="S731" s="832"/>
      <c r="T731" s="832"/>
      <c r="U731" s="832"/>
      <c r="V731" s="832"/>
      <c r="W731" s="832"/>
      <c r="X731" s="832"/>
    </row>
    <row r="732" spans="1:24" s="812" customFormat="1" ht="39.950000000000003" hidden="1" customHeight="1" x14ac:dyDescent="0.15">
      <c r="A732" s="2072">
        <f t="shared" ca="1" si="235"/>
        <v>9.02</v>
      </c>
      <c r="B732" s="833" t="s">
        <v>1632</v>
      </c>
      <c r="C732" s="2" t="str">
        <f>VLOOKUP($B732,[1]BOLETIM_SEL!$A:$H,2,0)</f>
        <v>COMPOSIÇÃO</v>
      </c>
      <c r="D732" s="315" t="str">
        <f>VLOOKUP($B732,[1]BOLETIM_SEL!$A:$H,4,0)</f>
        <v>Cerca com mourões de madeira roliça Ø 11cm, espaçamento de 2,00m, altura livre de 1,50m, cravado 0,50m, com 5 fios de arame liso ovalado 15x17, conforme projeto</v>
      </c>
      <c r="E732" s="2"/>
      <c r="F732" s="2" t="str">
        <f>VLOOKUP($B732,[1]BOLETIM_SEL!$A:$H,6,0)</f>
        <v>M</v>
      </c>
      <c r="G732" s="1407">
        <f>VLOOKUP($B732,[1]BOLETIM_SEL!$A:$H,7,0)</f>
        <v>34.53</v>
      </c>
      <c r="H732" s="1606">
        <f>+S_Complementares!P21</f>
        <v>0</v>
      </c>
      <c r="I732" s="876">
        <f t="shared" ref="I732:I735" si="239">+TRUNC(G732*(1+$J$5),2)</f>
        <v>42.12</v>
      </c>
      <c r="J732" s="1607">
        <f t="shared" ref="J732:J735" si="240">TRUNC(H732*I732,2)</f>
        <v>0</v>
      </c>
      <c r="K732" s="2069">
        <f t="shared" ca="1" si="233"/>
        <v>0</v>
      </c>
      <c r="L732" s="1570">
        <f t="shared" ref="L732:L735" si="241">J732/$J$719</f>
        <v>0</v>
      </c>
      <c r="M732" s="2"/>
      <c r="N732" s="832"/>
      <c r="O732" s="832"/>
      <c r="Q732" s="832"/>
      <c r="R732" s="832"/>
      <c r="S732" s="832"/>
      <c r="T732" s="832"/>
      <c r="U732" s="832"/>
      <c r="V732" s="832"/>
      <c r="W732" s="832"/>
      <c r="X732" s="832"/>
    </row>
    <row r="733" spans="1:24" s="812" customFormat="1" ht="39.950000000000003" hidden="1" customHeight="1" x14ac:dyDescent="0.15">
      <c r="A733" s="2072">
        <f t="shared" ca="1" si="235"/>
        <v>9.02</v>
      </c>
      <c r="B733" s="833">
        <v>101193</v>
      </c>
      <c r="C733" s="2" t="str">
        <f>VLOOKUP($B733,[1]BOLETIM_SEL!$A:$H,2,0)</f>
        <v>SINAPI</v>
      </c>
      <c r="D733" s="315" t="str">
        <f>VLOOKUP($B733,[1]BOLETIM_SEL!$A:$H,4,0)</f>
        <v>Cerca com mourões de concreto, reto, h=2,30 m, espaçamento de 2,50 m, cravados 0,5 m, com 4 fios de arame de aço ovalado 15x17 - fornecimento e instalação. AF_05/2020</v>
      </c>
      <c r="E733" s="2"/>
      <c r="F733" s="2" t="str">
        <f>VLOOKUP($B733,[1]BOLETIM_SEL!$A:$H,6,0)</f>
        <v>M</v>
      </c>
      <c r="G733" s="1407">
        <f>VLOOKUP($B733,[1]BOLETIM_SEL!$A:$H,7,0)</f>
        <v>56.21</v>
      </c>
      <c r="H733" s="1606">
        <f>+S_Complementares!P22</f>
        <v>0</v>
      </c>
      <c r="I733" s="876">
        <f t="shared" ref="I733" si="242">+TRUNC(G733*(1+$J$5),2)</f>
        <v>68.569999999999993</v>
      </c>
      <c r="J733" s="1607">
        <f t="shared" ref="J733" si="243">TRUNC(H733*I733,2)</f>
        <v>0</v>
      </c>
      <c r="K733" s="2069">
        <f t="shared" ca="1" si="233"/>
        <v>0</v>
      </c>
      <c r="L733" s="1570">
        <f t="shared" ref="L733" si="244">J733/$J$719</f>
        <v>0</v>
      </c>
      <c r="M733" s="2"/>
      <c r="N733" s="832"/>
      <c r="O733" s="832"/>
      <c r="Q733" s="832"/>
      <c r="R733" s="832"/>
      <c r="S733" s="832"/>
      <c r="T733" s="832"/>
      <c r="U733" s="832"/>
      <c r="V733" s="832"/>
      <c r="W733" s="832"/>
      <c r="X733" s="832"/>
    </row>
    <row r="734" spans="1:24" s="812" customFormat="1" ht="39.950000000000003" hidden="1" customHeight="1" x14ac:dyDescent="0.15">
      <c r="A734" s="2072">
        <f t="shared" ca="1" si="235"/>
        <v>9.02</v>
      </c>
      <c r="B734" s="833" t="s">
        <v>2040</v>
      </c>
      <c r="C734" s="2" t="str">
        <f>VLOOKUP($B734,[1]BOLETIM_SEL!$A:$H,2,0)</f>
        <v>COMPOSIÇÃO</v>
      </c>
      <c r="D734" s="315" t="str">
        <f>VLOOKUP($B734,[1]BOLETIM_SEL!$A:$H,4,0)</f>
        <v>Alambrado com tela de aço galvanizado, fio 14, malha 1½" , três fios de arame liso, poste curvo de concreto com altura livre de 1,80m, mureta de concreto com altura de 30cm, conforme projeto. REF SINAPI 98522</v>
      </c>
      <c r="E734" s="2"/>
      <c r="F734" s="2" t="str">
        <f>VLOOKUP($B734,[1]BOLETIM_SEL!$A:$H,6,0)</f>
        <v>M</v>
      </c>
      <c r="G734" s="1407">
        <f>VLOOKUP($B734,[1]BOLETIM_SEL!$A:$H,7,0)</f>
        <v>262.20999999999998</v>
      </c>
      <c r="H734" s="1606">
        <f>+S_Complementares!P23</f>
        <v>0</v>
      </c>
      <c r="I734" s="876">
        <f t="shared" si="239"/>
        <v>319.89</v>
      </c>
      <c r="J734" s="1607">
        <f t="shared" si="240"/>
        <v>0</v>
      </c>
      <c r="K734" s="2069">
        <f t="shared" ca="1" si="233"/>
        <v>0</v>
      </c>
      <c r="L734" s="1570">
        <f t="shared" si="241"/>
        <v>0</v>
      </c>
      <c r="M734" s="2"/>
      <c r="N734" s="832"/>
      <c r="O734" s="832"/>
      <c r="Q734" s="832"/>
      <c r="R734" s="832"/>
      <c r="S734" s="832"/>
      <c r="T734" s="832"/>
      <c r="U734" s="832"/>
      <c r="V734" s="832"/>
      <c r="W734" s="832"/>
      <c r="X734" s="832"/>
    </row>
    <row r="735" spans="1:24" s="812" customFormat="1" ht="39.950000000000003" hidden="1" customHeight="1" x14ac:dyDescent="0.15">
      <c r="A735" s="2072">
        <f t="shared" ca="1" si="235"/>
        <v>9.02</v>
      </c>
      <c r="B735" s="833" t="s">
        <v>1633</v>
      </c>
      <c r="C735" s="2" t="str">
        <f>VLOOKUP($B735,[1]BOLETIM_SEL!$A:$H,2,0)</f>
        <v>COMPOSIÇÃO</v>
      </c>
      <c r="D735" s="315" t="str">
        <f>VLOOKUP($B735,[1]BOLETIM_SEL!$A:$H,4,0)</f>
        <v>Portão para veículos em tela arame galvanizado n.12 malha 2" e moldura em tubos de aco com duas folhas de abrir, incluso ferragens (REF. SINAPI COD. 74238/2 - Descontinuado)</v>
      </c>
      <c r="E735" s="2"/>
      <c r="F735" s="2" t="str">
        <f>VLOOKUP($B735,[1]BOLETIM_SEL!$A:$H,6,0)</f>
        <v>M2</v>
      </c>
      <c r="G735" s="1407">
        <f>VLOOKUP($B735,[1]BOLETIM_SEL!$A:$H,7,0)</f>
        <v>999.41</v>
      </c>
      <c r="H735" s="1606">
        <f>+S_Complementares!P27</f>
        <v>0</v>
      </c>
      <c r="I735" s="876">
        <f t="shared" si="239"/>
        <v>1219.28</v>
      </c>
      <c r="J735" s="1607">
        <f t="shared" si="240"/>
        <v>0</v>
      </c>
      <c r="K735" s="2069">
        <f t="shared" ca="1" si="233"/>
        <v>0</v>
      </c>
      <c r="L735" s="1570">
        <f t="shared" si="241"/>
        <v>0</v>
      </c>
      <c r="M735" s="2"/>
      <c r="N735" s="832"/>
      <c r="O735" s="832"/>
      <c r="Q735" s="832"/>
      <c r="R735" s="832"/>
      <c r="S735" s="832"/>
      <c r="T735" s="832"/>
      <c r="U735" s="832"/>
      <c r="V735" s="832"/>
      <c r="W735" s="832"/>
      <c r="X735" s="832"/>
    </row>
    <row r="736" spans="1:24" s="812" customFormat="1" ht="30" hidden="1" customHeight="1" x14ac:dyDescent="0.15">
      <c r="A736" s="2072">
        <f t="shared" ca="1" si="235"/>
        <v>9.02</v>
      </c>
      <c r="B736" s="833">
        <f>IF(M736="MENOR",98510,98511)</f>
        <v>98510</v>
      </c>
      <c r="C736" s="2" t="str">
        <f>VLOOKUP($B736,[1]BOLETIM_SEL!$A:$H,2,0)</f>
        <v>SINAPI</v>
      </c>
      <c r="D736" s="315" t="str">
        <f>VLOOKUP($B736,[1]BOLETIM_SEL!$A:$H,4,0)</f>
        <v>Plantio de árvore ornamental com altura de muda menor ou igual a 2,00 m. AF_05/2018</v>
      </c>
      <c r="E736" s="2"/>
      <c r="F736" s="2" t="str">
        <f>VLOOKUP($B736,[1]BOLETIM_SEL!$A:$H,6,0)</f>
        <v>UN</v>
      </c>
      <c r="G736" s="1407">
        <f>VLOOKUP($B736,[1]BOLETIM_SEL!$A:$H,7,0)</f>
        <v>69.27</v>
      </c>
      <c r="H736" s="1606">
        <f>+S_Complementares!P41</f>
        <v>0</v>
      </c>
      <c r="I736" s="876">
        <f t="shared" si="236"/>
        <v>84.5</v>
      </c>
      <c r="J736" s="1607">
        <f>TRUNC(H736*I736,2)</f>
        <v>0</v>
      </c>
      <c r="K736" s="2069">
        <f t="shared" ca="1" si="233"/>
        <v>0</v>
      </c>
      <c r="L736" s="1570">
        <f t="shared" si="234"/>
        <v>0</v>
      </c>
      <c r="M736" s="1585" t="s">
        <v>1827</v>
      </c>
      <c r="N736" s="832"/>
      <c r="O736" s="832"/>
      <c r="Q736" s="832"/>
      <c r="R736" s="832"/>
      <c r="S736" s="832"/>
      <c r="T736" s="832"/>
      <c r="U736" s="832"/>
      <c r="V736" s="832"/>
      <c r="W736" s="832"/>
      <c r="X736" s="832"/>
    </row>
    <row r="737" spans="1:24" s="812" customFormat="1" ht="30" hidden="1" customHeight="1" x14ac:dyDescent="0.15">
      <c r="A737" s="2072">
        <f t="shared" ca="1" si="235"/>
        <v>9.02</v>
      </c>
      <c r="B737" s="833">
        <v>98516</v>
      </c>
      <c r="C737" s="2" t="str">
        <f>VLOOKUP($B737,[1]BOLETIM_SEL!$A:$H,2,0)</f>
        <v>SINAPI</v>
      </c>
      <c r="D737" s="315" t="str">
        <f>VLOOKUP($B737,[1]BOLETIM_SEL!$A:$H,4,0)</f>
        <v>Plantio de palmeira com altura de muda menor ou igual a 2,00 m. AF_05/2018</v>
      </c>
      <c r="E737" s="2"/>
      <c r="F737" s="2" t="str">
        <f>VLOOKUP($B737,[1]BOLETIM_SEL!$A:$H,6,0)</f>
        <v>UN</v>
      </c>
      <c r="G737" s="1407">
        <f>VLOOKUP($B737,[1]BOLETIM_SEL!$A:$H,7,0)</f>
        <v>350.16</v>
      </c>
      <c r="H737" s="1606">
        <f>+S_Complementares!P42</f>
        <v>0</v>
      </c>
      <c r="I737" s="876">
        <f t="shared" si="236"/>
        <v>427.19</v>
      </c>
      <c r="J737" s="1607">
        <f>TRUNC(H737*I737,2)</f>
        <v>0</v>
      </c>
      <c r="K737" s="2069">
        <f t="shared" ca="1" si="233"/>
        <v>0</v>
      </c>
      <c r="L737" s="1570">
        <f t="shared" si="234"/>
        <v>0</v>
      </c>
      <c r="M737" s="1442"/>
      <c r="N737" s="832"/>
      <c r="O737" s="832"/>
      <c r="Q737" s="832"/>
      <c r="R737" s="832"/>
      <c r="S737" s="832"/>
      <c r="T737" s="832"/>
      <c r="U737" s="832"/>
      <c r="V737" s="832"/>
      <c r="W737" s="832"/>
      <c r="X737" s="832"/>
    </row>
    <row r="738" spans="1:24" s="812" customFormat="1" ht="30" hidden="1" customHeight="1" x14ac:dyDescent="0.15">
      <c r="A738" s="2072">
        <f t="shared" ca="1" si="235"/>
        <v>9.02</v>
      </c>
      <c r="B738" s="833">
        <v>94963</v>
      </c>
      <c r="C738" s="2" t="str">
        <f>VLOOKUP($B738,[1]BOLETIM_SEL!$A:$H,2,0)</f>
        <v>SINAPI</v>
      </c>
      <c r="D738" s="315" t="str">
        <f>VLOOKUP($B738,[1]BOLETIM_SEL!$A:$H,4,0)</f>
        <v>Concreto FCK = 15 MPA, traço 1:3,4:3,5 (cimento/ areia média/ brita 1) - preparo mecânico com betoneira 400 l. AF_07/2016</v>
      </c>
      <c r="E738" s="2"/>
      <c r="F738" s="2" t="str">
        <f>VLOOKUP($B738,[1]BOLETIM_SEL!$A:$H,6,0)</f>
        <v>M3</v>
      </c>
      <c r="G738" s="1407">
        <f>VLOOKUP($B738,[1]BOLETIM_SEL!$A:$H,7,0)</f>
        <v>432.03</v>
      </c>
      <c r="H738" s="1606">
        <f>+S_Complementares!P41</f>
        <v>0</v>
      </c>
      <c r="I738" s="876">
        <f t="shared" si="236"/>
        <v>527.07000000000005</v>
      </c>
      <c r="J738" s="1607">
        <f t="shared" si="238"/>
        <v>0</v>
      </c>
      <c r="K738" s="2069">
        <f t="shared" ca="1" si="233"/>
        <v>0</v>
      </c>
      <c r="L738" s="1570">
        <f t="shared" si="234"/>
        <v>0</v>
      </c>
      <c r="M738" s="1442"/>
      <c r="N738" s="832"/>
      <c r="O738" s="832"/>
      <c r="Q738" s="832"/>
      <c r="R738" s="832"/>
      <c r="S738" s="832"/>
      <c r="T738" s="832"/>
      <c r="U738" s="832"/>
      <c r="V738" s="832"/>
      <c r="W738" s="832"/>
      <c r="X738" s="832"/>
    </row>
    <row r="739" spans="1:24" s="812" customFormat="1" ht="30" hidden="1" customHeight="1" x14ac:dyDescent="0.15">
      <c r="A739" s="2072">
        <f t="shared" ca="1" si="235"/>
        <v>9.02</v>
      </c>
      <c r="B739" s="833">
        <v>94965</v>
      </c>
      <c r="C739" s="2" t="str">
        <f>VLOOKUP($B739,[1]BOLETIM_SEL!$A:$H,2,0)</f>
        <v>SINAPI</v>
      </c>
      <c r="D739" s="315" t="str">
        <f>VLOOKUP($B739,[1]BOLETIM_SEL!$A:$H,4,0)</f>
        <v>Concreto FCK = 25 MPA, traço 1:2,3:2,7 (cimento/ areia média/ brita 1) - preparo mecânico com betoneira 400 l. AF_07/2016</v>
      </c>
      <c r="E739" s="2"/>
      <c r="F739" s="2" t="str">
        <f>VLOOKUP($B739,[1]BOLETIM_SEL!$A:$H,6,0)</f>
        <v>M3</v>
      </c>
      <c r="G739" s="1407">
        <f>VLOOKUP($B739,[1]BOLETIM_SEL!$A:$H,7,0)</f>
        <v>497.39</v>
      </c>
      <c r="H739" s="1606">
        <f>+S_Complementares!P45</f>
        <v>0</v>
      </c>
      <c r="I739" s="876">
        <f t="shared" si="236"/>
        <v>606.80999999999995</v>
      </c>
      <c r="J739" s="1607">
        <f t="shared" si="238"/>
        <v>0</v>
      </c>
      <c r="K739" s="2069">
        <f t="shared" ca="1" si="233"/>
        <v>0</v>
      </c>
      <c r="L739" s="1570">
        <f t="shared" si="234"/>
        <v>0</v>
      </c>
      <c r="M739" s="1442"/>
      <c r="N739" s="832"/>
      <c r="O739" s="832"/>
      <c r="Q739" s="832"/>
      <c r="R739" s="832"/>
      <c r="S739" s="832"/>
      <c r="T739" s="832"/>
      <c r="U739" s="832"/>
      <c r="V739" s="832"/>
      <c r="W739" s="832"/>
      <c r="X739" s="832"/>
    </row>
    <row r="740" spans="1:24" s="812" customFormat="1" ht="39.950000000000003" hidden="1" customHeight="1" x14ac:dyDescent="0.15">
      <c r="A740" s="2072">
        <f t="shared" ca="1" si="235"/>
        <v>9.02</v>
      </c>
      <c r="B740" s="833">
        <v>92413</v>
      </c>
      <c r="C740" s="2" t="str">
        <f>VLOOKUP($B740,[1]BOLETIM_SEL!$A:$H,2,0)</f>
        <v>SINAPI</v>
      </c>
      <c r="D740" s="315" t="str">
        <f>VLOOKUP($B740,[1]BOLETIM_SEL!$A:$H,4,0)</f>
        <v>Montagem e desmontagem de fôrma de pilares retangulares e estruturas similares, pé-direito simples, em madeira serrada, 4 utilizações. AF_09/2020</v>
      </c>
      <c r="E740" s="2"/>
      <c r="F740" s="2" t="str">
        <f>VLOOKUP($B740,[1]BOLETIM_SEL!$A:$H,6,0)</f>
        <v>M2</v>
      </c>
      <c r="G740" s="1407">
        <f>VLOOKUP($B740,[1]BOLETIM_SEL!$A:$H,7,0)</f>
        <v>92.38</v>
      </c>
      <c r="H740" s="1606">
        <f>+S_Complementares!P48</f>
        <v>0</v>
      </c>
      <c r="I740" s="876">
        <f t="shared" si="236"/>
        <v>112.7</v>
      </c>
      <c r="J740" s="1607">
        <f t="shared" si="238"/>
        <v>0</v>
      </c>
      <c r="K740" s="2069">
        <f t="shared" ca="1" si="233"/>
        <v>0</v>
      </c>
      <c r="L740" s="1570">
        <f t="shared" si="234"/>
        <v>0</v>
      </c>
      <c r="M740" s="1442"/>
      <c r="N740" s="832"/>
      <c r="O740" s="832"/>
      <c r="Q740" s="832"/>
      <c r="R740" s="832"/>
      <c r="S740" s="832"/>
      <c r="T740" s="832"/>
      <c r="U740" s="832"/>
      <c r="V740" s="832"/>
      <c r="W740" s="832"/>
      <c r="X740" s="832"/>
    </row>
    <row r="741" spans="1:24" s="812" customFormat="1" ht="30" hidden="1" customHeight="1" x14ac:dyDescent="0.15">
      <c r="A741" s="2072">
        <f t="shared" ca="1" si="235"/>
        <v>9.02</v>
      </c>
      <c r="B741" s="833">
        <v>96543</v>
      </c>
      <c r="C741" s="2" t="str">
        <f>VLOOKUP($B741,[1]BOLETIM_SEL!$A:$H,2,0)</f>
        <v>SINAPI</v>
      </c>
      <c r="D741" s="315" t="str">
        <f>VLOOKUP($B741,[1]BOLETIM_SEL!$A:$H,4,0)</f>
        <v>Armação de bloco, viga baldrame e sapata utilizando aço CA-60 de 5 mm - montagem. AF_06/2017</v>
      </c>
      <c r="E741" s="2"/>
      <c r="F741" s="2" t="str">
        <f>VLOOKUP($B741,[1]BOLETIM_SEL!$A:$H,6,0)</f>
        <v>KG</v>
      </c>
      <c r="G741" s="1407">
        <f>VLOOKUP($B741,[1]BOLETIM_SEL!$A:$H,7,0)</f>
        <v>17.2</v>
      </c>
      <c r="H741" s="1606">
        <f>+S_Complementares!P49</f>
        <v>0</v>
      </c>
      <c r="I741" s="876">
        <f t="shared" si="236"/>
        <v>20.98</v>
      </c>
      <c r="J741" s="1607">
        <f t="shared" si="238"/>
        <v>0</v>
      </c>
      <c r="K741" s="2069">
        <f t="shared" ca="1" si="233"/>
        <v>0</v>
      </c>
      <c r="L741" s="1570">
        <f t="shared" si="234"/>
        <v>0</v>
      </c>
      <c r="M741" s="1442"/>
      <c r="N741" s="832"/>
      <c r="O741" s="832"/>
      <c r="Q741" s="832"/>
      <c r="R741" s="832"/>
      <c r="S741" s="832"/>
      <c r="T741" s="832"/>
      <c r="U741" s="832"/>
      <c r="V741" s="832"/>
      <c r="W741" s="832"/>
      <c r="X741" s="832"/>
    </row>
    <row r="742" spans="1:24" s="812" customFormat="1" ht="30" hidden="1" customHeight="1" x14ac:dyDescent="0.15">
      <c r="A742" s="2072">
        <f t="shared" ca="1" si="235"/>
        <v>9.02</v>
      </c>
      <c r="B742" s="833">
        <v>100342</v>
      </c>
      <c r="C742" s="2" t="str">
        <f>VLOOKUP($B742,[1]BOLETIM_SEL!$A:$H,2,0)</f>
        <v>SINAPI</v>
      </c>
      <c r="D742" s="315" t="str">
        <f>VLOOKUP($B742,[1]BOLETIM_SEL!$A:$H,4,0)</f>
        <v>Armação de cortina de contenção em concreto armado, com aço CA-50 de 6,3 mm - montagem. AF_07/2019</v>
      </c>
      <c r="E742" s="2"/>
      <c r="F742" s="2" t="str">
        <f>VLOOKUP($B742,[1]BOLETIM_SEL!$A:$H,6,0)</f>
        <v>KG</v>
      </c>
      <c r="G742" s="1407">
        <f>VLOOKUP($B742,[1]BOLETIM_SEL!$A:$H,7,0)</f>
        <v>14.19</v>
      </c>
      <c r="H742" s="1606">
        <f>+S_Complementares!P50</f>
        <v>0</v>
      </c>
      <c r="I742" s="876">
        <f t="shared" si="236"/>
        <v>17.309999999999999</v>
      </c>
      <c r="J742" s="1607">
        <f t="shared" si="238"/>
        <v>0</v>
      </c>
      <c r="K742" s="2069">
        <f t="shared" ca="1" si="233"/>
        <v>0</v>
      </c>
      <c r="L742" s="1570">
        <f t="shared" si="234"/>
        <v>0</v>
      </c>
      <c r="M742" s="1442"/>
      <c r="N742" s="832"/>
      <c r="O742" s="832"/>
      <c r="Q742" s="832"/>
      <c r="R742" s="832"/>
      <c r="S742" s="832"/>
      <c r="T742" s="832"/>
      <c r="U742" s="832"/>
      <c r="V742" s="832"/>
      <c r="W742" s="832"/>
      <c r="X742" s="832"/>
    </row>
    <row r="743" spans="1:24" s="812" customFormat="1" ht="30" hidden="1" customHeight="1" x14ac:dyDescent="0.15">
      <c r="A743" s="2072">
        <f t="shared" ca="1" si="235"/>
        <v>9.02</v>
      </c>
      <c r="B743" s="833">
        <v>100343</v>
      </c>
      <c r="C743" s="2" t="str">
        <f>VLOOKUP($B743,[1]BOLETIM_SEL!$A:$H,2,0)</f>
        <v>SINAPI</v>
      </c>
      <c r="D743" s="315" t="str">
        <f>VLOOKUP($B743,[1]BOLETIM_SEL!$A:$H,4,0)</f>
        <v>Armação de cortina de contenção em concreto armado, com aço CA-50 de 8 mm - montagem. AF_07/2019</v>
      </c>
      <c r="E743" s="2"/>
      <c r="F743" s="2" t="str">
        <f>VLOOKUP($B743,[1]BOLETIM_SEL!$A:$H,6,0)</f>
        <v>KG</v>
      </c>
      <c r="G743" s="1407">
        <f>VLOOKUP($B743,[1]BOLETIM_SEL!$A:$H,7,0)</f>
        <v>13.38</v>
      </c>
      <c r="H743" s="1606">
        <f>+S_Complementares!P51</f>
        <v>0</v>
      </c>
      <c r="I743" s="876">
        <f t="shared" si="236"/>
        <v>16.32</v>
      </c>
      <c r="J743" s="1607">
        <f t="shared" ref="J743:J748" si="245">TRUNC(H743*I743,2)</f>
        <v>0</v>
      </c>
      <c r="K743" s="2069">
        <f t="shared" ca="1" si="233"/>
        <v>0</v>
      </c>
      <c r="L743" s="1570">
        <f t="shared" si="234"/>
        <v>0</v>
      </c>
      <c r="M743" s="1442"/>
      <c r="N743" s="832"/>
      <c r="O743" s="832"/>
      <c r="Q743" s="832"/>
      <c r="R743" s="832"/>
      <c r="S743" s="832"/>
      <c r="T743" s="832"/>
      <c r="U743" s="832"/>
      <c r="V743" s="832"/>
      <c r="W743" s="832"/>
      <c r="X743" s="832"/>
    </row>
    <row r="744" spans="1:24" s="812" customFormat="1" ht="30" hidden="1" customHeight="1" x14ac:dyDescent="0.15">
      <c r="A744" s="2072">
        <f t="shared" ca="1" si="235"/>
        <v>9.02</v>
      </c>
      <c r="B744" s="833">
        <v>100344</v>
      </c>
      <c r="C744" s="2" t="str">
        <f>VLOOKUP($B744,[1]BOLETIM_SEL!$A:$H,2,0)</f>
        <v>SINAPI</v>
      </c>
      <c r="D744" s="315" t="str">
        <f>VLOOKUP($B744,[1]BOLETIM_SEL!$A:$H,4,0)</f>
        <v>Armação de cortina de contenção em concreto armado, com aço CA-50 de 10 mm - montagem. AF_07/2019</v>
      </c>
      <c r="E744" s="2"/>
      <c r="F744" s="2" t="str">
        <f>VLOOKUP($B744,[1]BOLETIM_SEL!$A:$H,6,0)</f>
        <v>KG</v>
      </c>
      <c r="G744" s="1407">
        <f>VLOOKUP($B744,[1]BOLETIM_SEL!$A:$H,7,0)</f>
        <v>11.98</v>
      </c>
      <c r="H744" s="1606">
        <f>+S_Complementares!P52</f>
        <v>0</v>
      </c>
      <c r="I744" s="876">
        <f t="shared" si="236"/>
        <v>14.61</v>
      </c>
      <c r="J744" s="1607">
        <f t="shared" si="245"/>
        <v>0</v>
      </c>
      <c r="K744" s="2069">
        <f t="shared" ca="1" si="233"/>
        <v>0</v>
      </c>
      <c r="L744" s="1570">
        <f t="shared" si="234"/>
        <v>0</v>
      </c>
      <c r="M744" s="1442"/>
      <c r="N744" s="832"/>
      <c r="O744" s="832"/>
      <c r="Q744" s="832"/>
      <c r="R744" s="832"/>
      <c r="S744" s="832"/>
      <c r="T744" s="832"/>
      <c r="U744" s="832"/>
      <c r="V744" s="832"/>
      <c r="W744" s="832"/>
      <c r="X744" s="832"/>
    </row>
    <row r="745" spans="1:24" s="812" customFormat="1" ht="39.950000000000003" hidden="1" customHeight="1" x14ac:dyDescent="0.15">
      <c r="A745" s="2072">
        <f t="shared" ca="1" si="235"/>
        <v>9.02</v>
      </c>
      <c r="B745" s="833" t="s">
        <v>426</v>
      </c>
      <c r="C745" s="2" t="str">
        <f>VLOOKUP($B745,[1]BOLETIM_SEL!$A:$H,2,0)</f>
        <v>COMPOSIÇÃO</v>
      </c>
      <c r="D745" s="315" t="str">
        <f>VLOOKUP($B745,[1]BOLETIM_SEL!$A:$H,4,0)</f>
        <v>Tubo aço galvanizado com costura para guarda-corpo, classe leve, DN 40 mm (1 1/2"),  DIN 2440 / NBR 5580 classe leve, espessura 3,00 mm, *3,48* kg/m</v>
      </c>
      <c r="E745" s="2"/>
      <c r="F745" s="2" t="str">
        <f>VLOOKUP($B745,[1]BOLETIM_SEL!$A:$H,6,0)</f>
        <v>M</v>
      </c>
      <c r="G745" s="1407">
        <f>VLOOKUP($B745,[1]BOLETIM_SEL!$A:$H,7,0)</f>
        <v>55.08</v>
      </c>
      <c r="H745" s="1606">
        <f>+S_Complementares!P53</f>
        <v>0</v>
      </c>
      <c r="I745" s="876">
        <f t="shared" si="236"/>
        <v>67.19</v>
      </c>
      <c r="J745" s="1607">
        <f t="shared" si="245"/>
        <v>0</v>
      </c>
      <c r="K745" s="2069">
        <f t="shared" ca="1" si="233"/>
        <v>0</v>
      </c>
      <c r="L745" s="1570">
        <f t="shared" si="234"/>
        <v>0</v>
      </c>
      <c r="M745" s="1442"/>
      <c r="N745" s="832"/>
      <c r="O745" s="832"/>
      <c r="Q745" s="832"/>
      <c r="R745" s="832"/>
      <c r="S745" s="832"/>
      <c r="T745" s="832"/>
      <c r="U745" s="832"/>
      <c r="V745" s="832"/>
      <c r="W745" s="832"/>
      <c r="X745" s="832"/>
    </row>
    <row r="746" spans="1:24" s="812" customFormat="1" ht="39.950000000000003" hidden="1" customHeight="1" x14ac:dyDescent="0.15">
      <c r="A746" s="2072">
        <f t="shared" ca="1" si="235"/>
        <v>9.02</v>
      </c>
      <c r="B746" s="833" t="s">
        <v>1816</v>
      </c>
      <c r="C746" s="2" t="str">
        <f>VLOOKUP($B746,[1]BOLETIM_SEL!$A:$H,2,0)</f>
        <v>COMPOSIÇÃO</v>
      </c>
      <c r="D746" s="315" t="str">
        <f>VLOOKUP($B746,[1]BOLETIM_SEL!$A:$H,4,0)</f>
        <v>Tubo aço galvanizado com costura para guarda-corpo, classe leve, DN 50 mm (2"),  DIN 2440 / NBR 5580 classe leve, espessura 3,00 mm, *4,40* kg/m</v>
      </c>
      <c r="E746" s="2"/>
      <c r="F746" s="2" t="str">
        <f>VLOOKUP($B746,[1]BOLETIM_SEL!$A:$H,6,0)</f>
        <v>M</v>
      </c>
      <c r="G746" s="1407">
        <f>VLOOKUP($B746,[1]BOLETIM_SEL!$A:$H,7,0)</f>
        <v>71.86</v>
      </c>
      <c r="H746" s="1606">
        <f>+S_Complementares!P54</f>
        <v>0</v>
      </c>
      <c r="I746" s="876">
        <f t="shared" si="236"/>
        <v>87.66</v>
      </c>
      <c r="J746" s="1607">
        <f t="shared" si="245"/>
        <v>0</v>
      </c>
      <c r="K746" s="2069">
        <f t="shared" ca="1" si="233"/>
        <v>0</v>
      </c>
      <c r="L746" s="1570">
        <f t="shared" si="234"/>
        <v>0</v>
      </c>
      <c r="M746" s="1442"/>
      <c r="N746" s="832"/>
      <c r="O746" s="832"/>
      <c r="Q746" s="832"/>
      <c r="R746" s="832"/>
      <c r="S746" s="832"/>
      <c r="T746" s="832"/>
      <c r="U746" s="832"/>
      <c r="V746" s="832"/>
      <c r="W746" s="832"/>
      <c r="X746" s="832"/>
    </row>
    <row r="747" spans="1:24" s="812" customFormat="1" ht="39.950000000000003" hidden="1" customHeight="1" x14ac:dyDescent="0.15">
      <c r="A747" s="2072">
        <f t="shared" ca="1" si="235"/>
        <v>9.02</v>
      </c>
      <c r="B747" s="833" t="s">
        <v>1817</v>
      </c>
      <c r="C747" s="2" t="str">
        <f>VLOOKUP($B747,[1]BOLETIM_SEL!$A:$H,2,0)</f>
        <v>COMPOSIÇÃO</v>
      </c>
      <c r="D747" s="315" t="str">
        <f>VLOOKUP($B747,[1]BOLETIM_SEL!$A:$H,4,0)</f>
        <v>Defensa metálica semi-maleável tipo simples, em chapa de aço, padrão DNIT, incluindo fornecimento, montagem e refletivos (30x5cm) (REF. SICRO COD. 3713604)</v>
      </c>
      <c r="E747" s="2"/>
      <c r="F747" s="2" t="str">
        <f>VLOOKUP($B747,[1]BOLETIM_SEL!$A:$H,6,0)</f>
        <v>M</v>
      </c>
      <c r="G747" s="1407">
        <f>VLOOKUP($B747,[1]BOLETIM_SEL!$A:$H,7,0)</f>
        <v>495.3</v>
      </c>
      <c r="H747" s="1606">
        <f>+S_Complementares!P55</f>
        <v>0</v>
      </c>
      <c r="I747" s="876">
        <f t="shared" si="236"/>
        <v>604.26</v>
      </c>
      <c r="J747" s="1607">
        <f t="shared" si="245"/>
        <v>0</v>
      </c>
      <c r="K747" s="2069">
        <f t="shared" ca="1" si="233"/>
        <v>0</v>
      </c>
      <c r="L747" s="1570">
        <f t="shared" si="234"/>
        <v>0</v>
      </c>
      <c r="M747" s="1442"/>
      <c r="N747" s="832"/>
      <c r="O747" s="832"/>
      <c r="Q747" s="832"/>
      <c r="R747" s="832"/>
      <c r="S747" s="832"/>
      <c r="T747" s="832"/>
      <c r="U747" s="832"/>
      <c r="V747" s="832"/>
      <c r="W747" s="832"/>
      <c r="X747" s="832"/>
    </row>
    <row r="748" spans="1:24" s="812" customFormat="1" ht="39.950000000000003" hidden="1" customHeight="1" x14ac:dyDescent="0.15">
      <c r="A748" s="2072">
        <f t="shared" ca="1" si="235"/>
        <v>9.02</v>
      </c>
      <c r="B748" s="833" t="s">
        <v>1818</v>
      </c>
      <c r="C748" s="2" t="str">
        <f>VLOOKUP($B748,[1]BOLETIM_SEL!$A:$H,2,0)</f>
        <v>COMPOSIÇÃO</v>
      </c>
      <c r="D748" s="315" t="str">
        <f>VLOOKUP($B748,[1]BOLETIM_SEL!$A:$H,4,0)</f>
        <v>Defensa metálica semi-maleável tipo dupla, em chapa de aço, padrão DNIT, incluindo fornecimento, montagem e refletivos (30x5cm) (REF. SICRO COD. 3713606)</v>
      </c>
      <c r="E748" s="2"/>
      <c r="F748" s="2" t="str">
        <f>VLOOKUP($B748,[1]BOLETIM_SEL!$A:$H,6,0)</f>
        <v>M</v>
      </c>
      <c r="G748" s="1407">
        <f>VLOOKUP($B748,[1]BOLETIM_SEL!$A:$H,7,0)</f>
        <v>689</v>
      </c>
      <c r="H748" s="1606">
        <f>+S_Complementares!P56</f>
        <v>0</v>
      </c>
      <c r="I748" s="876">
        <f t="shared" si="236"/>
        <v>840.58</v>
      </c>
      <c r="J748" s="1607">
        <f t="shared" si="245"/>
        <v>0</v>
      </c>
      <c r="K748" s="2069">
        <f t="shared" ca="1" si="233"/>
        <v>0</v>
      </c>
      <c r="L748" s="1570">
        <f t="shared" si="234"/>
        <v>0</v>
      </c>
      <c r="M748" s="1442"/>
      <c r="N748" s="832"/>
      <c r="O748" s="832"/>
      <c r="Q748" s="832"/>
      <c r="R748" s="832"/>
      <c r="S748" s="832"/>
      <c r="T748" s="832"/>
      <c r="U748" s="832"/>
      <c r="V748" s="832"/>
      <c r="W748" s="832"/>
      <c r="X748" s="832"/>
    </row>
    <row r="749" spans="1:24" s="812" customFormat="1" ht="24.95" hidden="1" customHeight="1" x14ac:dyDescent="0.15">
      <c r="A749" s="2072"/>
      <c r="B749" s="833"/>
      <c r="C749" s="2"/>
      <c r="D749" s="1449" t="s">
        <v>1825</v>
      </c>
      <c r="E749" s="2"/>
      <c r="F749" s="2"/>
      <c r="G749" s="1407"/>
      <c r="H749" s="2"/>
      <c r="I749" s="2"/>
      <c r="J749" s="838" t="str">
        <f>IF(J750=0,"-","")</f>
        <v>-</v>
      </c>
      <c r="K749" s="2069"/>
      <c r="L749" s="1570"/>
      <c r="M749" s="1442"/>
      <c r="N749" s="832"/>
      <c r="O749" s="832"/>
      <c r="Q749" s="832"/>
      <c r="R749" s="832"/>
      <c r="S749" s="832"/>
      <c r="T749" s="832"/>
      <c r="U749" s="832"/>
      <c r="V749" s="832"/>
      <c r="W749" s="832"/>
      <c r="X749" s="832"/>
    </row>
    <row r="750" spans="1:24" s="812" customFormat="1" ht="30" hidden="1" customHeight="1" x14ac:dyDescent="0.15">
      <c r="A750" s="2072">
        <f ca="1">+IF(H750&gt;0,A748+0.01,A748)</f>
        <v>9.02</v>
      </c>
      <c r="B750" s="833">
        <v>100947</v>
      </c>
      <c r="C750" s="2" t="str">
        <f>VLOOKUP($B750,[1]BOLETIM_SEL!$A:$H,2,0)</f>
        <v>SINAPI</v>
      </c>
      <c r="D750" s="315" t="str">
        <f>VLOOKUP($B750,[1]BOLETIM_SEL!$A:$H,4,0)</f>
        <v>Transporte com caminhão carroceria 9t, em via urbana pavimentada, DMT até 30,00 km (unidade: txkm). AF_07/2020</v>
      </c>
      <c r="E750" s="2">
        <f>+Dados_DMT!$B$13</f>
        <v>22</v>
      </c>
      <c r="F750" s="2" t="str">
        <f>VLOOKUP($B750,[1]BOLETIM_SEL!$A:$H,6,0)</f>
        <v>TXKM</v>
      </c>
      <c r="G750" s="1407">
        <f>VLOOKUP($B750,[1]BOLETIM_SEL!$A:$H,7,0)</f>
        <v>2.12</v>
      </c>
      <c r="H750" s="1606">
        <f>ROUND(S_Complementares!P62*E750,2)</f>
        <v>0</v>
      </c>
      <c r="I750" s="876">
        <f>+TRUNC(G750*(1+$J$5),2)</f>
        <v>2.58</v>
      </c>
      <c r="J750" s="1607">
        <f>TRUNC(H750*I750,2)</f>
        <v>0</v>
      </c>
      <c r="K750" s="2069">
        <f ca="1">J750/J$930</f>
        <v>0</v>
      </c>
      <c r="L750" s="1570">
        <f>J750/$J$719</f>
        <v>0</v>
      </c>
      <c r="M750" s="1442"/>
      <c r="N750" s="832"/>
      <c r="O750" s="832"/>
      <c r="Q750" s="832"/>
      <c r="R750" s="832"/>
      <c r="S750" s="832"/>
      <c r="T750" s="832"/>
      <c r="U750" s="832"/>
      <c r="V750" s="832"/>
      <c r="W750" s="832"/>
      <c r="X750" s="832"/>
    </row>
    <row r="751" spans="1:24" s="812" customFormat="1" ht="24.95" customHeight="1" x14ac:dyDescent="0.15">
      <c r="A751" s="2072"/>
      <c r="B751" s="833"/>
      <c r="C751" s="833"/>
      <c r="D751" s="834"/>
      <c r="E751" s="2"/>
      <c r="F751" s="833"/>
      <c r="G751" s="1814"/>
      <c r="H751" s="1"/>
      <c r="I751" s="876"/>
      <c r="J751" s="838" t="str">
        <f>IF(J719=0,0,"")</f>
        <v/>
      </c>
      <c r="K751" s="2069"/>
      <c r="L751" s="1570"/>
      <c r="M751" s="1443"/>
      <c r="N751" s="832"/>
      <c r="O751" s="832"/>
      <c r="Q751" s="832"/>
      <c r="R751" s="832"/>
      <c r="S751" s="832"/>
      <c r="T751" s="832"/>
      <c r="U751" s="832"/>
      <c r="V751" s="832"/>
      <c r="W751" s="832"/>
      <c r="X751" s="832"/>
    </row>
    <row r="752" spans="1:24" s="832" customFormat="1" ht="24.95" customHeight="1" x14ac:dyDescent="0.15">
      <c r="A752" s="2073">
        <f ca="1">IF(J752&gt;0,INT(A750)+1,IF(J752=0,INT(A750),0))</f>
        <v>10</v>
      </c>
      <c r="B752" s="1626"/>
      <c r="C752" s="1626"/>
      <c r="D752" s="1627" t="s">
        <v>267</v>
      </c>
      <c r="E752" s="1821"/>
      <c r="F752" s="1628"/>
      <c r="G752" s="1828" t="s">
        <v>2401</v>
      </c>
      <c r="H752" s="1630"/>
      <c r="I752" s="1633" t="str">
        <f ca="1">CONCATENATE("SUB-TOTAL ",A752)</f>
        <v>SUB-TOTAL 10</v>
      </c>
      <c r="J752" s="1632">
        <f>SUM(J753:J794)</f>
        <v>362370.94</v>
      </c>
      <c r="K752" s="2070">
        <f t="shared" ref="K752:K784" ca="1" si="246">J752/J$930</f>
        <v>9.8495641645076723E-2</v>
      </c>
      <c r="L752" s="1605">
        <f t="shared" ref="L752:L759" si="247">+J752/$J$752</f>
        <v>1</v>
      </c>
      <c r="U752" s="1809">
        <f>J759+J760+J761+J762+J794</f>
        <v>362370.94</v>
      </c>
    </row>
    <row r="753" spans="1:24" s="812" customFormat="1" ht="50.1" hidden="1" customHeight="1" x14ac:dyDescent="0.15">
      <c r="A753" s="2072">
        <f t="shared" ref="A753:A784" ca="1" si="248">+IF(H753&gt;0,A752+0.01,A752)</f>
        <v>10</v>
      </c>
      <c r="B753" s="864">
        <v>90099</v>
      </c>
      <c r="C753" s="2" t="str">
        <f>+VLOOKUP($B753,[1]BOLETIM_SEL!$A:$H,2,0)</f>
        <v>SINAPI</v>
      </c>
      <c r="D753" s="315" t="str">
        <f>+VLOOKUP($B753,[1]BOLETIM_SEL!$A:$H,4,0)</f>
        <v>Escavação mecanizada de vala com profundidade até 1,50 m (média entre montante e jusante / uma composição por trecho), com retroescavadeira (capacidade da caçamba: 0,26 m3 / potência: 88 HP), largura menor que 0,80 m, em solo de 1a categoria, em locais com alto nível de interferência. AF_01/2015</v>
      </c>
      <c r="E753" s="2"/>
      <c r="F753" s="2" t="str">
        <f>+VLOOKUP($B753,[1]BOLETIM_SEL!$A:$H,6,0)</f>
        <v>M3</v>
      </c>
      <c r="G753" s="1407">
        <f>+VLOOKUP($B753,[1]BOLETIM_SEL!$A:$H,7,0)</f>
        <v>15.47</v>
      </c>
      <c r="H753" s="1606">
        <f>+Passeio!N230</f>
        <v>0</v>
      </c>
      <c r="I753" s="876">
        <f>+TRUNC(G753*(1+$J$5),2)</f>
        <v>18.87</v>
      </c>
      <c r="J753" s="1607">
        <f t="shared" ref="J753:J759" si="249">TRUNC(H753*I753,2)</f>
        <v>0</v>
      </c>
      <c r="K753" s="2069">
        <f t="shared" ca="1" si="246"/>
        <v>0</v>
      </c>
      <c r="L753" s="1570">
        <f t="shared" si="247"/>
        <v>0</v>
      </c>
      <c r="M753" s="1442" t="str">
        <f>+VLOOKUP($B753,[1]BOLETIM_SEL!$A:$H,5,0)</f>
        <v>H &lt; 1,50
alta Interferência</v>
      </c>
      <c r="N753" s="832"/>
      <c r="O753" s="832"/>
      <c r="Q753" s="832"/>
      <c r="R753" s="832"/>
      <c r="S753" s="832"/>
      <c r="T753" s="832"/>
      <c r="U753" s="832"/>
      <c r="V753" s="832"/>
      <c r="W753" s="832"/>
      <c r="X753" s="832"/>
    </row>
    <row r="754" spans="1:24" s="812" customFormat="1" ht="50.1" hidden="1" customHeight="1" x14ac:dyDescent="0.15">
      <c r="A754" s="2072">
        <f t="shared" ca="1" si="248"/>
        <v>10</v>
      </c>
      <c r="B754" s="864">
        <v>101230</v>
      </c>
      <c r="C754" s="2" t="str">
        <f>+VLOOKUP($B754,[1]BOLETIM_SEL!$A:$H,2,0)</f>
        <v>SINAPI</v>
      </c>
      <c r="D754" s="315" t="str">
        <f>+VLOOKUP($B754,[1]BOLETIM_SEL!$A:$H,4,0)</f>
        <v>Escavação vertical a céu aberto, em obras de infraestrutura, incluindo carga, descarga e transporte, em solo de 1a categoria com escavadeira hidráulica (caçamba: 0,80 m3 / 111 HP), frota de 3 caminhões basculantes de 14 m3, DMT até 1 km e velocidade média 14 km/h. AF_05/2020</v>
      </c>
      <c r="E754" s="2"/>
      <c r="F754" s="2" t="str">
        <f>+VLOOKUP($B754,[1]BOLETIM_SEL!$A:$H,6,0)</f>
        <v>M3</v>
      </c>
      <c r="G754" s="1407">
        <f>VLOOKUP($B754,[1]BOLETIM_SEL!$A:$H,7,0)</f>
        <v>10.75</v>
      </c>
      <c r="H754" s="1606">
        <f>IF(H755=0,Passeio!N176,0)</f>
        <v>0</v>
      </c>
      <c r="I754" s="876">
        <f>+TRUNC(G754*(1+$J$5),2)</f>
        <v>13.11</v>
      </c>
      <c r="J754" s="1607">
        <f t="shared" si="249"/>
        <v>0</v>
      </c>
      <c r="K754" s="2069">
        <f t="shared" ca="1" si="246"/>
        <v>0</v>
      </c>
      <c r="L754" s="1570">
        <f t="shared" si="247"/>
        <v>0</v>
      </c>
      <c r="M754" s="1442"/>
      <c r="N754" s="832"/>
      <c r="O754" s="832"/>
      <c r="Q754" s="832"/>
      <c r="R754" s="832"/>
      <c r="S754" s="832"/>
      <c r="T754" s="832"/>
      <c r="U754" s="832"/>
      <c r="V754" s="832"/>
      <c r="W754" s="832"/>
      <c r="X754" s="832"/>
    </row>
    <row r="755" spans="1:24" s="812" customFormat="1" ht="39.950000000000003" hidden="1" customHeight="1" x14ac:dyDescent="0.15">
      <c r="A755" s="2072">
        <f t="shared" ca="1" si="248"/>
        <v>10</v>
      </c>
      <c r="B755" s="864">
        <v>6079</v>
      </c>
      <c r="C755" s="2" t="str">
        <f>+VLOOKUP($B755,[1]BOLETIM_SEL!$A:$H,2,0)</f>
        <v>COTAÇÃO - SINAPI</v>
      </c>
      <c r="D755" s="315" t="str">
        <f>+VLOOKUP($B755,[1]BOLETIM_SEL!$A:$H,4,0)</f>
        <v>Argila, argila vermelha ou argila arenosa (retirada na jazida, sem transporte)</v>
      </c>
      <c r="E755" s="2221" t="s">
        <v>2632</v>
      </c>
      <c r="F755" s="2" t="str">
        <f>+VLOOKUP($B755,[1]BOLETIM_SEL!$A:$H,6,0)</f>
        <v xml:space="preserve">M3    </v>
      </c>
      <c r="G755" s="1407">
        <f>+VLOOKUP($B755,[1]BOLETIM_SEL!$A:$H,7,0)</f>
        <v>36.51</v>
      </c>
      <c r="H755" s="1606">
        <f>IF(M755="COMERCIAL",Passeio!N176,0)</f>
        <v>0</v>
      </c>
      <c r="I755" s="2222">
        <f t="shared" ref="I755" si="250">TRUNC(G755*(1+$J$6),2)</f>
        <v>42.08</v>
      </c>
      <c r="J755" s="1607">
        <f t="shared" si="249"/>
        <v>0</v>
      </c>
      <c r="K755" s="2069">
        <f t="shared" ca="1" si="246"/>
        <v>0</v>
      </c>
      <c r="L755" s="1570">
        <f t="shared" si="247"/>
        <v>0</v>
      </c>
      <c r="M755" s="1585" t="s">
        <v>410</v>
      </c>
      <c r="N755" s="832"/>
      <c r="O755" s="832"/>
      <c r="Q755" s="832"/>
      <c r="R755" s="832"/>
      <c r="S755" s="832"/>
      <c r="T755" s="832"/>
      <c r="U755" s="832"/>
      <c r="V755" s="832"/>
      <c r="W755" s="832"/>
      <c r="X755" s="832"/>
    </row>
    <row r="756" spans="1:24" s="812" customFormat="1" ht="39.950000000000003" hidden="1" customHeight="1" x14ac:dyDescent="0.15">
      <c r="A756" s="2072">
        <f t="shared" ca="1" si="248"/>
        <v>10</v>
      </c>
      <c r="B756" s="864">
        <v>100324</v>
      </c>
      <c r="C756" s="2" t="str">
        <f>+VLOOKUP($B756,[1]BOLETIM_SEL!$A:$H,2,0)</f>
        <v>SINAPI</v>
      </c>
      <c r="D756" s="315" t="str">
        <f>+VLOOKUP($B756,[1]BOLETIM_SEL!$A:$H,4,0)</f>
        <v>Lastro com material granular (pedra britada n.1 e pedra britada n.2), aplicado em pisos ou radiers, espessura de *10 cm*. AF_07/2019</v>
      </c>
      <c r="E756" s="2"/>
      <c r="F756" s="2" t="str">
        <f>+VLOOKUP($B756,[1]BOLETIM_SEL!$A:$H,6,0)</f>
        <v>M3</v>
      </c>
      <c r="G756" s="1407">
        <f>+VLOOKUP($B756,[1]BOLETIM_SEL!$A:$H,7,0)</f>
        <v>150.93</v>
      </c>
      <c r="H756" s="1606">
        <f>Passeio!N166+Passeio!N232</f>
        <v>0</v>
      </c>
      <c r="I756" s="876">
        <f t="shared" ref="I756:I784" si="251">+TRUNC(G756*(1+$J$5),2)</f>
        <v>184.13</v>
      </c>
      <c r="J756" s="1607">
        <f t="shared" si="249"/>
        <v>0</v>
      </c>
      <c r="K756" s="2069">
        <f t="shared" ca="1" si="246"/>
        <v>0</v>
      </c>
      <c r="L756" s="1570">
        <f t="shared" si="247"/>
        <v>0</v>
      </c>
      <c r="M756" s="1442"/>
      <c r="N756" s="1648" t="s">
        <v>1951</v>
      </c>
      <c r="O756" s="1648" t="s">
        <v>1977</v>
      </c>
      <c r="Q756" s="832"/>
      <c r="R756" s="832"/>
      <c r="S756" s="832"/>
      <c r="T756" s="832"/>
      <c r="U756" s="832"/>
      <c r="V756" s="832"/>
      <c r="W756" s="832"/>
      <c r="X756" s="832"/>
    </row>
    <row r="757" spans="1:24" s="812" customFormat="1" ht="30" hidden="1" customHeight="1" x14ac:dyDescent="0.15">
      <c r="A757" s="2072">
        <f t="shared" ca="1" si="248"/>
        <v>10</v>
      </c>
      <c r="B757" s="864">
        <v>98524</v>
      </c>
      <c r="C757" s="2" t="str">
        <f>+VLOOKUP($B757,[1]BOLETIM_SEL!$A:$H,2,0)</f>
        <v>SINAPI</v>
      </c>
      <c r="D757" s="315" t="str">
        <f>+VLOOKUP($B757,[1]BOLETIM_SEL!$A:$H,4,0)</f>
        <v>Limpeza manual de vegetação em terreno com enxada. AF_05/2018</v>
      </c>
      <c r="E757" s="2"/>
      <c r="F757" s="2" t="str">
        <f>+VLOOKUP($B757,[1]BOLETIM_SEL!$A:$H,6,0)</f>
        <v>M2</v>
      </c>
      <c r="G757" s="1407">
        <f>+VLOOKUP($B757,[1]BOLETIM_SEL!$A:$H,7,0)</f>
        <v>2.94</v>
      </c>
      <c r="H757" s="1606">
        <f>+Passeio!N24</f>
        <v>0</v>
      </c>
      <c r="I757" s="876">
        <f t="shared" ref="I757" si="252">+TRUNC(G757*(1+$J$5),2)</f>
        <v>3.58</v>
      </c>
      <c r="J757" s="1607">
        <f t="shared" si="249"/>
        <v>0</v>
      </c>
      <c r="K757" s="2069">
        <f t="shared" ca="1" si="246"/>
        <v>0</v>
      </c>
      <c r="L757" s="1570">
        <f t="shared" ref="L757" si="253">+J757/$J$752</f>
        <v>0</v>
      </c>
      <c r="M757" s="1442"/>
      <c r="N757" s="1648" t="s">
        <v>1951</v>
      </c>
      <c r="O757" s="1648" t="s">
        <v>1977</v>
      </c>
      <c r="Q757" s="832"/>
      <c r="R757" s="832"/>
      <c r="S757" s="832"/>
      <c r="T757" s="832"/>
      <c r="U757" s="832"/>
      <c r="V757" s="832"/>
      <c r="W757" s="832"/>
      <c r="X757" s="832"/>
    </row>
    <row r="758" spans="1:24" s="812" customFormat="1" ht="39.950000000000003" hidden="1" customHeight="1" x14ac:dyDescent="0.15">
      <c r="A758" s="2072">
        <f t="shared" ca="1" si="248"/>
        <v>10</v>
      </c>
      <c r="B758" s="864">
        <v>100975</v>
      </c>
      <c r="C758" s="2" t="str">
        <f>+VLOOKUP($B758,[1]BOLETIM_SEL!$A:$H,2,0)</f>
        <v>SINAPI</v>
      </c>
      <c r="D758" s="315" t="str">
        <f>+VLOOKUP($B758,[1]BOLETIM_SEL!$A:$H,4,0)</f>
        <v>Carga, manobra e descarga de solos e materiais granulares em caminhão basculante 14 m3 - carga com pá carregadeira (capacidade da caçamba: 1,70 a 2,80 m3 / potência: 128 HP) e descarga livre (unidade: m3). AF_07/2020</v>
      </c>
      <c r="E758" s="2"/>
      <c r="F758" s="2" t="str">
        <f>+VLOOKUP($B758,[1]BOLETIM_SEL!$A:$H,6,0)</f>
        <v>M3</v>
      </c>
      <c r="G758" s="1407">
        <f>+VLOOKUP($B758,[1]BOLETIM_SEL!$A:$H,7,0)</f>
        <v>8.36</v>
      </c>
      <c r="H758" s="1606">
        <f>+Passeio!N25</f>
        <v>0</v>
      </c>
      <c r="I758" s="876">
        <f t="shared" ref="I758" si="254">+TRUNC(G758*(1+$J$5),2)</f>
        <v>10.19</v>
      </c>
      <c r="J758" s="1607">
        <f t="shared" si="249"/>
        <v>0</v>
      </c>
      <c r="K758" s="2069">
        <f t="shared" ca="1" si="246"/>
        <v>0</v>
      </c>
      <c r="L758" s="1570">
        <f t="shared" ref="L758" si="255">+J758/$J$752</f>
        <v>0</v>
      </c>
      <c r="M758" s="1442"/>
      <c r="N758" s="1648" t="s">
        <v>1951</v>
      </c>
      <c r="O758" s="1648" t="s">
        <v>1977</v>
      </c>
      <c r="Q758" s="832"/>
      <c r="R758" s="832"/>
      <c r="S758" s="832"/>
      <c r="T758" s="832"/>
      <c r="U758" s="832"/>
      <c r="V758" s="832"/>
      <c r="W758" s="832"/>
      <c r="X758" s="832"/>
    </row>
    <row r="759" spans="1:24" s="812" customFormat="1" ht="30" customHeight="1" x14ac:dyDescent="0.15">
      <c r="A759" s="2072">
        <f t="shared" ca="1" si="248"/>
        <v>10.01</v>
      </c>
      <c r="B759" s="864">
        <v>97084</v>
      </c>
      <c r="C759" s="2" t="str">
        <f>+VLOOKUP($B759,[1]BOLETIM_SEL!$A:$H,2,0)</f>
        <v>SINAPI</v>
      </c>
      <c r="D759" s="315" t="str">
        <f>+VLOOKUP($B759,[1]BOLETIM_SEL!$A:$H,4,0)</f>
        <v>Compactação mecânica de solo para execução de radier, com compactador de solos tipo placa vibratória. AF_09/2021</v>
      </c>
      <c r="E759" s="2"/>
      <c r="F759" s="2" t="str">
        <f>+VLOOKUP($B759,[1]BOLETIM_SEL!$A:$H,6,0)</f>
        <v>M2</v>
      </c>
      <c r="G759" s="1407">
        <f>+VLOOKUP($B759,[1]BOLETIM_SEL!$A:$H,7,0)</f>
        <v>0.63</v>
      </c>
      <c r="H759" s="1606">
        <f>+Passeio!N170+Passeio!N231</f>
        <v>5339.87</v>
      </c>
      <c r="I759" s="876">
        <f t="shared" si="251"/>
        <v>0.76</v>
      </c>
      <c r="J759" s="1607">
        <f t="shared" si="249"/>
        <v>4058.3</v>
      </c>
      <c r="K759" s="2069">
        <f t="shared" ca="1" si="246"/>
        <v>1.1030820034526358E-3</v>
      </c>
      <c r="L759" s="1570">
        <f t="shared" si="247"/>
        <v>1.1199297603720652E-2</v>
      </c>
      <c r="M759" s="1442"/>
      <c r="N759" s="1654">
        <f>VLOOKUP($B759,[1]BOLETIM_SEL!$A:$H,3,0)</f>
        <v>52.63</v>
      </c>
      <c r="O759" s="1645">
        <f>+H759/N759</f>
        <v>101.46057381721451</v>
      </c>
      <c r="Q759" s="832"/>
      <c r="R759" s="832"/>
      <c r="S759" s="832"/>
      <c r="T759" s="832"/>
      <c r="U759" s="832"/>
      <c r="V759" s="832"/>
      <c r="W759" s="832"/>
      <c r="X759" s="832"/>
    </row>
    <row r="760" spans="1:24" s="812" customFormat="1" ht="39.950000000000003" customHeight="1" x14ac:dyDescent="0.15">
      <c r="A760" s="2072">
        <f t="shared" ca="1" si="248"/>
        <v>10.02</v>
      </c>
      <c r="B760" s="2" t="s">
        <v>2431</v>
      </c>
      <c r="C760" s="2" t="str">
        <f>+VLOOKUP($B760,[1]BOLETIM_SEL!$A:$H,2,0)</f>
        <v>COMPOSIÇÃO</v>
      </c>
      <c r="D760" s="315" t="str">
        <f>+VLOOKUP($B760,[1]BOLETIM_SEL!$A:$H,4,0)</f>
        <v>Piso tátil de alerta ou direcional com lajota cimentícia  40x40x2,5cm, nas cores da NBR 16537, assentado com argamassa de cimento e areia 1:3</v>
      </c>
      <c r="E760" s="2"/>
      <c r="F760" s="2" t="str">
        <f>+VLOOKUP($B760,[1]BOLETIM_SEL!$A:$H,6,0)</f>
        <v>M</v>
      </c>
      <c r="G760" s="1407">
        <f>+VLOOKUP($B760,[1]BOLETIM_SEL!$A:$H,7,0)</f>
        <v>60.8</v>
      </c>
      <c r="H760" s="1606">
        <f>+Passeio!N156+Passeio!N157</f>
        <v>83.59</v>
      </c>
      <c r="I760" s="876">
        <f t="shared" si="251"/>
        <v>74.17</v>
      </c>
      <c r="J760" s="1607">
        <f t="shared" ref="J760:J794" si="256">TRUNC(H760*I760,2)</f>
        <v>6199.87</v>
      </c>
      <c r="K760" s="2069">
        <f t="shared" ca="1" si="246"/>
        <v>1.6851797601818231E-3</v>
      </c>
      <c r="L760" s="1570">
        <f t="shared" ref="L760:L794" si="257">+J760/$J$752</f>
        <v>1.7109180995584249E-2</v>
      </c>
      <c r="M760" s="1442"/>
      <c r="N760" s="1654"/>
      <c r="O760" s="1645"/>
      <c r="Q760" s="832"/>
      <c r="R760" s="832"/>
      <c r="S760" s="832"/>
      <c r="T760" s="832"/>
      <c r="U760" s="832"/>
      <c r="V760" s="832"/>
      <c r="W760" s="832"/>
      <c r="X760" s="832"/>
    </row>
    <row r="761" spans="1:24" s="812" customFormat="1" ht="39.950000000000003" customHeight="1" x14ac:dyDescent="0.15">
      <c r="A761" s="2072">
        <f t="shared" ca="1" si="248"/>
        <v>10.029999999999999</v>
      </c>
      <c r="B761" s="833">
        <v>94962</v>
      </c>
      <c r="C761" s="2" t="str">
        <f>+VLOOKUP($B761,[1]BOLETIM_SEL!$A:$H,2,0)</f>
        <v>SINAPI</v>
      </c>
      <c r="D761" s="315" t="str">
        <f>+VLOOKUP($B761,[1]BOLETIM_SEL!$A:$H,4,0)</f>
        <v>Concreto magro para lastro, traço 1:4,5:4,5 (cimento/ areia média/ brita 1) - preparo mecânico com betoneira 400 l. AF_07/2016</v>
      </c>
      <c r="E761" s="2"/>
      <c r="F761" s="2" t="str">
        <f>+VLOOKUP($B761,[1]BOLETIM_SEL!$A:$H,6,0)</f>
        <v>M3</v>
      </c>
      <c r="G761" s="1407">
        <f>+VLOOKUP($B761,[1]BOLETIM_SEL!$A:$H,7,0)</f>
        <v>385.69</v>
      </c>
      <c r="H761" s="1606">
        <f>+Passeio!N155</f>
        <v>1</v>
      </c>
      <c r="I761" s="876">
        <f t="shared" ref="I761" si="258">+TRUNC(G761*(1+$J$5),2)</f>
        <v>470.54</v>
      </c>
      <c r="J761" s="1607">
        <f t="shared" ref="J761" si="259">TRUNC(H761*I761,2)</f>
        <v>470.54</v>
      </c>
      <c r="K761" s="2069">
        <f t="shared" ca="1" si="246"/>
        <v>1.2789695338062817E-4</v>
      </c>
      <c r="L761" s="1570">
        <f t="shared" ref="L761" si="260">+J761/$J$752</f>
        <v>1.2985036824420856E-3</v>
      </c>
      <c r="M761" s="1442"/>
      <c r="N761" s="1654"/>
      <c r="O761" s="1645"/>
      <c r="Q761" s="832"/>
      <c r="R761" s="832"/>
      <c r="S761" s="832"/>
      <c r="T761" s="832"/>
      <c r="U761" s="832"/>
      <c r="V761" s="832"/>
      <c r="W761" s="832"/>
      <c r="X761" s="832"/>
    </row>
    <row r="762" spans="1:24" s="812" customFormat="1" ht="39.950000000000003" customHeight="1" x14ac:dyDescent="0.15">
      <c r="A762" s="2072">
        <f t="shared" ca="1" si="248"/>
        <v>10.039999999999999</v>
      </c>
      <c r="B762" s="833">
        <f>IF(M762="USINADO",94991,94990)</f>
        <v>94991</v>
      </c>
      <c r="C762" s="2" t="str">
        <f>+VLOOKUP($B762,[1]BOLETIM_SEL!$A:$H,2,0)</f>
        <v>SINAPI</v>
      </c>
      <c r="D762" s="315" t="str">
        <f>+VLOOKUP($B762,[1]BOLETIM_SEL!$A:$H,4,0)</f>
        <v>Execução de passeio (calçada) ou piso de concreto com concreto moldado in loco, usinado, acabamento convencional, não armado. AF_07/2016</v>
      </c>
      <c r="E762" s="2"/>
      <c r="F762" s="2" t="str">
        <f>+VLOOKUP($B762,[1]BOLETIM_SEL!$A:$H,6,0)</f>
        <v>M3</v>
      </c>
      <c r="G762" s="1407">
        <f>+VLOOKUP($B762,[1]BOLETIM_SEL!$A:$H,7,0)</f>
        <v>775.77</v>
      </c>
      <c r="H762" s="1606">
        <f>+Passeio!N164</f>
        <v>371.45</v>
      </c>
      <c r="I762" s="876">
        <f t="shared" si="251"/>
        <v>946.43</v>
      </c>
      <c r="J762" s="1607">
        <f t="shared" si="256"/>
        <v>351551.42</v>
      </c>
      <c r="K762" s="2069">
        <f t="shared" ca="1" si="246"/>
        <v>9.5554799963092671E-2</v>
      </c>
      <c r="L762" s="1570">
        <f t="shared" si="257"/>
        <v>0.97014241815306712</v>
      </c>
      <c r="M762" s="1585" t="s">
        <v>1852</v>
      </c>
      <c r="N762" s="1654"/>
      <c r="O762" s="1645"/>
      <c r="Q762" s="841"/>
      <c r="R762" s="841"/>
      <c r="S762" s="841"/>
      <c r="T762" s="841"/>
      <c r="U762" s="841"/>
      <c r="V762" s="841"/>
      <c r="W762" s="841"/>
      <c r="X762" s="832"/>
    </row>
    <row r="763" spans="1:24" s="812" customFormat="1" ht="39.950000000000003" hidden="1" customHeight="1" x14ac:dyDescent="0.15">
      <c r="A763" s="2072">
        <f t="shared" ca="1" si="248"/>
        <v>10.039999999999999</v>
      </c>
      <c r="B763" s="833">
        <f>IF(M763="USINADO",94995,94994)</f>
        <v>94994</v>
      </c>
      <c r="C763" s="2" t="str">
        <f>+VLOOKUP($B763,[1]BOLETIM_SEL!$A:$H,2,0)</f>
        <v>SINAPI</v>
      </c>
      <c r="D763" s="315" t="str">
        <f>+VLOOKUP($B763,[1]BOLETIM_SEL!$A:$H,4,0)</f>
        <v>Execução de passeio (calçada) ou piso de concreto com concreto moldado in loco, feito em obra, acabamento convencional, espessura 8 cm, armado. AF_07/2016</v>
      </c>
      <c r="E763" s="2"/>
      <c r="F763" s="2" t="str">
        <f>+VLOOKUP($B763,[1]BOLETIM_SEL!$A:$H,6,0)</f>
        <v>M2</v>
      </c>
      <c r="G763" s="1407">
        <f>+VLOOKUP($B763,[1]BOLETIM_SEL!$A:$H,7,0)</f>
        <v>90.92</v>
      </c>
      <c r="H763" s="1606">
        <f>+Passeio!N168</f>
        <v>0</v>
      </c>
      <c r="I763" s="876">
        <f t="shared" si="251"/>
        <v>110.92</v>
      </c>
      <c r="J763" s="1607">
        <f t="shared" si="256"/>
        <v>0</v>
      </c>
      <c r="K763" s="2069">
        <f t="shared" ca="1" si="246"/>
        <v>0</v>
      </c>
      <c r="L763" s="1570">
        <f t="shared" si="257"/>
        <v>0</v>
      </c>
      <c r="M763" s="1585" t="s">
        <v>1853</v>
      </c>
      <c r="N763" s="1654">
        <f>VLOOKUP($B763,[1]BOLETIM_SEL!$A:$H,3,0)</f>
        <v>0</v>
      </c>
      <c r="O763" s="1645"/>
      <c r="Q763" s="841"/>
      <c r="R763" s="841"/>
      <c r="S763" s="841"/>
      <c r="T763" s="841"/>
      <c r="U763" s="841"/>
      <c r="V763" s="841"/>
      <c r="W763" s="841"/>
      <c r="X763" s="832"/>
    </row>
    <row r="764" spans="1:24" s="812" customFormat="1" ht="39.950000000000003" hidden="1" customHeight="1" x14ac:dyDescent="0.15">
      <c r="A764" s="2072">
        <f t="shared" ca="1" si="248"/>
        <v>10.039999999999999</v>
      </c>
      <c r="B764" s="833" t="s">
        <v>1854</v>
      </c>
      <c r="C764" s="2" t="str">
        <f>+VLOOKUP($B764,[1]BOLETIM_SEL!$A:$H,2,0)</f>
        <v>COMPOSIÇÃO</v>
      </c>
      <c r="D764" s="315" t="str">
        <f>+VLOOKUP($B764,[1]BOLETIM_SEL!$A:$H,4,0)</f>
        <v>Acabamento sobre superfícies em concreto, argamassa e outros com pigmento com 210g/m² de pó para coloração (REF. SINAPI COD. 73676)</v>
      </c>
      <c r="E764" s="2"/>
      <c r="F764" s="2" t="str">
        <f>+VLOOKUP($B764,[1]BOLETIM_SEL!$A:$H,6,0)</f>
        <v>M2</v>
      </c>
      <c r="G764" s="1407"/>
      <c r="H764" s="1606"/>
      <c r="I764" s="876">
        <f t="shared" si="251"/>
        <v>0</v>
      </c>
      <c r="J764" s="1607">
        <f t="shared" si="256"/>
        <v>0</v>
      </c>
      <c r="K764" s="2069">
        <f t="shared" ca="1" si="246"/>
        <v>0</v>
      </c>
      <c r="L764" s="1570">
        <f t="shared" si="257"/>
        <v>0</v>
      </c>
      <c r="M764" s="1442"/>
      <c r="N764" s="832"/>
      <c r="O764" s="841"/>
      <c r="Q764" s="841"/>
      <c r="R764" s="841"/>
      <c r="S764" s="841"/>
      <c r="T764" s="841"/>
      <c r="U764" s="841"/>
      <c r="V764" s="841"/>
      <c r="W764" s="841"/>
      <c r="X764" s="832"/>
    </row>
    <row r="765" spans="1:24" s="812" customFormat="1" ht="30" hidden="1" customHeight="1" x14ac:dyDescent="0.15">
      <c r="A765" s="2072">
        <f t="shared" ca="1" si="248"/>
        <v>10.039999999999999</v>
      </c>
      <c r="B765" s="833">
        <f>IF(M765="RETANGULAR",92396,92402)</f>
        <v>92396</v>
      </c>
      <c r="C765" s="2" t="str">
        <f>+VLOOKUP($B765,[1]BOLETIM_SEL!$A:$H,2,0)</f>
        <v>SINAPI</v>
      </c>
      <c r="D765" s="315" t="str">
        <f>+VLOOKUP($B765,[1]BOLETIM_SEL!$A:$H,4,0)</f>
        <v>Execução de passeio em piso intertravado, com bloco retangular cor natural de 20 x 10 cm, espessura 6 cm. AF_12/2015</v>
      </c>
      <c r="E765" s="2"/>
      <c r="F765" s="2" t="str">
        <f>+VLOOKUP($B765,[1]BOLETIM_SEL!$A:$H,6,0)</f>
        <v>M2</v>
      </c>
      <c r="G765" s="1407">
        <f>+VLOOKUP($B765,[1]BOLETIM_SEL!$A:$H,7,0)</f>
        <v>72.95</v>
      </c>
      <c r="H765" s="1606">
        <f>+Passeio!N30</f>
        <v>0</v>
      </c>
      <c r="I765" s="876">
        <f t="shared" ref="I765" si="261">+TRUNC(G765*(1+$J$5),2)</f>
        <v>88.99</v>
      </c>
      <c r="J765" s="1607">
        <f t="shared" ref="J765" si="262">TRUNC(H765*I765,2)</f>
        <v>0</v>
      </c>
      <c r="K765" s="2069">
        <f t="shared" ca="1" si="246"/>
        <v>0</v>
      </c>
      <c r="L765" s="1570">
        <f t="shared" ref="L765" si="263">+J765/$J$752</f>
        <v>0</v>
      </c>
      <c r="M765" s="1585" t="s">
        <v>2045</v>
      </c>
      <c r="N765" s="832"/>
      <c r="O765" s="841"/>
      <c r="Q765" s="841"/>
      <c r="R765" s="841"/>
      <c r="S765" s="841"/>
      <c r="T765" s="841"/>
      <c r="U765" s="841"/>
      <c r="V765" s="841"/>
      <c r="W765" s="841"/>
      <c r="X765" s="832"/>
    </row>
    <row r="766" spans="1:24" s="812" customFormat="1" ht="39.950000000000003" hidden="1" customHeight="1" x14ac:dyDescent="0.15">
      <c r="A766" s="2072">
        <f t="shared" ca="1" si="248"/>
        <v>10.039999999999999</v>
      </c>
      <c r="B766" s="833" t="s">
        <v>1856</v>
      </c>
      <c r="C766" s="2" t="str">
        <f>+VLOOKUP($B766,[1]BOLETIM_SEL!$A:$H,2,0)</f>
        <v>COMPOSIÇÃO</v>
      </c>
      <c r="D766" s="315" t="str">
        <f>+VLOOKUP($B766,[1]BOLETIM_SEL!$A:$H,4,0)</f>
        <v>Tampão fofo articulado, classe A15, carga máxima 1,5 T, 200 x 200 mm. Incluindo fornecimento, assentamento e requadro com argamassa</v>
      </c>
      <c r="E766" s="2"/>
      <c r="F766" s="2" t="str">
        <f>+VLOOKUP($B766,[1]BOLETIM_SEL!$A:$H,6,0)</f>
        <v xml:space="preserve">UN </v>
      </c>
      <c r="G766" s="1407">
        <f>+VLOOKUP($B766,[1]BOLETIM_SEL!$A:$H,7,0)</f>
        <v>128.01</v>
      </c>
      <c r="H766" s="1606">
        <f>+Passeio!N200</f>
        <v>0</v>
      </c>
      <c r="I766" s="876">
        <f t="shared" si="251"/>
        <v>156.16999999999999</v>
      </c>
      <c r="J766" s="1607">
        <f t="shared" si="256"/>
        <v>0</v>
      </c>
      <c r="K766" s="2069">
        <f t="shared" ca="1" si="246"/>
        <v>0</v>
      </c>
      <c r="L766" s="1570">
        <f t="shared" si="257"/>
        <v>0</v>
      </c>
      <c r="M766" s="1442"/>
      <c r="N766" s="832"/>
      <c r="O766" s="832"/>
      <c r="Q766" s="832"/>
      <c r="R766" s="832"/>
      <c r="S766" s="832"/>
      <c r="T766" s="832"/>
      <c r="U766" s="832"/>
      <c r="V766" s="832"/>
      <c r="W766" s="832"/>
      <c r="X766" s="832"/>
    </row>
    <row r="767" spans="1:24" s="812" customFormat="1" ht="39.950000000000003" hidden="1" customHeight="1" x14ac:dyDescent="0.15">
      <c r="A767" s="2072">
        <f t="shared" ca="1" si="248"/>
        <v>10.039999999999999</v>
      </c>
      <c r="B767" s="833" t="s">
        <v>1857</v>
      </c>
      <c r="C767" s="2" t="str">
        <f>+VLOOKUP($B767,[1]BOLETIM_SEL!$A:$H,2,0)</f>
        <v>COMPOSIÇÃO</v>
      </c>
      <c r="D767" s="315" t="str">
        <f>+VLOOKUP($B767,[1]BOLETIM_SEL!$A:$H,4,0)</f>
        <v>Tampão fofo simples com base, classe A15, carga máxima 1,5 T, 300 x 300 mm. Incluindo fornecimento, assentamento e requadro com argamassa</v>
      </c>
      <c r="E767" s="2"/>
      <c r="F767" s="2" t="str">
        <f>+VLOOKUP($B767,[1]BOLETIM_SEL!$A:$H,6,0)</f>
        <v xml:space="preserve">UN </v>
      </c>
      <c r="G767" s="1407">
        <f>+VLOOKUP($B767,[1]BOLETIM_SEL!$A:$H,7,0)</f>
        <v>193.28</v>
      </c>
      <c r="H767" s="1606">
        <f>+Passeio!N201</f>
        <v>0</v>
      </c>
      <c r="I767" s="876">
        <f t="shared" si="251"/>
        <v>235.8</v>
      </c>
      <c r="J767" s="1607">
        <f t="shared" si="256"/>
        <v>0</v>
      </c>
      <c r="K767" s="2069">
        <f t="shared" ca="1" si="246"/>
        <v>0</v>
      </c>
      <c r="L767" s="1570">
        <f t="shared" si="257"/>
        <v>0</v>
      </c>
      <c r="M767" s="1442"/>
      <c r="N767" s="832"/>
      <c r="O767" s="832"/>
      <c r="Q767" s="832"/>
      <c r="R767" s="832"/>
      <c r="S767" s="832"/>
      <c r="T767" s="832"/>
      <c r="U767" s="832"/>
      <c r="V767" s="832"/>
      <c r="W767" s="832"/>
      <c r="X767" s="832"/>
    </row>
    <row r="768" spans="1:24" s="812" customFormat="1" ht="39.950000000000003" hidden="1" customHeight="1" x14ac:dyDescent="0.15">
      <c r="A768" s="2072">
        <f t="shared" ca="1" si="248"/>
        <v>10.039999999999999</v>
      </c>
      <c r="B768" s="833" t="s">
        <v>1858</v>
      </c>
      <c r="C768" s="2" t="str">
        <f>+VLOOKUP($B768,[1]BOLETIM_SEL!$A:$H,2,0)</f>
        <v>COMPOSIÇÃO</v>
      </c>
      <c r="D768" s="315" t="str">
        <f>+VLOOKUP($B768,[1]BOLETIM_SEL!$A:$H,4,0)</f>
        <v>Tampão fofo simples com base, classe A15, carga máxima 1,5 T, 400 x 400 mm. Incluindo fornecimento, assentamento e requadro com argamassa</v>
      </c>
      <c r="E768" s="2"/>
      <c r="F768" s="2" t="str">
        <f>+VLOOKUP($B768,[1]BOLETIM_SEL!$A:$H,6,0)</f>
        <v xml:space="preserve">UN </v>
      </c>
      <c r="G768" s="1407">
        <f>+VLOOKUP($B768,[1]BOLETIM_SEL!$A:$H,7,0)</f>
        <v>279.97000000000003</v>
      </c>
      <c r="H768" s="1606">
        <f>+Passeio!N202</f>
        <v>0</v>
      </c>
      <c r="I768" s="876">
        <f t="shared" si="251"/>
        <v>341.56</v>
      </c>
      <c r="J768" s="1607">
        <f t="shared" si="256"/>
        <v>0</v>
      </c>
      <c r="K768" s="2069">
        <f t="shared" ca="1" si="246"/>
        <v>0</v>
      </c>
      <c r="L768" s="1570">
        <f t="shared" si="257"/>
        <v>0</v>
      </c>
      <c r="M768" s="1442"/>
      <c r="N768" s="832"/>
      <c r="O768" s="832"/>
      <c r="Q768" s="832"/>
      <c r="R768" s="832"/>
      <c r="S768" s="832"/>
      <c r="T768" s="832"/>
      <c r="U768" s="832"/>
      <c r="V768" s="832"/>
      <c r="W768" s="832"/>
      <c r="X768" s="832"/>
    </row>
    <row r="769" spans="1:24" s="812" customFormat="1" ht="39.950000000000003" hidden="1" customHeight="1" x14ac:dyDescent="0.15">
      <c r="A769" s="2072">
        <f t="shared" ca="1" si="248"/>
        <v>10.039999999999999</v>
      </c>
      <c r="B769" s="833" t="s">
        <v>1867</v>
      </c>
      <c r="C769" s="2" t="str">
        <f>+VLOOKUP($B769,[1]BOLETIM_SEL!$A:$H,2,0)</f>
        <v>COMPOSIÇÃO</v>
      </c>
      <c r="D769" s="315" t="str">
        <f>+VLOOKUP($B769,[1]BOLETIM_SEL!$A:$H,4,0)</f>
        <v>Tampão fofo simples com base, classe A15, carga máxima 1,5 T, 400 x 400 mm. Incluindo fornecimento, assentamento e requadro com argamassa</v>
      </c>
      <c r="E769" s="2"/>
      <c r="F769" s="2" t="str">
        <f>+VLOOKUP($B769,[1]BOLETIM_SEL!$A:$H,6,0)</f>
        <v xml:space="preserve">UN </v>
      </c>
      <c r="G769" s="1407">
        <f>+VLOOKUP($B769,[1]BOLETIM_SEL!$A:$H,7,0)</f>
        <v>286.91000000000003</v>
      </c>
      <c r="H769" s="1606">
        <f>+Passeio!N203</f>
        <v>0</v>
      </c>
      <c r="I769" s="876">
        <f t="shared" si="251"/>
        <v>350.03</v>
      </c>
      <c r="J769" s="1607">
        <f t="shared" si="256"/>
        <v>0</v>
      </c>
      <c r="K769" s="2069">
        <f t="shared" ca="1" si="246"/>
        <v>0</v>
      </c>
      <c r="L769" s="1570">
        <f t="shared" si="257"/>
        <v>0</v>
      </c>
      <c r="M769" s="1442"/>
      <c r="N769" s="832"/>
      <c r="O769" s="832"/>
      <c r="Q769" s="832"/>
      <c r="R769" s="832"/>
      <c r="S769" s="832"/>
      <c r="T769" s="832"/>
      <c r="U769" s="832"/>
      <c r="V769" s="832"/>
      <c r="W769" s="832"/>
      <c r="X769" s="832"/>
    </row>
    <row r="770" spans="1:24" s="812" customFormat="1" ht="39.950000000000003" hidden="1" customHeight="1" x14ac:dyDescent="0.15">
      <c r="A770" s="2072">
        <f t="shared" ca="1" si="248"/>
        <v>10.039999999999999</v>
      </c>
      <c r="B770" s="833" t="s">
        <v>1859</v>
      </c>
      <c r="C770" s="2" t="str">
        <f>+VLOOKUP($B770,[1]BOLETIM_SEL!$A:$H,2,0)</f>
        <v>COMPOSIÇÃO</v>
      </c>
      <c r="D770" s="315" t="str">
        <f>+VLOOKUP($B770,[1]BOLETIM_SEL!$A:$H,4,0)</f>
        <v>Tampão fofo simples com base, classe A15, carga máxima 1,5 T, 400 x 600 mm. Incluindo fornecimento, assentamento e requadro com argamassa</v>
      </c>
      <c r="E770" s="2"/>
      <c r="F770" s="2" t="str">
        <f>+VLOOKUP($B770,[1]BOLETIM_SEL!$A:$H,6,0)</f>
        <v xml:space="preserve">UN </v>
      </c>
      <c r="G770" s="1407">
        <f>+VLOOKUP($B770,[1]BOLETIM_SEL!$A:$H,7,0)</f>
        <v>385.11</v>
      </c>
      <c r="H770" s="1606">
        <f>+Passeio!N204</f>
        <v>0</v>
      </c>
      <c r="I770" s="876">
        <f t="shared" si="251"/>
        <v>469.83</v>
      </c>
      <c r="J770" s="1607">
        <f t="shared" si="256"/>
        <v>0</v>
      </c>
      <c r="K770" s="2069">
        <f t="shared" ca="1" si="246"/>
        <v>0</v>
      </c>
      <c r="L770" s="1570">
        <f t="shared" si="257"/>
        <v>0</v>
      </c>
      <c r="M770" s="1442"/>
      <c r="N770" s="832"/>
      <c r="O770" s="832"/>
      <c r="Q770" s="832"/>
      <c r="R770" s="832"/>
      <c r="S770" s="832"/>
      <c r="T770" s="832"/>
      <c r="U770" s="832"/>
      <c r="V770" s="832"/>
      <c r="W770" s="832"/>
      <c r="X770" s="832"/>
    </row>
    <row r="771" spans="1:24" s="812" customFormat="1" ht="30" hidden="1" customHeight="1" x14ac:dyDescent="0.15">
      <c r="A771" s="2072">
        <f t="shared" ca="1" si="248"/>
        <v>10.039999999999999</v>
      </c>
      <c r="B771" s="833">
        <v>101798</v>
      </c>
      <c r="C771" s="2" t="str">
        <f>+VLOOKUP($B771,[1]BOLETIM_SEL!$A:$H,2,0)</f>
        <v>SINAPI</v>
      </c>
      <c r="D771" s="315" t="str">
        <f>+VLOOKUP($B771,[1]BOLETIM_SEL!$A:$H,4,0)</f>
        <v>Tampão fofo p/ caixa R1 padrão telebrás completo - fornecimento e instalação</v>
      </c>
      <c r="E771" s="2"/>
      <c r="F771" s="2" t="str">
        <f>+VLOOKUP($B771,[1]BOLETIM_SEL!$A:$H,6,0)</f>
        <v>UN</v>
      </c>
      <c r="G771" s="1407">
        <f>+VLOOKUP($B771,[1]BOLETIM_SEL!$A:$H,7,0)</f>
        <v>364.75</v>
      </c>
      <c r="H771" s="1606">
        <f>+Passeio!N205</f>
        <v>0</v>
      </c>
      <c r="I771" s="876">
        <f t="shared" si="251"/>
        <v>444.99</v>
      </c>
      <c r="J771" s="1607">
        <f t="shared" si="256"/>
        <v>0</v>
      </c>
      <c r="K771" s="2069">
        <f t="shared" ca="1" si="246"/>
        <v>0</v>
      </c>
      <c r="L771" s="1570">
        <f t="shared" si="257"/>
        <v>0</v>
      </c>
      <c r="M771" s="1442"/>
      <c r="N771" s="832"/>
      <c r="O771" s="832"/>
      <c r="Q771" s="832"/>
      <c r="R771" s="832"/>
      <c r="S771" s="832"/>
      <c r="T771" s="832"/>
      <c r="U771" s="832"/>
      <c r="V771" s="832"/>
      <c r="W771" s="832"/>
      <c r="X771" s="832"/>
    </row>
    <row r="772" spans="1:24" s="812" customFormat="1" ht="30" hidden="1" customHeight="1" x14ac:dyDescent="0.15">
      <c r="A772" s="2072">
        <f t="shared" ca="1" si="248"/>
        <v>10.039999999999999</v>
      </c>
      <c r="B772" s="833">
        <v>101799</v>
      </c>
      <c r="C772" s="2" t="str">
        <f>+VLOOKUP($B772,[1]BOLETIM_SEL!$A:$H,2,0)</f>
        <v>SINAPI</v>
      </c>
      <c r="D772" s="315" t="str">
        <f>+VLOOKUP($B772,[1]BOLETIM_SEL!$A:$H,4,0)</f>
        <v>tampão fofo p/ caixa R2 padrão telebrás completo - fornecimento e instalação</v>
      </c>
      <c r="E772" s="2"/>
      <c r="F772" s="2" t="str">
        <f>+VLOOKUP($B772,[1]BOLETIM_SEL!$A:$H,6,0)</f>
        <v>UN</v>
      </c>
      <c r="G772" s="1407">
        <f>+VLOOKUP($B772,[1]BOLETIM_SEL!$A:$H,7,0)</f>
        <v>887.16</v>
      </c>
      <c r="H772" s="1606">
        <f>+Passeio!N206</f>
        <v>0</v>
      </c>
      <c r="I772" s="876">
        <f t="shared" si="251"/>
        <v>1082.33</v>
      </c>
      <c r="J772" s="1607">
        <f t="shared" si="256"/>
        <v>0</v>
      </c>
      <c r="K772" s="2069">
        <f t="shared" ca="1" si="246"/>
        <v>0</v>
      </c>
      <c r="L772" s="1570">
        <f t="shared" si="257"/>
        <v>0</v>
      </c>
      <c r="M772" s="1442"/>
      <c r="N772" s="832"/>
      <c r="O772" s="832"/>
      <c r="Q772" s="832"/>
      <c r="R772" s="832"/>
      <c r="S772" s="832"/>
      <c r="T772" s="832"/>
      <c r="U772" s="832"/>
      <c r="V772" s="832"/>
      <c r="W772" s="832"/>
      <c r="X772" s="832"/>
    </row>
    <row r="773" spans="1:24" s="812" customFormat="1" ht="39.950000000000003" hidden="1" customHeight="1" x14ac:dyDescent="0.15">
      <c r="A773" s="2072">
        <f t="shared" ca="1" si="248"/>
        <v>10.039999999999999</v>
      </c>
      <c r="B773" s="833" t="s">
        <v>1860</v>
      </c>
      <c r="C773" s="2" t="str">
        <f>+VLOOKUP($B773,[1]BOLETIM_SEL!$A:$H,2,0)</f>
        <v>COMPOSIÇÃO</v>
      </c>
      <c r="D773" s="315" t="str">
        <f>+VLOOKUP($B773,[1]BOLETIM_SEL!$A:$H,4,0)</f>
        <v>Tampão completo para TIL, em PVC,  DN 100 mm, para rede coletora de esgoto. Incluindo fornecimento, assentamento e requadro com argamassa</v>
      </c>
      <c r="E773" s="2"/>
      <c r="F773" s="2" t="str">
        <f>+VLOOKUP($B773,[1]BOLETIM_SEL!$A:$H,6,0)</f>
        <v xml:space="preserve">UN </v>
      </c>
      <c r="G773" s="1407"/>
      <c r="H773" s="1606">
        <f>+Passeio!N207</f>
        <v>0</v>
      </c>
      <c r="I773" s="876">
        <f t="shared" si="251"/>
        <v>0</v>
      </c>
      <c r="J773" s="1607">
        <f t="shared" si="256"/>
        <v>0</v>
      </c>
      <c r="K773" s="2069">
        <f t="shared" ca="1" si="246"/>
        <v>0</v>
      </c>
      <c r="L773" s="1570">
        <f t="shared" si="257"/>
        <v>0</v>
      </c>
      <c r="M773" s="1442"/>
      <c r="N773" s="832"/>
      <c r="O773" s="832"/>
      <c r="Q773" s="832"/>
      <c r="R773" s="832"/>
      <c r="S773" s="832"/>
      <c r="T773" s="832"/>
      <c r="U773" s="832"/>
      <c r="V773" s="832"/>
      <c r="W773" s="832"/>
      <c r="X773" s="832"/>
    </row>
    <row r="774" spans="1:24" s="812" customFormat="1" ht="30" hidden="1" customHeight="1" x14ac:dyDescent="0.15">
      <c r="A774" s="2072">
        <f t="shared" ca="1" si="248"/>
        <v>10.039999999999999</v>
      </c>
      <c r="B774" s="833" t="s">
        <v>1868</v>
      </c>
      <c r="C774" s="2" t="str">
        <f>+VLOOKUP($B774,[1]BOLETIM_SEL!$A:$H,2,0)</f>
        <v>COMPOSIÇÃO</v>
      </c>
      <c r="D774" s="315" t="str">
        <f>+VLOOKUP($B774,[1]BOLETIM_SEL!$A:$H,4,0)</f>
        <v>Tampa de concreto armado para caixa de passeio, na espessura de 5cm (REF. SINAPI COD. 6171)</v>
      </c>
      <c r="E774" s="2"/>
      <c r="F774" s="2" t="str">
        <f>+VLOOKUP($B774,[1]BOLETIM_SEL!$A:$H,6,0)</f>
        <v>M2</v>
      </c>
      <c r="G774" s="1407">
        <f>+VLOOKUP($B774,[1]BOLETIM_SEL!$A:$H,7,0)</f>
        <v>106.39</v>
      </c>
      <c r="H774" s="1606">
        <f>+Passeio!N199</f>
        <v>0</v>
      </c>
      <c r="I774" s="876">
        <f t="shared" si="251"/>
        <v>129.79</v>
      </c>
      <c r="J774" s="1607">
        <f t="shared" si="256"/>
        <v>0</v>
      </c>
      <c r="K774" s="2069">
        <f t="shared" ca="1" si="246"/>
        <v>0</v>
      </c>
      <c r="L774" s="1570">
        <f t="shared" si="257"/>
        <v>0</v>
      </c>
      <c r="M774" s="1442"/>
      <c r="N774" s="832"/>
      <c r="O774" s="832"/>
      <c r="Q774" s="832"/>
      <c r="R774" s="832"/>
      <c r="S774" s="832"/>
      <c r="T774" s="832"/>
      <c r="U774" s="832"/>
      <c r="V774" s="832"/>
      <c r="W774" s="832"/>
      <c r="X774" s="832"/>
    </row>
    <row r="775" spans="1:24" s="812" customFormat="1" ht="39.950000000000003" hidden="1" customHeight="1" x14ac:dyDescent="0.15">
      <c r="A775" s="2072">
        <f t="shared" ca="1" si="248"/>
        <v>10.039999999999999</v>
      </c>
      <c r="B775" s="833">
        <v>89512</v>
      </c>
      <c r="C775" s="2" t="str">
        <f>+VLOOKUP($B775,[1]BOLETIM_SEL!$A:$H,2,0)</f>
        <v>SINAPI</v>
      </c>
      <c r="D775" s="315" t="str">
        <f>+VLOOKUP($B775,[1]BOLETIM_SEL!$A:$H,4,0)</f>
        <v>Tubo pvc, série r, água pluvial, diâmetro nominal de 100 mm, fornecido e instalado em ramal de encaminhamento. AF_12/2014</v>
      </c>
      <c r="E775" s="2"/>
      <c r="F775" s="2" t="str">
        <f>+VLOOKUP($B775,[1]BOLETIM_SEL!$A:$H,6,0)</f>
        <v>M</v>
      </c>
      <c r="G775" s="1407">
        <f>+VLOOKUP($B775,[1]BOLETIM_SEL!$A:$H,7,0)</f>
        <v>50.96</v>
      </c>
      <c r="H775" s="1606">
        <f>+Passeio!N198</f>
        <v>0</v>
      </c>
      <c r="I775" s="876">
        <f t="shared" si="251"/>
        <v>62.17</v>
      </c>
      <c r="J775" s="1607">
        <f t="shared" si="256"/>
        <v>0</v>
      </c>
      <c r="K775" s="2069">
        <f t="shared" ca="1" si="246"/>
        <v>0</v>
      </c>
      <c r="L775" s="1570">
        <f t="shared" si="257"/>
        <v>0</v>
      </c>
      <c r="M775" s="1442"/>
      <c r="N775" s="832"/>
      <c r="O775" s="832"/>
      <c r="Q775" s="832"/>
      <c r="R775" s="832"/>
      <c r="S775" s="832"/>
      <c r="T775" s="832"/>
      <c r="U775" s="832"/>
      <c r="V775" s="832"/>
      <c r="W775" s="832"/>
      <c r="X775" s="832"/>
    </row>
    <row r="776" spans="1:24" s="812" customFormat="1" ht="39.950000000000003" hidden="1" customHeight="1" x14ac:dyDescent="0.15">
      <c r="A776" s="2072">
        <f t="shared" ca="1" si="248"/>
        <v>10.039999999999999</v>
      </c>
      <c r="B776" s="833">
        <v>101166</v>
      </c>
      <c r="C776" s="2" t="str">
        <f>+VLOOKUP($B776,[1]BOLETIM_SEL!$A:$H,2,0)</f>
        <v>SINAPI</v>
      </c>
      <c r="D776" s="315" t="str">
        <f>+VLOOKUP($B776,[1]BOLETIM_SEL!$A:$H,4,0)</f>
        <v>Alvenaria de embasamento com bloco estrutural de cerâmica, de 14x19x29cm e argamassa de assentamento com preparo em betoneira. AF_05/2020</v>
      </c>
      <c r="E776" s="2"/>
      <c r="F776" s="2" t="str">
        <f>+VLOOKUP($B776,[1]BOLETIM_SEL!$A:$H,6,0)</f>
        <v>M3</v>
      </c>
      <c r="G776" s="1407">
        <f>+VLOOKUP($B776,[1]BOLETIM_SEL!$A:$H,7,0)</f>
        <v>669.45</v>
      </c>
      <c r="H776" s="1606">
        <f>+Passeio!N209</f>
        <v>0</v>
      </c>
      <c r="I776" s="876">
        <f t="shared" si="251"/>
        <v>816.72</v>
      </c>
      <c r="J776" s="1607">
        <f t="shared" si="256"/>
        <v>0</v>
      </c>
      <c r="K776" s="2069">
        <f t="shared" ca="1" si="246"/>
        <v>0</v>
      </c>
      <c r="L776" s="1570">
        <f t="shared" si="257"/>
        <v>0</v>
      </c>
      <c r="M776" s="1442"/>
      <c r="N776" s="832"/>
      <c r="O776" s="832"/>
      <c r="Q776" s="832"/>
      <c r="R776" s="832"/>
      <c r="S776" s="832"/>
      <c r="T776" s="832"/>
      <c r="U776" s="832"/>
      <c r="V776" s="832"/>
      <c r="W776" s="832"/>
      <c r="X776" s="832"/>
    </row>
    <row r="777" spans="1:24" s="812" customFormat="1" ht="39.950000000000003" hidden="1" customHeight="1" x14ac:dyDescent="0.15">
      <c r="A777" s="2072">
        <f t="shared" ca="1" si="248"/>
        <v>10.039999999999999</v>
      </c>
      <c r="B777" s="833">
        <v>87878</v>
      </c>
      <c r="C777" s="2" t="str">
        <f>+VLOOKUP($B777,[1]BOLETIM_SEL!$A:$H,2,0)</f>
        <v>SINAPI</v>
      </c>
      <c r="D777" s="315" t="str">
        <f>+VLOOKUP($B777,[1]BOLETIM_SEL!$A:$H,4,0)</f>
        <v>Chapisco aplicado em alvenarias e estruturas de concreto internas, com colher de pedreiro. Argamassa traço 1:3 com preparo manual. AF_06/2014</v>
      </c>
      <c r="E777" s="2"/>
      <c r="F777" s="2" t="str">
        <f>+VLOOKUP($B777,[1]BOLETIM_SEL!$A:$H,6,0)</f>
        <v>M2</v>
      </c>
      <c r="G777" s="1407">
        <f>+VLOOKUP($B777,[1]BOLETIM_SEL!$A:$H,7,0)</f>
        <v>4.55</v>
      </c>
      <c r="H777" s="1606">
        <f>+Passeio!N210</f>
        <v>0</v>
      </c>
      <c r="I777" s="876">
        <f t="shared" si="251"/>
        <v>5.55</v>
      </c>
      <c r="J777" s="1607">
        <f t="shared" si="256"/>
        <v>0</v>
      </c>
      <c r="K777" s="2069">
        <f t="shared" ca="1" si="246"/>
        <v>0</v>
      </c>
      <c r="L777" s="1570">
        <f t="shared" si="257"/>
        <v>0</v>
      </c>
      <c r="M777" s="1442"/>
      <c r="N777" s="832"/>
      <c r="O777" s="832"/>
      <c r="Q777" s="832"/>
      <c r="R777" s="832"/>
      <c r="S777" s="832"/>
      <c r="T777" s="832"/>
      <c r="U777" s="832"/>
      <c r="V777" s="832"/>
      <c r="W777" s="832"/>
      <c r="X777" s="832"/>
    </row>
    <row r="778" spans="1:24" s="812" customFormat="1" ht="39.950000000000003" hidden="1" customHeight="1" x14ac:dyDescent="0.15">
      <c r="A778" s="2072">
        <f t="shared" ca="1" si="248"/>
        <v>10.039999999999999</v>
      </c>
      <c r="B778" s="833">
        <v>87313</v>
      </c>
      <c r="C778" s="2" t="str">
        <f>+VLOOKUP($B778,[1]BOLETIM_SEL!$A:$H,2,0)</f>
        <v>SINAPI</v>
      </c>
      <c r="D778" s="315" t="str">
        <f>+VLOOKUP($B778,[1]BOLETIM_SEL!$A:$H,4,0)</f>
        <v>Argamassa traço 1:3 (em volume de cimento e areia grossa úmida) para chapisco convencional, preparo mecânico com betoneira 400 l. AF_08/2019</v>
      </c>
      <c r="E778" s="2"/>
      <c r="F778" s="2" t="str">
        <f>+VLOOKUP($B778,[1]BOLETIM_SEL!$A:$H,6,0)</f>
        <v>M3</v>
      </c>
      <c r="G778" s="1407">
        <f>+VLOOKUP($B778,[1]BOLETIM_SEL!$A:$H,7,0)</f>
        <v>527.79</v>
      </c>
      <c r="H778" s="1606">
        <f>+Passeio!N211</f>
        <v>0</v>
      </c>
      <c r="I778" s="876">
        <f t="shared" si="251"/>
        <v>643.9</v>
      </c>
      <c r="J778" s="1607">
        <f t="shared" si="256"/>
        <v>0</v>
      </c>
      <c r="K778" s="2069">
        <f t="shared" ca="1" si="246"/>
        <v>0</v>
      </c>
      <c r="L778" s="1570">
        <f t="shared" si="257"/>
        <v>0</v>
      </c>
      <c r="M778" s="1442"/>
      <c r="N778" s="832"/>
      <c r="O778" s="832"/>
      <c r="Q778" s="832"/>
      <c r="R778" s="832"/>
      <c r="S778" s="832"/>
      <c r="T778" s="832"/>
      <c r="U778" s="832"/>
      <c r="V778" s="832"/>
      <c r="W778" s="832"/>
      <c r="X778" s="832"/>
    </row>
    <row r="779" spans="1:24" s="812" customFormat="1" ht="39.950000000000003" hidden="1" customHeight="1" x14ac:dyDescent="0.15">
      <c r="A779" s="2072">
        <f t="shared" ca="1" si="248"/>
        <v>10.039999999999999</v>
      </c>
      <c r="B779" s="833">
        <v>94963</v>
      </c>
      <c r="C779" s="2" t="str">
        <f>+VLOOKUP($B779,[1]BOLETIM_SEL!$A:$H,2,0)</f>
        <v>SINAPI</v>
      </c>
      <c r="D779" s="315" t="str">
        <f>+VLOOKUP($B779,[1]BOLETIM_SEL!$A:$H,4,0)</f>
        <v>Concreto FCK = 15 MPA, traço 1:3,4:3,5 (cimento/ areia média/ brita 1) - preparo mecânico com betoneira 400 l. AF_07/2016</v>
      </c>
      <c r="E779" s="2"/>
      <c r="F779" s="2" t="str">
        <f>+VLOOKUP($B779,[1]BOLETIM_SEL!$A:$H,6,0)</f>
        <v>M3</v>
      </c>
      <c r="G779" s="1407">
        <f>+VLOOKUP($B779,[1]BOLETIM_SEL!$A:$H,7,0)</f>
        <v>432.03</v>
      </c>
      <c r="H779" s="1606">
        <f>+Passeio!N208</f>
        <v>0</v>
      </c>
      <c r="I779" s="876">
        <f t="shared" si="251"/>
        <v>527.07000000000005</v>
      </c>
      <c r="J779" s="1607">
        <f t="shared" si="256"/>
        <v>0</v>
      </c>
      <c r="K779" s="2069">
        <f t="shared" ca="1" si="246"/>
        <v>0</v>
      </c>
      <c r="L779" s="1570">
        <f t="shared" si="257"/>
        <v>0</v>
      </c>
      <c r="M779" s="1442"/>
      <c r="N779" s="832"/>
      <c r="O779" s="832"/>
      <c r="Q779" s="832"/>
      <c r="R779" s="832"/>
      <c r="S779" s="832"/>
      <c r="T779" s="832"/>
      <c r="U779" s="832"/>
      <c r="V779" s="832"/>
      <c r="W779" s="832"/>
      <c r="X779" s="832"/>
    </row>
    <row r="780" spans="1:24" s="812" customFormat="1" ht="39.950000000000003" hidden="1" customHeight="1" x14ac:dyDescent="0.15">
      <c r="A780" s="2072">
        <f t="shared" ca="1" si="248"/>
        <v>10.039999999999999</v>
      </c>
      <c r="B780" s="833">
        <v>34495</v>
      </c>
      <c r="C780" s="2" t="str">
        <f>+VLOOKUP($B780,[1]BOLETIM_SEL!$A:$H,2,0)</f>
        <v>SINAPI</v>
      </c>
      <c r="D780" s="315" t="str">
        <f>+VLOOKUP($B780,[1]BOLETIM_SEL!$A:$H,4,0)</f>
        <v>Concreto usinado bombeável, classe de resistência C35, com brita 0,00 e 1, slump = 100 +/- 20 mm, exclui serviço de bombeamento (NBR 8953)</v>
      </c>
      <c r="E780" s="2"/>
      <c r="F780" s="2" t="str">
        <f>+VLOOKUP($B780,[1]BOLETIM_SEL!$A:$H,6,0)</f>
        <v xml:space="preserve">M3    </v>
      </c>
      <c r="G780" s="1407">
        <f>+VLOOKUP($B780,[1]BOLETIM_SEL!$A:$H,7,0)</f>
        <v>597.71</v>
      </c>
      <c r="H780" s="1606">
        <f>+Passeio!N234</f>
        <v>0</v>
      </c>
      <c r="I780" s="876">
        <f t="shared" si="251"/>
        <v>729.2</v>
      </c>
      <c r="J780" s="1607">
        <f t="shared" si="256"/>
        <v>0</v>
      </c>
      <c r="K780" s="2069">
        <f t="shared" ca="1" si="246"/>
        <v>0</v>
      </c>
      <c r="L780" s="1570">
        <f t="shared" si="257"/>
        <v>0</v>
      </c>
      <c r="M780" s="1442"/>
      <c r="N780" s="832"/>
      <c r="O780" s="832"/>
      <c r="Q780" s="832"/>
      <c r="R780" s="832"/>
      <c r="S780" s="832"/>
      <c r="T780" s="832"/>
      <c r="U780" s="832"/>
      <c r="V780" s="832"/>
      <c r="W780" s="832"/>
      <c r="X780" s="832"/>
    </row>
    <row r="781" spans="1:24" s="812" customFormat="1" ht="30" hidden="1" customHeight="1" x14ac:dyDescent="0.15">
      <c r="A781" s="2072">
        <f t="shared" ca="1" si="248"/>
        <v>10.039999999999999</v>
      </c>
      <c r="B781" s="833">
        <v>103670</v>
      </c>
      <c r="C781" s="2" t="str">
        <f>+VLOOKUP($B781,[1]BOLETIM_SEL!$A:$H,2,0)</f>
        <v>SINAPI</v>
      </c>
      <c r="D781" s="315" t="str">
        <f>+VLOOKUP($B781,[1]BOLETIM_SEL!$A:$H,4,0)</f>
        <v>Lançamento com uso de baldes, adensamento e acabamento de concreto em estruturas. AF_12/2015</v>
      </c>
      <c r="E781" s="2"/>
      <c r="F781" s="2" t="str">
        <f>+VLOOKUP($B781,[1]BOLETIM_SEL!$A:$H,6,0)</f>
        <v>M3</v>
      </c>
      <c r="G781" s="1407">
        <f>+VLOOKUP($B781,[1]BOLETIM_SEL!$A:$H,7,0)</f>
        <v>268.77999999999997</v>
      </c>
      <c r="H781" s="1606">
        <f>+H780+H779</f>
        <v>0</v>
      </c>
      <c r="I781" s="876">
        <f t="shared" si="251"/>
        <v>327.91</v>
      </c>
      <c r="J781" s="1607">
        <f t="shared" si="256"/>
        <v>0</v>
      </c>
      <c r="K781" s="2069">
        <f t="shared" ca="1" si="246"/>
        <v>0</v>
      </c>
      <c r="L781" s="1570">
        <f t="shared" si="257"/>
        <v>0</v>
      </c>
      <c r="M781" s="1442"/>
      <c r="N781" s="832"/>
      <c r="O781" s="832"/>
      <c r="Q781" s="832"/>
      <c r="R781" s="832"/>
      <c r="S781" s="832"/>
      <c r="T781" s="832"/>
      <c r="U781" s="832"/>
      <c r="V781" s="832"/>
      <c r="W781" s="832"/>
      <c r="X781" s="832"/>
    </row>
    <row r="782" spans="1:24" s="812" customFormat="1" ht="39.950000000000003" hidden="1" customHeight="1" x14ac:dyDescent="0.15">
      <c r="A782" s="2072">
        <f t="shared" ca="1" si="248"/>
        <v>10.039999999999999</v>
      </c>
      <c r="B782" s="833">
        <v>92411</v>
      </c>
      <c r="C782" s="2" t="str">
        <f>+VLOOKUP($B782,[1]BOLETIM_SEL!$A:$H,2,0)</f>
        <v>SINAPI</v>
      </c>
      <c r="D782" s="315" t="str">
        <f>+VLOOKUP($B782,[1]BOLETIM_SEL!$A:$H,4,0)</f>
        <v>Montagem e desmontagem de fôrma de pilares retangulares e estruturas similares, pé-direito simples, em madeira serrada, 2 utilizações. AF_09/2020</v>
      </c>
      <c r="E782" s="2"/>
      <c r="F782" s="2" t="str">
        <f>+VLOOKUP($B782,[1]BOLETIM_SEL!$A:$H,6,0)</f>
        <v>M2</v>
      </c>
      <c r="G782" s="1407">
        <f>+VLOOKUP($B782,[1]BOLETIM_SEL!$A:$H,7,0)</f>
        <v>140.94</v>
      </c>
      <c r="H782" s="1606">
        <f>+Passeio!N233</f>
        <v>0</v>
      </c>
      <c r="I782" s="876">
        <f t="shared" si="251"/>
        <v>171.94</v>
      </c>
      <c r="J782" s="1607">
        <f t="shared" si="256"/>
        <v>0</v>
      </c>
      <c r="K782" s="2069">
        <f t="shared" ca="1" si="246"/>
        <v>0</v>
      </c>
      <c r="L782" s="1570">
        <f t="shared" si="257"/>
        <v>0</v>
      </c>
      <c r="M782" s="1442"/>
      <c r="N782" s="832"/>
      <c r="O782" s="832"/>
      <c r="Q782" s="832"/>
      <c r="R782" s="832"/>
      <c r="S782" s="832"/>
      <c r="T782" s="832"/>
      <c r="U782" s="832"/>
      <c r="V782" s="832"/>
      <c r="W782" s="832"/>
      <c r="X782" s="832"/>
    </row>
    <row r="783" spans="1:24" s="812" customFormat="1" ht="39.950000000000003" hidden="1" customHeight="1" x14ac:dyDescent="0.15">
      <c r="A783" s="2072">
        <f t="shared" ca="1" si="248"/>
        <v>10.039999999999999</v>
      </c>
      <c r="B783" s="833">
        <v>91593</v>
      </c>
      <c r="C783" s="2" t="str">
        <f>+VLOOKUP($B783,[1]BOLETIM_SEL!$A:$H,2,0)</f>
        <v>SINAPI</v>
      </c>
      <c r="D783" s="315" t="str">
        <f>+VLOOKUP($B783,[1]BOLETIM_SEL!$A:$H,4,0)</f>
        <v>Armação do sistema de paredes de concreto, executada em paredes de edificações de múltiplos pavimentos, tela Q-138. AF_06/2019</v>
      </c>
      <c r="E783" s="2"/>
      <c r="F783" s="2" t="str">
        <f>+VLOOKUP($B783,[1]BOLETIM_SEL!$A:$H,6,0)</f>
        <v>KG</v>
      </c>
      <c r="G783" s="1407">
        <f>+VLOOKUP($B783,[1]BOLETIM_SEL!$A:$H,7,0)</f>
        <v>9.74</v>
      </c>
      <c r="H783" s="1606">
        <f>+Passeio!N235</f>
        <v>0</v>
      </c>
      <c r="I783" s="876">
        <f t="shared" si="251"/>
        <v>11.88</v>
      </c>
      <c r="J783" s="1607">
        <f t="shared" si="256"/>
        <v>0</v>
      </c>
      <c r="K783" s="2069">
        <f t="shared" ca="1" si="246"/>
        <v>0</v>
      </c>
      <c r="L783" s="1570">
        <f t="shared" si="257"/>
        <v>0</v>
      </c>
      <c r="M783" s="1442"/>
      <c r="N783" s="832"/>
      <c r="O783" s="832"/>
      <c r="Q783" s="832"/>
      <c r="R783" s="832"/>
      <c r="S783" s="832"/>
      <c r="T783" s="832"/>
      <c r="U783" s="832"/>
      <c r="V783" s="832"/>
      <c r="W783" s="832"/>
      <c r="X783" s="832"/>
    </row>
    <row r="784" spans="1:24" s="812" customFormat="1" ht="39.950000000000003" hidden="1" customHeight="1" x14ac:dyDescent="0.15">
      <c r="A784" s="2072">
        <f t="shared" ca="1" si="248"/>
        <v>10.039999999999999</v>
      </c>
      <c r="B784" s="833" t="s">
        <v>1869</v>
      </c>
      <c r="C784" s="2" t="str">
        <f>+VLOOKUP($B784,[1]BOLETIM_SEL!$A:$H,2,0)</f>
        <v>COMPOSIÇÃO</v>
      </c>
      <c r="D784" s="315" t="str">
        <f>+VLOOKUP($B784,[1]BOLETIM_SEL!$A:$H,4,0)</f>
        <v>Dispositivo de segurança na travessia de pedestre - guarda corpo em tubo de aço galvanizado Ø 3", pintado com esmalte sintético em duas demãos</v>
      </c>
      <c r="E784" s="2"/>
      <c r="F784" s="2" t="str">
        <f>+VLOOKUP($B784,[1]BOLETIM_SEL!$A:$H,6,0)</f>
        <v xml:space="preserve">UN </v>
      </c>
      <c r="G784" s="1407">
        <f>+VLOOKUP($B784,[1]BOLETIM_SEL!$A:$H,7,0)</f>
        <v>1417.99</v>
      </c>
      <c r="H784" s="1606">
        <f>+Passeio!N236</f>
        <v>0</v>
      </c>
      <c r="I784" s="876">
        <f t="shared" si="251"/>
        <v>1729.94</v>
      </c>
      <c r="J784" s="1607">
        <f t="shared" si="256"/>
        <v>0</v>
      </c>
      <c r="K784" s="2069">
        <f t="shared" ca="1" si="246"/>
        <v>0</v>
      </c>
      <c r="L784" s="1570">
        <f t="shared" si="257"/>
        <v>0</v>
      </c>
      <c r="M784" s="1442"/>
      <c r="N784" s="832"/>
      <c r="O784" s="832"/>
      <c r="Q784" s="832"/>
      <c r="R784" s="832"/>
      <c r="S784" s="832"/>
      <c r="T784" s="832"/>
      <c r="U784" s="832"/>
      <c r="V784" s="832"/>
      <c r="W784" s="832"/>
      <c r="X784" s="832"/>
    </row>
    <row r="785" spans="1:24" s="812" customFormat="1" ht="24.95" hidden="1" customHeight="1" x14ac:dyDescent="0.15">
      <c r="A785" s="2072"/>
      <c r="B785" s="833"/>
      <c r="C785" s="2"/>
      <c r="D785" s="1449" t="s">
        <v>1798</v>
      </c>
      <c r="E785" s="2"/>
      <c r="F785" s="2"/>
      <c r="G785" s="1407"/>
      <c r="H785" s="2"/>
      <c r="I785" s="838" t="str">
        <f>IF(I786=0,"-","")</f>
        <v/>
      </c>
      <c r="J785" s="838" t="str">
        <f>IF(J786=0,"-","")</f>
        <v>-</v>
      </c>
      <c r="K785" s="2069"/>
      <c r="L785" s="1570"/>
      <c r="M785" s="1442" t="s">
        <v>1942</v>
      </c>
      <c r="N785" s="832"/>
      <c r="O785" s="832"/>
      <c r="Q785" s="832"/>
      <c r="R785" s="832"/>
      <c r="S785" s="832"/>
      <c r="T785" s="832"/>
      <c r="U785" s="832"/>
      <c r="V785" s="832"/>
      <c r="W785" s="832"/>
      <c r="X785" s="832"/>
    </row>
    <row r="786" spans="1:24" s="812" customFormat="1" ht="39.950000000000003" hidden="1" customHeight="1" x14ac:dyDescent="0.15">
      <c r="A786" s="2072">
        <f ca="1">+IF(H786&gt;0,A784+0.01,A784)</f>
        <v>10.039999999999999</v>
      </c>
      <c r="B786" s="833">
        <f>IF(AND(M786&lt;=50,E786&lt;=30),95875,IF(AND(M786&lt;=50,E786&gt;30),93590,IF(AND(M786&gt;50,E786&lt;=30),95876,93593)))</f>
        <v>95875</v>
      </c>
      <c r="C786" s="2" t="str">
        <f>VLOOKUP($B786,[1]BOLETIM_SEL!$A:$H,2,0)</f>
        <v>SINAPI</v>
      </c>
      <c r="D786" s="315" t="str">
        <f>VLOOKUP($B786,[1]BOLETIM_SEL!$A:$H,4,0)</f>
        <v>Transporte com caminhão basculante de 10 m3, em via urbana pavimentada, DMT até 30,00 km (unidade: m3xkm). AF_07/2020</v>
      </c>
      <c r="E786" s="2">
        <f>+Dados_DMT!$B$17</f>
        <v>8</v>
      </c>
      <c r="F786" s="2" t="str">
        <f>VLOOKUP($B786,[1]BOLETIM_SEL!$A:$H,6,0)</f>
        <v>M3XKM</v>
      </c>
      <c r="G786" s="1407">
        <f>VLOOKUP($B786,[1]BOLETIM_SEL!$A:$H,7,0)</f>
        <v>2.36</v>
      </c>
      <c r="H786" s="1606">
        <f>ROUND(Passeio!N237*E786,2)</f>
        <v>0</v>
      </c>
      <c r="I786" s="876">
        <f>+TRUNC(G786*(1+$J$5),2)</f>
        <v>2.87</v>
      </c>
      <c r="J786" s="1607">
        <f t="shared" si="256"/>
        <v>0</v>
      </c>
      <c r="K786" s="2069">
        <f ca="1">J786/J$930</f>
        <v>0</v>
      </c>
      <c r="L786" s="1570">
        <f t="shared" si="257"/>
        <v>0</v>
      </c>
      <c r="M786" s="1450">
        <f>IF(H786=0,0,H786/E786)</f>
        <v>0</v>
      </c>
      <c r="N786" s="832"/>
      <c r="O786" s="832"/>
      <c r="Q786" s="832"/>
      <c r="R786" s="832"/>
      <c r="S786" s="832"/>
      <c r="T786" s="832"/>
      <c r="U786" s="832"/>
      <c r="V786" s="832"/>
      <c r="W786" s="832"/>
      <c r="X786" s="832"/>
    </row>
    <row r="787" spans="1:24" s="812" customFormat="1" ht="24.95" hidden="1" customHeight="1" x14ac:dyDescent="0.15">
      <c r="A787" s="2072"/>
      <c r="B787" s="833"/>
      <c r="C787" s="2"/>
      <c r="D787" s="1449" t="s">
        <v>1811</v>
      </c>
      <c r="E787" s="2"/>
      <c r="F787" s="2"/>
      <c r="G787" s="1407"/>
      <c r="H787" s="2"/>
      <c r="I787" s="838" t="str">
        <f>IF(I788=0,"-","")</f>
        <v/>
      </c>
      <c r="J787" s="838" t="str">
        <f>IF(J788=0,"-","")</f>
        <v>-</v>
      </c>
      <c r="K787" s="2069"/>
      <c r="L787" s="1570"/>
      <c r="M787" s="1442"/>
      <c r="N787" s="832"/>
      <c r="O787" s="832"/>
      <c r="Q787" s="832"/>
      <c r="R787" s="832"/>
      <c r="S787" s="832"/>
      <c r="T787" s="832"/>
      <c r="U787" s="832"/>
      <c r="V787" s="832"/>
      <c r="W787" s="832"/>
      <c r="X787" s="832"/>
    </row>
    <row r="788" spans="1:24" s="812" customFormat="1" ht="39.950000000000003" hidden="1" customHeight="1" x14ac:dyDescent="0.15">
      <c r="A788" s="2072">
        <f ca="1">+IF(H788&gt;0,A786+0.01,A786)</f>
        <v>10.039999999999999</v>
      </c>
      <c r="B788" s="833">
        <f>IF(AND(M788&lt;=50,E788&lt;=30),95875,IF(AND(M788&lt;=50,E788&gt;30),93590,IF(AND(M788&gt;50,E788&lt;=30),95876,93593)))</f>
        <v>95875</v>
      </c>
      <c r="C788" s="2" t="str">
        <f>VLOOKUP($B788,[1]BOLETIM_SEL!$A:$H,2,0)</f>
        <v>SINAPI</v>
      </c>
      <c r="D788" s="315" t="str">
        <f>VLOOKUP($B788,[1]BOLETIM_SEL!$A:$H,4,0)</f>
        <v>Transporte com caminhão basculante de 10 m3, em via urbana pavimentada, DMT até 30,00 km (unidade: m3xkm). AF_07/2020</v>
      </c>
      <c r="E788" s="2">
        <f>+Dados_DMT!$B$14</f>
        <v>7</v>
      </c>
      <c r="F788" s="2" t="str">
        <f>VLOOKUP($B788,[1]BOLETIM_SEL!$A:$H,6,0)</f>
        <v>M3XKM</v>
      </c>
      <c r="G788" s="1407">
        <f>VLOOKUP($B788,[1]BOLETIM_SEL!$A:$H,7,0)</f>
        <v>2.36</v>
      </c>
      <c r="H788" s="1606">
        <f>ROUND(Passeio!N238*E788,2)</f>
        <v>0</v>
      </c>
      <c r="I788" s="876">
        <f>+TRUNC(G788*(1+$J$5),2)</f>
        <v>2.87</v>
      </c>
      <c r="J788" s="1607">
        <f t="shared" si="256"/>
        <v>0</v>
      </c>
      <c r="K788" s="2069">
        <f ca="1">J788/J$930</f>
        <v>0</v>
      </c>
      <c r="L788" s="1570">
        <f t="shared" si="257"/>
        <v>0</v>
      </c>
      <c r="M788" s="1450">
        <f>IF(H788=0,0,H788/E788)</f>
        <v>0</v>
      </c>
      <c r="N788" s="832"/>
      <c r="O788" s="832"/>
      <c r="Q788" s="832"/>
      <c r="R788" s="832"/>
      <c r="S788" s="832"/>
      <c r="T788" s="832"/>
      <c r="U788" s="832"/>
      <c r="V788" s="832"/>
      <c r="W788" s="832"/>
      <c r="X788" s="832"/>
    </row>
    <row r="789" spans="1:24" s="812" customFormat="1" ht="24.95" hidden="1" customHeight="1" x14ac:dyDescent="0.15">
      <c r="A789" s="2072"/>
      <c r="B789" s="833"/>
      <c r="C789" s="2"/>
      <c r="D789" s="1449" t="s">
        <v>2178</v>
      </c>
      <c r="E789" s="2"/>
      <c r="F789" s="2"/>
      <c r="G789" s="1407"/>
      <c r="H789" s="2"/>
      <c r="I789" s="2"/>
      <c r="J789" s="838" t="str">
        <f>IF(J790=0,"-","")</f>
        <v>-</v>
      </c>
      <c r="K789" s="2"/>
      <c r="L789" s="1570"/>
      <c r="M789" s="1442"/>
      <c r="N789" s="832"/>
      <c r="O789" s="832"/>
      <c r="Q789" s="832"/>
      <c r="R789" s="832"/>
      <c r="S789" s="832"/>
      <c r="T789" s="832"/>
      <c r="U789" s="832"/>
      <c r="V789" s="832"/>
      <c r="W789" s="832"/>
      <c r="X789" s="832"/>
    </row>
    <row r="790" spans="1:24" s="812" customFormat="1" ht="39.950000000000003" hidden="1" customHeight="1" x14ac:dyDescent="0.15">
      <c r="A790" s="2072">
        <f ca="1">+IF(H790&gt;0,A788+0.01,A788)</f>
        <v>10.039999999999999</v>
      </c>
      <c r="B790" s="833">
        <f>IF(AND(M790&lt;=50,E790&lt;=30),95875,IF(AND(M790&lt;=50,E790&gt;30),93590,IF(AND(M790&gt;50,E790&lt;=30),95876,93593)))</f>
        <v>95875</v>
      </c>
      <c r="C790" s="2" t="str">
        <f>VLOOKUP($B790,[1]BOLETIM_SEL!$A:$H,2,0)</f>
        <v>SINAPI</v>
      </c>
      <c r="D790" s="315" t="str">
        <f>VLOOKUP($B790,[1]BOLETIM_SEL!$A:$H,4,0)</f>
        <v>Transporte com caminhão basculante de 10 m3, em via urbana pavimentada, DMT até 30,00 km (unidade: m3xkm). AF_07/2020</v>
      </c>
      <c r="E790" s="2">
        <f>+Dados_DMT!$B$34</f>
        <v>24</v>
      </c>
      <c r="F790" s="2" t="str">
        <f>VLOOKUP($B790,[1]BOLETIM_SEL!$A:$H,6,0)</f>
        <v>M3XKM</v>
      </c>
      <c r="G790" s="1407">
        <f>VLOOKUP($B790,[1]BOLETIM_SEL!$A:$H,7,0)</f>
        <v>2.36</v>
      </c>
      <c r="H790" s="2183">
        <f>IF(M762="USINADO",0,ROUND(Passeio!N243*E790,2))</f>
        <v>0</v>
      </c>
      <c r="I790" s="876">
        <f>+TRUNC(G790*(1+$J$5),2)</f>
        <v>2.87</v>
      </c>
      <c r="J790" s="1607">
        <f t="shared" ref="J790" si="264">TRUNC(H790*I790,2)</f>
        <v>0</v>
      </c>
      <c r="K790" s="2069">
        <f ca="1">J790/J$930</f>
        <v>0</v>
      </c>
      <c r="L790" s="1570">
        <f>+J790/$J$624</f>
        <v>0</v>
      </c>
      <c r="M790" s="1450">
        <f>IF(H790=0,0,H790/E790)</f>
        <v>0</v>
      </c>
      <c r="N790" s="832"/>
      <c r="O790" s="832"/>
      <c r="Q790" s="832"/>
      <c r="R790" s="832"/>
      <c r="S790" s="832"/>
      <c r="T790" s="832"/>
      <c r="U790" s="832"/>
      <c r="V790" s="832"/>
      <c r="W790" s="832"/>
      <c r="X790" s="832"/>
    </row>
    <row r="791" spans="1:24" s="812" customFormat="1" ht="24.95" hidden="1" customHeight="1" x14ac:dyDescent="0.15">
      <c r="A791" s="2072"/>
      <c r="B791" s="833"/>
      <c r="C791" s="2"/>
      <c r="D791" s="1449" t="s">
        <v>2429</v>
      </c>
      <c r="E791" s="2"/>
      <c r="F791" s="2"/>
      <c r="G791" s="1407"/>
      <c r="H791" s="2"/>
      <c r="I791" s="838" t="str">
        <f>IF(I792=0,"-","")</f>
        <v/>
      </c>
      <c r="J791" s="838" t="str">
        <f>IF(J792=0,"-","")</f>
        <v>-</v>
      </c>
      <c r="K791" s="2069"/>
      <c r="L791" s="1570"/>
      <c r="M791" s="1442"/>
      <c r="N791" s="832"/>
      <c r="O791" s="832"/>
      <c r="Q791" s="832"/>
      <c r="R791" s="832"/>
      <c r="S791" s="832"/>
      <c r="T791" s="832"/>
      <c r="U791" s="832"/>
      <c r="V791" s="832"/>
      <c r="W791" s="832"/>
      <c r="X791" s="832"/>
    </row>
    <row r="792" spans="1:24" s="812" customFormat="1" ht="39.950000000000003" hidden="1" customHeight="1" x14ac:dyDescent="0.15">
      <c r="A792" s="2072">
        <f ca="1">+IF(H792&gt;0,A788+0.01,A788)</f>
        <v>10.039999999999999</v>
      </c>
      <c r="B792" s="833">
        <f>IF(AND(M792&lt;=50,E792&lt;=30),95875,IF(AND(M792&lt;=50,E792&gt;30),93590,IF(AND(M792&gt;50,E792&lt;=30),95876,93593)))</f>
        <v>95875</v>
      </c>
      <c r="C792" s="2" t="str">
        <f>VLOOKUP($B792,[1]BOLETIM_SEL!$A:$H,2,0)</f>
        <v>SINAPI</v>
      </c>
      <c r="D792" s="315" t="str">
        <f>VLOOKUP($B792,[1]BOLETIM_SEL!$A:$H,4,0)</f>
        <v>Transporte com caminhão basculante de 10 m3, em via urbana pavimentada, DMT até 30,00 km (unidade: m3xkm). AF_07/2020</v>
      </c>
      <c r="E792" s="2">
        <f>+Dados_DMT!$B$17</f>
        <v>8</v>
      </c>
      <c r="F792" s="2" t="str">
        <f>VLOOKUP($B792,[1]BOLETIM_SEL!$A:$H,6,0)</f>
        <v>M3XKM</v>
      </c>
      <c r="G792" s="1407">
        <f>VLOOKUP($B792,[1]BOLETIM_SEL!$A:$H,7,0)</f>
        <v>2.36</v>
      </c>
      <c r="H792" s="1606">
        <f>ROUND(Passeio!N25*E792,2)</f>
        <v>0</v>
      </c>
      <c r="I792" s="876">
        <f>+TRUNC(G792*(1+$J$5),2)</f>
        <v>2.87</v>
      </c>
      <c r="J792" s="1607">
        <f t="shared" ref="J792" si="265">TRUNC(H792*I792,2)</f>
        <v>0</v>
      </c>
      <c r="K792" s="2069">
        <f ca="1">J792/J$930</f>
        <v>0</v>
      </c>
      <c r="L792" s="1570">
        <f t="shared" ref="L792" si="266">+J792/$J$752</f>
        <v>0</v>
      </c>
      <c r="M792" s="1450">
        <f>IF(H792=0,0,H792/E792)</f>
        <v>0</v>
      </c>
      <c r="N792" s="832"/>
      <c r="O792" s="832"/>
      <c r="Q792" s="832"/>
      <c r="R792" s="832"/>
      <c r="S792" s="832"/>
      <c r="T792" s="832"/>
      <c r="U792" s="832"/>
      <c r="V792" s="832"/>
      <c r="W792" s="832"/>
      <c r="X792" s="832"/>
    </row>
    <row r="793" spans="1:24" s="812" customFormat="1" ht="24.95" customHeight="1" x14ac:dyDescent="0.15">
      <c r="A793" s="2072"/>
      <c r="B793" s="833"/>
      <c r="C793" s="2"/>
      <c r="D793" s="1449" t="s">
        <v>1872</v>
      </c>
      <c r="E793" s="2"/>
      <c r="F793" s="2"/>
      <c r="G793" s="1407"/>
      <c r="H793" s="2"/>
      <c r="I793" s="838"/>
      <c r="J793" s="838" t="str">
        <f>IF(J794=0,"-","")</f>
        <v/>
      </c>
      <c r="K793" s="2069"/>
      <c r="L793" s="1570"/>
      <c r="M793" s="1442"/>
      <c r="N793" s="832"/>
      <c r="O793" s="832"/>
      <c r="Q793" s="832"/>
      <c r="R793" s="832"/>
      <c r="S793" s="832"/>
      <c r="T793" s="832"/>
      <c r="U793" s="832"/>
      <c r="V793" s="832"/>
      <c r="W793" s="832"/>
      <c r="X793" s="832"/>
    </row>
    <row r="794" spans="1:24" s="812" customFormat="1" ht="30" customHeight="1" x14ac:dyDescent="0.15">
      <c r="A794" s="2072">
        <f ca="1">+IF(H794&gt;0,A792+0.01,A792)</f>
        <v>10.049999999999999</v>
      </c>
      <c r="B794" s="833">
        <v>100947</v>
      </c>
      <c r="C794" s="2" t="str">
        <f>VLOOKUP($B794,[1]BOLETIM_SEL!$A:$H,2,0)</f>
        <v>SINAPI</v>
      </c>
      <c r="D794" s="315" t="str">
        <f>VLOOKUP($B794,[1]BOLETIM_SEL!$A:$H,4,0)</f>
        <v>Transporte com caminhão carroceria 9t, em via urbana pavimentada, DMT até 30,00 km (unidade: txkm). AF_07/2020</v>
      </c>
      <c r="E794" s="2">
        <f>+Dados_DMT!$B$13</f>
        <v>22</v>
      </c>
      <c r="F794" s="2" t="str">
        <f>VLOOKUP($B794,[1]BOLETIM_SEL!$A:$H,6,0)</f>
        <v>TXKM</v>
      </c>
      <c r="G794" s="1407">
        <f>VLOOKUP($B794,[1]BOLETIM_SEL!$A:$H,7,0)</f>
        <v>2.12</v>
      </c>
      <c r="H794" s="1606">
        <f>ROUND(Passeio!N239*E794,2)</f>
        <v>35.200000000000003</v>
      </c>
      <c r="I794" s="876">
        <f>+TRUNC(G794*(1+$J$5),2)</f>
        <v>2.58</v>
      </c>
      <c r="J794" s="1607">
        <f t="shared" si="256"/>
        <v>90.81</v>
      </c>
      <c r="K794" s="2069">
        <f ca="1">J794/J$930</f>
        <v>2.4682964968960859E-5</v>
      </c>
      <c r="L794" s="1570">
        <f t="shared" si="257"/>
        <v>2.5059956518588383E-4</v>
      </c>
      <c r="M794" s="1442"/>
      <c r="N794" s="832"/>
      <c r="O794" s="832"/>
      <c r="Q794" s="832"/>
      <c r="R794" s="832"/>
      <c r="S794" s="832"/>
      <c r="T794" s="832"/>
      <c r="U794" s="832"/>
      <c r="V794" s="832"/>
      <c r="W794" s="832"/>
      <c r="X794" s="832"/>
    </row>
    <row r="795" spans="1:24" s="812" customFormat="1" ht="24.95" customHeight="1" x14ac:dyDescent="0.15">
      <c r="A795" s="2072"/>
      <c r="B795" s="833"/>
      <c r="C795" s="833"/>
      <c r="D795" s="834"/>
      <c r="E795" s="2"/>
      <c r="F795" s="833"/>
      <c r="G795" s="1814"/>
      <c r="H795" s="1"/>
      <c r="I795" s="876"/>
      <c r="J795" s="838" t="str">
        <f>IF(J752=0,0,"")</f>
        <v/>
      </c>
      <c r="K795" s="2069"/>
      <c r="L795" s="1570"/>
      <c r="M795" s="1443"/>
      <c r="N795" s="832"/>
      <c r="O795" s="832"/>
      <c r="Q795" s="832"/>
      <c r="R795" s="832"/>
      <c r="S795" s="832"/>
      <c r="T795" s="832"/>
      <c r="U795" s="832"/>
      <c r="V795" s="832"/>
      <c r="W795" s="832"/>
      <c r="X795" s="832"/>
    </row>
    <row r="796" spans="1:24" s="832" customFormat="1" ht="24.95" hidden="1" customHeight="1" x14ac:dyDescent="0.15">
      <c r="A796" s="2073">
        <f ca="1">IF(J796&gt;0,INT(A794)+1,IF(J796=0,INT(A794),0))</f>
        <v>10</v>
      </c>
      <c r="B796" s="1626"/>
      <c r="C796" s="1626"/>
      <c r="D796" s="1627" t="s">
        <v>662</v>
      </c>
      <c r="E796" s="1821"/>
      <c r="F796" s="1628"/>
      <c r="G796" s="1813" t="s">
        <v>663</v>
      </c>
      <c r="H796" s="1630"/>
      <c r="I796" s="1633" t="str">
        <f ca="1">CONCATENATE("SUB-TOTAL ",A796)</f>
        <v>SUB-TOTAL 10</v>
      </c>
      <c r="J796" s="1632">
        <f>SUM(J797:J856)</f>
        <v>0</v>
      </c>
      <c r="K796" s="2070">
        <f t="shared" ref="K796:K826" ca="1" si="267">+J796/J$930</f>
        <v>0</v>
      </c>
      <c r="L796" s="1605" t="e">
        <f t="shared" ref="L796:L826" si="268">+J796/$J$796</f>
        <v>#DIV/0!</v>
      </c>
    </row>
    <row r="797" spans="1:24" s="812" customFormat="1" ht="39.950000000000003" hidden="1" customHeight="1" x14ac:dyDescent="0.15">
      <c r="A797" s="2072">
        <f t="shared" ref="A797:A826" ca="1" si="269">+IF(H797&gt;0,A796+0.01,A796)</f>
        <v>10</v>
      </c>
      <c r="B797" s="833">
        <v>98525</v>
      </c>
      <c r="C797" s="2" t="str">
        <f>+VLOOKUP($B797,[1]BOLETIM_SEL!$A:$H,2,0)</f>
        <v>SINAPI</v>
      </c>
      <c r="D797" s="315" t="str">
        <f>+VLOOKUP($B797,[1]BOLETIM_SEL!$A:$H,4,0)</f>
        <v>Limpeza mecanizada de camada vegetal, vegetação e pequenas árvores (diâmetro nominal de tronco menor que 0,20 m), com trator de esteiras. AF_05/2018</v>
      </c>
      <c r="E797" s="2"/>
      <c r="F797" s="2" t="str">
        <f>+VLOOKUP($B797,[1]BOLETIM_SEL!$A:$H,6,0)</f>
        <v>M2</v>
      </c>
      <c r="G797" s="1407">
        <f>+VLOOKUP($B797,[1]BOLETIM_SEL!$A:$H,7,0)</f>
        <v>0.37</v>
      </c>
      <c r="H797" s="1606">
        <f>+Ciclovia!J13</f>
        <v>0</v>
      </c>
      <c r="I797" s="876">
        <f t="shared" ref="I797:I820" si="270">+TRUNC(G797*(1+$J$5),2)</f>
        <v>0.45</v>
      </c>
      <c r="J797" s="1607">
        <f t="shared" ref="J797:J826" si="271">TRUNC(H797*I797,2)</f>
        <v>0</v>
      </c>
      <c r="K797" s="2069">
        <f t="shared" ca="1" si="267"/>
        <v>0</v>
      </c>
      <c r="L797" s="1570" t="e">
        <f t="shared" si="268"/>
        <v>#DIV/0!</v>
      </c>
      <c r="M797" s="1442"/>
      <c r="N797" s="1648" t="s">
        <v>1951</v>
      </c>
      <c r="O797" s="1648" t="s">
        <v>1977</v>
      </c>
      <c r="Q797" s="832"/>
      <c r="R797" s="832"/>
      <c r="S797" s="832"/>
      <c r="T797" s="832"/>
      <c r="U797" s="832"/>
      <c r="V797" s="832"/>
      <c r="W797" s="832"/>
      <c r="X797" s="832"/>
    </row>
    <row r="798" spans="1:24" s="812" customFormat="1" ht="50.1" hidden="1" customHeight="1" x14ac:dyDescent="0.15">
      <c r="A798" s="2072">
        <f t="shared" ca="1" si="269"/>
        <v>10</v>
      </c>
      <c r="B798" s="833">
        <v>101230</v>
      </c>
      <c r="C798" s="2" t="str">
        <f>+VLOOKUP($B798,[1]BOLETIM_SEL!$A:$H,2,0)</f>
        <v>SINAPI</v>
      </c>
      <c r="D798" s="315" t="str">
        <f>+VLOOKUP($B798,[1]BOLETIM_SEL!$A:$H,4,0)</f>
        <v>Escavação vertical a céu aberto, em obras de infraestrutura, incluindo carga, descarga e transporte, em solo de 1a categoria com escavadeira hidráulica (caçamba: 0,80 m3 / 111 HP), frota de 3 caminhões basculantes de 14 m3, DMT até 1 km e velocidade média 14 km/h. AF_05/2020</v>
      </c>
      <c r="E798" s="2"/>
      <c r="F798" s="2" t="str">
        <f>+VLOOKUP($B798,[1]BOLETIM_SEL!$A:$H,6,0)</f>
        <v>M3</v>
      </c>
      <c r="G798" s="1407">
        <f>+VLOOKUP($B798,[1]BOLETIM_SEL!$A:$H,7,0)</f>
        <v>10.75</v>
      </c>
      <c r="H798" s="1606">
        <f>+Ciclovia!J37</f>
        <v>0</v>
      </c>
      <c r="I798" s="876">
        <f t="shared" si="270"/>
        <v>13.11</v>
      </c>
      <c r="J798" s="1607">
        <f t="shared" si="271"/>
        <v>0</v>
      </c>
      <c r="K798" s="2069">
        <f t="shared" ca="1" si="267"/>
        <v>0</v>
      </c>
      <c r="L798" s="1570" t="e">
        <f t="shared" si="268"/>
        <v>#DIV/0!</v>
      </c>
      <c r="M798" s="1442"/>
      <c r="N798" s="1647">
        <v>52.08</v>
      </c>
      <c r="O798" s="1645">
        <f>+H798/N798</f>
        <v>0</v>
      </c>
      <c r="Q798" s="832"/>
      <c r="R798" s="832"/>
      <c r="S798" s="832"/>
      <c r="T798" s="832"/>
      <c r="U798" s="832"/>
      <c r="V798" s="832"/>
      <c r="W798" s="832"/>
      <c r="X798" s="832"/>
    </row>
    <row r="799" spans="1:24" s="812" customFormat="1" ht="39.950000000000003" hidden="1" customHeight="1" x14ac:dyDescent="0.15">
      <c r="A799" s="2072">
        <f t="shared" ca="1" si="269"/>
        <v>10</v>
      </c>
      <c r="B799" s="833" t="s">
        <v>195</v>
      </c>
      <c r="C799" s="2" t="str">
        <f>+VLOOKUP($B799,[1]BOLETIM_SEL!$A:$H,2,0)</f>
        <v>COMPOSIÇÃO</v>
      </c>
      <c r="D799" s="315" t="str">
        <f>+VLOOKUP($B799,[1]BOLETIM_SEL!$A:$H,4,0)</f>
        <v>Colchão de rachão e/ou pedra-de-mão, com camada final de pedra brita. Fornecimento e execução. Exclusive transporte da pedra</v>
      </c>
      <c r="E799" s="2"/>
      <c r="F799" s="2" t="str">
        <f>+VLOOKUP($B799,[1]BOLETIM_SEL!$A:$H,6,0)</f>
        <v>M3</v>
      </c>
      <c r="G799" s="1407">
        <f>+VLOOKUP($B799,[1]BOLETIM_SEL!$A:$H,7,0)</f>
        <v>148.07</v>
      </c>
      <c r="H799" s="1606">
        <f>+Ciclovia!J30</f>
        <v>0</v>
      </c>
      <c r="I799" s="876">
        <f t="shared" si="270"/>
        <v>180.64</v>
      </c>
      <c r="J799" s="1607">
        <f t="shared" si="271"/>
        <v>0</v>
      </c>
      <c r="K799" s="2069">
        <f t="shared" ca="1" si="267"/>
        <v>0</v>
      </c>
      <c r="L799" s="1570" t="e">
        <f t="shared" si="268"/>
        <v>#DIV/0!</v>
      </c>
      <c r="M799" s="1442"/>
      <c r="N799" s="1647">
        <f>VLOOKUP($B799,[1]BOLETIM_SEL!$A:$H,3,0)</f>
        <v>34.479999999999997</v>
      </c>
      <c r="O799" s="1645">
        <f>+H799/N799</f>
        <v>0</v>
      </c>
      <c r="Q799" s="832"/>
      <c r="R799" s="832"/>
      <c r="S799" s="832"/>
      <c r="T799" s="832"/>
      <c r="U799" s="832"/>
      <c r="V799" s="832"/>
      <c r="W799" s="832"/>
      <c r="X799" s="832"/>
    </row>
    <row r="800" spans="1:24" s="812" customFormat="1" ht="30" hidden="1" customHeight="1" x14ac:dyDescent="0.15">
      <c r="A800" s="2072">
        <f t="shared" ca="1" si="269"/>
        <v>10</v>
      </c>
      <c r="B800" s="833" t="s">
        <v>1791</v>
      </c>
      <c r="C800" s="2" t="str">
        <f>+VLOOKUP($B800,[1]BOLETIM_SEL!$A:$H,2,0)</f>
        <v>COMPOSIÇÃO</v>
      </c>
      <c r="D800" s="315" t="str">
        <f>+VLOOKUP($B800,[1]BOLETIM_SEL!$A:$H,4,0)</f>
        <v>Preparo do subleito, escavação e carga. Exclusive transporte</v>
      </c>
      <c r="E800" s="2"/>
      <c r="F800" s="2" t="str">
        <f>+VLOOKUP($B800,[1]BOLETIM_SEL!$A:$H,6,0)</f>
        <v>M3</v>
      </c>
      <c r="G800" s="1407">
        <f>+VLOOKUP($B800,[1]BOLETIM_SEL!$A:$H,7,0)</f>
        <v>5.92</v>
      </c>
      <c r="H800" s="1606">
        <f>+Ciclovia!J43</f>
        <v>0</v>
      </c>
      <c r="I800" s="876">
        <f t="shared" si="270"/>
        <v>7.22</v>
      </c>
      <c r="J800" s="1607">
        <f t="shared" si="271"/>
        <v>0</v>
      </c>
      <c r="K800" s="2069">
        <f t="shared" ca="1" si="267"/>
        <v>0</v>
      </c>
      <c r="L800" s="1570" t="e">
        <f t="shared" si="268"/>
        <v>#DIV/0!</v>
      </c>
      <c r="M800" s="1442"/>
      <c r="N800" s="1647">
        <f>VLOOKUP($B800,[1]BOLETIM_SEL!$A:$H,3,0)</f>
        <v>42</v>
      </c>
      <c r="O800" s="1645">
        <f>+H800/N800</f>
        <v>0</v>
      </c>
      <c r="Q800" s="832"/>
      <c r="R800" s="832"/>
      <c r="S800" s="832"/>
      <c r="T800" s="832"/>
      <c r="U800" s="832"/>
      <c r="V800" s="832"/>
      <c r="W800" s="832"/>
      <c r="X800" s="832"/>
    </row>
    <row r="801" spans="1:24" s="812" customFormat="1" ht="50.1" hidden="1" customHeight="1" x14ac:dyDescent="0.15">
      <c r="A801" s="2072">
        <f t="shared" ca="1" si="269"/>
        <v>10</v>
      </c>
      <c r="B801" s="833">
        <v>101230</v>
      </c>
      <c r="C801" s="2" t="str">
        <f>+VLOOKUP($B801,[1]BOLETIM_SEL!$A:$H,2,0)</f>
        <v>SINAPI</v>
      </c>
      <c r="D801" s="315" t="str">
        <f>+VLOOKUP($B801,[1]BOLETIM_SEL!$A:$H,4,0)</f>
        <v>Escavação vertical a céu aberto, em obras de infraestrutura, incluindo carga, descarga e transporte, em solo de 1a categoria com escavadeira hidráulica (caçamba: 0,80 m3 / 111 HP), frota de 3 caminhões basculantes de 14 m3, DMT até 1 km e velocidade média 14 km/h. AF_05/2020</v>
      </c>
      <c r="E801" s="2"/>
      <c r="F801" s="2" t="str">
        <f>+VLOOKUP($B801,[1]BOLETIM_SEL!$A:$H,6,0)</f>
        <v>M3</v>
      </c>
      <c r="G801" s="1407">
        <f>+VLOOKUP($B801,[1]BOLETIM_SEL!$A:$H,7,0)</f>
        <v>10.75</v>
      </c>
      <c r="H801" s="1606">
        <f>IF(H821=0,Ciclovia!J51+Ciclovia!J71,0)+IF(H823=0,Ciclovia!J73,0)</f>
        <v>0</v>
      </c>
      <c r="I801" s="876">
        <f t="shared" si="270"/>
        <v>13.11</v>
      </c>
      <c r="J801" s="1607">
        <f t="shared" si="271"/>
        <v>0</v>
      </c>
      <c r="K801" s="2069">
        <f t="shared" ca="1" si="267"/>
        <v>0</v>
      </c>
      <c r="L801" s="1570" t="e">
        <f t="shared" si="268"/>
        <v>#DIV/0!</v>
      </c>
      <c r="M801" s="1442"/>
      <c r="N801" s="1647"/>
      <c r="O801" s="1645"/>
      <c r="Q801" s="832"/>
      <c r="R801" s="832"/>
      <c r="S801" s="832"/>
      <c r="T801" s="832"/>
      <c r="U801" s="832"/>
      <c r="V801" s="832"/>
      <c r="W801" s="832"/>
      <c r="X801" s="832"/>
    </row>
    <row r="802" spans="1:24" s="812" customFormat="1" ht="39.950000000000003" hidden="1" customHeight="1" x14ac:dyDescent="0.15">
      <c r="A802" s="2072">
        <f t="shared" ca="1" si="269"/>
        <v>10</v>
      </c>
      <c r="B802" s="833">
        <v>96385</v>
      </c>
      <c r="C802" s="2" t="str">
        <f>+VLOOKUP($B802,[1]BOLETIM_SEL!$A:$H,2,0)</f>
        <v>SINAPI</v>
      </c>
      <c r="D802" s="315" t="str">
        <f>+VLOOKUP($B802,[1]BOLETIM_SEL!$A:$H,4,0)</f>
        <v>Execução e compactação de aterro com solo predominantemente argiloso - exclusive solo, escavação, carga e transporte. AF_11/2019</v>
      </c>
      <c r="E802" s="2"/>
      <c r="F802" s="2" t="str">
        <f>+VLOOKUP($B802,[1]BOLETIM_SEL!$A:$H,6,0)</f>
        <v>M3</v>
      </c>
      <c r="G802" s="1407">
        <f>+VLOOKUP($B802,[1]BOLETIM_SEL!$A:$H,7,0)</f>
        <v>11.26</v>
      </c>
      <c r="H802" s="1606">
        <f>+Ciclovia!J50</f>
        <v>0</v>
      </c>
      <c r="I802" s="876">
        <f t="shared" si="270"/>
        <v>13.73</v>
      </c>
      <c r="J802" s="1607">
        <f t="shared" si="271"/>
        <v>0</v>
      </c>
      <c r="K802" s="2069">
        <f t="shared" ca="1" si="267"/>
        <v>0</v>
      </c>
      <c r="L802" s="1570" t="e">
        <f t="shared" si="268"/>
        <v>#DIV/0!</v>
      </c>
      <c r="M802" s="1442"/>
      <c r="N802" s="1647"/>
      <c r="O802" s="1645"/>
      <c r="Q802" s="832"/>
      <c r="R802" s="832"/>
      <c r="S802" s="832"/>
      <c r="T802" s="832"/>
      <c r="U802" s="832"/>
      <c r="V802" s="832"/>
      <c r="W802" s="832"/>
      <c r="X802" s="832"/>
    </row>
    <row r="803" spans="1:24" s="812" customFormat="1" ht="30" hidden="1" customHeight="1" x14ac:dyDescent="0.15">
      <c r="A803" s="2072">
        <f t="shared" ca="1" si="269"/>
        <v>10</v>
      </c>
      <c r="B803" s="833">
        <f>IF(M803="arenoso",100577,100576)</f>
        <v>100576</v>
      </c>
      <c r="C803" s="2" t="str">
        <f>VLOOKUP($B803,[1]BOLETIM_SEL!$A:$H,2,0)</f>
        <v>SINAPI</v>
      </c>
      <c r="D803" s="315" t="str">
        <f>VLOOKUP($B803,[1]BOLETIM_SEL!$A:$H,4,0)</f>
        <v>Regularização e compactação de subleito de solo predominantemente argiloso. AF_11/2019</v>
      </c>
      <c r="E803" s="2"/>
      <c r="F803" s="2" t="str">
        <f>VLOOKUP($B803,[1]BOLETIM_SEL!$A:$H,6,0)</f>
        <v>M2</v>
      </c>
      <c r="G803" s="1407">
        <f>+VLOOKUP($B803,[1]BOLETIM_SEL!$A:$H,7,0)</f>
        <v>2.4500000000000002</v>
      </c>
      <c r="H803" s="1606">
        <f>+Ciclovia!J52</f>
        <v>0</v>
      </c>
      <c r="I803" s="876">
        <f t="shared" si="270"/>
        <v>2.98</v>
      </c>
      <c r="J803" s="1607">
        <f t="shared" si="271"/>
        <v>0</v>
      </c>
      <c r="K803" s="2069">
        <f t="shared" ca="1" si="267"/>
        <v>0</v>
      </c>
      <c r="L803" s="1570" t="e">
        <f t="shared" si="268"/>
        <v>#DIV/0!</v>
      </c>
      <c r="M803" s="1585" t="s">
        <v>2087</v>
      </c>
      <c r="N803" s="1654">
        <f>VLOOKUP($B803,[1]BOLETIM_SEL!$A:$H,3,0)</f>
        <v>125</v>
      </c>
      <c r="O803" s="1645">
        <f t="shared" ref="O803:O810" si="272">+H803/N803</f>
        <v>0</v>
      </c>
      <c r="Q803" s="832"/>
      <c r="R803" s="832"/>
      <c r="S803" s="832"/>
      <c r="T803" s="832"/>
      <c r="U803" s="832"/>
      <c r="V803" s="832"/>
      <c r="W803" s="832"/>
      <c r="X803" s="832"/>
    </row>
    <row r="804" spans="1:24" s="812" customFormat="1" ht="39.950000000000003" hidden="1" customHeight="1" x14ac:dyDescent="0.15">
      <c r="A804" s="2072">
        <f t="shared" ca="1" si="269"/>
        <v>10</v>
      </c>
      <c r="B804" s="864">
        <v>101767</v>
      </c>
      <c r="C804" s="2" t="str">
        <f>VLOOKUP($B804,[1]BOLETIM_SEL!$A:$H,2,0)</f>
        <v>SINAPI</v>
      </c>
      <c r="D804" s="315" t="str">
        <f>VLOOKUP($B804,[1]BOLETIM_SEL!$A:$H,4,0)</f>
        <v>Execução e compactação de base e ou sub base para pavimentação de solos estabilizados granulometricamente com mistura de solos em pista - exclusive solo, escavação, carga e transporte. AF_11/2019</v>
      </c>
      <c r="E804" s="2"/>
      <c r="F804" s="2" t="str">
        <f>VLOOKUP($B804,[1]BOLETIM_SEL!$A:$H,6,0)</f>
        <v>M3</v>
      </c>
      <c r="G804" s="1407">
        <f>+VLOOKUP($B804,[1]BOLETIM_SEL!$A:$H,7,0)</f>
        <v>27.35</v>
      </c>
      <c r="H804" s="1606">
        <f>+Ciclovia!J67</f>
        <v>0</v>
      </c>
      <c r="I804" s="876">
        <f t="shared" si="270"/>
        <v>33.36</v>
      </c>
      <c r="J804" s="1607">
        <f t="shared" si="271"/>
        <v>0</v>
      </c>
      <c r="K804" s="2069">
        <f t="shared" ca="1" si="267"/>
        <v>0</v>
      </c>
      <c r="L804" s="1570" t="e">
        <f t="shared" si="268"/>
        <v>#DIV/0!</v>
      </c>
      <c r="M804" s="1442"/>
      <c r="N804" s="1647">
        <v>20</v>
      </c>
      <c r="O804" s="1645">
        <f t="shared" si="272"/>
        <v>0</v>
      </c>
      <c r="Q804" s="832"/>
      <c r="R804" s="832"/>
      <c r="S804" s="832"/>
      <c r="T804" s="832"/>
      <c r="U804" s="832"/>
      <c r="V804" s="832"/>
      <c r="W804" s="832"/>
      <c r="X804" s="832"/>
    </row>
    <row r="805" spans="1:24" s="812" customFormat="1" ht="39.950000000000003" hidden="1" customHeight="1" x14ac:dyDescent="0.15">
      <c r="A805" s="2072">
        <f t="shared" ca="1" si="269"/>
        <v>10</v>
      </c>
      <c r="B805" s="864" t="s">
        <v>1873</v>
      </c>
      <c r="C805" s="2" t="str">
        <f>VLOOKUP($B805,[1]BOLETIM_SEL!$A:$H,2,0)</f>
        <v>COMPOSIÇÃO</v>
      </c>
      <c r="D805" s="315" t="str">
        <f>VLOOKUP($B805,[1]BOLETIM_SEL!$A:$H,4,0)</f>
        <v>Execução e compactação de base e ou sub-base, estabilizado granulometricamente, sem mistura, com material de jazida. Exclusive fornecimento e transporte (REF. SINAPI COD. 4011219)</v>
      </c>
      <c r="E805" s="2"/>
      <c r="F805" s="2" t="str">
        <f>VLOOKUP($B805,[1]BOLETIM_SEL!$A:$H,6,0)</f>
        <v>M3</v>
      </c>
      <c r="G805" s="1407">
        <f>+VLOOKUP($B805,[1]BOLETIM_SEL!$A:$H,7,0)</f>
        <v>19.13</v>
      </c>
      <c r="H805" s="1606">
        <f>+Ciclovia!J68</f>
        <v>0</v>
      </c>
      <c r="I805" s="876">
        <f t="shared" si="270"/>
        <v>23.33</v>
      </c>
      <c r="J805" s="1607">
        <f t="shared" si="271"/>
        <v>0</v>
      </c>
      <c r="K805" s="2069">
        <f t="shared" ca="1" si="267"/>
        <v>0</v>
      </c>
      <c r="L805" s="1570" t="e">
        <f t="shared" si="268"/>
        <v>#DIV/0!</v>
      </c>
      <c r="M805" s="1442"/>
      <c r="N805" s="1647">
        <f>VLOOKUP($B805,[1]BOLETIM_SEL!$A:$H,3,0)</f>
        <v>28.75</v>
      </c>
      <c r="O805" s="1645">
        <f t="shared" si="272"/>
        <v>0</v>
      </c>
      <c r="Q805" s="832"/>
      <c r="R805" s="832"/>
      <c r="S805" s="832"/>
      <c r="T805" s="832"/>
      <c r="U805" s="832"/>
      <c r="V805" s="832"/>
      <c r="W805" s="832"/>
      <c r="X805" s="832"/>
    </row>
    <row r="806" spans="1:24" s="812" customFormat="1" ht="39.950000000000003" hidden="1" customHeight="1" x14ac:dyDescent="0.15">
      <c r="A806" s="2072">
        <f t="shared" ca="1" si="269"/>
        <v>10</v>
      </c>
      <c r="B806" s="877" t="s">
        <v>1873</v>
      </c>
      <c r="C806" s="2" t="str">
        <f>VLOOKUP($B806,[1]BOLETIM_SEL!$A:$H,2,0)</f>
        <v>COMPOSIÇÃO</v>
      </c>
      <c r="D806" s="315" t="str">
        <f>VLOOKUP($B806,[1]BOLETIM_SEL!$A:$H,4,0)</f>
        <v>Execução e compactação de base e ou sub-base, estabilizado granulometricamente, sem mistura, com material de jazida. Exclusive fornecimento e transporte (REF. SINAPI COD. 4011219)</v>
      </c>
      <c r="E806" s="2"/>
      <c r="F806" s="2" t="str">
        <f>VLOOKUP($B806,[1]BOLETIM_SEL!$A:$H,6,0)</f>
        <v>M3</v>
      </c>
      <c r="G806" s="1407">
        <f>+VLOOKUP($B806,[1]BOLETIM_SEL!$A:$H,7,0)</f>
        <v>19.13</v>
      </c>
      <c r="H806" s="1606">
        <f>+Ciclovia!J69</f>
        <v>0</v>
      </c>
      <c r="I806" s="876">
        <f t="shared" si="270"/>
        <v>23.33</v>
      </c>
      <c r="J806" s="1607">
        <f t="shared" si="271"/>
        <v>0</v>
      </c>
      <c r="K806" s="2069">
        <f t="shared" ca="1" si="267"/>
        <v>0</v>
      </c>
      <c r="L806" s="1570" t="e">
        <f t="shared" si="268"/>
        <v>#DIV/0!</v>
      </c>
      <c r="M806" s="1442"/>
      <c r="N806" s="1647">
        <f>VLOOKUP($B806,[1]BOLETIM_SEL!$A:$H,3,0)</f>
        <v>28.75</v>
      </c>
      <c r="O806" s="1645">
        <f t="shared" si="272"/>
        <v>0</v>
      </c>
      <c r="Q806" s="832"/>
      <c r="R806" s="832"/>
      <c r="S806" s="832"/>
      <c r="T806" s="832"/>
      <c r="U806" s="832"/>
      <c r="V806" s="832"/>
      <c r="W806" s="832"/>
      <c r="X806" s="832"/>
    </row>
    <row r="807" spans="1:24" s="812" customFormat="1" ht="39.950000000000003" hidden="1" customHeight="1" x14ac:dyDescent="0.15">
      <c r="A807" s="2072">
        <f t="shared" ca="1" si="269"/>
        <v>10</v>
      </c>
      <c r="B807" s="2">
        <v>96389</v>
      </c>
      <c r="C807" s="2" t="str">
        <f>VLOOKUP($B807,[1]BOLETIM_SEL!$A:$H,2,0)</f>
        <v>SINAPI</v>
      </c>
      <c r="D807" s="315" t="str">
        <f>VLOOKUP($B807,[1]BOLETIM_SEL!$A:$H,4,0)</f>
        <v>Execução e compactação de base e ou sub base para pavimentação de solo (predominantemente arenoso) com cimento (teor de 2%) - exclusive solo, escavação, carga e transporte. AF_11/2019</v>
      </c>
      <c r="E807" s="2"/>
      <c r="F807" s="2" t="str">
        <f>VLOOKUP($B807,[1]BOLETIM_SEL!$A:$H,6,0)</f>
        <v>M3</v>
      </c>
      <c r="G807" s="1407">
        <f>+VLOOKUP($B807,[1]BOLETIM_SEL!$A:$H,7,0)</f>
        <v>55.13</v>
      </c>
      <c r="H807" s="1606">
        <f>+Ciclovia!J63</f>
        <v>0</v>
      </c>
      <c r="I807" s="876">
        <f t="shared" si="270"/>
        <v>67.25</v>
      </c>
      <c r="J807" s="1607">
        <f t="shared" si="271"/>
        <v>0</v>
      </c>
      <c r="K807" s="2069">
        <f t="shared" ca="1" si="267"/>
        <v>0</v>
      </c>
      <c r="L807" s="1570" t="e">
        <f t="shared" si="268"/>
        <v>#DIV/0!</v>
      </c>
      <c r="M807" s="1442"/>
      <c r="N807" s="1647">
        <f>VLOOKUP($B807,[1]BOLETIM_SEL!$A:$H,3,0)</f>
        <v>38.46</v>
      </c>
      <c r="O807" s="1645">
        <f t="shared" si="272"/>
        <v>0</v>
      </c>
      <c r="Q807" s="832"/>
      <c r="R807" s="832"/>
      <c r="S807" s="832"/>
      <c r="T807" s="832"/>
      <c r="U807" s="832"/>
      <c r="V807" s="832"/>
      <c r="W807" s="832"/>
      <c r="X807" s="832"/>
    </row>
    <row r="808" spans="1:24" s="812" customFormat="1" ht="39.950000000000003" hidden="1" customHeight="1" x14ac:dyDescent="0.15">
      <c r="A808" s="2072">
        <f t="shared" ca="1" si="269"/>
        <v>10</v>
      </c>
      <c r="B808" s="2">
        <v>96390</v>
      </c>
      <c r="C808" s="2" t="str">
        <f>VLOOKUP($B808,[1]BOLETIM_SEL!$A:$H,2,0)</f>
        <v>SINAPI</v>
      </c>
      <c r="D808" s="315" t="str">
        <f>VLOOKUP($B808,[1]BOLETIM_SEL!$A:$H,4,0)</f>
        <v>Execução e compactação de base e ou sub base para pavimentação de solo (predominantemente arenoso) com cimento (teor de 4%) - exclusive solo, escavação, carga e transporte. AF_11/2019</v>
      </c>
      <c r="E808" s="2"/>
      <c r="F808" s="2" t="str">
        <f>VLOOKUP($B808,[1]BOLETIM_SEL!$A:$H,6,0)</f>
        <v>M3</v>
      </c>
      <c r="G808" s="1407">
        <f>+VLOOKUP($B808,[1]BOLETIM_SEL!$A:$H,7,0)</f>
        <v>89.29</v>
      </c>
      <c r="H808" s="1606">
        <f>+Ciclovia!J64</f>
        <v>0</v>
      </c>
      <c r="I808" s="876">
        <f t="shared" si="270"/>
        <v>108.93</v>
      </c>
      <c r="J808" s="1607">
        <f t="shared" si="271"/>
        <v>0</v>
      </c>
      <c r="K808" s="2069">
        <f t="shared" ca="1" si="267"/>
        <v>0</v>
      </c>
      <c r="L808" s="1570" t="e">
        <f t="shared" si="268"/>
        <v>#DIV/0!</v>
      </c>
      <c r="M808" s="1442"/>
      <c r="N808" s="1647">
        <f>VLOOKUP($B808,[1]BOLETIM_SEL!$A:$H,3,0)</f>
        <v>38.46</v>
      </c>
      <c r="O808" s="1645">
        <f t="shared" si="272"/>
        <v>0</v>
      </c>
      <c r="Q808" s="832"/>
      <c r="R808" s="832"/>
      <c r="S808" s="832"/>
      <c r="T808" s="832"/>
      <c r="U808" s="832"/>
      <c r="V808" s="832"/>
      <c r="W808" s="832"/>
      <c r="X808" s="832"/>
    </row>
    <row r="809" spans="1:24" s="812" customFormat="1" ht="39.950000000000003" hidden="1" customHeight="1" x14ac:dyDescent="0.15">
      <c r="A809" s="2072">
        <f t="shared" ca="1" si="269"/>
        <v>10</v>
      </c>
      <c r="B809" s="2">
        <v>96391</v>
      </c>
      <c r="C809" s="2" t="str">
        <f>VLOOKUP($B809,[1]BOLETIM_SEL!$A:$H,2,0)</f>
        <v>SINAPI</v>
      </c>
      <c r="D809" s="315" t="str">
        <f>VLOOKUP($B809,[1]BOLETIM_SEL!$A:$H,4,0)</f>
        <v>Execução e compactação de base e ou sub base para pavimentação de solo (predominantemente arenoso) com cimento (teor de 6%) - exclusive solo, escavação, carga e transporte. AF_11/2019</v>
      </c>
      <c r="E809" s="2"/>
      <c r="F809" s="2" t="str">
        <f>VLOOKUP($B809,[1]BOLETIM_SEL!$A:$H,6,0)</f>
        <v>M3</v>
      </c>
      <c r="G809" s="1407">
        <f>+VLOOKUP($B809,[1]BOLETIM_SEL!$A:$H,7,0)</f>
        <v>125</v>
      </c>
      <c r="H809" s="1606">
        <f>+Ciclovia!J65</f>
        <v>0</v>
      </c>
      <c r="I809" s="876">
        <f t="shared" si="270"/>
        <v>152.5</v>
      </c>
      <c r="J809" s="1607">
        <f t="shared" si="271"/>
        <v>0</v>
      </c>
      <c r="K809" s="2069">
        <f t="shared" ca="1" si="267"/>
        <v>0</v>
      </c>
      <c r="L809" s="1570" t="e">
        <f t="shared" si="268"/>
        <v>#DIV/0!</v>
      </c>
      <c r="M809" s="1442"/>
      <c r="N809" s="1647">
        <f>VLOOKUP($B809,[1]BOLETIM_SEL!$A:$H,3,0)</f>
        <v>38.46</v>
      </c>
      <c r="O809" s="1645">
        <f t="shared" si="272"/>
        <v>0</v>
      </c>
      <c r="Q809" s="832"/>
      <c r="R809" s="832"/>
      <c r="S809" s="832"/>
      <c r="T809" s="832"/>
      <c r="U809" s="832"/>
      <c r="V809" s="832"/>
      <c r="W809" s="832"/>
      <c r="X809" s="832"/>
    </row>
    <row r="810" spans="1:24" s="812" customFormat="1" ht="39.950000000000003" hidden="1" customHeight="1" x14ac:dyDescent="0.15">
      <c r="A810" s="2072">
        <f t="shared" ca="1" si="269"/>
        <v>10</v>
      </c>
      <c r="B810" s="2">
        <v>96392</v>
      </c>
      <c r="C810" s="2" t="str">
        <f>VLOOKUP($B810,[1]BOLETIM_SEL!$A:$H,2,0)</f>
        <v>SINAPI</v>
      </c>
      <c r="D810" s="315" t="str">
        <f>VLOOKUP($B810,[1]BOLETIM_SEL!$A:$H,4,0)</f>
        <v>Execução e compactação de base e ou sub base para pavimentação de solo (predominantemente arenoso) com cimento (teor de 8%) - exclusive solo, escavação, carga e transporte. AF_11/2019</v>
      </c>
      <c r="E810" s="2"/>
      <c r="F810" s="2" t="str">
        <f>VLOOKUP($B810,[1]BOLETIM_SEL!$A:$H,6,0)</f>
        <v>M3</v>
      </c>
      <c r="G810" s="1407">
        <f>+VLOOKUP($B810,[1]BOLETIM_SEL!$A:$H,7,0)</f>
        <v>159.44999999999999</v>
      </c>
      <c r="H810" s="1606">
        <f>+Ciclovia!J66</f>
        <v>0</v>
      </c>
      <c r="I810" s="876">
        <f t="shared" si="270"/>
        <v>194.52</v>
      </c>
      <c r="J810" s="1607">
        <f t="shared" si="271"/>
        <v>0</v>
      </c>
      <c r="K810" s="2069">
        <f t="shared" ca="1" si="267"/>
        <v>0</v>
      </c>
      <c r="L810" s="1570" t="e">
        <f t="shared" si="268"/>
        <v>#DIV/0!</v>
      </c>
      <c r="M810" s="1442"/>
      <c r="N810" s="1647">
        <f>VLOOKUP($B810,[1]BOLETIM_SEL!$A:$H,3,0)</f>
        <v>38.46</v>
      </c>
      <c r="O810" s="1645">
        <f t="shared" si="272"/>
        <v>0</v>
      </c>
      <c r="Q810" s="832"/>
      <c r="R810" s="832"/>
      <c r="S810" s="832"/>
      <c r="T810" s="832"/>
      <c r="U810" s="832"/>
      <c r="V810" s="832"/>
      <c r="W810" s="832"/>
      <c r="X810" s="832"/>
    </row>
    <row r="811" spans="1:24" s="812" customFormat="1" ht="30" hidden="1" customHeight="1" x14ac:dyDescent="0.15">
      <c r="A811" s="2072">
        <f t="shared" ca="1" si="269"/>
        <v>10</v>
      </c>
      <c r="B811" s="833" t="str">
        <f>IF(M811="EAI","PA/0025",96401)</f>
        <v>PA/0025</v>
      </c>
      <c r="C811" s="2" t="str">
        <f>VLOOKUP($B811,[1]BOLETIM_SEL!$A:$H,2,0)</f>
        <v>COMPOSIÇÃO</v>
      </c>
      <c r="D811" s="315" t="str">
        <f>VLOOKUP($B811,[1]BOLETIM_SEL!$A:$H,4,0)</f>
        <v>Imprimação da base, execução e fornecimento de emulsão asfáltica EAI (REF. SINAPI COD. 102470)</v>
      </c>
      <c r="E811" s="2"/>
      <c r="F811" s="2" t="str">
        <f>VLOOKUP($B811,[1]BOLETIM_SEL!$A:$H,6,0)</f>
        <v>M2</v>
      </c>
      <c r="G811" s="1407">
        <f>+VLOOKUP($B811,[1]BOLETIM_SEL!$A:$H,7,0)</f>
        <v>5.23</v>
      </c>
      <c r="H811" s="1606">
        <f>+Ciclovia!J77</f>
        <v>0</v>
      </c>
      <c r="I811" s="876">
        <f t="shared" si="270"/>
        <v>6.38</v>
      </c>
      <c r="J811" s="1607">
        <f t="shared" si="271"/>
        <v>0</v>
      </c>
      <c r="K811" s="2069">
        <f t="shared" ca="1" si="267"/>
        <v>0</v>
      </c>
      <c r="L811" s="1570" t="e">
        <f t="shared" si="268"/>
        <v>#DIV/0!</v>
      </c>
      <c r="M811" s="1585" t="s">
        <v>2091</v>
      </c>
      <c r="N811" s="1647"/>
      <c r="O811" s="1645"/>
      <c r="Q811" s="832"/>
      <c r="R811" s="832"/>
      <c r="S811" s="832"/>
      <c r="T811" s="832"/>
      <c r="U811" s="832"/>
      <c r="V811" s="832"/>
      <c r="W811" s="832"/>
      <c r="X811" s="832"/>
    </row>
    <row r="812" spans="1:24" s="812" customFormat="1" ht="30" hidden="1" customHeight="1" x14ac:dyDescent="0.15">
      <c r="A812" s="2072">
        <f t="shared" ca="1" si="269"/>
        <v>10</v>
      </c>
      <c r="B812" s="833" t="s">
        <v>1772</v>
      </c>
      <c r="C812" s="2" t="str">
        <f>VLOOKUP($B812,[1]BOLETIM_SEL!$A:$H,2,0)</f>
        <v>COMPOSIÇÃO</v>
      </c>
      <c r="D812" s="315" t="str">
        <f>VLOOKUP($B812,[1]BOLETIM_SEL!$A:$H,4,0)</f>
        <v>Pintura de ligação, execução e fornecimento de emulsão asfáltica RR-1C (ref SINAPI cód 104375)</v>
      </c>
      <c r="E812" s="2"/>
      <c r="F812" s="2" t="str">
        <f>VLOOKUP($B812,[1]BOLETIM_SEL!$A:$H,6,0)</f>
        <v>M2</v>
      </c>
      <c r="G812" s="1407">
        <f>+VLOOKUP($B812,[1]BOLETIM_SEL!$A:$H,7,0)</f>
        <v>2.5099999999999998</v>
      </c>
      <c r="H812" s="1606">
        <f>+Ciclovia!J81</f>
        <v>0</v>
      </c>
      <c r="I812" s="876">
        <f t="shared" si="270"/>
        <v>3.06</v>
      </c>
      <c r="J812" s="1607">
        <f t="shared" si="271"/>
        <v>0</v>
      </c>
      <c r="K812" s="2069">
        <f t="shared" ca="1" si="267"/>
        <v>0</v>
      </c>
      <c r="L812" s="1570" t="e">
        <f t="shared" si="268"/>
        <v>#DIV/0!</v>
      </c>
      <c r="M812" s="1442">
        <f>+VLOOKUP($B812,[1]BOLETIM_SEL!$A:$H,5,0)</f>
        <v>0</v>
      </c>
      <c r="N812" s="1647"/>
      <c r="O812" s="1645"/>
      <c r="Q812" s="832"/>
      <c r="R812" s="832"/>
      <c r="S812" s="832"/>
      <c r="T812" s="832"/>
      <c r="U812" s="832"/>
      <c r="V812" s="832"/>
      <c r="W812" s="832"/>
      <c r="X812" s="832"/>
    </row>
    <row r="813" spans="1:24" s="812" customFormat="1" ht="39.950000000000003" hidden="1" customHeight="1" x14ac:dyDescent="0.15">
      <c r="A813" s="2072">
        <f t="shared" ca="1" si="269"/>
        <v>10</v>
      </c>
      <c r="B813" s="833" t="str">
        <f>IF(M813="COMERCIAL 50/70",95995,IF(M813="COMERCIAL 30/45","PA/0040",IF(M813="INSTALADA 50/70","PA/0042","PA/0041")))</f>
        <v>PA/0040</v>
      </c>
      <c r="C813" s="2" t="str">
        <f>VLOOKUP($B813,[1]BOLETIM_SEL!$A:$H,2,0)</f>
        <v>COMPOSIÇÃO</v>
      </c>
      <c r="D813" s="315" t="str">
        <f>VLOOKUP($B813,[1]BOLETIM_SEL!$A:$H,4,0)</f>
        <v>Construção de pavimento com aplicação de concreto betuminoso usinado à quente (CBUQ - faixa C - CAP 30/45 - usina comercial), camada de rolamento, exclusive transporte da mistura (REF. SINAPI COD. 95995)</v>
      </c>
      <c r="E813" s="2"/>
      <c r="F813" s="2" t="str">
        <f>VLOOKUP($B813,[1]BOLETIM_SEL!$A:$H,6,0)</f>
        <v>M3</v>
      </c>
      <c r="G813" s="1407">
        <f>+VLOOKUP($B813,[1]BOLETIM_SEL!$A:$H,7,0)</f>
        <v>1623.14</v>
      </c>
      <c r="H813" s="1606">
        <f>+Ciclovia!J85</f>
        <v>0</v>
      </c>
      <c r="I813" s="876">
        <f t="shared" si="270"/>
        <v>1980.23</v>
      </c>
      <c r="J813" s="1607">
        <f t="shared" si="271"/>
        <v>0</v>
      </c>
      <c r="K813" s="2069">
        <f t="shared" ca="1" si="267"/>
        <v>0</v>
      </c>
      <c r="L813" s="1570" t="e">
        <f t="shared" si="268"/>
        <v>#DIV/0!</v>
      </c>
      <c r="M813" s="1585" t="s">
        <v>2412</v>
      </c>
      <c r="N813" s="1647"/>
      <c r="O813" s="1645"/>
      <c r="Q813" s="832"/>
      <c r="R813" s="832"/>
      <c r="S813" s="832"/>
      <c r="T813" s="832"/>
      <c r="U813" s="832"/>
      <c r="V813" s="832"/>
      <c r="W813" s="832"/>
      <c r="X813" s="832"/>
    </row>
    <row r="814" spans="1:24" s="812" customFormat="1" ht="39.950000000000003" hidden="1" customHeight="1" x14ac:dyDescent="0.15">
      <c r="A814" s="2072">
        <f t="shared" ca="1" si="269"/>
        <v>10</v>
      </c>
      <c r="B814" s="833">
        <f>IF(M814="USINADO",94991,94990)</f>
        <v>94991</v>
      </c>
      <c r="C814" s="2" t="str">
        <f>+VLOOKUP($B814,[1]BOLETIM_SEL!$A:$H,2,0)</f>
        <v>SINAPI</v>
      </c>
      <c r="D814" s="315" t="str">
        <f>+VLOOKUP($B814,[1]BOLETIM_SEL!$A:$H,4,0)</f>
        <v>Execução de passeio (calçada) ou piso de concreto com concreto moldado in loco, usinado, acabamento convencional, não armado. AF_07/2016</v>
      </c>
      <c r="E814" s="2"/>
      <c r="F814" s="2" t="str">
        <f>+VLOOKUP($B814,[1]BOLETIM_SEL!$A:$H,6,0)</f>
        <v>M3</v>
      </c>
      <c r="G814" s="1407">
        <f>+VLOOKUP($B814,[1]BOLETIM_SEL!$A:$H,7,0)</f>
        <v>775.77</v>
      </c>
      <c r="H814" s="1606">
        <f>+Ciclovia!J94</f>
        <v>0</v>
      </c>
      <c r="I814" s="876">
        <f t="shared" si="270"/>
        <v>946.43</v>
      </c>
      <c r="J814" s="1607">
        <f t="shared" si="271"/>
        <v>0</v>
      </c>
      <c r="K814" s="2069">
        <f t="shared" ca="1" si="267"/>
        <v>0</v>
      </c>
      <c r="L814" s="1570" t="e">
        <f t="shared" si="268"/>
        <v>#DIV/0!</v>
      </c>
      <c r="M814" s="1585" t="s">
        <v>1852</v>
      </c>
      <c r="N814" s="1647"/>
      <c r="O814" s="1645"/>
      <c r="Q814" s="832"/>
      <c r="R814" s="832"/>
      <c r="S814" s="832"/>
      <c r="T814" s="832"/>
      <c r="U814" s="832"/>
      <c r="V814" s="832"/>
      <c r="W814" s="832"/>
      <c r="X814" s="832"/>
    </row>
    <row r="815" spans="1:24" s="812" customFormat="1" ht="39.950000000000003" hidden="1" customHeight="1" x14ac:dyDescent="0.15">
      <c r="A815" s="2072">
        <f t="shared" ca="1" si="269"/>
        <v>10</v>
      </c>
      <c r="B815" s="864">
        <v>92397</v>
      </c>
      <c r="C815" s="2" t="str">
        <f>+VLOOKUP($B815,[1]BOLETIM_SEL!$A:$H,2,0)</f>
        <v>SINAPI</v>
      </c>
      <c r="D815" s="315" t="str">
        <f>+VLOOKUP($B815,[1]BOLETIM_SEL!$A:$H,4,0)</f>
        <v>Execução de pavimento em piso intertravado, com bloco retangular cor natural de 20 x 10 cm, espessura 6 cm. AF_10/2022</v>
      </c>
      <c r="E815" s="2"/>
      <c r="F815" s="2" t="str">
        <f>+VLOOKUP($B815,[1]BOLETIM_SEL!$A:$H,6,0)</f>
        <v>M2</v>
      </c>
      <c r="G815" s="1407">
        <f>+VLOOKUP($B815,[1]BOLETIM_SEL!$A:$H,7,0)</f>
        <v>63.83</v>
      </c>
      <c r="H815" s="1606">
        <f>+Ciclovia!J98</f>
        <v>0</v>
      </c>
      <c r="I815" s="876">
        <f t="shared" si="270"/>
        <v>77.87</v>
      </c>
      <c r="J815" s="1607">
        <f t="shared" si="271"/>
        <v>0</v>
      </c>
      <c r="K815" s="2069">
        <f t="shared" ca="1" si="267"/>
        <v>0</v>
      </c>
      <c r="L815" s="1570" t="e">
        <f t="shared" si="268"/>
        <v>#DIV/0!</v>
      </c>
      <c r="M815" s="1442"/>
      <c r="N815" s="1647"/>
      <c r="O815" s="1645"/>
      <c r="Q815" s="832"/>
      <c r="R815" s="832"/>
      <c r="S815" s="832"/>
      <c r="T815" s="832"/>
      <c r="U815" s="832"/>
      <c r="V815" s="832"/>
      <c r="W815" s="832"/>
      <c r="X815" s="832"/>
    </row>
    <row r="816" spans="1:24" s="812" customFormat="1" ht="39.950000000000003" hidden="1" customHeight="1" x14ac:dyDescent="0.15">
      <c r="A816" s="2072">
        <f t="shared" ca="1" si="269"/>
        <v>10</v>
      </c>
      <c r="B816" s="833" t="str">
        <f>IF(M816="MANUAL","SC/0025","SC/0065")</f>
        <v>SC/0065</v>
      </c>
      <c r="C816" s="2" t="str">
        <f>VLOOKUP($B816,[1]BOLETIM_SEL!$A:$H,2,0)</f>
        <v>COMPOSIÇÃO</v>
      </c>
      <c r="D816" s="315" t="str">
        <f>VLOOKUP($B816,[1]BOLETIM_SEL!$A:$H,4,0)</f>
        <v>Guia para canteiro e ciclovia, concreto FCK = 15mpa, seção 150cm², moldado no local com extrusora, inclusive pintura a cal em uma demão</v>
      </c>
      <c r="E816" s="2"/>
      <c r="F816" s="2" t="str">
        <f>VLOOKUP($B816,[1]BOLETIM_SEL!$A:$H,6,0)</f>
        <v>M</v>
      </c>
      <c r="G816" s="1407">
        <f>+VLOOKUP($B816,[1]BOLETIM_SEL!$A:$H,7,0)</f>
        <v>16.489999999999998</v>
      </c>
      <c r="H816" s="1606">
        <f>+Ciclovia!J100</f>
        <v>0</v>
      </c>
      <c r="I816" s="876">
        <f t="shared" si="270"/>
        <v>20.11</v>
      </c>
      <c r="J816" s="1607">
        <f t="shared" si="271"/>
        <v>0</v>
      </c>
      <c r="K816" s="2069">
        <f t="shared" ca="1" si="267"/>
        <v>0</v>
      </c>
      <c r="L816" s="1570" t="e">
        <f t="shared" si="268"/>
        <v>#DIV/0!</v>
      </c>
      <c r="M816" s="1585" t="s">
        <v>1848</v>
      </c>
      <c r="N816" s="1647">
        <f>VLOOKUP($B816,[1]BOLETIM_SEL!$A:$H,3,0)</f>
        <v>26.88</v>
      </c>
      <c r="O816" s="1645">
        <f>+H816/N816</f>
        <v>0</v>
      </c>
      <c r="Q816" s="832"/>
      <c r="R816" s="832"/>
      <c r="S816" s="832"/>
      <c r="T816" s="832"/>
      <c r="U816" s="832"/>
      <c r="V816" s="832"/>
      <c r="W816" s="832"/>
      <c r="X816" s="832"/>
    </row>
    <row r="817" spans="1:24" s="812" customFormat="1" ht="30" hidden="1" customHeight="1" x14ac:dyDescent="0.15">
      <c r="A817" s="2072">
        <f t="shared" ca="1" si="269"/>
        <v>10</v>
      </c>
      <c r="B817" s="833" t="s">
        <v>275</v>
      </c>
      <c r="C817" s="2" t="str">
        <f>VLOOKUP($B817,[1]BOLETIM_SEL!$A:$H,2,0)</f>
        <v>COMPOSIÇÃO</v>
      </c>
      <c r="D817" s="315" t="str">
        <f>VLOOKUP($B817,[1]BOLETIM_SEL!$A:$H,4,0)</f>
        <v xml:space="preserve">Tento (acabamento de limpa-rodas), concreto FCK = 15 mpa, seção 330cm², moldado no local, inclusive escavação </v>
      </c>
      <c r="E817" s="2"/>
      <c r="F817" s="2" t="str">
        <f>VLOOKUP($B817,[1]BOLETIM_SEL!$A:$H,6,0)</f>
        <v>M</v>
      </c>
      <c r="G817" s="1407">
        <f>+VLOOKUP($B817,[1]BOLETIM_SEL!$A:$H,7,0)</f>
        <v>29.1</v>
      </c>
      <c r="H817" s="1606">
        <f>+Ciclovia!J101</f>
        <v>0</v>
      </c>
      <c r="I817" s="876">
        <f t="shared" si="270"/>
        <v>35.5</v>
      </c>
      <c r="J817" s="1607">
        <f t="shared" si="271"/>
        <v>0</v>
      </c>
      <c r="K817" s="2069">
        <f t="shared" ca="1" si="267"/>
        <v>0</v>
      </c>
      <c r="L817" s="1570" t="e">
        <f t="shared" si="268"/>
        <v>#DIV/0!</v>
      </c>
      <c r="M817" s="1442"/>
      <c r="N817" s="1647">
        <f>VLOOKUP($B817,[1]BOLETIM_SEL!$A:$H,3,0)</f>
        <v>20.61</v>
      </c>
      <c r="O817" s="1645">
        <f>+H817/N817</f>
        <v>0</v>
      </c>
      <c r="Q817" s="832"/>
      <c r="R817" s="832"/>
      <c r="S817" s="832"/>
      <c r="T817" s="832"/>
      <c r="U817" s="832"/>
      <c r="V817" s="832"/>
      <c r="W817" s="832"/>
      <c r="X817" s="832"/>
    </row>
    <row r="818" spans="1:24" s="812" customFormat="1" ht="39.950000000000003" hidden="1" customHeight="1" x14ac:dyDescent="0.15">
      <c r="A818" s="2072">
        <f t="shared" ca="1" si="269"/>
        <v>10</v>
      </c>
      <c r="B818" s="833" t="str">
        <f>IF(M818="MANUAL","SC/0005","SC/0045")</f>
        <v>SC/0005</v>
      </c>
      <c r="C818" s="2" t="str">
        <f>VLOOKUP($B818,[1]BOLETIM_SEL!$A:$H,2,0)</f>
        <v>COMPOSIÇÃO</v>
      </c>
      <c r="D818" s="315" t="str">
        <f>VLOOKUP($B818,[1]BOLETIM_SEL!$A:$H,4,0)</f>
        <v>Meio-fio (guia) com sarjeta, concreto FCK = 15mpa, seção 615 cm², moldado no local, inclusive escavação e pintura a cal em uma demão</v>
      </c>
      <c r="E818" s="2"/>
      <c r="F818" s="2" t="str">
        <f>VLOOKUP($B818,[1]BOLETIM_SEL!$A:$H,6,0)</f>
        <v>M</v>
      </c>
      <c r="G818" s="1407">
        <f>+VLOOKUP($B818,[1]BOLETIM_SEL!$A:$H,7,0)</f>
        <v>54.04</v>
      </c>
      <c r="H818" s="1606">
        <f>+Ciclovia!J102</f>
        <v>0</v>
      </c>
      <c r="I818" s="876">
        <f t="shared" si="270"/>
        <v>65.92</v>
      </c>
      <c r="J818" s="1607">
        <f t="shared" si="271"/>
        <v>0</v>
      </c>
      <c r="K818" s="2069">
        <f t="shared" ca="1" si="267"/>
        <v>0</v>
      </c>
      <c r="L818" s="1570" t="e">
        <f t="shared" si="268"/>
        <v>#DIV/0!</v>
      </c>
      <c r="M818" s="1585" t="s">
        <v>9</v>
      </c>
      <c r="N818" s="1647">
        <f>VLOOKUP($B818,[1]BOLETIM_SEL!$A:$H,3,0)</f>
        <v>11.06</v>
      </c>
      <c r="O818" s="1645">
        <f>+H818/N818</f>
        <v>0</v>
      </c>
      <c r="Q818" s="832"/>
      <c r="R818" s="832"/>
      <c r="S818" s="832"/>
      <c r="T818" s="832"/>
      <c r="U818" s="832"/>
      <c r="V818" s="832"/>
      <c r="W818" s="832"/>
      <c r="X818" s="832"/>
    </row>
    <row r="819" spans="1:24" s="812" customFormat="1" ht="39.950000000000003" hidden="1" customHeight="1" x14ac:dyDescent="0.15">
      <c r="A819" s="2072">
        <f t="shared" ca="1" si="269"/>
        <v>10</v>
      </c>
      <c r="B819" s="833" t="str">
        <f>IF(M819="MANUAL","SC/0010","SC/0055")</f>
        <v>SC/0055</v>
      </c>
      <c r="C819" s="2" t="str">
        <f>VLOOKUP($B819,[1]BOLETIM_SEL!$A:$H,2,0)</f>
        <v>COMPOSIÇÃO</v>
      </c>
      <c r="D819" s="315" t="str">
        <f>VLOOKUP($B819,[1]BOLETIM_SEL!$A:$H,4,0)</f>
        <v>Meio-fio (guia) simples, concreto FCK = 20mpa, seção 285 cm², moldado no local em trecho reto com extrusora, inclusive pintura a cal em uma demão</v>
      </c>
      <c r="E819" s="2"/>
      <c r="F819" s="2" t="str">
        <f>VLOOKUP($B819,[1]BOLETIM_SEL!$A:$H,6,0)</f>
        <v>M</v>
      </c>
      <c r="G819" s="1407">
        <f>+VLOOKUP($B819,[1]BOLETIM_SEL!$A:$H,7,0)</f>
        <v>37.32</v>
      </c>
      <c r="H819" s="1606">
        <f>+Ciclovia!J103</f>
        <v>0</v>
      </c>
      <c r="I819" s="876">
        <f t="shared" si="270"/>
        <v>45.53</v>
      </c>
      <c r="J819" s="1607">
        <f t="shared" si="271"/>
        <v>0</v>
      </c>
      <c r="K819" s="2069">
        <f t="shared" ca="1" si="267"/>
        <v>0</v>
      </c>
      <c r="L819" s="1570" t="e">
        <f t="shared" si="268"/>
        <v>#DIV/0!</v>
      </c>
      <c r="M819" s="1585" t="s">
        <v>1848</v>
      </c>
      <c r="N819" s="1647">
        <f>VLOOKUP($B819,[1]BOLETIM_SEL!$A:$H,3,0)</f>
        <v>11.9</v>
      </c>
      <c r="O819" s="1645">
        <f>+H819/N819</f>
        <v>0</v>
      </c>
      <c r="Q819" s="832"/>
      <c r="R819" s="832"/>
      <c r="S819" s="832"/>
      <c r="T819" s="832"/>
      <c r="U819" s="832"/>
      <c r="V819" s="832"/>
      <c r="W819" s="832"/>
      <c r="X819" s="832"/>
    </row>
    <row r="820" spans="1:24" s="812" customFormat="1" ht="30" hidden="1" customHeight="1" x14ac:dyDescent="0.15">
      <c r="A820" s="2072">
        <f t="shared" ca="1" si="269"/>
        <v>10</v>
      </c>
      <c r="B820" s="833" t="s">
        <v>1815</v>
      </c>
      <c r="C820" s="2" t="str">
        <f>VLOOKUP($B820,[1]BOLETIM_SEL!$A:$H,2,0)</f>
        <v>COMPOSIÇÃO</v>
      </c>
      <c r="D820" s="315" t="str">
        <f>VLOOKUP($B820,[1]BOLETIM_SEL!$A:$H,4,0)</f>
        <v>Sarjeta em concreto FCK = 15mpa, seção 330cm², moldada no local, exclusive escavação</v>
      </c>
      <c r="E820" s="2"/>
      <c r="F820" s="2" t="str">
        <f>VLOOKUP($B820,[1]BOLETIM_SEL!$A:$H,6,0)</f>
        <v>M</v>
      </c>
      <c r="G820" s="1407">
        <f>+VLOOKUP($B820,[1]BOLETIM_SEL!$A:$H,7,0)</f>
        <v>31.42</v>
      </c>
      <c r="H820" s="1606">
        <f>+Ciclovia!J104</f>
        <v>0</v>
      </c>
      <c r="I820" s="876">
        <f t="shared" si="270"/>
        <v>38.33</v>
      </c>
      <c r="J820" s="1607">
        <f t="shared" si="271"/>
        <v>0</v>
      </c>
      <c r="K820" s="2069">
        <f t="shared" ca="1" si="267"/>
        <v>0</v>
      </c>
      <c r="L820" s="1570" t="e">
        <f t="shared" si="268"/>
        <v>#DIV/0!</v>
      </c>
      <c r="M820" s="1442"/>
      <c r="N820" s="1647">
        <f>VLOOKUP($B820,[1]BOLETIM_SEL!$A:$H,3,0)</f>
        <v>20.61</v>
      </c>
      <c r="O820" s="1645">
        <f>+H820/N820</f>
        <v>0</v>
      </c>
      <c r="Q820" s="832"/>
      <c r="R820" s="832"/>
      <c r="S820" s="832"/>
      <c r="T820" s="832"/>
      <c r="U820" s="832"/>
      <c r="V820" s="832"/>
      <c r="W820" s="832"/>
      <c r="X820" s="832"/>
    </row>
    <row r="821" spans="1:24" s="812" customFormat="1" ht="39.950000000000003" hidden="1" customHeight="1" x14ac:dyDescent="0.15">
      <c r="A821" s="2072">
        <f t="shared" ca="1" si="269"/>
        <v>10</v>
      </c>
      <c r="B821" s="833">
        <v>6079</v>
      </c>
      <c r="C821" s="2" t="str">
        <f>VLOOKUP($B821,[1]BOLETIM_SEL!$A:$H,2,0)</f>
        <v>COTAÇÃO - SINAPI</v>
      </c>
      <c r="D821" s="315" t="str">
        <f>VLOOKUP($B821,[1]BOLETIM_SEL!$A:$H,4,0)</f>
        <v>Argila, argila vermelha ou argila arenosa (retirada na jazida, sem transporte)</v>
      </c>
      <c r="E821" s="2221" t="s">
        <v>2632</v>
      </c>
      <c r="F821" s="2" t="str">
        <f>VLOOKUP($B821,[1]BOLETIM_SEL!$A:$H,6,0)</f>
        <v xml:space="preserve">M3    </v>
      </c>
      <c r="G821" s="1407">
        <f>+VLOOKUP($B821,[1]BOLETIM_SEL!$A:$H,7,0)</f>
        <v>36.51</v>
      </c>
      <c r="H821" s="1606">
        <f>IF(M821="COMERCIAL",Ciclovia!J51+Ciclovia!J71,0)</f>
        <v>0</v>
      </c>
      <c r="I821" s="2222">
        <f t="shared" ref="I821:I823" si="273">TRUNC(G821*(1+$J$6),2)</f>
        <v>42.08</v>
      </c>
      <c r="J821" s="1607">
        <f t="shared" si="271"/>
        <v>0</v>
      </c>
      <c r="K821" s="2069">
        <f t="shared" ca="1" si="267"/>
        <v>0</v>
      </c>
      <c r="L821" s="1570" t="e">
        <f t="shared" si="268"/>
        <v>#DIV/0!</v>
      </c>
      <c r="M821" s="1585" t="s">
        <v>1904</v>
      </c>
      <c r="N821" s="832"/>
      <c r="O821" s="832"/>
      <c r="Q821" s="832"/>
      <c r="R821" s="832"/>
      <c r="S821" s="832"/>
      <c r="T821" s="832"/>
      <c r="U821" s="832"/>
      <c r="V821" s="832"/>
      <c r="W821" s="832"/>
      <c r="X821" s="832"/>
    </row>
    <row r="822" spans="1:24" s="812" customFormat="1" ht="39.950000000000003" hidden="1" customHeight="1" x14ac:dyDescent="0.15">
      <c r="A822" s="2072">
        <f t="shared" ca="1" si="269"/>
        <v>10</v>
      </c>
      <c r="B822" s="833">
        <v>4721</v>
      </c>
      <c r="C822" s="2" t="str">
        <f>VLOOKUP($B822,[1]BOLETIM_SEL!$A:$H,2,0)</f>
        <v>COTAÇÃO - SINAPI</v>
      </c>
      <c r="D822" s="315" t="str">
        <f>VLOOKUP($B822,[1]BOLETIM_SEL!$A:$H,4,0)</f>
        <v>Pedra britada n. 1 (9,5 A 19 mm) posto pedreira/fornecedor, sem frete</v>
      </c>
      <c r="E822" s="2221" t="s">
        <v>2632</v>
      </c>
      <c r="F822" s="2" t="str">
        <f>VLOOKUP($B822,[1]BOLETIM_SEL!$A:$H,6,0)</f>
        <v xml:space="preserve">M3    </v>
      </c>
      <c r="G822" s="1407">
        <f>+VLOOKUP($B822,[1]BOLETIM_SEL!$A:$H,7,0)</f>
        <v>104.45</v>
      </c>
      <c r="H822" s="1606">
        <f>IF(M822="COMERCIAL",Ciclovia!J72,0)</f>
        <v>0</v>
      </c>
      <c r="I822" s="2222">
        <f t="shared" si="273"/>
        <v>120.4</v>
      </c>
      <c r="J822" s="1607">
        <f t="shared" si="271"/>
        <v>0</v>
      </c>
      <c r="K822" s="2069">
        <f t="shared" ca="1" si="267"/>
        <v>0</v>
      </c>
      <c r="L822" s="1570" t="e">
        <f t="shared" si="268"/>
        <v>#DIV/0!</v>
      </c>
      <c r="M822" s="1585" t="s">
        <v>410</v>
      </c>
      <c r="N822" s="832"/>
      <c r="O822" s="832"/>
      <c r="Q822" s="832"/>
      <c r="R822" s="832"/>
      <c r="S822" s="832"/>
      <c r="T822" s="832"/>
      <c r="U822" s="832"/>
      <c r="V822" s="832"/>
      <c r="W822" s="832"/>
      <c r="X822" s="832"/>
    </row>
    <row r="823" spans="1:24" s="812" customFormat="1" ht="39.950000000000003" hidden="1" customHeight="1" x14ac:dyDescent="0.15">
      <c r="A823" s="2072">
        <f t="shared" ca="1" si="269"/>
        <v>10</v>
      </c>
      <c r="B823" s="833">
        <v>4743</v>
      </c>
      <c r="C823" s="2" t="str">
        <f>VLOOKUP($B823,[1]BOLETIM_SEL!$A:$H,2,0)</f>
        <v>COTAÇÃO - SINAPI</v>
      </c>
      <c r="D823" s="315" t="str">
        <f>VLOOKUP($B823,[1]BOLETIM_SEL!$A:$H,4,0)</f>
        <v>Cascalho de cava</v>
      </c>
      <c r="E823" s="2221" t="s">
        <v>2632</v>
      </c>
      <c r="F823" s="2" t="str">
        <f>VLOOKUP($B823,[1]BOLETIM_SEL!$A:$H,6,0)</f>
        <v xml:space="preserve">M3    </v>
      </c>
      <c r="G823" s="1407">
        <f>+VLOOKUP($B823,[1]BOLETIM_SEL!$A:$H,7,0)</f>
        <v>60.9</v>
      </c>
      <c r="H823" s="1606">
        <f>IF(M823="COMERCIAL",Ciclovia!J73,0)</f>
        <v>0</v>
      </c>
      <c r="I823" s="2222">
        <f t="shared" si="273"/>
        <v>70.2</v>
      </c>
      <c r="J823" s="1607">
        <f t="shared" si="271"/>
        <v>0</v>
      </c>
      <c r="K823" s="2069">
        <f t="shared" ca="1" si="267"/>
        <v>0</v>
      </c>
      <c r="L823" s="1570" t="e">
        <f t="shared" si="268"/>
        <v>#DIV/0!</v>
      </c>
      <c r="M823" s="1585" t="s">
        <v>410</v>
      </c>
      <c r="N823" s="832"/>
      <c r="O823" s="832"/>
      <c r="Q823" s="832"/>
      <c r="R823" s="832"/>
      <c r="S823" s="832"/>
      <c r="T823" s="832"/>
      <c r="U823" s="832"/>
      <c r="V823" s="832"/>
      <c r="W823" s="832"/>
      <c r="X823" s="832"/>
    </row>
    <row r="824" spans="1:24" s="812" customFormat="1" ht="39.950000000000003" hidden="1" customHeight="1" x14ac:dyDescent="0.15">
      <c r="A824" s="2072">
        <f t="shared" ca="1" si="269"/>
        <v>10</v>
      </c>
      <c r="B824" s="833">
        <v>4748</v>
      </c>
      <c r="C824" s="2" t="str">
        <f>VLOOKUP($B824,[1]BOLETIM_SEL!$A:$H,2,0)</f>
        <v>COTAÇÃO - SINAPI</v>
      </c>
      <c r="D824" s="315" t="str">
        <f>VLOOKUP($B824,[1]BOLETIM_SEL!$A:$H,4,0)</f>
        <v>Pedra britada ou bica corrida, não classificada (posto pedreira/fornecedor, sem frete)</v>
      </c>
      <c r="E824" s="2221" t="s">
        <v>2632</v>
      </c>
      <c r="F824" s="2" t="str">
        <f>VLOOKUP($B824,[1]BOLETIM_SEL!$A:$H,6,0)</f>
        <v xml:space="preserve">M3    </v>
      </c>
      <c r="G824" s="1407">
        <f>+VLOOKUP($B824,[1]BOLETIM_SEL!$A:$H,7,0)</f>
        <v>96.47</v>
      </c>
      <c r="H824" s="1606">
        <f>+Ciclovia!J74</f>
        <v>0</v>
      </c>
      <c r="I824" s="2222">
        <f>TRUNC(G824*(1+$J$6),2)</f>
        <v>111.21</v>
      </c>
      <c r="J824" s="1607">
        <f t="shared" si="271"/>
        <v>0</v>
      </c>
      <c r="K824" s="2069">
        <f t="shared" ca="1" si="267"/>
        <v>0</v>
      </c>
      <c r="L824" s="1570" t="e">
        <f t="shared" si="268"/>
        <v>#DIV/0!</v>
      </c>
      <c r="M824" s="1442"/>
      <c r="N824" s="832"/>
      <c r="O824" s="832"/>
      <c r="Q824" s="832"/>
      <c r="R824" s="832"/>
      <c r="S824" s="832"/>
      <c r="T824" s="832"/>
      <c r="U824" s="832"/>
      <c r="V824" s="832"/>
      <c r="W824" s="832"/>
      <c r="X824" s="832"/>
    </row>
    <row r="825" spans="1:24" s="812" customFormat="1" ht="39.950000000000003" hidden="1" customHeight="1" x14ac:dyDescent="0.15">
      <c r="A825" s="2072">
        <f t="shared" ca="1" si="269"/>
        <v>10</v>
      </c>
      <c r="B825" s="833">
        <f>IF(M825="escavadeira",100978,100974)</f>
        <v>100978</v>
      </c>
      <c r="C825" s="2" t="str">
        <f>VLOOKUP($B825,[1]BOLETIM_SEL!$A:$H,2,0)</f>
        <v>SINAPI</v>
      </c>
      <c r="D825" s="315" t="str">
        <f>VLOOKUP($B825,[1]BOLETIM_SEL!$A:$H,4,0)</f>
        <v>Carga, manobra e descarga de solos e materiais granulares em caminhão basculante 10 m3 - carga com escavadeira hidráulica (capacidade da caçamba: 1,20 m3 / potência: 155 HP) e descarga livre (unidade: m3). AF_07/2020</v>
      </c>
      <c r="E825" s="2"/>
      <c r="F825" s="2" t="str">
        <f>VLOOKUP($B825,[1]BOLETIM_SEL!$A:$H,6,0)</f>
        <v>M3</v>
      </c>
      <c r="G825" s="1407">
        <f>+VLOOKUP($B825,[1]BOLETIM_SEL!$A:$H,7,0)</f>
        <v>6.71</v>
      </c>
      <c r="H825" s="1606">
        <f>+Ciclovia!J110+IF(Ciclovia!J111&lt;=50,Ciclovia!J111,0)</f>
        <v>0</v>
      </c>
      <c r="I825" s="876">
        <f>+TRUNC(G825*(1+$J$5),2)</f>
        <v>8.18</v>
      </c>
      <c r="J825" s="1607">
        <f t="shared" si="271"/>
        <v>0</v>
      </c>
      <c r="K825" s="2069">
        <f t="shared" ca="1" si="267"/>
        <v>0</v>
      </c>
      <c r="L825" s="1570" t="e">
        <f t="shared" si="268"/>
        <v>#DIV/0!</v>
      </c>
      <c r="M825" s="1585" t="s">
        <v>2094</v>
      </c>
      <c r="N825" s="832"/>
      <c r="O825" s="832"/>
      <c r="Q825" s="832"/>
      <c r="R825" s="832"/>
      <c r="S825" s="832"/>
      <c r="T825" s="832"/>
      <c r="U825" s="832"/>
      <c r="V825" s="832"/>
      <c r="W825" s="832"/>
      <c r="X825" s="832"/>
    </row>
    <row r="826" spans="1:24" s="812" customFormat="1" ht="39.950000000000003" hidden="1" customHeight="1" x14ac:dyDescent="0.15">
      <c r="A826" s="2072">
        <f t="shared" ca="1" si="269"/>
        <v>10</v>
      </c>
      <c r="B826" s="833">
        <f>IF(M826="escavadeira",100979,100975)</f>
        <v>100979</v>
      </c>
      <c r="C826" s="2" t="str">
        <f>VLOOKUP($B826,[1]BOLETIM_SEL!$A:$H,2,0)</f>
        <v>SINAPI</v>
      </c>
      <c r="D826" s="315" t="str">
        <f>VLOOKUP($B826,[1]BOLETIM_SEL!$A:$H,4,0)</f>
        <v>Carga, manobra e descarga de solos e materiais granulares em caminhão basculante 14 m3 - carga com escavadeira hidráulica (capacidade da caçamba: 1,20 m3 / potência: 155 HP) e descarga livre (unidade: m3). AF_07/2020</v>
      </c>
      <c r="E826" s="2"/>
      <c r="F826" s="2" t="str">
        <f>VLOOKUP($B826,[1]BOLETIM_SEL!$A:$H,6,0)</f>
        <v>M3</v>
      </c>
      <c r="G826" s="1407">
        <f>+VLOOKUP($B826,[1]BOLETIM_SEL!$A:$H,7,0)</f>
        <v>6.46</v>
      </c>
      <c r="H826" s="1606">
        <f>+IF(Ciclovia!J111&gt;50,Ciclovia!J111,0)</f>
        <v>0</v>
      </c>
      <c r="I826" s="876">
        <f>+TRUNC(G826*(1+$J$5),2)</f>
        <v>7.88</v>
      </c>
      <c r="J826" s="1607">
        <f t="shared" si="271"/>
        <v>0</v>
      </c>
      <c r="K826" s="2069">
        <f t="shared" ca="1" si="267"/>
        <v>0</v>
      </c>
      <c r="L826" s="1570" t="e">
        <f t="shared" si="268"/>
        <v>#DIV/0!</v>
      </c>
      <c r="M826" s="1585" t="s">
        <v>2094</v>
      </c>
      <c r="N826" s="832"/>
      <c r="O826" s="832"/>
      <c r="Q826" s="832"/>
      <c r="R826" s="832"/>
      <c r="S826" s="832"/>
      <c r="T826" s="832"/>
      <c r="U826" s="832"/>
      <c r="V826" s="832"/>
      <c r="W826" s="832"/>
      <c r="X826" s="832"/>
    </row>
    <row r="827" spans="1:24" s="812" customFormat="1" ht="24.95" hidden="1" customHeight="1" x14ac:dyDescent="0.15">
      <c r="A827" s="2072"/>
      <c r="B827" s="833"/>
      <c r="C827" s="2"/>
      <c r="D827" s="1449" t="s">
        <v>1798</v>
      </c>
      <c r="E827" s="2"/>
      <c r="F827" s="2"/>
      <c r="G827" s="1407"/>
      <c r="H827" s="2"/>
      <c r="I827" s="838" t="str">
        <f>IF(I828=0,"-","")</f>
        <v/>
      </c>
      <c r="J827" s="838" t="str">
        <f>IF(J828=0,"-","")</f>
        <v>-</v>
      </c>
      <c r="K827" s="2069"/>
      <c r="L827" s="1570"/>
      <c r="M827" s="1442" t="s">
        <v>1942</v>
      </c>
      <c r="N827" s="832"/>
      <c r="O827" s="832"/>
      <c r="Q827" s="832"/>
      <c r="R827" s="832"/>
      <c r="S827" s="832"/>
      <c r="T827" s="832"/>
      <c r="U827" s="832"/>
      <c r="V827" s="832"/>
      <c r="W827" s="832"/>
      <c r="X827" s="832"/>
    </row>
    <row r="828" spans="1:24" s="812" customFormat="1" ht="39.950000000000003" hidden="1" customHeight="1" x14ac:dyDescent="0.15">
      <c r="A828" s="2072">
        <f ca="1">+IF(H828&gt;0,A826+0.01,A826)</f>
        <v>10</v>
      </c>
      <c r="B828" s="833">
        <f>IF(AND(M828&lt;=50,E828&lt;=30),95875,IF(AND(M828&lt;=50,E828&gt;30),93590,IF(AND(M828&gt;50,E828&lt;=30),95876,93593)))</f>
        <v>95875</v>
      </c>
      <c r="C828" s="2" t="str">
        <f>VLOOKUP($B828,[1]BOLETIM_SEL!$A:$H,2,0)</f>
        <v>SINAPI</v>
      </c>
      <c r="D828" s="315" t="str">
        <f>VLOOKUP($B828,[1]BOLETIM_SEL!$A:$H,4,0)</f>
        <v>Transporte com caminhão basculante de 10 m3, em via urbana pavimentada, DMT até 30,00 km (unidade: m3xkm). AF_07/2020</v>
      </c>
      <c r="E828" s="2">
        <f>Dados_DMT!$B$17</f>
        <v>8</v>
      </c>
      <c r="F828" s="2" t="str">
        <f>VLOOKUP($B828,[1]BOLETIM_SEL!$A:$H,6,0)</f>
        <v>M3XKM</v>
      </c>
      <c r="G828" s="1407">
        <f>+VLOOKUP($B828,[1]BOLETIM_SEL!$A:$H,7,0)</f>
        <v>2.36</v>
      </c>
      <c r="H828" s="1606">
        <f>ROUND(Ciclovia!J114*E828,2)</f>
        <v>0</v>
      </c>
      <c r="I828" s="876">
        <f>+TRUNC(G828*(1+$J$5),2)</f>
        <v>2.87</v>
      </c>
      <c r="J828" s="1607">
        <f>TRUNC(H828*I828,2)</f>
        <v>0</v>
      </c>
      <c r="K828" s="2069">
        <f ca="1">+J828/J$930</f>
        <v>0</v>
      </c>
      <c r="L828" s="1570" t="e">
        <f>+J828/$J$796</f>
        <v>#DIV/0!</v>
      </c>
      <c r="M828" s="1450">
        <f>IF(H828=0,0,H828/E828)</f>
        <v>0</v>
      </c>
      <c r="N828" s="832"/>
      <c r="O828" s="832"/>
      <c r="Q828" s="832"/>
      <c r="R828" s="832"/>
      <c r="S828" s="832"/>
      <c r="T828" s="832"/>
      <c r="U828" s="832"/>
      <c r="V828" s="832"/>
      <c r="W828" s="832"/>
      <c r="X828" s="832"/>
    </row>
    <row r="829" spans="1:24" s="812" customFormat="1" ht="24.95" hidden="1" customHeight="1" x14ac:dyDescent="0.15">
      <c r="A829" s="2072"/>
      <c r="B829" s="833"/>
      <c r="C829" s="2"/>
      <c r="D829" s="1449" t="s">
        <v>1939</v>
      </c>
      <c r="E829" s="2"/>
      <c r="F829" s="2"/>
      <c r="G829" s="1407"/>
      <c r="H829" s="2"/>
      <c r="I829" s="838" t="str">
        <f>IF(I830=0,"-","")</f>
        <v/>
      </c>
      <c r="J829" s="838" t="str">
        <f>IF(J830=0,"-","")</f>
        <v>-</v>
      </c>
      <c r="K829" s="2069"/>
      <c r="L829" s="1570"/>
      <c r="N829" s="832"/>
      <c r="O829" s="832"/>
      <c r="Q829" s="832"/>
      <c r="R829" s="832"/>
      <c r="S829" s="832"/>
      <c r="T829" s="832"/>
      <c r="U829" s="832"/>
      <c r="V829" s="832"/>
      <c r="W829" s="832"/>
      <c r="X829" s="832"/>
    </row>
    <row r="830" spans="1:24" s="812" customFormat="1" ht="39.950000000000003" hidden="1" customHeight="1" x14ac:dyDescent="0.15">
      <c r="A830" s="2072">
        <f ca="1">+IF(H830&gt;0,A828+0.01,A828)</f>
        <v>10</v>
      </c>
      <c r="B830" s="833">
        <f>IF(AND(M830&lt;=50,E830&lt;=30),95875,IF(AND(M830&lt;=50,E830&gt;30),93590,IF(AND(M830&gt;50,E830&lt;=30),95876,93593)))</f>
        <v>95875</v>
      </c>
      <c r="C830" s="2" t="str">
        <f>VLOOKUP($B830,[1]BOLETIM_SEL!$A:$H,2,0)</f>
        <v>SINAPI</v>
      </c>
      <c r="D830" s="315" t="str">
        <f>VLOOKUP($B830,[1]BOLETIM_SEL!$A:$H,4,0)</f>
        <v>Transporte com caminhão basculante de 10 m3, em via urbana pavimentada, DMT até 30,00 km (unidade: m3xkm). AF_07/2020</v>
      </c>
      <c r="E830" s="2">
        <f>+Dados_DMT!$B$14</f>
        <v>7</v>
      </c>
      <c r="F830" s="2" t="str">
        <f>VLOOKUP($B830,[1]BOLETIM_SEL!$A:$H,6,0)</f>
        <v>M3XKM</v>
      </c>
      <c r="G830" s="1407">
        <f>+VLOOKUP($B830,[1]BOLETIM_SEL!$A:$H,7,0)</f>
        <v>2.36</v>
      </c>
      <c r="H830" s="1606">
        <f>ROUND(Ciclovia!J115*E830,2)</f>
        <v>0</v>
      </c>
      <c r="I830" s="876">
        <f>+TRUNC(G830*(1+$J$5),2)</f>
        <v>2.87</v>
      </c>
      <c r="J830" s="1607">
        <f>TRUNC(H830*I830,2)</f>
        <v>0</v>
      </c>
      <c r="K830" s="2069">
        <f ca="1">+J830/J$930</f>
        <v>0</v>
      </c>
      <c r="L830" s="1570" t="e">
        <f>+J830/$J$796</f>
        <v>#DIV/0!</v>
      </c>
      <c r="M830" s="1450">
        <f>IF(H830=0,0,H830/E830)</f>
        <v>0</v>
      </c>
      <c r="N830" s="832"/>
      <c r="O830" s="832"/>
      <c r="Q830" s="832"/>
      <c r="R830" s="832"/>
      <c r="S830" s="832"/>
      <c r="T830" s="832"/>
      <c r="U830" s="832"/>
      <c r="V830" s="832"/>
      <c r="W830" s="832"/>
      <c r="X830" s="832"/>
    </row>
    <row r="831" spans="1:24" s="812" customFormat="1" ht="24.95" hidden="1" customHeight="1" x14ac:dyDescent="0.15">
      <c r="A831" s="2072"/>
      <c r="B831" s="833"/>
      <c r="C831" s="2"/>
      <c r="D831" s="1449" t="s">
        <v>1894</v>
      </c>
      <c r="E831" s="2"/>
      <c r="F831" s="2"/>
      <c r="G831" s="1407"/>
      <c r="H831" s="2"/>
      <c r="I831" s="838"/>
      <c r="J831" s="838" t="str">
        <f>IF(J832=0,"-","")</f>
        <v>-</v>
      </c>
      <c r="K831" s="2069"/>
      <c r="L831" s="1570"/>
      <c r="M831" s="1442" t="s">
        <v>1669</v>
      </c>
      <c r="N831" s="832"/>
      <c r="O831" s="832"/>
      <c r="Q831" s="832"/>
      <c r="R831" s="832"/>
      <c r="S831" s="832"/>
      <c r="T831" s="832"/>
      <c r="U831" s="832"/>
      <c r="V831" s="832"/>
      <c r="W831" s="832"/>
      <c r="X831" s="832"/>
    </row>
    <row r="832" spans="1:24" s="812" customFormat="1" ht="30" hidden="1" customHeight="1" x14ac:dyDescent="0.15">
      <c r="A832" s="2072">
        <f ca="1">+IF(H832&gt;0,A830+0.01,A830)</f>
        <v>10</v>
      </c>
      <c r="B832" s="833">
        <v>100938</v>
      </c>
      <c r="C832" s="2" t="str">
        <f>VLOOKUP($B832,[1]BOLETIM_SEL!$A:$H,2,0)</f>
        <v>SINAPI</v>
      </c>
      <c r="D832" s="315" t="str">
        <f>VLOOKUP($B832,[1]BOLETIM_SEL!$A:$H,4,0)</f>
        <v>Transporte com caminhão basculante de 10 m3, em via interna (dentro do canteiro - unidade: m3xkm). AF_07/2020</v>
      </c>
      <c r="E832" s="2">
        <f>+Dados_DMT!$B$15</f>
        <v>1</v>
      </c>
      <c r="F832" s="2" t="str">
        <f>VLOOKUP($B832,[1]BOLETIM_SEL!$A:$H,6,0)</f>
        <v>M3XKM</v>
      </c>
      <c r="G832" s="1407">
        <f>+VLOOKUP($B832,[1]BOLETIM_SEL!$A:$H,7,0)</f>
        <v>7.11</v>
      </c>
      <c r="H832" s="1606">
        <f>ROUND(Ciclovia!J126*E832,2)</f>
        <v>0</v>
      </c>
      <c r="I832" s="876">
        <f>+TRUNC(G832*(1+$J$5),2)</f>
        <v>8.67</v>
      </c>
      <c r="J832" s="1607">
        <f>TRUNC(H832*I832,2)</f>
        <v>0</v>
      </c>
      <c r="K832" s="2069">
        <f ca="1">+J832/J$930</f>
        <v>0</v>
      </c>
      <c r="L832" s="1570" t="e">
        <f>+J832/$J$796</f>
        <v>#DIV/0!</v>
      </c>
      <c r="M832" s="1442"/>
      <c r="N832" s="832"/>
      <c r="O832" s="832"/>
      <c r="Q832" s="832"/>
      <c r="R832" s="832"/>
      <c r="S832" s="832"/>
      <c r="T832" s="832"/>
      <c r="U832" s="832"/>
      <c r="V832" s="832"/>
      <c r="W832" s="832"/>
      <c r="X832" s="832"/>
    </row>
    <row r="833" spans="1:24" s="812" customFormat="1" ht="24.95" hidden="1" customHeight="1" x14ac:dyDescent="0.15">
      <c r="A833" s="2072"/>
      <c r="B833" s="833"/>
      <c r="C833" s="2"/>
      <c r="D833" s="1449" t="s">
        <v>1890</v>
      </c>
      <c r="E833" s="2"/>
      <c r="F833" s="2"/>
      <c r="G833" s="1407"/>
      <c r="H833" s="2"/>
      <c r="I833" s="838" t="str">
        <f>IF(I834=0,"-","")</f>
        <v/>
      </c>
      <c r="J833" s="838" t="str">
        <f>IF(J834=0,"-","")</f>
        <v>-</v>
      </c>
      <c r="K833" s="2069"/>
      <c r="L833" s="1570"/>
      <c r="M833" s="1442"/>
      <c r="N833" s="832"/>
      <c r="O833" s="832"/>
      <c r="Q833" s="832"/>
      <c r="R833" s="832"/>
      <c r="S833" s="832"/>
      <c r="T833" s="832"/>
      <c r="U833" s="832"/>
      <c r="V833" s="832"/>
      <c r="W833" s="832"/>
      <c r="X833" s="832"/>
    </row>
    <row r="834" spans="1:24" s="812" customFormat="1" ht="39.950000000000003" hidden="1" customHeight="1" x14ac:dyDescent="0.15">
      <c r="A834" s="2072">
        <f ca="1">+IF(H834&gt;0,A832+0.01,A832)</f>
        <v>10</v>
      </c>
      <c r="B834" s="833">
        <f>IF(AND(M834&lt;=50,E834&lt;=30),95875,IF(AND(M834&lt;=50,E834&gt;30),93590,IF(AND(M834&gt;50,E834&lt;=30),95876,93593)))</f>
        <v>95875</v>
      </c>
      <c r="C834" s="2" t="str">
        <f>VLOOKUP($B834,[1]BOLETIM_SEL!$A:$H,2,0)</f>
        <v>SINAPI</v>
      </c>
      <c r="D834" s="315" t="str">
        <f>VLOOKUP($B834,[1]BOLETIM_SEL!$A:$H,4,0)</f>
        <v>Transporte com caminhão basculante de 10 m3, em via urbana pavimentada, DMT até 30,00 km (unidade: m3xkm). AF_07/2020</v>
      </c>
      <c r="E834" s="2">
        <f>+Dados_DMT!$B$24</f>
        <v>0</v>
      </c>
      <c r="F834" s="2" t="str">
        <f>VLOOKUP($B834,[1]BOLETIM_SEL!$A:$H,6,0)</f>
        <v>M3XKM</v>
      </c>
      <c r="G834" s="1407">
        <f>+VLOOKUP($B834,[1]BOLETIM_SEL!$A:$H,7,0)</f>
        <v>2.36</v>
      </c>
      <c r="H834" s="1606">
        <f>ROUND(Ciclovia!J121*E834,2)</f>
        <v>0</v>
      </c>
      <c r="I834" s="876">
        <f>+TRUNC(G834*(1+$J$5),2)</f>
        <v>2.87</v>
      </c>
      <c r="J834" s="1607">
        <f>TRUNC(H834*I834,2)</f>
        <v>0</v>
      </c>
      <c r="K834" s="2069">
        <f ca="1">+J834/J$930</f>
        <v>0</v>
      </c>
      <c r="L834" s="1570" t="e">
        <f>+J834/$J$796</f>
        <v>#DIV/0!</v>
      </c>
      <c r="M834" s="1450">
        <f>IF(H834=0,0,H834/E834)</f>
        <v>0</v>
      </c>
      <c r="N834" s="832"/>
      <c r="O834" s="832"/>
      <c r="Q834" s="832"/>
      <c r="R834" s="832"/>
      <c r="S834" s="832"/>
      <c r="T834" s="832"/>
      <c r="U834" s="832"/>
      <c r="V834" s="832"/>
      <c r="W834" s="832"/>
      <c r="X834" s="832"/>
    </row>
    <row r="835" spans="1:24" s="812" customFormat="1" ht="24.95" hidden="1" customHeight="1" x14ac:dyDescent="0.15">
      <c r="A835" s="2072"/>
      <c r="B835" s="833"/>
      <c r="C835" s="2"/>
      <c r="D835" s="1449" t="s">
        <v>1895</v>
      </c>
      <c r="E835" s="2"/>
      <c r="F835" s="2"/>
      <c r="G835" s="1407"/>
      <c r="H835" s="2"/>
      <c r="I835" s="838" t="str">
        <f>IF(I836=0,"-","")</f>
        <v/>
      </c>
      <c r="J835" s="838" t="str">
        <f>IF(J836=0,"-","")</f>
        <v>-</v>
      </c>
      <c r="K835" s="2069"/>
      <c r="L835" s="1570"/>
      <c r="M835" s="1442"/>
      <c r="N835" s="832"/>
      <c r="O835" s="832"/>
      <c r="Q835" s="832"/>
      <c r="R835" s="832"/>
      <c r="S835" s="832"/>
      <c r="T835" s="832"/>
      <c r="U835" s="832"/>
      <c r="V835" s="832"/>
      <c r="W835" s="832"/>
      <c r="X835" s="832"/>
    </row>
    <row r="836" spans="1:24" s="812" customFormat="1" ht="39.950000000000003" hidden="1" customHeight="1" x14ac:dyDescent="0.15">
      <c r="A836" s="2072">
        <f ca="1">+IF(H836&gt;0,A834+0.01,A834)</f>
        <v>10</v>
      </c>
      <c r="B836" s="833">
        <f>IF(AND(M836&lt;=50,E836&lt;=30),95875,IF(AND(M836&lt;=50,E836&gt;30),93590,IF(AND(M836&gt;50,E836&lt;=30),95876,93593)))</f>
        <v>95875</v>
      </c>
      <c r="C836" s="2" t="str">
        <f>VLOOKUP($B836,[1]BOLETIM_SEL!$A:$H,2,0)</f>
        <v>SINAPI</v>
      </c>
      <c r="D836" s="315" t="str">
        <f>VLOOKUP($B836,[1]BOLETIM_SEL!$A:$H,4,0)</f>
        <v>Transporte com caminhão basculante de 10 m3, em via urbana pavimentada, DMT até 30,00 km (unidade: m3xkm). AF_07/2020</v>
      </c>
      <c r="E836" s="2">
        <f>+Dados_DMT!$B$34</f>
        <v>24</v>
      </c>
      <c r="F836" s="2" t="str">
        <f>VLOOKUP($B836,[1]BOLETIM_SEL!$A:$H,6,0)</f>
        <v>M3XKM</v>
      </c>
      <c r="G836" s="1407">
        <f>+VLOOKUP($B836,[1]BOLETIM_SEL!$A:$H,7,0)</f>
        <v>2.36</v>
      </c>
      <c r="H836" s="1606">
        <f>ROUND(Ciclovia!J122*E836,2)</f>
        <v>0</v>
      </c>
      <c r="I836" s="876">
        <f>+TRUNC(G836*(1+$J$5),2)</f>
        <v>2.87</v>
      </c>
      <c r="J836" s="1607">
        <f>TRUNC(H836*I836,2)</f>
        <v>0</v>
      </c>
      <c r="K836" s="2069">
        <f ca="1">+J836/J$930</f>
        <v>0</v>
      </c>
      <c r="L836" s="1570" t="e">
        <f>+J836/$J$796</f>
        <v>#DIV/0!</v>
      </c>
      <c r="M836" s="1450">
        <f>IF(H836=0,0,H836/E836)</f>
        <v>0</v>
      </c>
      <c r="N836" s="832"/>
      <c r="O836" s="832"/>
      <c r="Q836" s="832"/>
      <c r="R836" s="832"/>
      <c r="S836" s="832"/>
      <c r="T836" s="832"/>
      <c r="U836" s="832"/>
      <c r="V836" s="832"/>
      <c r="W836" s="832"/>
      <c r="X836" s="832"/>
    </row>
    <row r="837" spans="1:24" s="812" customFormat="1" ht="24.95" hidden="1" customHeight="1" x14ac:dyDescent="0.15">
      <c r="A837" s="2072"/>
      <c r="B837" s="833"/>
      <c r="C837" s="2"/>
      <c r="D837" s="1449" t="s">
        <v>1891</v>
      </c>
      <c r="E837" s="2"/>
      <c r="F837" s="2"/>
      <c r="G837" s="1407"/>
      <c r="H837" s="2"/>
      <c r="I837" s="838" t="str">
        <f>IF(I838=0,"-","")</f>
        <v/>
      </c>
      <c r="J837" s="838" t="str">
        <f>IF(J838=0,"-","")</f>
        <v>-</v>
      </c>
      <c r="K837" s="2069"/>
      <c r="L837" s="1570"/>
      <c r="M837" s="1442"/>
      <c r="N837" s="832"/>
      <c r="O837" s="832"/>
      <c r="Q837" s="832"/>
      <c r="R837" s="832"/>
      <c r="S837" s="832"/>
      <c r="T837" s="832"/>
      <c r="U837" s="832"/>
      <c r="V837" s="832"/>
      <c r="W837" s="832"/>
      <c r="X837" s="832"/>
    </row>
    <row r="838" spans="1:24" s="812" customFormat="1" ht="39.950000000000003" hidden="1" customHeight="1" x14ac:dyDescent="0.15">
      <c r="A838" s="2072">
        <f ca="1">+IF(H838&gt;0,A836+0.01,A836)</f>
        <v>10</v>
      </c>
      <c r="B838" s="833">
        <f>IF(AND(M838&lt;=50,E838&lt;=30),95875,IF(AND(M838&lt;=50,E838&gt;30),93590,IF(AND(M838&gt;50,E838&lt;=30),95876,93593)))</f>
        <v>95875</v>
      </c>
      <c r="C838" s="2" t="str">
        <f>VLOOKUP($B838,[1]BOLETIM_SEL!$A:$H,2,0)</f>
        <v>SINAPI</v>
      </c>
      <c r="D838" s="315" t="str">
        <f>VLOOKUP($B838,[1]BOLETIM_SEL!$A:$H,4,0)</f>
        <v>Transporte com caminhão basculante de 10 m3, em via urbana pavimentada, DMT até 30,00 km (unidade: m3xkm). AF_07/2020</v>
      </c>
      <c r="E838" s="2">
        <f>+Dados_DMT!$B$34</f>
        <v>24</v>
      </c>
      <c r="F838" s="2" t="str">
        <f>VLOOKUP($B838,[1]BOLETIM_SEL!$A:$H,6,0)</f>
        <v>M3XKM</v>
      </c>
      <c r="G838" s="1407">
        <f>+VLOOKUP($B838,[1]BOLETIM_SEL!$A:$H,7,0)</f>
        <v>2.36</v>
      </c>
      <c r="H838" s="1606">
        <f>ROUND(Ciclovia!J123*E838,2)</f>
        <v>0</v>
      </c>
      <c r="I838" s="876">
        <f>+TRUNC(G838*(1+$J$5),2)</f>
        <v>2.87</v>
      </c>
      <c r="J838" s="1607">
        <f>TRUNC(H838*I838,2)</f>
        <v>0</v>
      </c>
      <c r="K838" s="2069">
        <f ca="1">+J838/J$930</f>
        <v>0</v>
      </c>
      <c r="L838" s="1570" t="e">
        <f>+J838/$J$796</f>
        <v>#DIV/0!</v>
      </c>
      <c r="M838" s="1450">
        <f>IF(H838=0,0,H838/E838)</f>
        <v>0</v>
      </c>
      <c r="N838" s="832"/>
      <c r="O838" s="832"/>
      <c r="Q838" s="832"/>
      <c r="R838" s="832"/>
      <c r="S838" s="832"/>
      <c r="T838" s="832"/>
      <c r="U838" s="832"/>
      <c r="V838" s="832"/>
      <c r="W838" s="832"/>
      <c r="X838" s="832"/>
    </row>
    <row r="839" spans="1:24" s="812" customFormat="1" ht="24.95" hidden="1" customHeight="1" x14ac:dyDescent="0.15">
      <c r="A839" s="2072"/>
      <c r="B839" s="833"/>
      <c r="C839" s="2"/>
      <c r="D839" s="1449" t="s">
        <v>1896</v>
      </c>
      <c r="E839" s="2"/>
      <c r="F839" s="2"/>
      <c r="G839" s="1407"/>
      <c r="H839" s="2"/>
      <c r="I839" s="838" t="str">
        <f>IF(I840=0,"-","")</f>
        <v/>
      </c>
      <c r="J839" s="838" t="str">
        <f>IF(J840=0,"-","")</f>
        <v>-</v>
      </c>
      <c r="K839" s="2069"/>
      <c r="L839" s="1570"/>
      <c r="M839" s="1442"/>
      <c r="N839" s="832"/>
      <c r="O839" s="832"/>
      <c r="Q839" s="832"/>
      <c r="R839" s="832"/>
      <c r="S839" s="832"/>
      <c r="T839" s="832"/>
      <c r="U839" s="832"/>
      <c r="V839" s="832"/>
      <c r="W839" s="832"/>
      <c r="X839" s="832"/>
    </row>
    <row r="840" spans="1:24" s="812" customFormat="1" ht="39.950000000000003" hidden="1" customHeight="1" x14ac:dyDescent="0.15">
      <c r="A840" s="2072">
        <f ca="1">+IF(H840&gt;0,A838+0.01,A838)</f>
        <v>10</v>
      </c>
      <c r="B840" s="833">
        <f>IF(AND(M840&lt;=50,E840&lt;=30),95875,IF(AND(M840&lt;=50,E840&gt;30),93590,IF(AND(M840&gt;50,E840&lt;=30),95876,93593)))</f>
        <v>95875</v>
      </c>
      <c r="C840" s="2" t="str">
        <f>VLOOKUP($B840,[1]BOLETIM_SEL!$A:$H,2,0)</f>
        <v>SINAPI</v>
      </c>
      <c r="D840" s="315" t="str">
        <f>VLOOKUP($B840,[1]BOLETIM_SEL!$A:$H,4,0)</f>
        <v>Transporte com caminhão basculante de 10 m3, em via urbana pavimentada, DMT até 30,00 km (unidade: m3xkm). AF_07/2020</v>
      </c>
      <c r="E840" s="2">
        <f>+Dados_DMT!$B$32</f>
        <v>0</v>
      </c>
      <c r="F840" s="2" t="str">
        <f>VLOOKUP($B840,[1]BOLETIM_SEL!$A:$H,6,0)</f>
        <v>M3XKM</v>
      </c>
      <c r="G840" s="1407">
        <f>+VLOOKUP($B840,[1]BOLETIM_SEL!$A:$H,7,0)</f>
        <v>2.36</v>
      </c>
      <c r="H840" s="1606">
        <f>ROUND(Ciclovia!J125*E840,2)</f>
        <v>0</v>
      </c>
      <c r="I840" s="876">
        <f>+TRUNC(G840*(1+$J$5),2)</f>
        <v>2.87</v>
      </c>
      <c r="J840" s="1607">
        <f>TRUNC(H840*I840,2)</f>
        <v>0</v>
      </c>
      <c r="K840" s="2069">
        <f ca="1">+J840/J$930</f>
        <v>0</v>
      </c>
      <c r="L840" s="1570" t="e">
        <f>+J840/$J$796</f>
        <v>#DIV/0!</v>
      </c>
      <c r="M840" s="1450">
        <f>IF(H840=0,0,H840/E840)</f>
        <v>0</v>
      </c>
      <c r="N840" s="832"/>
      <c r="O840" s="832"/>
      <c r="Q840" s="832"/>
      <c r="R840" s="832"/>
      <c r="S840" s="832"/>
      <c r="T840" s="832"/>
      <c r="U840" s="832"/>
      <c r="V840" s="832"/>
      <c r="W840" s="832"/>
      <c r="X840" s="832"/>
    </row>
    <row r="841" spans="1:24" s="812" customFormat="1" ht="24.95" hidden="1" customHeight="1" x14ac:dyDescent="0.15">
      <c r="A841" s="2072"/>
      <c r="B841" s="833"/>
      <c r="C841" s="2"/>
      <c r="D841" s="1449" t="s">
        <v>1902</v>
      </c>
      <c r="E841" s="2"/>
      <c r="F841" s="2"/>
      <c r="G841" s="1407"/>
      <c r="H841" s="2"/>
      <c r="I841" s="838" t="str">
        <f>IF(I842=0,"-","")</f>
        <v/>
      </c>
      <c r="J841" s="838" t="str">
        <f>IF(J842=0,"-","")</f>
        <v>-</v>
      </c>
      <c r="K841" s="2069"/>
      <c r="L841" s="1570"/>
      <c r="M841" s="1442"/>
      <c r="N841" s="832"/>
      <c r="O841" s="832"/>
      <c r="Q841" s="832"/>
      <c r="R841" s="832"/>
      <c r="S841" s="832"/>
      <c r="T841" s="832"/>
      <c r="U841" s="832"/>
      <c r="V841" s="832"/>
      <c r="W841" s="832"/>
      <c r="X841" s="832"/>
    </row>
    <row r="842" spans="1:24" s="812" customFormat="1" ht="39.950000000000003" hidden="1" customHeight="1" x14ac:dyDescent="0.15">
      <c r="A842" s="2072">
        <f ca="1">+IF(H842&gt;0,A840+0.01,A840)</f>
        <v>10</v>
      </c>
      <c r="B842" s="833">
        <f>IF(AND(M842&lt;=50,E842&lt;=30),95875,IF(AND(M842&lt;=50,E842&gt;30),93590,IF(AND(M842&gt;50,E842&lt;=30),95876,93593)))</f>
        <v>95875</v>
      </c>
      <c r="C842" s="2" t="str">
        <f>VLOOKUP($B842,[1]BOLETIM_SEL!$A:$H,2,0)</f>
        <v>SINAPI</v>
      </c>
      <c r="D842" s="315" t="str">
        <f>VLOOKUP($B842,[1]BOLETIM_SEL!$A:$H,4,0)</f>
        <v>Transporte com caminhão basculante de 10 m3, em via urbana pavimentada, DMT até 30,00 km (unidade: m3xkm). AF_07/2020</v>
      </c>
      <c r="E842" s="2">
        <f>+Dados_DMT!$B$33</f>
        <v>0</v>
      </c>
      <c r="F842" s="2" t="str">
        <f>VLOOKUP($B842,[1]BOLETIM_SEL!$A:$H,6,0)</f>
        <v>M3XKM</v>
      </c>
      <c r="G842" s="1407">
        <f>+VLOOKUP($B842,[1]BOLETIM_SEL!$A:$H,7,0)</f>
        <v>2.36</v>
      </c>
      <c r="H842" s="1606">
        <f>ROUND(Ciclovia!J119*E842,2)</f>
        <v>0</v>
      </c>
      <c r="I842" s="876">
        <f>+TRUNC(G842*(1+$J$5),2)</f>
        <v>2.87</v>
      </c>
      <c r="J842" s="1607">
        <f>TRUNC(H842*I842,2)</f>
        <v>0</v>
      </c>
      <c r="K842" s="2069">
        <f ca="1">+J842/J$930</f>
        <v>0</v>
      </c>
      <c r="L842" s="1570" t="e">
        <f>+J842/$J$796</f>
        <v>#DIV/0!</v>
      </c>
      <c r="M842" s="1450">
        <f>IF(H842=0,0,H842/E842)</f>
        <v>0</v>
      </c>
      <c r="N842" s="832"/>
      <c r="O842" s="832"/>
      <c r="Q842" s="832"/>
      <c r="R842" s="832"/>
      <c r="S842" s="832"/>
      <c r="T842" s="832"/>
      <c r="U842" s="832"/>
      <c r="V842" s="832"/>
      <c r="W842" s="832"/>
      <c r="X842" s="832"/>
    </row>
    <row r="843" spans="1:24" s="812" customFormat="1" ht="24.95" hidden="1" customHeight="1" x14ac:dyDescent="0.15">
      <c r="A843" s="2072"/>
      <c r="B843" s="833"/>
      <c r="C843" s="2"/>
      <c r="D843" s="1449" t="s">
        <v>1814</v>
      </c>
      <c r="E843" s="2"/>
      <c r="F843" s="2"/>
      <c r="G843" s="1407"/>
      <c r="H843" s="2"/>
      <c r="I843" s="838" t="str">
        <f>IF(I844=0,"-","")</f>
        <v/>
      </c>
      <c r="J843" s="838" t="str">
        <f>IF(J844=0,"-","")</f>
        <v>-</v>
      </c>
      <c r="K843" s="2069"/>
      <c r="L843" s="1570"/>
      <c r="M843" s="1442"/>
      <c r="N843" s="832"/>
      <c r="O843" s="832"/>
      <c r="Q843" s="832"/>
      <c r="R843" s="832"/>
      <c r="S843" s="832"/>
      <c r="T843" s="832"/>
      <c r="U843" s="832"/>
      <c r="V843" s="832"/>
      <c r="W843" s="832"/>
      <c r="X843" s="832"/>
    </row>
    <row r="844" spans="1:24" s="812" customFormat="1" ht="39.950000000000003" hidden="1" customHeight="1" x14ac:dyDescent="0.15">
      <c r="A844" s="2072">
        <f ca="1">+IF(H844&gt;0,A842+0.01,A842)</f>
        <v>10</v>
      </c>
      <c r="B844" s="833">
        <f>IF(AND(M844&lt;=50,E844&lt;=30),95875,IF(AND(M844&lt;=50,E844&gt;30),93590,IF(AND(M844&gt;50,E844&lt;=30),95876,93593)))</f>
        <v>95875</v>
      </c>
      <c r="C844" s="2" t="str">
        <f>VLOOKUP($B844,[1]BOLETIM_SEL!$A:$H,2,0)</f>
        <v>SINAPI</v>
      </c>
      <c r="D844" s="315" t="str">
        <f>VLOOKUP($B844,[1]BOLETIM_SEL!$A:$H,4,0)</f>
        <v>Transporte com caminhão basculante de 10 m3, em via urbana pavimentada, DMT até 30,00 km (unidade: m3xkm). AF_07/2020</v>
      </c>
      <c r="E844" s="2">
        <f>+Dados_DMT!$B$21</f>
        <v>0</v>
      </c>
      <c r="F844" s="2" t="str">
        <f>VLOOKUP($B844,[1]BOLETIM_SEL!$A:$H,6,0)</f>
        <v>M3XKM</v>
      </c>
      <c r="G844" s="1407">
        <f>+VLOOKUP($B844,[1]BOLETIM_SEL!$A:$H,7,0)</f>
        <v>2.36</v>
      </c>
      <c r="H844" s="1606">
        <f>ROUND(Ciclovia!J117*E844,2)</f>
        <v>0</v>
      </c>
      <c r="I844" s="876">
        <f>+TRUNC(G844*(1+$J$5),2)</f>
        <v>2.87</v>
      </c>
      <c r="J844" s="1607">
        <f>TRUNC(H844*I844,2)</f>
        <v>0</v>
      </c>
      <c r="K844" s="2069">
        <f ca="1">+J844/J$930</f>
        <v>0</v>
      </c>
      <c r="L844" s="1570" t="e">
        <f>+J844/$J$796</f>
        <v>#DIV/0!</v>
      </c>
      <c r="M844" s="1450">
        <f>IF(H844=0,0,H844/E844)</f>
        <v>0</v>
      </c>
      <c r="N844" s="832"/>
      <c r="O844" s="832"/>
      <c r="Q844" s="832"/>
      <c r="R844" s="832"/>
      <c r="S844" s="832"/>
      <c r="T844" s="832"/>
      <c r="U844" s="832"/>
      <c r="V844" s="832"/>
      <c r="W844" s="832"/>
      <c r="X844" s="832"/>
    </row>
    <row r="845" spans="1:24" s="812" customFormat="1" ht="24.95" hidden="1" customHeight="1" x14ac:dyDescent="0.15">
      <c r="A845" s="2072"/>
      <c r="B845" s="833"/>
      <c r="C845" s="2"/>
      <c r="D845" s="1449" t="s">
        <v>1758</v>
      </c>
      <c r="E845" s="2"/>
      <c r="F845" s="2"/>
      <c r="G845" s="1407"/>
      <c r="H845" s="2"/>
      <c r="I845" s="838" t="str">
        <f>IF(I846=0,"-","")</f>
        <v/>
      </c>
      <c r="J845" s="838" t="str">
        <f>IF(J846=0,"-","")</f>
        <v>-</v>
      </c>
      <c r="K845" s="2069"/>
      <c r="L845" s="1570"/>
      <c r="M845" s="1442"/>
      <c r="N845" s="832"/>
      <c r="O845" s="832"/>
      <c r="Q845" s="832"/>
      <c r="R845" s="832"/>
      <c r="S845" s="832"/>
      <c r="T845" s="832"/>
      <c r="U845" s="832"/>
      <c r="V845" s="832"/>
      <c r="W845" s="832"/>
      <c r="X845" s="832"/>
    </row>
    <row r="846" spans="1:24" s="812" customFormat="1" ht="39.950000000000003" hidden="1" customHeight="1" x14ac:dyDescent="0.15">
      <c r="A846" s="2072">
        <f ca="1">+IF(H846&gt;0,A844+0.01,A844)</f>
        <v>10</v>
      </c>
      <c r="B846" s="833">
        <f>IF(AND(M846&lt;=50,E846&lt;=30),95878,IF(AND(M846&lt;=50,E846&gt;30),93596,IF(AND(M846&gt;50,E846&lt;=30),95879,93599)))</f>
        <v>95878</v>
      </c>
      <c r="C846" s="2" t="str">
        <f>VLOOKUP($B846,[1]BOLETIM_SEL!$A:$H,2,0)</f>
        <v>SINAPI</v>
      </c>
      <c r="D846" s="315" t="str">
        <f>VLOOKUP($B846,[1]BOLETIM_SEL!$A:$H,4,0)</f>
        <v>Transporte com caminhão basculante de 10 m3, em via urbana pavimentada, DMT até 30,00 km (unidade: txkm). AF_07/2020</v>
      </c>
      <c r="E846" s="2">
        <f>+Dados_DMT!$B$30</f>
        <v>19</v>
      </c>
      <c r="F846" s="2" t="str">
        <f>VLOOKUP($B846,[1]BOLETIM_SEL!$A:$H,6,0)</f>
        <v>TXKM</v>
      </c>
      <c r="G846" s="1407">
        <f>+VLOOKUP($B846,[1]BOLETIM_SEL!$A:$H,7,0)</f>
        <v>1.58</v>
      </c>
      <c r="H846" s="1606">
        <f>ROUND(Ciclovia!J130*E846,2)</f>
        <v>0</v>
      </c>
      <c r="I846" s="876">
        <f>+TRUNC(G846*(1+$J$5),2)</f>
        <v>1.92</v>
      </c>
      <c r="J846" s="1607">
        <f>TRUNC(H846*I846,2)</f>
        <v>0</v>
      </c>
      <c r="K846" s="2069">
        <f ca="1">+J846/J$930</f>
        <v>0</v>
      </c>
      <c r="L846" s="1570" t="e">
        <f>+J846/$J$796</f>
        <v>#DIV/0!</v>
      </c>
      <c r="M846" s="1451">
        <f>IF(H846=0,0,H846/E846)</f>
        <v>0</v>
      </c>
      <c r="N846" s="832"/>
      <c r="O846" s="832"/>
      <c r="Q846" s="832"/>
      <c r="R846" s="832"/>
      <c r="S846" s="832"/>
      <c r="T846" s="832"/>
      <c r="U846" s="832"/>
      <c r="V846" s="832"/>
      <c r="W846" s="832"/>
      <c r="X846" s="832"/>
    </row>
    <row r="847" spans="1:24" s="812" customFormat="1" ht="24.95" hidden="1" customHeight="1" x14ac:dyDescent="0.15">
      <c r="A847" s="2072"/>
      <c r="B847" s="833"/>
      <c r="C847" s="2"/>
      <c r="D847" s="1449" t="s">
        <v>1755</v>
      </c>
      <c r="E847" s="2"/>
      <c r="F847" s="2"/>
      <c r="G847" s="1407"/>
      <c r="H847" s="2"/>
      <c r="I847" s="838" t="str">
        <f>IF(I848=0,"-","")</f>
        <v/>
      </c>
      <c r="J847" s="838" t="str">
        <f>IF(J848=0,"-","")</f>
        <v>-</v>
      </c>
      <c r="K847" s="2069"/>
      <c r="L847" s="1570"/>
      <c r="M847" s="1442"/>
      <c r="N847" s="832"/>
      <c r="O847" s="832"/>
      <c r="Q847" s="832"/>
      <c r="R847" s="832"/>
      <c r="S847" s="832"/>
      <c r="T847" s="832"/>
      <c r="U847" s="832"/>
      <c r="V847" s="832"/>
      <c r="W847" s="832"/>
      <c r="X847" s="832"/>
    </row>
    <row r="848" spans="1:24" s="812" customFormat="1" ht="39.950000000000003" hidden="1" customHeight="1" x14ac:dyDescent="0.15">
      <c r="A848" s="2072">
        <f ca="1">+IF(H848&gt;0,A846+0.01,A846)</f>
        <v>10</v>
      </c>
      <c r="B848" s="833">
        <v>102332</v>
      </c>
      <c r="C848" s="2" t="str">
        <f>VLOOKUP($B848,[1]BOLETIM_SEL!$A:$H,2,0)</f>
        <v>SINAPI</v>
      </c>
      <c r="D848" s="315" t="str">
        <f>VLOOKUP($B848,[1]BOLETIM_SEL!$A:$H,4,0)</f>
        <v>Transporte com caminhão tanque de transporte de material asfáltico de 20.000 l, em via urbana pavimentada, DMT até 30,00 km (unidade: txkm). AF_07/2020</v>
      </c>
      <c r="E848" s="2">
        <f>+Dados_DMT!$B$25</f>
        <v>19</v>
      </c>
      <c r="F848" s="2" t="str">
        <f>VLOOKUP($B848,[1]BOLETIM_SEL!$A:$H,6,0)</f>
        <v>TXKM</v>
      </c>
      <c r="G848" s="1407">
        <f>+VLOOKUP($B848,[1]BOLETIM_SEL!$A:$H,7,0)</f>
        <v>1.75</v>
      </c>
      <c r="H848" s="1606">
        <f>IF(B811="PA/0025",0,ROUND(Ciclovia!J128*E848,2))</f>
        <v>0</v>
      </c>
      <c r="I848" s="876">
        <f>+TRUNC(G848*(1+$J$5),2)</f>
        <v>2.13</v>
      </c>
      <c r="J848" s="1607">
        <f>TRUNC(H848*I848,2)</f>
        <v>0</v>
      </c>
      <c r="K848" s="2069">
        <f ca="1">+J848/J$930</f>
        <v>0</v>
      </c>
      <c r="L848" s="1570" t="e">
        <f>+J848/$J$796</f>
        <v>#DIV/0!</v>
      </c>
      <c r="M848" s="1451">
        <f>IF(H848=0,0,H848/E848)</f>
        <v>0</v>
      </c>
      <c r="N848" s="832"/>
      <c r="O848" s="832"/>
      <c r="Q848" s="832"/>
      <c r="R848" s="832"/>
      <c r="S848" s="832"/>
      <c r="T848" s="832"/>
      <c r="U848" s="832"/>
      <c r="V848" s="832"/>
      <c r="W848" s="832"/>
      <c r="X848" s="832"/>
    </row>
    <row r="849" spans="1:24" s="812" customFormat="1" ht="24.95" hidden="1" customHeight="1" x14ac:dyDescent="0.15">
      <c r="A849" s="2072"/>
      <c r="B849" s="833"/>
      <c r="C849" s="2"/>
      <c r="D849" s="1449" t="s">
        <v>1754</v>
      </c>
      <c r="E849" s="2"/>
      <c r="F849" s="2"/>
      <c r="G849" s="1407"/>
      <c r="H849" s="2"/>
      <c r="I849" s="838" t="str">
        <f>IF(I850=0,"-","")</f>
        <v/>
      </c>
      <c r="J849" s="838" t="str">
        <f>IF(J850=0,"-","")</f>
        <v>-</v>
      </c>
      <c r="K849" s="2069"/>
      <c r="L849" s="1570"/>
      <c r="M849" s="1442"/>
      <c r="N849" s="832"/>
      <c r="O849" s="832"/>
      <c r="Q849" s="832"/>
      <c r="R849" s="832"/>
      <c r="S849" s="832"/>
      <c r="T849" s="832"/>
      <c r="U849" s="832"/>
      <c r="V849" s="832"/>
      <c r="W849" s="832"/>
      <c r="X849" s="832"/>
    </row>
    <row r="850" spans="1:24" s="812" customFormat="1" ht="39.950000000000003" hidden="1" customHeight="1" x14ac:dyDescent="0.15">
      <c r="A850" s="2072">
        <f ca="1">+IF(H850&gt;0,A848+0.01,A848)</f>
        <v>10</v>
      </c>
      <c r="B850" s="833">
        <v>102332</v>
      </c>
      <c r="C850" s="2" t="str">
        <f>VLOOKUP($B850,[1]BOLETIM_SEL!$A:$H,2,0)</f>
        <v>SINAPI</v>
      </c>
      <c r="D850" s="315" t="str">
        <f>VLOOKUP($B850,[1]BOLETIM_SEL!$A:$H,4,0)</f>
        <v>Transporte com caminhão tanque de transporte de material asfáltico de 20.000 l, em via urbana pavimentada, DMT até 30,00 km (unidade: txkm). AF_07/2020</v>
      </c>
      <c r="E850" s="2">
        <f>+Dados_DMT!$B$25</f>
        <v>19</v>
      </c>
      <c r="F850" s="2" t="str">
        <f>VLOOKUP($B850,[1]BOLETIM_SEL!$A:$H,6,0)</f>
        <v>TXKM</v>
      </c>
      <c r="G850" s="1407">
        <f>+VLOOKUP($B850,[1]BOLETIM_SEL!$A:$H,7,0)</f>
        <v>1.75</v>
      </c>
      <c r="H850" s="1606">
        <f>IF(B811="PA/0025",ROUND(Ciclovia!J128*E850,2),0)+ROUND(Ciclovia!J129*E850,2)</f>
        <v>0</v>
      </c>
      <c r="I850" s="876">
        <f>+TRUNC(G850*(1+$J$5),2)</f>
        <v>2.13</v>
      </c>
      <c r="J850" s="1607">
        <f>TRUNC(H850*I850,2)</f>
        <v>0</v>
      </c>
      <c r="K850" s="2069">
        <f ca="1">+J850/J$930</f>
        <v>0</v>
      </c>
      <c r="L850" s="1570" t="e">
        <f>+J850/$J$796</f>
        <v>#DIV/0!</v>
      </c>
      <c r="M850" s="1451">
        <f>IF(H850=0,0,H850/E850)</f>
        <v>0</v>
      </c>
      <c r="N850" s="832"/>
      <c r="O850" s="832"/>
      <c r="Q850" s="832"/>
      <c r="R850" s="832"/>
      <c r="S850" s="832"/>
      <c r="T850" s="832"/>
      <c r="U850" s="832"/>
      <c r="V850" s="832"/>
      <c r="W850" s="832"/>
      <c r="X850" s="832"/>
    </row>
    <row r="851" spans="1:24" s="812" customFormat="1" ht="24.95" hidden="1" customHeight="1" x14ac:dyDescent="0.15">
      <c r="A851" s="2072"/>
      <c r="B851" s="833"/>
      <c r="C851" s="2"/>
      <c r="D851" s="1449" t="s">
        <v>1756</v>
      </c>
      <c r="E851" s="2"/>
      <c r="F851" s="2"/>
      <c r="G851" s="1407"/>
      <c r="H851" s="2"/>
      <c r="I851" s="838" t="str">
        <f>IF(I852=0,"-","")</f>
        <v/>
      </c>
      <c r="J851" s="838" t="str">
        <f>IF(J852=0,"-","")</f>
        <v>-</v>
      </c>
      <c r="K851" s="2069"/>
      <c r="L851" s="1570"/>
      <c r="M851" s="1442"/>
      <c r="N851" s="832"/>
      <c r="O851" s="832"/>
      <c r="Q851" s="832"/>
      <c r="R851" s="832"/>
      <c r="S851" s="832"/>
      <c r="T851" s="832"/>
      <c r="U851" s="832"/>
      <c r="V851" s="832"/>
      <c r="W851" s="832"/>
      <c r="X851" s="832"/>
    </row>
    <row r="852" spans="1:24" s="812" customFormat="1" ht="39.950000000000003" hidden="1" customHeight="1" x14ac:dyDescent="0.15">
      <c r="A852" s="2072">
        <f ca="1">+IF(H852&gt;0,A850+0.01,A850)</f>
        <v>10</v>
      </c>
      <c r="B852" s="833">
        <v>102332</v>
      </c>
      <c r="C852" s="2" t="str">
        <f>VLOOKUP($B852,[1]BOLETIM_SEL!$A:$H,2,0)</f>
        <v>SINAPI</v>
      </c>
      <c r="D852" s="315" t="str">
        <f>VLOOKUP($B852,[1]BOLETIM_SEL!$A:$H,4,0)</f>
        <v>Transporte com caminhão tanque de transporte de material asfáltico de 20.000 l, em via urbana pavimentada, DMT até 30,00 km (unidade: txkm). AF_07/2020</v>
      </c>
      <c r="E852" s="2">
        <f>+Dados_DMT!$B$27</f>
        <v>0</v>
      </c>
      <c r="F852" s="2" t="str">
        <f>VLOOKUP($B852,[1]BOLETIM_SEL!$A:$H,6,0)</f>
        <v>TXKM</v>
      </c>
      <c r="G852" s="1407">
        <f>+VLOOKUP($B852,[1]BOLETIM_SEL!$A:$H,7,0)</f>
        <v>1.75</v>
      </c>
      <c r="H852" s="1606">
        <f>ROUND(Ciclovia!J127*E852,2)</f>
        <v>0</v>
      </c>
      <c r="I852" s="876">
        <f>+TRUNC(G852*(1+$J$5),2)</f>
        <v>2.13</v>
      </c>
      <c r="J852" s="1607">
        <f>TRUNC(H852*I852,2)</f>
        <v>0</v>
      </c>
      <c r="K852" s="2069">
        <f ca="1">+J852/J$930</f>
        <v>0</v>
      </c>
      <c r="L852" s="1570" t="e">
        <f>+J852/$J$796</f>
        <v>#DIV/0!</v>
      </c>
      <c r="M852" s="1451">
        <f>IF(H852=0,0,H852/E852)</f>
        <v>0</v>
      </c>
      <c r="N852" s="832"/>
      <c r="O852" s="832"/>
      <c r="Q852" s="832"/>
      <c r="R852" s="832"/>
      <c r="S852" s="832"/>
      <c r="T852" s="832"/>
      <c r="U852" s="832"/>
      <c r="V852" s="832"/>
      <c r="W852" s="832"/>
      <c r="X852" s="832"/>
    </row>
    <row r="853" spans="1:24" s="812" customFormat="1" ht="24.95" hidden="1" customHeight="1" x14ac:dyDescent="0.15">
      <c r="A853" s="2072"/>
      <c r="B853" s="833"/>
      <c r="C853" s="2"/>
      <c r="D853" s="1449" t="s">
        <v>1812</v>
      </c>
      <c r="E853" s="2"/>
      <c r="F853" s="2"/>
      <c r="G853" s="1407"/>
      <c r="H853" s="2"/>
      <c r="I853" s="838"/>
      <c r="J853" s="838" t="str">
        <f>IF(J854=0,"-","")</f>
        <v>-</v>
      </c>
      <c r="K853" s="2069"/>
      <c r="L853" s="1570"/>
      <c r="M853" s="1442"/>
      <c r="N853" s="832"/>
      <c r="O853" s="832"/>
      <c r="Q853" s="832"/>
      <c r="R853" s="832"/>
      <c r="S853" s="832"/>
      <c r="T853" s="832"/>
      <c r="U853" s="832"/>
      <c r="V853" s="832"/>
      <c r="W853" s="832"/>
      <c r="X853" s="832"/>
    </row>
    <row r="854" spans="1:24" s="812" customFormat="1" ht="30" hidden="1" customHeight="1" x14ac:dyDescent="0.15">
      <c r="A854" s="2072">
        <f ca="1">+IF(H854&gt;0,A852+0.01,A852)</f>
        <v>10</v>
      </c>
      <c r="B854" s="833">
        <v>100947</v>
      </c>
      <c r="C854" s="2" t="str">
        <f>VLOOKUP($B854,[1]BOLETIM_SEL!$A:$H,2,0)</f>
        <v>SINAPI</v>
      </c>
      <c r="D854" s="315" t="str">
        <f>VLOOKUP($B854,[1]BOLETIM_SEL!$A:$H,4,0)</f>
        <v>Transporte com caminhão carroceria 9t, em via urbana pavimentada, DMT até 30,00 km (unidade: txkm). AF_07/2020</v>
      </c>
      <c r="E854" s="2">
        <f>+Dados_DMT!$B$35</f>
        <v>0</v>
      </c>
      <c r="F854" s="2" t="str">
        <f>VLOOKUP($B854,[1]BOLETIM_SEL!$A:$H,6,0)</f>
        <v>TXKM</v>
      </c>
      <c r="G854" s="1407">
        <f>+VLOOKUP($B854,[1]BOLETIM_SEL!$A:$H,7,0)</f>
        <v>2.12</v>
      </c>
      <c r="H854" s="1606">
        <f>ROUND(Ciclovia!J116*E854,2)</f>
        <v>0</v>
      </c>
      <c r="I854" s="876">
        <f>+TRUNC(G854*(1+$J$5),2)</f>
        <v>2.58</v>
      </c>
      <c r="J854" s="1607">
        <f>TRUNC(H854*I854,2)</f>
        <v>0</v>
      </c>
      <c r="K854" s="2069">
        <f ca="1">+J854/J$930</f>
        <v>0</v>
      </c>
      <c r="L854" s="1570" t="e">
        <f>+J854/$J$796</f>
        <v>#DIV/0!</v>
      </c>
      <c r="M854" s="1442"/>
      <c r="N854" s="832"/>
      <c r="O854" s="832"/>
      <c r="Q854" s="832"/>
      <c r="R854" s="832"/>
      <c r="S854" s="832"/>
      <c r="T854" s="832"/>
      <c r="U854" s="832"/>
      <c r="V854" s="832"/>
      <c r="W854" s="832"/>
      <c r="X854" s="832"/>
    </row>
    <row r="855" spans="1:24" s="812" customFormat="1" ht="24.95" hidden="1" customHeight="1" x14ac:dyDescent="0.15">
      <c r="A855" s="2072"/>
      <c r="B855" s="833"/>
      <c r="C855" s="2"/>
      <c r="D855" s="1449" t="s">
        <v>1824</v>
      </c>
      <c r="E855" s="2"/>
      <c r="F855" s="2"/>
      <c r="G855" s="1407"/>
      <c r="H855" s="2"/>
      <c r="I855" s="838"/>
      <c r="J855" s="838" t="str">
        <f>IF(J856=0,"-","")</f>
        <v>-</v>
      </c>
      <c r="K855" s="2069"/>
      <c r="L855" s="1570"/>
      <c r="M855" s="1442"/>
      <c r="N855" s="832"/>
      <c r="O855" s="832"/>
      <c r="Q855" s="832"/>
      <c r="R855" s="832"/>
      <c r="S855" s="832"/>
      <c r="T855" s="832"/>
      <c r="U855" s="832"/>
      <c r="V855" s="832"/>
      <c r="W855" s="832"/>
      <c r="X855" s="832"/>
    </row>
    <row r="856" spans="1:24" s="812" customFormat="1" ht="30" hidden="1" customHeight="1" x14ac:dyDescent="0.15">
      <c r="A856" s="2072">
        <f ca="1">+IF(H856&gt;0,A854+0.01,A854)</f>
        <v>10</v>
      </c>
      <c r="B856" s="833">
        <v>100947</v>
      </c>
      <c r="C856" s="2" t="str">
        <f>VLOOKUP($B856,[1]BOLETIM_SEL!$A:$H,2,0)</f>
        <v>SINAPI</v>
      </c>
      <c r="D856" s="315" t="str">
        <f>VLOOKUP($B856,[1]BOLETIM_SEL!$A:$H,4,0)</f>
        <v>Transporte com caminhão carroceria 9t, em via urbana pavimentada, DMT até 30,00 km (unidade: txkm). AF_07/2020</v>
      </c>
      <c r="E856" s="2">
        <f>+Dados_DMT!$B$13</f>
        <v>22</v>
      </c>
      <c r="F856" s="2" t="str">
        <f>VLOOKUP($B856,[1]BOLETIM_SEL!$A:$H,6,0)</f>
        <v>TXKM</v>
      </c>
      <c r="G856" s="1407">
        <f>+VLOOKUP($B856,[1]BOLETIM_SEL!$A:$H,7,0)</f>
        <v>2.12</v>
      </c>
      <c r="H856" s="1606">
        <f>ROUND(Ciclovia!J120*E856,2)</f>
        <v>0</v>
      </c>
      <c r="I856" s="876">
        <f>+TRUNC(G856*(1+$J$5),2)</f>
        <v>2.58</v>
      </c>
      <c r="J856" s="1607">
        <f>TRUNC(H856*I856,2)</f>
        <v>0</v>
      </c>
      <c r="K856" s="2069">
        <f ca="1">+J856/J$930</f>
        <v>0</v>
      </c>
      <c r="L856" s="1570" t="e">
        <f>+J856/$J$796</f>
        <v>#DIV/0!</v>
      </c>
      <c r="M856" s="1442"/>
      <c r="N856" s="832"/>
      <c r="O856" s="832"/>
      <c r="Q856" s="832"/>
      <c r="R856" s="832"/>
      <c r="S856" s="832"/>
      <c r="T856" s="832"/>
      <c r="U856" s="832"/>
      <c r="V856" s="832"/>
      <c r="W856" s="832"/>
      <c r="X856" s="832"/>
    </row>
    <row r="857" spans="1:24" s="843" customFormat="1" ht="24.95" hidden="1" customHeight="1" x14ac:dyDescent="0.15">
      <c r="A857" s="2072"/>
      <c r="B857" s="840"/>
      <c r="C857" s="833"/>
      <c r="D857" s="834"/>
      <c r="E857" s="2"/>
      <c r="F857" s="833"/>
      <c r="G857" s="1814"/>
      <c r="H857" s="833"/>
      <c r="I857" s="2"/>
      <c r="J857" s="838">
        <f>IF(J796=0,0,"")</f>
        <v>0</v>
      </c>
      <c r="K857" s="2069"/>
      <c r="L857" s="1570"/>
      <c r="M857" s="1443"/>
      <c r="N857" s="842"/>
      <c r="O857" s="842"/>
      <c r="Q857" s="842"/>
      <c r="R857" s="842"/>
      <c r="S857" s="842"/>
      <c r="T857" s="842"/>
      <c r="U857" s="842"/>
      <c r="V857" s="842"/>
      <c r="W857" s="842"/>
      <c r="X857" s="842"/>
    </row>
    <row r="858" spans="1:24" s="832" customFormat="1" ht="24.95" customHeight="1" x14ac:dyDescent="0.15">
      <c r="A858" s="2073">
        <f ca="1">IF(J858&gt;0,INT(A856)+1,IF(J858=0,INT(A856),0))</f>
        <v>11</v>
      </c>
      <c r="B858" s="1626"/>
      <c r="C858" s="1626"/>
      <c r="D858" s="1627" t="s">
        <v>912</v>
      </c>
      <c r="E858" s="1821"/>
      <c r="F858" s="1628"/>
      <c r="G858" s="1813" t="s">
        <v>654</v>
      </c>
      <c r="H858" s="1630"/>
      <c r="I858" s="1633" t="str">
        <f ca="1">CONCATENATE("SUB-TOTAL ",A858)</f>
        <v>SUB-TOTAL 11</v>
      </c>
      <c r="J858" s="1632">
        <f>SUM(J859:J886)</f>
        <v>52013.98</v>
      </c>
      <c r="K858" s="2070">
        <f ca="1">J858/J$930</f>
        <v>1.4137861978154727E-2</v>
      </c>
      <c r="L858" s="1605">
        <f t="shared" ref="L858:L886" si="274">+J858/J$858</f>
        <v>1</v>
      </c>
      <c r="U858" s="1809">
        <f>J859+J860+J862+J878+J881+J884</f>
        <v>52013.98</v>
      </c>
    </row>
    <row r="859" spans="1:24" s="812" customFormat="1" ht="39.950000000000003" customHeight="1" x14ac:dyDescent="0.15">
      <c r="A859" s="1935">
        <f t="shared" ref="A859:A886" ca="1" si="275">+IF(H859&gt;0,A858+0.01,A858)</f>
        <v>11.01</v>
      </c>
      <c r="B859" s="2" t="s">
        <v>2712</v>
      </c>
      <c r="C859" s="2" t="str">
        <f>+VLOOKUP($B859,[1]BOLETIM_SEL!$A:$H,2,0)</f>
        <v>COMPOSIÇÃO</v>
      </c>
      <c r="D859" s="315" t="str">
        <f>+VLOOKUP($B859,[1]BOLETIM_SEL!$A:$H,4,0)</f>
        <v>Pintura de faixas de pedestres e retenção e de zebrados - termoplástico por extrusão - espessura de 3,0 mm (REF. SICRO COD. 5213408 e 5213409)</v>
      </c>
      <c r="E859" s="2"/>
      <c r="F859" s="2" t="str">
        <f>+VLOOKUP($B859,[1]BOLETIM_SEL!$A:$H,6,0)</f>
        <v>M2</v>
      </c>
      <c r="G859" s="1407">
        <f>+VLOOKUP($B859,[1]BOLETIM_SEL!$A:$H,7,0)</f>
        <v>85.63</v>
      </c>
      <c r="H859" s="1606">
        <f>+Sinal_Via!N383</f>
        <v>26.84</v>
      </c>
      <c r="I859" s="876">
        <f t="shared" ref="I859:I886" si="276">+TRUNC(G859*(1+$J$5),2)</f>
        <v>104.46</v>
      </c>
      <c r="J859" s="1606">
        <f t="shared" ref="J859:J886" si="277">TRUNC(H859*I859,2)</f>
        <v>2803.7</v>
      </c>
      <c r="K859" s="1936">
        <f ca="1">+J859/$J$12</f>
        <v>7.6207057464459395E-4</v>
      </c>
      <c r="L859" s="1570">
        <f t="shared" si="274"/>
        <v>5.3902816127510328E-2</v>
      </c>
      <c r="M859" s="1442">
        <f>+VLOOKUP($B859,[1]BOLETIM_SEL!$A:$H,5,0)</f>
        <v>0</v>
      </c>
      <c r="N859" s="832"/>
      <c r="O859" s="832"/>
      <c r="Q859" s="832"/>
      <c r="R859" s="832"/>
      <c r="S859" s="832"/>
      <c r="T859" s="832"/>
      <c r="U859" s="832"/>
      <c r="V859" s="832"/>
      <c r="W859" s="832"/>
      <c r="X859" s="832"/>
    </row>
    <row r="860" spans="1:24" s="812" customFormat="1" ht="39.950000000000003" customHeight="1" x14ac:dyDescent="0.15">
      <c r="A860" s="1935">
        <f t="shared" ca="1" si="275"/>
        <v>11.02</v>
      </c>
      <c r="B860" s="2" t="s">
        <v>2383</v>
      </c>
      <c r="C860" s="2" t="str">
        <f>+VLOOKUP($B860,[1]BOLETIM_SEL!$A:$H,2,0)</f>
        <v>COMPOSIÇÃO</v>
      </c>
      <c r="D860" s="315" t="str">
        <f>+VLOOKUP($B860,[1]BOLETIM_SEL!$A:$H,4,0)</f>
        <v>Pintura de setas e legendas - termoplástico por extrusão - espessura de 3,0 mm (REF. SICRO COD. 5213409, DB 04-21)</v>
      </c>
      <c r="E860" s="2"/>
      <c r="F860" s="2" t="str">
        <f>+VLOOKUP($B860,[1]BOLETIM_SEL!$A:$H,6,0)</f>
        <v>M2</v>
      </c>
      <c r="G860" s="1407">
        <f>+VLOOKUP($B860,[1]BOLETIM_SEL!$A:$H,7,0)</f>
        <v>97.6</v>
      </c>
      <c r="H860" s="1606">
        <f>+Sinal_Via!N348</f>
        <v>35.04</v>
      </c>
      <c r="I860" s="876">
        <f t="shared" si="276"/>
        <v>119.07</v>
      </c>
      <c r="J860" s="1606">
        <f t="shared" si="277"/>
        <v>4172.21</v>
      </c>
      <c r="K860" s="1936">
        <f t="shared" ref="K860:K886" ca="1" si="278">+J860/$J$12</f>
        <v>1.1340437536961592E-3</v>
      </c>
      <c r="L860" s="1570">
        <f t="shared" si="274"/>
        <v>8.0213242670528193E-2</v>
      </c>
      <c r="M860" s="1442">
        <f>+VLOOKUP($B860,[1]BOLETIM_SEL!$A:$H,5,0)</f>
        <v>0</v>
      </c>
      <c r="N860" s="832"/>
      <c r="O860" s="832"/>
      <c r="Q860" s="832"/>
      <c r="R860" s="832"/>
      <c r="S860" s="832"/>
      <c r="T860" s="832"/>
      <c r="U860" s="832"/>
      <c r="V860" s="832"/>
      <c r="W860" s="832"/>
      <c r="X860" s="832"/>
    </row>
    <row r="861" spans="1:24" s="812" customFormat="1" ht="39.950000000000003" hidden="1" customHeight="1" x14ac:dyDescent="0.15">
      <c r="A861" s="1935">
        <f t="shared" ca="1" si="275"/>
        <v>11.02</v>
      </c>
      <c r="B861" s="2" t="s">
        <v>2384</v>
      </c>
      <c r="C861" s="2" t="str">
        <f>+VLOOKUP($B861,[1]BOLETIM_SEL!$A:$H,2,0)</f>
        <v>COMPOSIÇÃO</v>
      </c>
      <c r="D861" s="315" t="str">
        <f>+VLOOKUP($B861,[1]BOLETIM_SEL!$A:$H,4,0)</f>
        <v>Pintura de setas e legendas - tinta base acrílica emulsionada em água - espessura de 0,5 mm (REF. SICRO COD. 5213407, DB 04-21)</v>
      </c>
      <c r="E861" s="2"/>
      <c r="F861" s="2" t="str">
        <f>+VLOOKUP($B861,[1]BOLETIM_SEL!$A:$H,6,0)</f>
        <v>M2</v>
      </c>
      <c r="G861" s="1407">
        <f>+VLOOKUP($B861,[1]BOLETIM_SEL!$A:$H,7,0)</f>
        <v>37.76</v>
      </c>
      <c r="H861" s="1606">
        <f>Sinal_Via!N362</f>
        <v>0</v>
      </c>
      <c r="I861" s="876">
        <f t="shared" si="276"/>
        <v>46.06</v>
      </c>
      <c r="J861" s="1606">
        <f t="shared" si="277"/>
        <v>0</v>
      </c>
      <c r="K861" s="1936">
        <f t="shared" ca="1" si="278"/>
        <v>0</v>
      </c>
      <c r="L861" s="1570">
        <f t="shared" si="274"/>
        <v>0</v>
      </c>
      <c r="M861" s="1442" t="str">
        <f>+VLOOKUP($B861,[1]BOLETIM_SEL!$A:$H,5,0)</f>
        <v>ATENÇÃO
indicado para as
cidades do interior</v>
      </c>
      <c r="N861" s="832"/>
      <c r="O861" s="832"/>
      <c r="Q861" s="832"/>
      <c r="R861" s="832"/>
      <c r="S861" s="832"/>
      <c r="T861" s="832"/>
      <c r="U861" s="832"/>
      <c r="V861" s="832"/>
      <c r="W861" s="832"/>
      <c r="X861" s="832"/>
    </row>
    <row r="862" spans="1:24" s="812" customFormat="1" ht="30" customHeight="1" x14ac:dyDescent="0.15">
      <c r="A862" s="1935">
        <f t="shared" ca="1" si="275"/>
        <v>11.03</v>
      </c>
      <c r="B862" s="2" t="s">
        <v>2713</v>
      </c>
      <c r="C862" s="2" t="str">
        <f>+VLOOKUP($B862,[1]BOLETIM_SEL!$A:$H,2,0)</f>
        <v>COMPOSIÇÃO</v>
      </c>
      <c r="D862" s="315" t="str">
        <f>+VLOOKUP($B862,[1]BOLETIM_SEL!$A:$H,4,0)</f>
        <v>Pintura de faixa - termoplástico por aspersão Hot Spray - espessura de 1,5 mm (REF. SICRO COD. 5213408, DB 04-21)</v>
      </c>
      <c r="E862" s="2"/>
      <c r="F862" s="2" t="str">
        <f>+VLOOKUP($B862,[1]BOLETIM_SEL!$A:$H,6,0)</f>
        <v>M2</v>
      </c>
      <c r="G862" s="1407">
        <f>+VLOOKUP($B862,[1]BOLETIM_SEL!$A:$H,7,0)</f>
        <v>50.44</v>
      </c>
      <c r="H862" s="1606">
        <f>+Sinal_Via!N304</f>
        <v>86.34</v>
      </c>
      <c r="I862" s="876">
        <f t="shared" si="276"/>
        <v>61.53</v>
      </c>
      <c r="J862" s="1606">
        <f t="shared" si="277"/>
        <v>5312.5</v>
      </c>
      <c r="K862" s="1936">
        <f t="shared" ca="1" si="278"/>
        <v>1.4439847087061402E-3</v>
      </c>
      <c r="L862" s="1570">
        <f t="shared" si="274"/>
        <v>0.1021360026669753</v>
      </c>
      <c r="M862" s="1442">
        <f>+VLOOKUP($B862,[1]BOLETIM_SEL!$A:$H,5,0)</f>
        <v>0</v>
      </c>
      <c r="N862" s="832"/>
      <c r="O862" s="832"/>
      <c r="Q862" s="832"/>
      <c r="R862" s="832"/>
      <c r="S862" s="832"/>
      <c r="T862" s="832"/>
      <c r="U862" s="832"/>
      <c r="V862" s="832"/>
      <c r="W862" s="832"/>
      <c r="X862" s="832"/>
    </row>
    <row r="863" spans="1:24" s="812" customFormat="1" ht="39.950000000000003" hidden="1" customHeight="1" x14ac:dyDescent="0.15">
      <c r="A863" s="1935">
        <f t="shared" ca="1" si="275"/>
        <v>11.03</v>
      </c>
      <c r="B863" s="2" t="s">
        <v>2385</v>
      </c>
      <c r="C863" s="2" t="str">
        <f>+VLOOKUP($B863,[1]BOLETIM_SEL!$A:$H,2,0)</f>
        <v>COMPOSIÇÃO</v>
      </c>
      <c r="D863" s="315" t="str">
        <f>+VLOOKUP($B863,[1]BOLETIM_SEL!$A:$H,4,0)</f>
        <v>Pintura de faixa - termoplástico em alto relevo tipo II - relevo simples ranhurado - base (REF. SICRO COD. 5214004, DB 04-21)</v>
      </c>
      <c r="E863" s="2"/>
      <c r="F863" s="2" t="str">
        <f>+VLOOKUP($B863,[1]BOLETIM_SEL!$A:$H,6,0)</f>
        <v>M2</v>
      </c>
      <c r="G863" s="1407">
        <f>+VLOOKUP($B863,[1]BOLETIM_SEL!$A:$H,7,0)</f>
        <v>175.22</v>
      </c>
      <c r="H863" s="1606">
        <f>+Sinal_Via!N315</f>
        <v>0</v>
      </c>
      <c r="I863" s="876">
        <f t="shared" si="276"/>
        <v>213.76</v>
      </c>
      <c r="J863" s="1606">
        <f t="shared" si="277"/>
        <v>0</v>
      </c>
      <c r="K863" s="1936">
        <f t="shared" ca="1" si="278"/>
        <v>0</v>
      </c>
      <c r="L863" s="1570">
        <f t="shared" si="274"/>
        <v>0</v>
      </c>
      <c r="M863" s="1442">
        <f>+VLOOKUP($B863,[1]BOLETIM_SEL!$A:$H,5,0)</f>
        <v>0</v>
      </c>
      <c r="N863" s="832"/>
      <c r="O863" s="832"/>
      <c r="Q863" s="832"/>
      <c r="R863" s="832"/>
      <c r="S863" s="832"/>
      <c r="T863" s="832"/>
      <c r="U863" s="832"/>
      <c r="V863" s="832"/>
      <c r="W863" s="832"/>
      <c r="X863" s="832"/>
    </row>
    <row r="864" spans="1:24" s="812" customFormat="1" ht="39.950000000000003" hidden="1" customHeight="1" x14ac:dyDescent="0.15">
      <c r="A864" s="1935">
        <f t="shared" ca="1" si="275"/>
        <v>11.03</v>
      </c>
      <c r="B864" s="2" t="s">
        <v>268</v>
      </c>
      <c r="C864" s="2" t="str">
        <f>+VLOOKUP($B864,[1]BOLETIM_SEL!$A:$H,2,0)</f>
        <v>COMPOSIÇÃO</v>
      </c>
      <c r="D864" s="315" t="str">
        <f>+VLOOKUP($B864,[1]BOLETIM_SEL!$A:$H,4,0)</f>
        <v>Pintura de piso para ciclofaixa - plástico a frio bicomponente à base de resinas metacrílicas - espessura de 1,5 mm - plano (REF. SICRO COD. 5214009, DB 04-21)</v>
      </c>
      <c r="E864" s="2"/>
      <c r="F864" s="2" t="str">
        <f>+VLOOKUP($B864,[1]BOLETIM_SEL!$A:$H,6,0)</f>
        <v>M2</v>
      </c>
      <c r="G864" s="1407">
        <f>+VLOOKUP($B864,[1]BOLETIM_SEL!$A:$H,7,0)</f>
        <v>114.34</v>
      </c>
      <c r="H864" s="1606">
        <f>+Sinal_Via!N386</f>
        <v>0</v>
      </c>
      <c r="I864" s="876">
        <f t="shared" si="276"/>
        <v>139.49</v>
      </c>
      <c r="J864" s="1606">
        <f t="shared" si="277"/>
        <v>0</v>
      </c>
      <c r="K864" s="1936">
        <f t="shared" ca="1" si="278"/>
        <v>0</v>
      </c>
      <c r="L864" s="1570">
        <f t="shared" si="274"/>
        <v>0</v>
      </c>
      <c r="M864" s="1442">
        <f>+VLOOKUP($B864,[1]BOLETIM_SEL!$A:$H,5,0)</f>
        <v>0</v>
      </c>
      <c r="N864" s="832"/>
      <c r="O864" s="832"/>
      <c r="Q864" s="832"/>
      <c r="R864" s="832"/>
      <c r="S864" s="832"/>
      <c r="T864" s="832"/>
      <c r="U864" s="832"/>
      <c r="V864" s="832"/>
      <c r="W864" s="832"/>
      <c r="X864" s="832"/>
    </row>
    <row r="865" spans="1:24" s="812" customFormat="1" ht="39.950000000000003" hidden="1" customHeight="1" x14ac:dyDescent="0.15">
      <c r="A865" s="1935">
        <f t="shared" ca="1" si="275"/>
        <v>11.03</v>
      </c>
      <c r="B865" s="2" t="s">
        <v>284</v>
      </c>
      <c r="C865" s="2" t="str">
        <f>+VLOOKUP($B865,[1]BOLETIM_SEL!$A:$H,2,0)</f>
        <v>COMPOSIÇÃO</v>
      </c>
      <c r="D865" s="315" t="str">
        <f>+VLOOKUP($B865,[1]BOLETIM_SEL!$A:$H,4,0)</f>
        <v>Pintura de faixa para ciclovia - tinta base acrílica emulsionada em água - espessura de 0,3 mm (REF. SICRO COD. 5214001, DB 04-21)</v>
      </c>
      <c r="E865" s="2"/>
      <c r="F865" s="2" t="str">
        <f>+VLOOKUP($B865,[1]BOLETIM_SEL!$A:$H,6,0)</f>
        <v>M2</v>
      </c>
      <c r="G865" s="1407">
        <f>+VLOOKUP($B865,[1]BOLETIM_SEL!$A:$H,7,0)</f>
        <v>15.05</v>
      </c>
      <c r="H865" s="1606">
        <f>+Sinal_Via!N312</f>
        <v>0</v>
      </c>
      <c r="I865" s="876">
        <f t="shared" si="276"/>
        <v>18.36</v>
      </c>
      <c r="J865" s="1606">
        <f t="shared" si="277"/>
        <v>0</v>
      </c>
      <c r="K865" s="1936">
        <f t="shared" ca="1" si="278"/>
        <v>0</v>
      </c>
      <c r="L865" s="1570">
        <f t="shared" si="274"/>
        <v>0</v>
      </c>
      <c r="M865" s="1442">
        <f>+VLOOKUP($B865,[1]BOLETIM_SEL!$A:$H,5,0)</f>
        <v>0</v>
      </c>
      <c r="N865" s="832"/>
      <c r="O865" s="832"/>
      <c r="Q865" s="832"/>
      <c r="R865" s="832"/>
      <c r="S865" s="832"/>
      <c r="T865" s="832"/>
      <c r="U865" s="832"/>
      <c r="V865" s="832"/>
      <c r="W865" s="832"/>
      <c r="X865" s="832"/>
    </row>
    <row r="866" spans="1:24" s="812" customFormat="1" ht="39.950000000000003" hidden="1" customHeight="1" x14ac:dyDescent="0.15">
      <c r="A866" s="1935">
        <f t="shared" ca="1" si="275"/>
        <v>11.03</v>
      </c>
      <c r="B866" s="2" t="s">
        <v>427</v>
      </c>
      <c r="C866" s="2" t="str">
        <f>+VLOOKUP($B866,[1]BOLETIM_SEL!$A:$H,2,0)</f>
        <v>COMPOSIÇÃO</v>
      </c>
      <c r="D866" s="315" t="str">
        <f>+VLOOKUP($B866,[1]BOLETIM_SEL!$A:$H,4,0)</f>
        <v>Pintura de piso de ciclovia - tinta base acrílica emulsionada em água - espessura de 0,3 mm (REF. SICRO COD. 5214002, DB 04-21)</v>
      </c>
      <c r="E866" s="2"/>
      <c r="F866" s="2" t="str">
        <f>+VLOOKUP($B866,[1]BOLETIM_SEL!$A:$H,6,0)</f>
        <v>M2</v>
      </c>
      <c r="G866" s="1407">
        <f>+VLOOKUP($B866,[1]BOLETIM_SEL!$A:$H,7,0)</f>
        <v>32.659999999999997</v>
      </c>
      <c r="H866" s="1606">
        <f>+Sinal_Via!N389</f>
        <v>0</v>
      </c>
      <c r="I866" s="876">
        <f t="shared" si="276"/>
        <v>39.840000000000003</v>
      </c>
      <c r="J866" s="1606">
        <f t="shared" si="277"/>
        <v>0</v>
      </c>
      <c r="K866" s="1936">
        <f t="shared" ca="1" si="278"/>
        <v>0</v>
      </c>
      <c r="L866" s="1570">
        <f t="shared" si="274"/>
        <v>0</v>
      </c>
      <c r="M866" s="1442">
        <f>+VLOOKUP($B866,[1]BOLETIM_SEL!$A:$H,5,0)</f>
        <v>0</v>
      </c>
      <c r="N866" s="832"/>
      <c r="O866" s="832"/>
      <c r="Q866" s="832"/>
      <c r="R866" s="832"/>
      <c r="S866" s="832"/>
      <c r="T866" s="832"/>
      <c r="U866" s="832"/>
      <c r="V866" s="832"/>
      <c r="W866" s="832"/>
      <c r="X866" s="832"/>
    </row>
    <row r="867" spans="1:24" s="812" customFormat="1" ht="30" hidden="1" customHeight="1" x14ac:dyDescent="0.15">
      <c r="A867" s="1935">
        <f t="shared" ca="1" si="275"/>
        <v>11.03</v>
      </c>
      <c r="B867" s="2" t="s">
        <v>2386</v>
      </c>
      <c r="C867" s="2" t="str">
        <f>+VLOOKUP($B867,[1]BOLETIM_SEL!$A:$H,2,0)</f>
        <v>COMPOSIÇÃO</v>
      </c>
      <c r="D867" s="315" t="str">
        <f>+VLOOKUP($B867,[1]BOLETIM_SEL!$A:$H,4,0)</f>
        <v>Pintura de faixa - tinta base acrílica emulsionada em água - espessura de 0,5 mm (REF. SICRO COD. 5213403, DB 04-21)</v>
      </c>
      <c r="E867" s="2"/>
      <c r="F867" s="2" t="str">
        <f>+VLOOKUP($B867,[1]BOLETIM_SEL!$A:$H,6,0)</f>
        <v>M2</v>
      </c>
      <c r="G867" s="1407">
        <f>+VLOOKUP($B867,[1]BOLETIM_SEL!$A:$H,7,0)</f>
        <v>20.7</v>
      </c>
      <c r="H867" s="1606"/>
      <c r="I867" s="876">
        <f t="shared" si="276"/>
        <v>25.25</v>
      </c>
      <c r="J867" s="1606">
        <f t="shared" si="277"/>
        <v>0</v>
      </c>
      <c r="K867" s="1936">
        <f t="shared" ca="1" si="278"/>
        <v>0</v>
      </c>
      <c r="L867" s="1570">
        <f t="shared" si="274"/>
        <v>0</v>
      </c>
      <c r="M867" s="1442" t="str">
        <f>+VLOOKUP($B867,[1]BOLETIM_SEL!$A:$H,5,0)</f>
        <v>ATENÇÃO
indicado para as
cidades do interior</v>
      </c>
      <c r="N867" s="832"/>
      <c r="O867" s="832"/>
      <c r="Q867" s="832"/>
      <c r="R867" s="832"/>
      <c r="S867" s="832"/>
      <c r="T867" s="832"/>
      <c r="U867" s="832"/>
      <c r="V867" s="832"/>
      <c r="W867" s="832"/>
      <c r="X867" s="832"/>
    </row>
    <row r="868" spans="1:24" s="812" customFormat="1" ht="50.1" hidden="1" customHeight="1" x14ac:dyDescent="0.15">
      <c r="A868" s="1935">
        <f t="shared" ca="1" si="275"/>
        <v>11.03</v>
      </c>
      <c r="B868" s="2" t="s">
        <v>428</v>
      </c>
      <c r="C868" s="2" t="str">
        <f>+VLOOKUP($B868,[1]BOLETIM_SEL!$A:$H,2,0)</f>
        <v>COMPOSIÇÃO</v>
      </c>
      <c r="D868" s="315" t="str">
        <f>+VLOOKUP($B868,[1]BOLETIM_SEL!$A:$H,4,0)</f>
        <v>Laminado elastoplástico para legendas, com 1,5mm de espessura e com medidas diversas, em cores, com micro-esferas de vidro. Em projetos que utilizem entre 150 e 500m2 do material. Fornecimento e aplicação (REF. SCO/RJ COD. ST 75.15.0050)</v>
      </c>
      <c r="E868" s="2"/>
      <c r="F868" s="2" t="str">
        <f>+VLOOKUP($B868,[1]BOLETIM_SEL!$A:$H,6,0)</f>
        <v>M2</v>
      </c>
      <c r="G868" s="1407">
        <f>+VLOOKUP($B868,[1]BOLETIM_SEL!$A:$H,7,0)</f>
        <v>366.17</v>
      </c>
      <c r="H868" s="1606">
        <f>+Sinal_Via!N355</f>
        <v>0</v>
      </c>
      <c r="I868" s="876">
        <f t="shared" si="276"/>
        <v>446.72</v>
      </c>
      <c r="J868" s="1606">
        <f t="shared" si="277"/>
        <v>0</v>
      </c>
      <c r="K868" s="1936">
        <f t="shared" ca="1" si="278"/>
        <v>0</v>
      </c>
      <c r="L868" s="1570">
        <f t="shared" si="274"/>
        <v>0</v>
      </c>
      <c r="M868" s="1442">
        <f>+VLOOKUP($B868,[1]BOLETIM_SEL!$A:$H,5,0)</f>
        <v>0</v>
      </c>
      <c r="N868" s="832"/>
      <c r="O868" s="832"/>
      <c r="Q868" s="832"/>
      <c r="R868" s="832"/>
      <c r="S868" s="832"/>
      <c r="T868" s="832"/>
      <c r="U868" s="832"/>
      <c r="V868" s="832"/>
      <c r="W868" s="832"/>
      <c r="X868" s="832"/>
    </row>
    <row r="869" spans="1:24" s="812" customFormat="1" ht="50.1" hidden="1" customHeight="1" x14ac:dyDescent="0.15">
      <c r="A869" s="1935">
        <f t="shared" ca="1" si="275"/>
        <v>11.03</v>
      </c>
      <c r="B869" s="2" t="s">
        <v>2387</v>
      </c>
      <c r="C869" s="2" t="str">
        <f>+VLOOKUP($B869,[1]BOLETIM_SEL!$A:$H,2,0)</f>
        <v>COMPOSIÇÃO</v>
      </c>
      <c r="D869" s="315" t="str">
        <f>+VLOOKUP($B869,[1]BOLETIM_SEL!$A:$H,4,0)</f>
        <v>Aplicação de selante asfáltico a base de resina acrílica para pavimentos de concreto, usado como imprimador para material termoplástico, inclusive fornecimento dos materiais necessários conforme especificação AGETRAN / PMCG (CET-RIO COD. ST 74.05.0600)</v>
      </c>
      <c r="E869" s="2"/>
      <c r="F869" s="2" t="str">
        <f>+VLOOKUP($B869,[1]BOLETIM_SEL!$A:$H,6,0)</f>
        <v>M2</v>
      </c>
      <c r="G869" s="1407">
        <f>+VLOOKUP($B869,[1]BOLETIM_SEL!$A:$H,7,0)</f>
        <v>32.72</v>
      </c>
      <c r="H869" s="1606"/>
      <c r="I869" s="876">
        <f t="shared" si="276"/>
        <v>39.909999999999997</v>
      </c>
      <c r="J869" s="1606">
        <f t="shared" si="277"/>
        <v>0</v>
      </c>
      <c r="K869" s="1936">
        <f t="shared" ca="1" si="278"/>
        <v>0</v>
      </c>
      <c r="L869" s="1570">
        <f t="shared" si="274"/>
        <v>0</v>
      </c>
      <c r="M869" s="1442">
        <f>+VLOOKUP($B869,[1]BOLETIM_SEL!$A:$H,5,0)</f>
        <v>0</v>
      </c>
      <c r="N869" s="832"/>
      <c r="O869" s="832"/>
      <c r="Q869" s="832"/>
      <c r="R869" s="832"/>
      <c r="S869" s="832"/>
      <c r="T869" s="832"/>
      <c r="U869" s="832"/>
      <c r="V869" s="832"/>
      <c r="W869" s="832"/>
      <c r="X869" s="832"/>
    </row>
    <row r="870" spans="1:24" s="812" customFormat="1" ht="30" hidden="1" customHeight="1" x14ac:dyDescent="0.15">
      <c r="A870" s="1935">
        <f t="shared" ca="1" si="275"/>
        <v>11.03</v>
      </c>
      <c r="B870" s="2" t="s">
        <v>2388</v>
      </c>
      <c r="C870" s="2" t="str">
        <f>+VLOOKUP($B870,[1]BOLETIM_SEL!$A:$H,2,0)</f>
        <v>COMPOSIÇÃO</v>
      </c>
      <c r="D870" s="315" t="str">
        <f>+VLOOKUP($B870,[1]BOLETIM_SEL!$A:$H,4,0)</f>
        <v>Retirada de pintura a base de resina acrilica (CET-RIO COD. ST 74.05.0550)</v>
      </c>
      <c r="E870" s="2"/>
      <c r="F870" s="2" t="str">
        <f>+VLOOKUP($B870,[1]BOLETIM_SEL!$A:$H,6,0)</f>
        <v>M2</v>
      </c>
      <c r="G870" s="1407">
        <f>+VLOOKUP($B870,[1]BOLETIM_SEL!$A:$H,7,0)</f>
        <v>7.03</v>
      </c>
      <c r="H870" s="1606"/>
      <c r="I870" s="876">
        <f t="shared" si="276"/>
        <v>8.57</v>
      </c>
      <c r="J870" s="1606">
        <f t="shared" si="277"/>
        <v>0</v>
      </c>
      <c r="K870" s="1936">
        <f t="shared" ca="1" si="278"/>
        <v>0</v>
      </c>
      <c r="L870" s="1570">
        <f t="shared" si="274"/>
        <v>0</v>
      </c>
      <c r="M870" s="1442">
        <f>+VLOOKUP($B870,[1]BOLETIM_SEL!$A:$H,5,0)</f>
        <v>0</v>
      </c>
      <c r="N870" s="832"/>
      <c r="O870" s="832"/>
      <c r="Q870" s="832"/>
      <c r="R870" s="832"/>
      <c r="S870" s="832"/>
      <c r="T870" s="832"/>
      <c r="U870" s="832"/>
      <c r="V870" s="832"/>
      <c r="W870" s="832"/>
      <c r="X870" s="832"/>
    </row>
    <row r="871" spans="1:24" s="812" customFormat="1" ht="39.950000000000003" hidden="1" customHeight="1" x14ac:dyDescent="0.15">
      <c r="A871" s="1935">
        <f t="shared" ca="1" si="275"/>
        <v>11.03</v>
      </c>
      <c r="B871" s="2" t="s">
        <v>429</v>
      </c>
      <c r="C871" s="2" t="str">
        <f>+VLOOKUP($B871,[1]BOLETIM_SEL!$A:$H,2,0)</f>
        <v>COMPOSIÇÃO</v>
      </c>
      <c r="D871" s="315" t="str">
        <f>+VLOOKUP($B871,[1]BOLETIM_SEL!$A:$H,4,0)</f>
        <v>Tacha refletiva em plástico injetado - monodirecional tipo I - com um pino - fornecimento e colocação, padrão DNIT, fixada com cola polister (REF. SICRO COD. 5219627, DB 04-21)</v>
      </c>
      <c r="E871" s="2"/>
      <c r="F871" s="2" t="str">
        <f>+VLOOKUP($B871,[1]BOLETIM_SEL!$A:$H,6,0)</f>
        <v xml:space="preserve">UN </v>
      </c>
      <c r="G871" s="1407">
        <f>+VLOOKUP($B871,[1]BOLETIM_SEL!$A:$H,7,0)</f>
        <v>44.38</v>
      </c>
      <c r="H871" s="1606">
        <f>+Sinal_Via!N390+Sinal_Via!N391</f>
        <v>0</v>
      </c>
      <c r="I871" s="876">
        <f t="shared" si="276"/>
        <v>54.14</v>
      </c>
      <c r="J871" s="1606">
        <f t="shared" si="277"/>
        <v>0</v>
      </c>
      <c r="K871" s="1936">
        <f t="shared" ca="1" si="278"/>
        <v>0</v>
      </c>
      <c r="L871" s="1570">
        <f t="shared" si="274"/>
        <v>0</v>
      </c>
      <c r="M871" s="1442">
        <f>+VLOOKUP($B871,[1]BOLETIM_SEL!$A:$H,5,0)</f>
        <v>0</v>
      </c>
      <c r="N871" s="832"/>
      <c r="O871" s="832"/>
      <c r="Q871" s="832"/>
      <c r="R871" s="832"/>
      <c r="S871" s="832"/>
      <c r="T871" s="832"/>
      <c r="U871" s="832"/>
      <c r="V871" s="832"/>
      <c r="W871" s="832"/>
      <c r="X871" s="832"/>
    </row>
    <row r="872" spans="1:24" s="812" customFormat="1" ht="30" hidden="1" customHeight="1" x14ac:dyDescent="0.15">
      <c r="A872" s="1935">
        <f t="shared" ca="1" si="275"/>
        <v>11.03</v>
      </c>
      <c r="B872" s="2" t="s">
        <v>598</v>
      </c>
      <c r="C872" s="2" t="str">
        <f>+VLOOKUP($B872,[1]BOLETIM_SEL!$A:$H,2,0)</f>
        <v>COMPOSIÇÃO</v>
      </c>
      <c r="D872" s="315" t="str">
        <f>+VLOOKUP($B872,[1]BOLETIM_SEL!$A:$H,4,0)</f>
        <v>Tacha refletiva bidirecional, padrão DNIT, fornecimento e fixada com cola polister (REF. SICRO COD. 5219619)</v>
      </c>
      <c r="E872" s="2"/>
      <c r="F872" s="2" t="str">
        <f>+VLOOKUP($B872,[1]BOLETIM_SEL!$A:$H,6,0)</f>
        <v xml:space="preserve">UN </v>
      </c>
      <c r="G872" s="1407">
        <f>+VLOOKUP($B872,[1]BOLETIM_SEL!$A:$H,7,0)</f>
        <v>43.15</v>
      </c>
      <c r="H872" s="1606">
        <f>+Sinal_Via!N392+Sinal_Via!N393</f>
        <v>0</v>
      </c>
      <c r="I872" s="876">
        <f t="shared" si="276"/>
        <v>52.64</v>
      </c>
      <c r="J872" s="1606">
        <f t="shared" si="277"/>
        <v>0</v>
      </c>
      <c r="K872" s="1936">
        <f t="shared" ca="1" si="278"/>
        <v>0</v>
      </c>
      <c r="L872" s="1570">
        <f t="shared" si="274"/>
        <v>0</v>
      </c>
      <c r="M872" s="1442">
        <f>+VLOOKUP($B872,[1]BOLETIM_SEL!$A:$H,5,0)</f>
        <v>0</v>
      </c>
      <c r="N872" s="832"/>
      <c r="O872" s="832"/>
      <c r="Q872" s="832"/>
      <c r="R872" s="832"/>
      <c r="S872" s="832"/>
      <c r="T872" s="832"/>
      <c r="U872" s="832"/>
      <c r="V872" s="832"/>
      <c r="W872" s="832"/>
      <c r="X872" s="832"/>
    </row>
    <row r="873" spans="1:24" s="812" customFormat="1" ht="30" hidden="1" customHeight="1" x14ac:dyDescent="0.15">
      <c r="A873" s="1935">
        <f t="shared" ca="1" si="275"/>
        <v>11.03</v>
      </c>
      <c r="B873" s="2" t="s">
        <v>430</v>
      </c>
      <c r="C873" s="2" t="str">
        <f>+VLOOKUP($B873,[1]BOLETIM_SEL!$A:$H,2,0)</f>
        <v>COMPOSIÇÃO</v>
      </c>
      <c r="D873" s="315" t="str">
        <f>+VLOOKUP($B873,[1]BOLETIM_SEL!$A:$H,4,0)</f>
        <v>Tachão refletivo monodirecional, padrão DNIT, fornecimento e fixada com cola polister (REF. SICRO COD. 5219644)</v>
      </c>
      <c r="E873" s="2"/>
      <c r="F873" s="2" t="str">
        <f>+VLOOKUP($B873,[1]BOLETIM_SEL!$A:$H,6,0)</f>
        <v xml:space="preserve">UN </v>
      </c>
      <c r="G873" s="1407">
        <f>+VLOOKUP($B873,[1]BOLETIM_SEL!$A:$H,7,0)</f>
        <v>78.63</v>
      </c>
      <c r="H873" s="1606">
        <f>+Sinal_Via!N394+Sinal_Via!N395</f>
        <v>0</v>
      </c>
      <c r="I873" s="876">
        <f>+TRUNC(G873*(1+$J$5),2)</f>
        <v>95.92</v>
      </c>
      <c r="J873" s="1606">
        <f>TRUNC(H873*I873,2)</f>
        <v>0</v>
      </c>
      <c r="K873" s="1936">
        <f ca="1">+J873/$J$12</f>
        <v>0</v>
      </c>
      <c r="L873" s="1570">
        <f>+J873/J$858</f>
        <v>0</v>
      </c>
      <c r="M873" s="1442">
        <f>+VLOOKUP($B873,[1]BOLETIM_SEL!$A:$H,5,0)</f>
        <v>0</v>
      </c>
      <c r="N873" s="832"/>
      <c r="O873" s="832"/>
      <c r="Q873" s="832"/>
      <c r="R873" s="832"/>
      <c r="S873" s="832"/>
      <c r="T873" s="832"/>
      <c r="U873" s="832"/>
      <c r="V873" s="832"/>
      <c r="W873" s="832"/>
      <c r="X873" s="832"/>
    </row>
    <row r="874" spans="1:24" s="812" customFormat="1" ht="30" hidden="1" customHeight="1" x14ac:dyDescent="0.15">
      <c r="A874" s="1935">
        <f t="shared" ca="1" si="275"/>
        <v>11.03</v>
      </c>
      <c r="B874" s="2" t="s">
        <v>431</v>
      </c>
      <c r="C874" s="2" t="str">
        <f>+VLOOKUP($B874,[1]BOLETIM_SEL!$A:$H,2,0)</f>
        <v>COMPOSIÇÃO</v>
      </c>
      <c r="D874" s="315" t="str">
        <f>+VLOOKUP($B874,[1]BOLETIM_SEL!$A:$H,4,0)</f>
        <v>Tachão refletivo bidirecional, padrão DNIT, fornecimento e fixada com cola polister (REF. SICRO COD. 5219643)</v>
      </c>
      <c r="E874" s="2"/>
      <c r="F874" s="2" t="str">
        <f>+VLOOKUP($B874,[1]BOLETIM_SEL!$A:$H,6,0)</f>
        <v xml:space="preserve">UN </v>
      </c>
      <c r="G874" s="1407">
        <f>+VLOOKUP($B874,[1]BOLETIM_SEL!$A:$H,7,0)</f>
        <v>80.36</v>
      </c>
      <c r="H874" s="1606">
        <f>+Sinal_Via!N396+Sinal_Via!N397</f>
        <v>0</v>
      </c>
      <c r="I874" s="876">
        <f t="shared" si="276"/>
        <v>98.03</v>
      </c>
      <c r="J874" s="1606">
        <f t="shared" si="277"/>
        <v>0</v>
      </c>
      <c r="K874" s="1936">
        <f t="shared" ca="1" si="278"/>
        <v>0</v>
      </c>
      <c r="L874" s="1570">
        <f t="shared" si="274"/>
        <v>0</v>
      </c>
      <c r="M874" s="1442"/>
      <c r="N874" s="832"/>
      <c r="O874" s="832"/>
      <c r="Q874" s="832"/>
      <c r="R874" s="832"/>
      <c r="S874" s="832"/>
      <c r="T874" s="832"/>
      <c r="U874" s="832"/>
      <c r="V874" s="832"/>
      <c r="W874" s="832"/>
      <c r="X874" s="832"/>
    </row>
    <row r="875" spans="1:24" s="812" customFormat="1" ht="50.1" hidden="1" customHeight="1" x14ac:dyDescent="0.15">
      <c r="A875" s="1935">
        <f t="shared" ca="1" si="275"/>
        <v>11.03</v>
      </c>
      <c r="B875" s="2" t="s">
        <v>432</v>
      </c>
      <c r="C875" s="2" t="str">
        <f>+VLOOKUP($B875,[1]BOLETIM_SEL!$A:$H,2,0)</f>
        <v>COMPOSIÇÃO</v>
      </c>
      <c r="D875" s="315" t="str">
        <f>+VLOOKUP($B875,[1]BOLETIM_SEL!$A:$H,4,0)</f>
        <v>Fornecimento e implantação de coluna de aço cônica contínua, tipo I, para até 4 braços projetados capaz de sustentar, cada um, semáforo e placa de 3m²; coluna galvanizada a fogo; altura útil total de 5,00m; diâmetro na base igual a 187mm; conforme especificação da AGETRAN / PMCG</v>
      </c>
      <c r="E875" s="2"/>
      <c r="F875" s="2" t="str">
        <f>+VLOOKUP($B875,[1]BOLETIM_SEL!$A:$H,6,0)</f>
        <v xml:space="preserve">UN </v>
      </c>
      <c r="G875" s="1407">
        <f>+VLOOKUP($B875,[1]BOLETIM_SEL!$A:$H,7,0)</f>
        <v>8251.84</v>
      </c>
      <c r="H875" s="1606">
        <f>+Sinal_Via!N292</f>
        <v>0</v>
      </c>
      <c r="I875" s="876">
        <f t="shared" si="276"/>
        <v>10067.24</v>
      </c>
      <c r="J875" s="1606">
        <f t="shared" si="277"/>
        <v>0</v>
      </c>
      <c r="K875" s="1936">
        <f t="shared" ca="1" si="278"/>
        <v>0</v>
      </c>
      <c r="L875" s="1570">
        <f t="shared" si="274"/>
        <v>0</v>
      </c>
      <c r="M875" s="1442">
        <f>+VLOOKUP($B875,[1]BOLETIM_SEL!$A:$H,5,0)</f>
        <v>0</v>
      </c>
      <c r="N875" s="832"/>
      <c r="O875" s="832"/>
      <c r="Q875" s="832"/>
      <c r="R875" s="832"/>
      <c r="S875" s="832"/>
      <c r="T875" s="832"/>
      <c r="U875" s="832"/>
      <c r="V875" s="832"/>
      <c r="W875" s="832"/>
      <c r="X875" s="832"/>
    </row>
    <row r="876" spans="1:24" s="812" customFormat="1" ht="50.1" hidden="1" customHeight="1" x14ac:dyDescent="0.15">
      <c r="A876" s="1935">
        <f t="shared" ca="1" si="275"/>
        <v>11.03</v>
      </c>
      <c r="B876" s="2" t="s">
        <v>433</v>
      </c>
      <c r="C876" s="2" t="str">
        <f>+VLOOKUP($B876,[1]BOLETIM_SEL!$A:$H,2,0)</f>
        <v>COMPOSIÇÃO</v>
      </c>
      <c r="D876" s="315" t="str">
        <f>+VLOOKUP($B876,[1]BOLETIM_SEL!$A:$H,4,0)</f>
        <v>Fornecimento e implantação de braço projetado de aço para sustentação de semáforo e placa até 3m², galvanizado a fogo; para fixação em coluna cônica continua tipo I, projeção de 4,70m; diâmetro junto a flange de 123mm; conforme especificação da AGETRAN / PMCG</v>
      </c>
      <c r="E876" s="2"/>
      <c r="F876" s="2" t="str">
        <f>+VLOOKUP($B876,[1]BOLETIM_SEL!$A:$H,6,0)</f>
        <v xml:space="preserve">UN </v>
      </c>
      <c r="G876" s="1407">
        <f>+VLOOKUP($B876,[1]BOLETIM_SEL!$A:$H,7,0)</f>
        <v>4824.9799999999996</v>
      </c>
      <c r="H876" s="1606">
        <f>+Sinal_Via!N293</f>
        <v>0</v>
      </c>
      <c r="I876" s="876">
        <f t="shared" si="276"/>
        <v>5886.47</v>
      </c>
      <c r="J876" s="1606">
        <f t="shared" si="277"/>
        <v>0</v>
      </c>
      <c r="K876" s="1936">
        <f t="shared" ca="1" si="278"/>
        <v>0</v>
      </c>
      <c r="L876" s="1570">
        <f t="shared" si="274"/>
        <v>0</v>
      </c>
      <c r="M876" s="1442">
        <f>+VLOOKUP($B876,[1]BOLETIM_SEL!$A:$H,5,0)</f>
        <v>0</v>
      </c>
      <c r="N876" s="832"/>
      <c r="O876" s="832"/>
      <c r="Q876" s="832"/>
      <c r="R876" s="832"/>
      <c r="S876" s="832"/>
      <c r="T876" s="832"/>
      <c r="U876" s="832"/>
      <c r="V876" s="832"/>
      <c r="W876" s="832"/>
      <c r="X876" s="832"/>
    </row>
    <row r="877" spans="1:24" s="812" customFormat="1" ht="50.1" hidden="1" customHeight="1" x14ac:dyDescent="0.15">
      <c r="A877" s="1935">
        <f t="shared" ca="1" si="275"/>
        <v>11.03</v>
      </c>
      <c r="B877" s="2" t="s">
        <v>2389</v>
      </c>
      <c r="C877" s="2" t="str">
        <f>+VLOOKUP($B877,[1]BOLETIM_SEL!$A:$H,2,0)</f>
        <v>COMPOSIÇÃO</v>
      </c>
      <c r="D877" s="315" t="str">
        <f>+VLOOKUP($B877,[1]BOLETIM_SEL!$A:$H,4,0)</f>
        <v>Poste simples madeira de lei aparelhada 75 x 75 x 3500 mm para suporte de placa de sinalização, pintado com esmalte sintético e fixado em base de concreto estrutural -fornecimento e implantação. Inclusive serviço de implantação da placa de sinalização</v>
      </c>
      <c r="E877" s="2"/>
      <c r="F877" s="2" t="str">
        <f>+VLOOKUP($B877,[1]BOLETIM_SEL!$A:$H,6,0)</f>
        <v xml:space="preserve">UN </v>
      </c>
      <c r="G877" s="1407">
        <f>+VLOOKUP($B877,[1]BOLETIM_SEL!$A:$H,7,0)</f>
        <v>234.3</v>
      </c>
      <c r="H877" s="1606"/>
      <c r="I877" s="876">
        <f t="shared" si="276"/>
        <v>285.83999999999997</v>
      </c>
      <c r="J877" s="1606">
        <f t="shared" si="277"/>
        <v>0</v>
      </c>
      <c r="K877" s="1936">
        <f t="shared" ca="1" si="278"/>
        <v>0</v>
      </c>
      <c r="L877" s="1570">
        <f t="shared" si="274"/>
        <v>0</v>
      </c>
      <c r="M877" s="1442">
        <f>+VLOOKUP($B877,[1]BOLETIM_SEL!$A:$H,5,0)</f>
        <v>0</v>
      </c>
      <c r="N877" s="832"/>
      <c r="O877" s="832"/>
      <c r="Q877" s="832"/>
      <c r="R877" s="832"/>
      <c r="S877" s="832"/>
      <c r="T877" s="832"/>
      <c r="U877" s="832"/>
      <c r="V877" s="832"/>
      <c r="W877" s="832"/>
      <c r="X877" s="832"/>
    </row>
    <row r="878" spans="1:24" s="812" customFormat="1" ht="50.1" customHeight="1" x14ac:dyDescent="0.15">
      <c r="A878" s="1935">
        <f t="shared" ca="1" si="275"/>
        <v>11.04</v>
      </c>
      <c r="B878" s="2" t="s">
        <v>900</v>
      </c>
      <c r="C878" s="2" t="str">
        <f>+VLOOKUP($B878,[1]BOLETIM_SEL!$A:$H,2,0)</f>
        <v>COMPOSIÇÃO</v>
      </c>
      <c r="D878" s="315" t="str">
        <f>+VLOOKUP($B878,[1]BOLETIM_SEL!$A:$H,4,0)</f>
        <v>Coluna simples de 50,8 mm (2") de diâmetro, espessura da parede 2,75mm, altura total de 3500mm, em aço galvanizado por imersão à quente para suporte de placa de sinalização e fixado em base de concreto estrutural  - fornecimento e implantação. Inclusive serviço de implantação da placa de sinalização</v>
      </c>
      <c r="E878" s="2"/>
      <c r="F878" s="2" t="str">
        <f>+VLOOKUP($B878,[1]BOLETIM_SEL!$A:$H,6,0)</f>
        <v xml:space="preserve">UN </v>
      </c>
      <c r="G878" s="1407">
        <f>+VLOOKUP($B878,[1]BOLETIM_SEL!$A:$H,7,0)</f>
        <v>440.16</v>
      </c>
      <c r="H878" s="1606">
        <f>+Sinal_Via!N291+Sinal_Via!N295</f>
        <v>51</v>
      </c>
      <c r="I878" s="876">
        <f t="shared" si="276"/>
        <v>536.99</v>
      </c>
      <c r="J878" s="1606">
        <f t="shared" si="277"/>
        <v>27386.49</v>
      </c>
      <c r="K878" s="1936">
        <f t="shared" ca="1" si="278"/>
        <v>7.4438913477898588E-3</v>
      </c>
      <c r="L878" s="1570">
        <f t="shared" si="274"/>
        <v>0.52652171589253505</v>
      </c>
      <c r="M878" s="1442">
        <f>+VLOOKUP($B878,[1]BOLETIM_SEL!$A:$H,5,0)</f>
        <v>0</v>
      </c>
      <c r="N878" s="832"/>
      <c r="O878" s="832"/>
      <c r="Q878" s="832"/>
      <c r="R878" s="832"/>
      <c r="S878" s="832"/>
      <c r="T878" s="832"/>
      <c r="U878" s="832"/>
      <c r="V878" s="832"/>
      <c r="W878" s="832"/>
      <c r="X878" s="832"/>
    </row>
    <row r="879" spans="1:24" s="812" customFormat="1" ht="30" hidden="1" customHeight="1" x14ac:dyDescent="0.15">
      <c r="A879" s="1935">
        <f t="shared" ca="1" si="275"/>
        <v>11.04</v>
      </c>
      <c r="B879" s="2" t="s">
        <v>2390</v>
      </c>
      <c r="C879" s="2" t="str">
        <f>+VLOOKUP($B879,[1]BOLETIM_SEL!$A:$H,2,0)</f>
        <v>COMPOSIÇÃO</v>
      </c>
      <c r="D879" s="315" t="str">
        <f>+VLOOKUP($B879,[1]BOLETIM_SEL!$A:$H,4,0)</f>
        <v>Implantação de placa de sinalização em poste de energia elétrica, incluindo elementos de fixação</v>
      </c>
      <c r="E879" s="2"/>
      <c r="F879" s="2" t="str">
        <f>+VLOOKUP($B879,[1]BOLETIM_SEL!$A:$H,6,0)</f>
        <v xml:space="preserve">UN </v>
      </c>
      <c r="G879" s="1407">
        <f>+VLOOKUP($B879,[1]BOLETIM_SEL!$A:$H,7,0)</f>
        <v>84.21</v>
      </c>
      <c r="H879" s="1606"/>
      <c r="I879" s="876">
        <f t="shared" si="276"/>
        <v>102.73</v>
      </c>
      <c r="J879" s="1606">
        <f t="shared" si="277"/>
        <v>0</v>
      </c>
      <c r="K879" s="1936">
        <f t="shared" ca="1" si="278"/>
        <v>0</v>
      </c>
      <c r="L879" s="1570">
        <f t="shared" si="274"/>
        <v>0</v>
      </c>
      <c r="M879" s="1442">
        <f>+VLOOKUP($B879,[1]BOLETIM_SEL!$A:$H,5,0)</f>
        <v>0</v>
      </c>
      <c r="N879" s="832"/>
      <c r="O879" s="832"/>
      <c r="Q879" s="832"/>
      <c r="R879" s="832"/>
      <c r="S879" s="832"/>
      <c r="T879" s="832"/>
      <c r="U879" s="832"/>
      <c r="V879" s="832"/>
      <c r="W879" s="832"/>
      <c r="X879" s="832"/>
    </row>
    <row r="880" spans="1:24" s="812" customFormat="1" ht="30" hidden="1" customHeight="1" x14ac:dyDescent="0.15">
      <c r="A880" s="1935">
        <f t="shared" ca="1" si="275"/>
        <v>11.04</v>
      </c>
      <c r="B880" s="2" t="s">
        <v>434</v>
      </c>
      <c r="C880" s="2" t="str">
        <f>+VLOOKUP($B880,[1]BOLETIM_SEL!$A:$H,2,0)</f>
        <v>COMPOSIÇÃO</v>
      </c>
      <c r="D880" s="315" t="str">
        <f>+VLOOKUP($B880,[1]BOLETIM_SEL!$A:$H,4,0)</f>
        <v>Implantação de placa de sinalização em braço projetado, incluindo elementos de fixação</v>
      </c>
      <c r="E880" s="2"/>
      <c r="F880" s="2" t="str">
        <f>+VLOOKUP($B880,[1]BOLETIM_SEL!$A:$H,6,0)</f>
        <v xml:space="preserve">UN </v>
      </c>
      <c r="G880" s="1407">
        <f>+VLOOKUP($B880,[1]BOLETIM_SEL!$A:$H,7,0)</f>
        <v>647.44000000000005</v>
      </c>
      <c r="H880" s="1606">
        <f>+H875</f>
        <v>0</v>
      </c>
      <c r="I880" s="876">
        <f t="shared" si="276"/>
        <v>789.87</v>
      </c>
      <c r="J880" s="1606">
        <f t="shared" si="277"/>
        <v>0</v>
      </c>
      <c r="K880" s="1936">
        <f t="shared" ca="1" si="278"/>
        <v>0</v>
      </c>
      <c r="L880" s="1570">
        <f t="shared" si="274"/>
        <v>0</v>
      </c>
      <c r="M880" s="1442">
        <f>+VLOOKUP($B880,[1]BOLETIM_SEL!$A:$H,5,0)</f>
        <v>0</v>
      </c>
      <c r="N880" s="832"/>
      <c r="O880" s="832"/>
      <c r="Q880" s="832"/>
      <c r="R880" s="832"/>
      <c r="S880" s="832"/>
      <c r="T880" s="832"/>
      <c r="U880" s="832"/>
      <c r="V880" s="832"/>
      <c r="W880" s="832"/>
      <c r="X880" s="832"/>
    </row>
    <row r="881" spans="1:24" s="812" customFormat="1" ht="50.1" customHeight="1" x14ac:dyDescent="0.15">
      <c r="A881" s="1935">
        <f t="shared" ca="1" si="275"/>
        <v>11.049999999999999</v>
      </c>
      <c r="B881" s="2" t="s">
        <v>2391</v>
      </c>
      <c r="C881" s="2" t="str">
        <f>+VLOOKUP($B881,[1]BOLETIM_SEL!$A:$H,2,0)</f>
        <v>COMPOSIÇÃO</v>
      </c>
      <c r="D881" s="315" t="str">
        <f>+VLOOKUP($B881,[1]BOLETIM_SEL!$A:$H,4,0)</f>
        <v>Placa de sinalização de alumínio, espessura 1,5 mm, com fundo, símbolos e tarjas em película refletiva com esferas inclusas tipo I-A da NBR 14644 (GT/GT), inclusive elementos de fixação, conforme especificação AGETRAN/PMCG - Incluso fornecimento</v>
      </c>
      <c r="E881" s="2"/>
      <c r="F881" s="2" t="str">
        <f>+VLOOKUP($B881,[1]BOLETIM_SEL!$A:$H,6,0)</f>
        <v>M2</v>
      </c>
      <c r="G881" s="1407">
        <f>+VLOOKUP($B881,[1]BOLETIM_SEL!$A:$H,7,0)</f>
        <v>760</v>
      </c>
      <c r="H881" s="1606">
        <f>+Sinal_Via!N280</f>
        <v>9.4</v>
      </c>
      <c r="I881" s="876">
        <f t="shared" si="276"/>
        <v>927.2</v>
      </c>
      <c r="J881" s="1606">
        <f t="shared" si="277"/>
        <v>8715.68</v>
      </c>
      <c r="K881" s="1936">
        <f t="shared" ca="1" si="278"/>
        <v>2.3689992745366461E-3</v>
      </c>
      <c r="L881" s="1570">
        <f t="shared" si="274"/>
        <v>0.16756418178343591</v>
      </c>
      <c r="M881" s="1442">
        <f>+VLOOKUP($B881,[1]BOLETIM_SEL!$A:$H,5,0)</f>
        <v>0</v>
      </c>
      <c r="N881" s="832"/>
      <c r="O881" s="832"/>
      <c r="Q881" s="832"/>
      <c r="R881" s="832"/>
      <c r="S881" s="832"/>
      <c r="T881" s="832"/>
      <c r="U881" s="832"/>
      <c r="V881" s="832"/>
      <c r="W881" s="832"/>
      <c r="X881" s="832"/>
    </row>
    <row r="882" spans="1:24" s="812" customFormat="1" ht="39.950000000000003" hidden="1" customHeight="1" x14ac:dyDescent="0.15">
      <c r="A882" s="1935">
        <f t="shared" ca="1" si="275"/>
        <v>11.049999999999999</v>
      </c>
      <c r="B882" s="2" t="s">
        <v>2392</v>
      </c>
      <c r="C882" s="2" t="str">
        <f>+VLOOKUP($B882,[1]BOLETIM_SEL!$A:$H,2,0)</f>
        <v>COMPOSIÇÃO</v>
      </c>
      <c r="D882" s="315" t="str">
        <f>+VLOOKUP($B882,[1]BOLETIM_SEL!$A:$H,4,0)</f>
        <v>Placa de sinalização de alumínio, espessura 2mm, com fundo, símbolos e tarjas em película refletiva com esferas inclusas tipo I-A da NBR 14644 (GT/GT), inclusive elementos de fixação, conforme especificação AGETRAN/PMCG - fornecimento</v>
      </c>
      <c r="E882" s="2"/>
      <c r="F882" s="2" t="str">
        <f>+VLOOKUP($B882,[1]BOLETIM_SEL!$A:$H,6,0)</f>
        <v>M2</v>
      </c>
      <c r="G882" s="1407">
        <f>+VLOOKUP($B882,[1]BOLETIM_SEL!$A:$H,7,0)</f>
        <v>720</v>
      </c>
      <c r="H882" s="1606"/>
      <c r="I882" s="876">
        <f t="shared" si="276"/>
        <v>878.4</v>
      </c>
      <c r="J882" s="1606">
        <f t="shared" si="277"/>
        <v>0</v>
      </c>
      <c r="K882" s="1936">
        <f t="shared" ca="1" si="278"/>
        <v>0</v>
      </c>
      <c r="L882" s="1570">
        <f t="shared" si="274"/>
        <v>0</v>
      </c>
      <c r="M882" s="1442">
        <f>+VLOOKUP($B882,[1]BOLETIM_SEL!$A:$H,5,0)</f>
        <v>0</v>
      </c>
      <c r="N882" s="832"/>
      <c r="O882" s="832"/>
      <c r="Q882" s="832"/>
      <c r="R882" s="832"/>
      <c r="S882" s="832"/>
      <c r="T882" s="832"/>
      <c r="U882" s="832"/>
      <c r="V882" s="832"/>
      <c r="W882" s="832"/>
      <c r="X882" s="832"/>
    </row>
    <row r="883" spans="1:24" s="812" customFormat="1" ht="50.1" hidden="1" customHeight="1" x14ac:dyDescent="0.15">
      <c r="A883" s="1935">
        <f t="shared" ca="1" si="275"/>
        <v>11.049999999999999</v>
      </c>
      <c r="B883" s="2" t="s">
        <v>435</v>
      </c>
      <c r="C883" s="2" t="str">
        <f>+VLOOKUP($B883,[1]BOLETIM_SEL!$A:$H,2,0)</f>
        <v>COMPOSIÇÃO</v>
      </c>
      <c r="D883" s="315" t="str">
        <f>+VLOOKUP($B883,[1]BOLETIM_SEL!$A:$H,4,0)</f>
        <v>Placa de sinalização modulada de alumínio, espessura 2,0mm, com fundo em película refletiva com esferas inclusas tipo I-A da NBR 14644, símbolos e tarjas em película refletiva com esferas encapsuladas tipo II-A da NBR 14644 (AI/AI), inclusive elementos de fixação, conforme especificação AGETRAN/PMCG - fornecimento</v>
      </c>
      <c r="E883" s="2"/>
      <c r="F883" s="2" t="str">
        <f>+VLOOKUP($B883,[1]BOLETIM_SEL!$A:$H,6,0)</f>
        <v>M2</v>
      </c>
      <c r="G883" s="1407">
        <f>+VLOOKUP($B883,[1]BOLETIM_SEL!$A:$H,7,0)</f>
        <v>1069</v>
      </c>
      <c r="H883" s="1606">
        <f>+Sinal_Via!N290</f>
        <v>0</v>
      </c>
      <c r="I883" s="876">
        <f t="shared" si="276"/>
        <v>1304.18</v>
      </c>
      <c r="J883" s="1606">
        <f t="shared" si="277"/>
        <v>0</v>
      </c>
      <c r="K883" s="1936">
        <f t="shared" ca="1" si="278"/>
        <v>0</v>
      </c>
      <c r="L883" s="1570">
        <f t="shared" si="274"/>
        <v>0</v>
      </c>
      <c r="M883" s="1442">
        <f>+VLOOKUP($B883,[1]BOLETIM_SEL!$A:$H,5,0)</f>
        <v>0</v>
      </c>
      <c r="N883" s="832"/>
      <c r="O883" s="832"/>
      <c r="Q883" s="832"/>
      <c r="R883" s="832"/>
      <c r="S883" s="832"/>
      <c r="T883" s="832"/>
      <c r="U883" s="832"/>
      <c r="V883" s="832"/>
      <c r="W883" s="832"/>
      <c r="X883" s="832"/>
    </row>
    <row r="884" spans="1:24" s="812" customFormat="1" ht="39.950000000000003" customHeight="1" x14ac:dyDescent="0.15">
      <c r="A884" s="1935">
        <f t="shared" ca="1" si="275"/>
        <v>11.059999999999999</v>
      </c>
      <c r="B884" s="2">
        <v>13521</v>
      </c>
      <c r="C884" s="2" t="str">
        <f>+VLOOKUP($B884,[1]BOLETIM_SEL!$A:$H,2,0)</f>
        <v>COTAÇÃO - SINAPI</v>
      </c>
      <c r="D884" s="315" t="str">
        <f>+VLOOKUP($B884,[1]BOLETIM_SEL!$A:$H,4,0)</f>
        <v>Placa de aço esmaltada para identificação de rua, dimensões *45x20* cm</v>
      </c>
      <c r="E884" s="2"/>
      <c r="F884" s="2" t="str">
        <f>+VLOOKUP($B884,[1]BOLETIM_SEL!$A:$H,6,0)</f>
        <v xml:space="preserve">UN    </v>
      </c>
      <c r="G884" s="1407">
        <f>+VLOOKUP($B884,[1]BOLETIM_SEL!$A:$H,7,0)</f>
        <v>82.5</v>
      </c>
      <c r="H884" s="1606">
        <f>+Sinal_Via!N294</f>
        <v>36</v>
      </c>
      <c r="I884" s="876">
        <f t="shared" si="276"/>
        <v>100.65</v>
      </c>
      <c r="J884" s="1606">
        <f t="shared" si="277"/>
        <v>3623.4</v>
      </c>
      <c r="K884" s="1936">
        <f t="shared" ca="1" si="278"/>
        <v>9.8487231878133241E-4</v>
      </c>
      <c r="L884" s="1570">
        <f t="shared" si="274"/>
        <v>6.9662040859015215E-2</v>
      </c>
      <c r="M884" s="1442">
        <f>+VLOOKUP($B884,[1]BOLETIM_SEL!$A:$H,5,0)</f>
        <v>0</v>
      </c>
      <c r="N884" s="832"/>
      <c r="O884" s="832"/>
      <c r="Q884" s="832"/>
      <c r="R884" s="832"/>
      <c r="S884" s="832"/>
      <c r="T884" s="832"/>
      <c r="U884" s="832"/>
      <c r="V884" s="832"/>
      <c r="W884" s="832"/>
      <c r="X884" s="832"/>
    </row>
    <row r="885" spans="1:24" s="812" customFormat="1" ht="60" hidden="1" customHeight="1" x14ac:dyDescent="0.15">
      <c r="A885" s="1935">
        <f t="shared" ca="1" si="275"/>
        <v>11.059999999999999</v>
      </c>
      <c r="B885" s="2" t="s">
        <v>2393</v>
      </c>
      <c r="C885" s="2" t="str">
        <f>+VLOOKUP($B885,[1]BOLETIM_SEL!$A:$H,2,0)</f>
        <v>COMPOSIÇÃO</v>
      </c>
      <c r="D885" s="315" t="str">
        <f>+VLOOKUP($B885,[1]BOLETIM_SEL!$A:$H,4,0)</f>
        <v>Fornecimento e implantação de linha de duto espiral flexível em polietileno de alta densidade, tipo Kanalex ou similar, diâmetro de 75mm (3"), lançado diretamente ao solo com arame-guia galvanizado revestido em PVC&gt; Inclusive emendas e tamponamento, recorte do pavimento, escavação, reaterro, envelopamento de duto com concreto (30x30cm), base de brita graduada, remoção e bota-fora de entulhos</v>
      </c>
      <c r="E885" s="2"/>
      <c r="F885" s="2" t="str">
        <f>+VLOOKUP($B885,[1]BOLETIM_SEL!$A:$H,6,0)</f>
        <v>M</v>
      </c>
      <c r="G885" s="1407">
        <f>+VLOOKUP($B885,[1]BOLETIM_SEL!$A:$H,7,0)</f>
        <v>136.06</v>
      </c>
      <c r="H885" s="1606">
        <f>+Sinal_Via!N399</f>
        <v>0</v>
      </c>
      <c r="I885" s="876">
        <f t="shared" si="276"/>
        <v>165.99</v>
      </c>
      <c r="J885" s="1606">
        <f t="shared" si="277"/>
        <v>0</v>
      </c>
      <c r="K885" s="1936">
        <f t="shared" ca="1" si="278"/>
        <v>0</v>
      </c>
      <c r="L885" s="1570">
        <f t="shared" si="274"/>
        <v>0</v>
      </c>
      <c r="M885" s="1442">
        <f>+VLOOKUP($B885,[1]BOLETIM_SEL!$A:$H,5,0)</f>
        <v>0</v>
      </c>
      <c r="N885" s="832"/>
      <c r="O885" s="832"/>
      <c r="Q885" s="832"/>
      <c r="R885" s="832"/>
      <c r="S885" s="832"/>
      <c r="T885" s="832"/>
      <c r="U885" s="832"/>
      <c r="V885" s="832"/>
      <c r="W885" s="832"/>
      <c r="X885" s="832"/>
    </row>
    <row r="886" spans="1:24" s="812" customFormat="1" ht="50.1" hidden="1" customHeight="1" x14ac:dyDescent="0.15">
      <c r="A886" s="1935">
        <f t="shared" ca="1" si="275"/>
        <v>11.059999999999999</v>
      </c>
      <c r="B886" s="2" t="s">
        <v>436</v>
      </c>
      <c r="C886" s="2" t="str">
        <f>+VLOOKUP($B886,[1]BOLETIM_SEL!$A:$H,2,0)</f>
        <v>COMPOSIÇÃO</v>
      </c>
      <c r="D886" s="315" t="str">
        <f>+VLOOKUP($B886,[1]BOLETIM_SEL!$A:$H,4,0)</f>
        <v>Caixa enterrada elétrica retangular, em alvenaria com tijolos cerâmicos maciços, 1/2 vez, fundo com brita, dimensões internas: 0,40x0,40x0,40 m; Tampão fofo simples com base, classe A15 carga máxima 1,5 t, 400 x 400 mm (REF. SINAPI COD. 97887)</v>
      </c>
      <c r="E886" s="2"/>
      <c r="F886" s="2" t="str">
        <f>+VLOOKUP($B886,[1]BOLETIM_SEL!$A:$H,6,0)</f>
        <v xml:space="preserve">UN </v>
      </c>
      <c r="G886" s="1407">
        <f>+VLOOKUP($B886,[1]BOLETIM_SEL!$A:$H,7,0)</f>
        <v>444.02</v>
      </c>
      <c r="H886" s="1606">
        <f>+Sinal_Via!N400</f>
        <v>0</v>
      </c>
      <c r="I886" s="876">
        <f t="shared" si="276"/>
        <v>541.70000000000005</v>
      </c>
      <c r="J886" s="1606">
        <f t="shared" si="277"/>
        <v>0</v>
      </c>
      <c r="K886" s="1936">
        <f t="shared" ca="1" si="278"/>
        <v>0</v>
      </c>
      <c r="L886" s="1570">
        <f t="shared" si="274"/>
        <v>0</v>
      </c>
      <c r="M886" s="1442">
        <f>+VLOOKUP($B886,[1]BOLETIM_SEL!$A:$H,5,0)</f>
        <v>0</v>
      </c>
      <c r="N886" s="832"/>
      <c r="O886" s="832"/>
      <c r="Q886" s="832"/>
      <c r="R886" s="832"/>
      <c r="S886" s="832"/>
      <c r="T886" s="832"/>
      <c r="U886" s="832"/>
      <c r="V886" s="832"/>
      <c r="W886" s="832"/>
      <c r="X886" s="832"/>
    </row>
    <row r="887" spans="1:24" s="812" customFormat="1" ht="24.95" customHeight="1" x14ac:dyDescent="0.15">
      <c r="A887" s="2072"/>
      <c r="B887" s="833"/>
      <c r="C887" s="833"/>
      <c r="D887" s="834"/>
      <c r="E887" s="2"/>
      <c r="F887" s="833"/>
      <c r="G887" s="1814"/>
      <c r="H887" s="1"/>
      <c r="I887" s="876"/>
      <c r="J887" s="838" t="str">
        <f>+IF(J858=0,0,"")</f>
        <v/>
      </c>
      <c r="K887" s="2069"/>
      <c r="L887" s="1570"/>
      <c r="M887" s="1443"/>
      <c r="N887" s="832"/>
      <c r="O887" s="832"/>
      <c r="Q887" s="832"/>
      <c r="R887" s="832"/>
      <c r="S887" s="832"/>
      <c r="T887" s="832"/>
      <c r="U887" s="832"/>
      <c r="V887" s="832"/>
      <c r="W887" s="832"/>
      <c r="X887" s="832"/>
    </row>
    <row r="888" spans="1:24" s="832" customFormat="1" ht="24.95" customHeight="1" x14ac:dyDescent="0.15">
      <c r="A888" s="2073">
        <f ca="1">IF(J888&gt;0,INT(A886)+1,IF(J888=0,INT(A886),0))</f>
        <v>12</v>
      </c>
      <c r="B888" s="1626"/>
      <c r="C888" s="1626"/>
      <c r="D888" s="1627" t="s">
        <v>437</v>
      </c>
      <c r="E888" s="1821"/>
      <c r="F888" s="1628"/>
      <c r="G888" s="1818" t="s">
        <v>655</v>
      </c>
      <c r="H888" s="1628"/>
      <c r="I888" s="1633" t="str">
        <f ca="1">CONCATENATE("SUB-TOTAL ",A888)</f>
        <v>SUB-TOTAL 12</v>
      </c>
      <c r="J888" s="1632">
        <f>SUM(J889:J889)</f>
        <v>167267.70000000001</v>
      </c>
      <c r="K888" s="2070">
        <f ca="1">+J888/J$930</f>
        <v>4.54648472584369E-2</v>
      </c>
      <c r="L888" s="1605">
        <f>+J888/J$888</f>
        <v>1</v>
      </c>
      <c r="M888" s="1805" t="str">
        <f>+IF(J1=CCU_Adm_Local_Não_Deson!B4,"CPU correta","data base CPU errada")</f>
        <v>CPU correta</v>
      </c>
      <c r="U888" s="841">
        <f>J889</f>
        <v>167267.70000000001</v>
      </c>
    </row>
    <row r="889" spans="1:24" s="843" customFormat="1" ht="30" customHeight="1" x14ac:dyDescent="0.15">
      <c r="A889" s="2072">
        <f ca="1">+IF(H889&gt;0,A888+0.01,A888)</f>
        <v>12.01</v>
      </c>
      <c r="B889" s="840" t="s">
        <v>535</v>
      </c>
      <c r="C889" s="833" t="s">
        <v>486</v>
      </c>
      <c r="D889" s="834" t="str">
        <f>+CCU_Adm_Local_Não_Deson!B7</f>
        <v>Administração local do canteiro de obras</v>
      </c>
      <c r="E889" s="2"/>
      <c r="F889" s="833" t="str">
        <f>CCU_Adm_Local_Não_Deson!H6</f>
        <v xml:space="preserve">un </v>
      </c>
      <c r="G889" s="1817">
        <f>+CCU_Adm_Local_Não_Deson!H69</f>
        <v>137104.68</v>
      </c>
      <c r="H889" s="1606">
        <v>1</v>
      </c>
      <c r="I889" s="876">
        <f>+TRUNC(G889*(1+$J$5),2)</f>
        <v>167267.70000000001</v>
      </c>
      <c r="J889" s="1607">
        <f>TRUNC(H889*I889,2)</f>
        <v>167267.70000000001</v>
      </c>
      <c r="K889" s="2069">
        <f ca="1">+J889/J$930</f>
        <v>4.54648472584369E-2</v>
      </c>
      <c r="L889" s="1570">
        <f>+J889/J$888</f>
        <v>1</v>
      </c>
      <c r="M889" s="1586"/>
      <c r="N889" s="842"/>
      <c r="O889" s="842"/>
      <c r="Q889" s="842"/>
      <c r="R889" s="842"/>
      <c r="S889" s="842"/>
      <c r="T889" s="842"/>
      <c r="U889" s="842"/>
      <c r="V889" s="842"/>
      <c r="W889" s="842"/>
      <c r="X889" s="842"/>
    </row>
    <row r="890" spans="1:24" s="843" customFormat="1" ht="24.95" customHeight="1" x14ac:dyDescent="0.15">
      <c r="A890" s="2072"/>
      <c r="B890" s="840"/>
      <c r="C890" s="833"/>
      <c r="D890" s="834"/>
      <c r="E890" s="2"/>
      <c r="F890" s="833"/>
      <c r="G890" s="1814"/>
      <c r="H890" s="833"/>
      <c r="I890" s="833"/>
      <c r="J890" s="838" t="str">
        <f>+IF(J888=0,0,"")</f>
        <v/>
      </c>
      <c r="K890" s="2069"/>
      <c r="L890" s="1570"/>
      <c r="M890" s="1443"/>
      <c r="N890" s="842"/>
      <c r="O890" s="842"/>
      <c r="Q890" s="842"/>
      <c r="R890" s="842"/>
      <c r="S890" s="842"/>
      <c r="T890" s="842"/>
      <c r="U890" s="842"/>
      <c r="V890" s="842"/>
      <c r="W890" s="842"/>
      <c r="X890" s="842"/>
    </row>
    <row r="891" spans="1:24" s="832" customFormat="1" ht="24.95" hidden="1" customHeight="1" x14ac:dyDescent="0.15">
      <c r="A891" s="2073">
        <f ca="1">IF(J891&gt;0,INT(A889)+1,IF(J891=0,INT(A889),0))</f>
        <v>12</v>
      </c>
      <c r="B891" s="1626"/>
      <c r="C891" s="1626"/>
      <c r="D891" s="1627" t="s">
        <v>485</v>
      </c>
      <c r="E891" s="1821"/>
      <c r="F891" s="1628"/>
      <c r="G891" s="1819"/>
      <c r="H891" s="1629"/>
      <c r="I891" s="1631" t="str">
        <f ca="1">CONCATENATE("SUB-TOTAL ",A891)</f>
        <v>SUB-TOTAL 12</v>
      </c>
      <c r="J891" s="1632">
        <f>SUM(J892:J928)</f>
        <v>0</v>
      </c>
      <c r="K891" s="2070">
        <f t="shared" ref="K891:K928" ca="1" si="279">+J891/J$930</f>
        <v>0</v>
      </c>
      <c r="L891" s="1605" t="e">
        <f>+J891/J$891</f>
        <v>#DIV/0!</v>
      </c>
      <c r="M891" s="1635"/>
    </row>
    <row r="892" spans="1:24" s="4" customFormat="1" ht="30" hidden="1" customHeight="1" x14ac:dyDescent="0.15">
      <c r="A892" s="2072">
        <f t="shared" ref="A892:A928" ca="1" si="280">+IF(H892&gt;0,A891+0.01,A891)</f>
        <v>12</v>
      </c>
      <c r="B892" s="2" t="s">
        <v>2437</v>
      </c>
      <c r="C892" s="2" t="str">
        <f>VLOOKUP($B892,[1]BOLETIM_SEL!$A:$H,2,0)</f>
        <v>COMPOSIÇÃO</v>
      </c>
      <c r="D892" s="315" t="str">
        <f>VLOOKUP($B892,[1]BOLETIM_SEL!$A:$H,4,0)</f>
        <v>Reprografia e montagem de relatório (texto e desenho)</v>
      </c>
      <c r="E892" s="2"/>
      <c r="F892" s="2" t="str">
        <f>VLOOKUP($B892,[1]BOLETIM_SEL!$A:$H,6,0)</f>
        <v xml:space="preserve">un </v>
      </c>
      <c r="G892" s="1407">
        <f>VLOOKUP($B892,[1]BOLETIM_SEL!$A:$H,7,0)</f>
        <v>675.66</v>
      </c>
      <c r="H892" s="1606"/>
      <c r="I892" s="132">
        <f t="shared" ref="I892:I928" si="281">+TRUNC(G892*(1+$J$5),2)</f>
        <v>824.3</v>
      </c>
      <c r="J892" s="1607">
        <f t="shared" ref="J892:J903" si="282">TRUNC(H892*I892,2)</f>
        <v>0</v>
      </c>
      <c r="K892" s="2069">
        <f t="shared" ca="1" si="279"/>
        <v>0</v>
      </c>
      <c r="L892" s="1570" t="e">
        <f t="shared" ref="L892:L903" si="283">+J892/J$891</f>
        <v>#DIV/0!</v>
      </c>
      <c r="M892" s="1614"/>
      <c r="N892" s="3"/>
      <c r="O892" s="3"/>
      <c r="Q892" s="3"/>
      <c r="R892" s="3"/>
      <c r="S892" s="3"/>
      <c r="T892" s="3"/>
      <c r="U892" s="3"/>
      <c r="V892" s="3"/>
      <c r="W892" s="3"/>
      <c r="X892" s="3"/>
    </row>
    <row r="893" spans="1:24" s="4" customFormat="1" ht="30" hidden="1" customHeight="1" x14ac:dyDescent="0.15">
      <c r="A893" s="2072">
        <f t="shared" ca="1" si="280"/>
        <v>12</v>
      </c>
      <c r="B893" s="2" t="s">
        <v>2438</v>
      </c>
      <c r="C893" s="2" t="str">
        <f>VLOOKUP($B893,[1]BOLETIM_SEL!$A:$H,2,0)</f>
        <v>COMPOSIÇÃO</v>
      </c>
      <c r="D893" s="315" t="str">
        <f>VLOOKUP($B893,[1]BOLETIM_SEL!$A:$H,4,0)</f>
        <v>Mobilização e desmobilização de equipe de técnica, distância acima de 20km</v>
      </c>
      <c r="E893" s="2"/>
      <c r="F893" s="2" t="str">
        <f>VLOOKUP($B893,[1]BOLETIM_SEL!$A:$H,6,0)</f>
        <v>km</v>
      </c>
      <c r="G893" s="1407">
        <f>VLOOKUP($B893,[1]BOLETIM_SEL!$A:$H,7,0)</f>
        <v>15.4</v>
      </c>
      <c r="H893" s="1606"/>
      <c r="I893" s="132">
        <f t="shared" si="281"/>
        <v>18.78</v>
      </c>
      <c r="J893" s="1607">
        <f t="shared" si="282"/>
        <v>0</v>
      </c>
      <c r="K893" s="2069">
        <f t="shared" ca="1" si="279"/>
        <v>0</v>
      </c>
      <c r="L893" s="1570" t="e">
        <f t="shared" si="283"/>
        <v>#DIV/0!</v>
      </c>
      <c r="M893" s="1614"/>
      <c r="N893" s="3"/>
      <c r="O893" s="895"/>
      <c r="Q893" s="895"/>
      <c r="R893" s="895"/>
      <c r="S893" s="895"/>
      <c r="T893" s="895"/>
      <c r="U893" s="895"/>
      <c r="V893" s="895"/>
      <c r="W893" s="895"/>
      <c r="X893" s="896"/>
    </row>
    <row r="894" spans="1:24" s="4" customFormat="1" ht="30" hidden="1" customHeight="1" x14ac:dyDescent="0.15">
      <c r="A894" s="2072">
        <f t="shared" ca="1" si="280"/>
        <v>12</v>
      </c>
      <c r="B894" s="2" t="s">
        <v>1035</v>
      </c>
      <c r="C894" s="2" t="str">
        <f>VLOOKUP($B894,[1]BOLETIM_SEL!$A:$H,2,0)</f>
        <v>COMPOSIÇÃO</v>
      </c>
      <c r="D894" s="315" t="str">
        <f>VLOOKUP($B894,[1]BOLETIM_SEL!$A:$H,4,0)</f>
        <v>Mobilização e desmobilização de equipe de geotecnia, distância maior que 20km</v>
      </c>
      <c r="E894" s="2"/>
      <c r="F894" s="2" t="str">
        <f>VLOOKUP($B894,[1]BOLETIM_SEL!$A:$H,6,0)</f>
        <v>km</v>
      </c>
      <c r="G894" s="1407">
        <f>VLOOKUP($B894,[1]BOLETIM_SEL!$A:$H,7,0)</f>
        <v>7.82</v>
      </c>
      <c r="H894" s="1606"/>
      <c r="I894" s="132">
        <f t="shared" si="281"/>
        <v>9.5399999999999991</v>
      </c>
      <c r="J894" s="1607">
        <f t="shared" si="282"/>
        <v>0</v>
      </c>
      <c r="K894" s="2069">
        <f t="shared" ca="1" si="279"/>
        <v>0</v>
      </c>
      <c r="L894" s="1570" t="e">
        <f t="shared" si="283"/>
        <v>#DIV/0!</v>
      </c>
      <c r="M894" s="1614"/>
      <c r="N894" s="3"/>
      <c r="O894" s="3"/>
      <c r="Q894" s="3"/>
      <c r="R894" s="3"/>
      <c r="S894" s="3"/>
      <c r="T894" s="3"/>
      <c r="U894" s="3"/>
      <c r="V894" s="3"/>
      <c r="W894" s="3"/>
      <c r="X894" s="3"/>
    </row>
    <row r="895" spans="1:24" s="4" customFormat="1" ht="30" hidden="1" customHeight="1" x14ac:dyDescent="0.15">
      <c r="A895" s="2072">
        <f t="shared" ca="1" si="280"/>
        <v>12</v>
      </c>
      <c r="B895" s="2" t="s">
        <v>2439</v>
      </c>
      <c r="C895" s="2" t="str">
        <f>VLOOKUP($B895,[1]BOLETIM_SEL!$A:$H,2,0)</f>
        <v>COMPOSIÇÃO</v>
      </c>
      <c r="D895" s="315" t="str">
        <f>VLOOKUP($B895,[1]BOLETIM_SEL!$A:$H,4,0)</f>
        <v>Mobilização e desmobilização de equipe de topografia, distância maior que 20km</v>
      </c>
      <c r="E895" s="2"/>
      <c r="F895" s="2" t="str">
        <f>VLOOKUP($B895,[1]BOLETIM_SEL!$A:$H,6,0)</f>
        <v>km</v>
      </c>
      <c r="G895" s="1407">
        <f>VLOOKUP($B895,[1]BOLETIM_SEL!$A:$H,7,0)</f>
        <v>6.1</v>
      </c>
      <c r="H895" s="1606"/>
      <c r="I895" s="132">
        <f t="shared" si="281"/>
        <v>7.44</v>
      </c>
      <c r="J895" s="1607">
        <f t="shared" si="282"/>
        <v>0</v>
      </c>
      <c r="K895" s="2069">
        <f t="shared" ca="1" si="279"/>
        <v>0</v>
      </c>
      <c r="L895" s="1570" t="e">
        <f t="shared" si="283"/>
        <v>#DIV/0!</v>
      </c>
      <c r="M895" s="1614"/>
      <c r="N895" s="3"/>
      <c r="O895" s="895"/>
      <c r="Q895" s="895"/>
      <c r="R895" s="895"/>
      <c r="S895" s="895"/>
      <c r="T895" s="895"/>
      <c r="U895" s="895"/>
      <c r="V895" s="895"/>
      <c r="W895" s="895"/>
      <c r="X895" s="3"/>
    </row>
    <row r="896" spans="1:24" s="4" customFormat="1" ht="30" hidden="1" customHeight="1" x14ac:dyDescent="0.15">
      <c r="A896" s="2072">
        <f t="shared" ca="1" si="280"/>
        <v>12</v>
      </c>
      <c r="B896" s="2" t="s">
        <v>2440</v>
      </c>
      <c r="C896" s="2" t="str">
        <f>VLOOKUP($B896,[1]BOLETIM_SEL!$A:$H,2,0)</f>
        <v>COMPOSIÇÃO</v>
      </c>
      <c r="D896" s="315" t="str">
        <f>VLOOKUP($B896,[1]BOLETIM_SEL!$A:$H,4,0)</f>
        <v>Estudo conceitual para implantação de parque público - master plan</v>
      </c>
      <c r="E896" s="2"/>
      <c r="F896" s="2" t="str">
        <f>VLOOKUP($B896,[1]BOLETIM_SEL!$A:$H,6,0)</f>
        <v xml:space="preserve">ha </v>
      </c>
      <c r="G896" s="1407">
        <f>VLOOKUP($B896,[1]BOLETIM_SEL!$A:$H,7,0)</f>
        <v>1570.75</v>
      </c>
      <c r="H896" s="1606"/>
      <c r="I896" s="132">
        <f t="shared" si="281"/>
        <v>1916.31</v>
      </c>
      <c r="J896" s="1607">
        <f t="shared" si="282"/>
        <v>0</v>
      </c>
      <c r="K896" s="2069">
        <f t="shared" ca="1" si="279"/>
        <v>0</v>
      </c>
      <c r="L896" s="1570" t="e">
        <f t="shared" si="283"/>
        <v>#DIV/0!</v>
      </c>
      <c r="M896" s="1614"/>
      <c r="N896" s="867"/>
      <c r="O896" s="3"/>
      <c r="Q896" s="3"/>
      <c r="R896" s="3"/>
      <c r="S896" s="3"/>
      <c r="T896" s="3"/>
      <c r="U896" s="3"/>
      <c r="V896" s="3"/>
      <c r="W896" s="3"/>
      <c r="X896" s="3"/>
    </row>
    <row r="897" spans="1:24" s="4" customFormat="1" ht="39.950000000000003" hidden="1" customHeight="1" x14ac:dyDescent="0.15">
      <c r="A897" s="2072">
        <f t="shared" ca="1" si="280"/>
        <v>12</v>
      </c>
      <c r="B897" s="2" t="s">
        <v>1029</v>
      </c>
      <c r="C897" s="2" t="str">
        <f>VLOOKUP($B897,[1]BOLETIM_SEL!$A:$H,2,0)</f>
        <v>COMPOSIÇÃO</v>
      </c>
      <c r="D897" s="315" t="str">
        <f>VLOOKUP($B897,[1]BOLETIM_SEL!$A:$H,4,0)</f>
        <v>Elaboração de estudos de viabilidade para projetos de pavimentação, drenagem, sinalização viária, acessibilidade e orçamento</v>
      </c>
      <c r="E897" s="2"/>
      <c r="F897" s="2" t="str">
        <f>VLOOKUP($B897,[1]BOLETIM_SEL!$A:$H,6,0)</f>
        <v>m²</v>
      </c>
      <c r="G897" s="1407">
        <f>VLOOKUP($B897,[1]BOLETIM_SEL!$A:$H,7,0)</f>
        <v>0.49330000000000002</v>
      </c>
      <c r="H897" s="1606"/>
      <c r="I897" s="132">
        <f t="shared" si="281"/>
        <v>0.6</v>
      </c>
      <c r="J897" s="1607">
        <f t="shared" si="282"/>
        <v>0</v>
      </c>
      <c r="K897" s="2069">
        <f t="shared" ca="1" si="279"/>
        <v>0</v>
      </c>
      <c r="L897" s="1570" t="e">
        <f t="shared" si="283"/>
        <v>#DIV/0!</v>
      </c>
      <c r="M897" s="1614"/>
      <c r="N897" s="3"/>
      <c r="O897" s="3"/>
      <c r="Q897" s="3"/>
      <c r="R897" s="3"/>
      <c r="S897" s="3"/>
      <c r="T897" s="3"/>
      <c r="U897" s="3"/>
      <c r="V897" s="3"/>
      <c r="W897" s="3"/>
      <c r="X897" s="3"/>
    </row>
    <row r="898" spans="1:24" s="4" customFormat="1" ht="39.950000000000003" hidden="1" customHeight="1" x14ac:dyDescent="0.15">
      <c r="A898" s="2072">
        <f t="shared" ca="1" si="280"/>
        <v>12</v>
      </c>
      <c r="B898" s="2" t="s">
        <v>1030</v>
      </c>
      <c r="C898" s="2" t="str">
        <f>VLOOKUP($B898,[1]BOLETIM_SEL!$A:$H,2,0)</f>
        <v>COMPOSIÇÃO</v>
      </c>
      <c r="D898" s="315" t="str">
        <f>VLOOKUP($B898,[1]BOLETIM_SEL!$A:$H,4,0)</f>
        <v>Elaboração de estudos de viabilidade para projetos de pavimentação, drenagem, sinalização viária, acessibilidade e orçamento</v>
      </c>
      <c r="E898" s="2"/>
      <c r="F898" s="2" t="str">
        <f>VLOOKUP($B898,[1]BOLETIM_SEL!$A:$H,6,0)</f>
        <v>km</v>
      </c>
      <c r="G898" s="1407">
        <f>VLOOKUP($B898,[1]BOLETIM_SEL!$A:$H,7,0)</f>
        <v>3455.9738000000002</v>
      </c>
      <c r="H898" s="1606"/>
      <c r="I898" s="132">
        <f t="shared" si="281"/>
        <v>4216.28</v>
      </c>
      <c r="J898" s="1607">
        <f t="shared" si="282"/>
        <v>0</v>
      </c>
      <c r="K898" s="2069">
        <f t="shared" ca="1" si="279"/>
        <v>0</v>
      </c>
      <c r="L898" s="1570" t="e">
        <f t="shared" si="283"/>
        <v>#DIV/0!</v>
      </c>
      <c r="M898" s="1614"/>
      <c r="N898" s="3"/>
      <c r="O898" s="3"/>
      <c r="Q898" s="3"/>
      <c r="R898" s="3"/>
      <c r="S898" s="3"/>
      <c r="T898" s="3"/>
      <c r="U898" s="3"/>
      <c r="V898" s="3"/>
      <c r="W898" s="3"/>
      <c r="X898" s="3"/>
    </row>
    <row r="899" spans="1:24" s="4" customFormat="1" ht="39.950000000000003" hidden="1" customHeight="1" x14ac:dyDescent="0.15">
      <c r="A899" s="2072">
        <f t="shared" ca="1" si="280"/>
        <v>12</v>
      </c>
      <c r="B899" s="2" t="s">
        <v>2441</v>
      </c>
      <c r="C899" s="2" t="str">
        <f>VLOOKUP($B899,[1]BOLETIM_SEL!$A:$H,2,0)</f>
        <v>COMPOSIÇÃO</v>
      </c>
      <c r="D899" s="315" t="str">
        <f>VLOOKUP($B899,[1]BOLETIM_SEL!$A:$H,4,0)</f>
        <v>Elaboração de estudos de viabilidade para projeto funcional de OAE (ponte) em concreto armado inclusive estudos hidrológico e projeto de acessibilidade e sinalização viária. Exclusive serviços topográficos e geotécnicos</v>
      </c>
      <c r="E899" s="2"/>
      <c r="F899" s="2" t="str">
        <f>VLOOKUP($B899,[1]BOLETIM_SEL!$A:$H,6,0)</f>
        <v>m</v>
      </c>
      <c r="G899" s="1407">
        <f>VLOOKUP($B899,[1]BOLETIM_SEL!$A:$H,7,0)</f>
        <v>622.97</v>
      </c>
      <c r="H899" s="1608"/>
      <c r="I899" s="132">
        <f t="shared" si="281"/>
        <v>760.02</v>
      </c>
      <c r="J899" s="1607">
        <f t="shared" si="282"/>
        <v>0</v>
      </c>
      <c r="K899" s="2069">
        <f t="shared" ca="1" si="279"/>
        <v>0</v>
      </c>
      <c r="L899" s="1570" t="e">
        <f t="shared" si="283"/>
        <v>#DIV/0!</v>
      </c>
      <c r="M899" s="1614"/>
      <c r="N899" s="3"/>
      <c r="O899" s="3"/>
      <c r="Q899" s="3"/>
      <c r="R899" s="3"/>
      <c r="S899" s="3"/>
      <c r="T899" s="3"/>
      <c r="U899" s="3"/>
      <c r="V899" s="3"/>
      <c r="W899" s="3"/>
      <c r="X899" s="3"/>
    </row>
    <row r="900" spans="1:24" s="4" customFormat="1" ht="30" hidden="1" customHeight="1" x14ac:dyDescent="0.15">
      <c r="A900" s="2072">
        <f t="shared" ca="1" si="280"/>
        <v>12</v>
      </c>
      <c r="B900" s="2" t="s">
        <v>1041</v>
      </c>
      <c r="C900" s="2" t="str">
        <f>VLOOKUP($B900,[1]BOLETIM_SEL!$A:$H,2,0)</f>
        <v>COMPOSIÇÃO</v>
      </c>
      <c r="D900" s="315" t="str">
        <f>VLOOKUP($B900,[1]BOLETIM_SEL!$A:$H,4,0)</f>
        <v>Elaboração de estudo hidrológico de área urbanizada</v>
      </c>
      <c r="E900" s="2"/>
      <c r="F900" s="2" t="str">
        <f>VLOOKUP($B900,[1]BOLETIM_SEL!$A:$H,6,0)</f>
        <v xml:space="preserve">ha </v>
      </c>
      <c r="G900" s="1407">
        <f>VLOOKUP($B900,[1]BOLETIM_SEL!$A:$H,7,0)</f>
        <v>22.61</v>
      </c>
      <c r="H900" s="1606"/>
      <c r="I900" s="132">
        <f t="shared" si="281"/>
        <v>27.58</v>
      </c>
      <c r="J900" s="1607">
        <f t="shared" si="282"/>
        <v>0</v>
      </c>
      <c r="K900" s="2069">
        <f t="shared" ca="1" si="279"/>
        <v>0</v>
      </c>
      <c r="L900" s="1570" t="e">
        <f t="shared" si="283"/>
        <v>#DIV/0!</v>
      </c>
      <c r="M900" s="1614"/>
      <c r="N900" s="3"/>
      <c r="O900" s="3"/>
      <c r="Q900" s="3"/>
      <c r="R900" s="3"/>
      <c r="S900" s="3"/>
      <c r="T900" s="3"/>
      <c r="U900" s="3"/>
      <c r="V900" s="3"/>
      <c r="W900" s="3"/>
      <c r="X900" s="3"/>
    </row>
    <row r="901" spans="1:24" s="4" customFormat="1" ht="30" hidden="1" customHeight="1" x14ac:dyDescent="0.15">
      <c r="A901" s="2072">
        <f t="shared" ca="1" si="280"/>
        <v>12</v>
      </c>
      <c r="B901" s="2" t="s">
        <v>1042</v>
      </c>
      <c r="C901" s="2" t="str">
        <f>VLOOKUP($B901,[1]BOLETIM_SEL!$A:$H,2,0)</f>
        <v>COMPOSIÇÃO</v>
      </c>
      <c r="D901" s="315" t="str">
        <f>VLOOKUP($B901,[1]BOLETIM_SEL!$A:$H,4,0)</f>
        <v>Elaboração de estudo hidrológico de área rural</v>
      </c>
      <c r="E901" s="2"/>
      <c r="F901" s="2" t="str">
        <f>VLOOKUP($B901,[1]BOLETIM_SEL!$A:$H,6,0)</f>
        <v>km²</v>
      </c>
      <c r="G901" s="1407">
        <f>VLOOKUP($B901,[1]BOLETIM_SEL!$A:$H,7,0)</f>
        <v>1300.25</v>
      </c>
      <c r="H901" s="1606"/>
      <c r="I901" s="132">
        <f t="shared" ref="I901" si="284">+TRUNC(G901*(1+$J$5),2)</f>
        <v>1586.3</v>
      </c>
      <c r="J901" s="1607">
        <f t="shared" ref="J901" si="285">TRUNC(H901*I901,2)</f>
        <v>0</v>
      </c>
      <c r="K901" s="2069">
        <f t="shared" ca="1" si="279"/>
        <v>0</v>
      </c>
      <c r="L901" s="1570" t="e">
        <f t="shared" ref="L901" si="286">+J901/J$891</f>
        <v>#DIV/0!</v>
      </c>
      <c r="M901" s="1614"/>
      <c r="N901" s="3"/>
      <c r="O901" s="3"/>
      <c r="Q901" s="3"/>
      <c r="R901" s="3"/>
      <c r="S901" s="3"/>
      <c r="T901" s="3"/>
      <c r="U901" s="3"/>
      <c r="V901" s="3"/>
      <c r="W901" s="3"/>
      <c r="X901" s="3"/>
    </row>
    <row r="902" spans="1:24" s="4" customFormat="1" ht="39.950000000000003" hidden="1" customHeight="1" x14ac:dyDescent="0.15">
      <c r="A902" s="2072">
        <f t="shared" ca="1" si="280"/>
        <v>12</v>
      </c>
      <c r="B902" s="2" t="s">
        <v>1034</v>
      </c>
      <c r="C902" s="2" t="str">
        <f>VLOOKUP($B902,[1]BOLETIM_SEL!$A:$H,2,0)</f>
        <v>COMPOSIÇÃO</v>
      </c>
      <c r="D902" s="315" t="str">
        <f>VLOOKUP($B902,[1]BOLETIM_SEL!$A:$H,4,0)</f>
        <v>Serviços geotécnicos de sondagem à trado ( 1 un com 2m de prof.) e ensaios de solo de granulometria por peneiramento, limites de liquidez e plasticidade, compactação e ISC na energia modificada (1 cj)</v>
      </c>
      <c r="E902" s="2"/>
      <c r="F902" s="2" t="str">
        <f>VLOOKUP($B902,[1]BOLETIM_SEL!$A:$H,6,0)</f>
        <v xml:space="preserve">un </v>
      </c>
      <c r="G902" s="1407">
        <f>VLOOKUP($B902,[1]BOLETIM_SEL!$A:$H,7,0)</f>
        <v>965.29</v>
      </c>
      <c r="H902" s="1606"/>
      <c r="I902" s="132">
        <f t="shared" si="281"/>
        <v>1177.6500000000001</v>
      </c>
      <c r="J902" s="1607">
        <f t="shared" si="282"/>
        <v>0</v>
      </c>
      <c r="K902" s="2069">
        <f t="shared" ca="1" si="279"/>
        <v>0</v>
      </c>
      <c r="L902" s="1570" t="e">
        <f t="shared" si="283"/>
        <v>#DIV/0!</v>
      </c>
      <c r="M902" s="1614"/>
      <c r="N902" s="3"/>
      <c r="O902" s="3"/>
      <c r="Q902" s="3"/>
      <c r="R902" s="3"/>
      <c r="S902" s="3"/>
      <c r="T902" s="3"/>
      <c r="U902" s="3"/>
      <c r="V902" s="3"/>
      <c r="W902" s="3"/>
      <c r="X902" s="3"/>
    </row>
    <row r="903" spans="1:24" s="4" customFormat="1" ht="39.950000000000003" hidden="1" customHeight="1" x14ac:dyDescent="0.15">
      <c r="A903" s="2072">
        <f t="shared" ca="1" si="280"/>
        <v>12</v>
      </c>
      <c r="B903" s="2" t="s">
        <v>1039</v>
      </c>
      <c r="C903" s="2" t="str">
        <f>VLOOKUP($B903,[1]BOLETIM_SEL!$A:$H,2,0)</f>
        <v>COMPOSIÇÃO</v>
      </c>
      <c r="D903" s="315" t="str">
        <f>VLOOKUP($B903,[1]BOLETIM_SEL!$A:$H,4,0)</f>
        <v>Serviços geotécnicos de sondagem à trado (1un com 2m de prof.) e ensaios de solo de granulometria por peneiramento, limites de liquidez e plasticidade, compactação e ISC na energia intermediária (1cj)</v>
      </c>
      <c r="E903" s="2"/>
      <c r="F903" s="2" t="str">
        <f>VLOOKUP($B903,[1]BOLETIM_SEL!$A:$H,6,0)</f>
        <v xml:space="preserve">un </v>
      </c>
      <c r="G903" s="1407">
        <f>VLOOKUP($B903,[1]BOLETIM_SEL!$A:$H,7,0)</f>
        <v>804.08</v>
      </c>
      <c r="H903" s="1606"/>
      <c r="I903" s="132">
        <f t="shared" si="281"/>
        <v>980.97</v>
      </c>
      <c r="J903" s="1607">
        <f t="shared" si="282"/>
        <v>0</v>
      </c>
      <c r="K903" s="2069">
        <f t="shared" ca="1" si="279"/>
        <v>0</v>
      </c>
      <c r="L903" s="1570" t="e">
        <f t="shared" si="283"/>
        <v>#DIV/0!</v>
      </c>
      <c r="M903" s="1614"/>
      <c r="N903" s="3"/>
      <c r="O903" s="3"/>
      <c r="Q903" s="3"/>
      <c r="R903" s="3"/>
      <c r="S903" s="3"/>
      <c r="T903" s="3"/>
      <c r="U903" s="3"/>
      <c r="V903" s="3"/>
      <c r="W903" s="3"/>
      <c r="X903" s="3"/>
    </row>
    <row r="904" spans="1:24" s="4" customFormat="1" ht="39.950000000000003" hidden="1" customHeight="1" x14ac:dyDescent="0.15">
      <c r="A904" s="2072">
        <f t="shared" ca="1" si="280"/>
        <v>12</v>
      </c>
      <c r="B904" s="2" t="s">
        <v>1040</v>
      </c>
      <c r="C904" s="2" t="str">
        <f>VLOOKUP($B904,[1]BOLETIM_SEL!$A:$H,2,0)</f>
        <v>COMPOSIÇÃO</v>
      </c>
      <c r="D904" s="315" t="str">
        <f>VLOOKUP($B904,[1]BOLETIM_SEL!$A:$H,4,0)</f>
        <v>Serviços geotécnicos de sondagem à trado (1un com 2m de prof.) e ensaios de solo de granulometria por peneiramento, limites de liquidez e plasticidade, compactação e ISC na energia intermediária, com reuso de material (1cj)</v>
      </c>
      <c r="E904" s="2"/>
      <c r="F904" s="2" t="str">
        <f>VLOOKUP($B904,[1]BOLETIM_SEL!$A:$H,6,0)</f>
        <v xml:space="preserve">un </v>
      </c>
      <c r="G904" s="1407">
        <f>VLOOKUP($B904,[1]BOLETIM_SEL!$A:$H,7,0)</f>
        <v>603.04</v>
      </c>
      <c r="H904" s="1606"/>
      <c r="I904" s="132">
        <f t="shared" si="281"/>
        <v>735.7</v>
      </c>
      <c r="J904" s="1607">
        <f t="shared" ref="J904:J928" si="287">TRUNC(H904*I904,2)</f>
        <v>0</v>
      </c>
      <c r="K904" s="2069">
        <f t="shared" ca="1" si="279"/>
        <v>0</v>
      </c>
      <c r="L904" s="1570" t="e">
        <f t="shared" ref="L904:L916" si="288">+J904/J$891</f>
        <v>#DIV/0!</v>
      </c>
      <c r="M904" s="1614"/>
      <c r="N904" s="3"/>
      <c r="O904" s="3"/>
      <c r="Q904" s="3"/>
      <c r="R904" s="3"/>
      <c r="S904" s="3"/>
      <c r="T904" s="3"/>
      <c r="U904" s="3"/>
      <c r="V904" s="3"/>
      <c r="W904" s="3"/>
      <c r="X904" s="3"/>
    </row>
    <row r="905" spans="1:24" s="4" customFormat="1" ht="30" hidden="1" customHeight="1" x14ac:dyDescent="0.15">
      <c r="A905" s="2072">
        <f t="shared" ca="1" si="280"/>
        <v>12</v>
      </c>
      <c r="B905" s="2" t="s">
        <v>1036</v>
      </c>
      <c r="C905" s="2" t="str">
        <f>VLOOKUP($B905,[1]BOLETIM_SEL!$A:$H,2,0)</f>
        <v>COMPOSIÇÃO</v>
      </c>
      <c r="D905" s="315" t="str">
        <f>VLOOKUP($B905,[1]BOLETIM_SEL!$A:$H,4,0)</f>
        <v>Deslocamento de equipamento entre furos em terreno plano, considerando a distância até 100m</v>
      </c>
      <c r="E905" s="2"/>
      <c r="F905" s="2" t="str">
        <f>VLOOKUP($B905,[1]BOLETIM_SEL!$A:$H,6,0)</f>
        <v xml:space="preserve">un </v>
      </c>
      <c r="G905" s="1407">
        <f>VLOOKUP($B905,[1]BOLETIM_SEL!$A:$H,7,0)</f>
        <v>122.5</v>
      </c>
      <c r="H905" s="1606"/>
      <c r="I905" s="132">
        <f t="shared" ref="I905" si="289">+TRUNC(G905*(1+$J$5),2)</f>
        <v>149.44999999999999</v>
      </c>
      <c r="J905" s="1607">
        <f t="shared" ref="J905" si="290">TRUNC(H905*I905,2)</f>
        <v>0</v>
      </c>
      <c r="K905" s="2069">
        <f t="shared" ca="1" si="279"/>
        <v>0</v>
      </c>
      <c r="L905" s="1570" t="e">
        <f t="shared" ref="L905" si="291">+J905/J$891</f>
        <v>#DIV/0!</v>
      </c>
      <c r="M905" s="1614"/>
      <c r="N905" s="3"/>
      <c r="O905" s="3"/>
      <c r="Q905" s="3"/>
      <c r="R905" s="3"/>
      <c r="S905" s="3"/>
      <c r="T905" s="3"/>
      <c r="U905" s="3"/>
      <c r="V905" s="3"/>
      <c r="W905" s="3"/>
      <c r="X905" s="3"/>
    </row>
    <row r="906" spans="1:24" s="4" customFormat="1" ht="30" hidden="1" customHeight="1" x14ac:dyDescent="0.15">
      <c r="A906" s="2072">
        <f t="shared" ca="1" si="280"/>
        <v>12</v>
      </c>
      <c r="B906" s="2" t="s">
        <v>1037</v>
      </c>
      <c r="C906" s="2" t="str">
        <f>+VLOOKUP($B906,[1]BOLETIM_SEL!$A:$H,2,0)</f>
        <v>COMPOSIÇÃO</v>
      </c>
      <c r="D906" s="315" t="str">
        <f>+VLOOKUP($B906,[1]BOLETIM_SEL!$A:$H,4,0)</f>
        <v>Sondagem à percussão (SPT) com lavagem</v>
      </c>
      <c r="E906" s="2"/>
      <c r="F906" s="2" t="str">
        <f>+VLOOKUP($B906,[1]BOLETIM_SEL!$A:$H,6,0)</f>
        <v>m</v>
      </c>
      <c r="G906" s="1407">
        <f>+VLOOKUP($B906,[1]BOLETIM_SEL!$A:$H,7,0)</f>
        <v>173.66</v>
      </c>
      <c r="H906" s="1606"/>
      <c r="I906" s="132">
        <f t="shared" si="281"/>
        <v>211.86</v>
      </c>
      <c r="J906" s="1607">
        <f t="shared" si="287"/>
        <v>0</v>
      </c>
      <c r="K906" s="2069">
        <f t="shared" ca="1" si="279"/>
        <v>0</v>
      </c>
      <c r="L906" s="1570" t="e">
        <f t="shared" si="288"/>
        <v>#DIV/0!</v>
      </c>
      <c r="M906" s="1443"/>
      <c r="N906" s="3"/>
      <c r="O906" s="3"/>
      <c r="Q906" s="3"/>
      <c r="R906" s="3"/>
      <c r="S906" s="3"/>
      <c r="T906" s="3"/>
      <c r="U906" s="3"/>
      <c r="V906" s="3"/>
      <c r="W906" s="3"/>
      <c r="X906" s="3"/>
    </row>
    <row r="907" spans="1:24" s="4" customFormat="1" ht="30" hidden="1" customHeight="1" x14ac:dyDescent="0.15">
      <c r="A907" s="2072">
        <f t="shared" ca="1" si="280"/>
        <v>12</v>
      </c>
      <c r="B907" s="2" t="s">
        <v>1038</v>
      </c>
      <c r="C907" s="2" t="str">
        <f>+VLOOKUP($B907,[1]BOLETIM_SEL!$A:$H,2,0)</f>
        <v>COMPOSIÇÃO</v>
      </c>
      <c r="D907" s="315" t="str">
        <f>+VLOOKUP($B907,[1]BOLETIM_SEL!$A:$H,4,0)</f>
        <v>Avaliação e análise geotécnica de taludes e estabilidade de maciços em terra. Exclusive ensaios geotécnicos</v>
      </c>
      <c r="E907" s="2"/>
      <c r="F907" s="2" t="str">
        <f>+VLOOKUP($B907,[1]BOLETIM_SEL!$A:$H,6,0)</f>
        <v xml:space="preserve">un </v>
      </c>
      <c r="G907" s="1407">
        <f>+VLOOKUP($B907,[1]BOLETIM_SEL!$A:$H,7,0)</f>
        <v>15587.54</v>
      </c>
      <c r="H907" s="1606"/>
      <c r="I907" s="132">
        <f t="shared" si="281"/>
        <v>19016.79</v>
      </c>
      <c r="J907" s="1607">
        <f t="shared" si="287"/>
        <v>0</v>
      </c>
      <c r="K907" s="2069">
        <f t="shared" ca="1" si="279"/>
        <v>0</v>
      </c>
      <c r="L907" s="1570" t="e">
        <f t="shared" si="288"/>
        <v>#DIV/0!</v>
      </c>
      <c r="M907" s="1443"/>
      <c r="N907" s="3"/>
      <c r="O907" s="3"/>
      <c r="Q907" s="3"/>
      <c r="R907" s="3"/>
      <c r="S907" s="3"/>
      <c r="T907" s="3"/>
      <c r="U907" s="3"/>
      <c r="V907" s="3"/>
      <c r="W907" s="3"/>
      <c r="X907" s="3"/>
    </row>
    <row r="908" spans="1:24" s="4" customFormat="1" ht="30" hidden="1" customHeight="1" x14ac:dyDescent="0.15">
      <c r="A908" s="2072">
        <f t="shared" ca="1" si="280"/>
        <v>12</v>
      </c>
      <c r="B908" s="2" t="s">
        <v>1031</v>
      </c>
      <c r="C908" s="2" t="str">
        <f>+VLOOKUP($B908,[1]BOLETIM_SEL!$A:$H,2,0)</f>
        <v>COMPOSIÇÃO</v>
      </c>
      <c r="D908" s="315" t="str">
        <f>+VLOOKUP($B908,[1]BOLETIM_SEL!$A:$H,4,0)</f>
        <v>Elaboração de estudos topográficos e geotécnicos</v>
      </c>
      <c r="E908" s="2"/>
      <c r="F908" s="2" t="str">
        <f>+VLOOKUP($B908,[1]BOLETIM_SEL!$A:$H,6,0)</f>
        <v>km</v>
      </c>
      <c r="G908" s="1407">
        <f>+VLOOKUP($B908,[1]BOLETIM_SEL!$A:$H,7,0)</f>
        <v>11933.317500000001</v>
      </c>
      <c r="H908" s="1606"/>
      <c r="I908" s="132">
        <f t="shared" si="281"/>
        <v>14558.64</v>
      </c>
      <c r="J908" s="1607">
        <f t="shared" si="287"/>
        <v>0</v>
      </c>
      <c r="K908" s="2069">
        <f t="shared" ca="1" si="279"/>
        <v>0</v>
      </c>
      <c r="L908" s="1570" t="e">
        <f t="shared" si="288"/>
        <v>#DIV/0!</v>
      </c>
      <c r="M908" s="1443"/>
      <c r="N908" s="3"/>
      <c r="O908" s="3"/>
      <c r="Q908" s="3"/>
      <c r="R908" s="3"/>
      <c r="S908" s="3"/>
      <c r="T908" s="3"/>
      <c r="U908" s="3"/>
      <c r="V908" s="3"/>
      <c r="W908" s="3"/>
      <c r="X908" s="3"/>
    </row>
    <row r="909" spans="1:24" s="4" customFormat="1" ht="30" hidden="1" customHeight="1" x14ac:dyDescent="0.15">
      <c r="A909" s="2072">
        <f t="shared" ca="1" si="280"/>
        <v>12</v>
      </c>
      <c r="B909" s="2" t="s">
        <v>1032</v>
      </c>
      <c r="C909" s="2" t="str">
        <f>+VLOOKUP($B909,[1]BOLETIM_SEL!$A:$H,2,0)</f>
        <v>COMPOSIÇÃO</v>
      </c>
      <c r="D909" s="315" t="str">
        <f>+VLOOKUP($B909,[1]BOLETIM_SEL!$A:$H,4,0)</f>
        <v>Levantamento topográfico por GPS ou voo aerofotogramétrico em áreas de difícil acesso, relevo acidentado e pouco habitada</v>
      </c>
      <c r="E909" s="2"/>
      <c r="F909" s="2" t="str">
        <f>+VLOOKUP($B909,[1]BOLETIM_SEL!$A:$H,6,0)</f>
        <v xml:space="preserve">ha </v>
      </c>
      <c r="G909" s="1407">
        <f>+VLOOKUP($B909,[1]BOLETIM_SEL!$A:$H,7,0)</f>
        <v>83.93</v>
      </c>
      <c r="H909" s="1606"/>
      <c r="I909" s="132">
        <f t="shared" si="281"/>
        <v>102.39</v>
      </c>
      <c r="J909" s="1607">
        <f t="shared" si="287"/>
        <v>0</v>
      </c>
      <c r="K909" s="2069">
        <f t="shared" ca="1" si="279"/>
        <v>0</v>
      </c>
      <c r="L909" s="1570" t="e">
        <f t="shared" si="288"/>
        <v>#DIV/0!</v>
      </c>
      <c r="M909" s="1443"/>
      <c r="N909" s="3"/>
      <c r="O909" s="3"/>
      <c r="Q909" s="3"/>
      <c r="R909" s="3"/>
      <c r="S909" s="3"/>
      <c r="T909" s="3"/>
      <c r="U909" s="3"/>
      <c r="V909" s="3"/>
      <c r="W909" s="3"/>
      <c r="X909" s="3"/>
    </row>
    <row r="910" spans="1:24" s="4" customFormat="1" ht="30" hidden="1" customHeight="1" x14ac:dyDescent="0.15">
      <c r="A910" s="2072">
        <f t="shared" ca="1" si="280"/>
        <v>12</v>
      </c>
      <c r="B910" s="2" t="s">
        <v>1033</v>
      </c>
      <c r="C910" s="2" t="str">
        <f>+VLOOKUP($B910,[1]BOLETIM_SEL!$A:$H,2,0)</f>
        <v>COMPOSIÇÃO</v>
      </c>
      <c r="D910" s="315" t="str">
        <f>+VLOOKUP($B910,[1]BOLETIM_SEL!$A:$H,4,0)</f>
        <v>Levantamento topográfico planialtimétrico semi-cadastral</v>
      </c>
      <c r="E910" s="2"/>
      <c r="F910" s="2" t="str">
        <f>+VLOOKUP($B910,[1]BOLETIM_SEL!$A:$H,6,0)</f>
        <v xml:space="preserve">ha </v>
      </c>
      <c r="G910" s="1407">
        <f>+VLOOKUP($B910,[1]BOLETIM_SEL!$A:$H,7,0)</f>
        <v>7854.16</v>
      </c>
      <c r="H910" s="1606"/>
      <c r="I910" s="132">
        <f t="shared" si="281"/>
        <v>9582.07</v>
      </c>
      <c r="J910" s="1607">
        <f t="shared" si="287"/>
        <v>0</v>
      </c>
      <c r="K910" s="2069">
        <f t="shared" ca="1" si="279"/>
        <v>0</v>
      </c>
      <c r="L910" s="1570" t="e">
        <f t="shared" si="288"/>
        <v>#DIV/0!</v>
      </c>
      <c r="M910" s="1443"/>
      <c r="N910" s="3"/>
      <c r="O910" s="3"/>
      <c r="Q910" s="3"/>
      <c r="R910" s="3"/>
      <c r="S910" s="3"/>
      <c r="T910" s="3"/>
      <c r="U910" s="3"/>
      <c r="V910" s="3"/>
      <c r="W910" s="3"/>
      <c r="X910" s="3"/>
    </row>
    <row r="911" spans="1:24" s="4" customFormat="1" ht="39.950000000000003" hidden="1" customHeight="1" x14ac:dyDescent="0.15">
      <c r="A911" s="2072">
        <f t="shared" ca="1" si="280"/>
        <v>12</v>
      </c>
      <c r="B911" s="2" t="s">
        <v>1043</v>
      </c>
      <c r="C911" s="2" t="str">
        <f>+VLOOKUP($B911,[1]BOLETIM_SEL!$A:$H,2,0)</f>
        <v>COMPOSIÇÃO</v>
      </c>
      <c r="D911" s="315" t="str">
        <f>+VLOOKUP($B911,[1]BOLETIM_SEL!$A:$H,4,0)</f>
        <v>Elaboração de projetos executivos geométrico, terraplenagem, pavimentação, drenagem superficial, galeria de água pluvial, sinalização viária e acessibilidade</v>
      </c>
      <c r="E911" s="2"/>
      <c r="F911" s="2" t="str">
        <f>+VLOOKUP($B911,[1]BOLETIM_SEL!$A:$H,6,0)</f>
        <v>m²</v>
      </c>
      <c r="G911" s="1407">
        <f>+VLOOKUP($B911,[1]BOLETIM_SEL!$A:$H,7,0)</f>
        <v>3.38</v>
      </c>
      <c r="H911" s="1606"/>
      <c r="I911" s="132">
        <f t="shared" si="281"/>
        <v>4.12</v>
      </c>
      <c r="J911" s="1607">
        <f t="shared" si="287"/>
        <v>0</v>
      </c>
      <c r="K911" s="2069">
        <f t="shared" ca="1" si="279"/>
        <v>0</v>
      </c>
      <c r="L911" s="1570" t="e">
        <f t="shared" si="288"/>
        <v>#DIV/0!</v>
      </c>
      <c r="M911" s="1443"/>
      <c r="N911" s="3"/>
      <c r="O911" s="3"/>
      <c r="Q911" s="3"/>
      <c r="R911" s="3"/>
      <c r="S911" s="3"/>
      <c r="T911" s="3"/>
      <c r="U911" s="3"/>
      <c r="V911" s="3"/>
      <c r="W911" s="3"/>
      <c r="X911" s="3"/>
    </row>
    <row r="912" spans="1:24" s="4" customFormat="1" ht="39.950000000000003" hidden="1" customHeight="1" x14ac:dyDescent="0.15">
      <c r="A912" s="2072">
        <f t="shared" ca="1" si="280"/>
        <v>12</v>
      </c>
      <c r="B912" s="2" t="s">
        <v>1047</v>
      </c>
      <c r="C912" s="2" t="str">
        <f>+VLOOKUP($B912,[1]BOLETIM_SEL!$A:$H,2,0)</f>
        <v>COMPOSIÇÃO</v>
      </c>
      <c r="D912" s="315" t="str">
        <f>+VLOOKUP($B912,[1]BOLETIM_SEL!$A:$H,4,0)</f>
        <v>Projeto executivo de terraplenagem, geométrico, pavimentação, sinalização viária e acessibilidade. Exclusive projeto de galeria de água pluvial</v>
      </c>
      <c r="E912" s="2"/>
      <c r="F912" s="2" t="str">
        <f>+VLOOKUP($B912,[1]BOLETIM_SEL!$A:$H,6,0)</f>
        <v>m²</v>
      </c>
      <c r="G912" s="1407">
        <f>+VLOOKUP($B912,[1]BOLETIM_SEL!$A:$H,7,0)</f>
        <v>2.61</v>
      </c>
      <c r="H912" s="1606"/>
      <c r="I912" s="132">
        <f t="shared" si="281"/>
        <v>3.18</v>
      </c>
      <c r="J912" s="1607">
        <f t="shared" si="287"/>
        <v>0</v>
      </c>
      <c r="K912" s="2069">
        <f t="shared" ca="1" si="279"/>
        <v>0</v>
      </c>
      <c r="L912" s="1570" t="e">
        <f t="shared" si="288"/>
        <v>#DIV/0!</v>
      </c>
      <c r="M912" s="1443"/>
      <c r="N912" s="3"/>
      <c r="O912" s="3"/>
      <c r="Q912" s="3"/>
      <c r="R912" s="3"/>
      <c r="S912" s="3"/>
      <c r="T912" s="3"/>
      <c r="U912" s="3"/>
      <c r="V912" s="3"/>
      <c r="W912" s="3"/>
      <c r="X912" s="3"/>
    </row>
    <row r="913" spans="1:24" s="4" customFormat="1" ht="30" hidden="1" customHeight="1" x14ac:dyDescent="0.15">
      <c r="A913" s="2072">
        <f t="shared" ca="1" si="280"/>
        <v>12</v>
      </c>
      <c r="B913" s="2" t="s">
        <v>1045</v>
      </c>
      <c r="C913" s="2" t="str">
        <f>+VLOOKUP($B913,[1]BOLETIM_SEL!$A:$H,2,0)</f>
        <v>COMPOSIÇÃO</v>
      </c>
      <c r="D913" s="315" t="str">
        <f>+VLOOKUP($B913,[1]BOLETIM_SEL!$A:$H,4,0)</f>
        <v>Elaboração de projeto executivo de galerias de drenagem de águas pluviais. Exclusive serviços topográficos e geotécnicos</v>
      </c>
      <c r="E913" s="2"/>
      <c r="F913" s="2" t="str">
        <f>+VLOOKUP($B913,[1]BOLETIM_SEL!$A:$H,6,0)</f>
        <v>m</v>
      </c>
      <c r="G913" s="1407">
        <f>+VLOOKUP($B913,[1]BOLETIM_SEL!$A:$H,7,0)</f>
        <v>7.76</v>
      </c>
      <c r="H913" s="1606"/>
      <c r="I913" s="132">
        <f t="shared" si="281"/>
        <v>9.4600000000000009</v>
      </c>
      <c r="J913" s="1607">
        <f t="shared" si="287"/>
        <v>0</v>
      </c>
      <c r="K913" s="2069">
        <f t="shared" ca="1" si="279"/>
        <v>0</v>
      </c>
      <c r="L913" s="1570" t="e">
        <f t="shared" si="288"/>
        <v>#DIV/0!</v>
      </c>
      <c r="M913" s="1443"/>
      <c r="N913" s="3"/>
      <c r="O913" s="3"/>
      <c r="Q913" s="3"/>
      <c r="R913" s="3"/>
      <c r="S913" s="3"/>
      <c r="T913" s="3"/>
      <c r="U913" s="3"/>
      <c r="V913" s="3"/>
      <c r="W913" s="3"/>
      <c r="X913" s="3"/>
    </row>
    <row r="914" spans="1:24" s="4" customFormat="1" ht="50.1" hidden="1" customHeight="1" x14ac:dyDescent="0.15">
      <c r="A914" s="2072">
        <f t="shared" ca="1" si="280"/>
        <v>12</v>
      </c>
      <c r="B914" s="2" t="s">
        <v>1044</v>
      </c>
      <c r="C914" s="2" t="str">
        <f>+VLOOKUP($B914,[1]BOLETIM_SEL!$A:$H,2,0)</f>
        <v>COMPOSIÇÃO</v>
      </c>
      <c r="D914" s="315" t="str">
        <f>+VLOOKUP($B914,[1]BOLETIM_SEL!$A:$H,4,0)</f>
        <v>Elaboração de projetos executivo de interseção e adequação viária em até 3.000m² de área de intervenção. Incluindo projetos geométrico, terraplenagem, pavimentação, drenagem superficial e bueiros, sinalização viária e acessibilidade. Exclusive serviços topográficos e geotécnicos</v>
      </c>
      <c r="E914" s="2"/>
      <c r="F914" s="2" t="str">
        <f>+VLOOKUP($B914,[1]BOLETIM_SEL!$A:$H,6,0)</f>
        <v xml:space="preserve">un </v>
      </c>
      <c r="G914" s="1407">
        <f>+VLOOKUP($B914,[1]BOLETIM_SEL!$A:$H,7,0)</f>
        <v>38004.49</v>
      </c>
      <c r="H914" s="1606"/>
      <c r="I914" s="132">
        <f t="shared" si="281"/>
        <v>46365.47</v>
      </c>
      <c r="J914" s="1607">
        <f t="shared" si="287"/>
        <v>0</v>
      </c>
      <c r="K914" s="2069">
        <f t="shared" ca="1" si="279"/>
        <v>0</v>
      </c>
      <c r="L914" s="1570" t="e">
        <f t="shared" si="288"/>
        <v>#DIV/0!</v>
      </c>
      <c r="M914" s="1443"/>
      <c r="N914" s="3"/>
      <c r="O914" s="3"/>
      <c r="Q914" s="3"/>
      <c r="R914" s="3"/>
      <c r="S914" s="3"/>
      <c r="T914" s="3"/>
      <c r="U914" s="3"/>
      <c r="V914" s="3"/>
      <c r="W914" s="3"/>
      <c r="X914" s="3"/>
    </row>
    <row r="915" spans="1:24" s="4" customFormat="1" ht="30" hidden="1" customHeight="1" x14ac:dyDescent="0.15">
      <c r="A915" s="2072">
        <f t="shared" ca="1" si="280"/>
        <v>12</v>
      </c>
      <c r="B915" s="2" t="s">
        <v>2442</v>
      </c>
      <c r="C915" s="2" t="str">
        <f>+VLOOKUP($B915,[1]BOLETIM_SEL!$A:$H,2,0)</f>
        <v>COMPOSIÇÃO</v>
      </c>
      <c r="D915" s="315" t="str">
        <f>+VLOOKUP($B915,[1]BOLETIM_SEL!$A:$H,4,0)</f>
        <v>Elaboração projeto executivo de calçada em via urbana, incluindo estudos topográficos e acessibilidade</v>
      </c>
      <c r="E915" s="2"/>
      <c r="F915" s="2" t="str">
        <f>+VLOOKUP($B915,[1]BOLETIM_SEL!$A:$H,6,0)</f>
        <v>km</v>
      </c>
      <c r="G915" s="1407">
        <f>+VLOOKUP($B915,[1]BOLETIM_SEL!$A:$H,7,0)</f>
        <v>3279.22</v>
      </c>
      <c r="H915" s="1606"/>
      <c r="I915" s="132">
        <f t="shared" si="281"/>
        <v>4000.64</v>
      </c>
      <c r="J915" s="1607">
        <f t="shared" si="287"/>
        <v>0</v>
      </c>
      <c r="K915" s="2069">
        <f t="shared" ca="1" si="279"/>
        <v>0</v>
      </c>
      <c r="L915" s="1570" t="e">
        <f t="shared" si="288"/>
        <v>#DIV/0!</v>
      </c>
      <c r="M915" s="1443"/>
      <c r="N915" s="3"/>
      <c r="O915" s="3"/>
      <c r="Q915" s="3"/>
      <c r="R915" s="3"/>
      <c r="S915" s="3"/>
      <c r="T915" s="3"/>
      <c r="U915" s="3"/>
      <c r="V915" s="3"/>
      <c r="W915" s="3"/>
      <c r="X915" s="3"/>
    </row>
    <row r="916" spans="1:24" s="4" customFormat="1" ht="39.950000000000003" hidden="1" customHeight="1" x14ac:dyDescent="0.15">
      <c r="A916" s="2072">
        <f t="shared" ca="1" si="280"/>
        <v>12</v>
      </c>
      <c r="B916" s="2" t="s">
        <v>2443</v>
      </c>
      <c r="C916" s="2" t="str">
        <f>+VLOOKUP($B916,[1]BOLETIM_SEL!$A:$H,2,0)</f>
        <v>COMPOSIÇÃO</v>
      </c>
      <c r="D916" s="315" t="str">
        <f>+VLOOKUP($B916,[1]BOLETIM_SEL!$A:$H,4,0)</f>
        <v>Elaboração projeto executivo de ciclovia e ciclofaixa em via urbana, incluindo estudos topográficos e projeto de sinalização viária e acessibilidade</v>
      </c>
      <c r="E916" s="2"/>
      <c r="F916" s="2" t="str">
        <f>+VLOOKUP($B916,[1]BOLETIM_SEL!$A:$H,6,0)</f>
        <v>km</v>
      </c>
      <c r="G916" s="1407">
        <f>+VLOOKUP($B916,[1]BOLETIM_SEL!$A:$H,7,0)</f>
        <v>3697</v>
      </c>
      <c r="H916" s="1606"/>
      <c r="I916" s="132">
        <f t="shared" si="281"/>
        <v>4510.34</v>
      </c>
      <c r="J916" s="1607">
        <f t="shared" si="287"/>
        <v>0</v>
      </c>
      <c r="K916" s="2069">
        <f t="shared" ca="1" si="279"/>
        <v>0</v>
      </c>
      <c r="L916" s="1570" t="e">
        <f t="shared" si="288"/>
        <v>#DIV/0!</v>
      </c>
      <c r="M916" s="1443"/>
      <c r="N916" s="3"/>
      <c r="O916" s="3"/>
      <c r="Q916" s="3"/>
      <c r="R916" s="3"/>
      <c r="S916" s="3"/>
      <c r="T916" s="3"/>
      <c r="U916" s="3"/>
      <c r="V916" s="3"/>
      <c r="W916" s="3"/>
      <c r="X916" s="3"/>
    </row>
    <row r="917" spans="1:24" s="4" customFormat="1" ht="39.950000000000003" hidden="1" customHeight="1" x14ac:dyDescent="0.15">
      <c r="A917" s="2072">
        <f t="shared" ca="1" si="280"/>
        <v>12</v>
      </c>
      <c r="B917" s="2" t="s">
        <v>1053</v>
      </c>
      <c r="C917" s="2" t="str">
        <f>+VLOOKUP($B917,[1]BOLETIM_SEL!$A:$H,2,0)</f>
        <v>COMPOSIÇÃO</v>
      </c>
      <c r="D917" s="315" t="str">
        <f>+VLOOKUP($B917,[1]BOLETIM_SEL!$A:$H,4,0)</f>
        <v>Elaboração de estudo de avaliação estrutural do pavimento – viga benkelman e/ou Falling Weight Deflectometer - FWD. Extensão mínima 20 km</v>
      </c>
      <c r="E917" s="2"/>
      <c r="F917" s="2" t="str">
        <f>+VLOOKUP($B917,[1]BOLETIM_SEL!$A:$H,6,0)</f>
        <v>km.faixa</v>
      </c>
      <c r="G917" s="1407">
        <f>+VLOOKUP($B917,[1]BOLETIM_SEL!$A:$H,7,0)</f>
        <v>337.55</v>
      </c>
      <c r="H917" s="1606"/>
      <c r="I917" s="132">
        <f t="shared" si="281"/>
        <v>411.81</v>
      </c>
      <c r="J917" s="1607">
        <f t="shared" si="287"/>
        <v>0</v>
      </c>
      <c r="K917" s="2069">
        <f t="shared" ca="1" si="279"/>
        <v>0</v>
      </c>
      <c r="L917" s="1570" t="e">
        <f t="shared" ref="L917:L928" si="292">+J917/J$891</f>
        <v>#DIV/0!</v>
      </c>
      <c r="M917" s="1443"/>
      <c r="N917" s="3"/>
      <c r="O917" s="3"/>
      <c r="Q917" s="3"/>
      <c r="R917" s="3"/>
      <c r="S917" s="3"/>
      <c r="T917" s="3"/>
      <c r="U917" s="3"/>
      <c r="V917" s="3"/>
      <c r="W917" s="3"/>
      <c r="X917" s="3"/>
    </row>
    <row r="918" spans="1:24" s="4" customFormat="1" ht="39.950000000000003" hidden="1" customHeight="1" x14ac:dyDescent="0.15">
      <c r="A918" s="2072">
        <f t="shared" ca="1" si="280"/>
        <v>12</v>
      </c>
      <c r="B918" s="2" t="s">
        <v>1052</v>
      </c>
      <c r="C918" s="2" t="str">
        <f>+VLOOKUP($B918,[1]BOLETIM_SEL!$A:$H,2,0)</f>
        <v>COMPOSIÇÃO</v>
      </c>
      <c r="D918" s="315" t="str">
        <f>+VLOOKUP($B918,[1]BOLETIM_SEL!$A:$H,4,0)</f>
        <v>Elaboração projeto de restauração funcional do pavimento, incluindo estudos topográficos e geotécnicos, projetos drenagem superficial, sinalização viária e acessibilidade</v>
      </c>
      <c r="E918" s="2"/>
      <c r="F918" s="2" t="str">
        <f>+VLOOKUP($B918,[1]BOLETIM_SEL!$A:$H,6,0)</f>
        <v>m²</v>
      </c>
      <c r="G918" s="1407">
        <f>+VLOOKUP($B918,[1]BOLETIM_SEL!$A:$H,7,0)</f>
        <v>2.0699999999999998</v>
      </c>
      <c r="H918" s="1606"/>
      <c r="I918" s="132">
        <f t="shared" si="281"/>
        <v>2.52</v>
      </c>
      <c r="J918" s="1607">
        <f t="shared" si="287"/>
        <v>0</v>
      </c>
      <c r="K918" s="2069">
        <f t="shared" ca="1" si="279"/>
        <v>0</v>
      </c>
      <c r="L918" s="1570" t="e">
        <f t="shared" si="292"/>
        <v>#DIV/0!</v>
      </c>
      <c r="M918" s="1443"/>
      <c r="N918" s="3"/>
      <c r="O918" s="3"/>
      <c r="Q918" s="3"/>
      <c r="R918" s="3"/>
      <c r="S918" s="3"/>
      <c r="T918" s="3"/>
      <c r="U918" s="3"/>
      <c r="V918" s="3"/>
      <c r="W918" s="3"/>
      <c r="X918" s="3"/>
    </row>
    <row r="919" spans="1:24" s="4" customFormat="1" ht="30" hidden="1" customHeight="1" x14ac:dyDescent="0.15">
      <c r="A919" s="2072">
        <f t="shared" ca="1" si="280"/>
        <v>12</v>
      </c>
      <c r="B919" s="2" t="s">
        <v>2444</v>
      </c>
      <c r="C919" s="2" t="str">
        <f>+VLOOKUP($B919,[1]BOLETIM_SEL!$A:$H,2,0)</f>
        <v>COMPOSIÇÃO</v>
      </c>
      <c r="D919" s="315" t="str">
        <f>+VLOOKUP($B919,[1]BOLETIM_SEL!$A:$H,4,0)</f>
        <v>Elaboração projeto executivo de iluminação pública</v>
      </c>
      <c r="E919" s="2"/>
      <c r="F919" s="2" t="str">
        <f>+VLOOKUP($B919,[1]BOLETIM_SEL!$A:$H,6,0)</f>
        <v>km</v>
      </c>
      <c r="G919" s="1407">
        <f>+VLOOKUP($B919,[1]BOLETIM_SEL!$A:$H,7,0)</f>
        <v>3616.6</v>
      </c>
      <c r="H919" s="1606"/>
      <c r="I919" s="132">
        <f t="shared" si="281"/>
        <v>4412.25</v>
      </c>
      <c r="J919" s="1607">
        <f t="shared" si="287"/>
        <v>0</v>
      </c>
      <c r="K919" s="2069">
        <f t="shared" ca="1" si="279"/>
        <v>0</v>
      </c>
      <c r="L919" s="1570" t="e">
        <f t="shared" si="292"/>
        <v>#DIV/0!</v>
      </c>
      <c r="M919" s="1443"/>
      <c r="N919" s="3"/>
      <c r="O919" s="3"/>
      <c r="Q919" s="3"/>
      <c r="R919" s="3"/>
      <c r="S919" s="3"/>
      <c r="T919" s="3"/>
      <c r="U919" s="3"/>
      <c r="V919" s="3"/>
      <c r="W919" s="3"/>
      <c r="X919" s="3"/>
    </row>
    <row r="920" spans="1:24" s="4" customFormat="1" ht="39.950000000000003" hidden="1" customHeight="1" x14ac:dyDescent="0.15">
      <c r="A920" s="2072">
        <f t="shared" ca="1" si="280"/>
        <v>12</v>
      </c>
      <c r="B920" s="2" t="s">
        <v>1054</v>
      </c>
      <c r="C920" s="2" t="str">
        <f>+VLOOKUP($B920,[1]BOLETIM_SEL!$A:$H,2,0)</f>
        <v>COMPOSIÇÃO</v>
      </c>
      <c r="D920" s="315" t="str">
        <f>+VLOOKUP($B920,[1]BOLETIM_SEL!$A:$H,4,0)</f>
        <v>Elaboração de projeto estrutural de OAE (ponte) em concreto armado inclusive estudos hidrológico e projeto de acessibilidade e sinalização viária. Exclusive serviços topográficos e geotécnicos</v>
      </c>
      <c r="E920" s="2"/>
      <c r="F920" s="2" t="str">
        <f>+VLOOKUP($B920,[1]BOLETIM_SEL!$A:$H,6,0)</f>
        <v>m²</v>
      </c>
      <c r="G920" s="1407">
        <f>+VLOOKUP($B920,[1]BOLETIM_SEL!$A:$H,7,0)</f>
        <v>120.98</v>
      </c>
      <c r="H920" s="1606"/>
      <c r="I920" s="132">
        <f t="shared" si="281"/>
        <v>147.59</v>
      </c>
      <c r="J920" s="1607">
        <f t="shared" si="287"/>
        <v>0</v>
      </c>
      <c r="K920" s="2069">
        <f t="shared" ca="1" si="279"/>
        <v>0</v>
      </c>
      <c r="L920" s="1570" t="e">
        <f t="shared" si="292"/>
        <v>#DIV/0!</v>
      </c>
      <c r="M920" s="1443"/>
      <c r="N920" s="3"/>
      <c r="O920" s="3"/>
      <c r="Q920" s="3"/>
      <c r="R920" s="3"/>
      <c r="S920" s="3"/>
      <c r="T920" s="3"/>
      <c r="U920" s="3"/>
      <c r="V920" s="3"/>
      <c r="W920" s="3"/>
      <c r="X920" s="3"/>
    </row>
    <row r="921" spans="1:24" s="4" customFormat="1" ht="50.1" hidden="1" customHeight="1" x14ac:dyDescent="0.15">
      <c r="A921" s="2072">
        <f t="shared" ca="1" si="280"/>
        <v>12</v>
      </c>
      <c r="B921" s="2" t="s">
        <v>1048</v>
      </c>
      <c r="C921" s="2" t="str">
        <f>+VLOOKUP($B921,[1]BOLETIM_SEL!$A:$H,2,0)</f>
        <v>COMPOSIÇÃO</v>
      </c>
      <c r="D921" s="315" t="str">
        <f>+VLOOKUP($B921,[1]BOLETIM_SEL!$A:$H,4,0)</f>
        <v>Elaboração de projeto executivo de controle de erosão, compreendendo concepção de obras estruturantes, terraplenagem, geometria e drenagem, incluindo serviços topográficos e geotécnicos (3 ensaios completos e 3 SPT). Exclusive levantamento aerofotogramétrico</v>
      </c>
      <c r="E921" s="2"/>
      <c r="F921" s="2" t="str">
        <f>+VLOOKUP($B921,[1]BOLETIM_SEL!$A:$H,6,0)</f>
        <v xml:space="preserve">ha </v>
      </c>
      <c r="G921" s="1407">
        <f>+VLOOKUP($B921,[1]BOLETIM_SEL!$A:$H,7,0)</f>
        <v>11483.07</v>
      </c>
      <c r="H921" s="1606"/>
      <c r="I921" s="132">
        <f t="shared" si="281"/>
        <v>14009.34</v>
      </c>
      <c r="J921" s="1607">
        <f t="shared" si="287"/>
        <v>0</v>
      </c>
      <c r="K921" s="2069">
        <f t="shared" ca="1" si="279"/>
        <v>0</v>
      </c>
      <c r="L921" s="1570" t="e">
        <f t="shared" si="292"/>
        <v>#DIV/0!</v>
      </c>
      <c r="M921" s="1443"/>
      <c r="N921" s="3"/>
      <c r="O921" s="3"/>
      <c r="Q921" s="3"/>
      <c r="R921" s="3"/>
      <c r="S921" s="3"/>
      <c r="T921" s="3"/>
      <c r="U921" s="3"/>
      <c r="V921" s="3"/>
      <c r="W921" s="3"/>
      <c r="X921" s="3"/>
    </row>
    <row r="922" spans="1:24" s="4" customFormat="1" ht="39.950000000000003" hidden="1" customHeight="1" x14ac:dyDescent="0.15">
      <c r="A922" s="2072">
        <f t="shared" ca="1" si="280"/>
        <v>12</v>
      </c>
      <c r="B922" s="2" t="s">
        <v>1051</v>
      </c>
      <c r="C922" s="2" t="str">
        <f>+VLOOKUP($B922,[1]BOLETIM_SEL!$A:$H,2,0)</f>
        <v>COMPOSIÇÃO</v>
      </c>
      <c r="D922" s="315" t="str">
        <f>+VLOOKUP($B922,[1]BOLETIM_SEL!$A:$H,4,0)</f>
        <v>Elaboração de projeto executivo de bacia de amortecimento de drenagem de águas pluviais. Exclusive serviços topográficos e geotécnicos e projeto estrutural de contenção de talude</v>
      </c>
      <c r="E922" s="2"/>
      <c r="F922" s="2" t="str">
        <f>+VLOOKUP($B922,[1]BOLETIM_SEL!$A:$H,6,0)</f>
        <v>m³</v>
      </c>
      <c r="G922" s="1407">
        <f>+VLOOKUP($B922,[1]BOLETIM_SEL!$A:$H,7,0)</f>
        <v>2.21</v>
      </c>
      <c r="H922" s="1606"/>
      <c r="I922" s="132">
        <f t="shared" si="281"/>
        <v>2.69</v>
      </c>
      <c r="J922" s="1607">
        <f t="shared" si="287"/>
        <v>0</v>
      </c>
      <c r="K922" s="2069">
        <f t="shared" ca="1" si="279"/>
        <v>0</v>
      </c>
      <c r="L922" s="1570" t="e">
        <f t="shared" si="292"/>
        <v>#DIV/0!</v>
      </c>
      <c r="M922" s="1443"/>
      <c r="N922" s="3"/>
      <c r="O922" s="3"/>
      <c r="Q922" s="3"/>
      <c r="R922" s="3"/>
      <c r="S922" s="3"/>
      <c r="T922" s="3"/>
      <c r="U922" s="3"/>
      <c r="V922" s="3"/>
      <c r="W922" s="3"/>
      <c r="X922" s="3"/>
    </row>
    <row r="923" spans="1:24" s="4" customFormat="1" ht="39.950000000000003" hidden="1" customHeight="1" x14ac:dyDescent="0.15">
      <c r="A923" s="2072">
        <f t="shared" ca="1" si="280"/>
        <v>12</v>
      </c>
      <c r="B923" s="2" t="s">
        <v>1046</v>
      </c>
      <c r="C923" s="2" t="str">
        <f>+VLOOKUP($B923,[1]BOLETIM_SEL!$A:$H,2,0)</f>
        <v>COMPOSIÇÃO</v>
      </c>
      <c r="D923" s="315" t="str">
        <f>+VLOOKUP($B923,[1]BOLETIM_SEL!$A:$H,4,0)</f>
        <v>Elaboração de projeto executivo estrutural e hidráulico de dispositivos de controle de velocidade e vazão de águas pluviais em concreto ou similar, até 50 m³</v>
      </c>
      <c r="E923" s="2"/>
      <c r="F923" s="2" t="str">
        <f>+VLOOKUP($B923,[1]BOLETIM_SEL!$A:$H,6,0)</f>
        <v>m³</v>
      </c>
      <c r="G923" s="1407">
        <f>+VLOOKUP($B923,[1]BOLETIM_SEL!$A:$H,7,0)</f>
        <v>190.15</v>
      </c>
      <c r="H923" s="1606"/>
      <c r="I923" s="132">
        <f t="shared" si="281"/>
        <v>231.98</v>
      </c>
      <c r="J923" s="1607">
        <f t="shared" si="287"/>
        <v>0</v>
      </c>
      <c r="K923" s="2069">
        <f t="shared" ca="1" si="279"/>
        <v>0</v>
      </c>
      <c r="L923" s="1570" t="e">
        <f t="shared" si="292"/>
        <v>#DIV/0!</v>
      </c>
      <c r="M923" s="1443"/>
      <c r="N923" s="3"/>
      <c r="O923" s="3"/>
      <c r="Q923" s="3"/>
      <c r="R923" s="3"/>
      <c r="S923" s="3"/>
      <c r="T923" s="3"/>
      <c r="U923" s="3"/>
      <c r="V923" s="3"/>
      <c r="W923" s="3"/>
      <c r="X923" s="3"/>
    </row>
    <row r="924" spans="1:24" s="4" customFormat="1" ht="39.950000000000003" hidden="1" customHeight="1" x14ac:dyDescent="0.15">
      <c r="A924" s="2072">
        <f t="shared" ca="1" si="280"/>
        <v>12</v>
      </c>
      <c r="B924" s="2" t="s">
        <v>1049</v>
      </c>
      <c r="C924" s="2" t="str">
        <f>+VLOOKUP($B924,[1]BOLETIM_SEL!$A:$H,2,0)</f>
        <v>COMPOSIÇÃO</v>
      </c>
      <c r="D924" s="315" t="str">
        <f>+VLOOKUP($B924,[1]BOLETIM_SEL!$A:$H,4,0)</f>
        <v>Elaboração de projeto estrutural de estabilização de taludes através de muro de arrimo de peso e/ou gabião. Exclusive serviços topográficos e geotécnicos</v>
      </c>
      <c r="E924" s="2"/>
      <c r="F924" s="2" t="str">
        <f>+VLOOKUP($B924,[1]BOLETIM_SEL!$A:$H,6,0)</f>
        <v>m²</v>
      </c>
      <c r="G924" s="1407">
        <f>+VLOOKUP($B924,[1]BOLETIM_SEL!$A:$H,7,0)</f>
        <v>12.28</v>
      </c>
      <c r="H924" s="1606"/>
      <c r="I924" s="132">
        <f t="shared" si="281"/>
        <v>14.98</v>
      </c>
      <c r="J924" s="1607">
        <f t="shared" si="287"/>
        <v>0</v>
      </c>
      <c r="K924" s="2069">
        <f t="shared" ca="1" si="279"/>
        <v>0</v>
      </c>
      <c r="L924" s="1570" t="e">
        <f t="shared" si="292"/>
        <v>#DIV/0!</v>
      </c>
      <c r="M924" s="1443"/>
      <c r="N924" s="3"/>
      <c r="O924" s="3"/>
      <c r="Q924" s="3"/>
      <c r="R924" s="3"/>
      <c r="S924" s="3"/>
      <c r="T924" s="3"/>
      <c r="U924" s="3"/>
      <c r="V924" s="3"/>
      <c r="W924" s="3"/>
      <c r="X924" s="3"/>
    </row>
    <row r="925" spans="1:24" s="4" customFormat="1" ht="39.950000000000003" hidden="1" customHeight="1" x14ac:dyDescent="0.15">
      <c r="A925" s="2072">
        <f t="shared" ca="1" si="280"/>
        <v>12</v>
      </c>
      <c r="B925" s="2" t="s">
        <v>1050</v>
      </c>
      <c r="C925" s="2" t="str">
        <f>+VLOOKUP($B925,[1]BOLETIM_SEL!$A:$H,2,0)</f>
        <v>COMPOSIÇÃO</v>
      </c>
      <c r="D925" s="315" t="str">
        <f>+VLOOKUP($B925,[1]BOLETIM_SEL!$A:$H,4,0)</f>
        <v>Elaboração de projeto estrutural de estabilização de taludes através de muro em concreto armado e/ou cortina atirantada. Exclusive serviços topográficos e geotécnicos</v>
      </c>
      <c r="E925" s="2"/>
      <c r="F925" s="2" t="str">
        <f>+VLOOKUP($B925,[1]BOLETIM_SEL!$A:$H,6,0)</f>
        <v>m²</v>
      </c>
      <c r="G925" s="1407">
        <f>+VLOOKUP($B925,[1]BOLETIM_SEL!$A:$H,7,0)</f>
        <v>39.31</v>
      </c>
      <c r="H925" s="1606"/>
      <c r="I925" s="132">
        <f t="shared" si="281"/>
        <v>47.95</v>
      </c>
      <c r="J925" s="1607">
        <f t="shared" si="287"/>
        <v>0</v>
      </c>
      <c r="K925" s="2069">
        <f t="shared" ca="1" si="279"/>
        <v>0</v>
      </c>
      <c r="L925" s="1570" t="e">
        <f t="shared" si="292"/>
        <v>#DIV/0!</v>
      </c>
      <c r="M925" s="1443"/>
      <c r="N925" s="3"/>
      <c r="O925" s="3"/>
      <c r="Q925" s="3"/>
      <c r="R925" s="3"/>
      <c r="S925" s="3"/>
      <c r="T925" s="3"/>
      <c r="U925" s="3"/>
      <c r="V925" s="3"/>
      <c r="W925" s="3"/>
      <c r="X925" s="3"/>
    </row>
    <row r="926" spans="1:24" s="4" customFormat="1" ht="30" hidden="1" customHeight="1" x14ac:dyDescent="0.15">
      <c r="A926" s="2072">
        <f t="shared" ca="1" si="280"/>
        <v>12</v>
      </c>
      <c r="B926" s="2" t="s">
        <v>2621</v>
      </c>
      <c r="C926" s="2" t="str">
        <f>+VLOOKUP($B926,[1]BOLETIM_SEL!$A:$H,2,0)</f>
        <v>COMPOSIÇÃO</v>
      </c>
      <c r="D926" s="315" t="str">
        <f>+VLOOKUP($B926,[1]BOLETIM_SEL!$A:$H,4,0)</f>
        <v>Orçamento de obras, cronograma, composições, cotações e plano de execução das obras</v>
      </c>
      <c r="E926" s="2"/>
      <c r="F926" s="2" t="str">
        <f>+VLOOKUP($B926,[1]BOLETIM_SEL!$A:$H,6,0)</f>
        <v>km</v>
      </c>
      <c r="G926" s="1407">
        <f>+VLOOKUP($B926,[1]BOLETIM_SEL!$A:$H,7,0)</f>
        <v>1292.8900000000001</v>
      </c>
      <c r="H926" s="1606"/>
      <c r="I926" s="132">
        <f t="shared" ref="I926:I927" si="293">+TRUNC(G926*(1+$J$5),2)</f>
        <v>1577.32</v>
      </c>
      <c r="J926" s="1607">
        <f t="shared" ref="J926:J927" si="294">TRUNC(H926*I926,2)</f>
        <v>0</v>
      </c>
      <c r="K926" s="2069">
        <f t="shared" ca="1" si="279"/>
        <v>0</v>
      </c>
      <c r="L926" s="1570" t="e">
        <f t="shared" ref="L926:L927" si="295">+J926/J$891</f>
        <v>#DIV/0!</v>
      </c>
      <c r="M926" s="1443"/>
      <c r="N926" s="3"/>
      <c r="O926" s="3"/>
      <c r="Q926" s="3"/>
      <c r="R926" s="3"/>
      <c r="S926" s="3"/>
      <c r="T926" s="3"/>
      <c r="U926" s="3"/>
      <c r="V926" s="3"/>
      <c r="W926" s="3"/>
      <c r="X926" s="3"/>
    </row>
    <row r="927" spans="1:24" s="4" customFormat="1" ht="30" hidden="1" customHeight="1" x14ac:dyDescent="0.15">
      <c r="A927" s="2072">
        <f t="shared" ca="1" si="280"/>
        <v>12</v>
      </c>
      <c r="B927" s="2" t="s">
        <v>2622</v>
      </c>
      <c r="C927" s="2" t="str">
        <f>+VLOOKUP($B927,[1]BOLETIM_SEL!$A:$H,2,0)</f>
        <v>COMPOSIÇÃO</v>
      </c>
      <c r="D927" s="315" t="str">
        <f>+VLOOKUP($B927,[1]BOLETIM_SEL!$A:$H,4,0)</f>
        <v>Licenciamento Ambiental para projeto de lançamento de drenagem de águas pluviais</v>
      </c>
      <c r="E927" s="2"/>
      <c r="F927" s="2" t="str">
        <f>+VLOOKUP($B927,[1]BOLETIM_SEL!$A:$H,6,0)</f>
        <v xml:space="preserve">un </v>
      </c>
      <c r="G927" s="1407">
        <f>+VLOOKUP($B927,[1]BOLETIM_SEL!$A:$H,7,0)</f>
        <v>26144.77</v>
      </c>
      <c r="H927" s="1606"/>
      <c r="I927" s="132">
        <f t="shared" si="293"/>
        <v>31896.61</v>
      </c>
      <c r="J927" s="1607">
        <f t="shared" si="294"/>
        <v>0</v>
      </c>
      <c r="K927" s="2069">
        <f t="shared" ca="1" si="279"/>
        <v>0</v>
      </c>
      <c r="L927" s="1570" t="e">
        <f t="shared" si="295"/>
        <v>#DIV/0!</v>
      </c>
      <c r="M927" s="1443"/>
      <c r="N927" s="3"/>
      <c r="O927" s="3"/>
      <c r="Q927" s="3"/>
      <c r="R927" s="3"/>
      <c r="S927" s="3"/>
      <c r="T927" s="3"/>
      <c r="U927" s="3"/>
      <c r="V927" s="3"/>
      <c r="W927" s="3"/>
      <c r="X927" s="3"/>
    </row>
    <row r="928" spans="1:24" s="4" customFormat="1" ht="39.950000000000003" hidden="1" customHeight="1" x14ac:dyDescent="0.15">
      <c r="A928" s="2072">
        <f t="shared" ca="1" si="280"/>
        <v>12</v>
      </c>
      <c r="B928" s="2" t="s">
        <v>2445</v>
      </c>
      <c r="C928" s="2" t="str">
        <f>+VLOOKUP($B928,[1]BOLETIM_SEL!$A:$H,2,0)</f>
        <v>COMPOSIÇÃO</v>
      </c>
      <c r="D928" s="315" t="str">
        <f>+VLOOKUP($B928,[1]BOLETIM_SEL!$A:$H,4,0)</f>
        <v>Elaboração de estudos e projetos executivo de adequação de capacidade hidráulica e estrutural de bueiro rodoviário. Exclusive serviços topográficos e geotécnicos</v>
      </c>
      <c r="E928" s="2"/>
      <c r="F928" s="2" t="str">
        <f>+VLOOKUP($B928,[1]BOLETIM_SEL!$A:$H,6,0)</f>
        <v xml:space="preserve">un </v>
      </c>
      <c r="G928" s="1407">
        <f>+VLOOKUP($B928,[1]BOLETIM_SEL!$A:$H,7,0)</f>
        <v>6637.32</v>
      </c>
      <c r="H928" s="1606"/>
      <c r="I928" s="132">
        <f t="shared" si="281"/>
        <v>8097.53</v>
      </c>
      <c r="J928" s="1607">
        <f t="shared" si="287"/>
        <v>0</v>
      </c>
      <c r="K928" s="2069">
        <f t="shared" ca="1" si="279"/>
        <v>0</v>
      </c>
      <c r="L928" s="1570" t="e">
        <f t="shared" si="292"/>
        <v>#DIV/0!</v>
      </c>
      <c r="M928" s="1443"/>
      <c r="N928" s="3"/>
      <c r="O928" s="3"/>
      <c r="Q928" s="3"/>
      <c r="R928" s="3"/>
      <c r="S928" s="3"/>
      <c r="T928" s="3"/>
      <c r="U928" s="3"/>
      <c r="V928" s="3"/>
      <c r="W928" s="3"/>
      <c r="X928" s="3"/>
    </row>
    <row r="929" spans="1:24" s="812" customFormat="1" ht="24.95" hidden="1" customHeight="1" x14ac:dyDescent="0.15">
      <c r="A929" s="2072"/>
      <c r="B929" s="833"/>
      <c r="C929" s="833"/>
      <c r="D929" s="834"/>
      <c r="E929" s="2"/>
      <c r="F929" s="833"/>
      <c r="G929" s="2"/>
      <c r="H929" s="836"/>
      <c r="I929" s="837"/>
      <c r="J929" s="838">
        <f>+IF(J891=0,0,"")</f>
        <v>0</v>
      </c>
      <c r="K929" s="2069"/>
      <c r="L929" s="1613"/>
      <c r="M929" s="832"/>
      <c r="N929" s="832"/>
      <c r="O929" s="832"/>
      <c r="Q929" s="832"/>
      <c r="R929" s="832"/>
      <c r="S929" s="832"/>
      <c r="T929" s="832"/>
      <c r="U929" s="832"/>
      <c r="V929" s="832"/>
      <c r="W929" s="832"/>
      <c r="X929" s="832"/>
    </row>
    <row r="930" spans="1:24" s="832" customFormat="1" ht="24.95" customHeight="1" x14ac:dyDescent="0.15">
      <c r="A930" s="1636"/>
      <c r="B930" s="1637"/>
      <c r="C930" s="1637"/>
      <c r="D930" s="1638"/>
      <c r="E930" s="1825"/>
      <c r="F930" s="1639"/>
      <c r="G930" s="1807"/>
      <c r="H930" s="1640"/>
      <c r="I930" s="1641" t="s">
        <v>37</v>
      </c>
      <c r="J930" s="1642">
        <f ca="1">SUM(J34:J929)/2</f>
        <v>3679055.580000001</v>
      </c>
      <c r="K930" s="1643">
        <f ca="1">+J930/J$930</f>
        <v>1</v>
      </c>
    </row>
    <row r="931" spans="1:24" s="843" customFormat="1" ht="12.75" x14ac:dyDescent="0.15">
      <c r="A931" s="844"/>
      <c r="B931" s="844"/>
      <c r="C931" s="845"/>
      <c r="D931" s="844"/>
      <c r="E931" s="325"/>
      <c r="F931" s="844"/>
      <c r="G931" s="1808"/>
      <c r="H931" s="844"/>
      <c r="I931" s="844"/>
      <c r="J931" s="844"/>
      <c r="K931" s="1611"/>
      <c r="O931" s="832"/>
      <c r="Q931" s="832"/>
      <c r="R931" s="832"/>
      <c r="S931" s="832"/>
      <c r="T931" s="832"/>
      <c r="U931" s="832"/>
      <c r="V931" s="832"/>
      <c r="W931" s="832"/>
      <c r="X931" s="832"/>
    </row>
    <row r="932" spans="1:24" x14ac:dyDescent="0.15">
      <c r="E932" s="325"/>
      <c r="G932" s="1808"/>
    </row>
    <row r="933" spans="1:24" x14ac:dyDescent="0.15">
      <c r="E933" s="325"/>
      <c r="G933" s="1808"/>
    </row>
    <row r="934" spans="1:24" x14ac:dyDescent="0.15">
      <c r="E934" s="325"/>
      <c r="G934" s="1808"/>
    </row>
    <row r="935" spans="1:24" x14ac:dyDescent="0.15">
      <c r="E935" s="325"/>
      <c r="G935" s="1808"/>
    </row>
    <row r="936" spans="1:24" x14ac:dyDescent="0.15">
      <c r="E936" s="325"/>
      <c r="G936" s="1808"/>
    </row>
    <row r="937" spans="1:24" x14ac:dyDescent="0.15">
      <c r="E937" s="325"/>
      <c r="G937" s="1808"/>
    </row>
    <row r="938" spans="1:24" x14ac:dyDescent="0.15">
      <c r="E938" s="325"/>
      <c r="G938" s="1808"/>
    </row>
    <row r="939" spans="1:24" x14ac:dyDescent="0.15">
      <c r="E939" s="325"/>
      <c r="G939" s="1808"/>
    </row>
    <row r="940" spans="1:24" x14ac:dyDescent="0.15">
      <c r="E940" s="325"/>
      <c r="G940" s="1808"/>
    </row>
    <row r="941" spans="1:24" x14ac:dyDescent="0.15">
      <c r="E941" s="325"/>
      <c r="G941" s="1808"/>
    </row>
    <row r="942" spans="1:24" x14ac:dyDescent="0.15">
      <c r="E942" s="325"/>
      <c r="G942" s="1808"/>
    </row>
    <row r="943" spans="1:24" x14ac:dyDescent="0.15">
      <c r="E943" s="325"/>
      <c r="G943" s="1808"/>
    </row>
    <row r="944" spans="1:24" x14ac:dyDescent="0.15">
      <c r="E944" s="325"/>
    </row>
    <row r="945" spans="5:24" x14ac:dyDescent="0.15">
      <c r="E945" s="325"/>
    </row>
    <row r="946" spans="5:24" x14ac:dyDescent="0.15">
      <c r="E946" s="325"/>
    </row>
    <row r="947" spans="5:24" x14ac:dyDescent="0.15">
      <c r="E947" s="325"/>
    </row>
    <row r="948" spans="5:24" x14ac:dyDescent="0.15">
      <c r="E948" s="325"/>
    </row>
    <row r="949" spans="5:24" x14ac:dyDescent="0.15">
      <c r="E949" s="325"/>
    </row>
    <row r="950" spans="5:24" x14ac:dyDescent="0.15">
      <c r="E950" s="325"/>
    </row>
    <row r="951" spans="5:24" x14ac:dyDescent="0.15">
      <c r="E951" s="325"/>
      <c r="G951" s="844"/>
      <c r="O951" s="832"/>
      <c r="Q951" s="832"/>
      <c r="R951" s="832"/>
      <c r="S951" s="832"/>
      <c r="T951" s="832"/>
      <c r="U951" s="832"/>
      <c r="V951" s="832"/>
      <c r="W951" s="832"/>
      <c r="X951" s="832"/>
    </row>
    <row r="952" spans="5:24" x14ac:dyDescent="0.15">
      <c r="E952" s="325"/>
      <c r="G952" s="844"/>
      <c r="I952" s="197"/>
      <c r="J952" s="902"/>
      <c r="O952" s="832"/>
      <c r="Q952" s="832"/>
      <c r="R952" s="832"/>
      <c r="S952" s="832"/>
      <c r="T952" s="832"/>
      <c r="U952" s="832"/>
      <c r="V952" s="832"/>
      <c r="W952" s="832"/>
      <c r="X952" s="832"/>
    </row>
    <row r="953" spans="5:24" x14ac:dyDescent="0.15">
      <c r="E953" s="325"/>
      <c r="G953" s="844"/>
      <c r="I953" s="197"/>
      <c r="J953" s="902"/>
      <c r="O953" s="832"/>
      <c r="Q953" s="832"/>
      <c r="R953" s="832"/>
      <c r="S953" s="832"/>
      <c r="T953" s="832"/>
      <c r="U953" s="832"/>
      <c r="V953" s="832"/>
      <c r="W953" s="832"/>
      <c r="X953" s="832"/>
    </row>
    <row r="954" spans="5:24" x14ac:dyDescent="0.15">
      <c r="E954" s="325"/>
      <c r="G954" s="844"/>
      <c r="O954" s="832"/>
      <c r="Q954" s="832"/>
      <c r="R954" s="832"/>
      <c r="S954" s="832"/>
      <c r="T954" s="832"/>
      <c r="U954" s="832"/>
      <c r="V954" s="832"/>
      <c r="W954" s="832"/>
      <c r="X954" s="832"/>
    </row>
    <row r="955" spans="5:24" x14ac:dyDescent="0.15">
      <c r="E955" s="325"/>
      <c r="G955" s="844"/>
      <c r="O955" s="832"/>
      <c r="Q955" s="832"/>
      <c r="R955" s="832"/>
      <c r="S955" s="832"/>
      <c r="T955" s="832"/>
      <c r="U955" s="832"/>
      <c r="V955" s="832"/>
      <c r="W955" s="832"/>
      <c r="X955" s="832"/>
    </row>
    <row r="956" spans="5:24" x14ac:dyDescent="0.15">
      <c r="E956" s="325"/>
    </row>
    <row r="957" spans="5:24" x14ac:dyDescent="0.15">
      <c r="E957" s="325"/>
    </row>
    <row r="958" spans="5:24" x14ac:dyDescent="0.15">
      <c r="E958" s="325"/>
    </row>
    <row r="959" spans="5:24" x14ac:dyDescent="0.15">
      <c r="E959" s="325"/>
    </row>
    <row r="960" spans="5:24" x14ac:dyDescent="0.15">
      <c r="E960" s="325"/>
    </row>
    <row r="961" spans="5:5" x14ac:dyDescent="0.15">
      <c r="E961" s="325"/>
    </row>
    <row r="962" spans="5:5" x14ac:dyDescent="0.15">
      <c r="E962" s="325"/>
    </row>
    <row r="963" spans="5:5" x14ac:dyDescent="0.15">
      <c r="E963" s="325"/>
    </row>
    <row r="964" spans="5:5" x14ac:dyDescent="0.15">
      <c r="E964" s="325"/>
    </row>
    <row r="965" spans="5:5" x14ac:dyDescent="0.15">
      <c r="E965" s="325"/>
    </row>
    <row r="966" spans="5:5" x14ac:dyDescent="0.15">
      <c r="E966" s="325"/>
    </row>
    <row r="967" spans="5:5" x14ac:dyDescent="0.15">
      <c r="E967" s="325"/>
    </row>
    <row r="968" spans="5:5" x14ac:dyDescent="0.15">
      <c r="E968" s="325"/>
    </row>
    <row r="969" spans="5:5" x14ac:dyDescent="0.15">
      <c r="E969" s="325"/>
    </row>
    <row r="970" spans="5:5" x14ac:dyDescent="0.15">
      <c r="E970" s="325"/>
    </row>
    <row r="971" spans="5:5" x14ac:dyDescent="0.15">
      <c r="E971" s="325"/>
    </row>
    <row r="972" spans="5:5" x14ac:dyDescent="0.15">
      <c r="E972" s="325"/>
    </row>
    <row r="973" spans="5:5" x14ac:dyDescent="0.15">
      <c r="E973" s="325"/>
    </row>
    <row r="974" spans="5:5" x14ac:dyDescent="0.15">
      <c r="E974" s="325"/>
    </row>
    <row r="975" spans="5:5" x14ac:dyDescent="0.15">
      <c r="E975" s="325"/>
    </row>
    <row r="976" spans="5:5" x14ac:dyDescent="0.15">
      <c r="E976" s="325"/>
    </row>
    <row r="977" spans="5:5" x14ac:dyDescent="0.15">
      <c r="E977" s="325"/>
    </row>
    <row r="978" spans="5:5" x14ac:dyDescent="0.15">
      <c r="E978" s="325"/>
    </row>
    <row r="979" spans="5:5" x14ac:dyDescent="0.15">
      <c r="E979" s="325"/>
    </row>
    <row r="980" spans="5:5" x14ac:dyDescent="0.15">
      <c r="E980" s="325"/>
    </row>
    <row r="981" spans="5:5" x14ac:dyDescent="0.15">
      <c r="E981" s="325"/>
    </row>
    <row r="982" spans="5:5" x14ac:dyDescent="0.15">
      <c r="E982" s="325"/>
    </row>
    <row r="983" spans="5:5" x14ac:dyDescent="0.15">
      <c r="E983" s="325"/>
    </row>
    <row r="984" spans="5:5" x14ac:dyDescent="0.15">
      <c r="E984" s="325"/>
    </row>
    <row r="985" spans="5:5" x14ac:dyDescent="0.15">
      <c r="E985" s="325"/>
    </row>
    <row r="986" spans="5:5" x14ac:dyDescent="0.15">
      <c r="E986" s="325"/>
    </row>
    <row r="987" spans="5:5" x14ac:dyDescent="0.15">
      <c r="E987" s="325"/>
    </row>
    <row r="988" spans="5:5" x14ac:dyDescent="0.15">
      <c r="E988" s="325"/>
    </row>
    <row r="989" spans="5:5" x14ac:dyDescent="0.15">
      <c r="E989" s="325"/>
    </row>
    <row r="990" spans="5:5" x14ac:dyDescent="0.15">
      <c r="E990" s="325"/>
    </row>
    <row r="991" spans="5:5" x14ac:dyDescent="0.15">
      <c r="E991" s="325"/>
    </row>
    <row r="992" spans="5:5" x14ac:dyDescent="0.15">
      <c r="E992" s="325"/>
    </row>
    <row r="993" spans="5:5" x14ac:dyDescent="0.15">
      <c r="E993" s="325"/>
    </row>
    <row r="994" spans="5:5" x14ac:dyDescent="0.15">
      <c r="E994" s="325"/>
    </row>
    <row r="995" spans="5:5" x14ac:dyDescent="0.15">
      <c r="E995" s="325"/>
    </row>
    <row r="996" spans="5:5" x14ac:dyDescent="0.15">
      <c r="E996" s="325"/>
    </row>
    <row r="997" spans="5:5" x14ac:dyDescent="0.15">
      <c r="E997" s="325"/>
    </row>
    <row r="998" spans="5:5" x14ac:dyDescent="0.15">
      <c r="E998" s="325"/>
    </row>
    <row r="999" spans="5:5" x14ac:dyDescent="0.15">
      <c r="E999" s="325"/>
    </row>
    <row r="1000" spans="5:5" x14ac:dyDescent="0.15">
      <c r="E1000" s="325"/>
    </row>
    <row r="1001" spans="5:5" x14ac:dyDescent="0.15">
      <c r="E1001" s="325"/>
    </row>
    <row r="1002" spans="5:5" x14ac:dyDescent="0.15">
      <c r="E1002" s="325"/>
    </row>
    <row r="1003" spans="5:5" x14ac:dyDescent="0.15">
      <c r="E1003" s="325"/>
    </row>
    <row r="1004" spans="5:5" x14ac:dyDescent="0.15">
      <c r="E1004" s="325"/>
    </row>
    <row r="1005" spans="5:5" x14ac:dyDescent="0.15">
      <c r="E1005" s="325"/>
    </row>
    <row r="1006" spans="5:5" x14ac:dyDescent="0.15">
      <c r="E1006" s="325"/>
    </row>
    <row r="1007" spans="5:5" x14ac:dyDescent="0.15">
      <c r="E1007" s="325"/>
    </row>
    <row r="1008" spans="5:5" x14ac:dyDescent="0.15">
      <c r="E1008" s="325"/>
    </row>
    <row r="1009" spans="5:5" x14ac:dyDescent="0.15">
      <c r="E1009" s="325"/>
    </row>
    <row r="1010" spans="5:5" x14ac:dyDescent="0.15">
      <c r="E1010" s="325"/>
    </row>
    <row r="1011" spans="5:5" x14ac:dyDescent="0.15">
      <c r="E1011" s="325"/>
    </row>
    <row r="1012" spans="5:5" x14ac:dyDescent="0.15">
      <c r="E1012" s="325"/>
    </row>
    <row r="1013" spans="5:5" x14ac:dyDescent="0.15">
      <c r="E1013" s="325"/>
    </row>
    <row r="1014" spans="5:5" x14ac:dyDescent="0.15">
      <c r="E1014" s="325"/>
    </row>
    <row r="1015" spans="5:5" x14ac:dyDescent="0.15">
      <c r="E1015" s="325"/>
    </row>
    <row r="1016" spans="5:5" x14ac:dyDescent="0.15">
      <c r="E1016" s="325"/>
    </row>
    <row r="1017" spans="5:5" x14ac:dyDescent="0.15">
      <c r="E1017" s="325"/>
    </row>
    <row r="1018" spans="5:5" x14ac:dyDescent="0.15">
      <c r="E1018" s="325"/>
    </row>
    <row r="1019" spans="5:5" x14ac:dyDescent="0.15">
      <c r="E1019" s="325"/>
    </row>
    <row r="1020" spans="5:5" x14ac:dyDescent="0.15">
      <c r="E1020" s="325"/>
    </row>
    <row r="1021" spans="5:5" x14ac:dyDescent="0.15">
      <c r="E1021" s="325"/>
    </row>
    <row r="1022" spans="5:5" x14ac:dyDescent="0.15">
      <c r="E1022" s="325"/>
    </row>
    <row r="1023" spans="5:5" x14ac:dyDescent="0.15">
      <c r="E1023" s="325"/>
    </row>
    <row r="1024" spans="5:5" x14ac:dyDescent="0.15">
      <c r="E1024" s="325"/>
    </row>
    <row r="1025" spans="5:5" x14ac:dyDescent="0.15">
      <c r="E1025" s="325"/>
    </row>
    <row r="1026" spans="5:5" x14ac:dyDescent="0.15">
      <c r="E1026" s="325"/>
    </row>
    <row r="1027" spans="5:5" x14ac:dyDescent="0.15">
      <c r="E1027" s="325"/>
    </row>
    <row r="1028" spans="5:5" x14ac:dyDescent="0.15">
      <c r="E1028" s="325"/>
    </row>
    <row r="1029" spans="5:5" x14ac:dyDescent="0.15">
      <c r="E1029" s="325"/>
    </row>
    <row r="1030" spans="5:5" x14ac:dyDescent="0.15">
      <c r="E1030" s="325"/>
    </row>
    <row r="1031" spans="5:5" x14ac:dyDescent="0.15">
      <c r="E1031" s="325"/>
    </row>
    <row r="1032" spans="5:5" x14ac:dyDescent="0.15">
      <c r="E1032" s="325"/>
    </row>
    <row r="1033" spans="5:5" x14ac:dyDescent="0.15">
      <c r="E1033" s="325"/>
    </row>
    <row r="1034" spans="5:5" x14ac:dyDescent="0.15">
      <c r="E1034" s="325"/>
    </row>
    <row r="1035" spans="5:5" x14ac:dyDescent="0.15">
      <c r="E1035" s="325"/>
    </row>
    <row r="1036" spans="5:5" x14ac:dyDescent="0.15">
      <c r="E1036" s="325"/>
    </row>
    <row r="1037" spans="5:5" x14ac:dyDescent="0.15">
      <c r="E1037" s="325"/>
    </row>
    <row r="1038" spans="5:5" x14ac:dyDescent="0.15">
      <c r="E1038" s="325"/>
    </row>
    <row r="1039" spans="5:5" x14ac:dyDescent="0.15">
      <c r="E1039" s="325"/>
    </row>
    <row r="1040" spans="5:5" x14ac:dyDescent="0.15">
      <c r="E1040" s="325"/>
    </row>
    <row r="1041" spans="5:5" x14ac:dyDescent="0.15">
      <c r="E1041" s="325"/>
    </row>
    <row r="1042" spans="5:5" x14ac:dyDescent="0.15">
      <c r="E1042" s="325"/>
    </row>
    <row r="1043" spans="5:5" x14ac:dyDescent="0.15">
      <c r="E1043" s="325"/>
    </row>
    <row r="1044" spans="5:5" x14ac:dyDescent="0.15">
      <c r="E1044" s="325"/>
    </row>
    <row r="1045" spans="5:5" x14ac:dyDescent="0.15">
      <c r="E1045" s="325"/>
    </row>
    <row r="1046" spans="5:5" x14ac:dyDescent="0.15">
      <c r="E1046" s="325"/>
    </row>
    <row r="1047" spans="5:5" x14ac:dyDescent="0.15">
      <c r="E1047" s="325"/>
    </row>
    <row r="1048" spans="5:5" x14ac:dyDescent="0.15">
      <c r="E1048" s="325"/>
    </row>
    <row r="1049" spans="5:5" x14ac:dyDescent="0.15">
      <c r="E1049" s="325"/>
    </row>
    <row r="1050" spans="5:5" x14ac:dyDescent="0.15">
      <c r="E1050" s="325"/>
    </row>
    <row r="1051" spans="5:5" x14ac:dyDescent="0.15">
      <c r="E1051" s="325"/>
    </row>
    <row r="1052" spans="5:5" x14ac:dyDescent="0.15">
      <c r="E1052" s="325"/>
    </row>
    <row r="1053" spans="5:5" x14ac:dyDescent="0.15">
      <c r="E1053" s="325"/>
    </row>
    <row r="1054" spans="5:5" x14ac:dyDescent="0.15">
      <c r="E1054" s="325"/>
    </row>
    <row r="1055" spans="5:5" x14ac:dyDescent="0.15">
      <c r="E1055" s="325"/>
    </row>
    <row r="1056" spans="5:5" x14ac:dyDescent="0.15">
      <c r="E1056" s="325"/>
    </row>
    <row r="1057" spans="5:5" x14ac:dyDescent="0.15">
      <c r="E1057" s="325"/>
    </row>
    <row r="1058" spans="5:5" x14ac:dyDescent="0.15">
      <c r="E1058" s="325"/>
    </row>
    <row r="1059" spans="5:5" x14ac:dyDescent="0.15">
      <c r="E1059" s="325"/>
    </row>
    <row r="1060" spans="5:5" x14ac:dyDescent="0.15">
      <c r="E1060" s="325"/>
    </row>
    <row r="1061" spans="5:5" x14ac:dyDescent="0.15">
      <c r="E1061" s="325"/>
    </row>
    <row r="1062" spans="5:5" x14ac:dyDescent="0.15">
      <c r="E1062" s="325"/>
    </row>
    <row r="1063" spans="5:5" x14ac:dyDescent="0.15">
      <c r="E1063" s="325"/>
    </row>
    <row r="1064" spans="5:5" x14ac:dyDescent="0.15">
      <c r="E1064" s="325"/>
    </row>
    <row r="1065" spans="5:5" x14ac:dyDescent="0.15">
      <c r="E1065" s="325"/>
    </row>
    <row r="1066" spans="5:5" x14ac:dyDescent="0.15">
      <c r="E1066" s="325"/>
    </row>
    <row r="1067" spans="5:5" x14ac:dyDescent="0.15">
      <c r="E1067" s="325"/>
    </row>
    <row r="1068" spans="5:5" x14ac:dyDescent="0.15">
      <c r="E1068" s="325"/>
    </row>
    <row r="1069" spans="5:5" x14ac:dyDescent="0.15">
      <c r="E1069" s="325"/>
    </row>
    <row r="1070" spans="5:5" x14ac:dyDescent="0.15">
      <c r="E1070" s="325"/>
    </row>
    <row r="1071" spans="5:5" x14ac:dyDescent="0.15">
      <c r="E1071" s="325"/>
    </row>
    <row r="1072" spans="5:5" x14ac:dyDescent="0.15">
      <c r="E1072" s="325"/>
    </row>
    <row r="1073" spans="5:5" x14ac:dyDescent="0.15">
      <c r="E1073" s="325"/>
    </row>
    <row r="1074" spans="5:5" x14ac:dyDescent="0.15">
      <c r="E1074" s="325"/>
    </row>
    <row r="1075" spans="5:5" x14ac:dyDescent="0.15">
      <c r="E1075" s="325"/>
    </row>
    <row r="1076" spans="5:5" x14ac:dyDescent="0.15">
      <c r="E1076" s="325"/>
    </row>
    <row r="1077" spans="5:5" x14ac:dyDescent="0.15">
      <c r="E1077" s="325"/>
    </row>
    <row r="1078" spans="5:5" x14ac:dyDescent="0.15">
      <c r="E1078" s="325"/>
    </row>
    <row r="1079" spans="5:5" x14ac:dyDescent="0.15">
      <c r="E1079" s="325"/>
    </row>
    <row r="1080" spans="5:5" x14ac:dyDescent="0.15">
      <c r="E1080" s="325"/>
    </row>
    <row r="1081" spans="5:5" x14ac:dyDescent="0.15">
      <c r="E1081" s="325"/>
    </row>
    <row r="1082" spans="5:5" x14ac:dyDescent="0.15">
      <c r="E1082" s="325"/>
    </row>
    <row r="1083" spans="5:5" x14ac:dyDescent="0.15">
      <c r="E1083" s="325"/>
    </row>
    <row r="1084" spans="5:5" x14ac:dyDescent="0.15">
      <c r="E1084" s="325"/>
    </row>
    <row r="1085" spans="5:5" x14ac:dyDescent="0.15">
      <c r="E1085" s="325"/>
    </row>
    <row r="1086" spans="5:5" x14ac:dyDescent="0.15">
      <c r="E1086" s="325"/>
    </row>
    <row r="1087" spans="5:5" x14ac:dyDescent="0.15">
      <c r="E1087" s="325"/>
    </row>
    <row r="1088" spans="5:5" x14ac:dyDescent="0.15">
      <c r="E1088" s="325"/>
    </row>
    <row r="1089" spans="5:5" x14ac:dyDescent="0.15">
      <c r="E1089" s="325"/>
    </row>
    <row r="1090" spans="5:5" x14ac:dyDescent="0.15">
      <c r="E1090" s="325"/>
    </row>
    <row r="1091" spans="5:5" x14ac:dyDescent="0.15">
      <c r="E1091" s="325"/>
    </row>
    <row r="1092" spans="5:5" x14ac:dyDescent="0.15">
      <c r="E1092" s="325"/>
    </row>
    <row r="1093" spans="5:5" x14ac:dyDescent="0.15">
      <c r="E1093" s="325"/>
    </row>
    <row r="1094" spans="5:5" x14ac:dyDescent="0.15">
      <c r="E1094" s="325"/>
    </row>
    <row r="1095" spans="5:5" x14ac:dyDescent="0.15">
      <c r="E1095" s="325"/>
    </row>
    <row r="1096" spans="5:5" x14ac:dyDescent="0.15">
      <c r="E1096" s="325"/>
    </row>
    <row r="1097" spans="5:5" x14ac:dyDescent="0.15">
      <c r="E1097" s="325"/>
    </row>
    <row r="1098" spans="5:5" x14ac:dyDescent="0.15">
      <c r="E1098" s="325"/>
    </row>
    <row r="1099" spans="5:5" x14ac:dyDescent="0.15">
      <c r="E1099" s="325"/>
    </row>
    <row r="1100" spans="5:5" x14ac:dyDescent="0.15">
      <c r="E1100" s="325"/>
    </row>
    <row r="1101" spans="5:5" x14ac:dyDescent="0.15">
      <c r="E1101" s="325"/>
    </row>
    <row r="1102" spans="5:5" x14ac:dyDescent="0.15">
      <c r="E1102" s="325"/>
    </row>
    <row r="1103" spans="5:5" x14ac:dyDescent="0.15">
      <c r="E1103" s="325"/>
    </row>
    <row r="1104" spans="5:5" x14ac:dyDescent="0.15">
      <c r="E1104" s="325"/>
    </row>
    <row r="1105" spans="5:5" x14ac:dyDescent="0.15">
      <c r="E1105" s="325"/>
    </row>
    <row r="1106" spans="5:5" x14ac:dyDescent="0.15">
      <c r="E1106" s="325"/>
    </row>
    <row r="1107" spans="5:5" x14ac:dyDescent="0.15">
      <c r="E1107" s="325"/>
    </row>
    <row r="1108" spans="5:5" x14ac:dyDescent="0.15">
      <c r="E1108" s="325"/>
    </row>
    <row r="1109" spans="5:5" x14ac:dyDescent="0.15">
      <c r="E1109" s="325"/>
    </row>
    <row r="1110" spans="5:5" x14ac:dyDescent="0.15">
      <c r="E1110" s="325"/>
    </row>
    <row r="1111" spans="5:5" x14ac:dyDescent="0.15">
      <c r="E1111" s="325"/>
    </row>
    <row r="1112" spans="5:5" x14ac:dyDescent="0.15">
      <c r="E1112" s="325"/>
    </row>
    <row r="1113" spans="5:5" x14ac:dyDescent="0.15">
      <c r="E1113" s="325"/>
    </row>
    <row r="1114" spans="5:5" x14ac:dyDescent="0.15">
      <c r="E1114" s="325"/>
    </row>
    <row r="1115" spans="5:5" x14ac:dyDescent="0.15">
      <c r="E1115" s="325"/>
    </row>
    <row r="1116" spans="5:5" x14ac:dyDescent="0.15">
      <c r="E1116" s="325"/>
    </row>
    <row r="1117" spans="5:5" x14ac:dyDescent="0.15">
      <c r="E1117" s="325"/>
    </row>
    <row r="1118" spans="5:5" x14ac:dyDescent="0.15">
      <c r="E1118" s="325"/>
    </row>
    <row r="1119" spans="5:5" x14ac:dyDescent="0.15">
      <c r="E1119" s="325"/>
    </row>
    <row r="1120" spans="5:5" x14ac:dyDescent="0.15">
      <c r="E1120" s="325"/>
    </row>
    <row r="1121" spans="5:5" x14ac:dyDescent="0.15">
      <c r="E1121" s="325"/>
    </row>
    <row r="1122" spans="5:5" x14ac:dyDescent="0.15">
      <c r="E1122" s="325"/>
    </row>
    <row r="1123" spans="5:5" x14ac:dyDescent="0.15">
      <c r="E1123" s="325"/>
    </row>
    <row r="1124" spans="5:5" x14ac:dyDescent="0.15">
      <c r="E1124" s="325"/>
    </row>
    <row r="1125" spans="5:5" x14ac:dyDescent="0.15">
      <c r="E1125" s="325"/>
    </row>
    <row r="1126" spans="5:5" x14ac:dyDescent="0.15">
      <c r="E1126" s="325"/>
    </row>
    <row r="1127" spans="5:5" x14ac:dyDescent="0.15">
      <c r="E1127" s="325"/>
    </row>
    <row r="1128" spans="5:5" x14ac:dyDescent="0.15">
      <c r="E1128" s="325"/>
    </row>
    <row r="1129" spans="5:5" x14ac:dyDescent="0.15">
      <c r="E1129" s="325"/>
    </row>
    <row r="1130" spans="5:5" x14ac:dyDescent="0.15">
      <c r="E1130" s="325"/>
    </row>
    <row r="1131" spans="5:5" x14ac:dyDescent="0.15">
      <c r="E1131" s="325"/>
    </row>
    <row r="1132" spans="5:5" x14ac:dyDescent="0.15">
      <c r="E1132" s="325"/>
    </row>
    <row r="1133" spans="5:5" x14ac:dyDescent="0.15">
      <c r="E1133" s="325"/>
    </row>
    <row r="1134" spans="5:5" x14ac:dyDescent="0.15">
      <c r="E1134" s="325"/>
    </row>
    <row r="1135" spans="5:5" x14ac:dyDescent="0.15">
      <c r="E1135" s="325"/>
    </row>
    <row r="1136" spans="5:5" x14ac:dyDescent="0.15">
      <c r="E1136" s="325"/>
    </row>
    <row r="1137" spans="5:5" x14ac:dyDescent="0.15">
      <c r="E1137" s="325"/>
    </row>
    <row r="1138" spans="5:5" x14ac:dyDescent="0.15">
      <c r="E1138" s="325"/>
    </row>
    <row r="1139" spans="5:5" x14ac:dyDescent="0.15">
      <c r="E1139" s="325"/>
    </row>
    <row r="1140" spans="5:5" x14ac:dyDescent="0.15">
      <c r="E1140" s="325"/>
    </row>
    <row r="1141" spans="5:5" x14ac:dyDescent="0.15">
      <c r="E1141" s="325"/>
    </row>
    <row r="1142" spans="5:5" x14ac:dyDescent="0.15">
      <c r="E1142" s="325"/>
    </row>
    <row r="1143" spans="5:5" x14ac:dyDescent="0.15">
      <c r="E1143" s="325"/>
    </row>
    <row r="1144" spans="5:5" x14ac:dyDescent="0.15">
      <c r="E1144" s="325"/>
    </row>
    <row r="1145" spans="5:5" x14ac:dyDescent="0.15">
      <c r="E1145" s="325"/>
    </row>
    <row r="1146" spans="5:5" x14ac:dyDescent="0.15">
      <c r="E1146" s="325"/>
    </row>
    <row r="1147" spans="5:5" x14ac:dyDescent="0.15">
      <c r="E1147" s="325"/>
    </row>
    <row r="1148" spans="5:5" x14ac:dyDescent="0.15">
      <c r="E1148" s="325"/>
    </row>
    <row r="1149" spans="5:5" x14ac:dyDescent="0.15">
      <c r="E1149" s="325"/>
    </row>
    <row r="1150" spans="5:5" x14ac:dyDescent="0.15">
      <c r="E1150" s="325"/>
    </row>
    <row r="1151" spans="5:5" x14ac:dyDescent="0.15">
      <c r="E1151" s="325"/>
    </row>
    <row r="1152" spans="5:5" x14ac:dyDescent="0.15">
      <c r="E1152" s="325"/>
    </row>
    <row r="1153" spans="5:5" x14ac:dyDescent="0.15">
      <c r="E1153" s="325"/>
    </row>
    <row r="1154" spans="5:5" x14ac:dyDescent="0.15">
      <c r="E1154" s="325"/>
    </row>
    <row r="1155" spans="5:5" x14ac:dyDescent="0.15">
      <c r="E1155" s="325"/>
    </row>
    <row r="1156" spans="5:5" x14ac:dyDescent="0.15">
      <c r="E1156" s="325"/>
    </row>
    <row r="1157" spans="5:5" x14ac:dyDescent="0.15">
      <c r="E1157" s="325"/>
    </row>
    <row r="1158" spans="5:5" x14ac:dyDescent="0.15">
      <c r="E1158" s="325"/>
    </row>
    <row r="1159" spans="5:5" x14ac:dyDescent="0.15">
      <c r="E1159" s="325"/>
    </row>
    <row r="1160" spans="5:5" x14ac:dyDescent="0.15">
      <c r="E1160" s="325"/>
    </row>
    <row r="1161" spans="5:5" x14ac:dyDescent="0.15">
      <c r="E1161" s="325"/>
    </row>
    <row r="1162" spans="5:5" x14ac:dyDescent="0.15">
      <c r="E1162" s="325"/>
    </row>
    <row r="1163" spans="5:5" x14ac:dyDescent="0.15">
      <c r="E1163" s="325"/>
    </row>
    <row r="1164" spans="5:5" x14ac:dyDescent="0.15">
      <c r="E1164" s="325"/>
    </row>
    <row r="1165" spans="5:5" x14ac:dyDescent="0.15">
      <c r="E1165" s="325"/>
    </row>
    <row r="1166" spans="5:5" x14ac:dyDescent="0.15">
      <c r="E1166" s="325"/>
    </row>
    <row r="1167" spans="5:5" x14ac:dyDescent="0.15">
      <c r="E1167" s="325"/>
    </row>
    <row r="1168" spans="5:5" x14ac:dyDescent="0.15">
      <c r="E1168" s="325"/>
    </row>
    <row r="1169" spans="5:5" x14ac:dyDescent="0.15">
      <c r="E1169" s="325"/>
    </row>
    <row r="1170" spans="5:5" x14ac:dyDescent="0.15">
      <c r="E1170" s="325"/>
    </row>
    <row r="1171" spans="5:5" x14ac:dyDescent="0.15">
      <c r="E1171" s="325"/>
    </row>
    <row r="1172" spans="5:5" x14ac:dyDescent="0.15">
      <c r="E1172" s="325"/>
    </row>
    <row r="1173" spans="5:5" x14ac:dyDescent="0.15">
      <c r="E1173" s="325"/>
    </row>
    <row r="1174" spans="5:5" x14ac:dyDescent="0.15">
      <c r="E1174" s="325"/>
    </row>
    <row r="1175" spans="5:5" x14ac:dyDescent="0.15">
      <c r="E1175" s="325"/>
    </row>
    <row r="1176" spans="5:5" x14ac:dyDescent="0.15">
      <c r="E1176" s="325"/>
    </row>
    <row r="1177" spans="5:5" x14ac:dyDescent="0.15">
      <c r="E1177" s="325"/>
    </row>
    <row r="1178" spans="5:5" x14ac:dyDescent="0.15">
      <c r="E1178" s="325"/>
    </row>
    <row r="1179" spans="5:5" x14ac:dyDescent="0.15">
      <c r="E1179" s="325"/>
    </row>
    <row r="1180" spans="5:5" x14ac:dyDescent="0.15">
      <c r="E1180" s="325"/>
    </row>
    <row r="1181" spans="5:5" x14ac:dyDescent="0.15">
      <c r="E1181" s="325"/>
    </row>
    <row r="1182" spans="5:5" x14ac:dyDescent="0.15">
      <c r="E1182" s="325"/>
    </row>
    <row r="1183" spans="5:5" x14ac:dyDescent="0.15">
      <c r="E1183" s="325"/>
    </row>
    <row r="1184" spans="5:5" x14ac:dyDescent="0.15">
      <c r="E1184" s="325"/>
    </row>
    <row r="1185" spans="5:5" x14ac:dyDescent="0.15">
      <c r="E1185" s="325"/>
    </row>
    <row r="1186" spans="5:5" x14ac:dyDescent="0.15">
      <c r="E1186" s="325"/>
    </row>
    <row r="1187" spans="5:5" x14ac:dyDescent="0.15">
      <c r="E1187" s="325"/>
    </row>
    <row r="1188" spans="5:5" x14ac:dyDescent="0.15">
      <c r="E1188" s="325"/>
    </row>
    <row r="1189" spans="5:5" x14ac:dyDescent="0.15">
      <c r="E1189" s="325"/>
    </row>
    <row r="1190" spans="5:5" x14ac:dyDescent="0.15">
      <c r="E1190" s="325"/>
    </row>
    <row r="1191" spans="5:5" x14ac:dyDescent="0.15">
      <c r="E1191" s="325"/>
    </row>
    <row r="1192" spans="5:5" x14ac:dyDescent="0.15">
      <c r="E1192" s="325"/>
    </row>
    <row r="1193" spans="5:5" x14ac:dyDescent="0.15">
      <c r="E1193" s="325"/>
    </row>
    <row r="1194" spans="5:5" x14ac:dyDescent="0.15">
      <c r="E1194" s="325"/>
    </row>
    <row r="1195" spans="5:5" x14ac:dyDescent="0.15">
      <c r="E1195" s="325"/>
    </row>
    <row r="1196" spans="5:5" x14ac:dyDescent="0.15">
      <c r="E1196" s="325"/>
    </row>
    <row r="1197" spans="5:5" x14ac:dyDescent="0.15">
      <c r="E1197" s="325"/>
    </row>
    <row r="1198" spans="5:5" x14ac:dyDescent="0.15">
      <c r="E1198" s="325"/>
    </row>
    <row r="1199" spans="5:5" x14ac:dyDescent="0.15">
      <c r="E1199" s="325"/>
    </row>
    <row r="1200" spans="5:5" x14ac:dyDescent="0.15">
      <c r="E1200" s="325"/>
    </row>
    <row r="1201" spans="5:5" x14ac:dyDescent="0.15">
      <c r="E1201" s="325"/>
    </row>
    <row r="1202" spans="5:5" x14ac:dyDescent="0.15">
      <c r="E1202" s="325"/>
    </row>
    <row r="1203" spans="5:5" x14ac:dyDescent="0.15">
      <c r="E1203" s="325"/>
    </row>
    <row r="1204" spans="5:5" x14ac:dyDescent="0.15">
      <c r="E1204" s="325"/>
    </row>
    <row r="1205" spans="5:5" x14ac:dyDescent="0.15">
      <c r="E1205" s="325"/>
    </row>
    <row r="1206" spans="5:5" x14ac:dyDescent="0.15">
      <c r="E1206" s="325"/>
    </row>
    <row r="1207" spans="5:5" x14ac:dyDescent="0.15">
      <c r="E1207" s="325"/>
    </row>
    <row r="1208" spans="5:5" x14ac:dyDescent="0.15">
      <c r="E1208" s="325"/>
    </row>
    <row r="1209" spans="5:5" x14ac:dyDescent="0.15">
      <c r="E1209" s="325"/>
    </row>
    <row r="1210" spans="5:5" x14ac:dyDescent="0.15">
      <c r="E1210" s="325"/>
    </row>
    <row r="1211" spans="5:5" x14ac:dyDescent="0.15">
      <c r="E1211" s="325"/>
    </row>
    <row r="1212" spans="5:5" x14ac:dyDescent="0.15">
      <c r="E1212" s="325"/>
    </row>
    <row r="1213" spans="5:5" x14ac:dyDescent="0.15">
      <c r="E1213" s="325"/>
    </row>
    <row r="1214" spans="5:5" x14ac:dyDescent="0.15">
      <c r="E1214" s="325"/>
    </row>
    <row r="1215" spans="5:5" x14ac:dyDescent="0.15">
      <c r="E1215" s="325"/>
    </row>
    <row r="1216" spans="5:5" x14ac:dyDescent="0.15">
      <c r="E1216" s="325"/>
    </row>
    <row r="1217" spans="5:5" x14ac:dyDescent="0.15">
      <c r="E1217" s="325"/>
    </row>
    <row r="1218" spans="5:5" x14ac:dyDescent="0.15">
      <c r="E1218" s="325"/>
    </row>
    <row r="1219" spans="5:5" x14ac:dyDescent="0.15">
      <c r="E1219" s="325"/>
    </row>
    <row r="1220" spans="5:5" x14ac:dyDescent="0.15">
      <c r="E1220" s="325"/>
    </row>
    <row r="1221" spans="5:5" x14ac:dyDescent="0.15">
      <c r="E1221" s="325"/>
    </row>
    <row r="1222" spans="5:5" x14ac:dyDescent="0.15">
      <c r="E1222" s="325"/>
    </row>
    <row r="1223" spans="5:5" x14ac:dyDescent="0.15">
      <c r="E1223" s="325"/>
    </row>
    <row r="1224" spans="5:5" x14ac:dyDescent="0.15">
      <c r="E1224" s="325"/>
    </row>
    <row r="1225" spans="5:5" x14ac:dyDescent="0.15">
      <c r="E1225" s="325"/>
    </row>
    <row r="1226" spans="5:5" x14ac:dyDescent="0.15">
      <c r="E1226" s="325"/>
    </row>
    <row r="1227" spans="5:5" x14ac:dyDescent="0.15">
      <c r="E1227" s="325"/>
    </row>
    <row r="1228" spans="5:5" x14ac:dyDescent="0.15">
      <c r="E1228" s="325"/>
    </row>
    <row r="1229" spans="5:5" x14ac:dyDescent="0.15">
      <c r="E1229" s="325"/>
    </row>
    <row r="1230" spans="5:5" x14ac:dyDescent="0.15">
      <c r="E1230" s="325"/>
    </row>
    <row r="1231" spans="5:5" x14ac:dyDescent="0.15">
      <c r="E1231" s="325"/>
    </row>
    <row r="1232" spans="5:5" x14ac:dyDescent="0.15">
      <c r="E1232" s="325"/>
    </row>
    <row r="1233" spans="5:5" x14ac:dyDescent="0.15">
      <c r="E1233" s="325"/>
    </row>
    <row r="1234" spans="5:5" x14ac:dyDescent="0.15">
      <c r="E1234" s="325"/>
    </row>
    <row r="1235" spans="5:5" x14ac:dyDescent="0.15">
      <c r="E1235" s="325"/>
    </row>
    <row r="1236" spans="5:5" x14ac:dyDescent="0.15">
      <c r="E1236" s="325"/>
    </row>
    <row r="1237" spans="5:5" x14ac:dyDescent="0.15">
      <c r="E1237" s="325"/>
    </row>
    <row r="1238" spans="5:5" x14ac:dyDescent="0.15">
      <c r="E1238" s="325"/>
    </row>
    <row r="1239" spans="5:5" x14ac:dyDescent="0.15">
      <c r="E1239" s="325"/>
    </row>
    <row r="1240" spans="5:5" x14ac:dyDescent="0.15">
      <c r="E1240" s="325"/>
    </row>
    <row r="1241" spans="5:5" x14ac:dyDescent="0.15">
      <c r="E1241" s="325"/>
    </row>
    <row r="1242" spans="5:5" x14ac:dyDescent="0.15">
      <c r="E1242" s="325"/>
    </row>
    <row r="1243" spans="5:5" x14ac:dyDescent="0.15">
      <c r="E1243" s="325"/>
    </row>
    <row r="1244" spans="5:5" x14ac:dyDescent="0.15">
      <c r="E1244" s="325"/>
    </row>
    <row r="1245" spans="5:5" x14ac:dyDescent="0.15">
      <c r="E1245" s="325"/>
    </row>
    <row r="1246" spans="5:5" x14ac:dyDescent="0.15">
      <c r="E1246" s="325"/>
    </row>
    <row r="1247" spans="5:5" x14ac:dyDescent="0.15">
      <c r="E1247" s="325"/>
    </row>
    <row r="1248" spans="5:5" x14ac:dyDescent="0.15">
      <c r="E1248" s="325"/>
    </row>
    <row r="1249" spans="5:5" x14ac:dyDescent="0.15">
      <c r="E1249" s="325"/>
    </row>
    <row r="1250" spans="5:5" x14ac:dyDescent="0.15">
      <c r="E1250" s="325"/>
    </row>
    <row r="1251" spans="5:5" x14ac:dyDescent="0.15">
      <c r="E1251" s="325"/>
    </row>
    <row r="1252" spans="5:5" x14ac:dyDescent="0.15">
      <c r="E1252" s="325"/>
    </row>
    <row r="1253" spans="5:5" x14ac:dyDescent="0.15">
      <c r="E1253" s="325"/>
    </row>
    <row r="1254" spans="5:5" x14ac:dyDescent="0.15">
      <c r="E1254" s="325"/>
    </row>
    <row r="1255" spans="5:5" x14ac:dyDescent="0.15">
      <c r="E1255" s="325"/>
    </row>
    <row r="1256" spans="5:5" x14ac:dyDescent="0.15">
      <c r="E1256" s="325"/>
    </row>
    <row r="1257" spans="5:5" x14ac:dyDescent="0.15">
      <c r="E1257" s="325"/>
    </row>
    <row r="1258" spans="5:5" x14ac:dyDescent="0.15">
      <c r="E1258" s="325"/>
    </row>
    <row r="1259" spans="5:5" x14ac:dyDescent="0.15">
      <c r="E1259" s="325"/>
    </row>
    <row r="1260" spans="5:5" x14ac:dyDescent="0.15">
      <c r="E1260" s="325"/>
    </row>
    <row r="1261" spans="5:5" x14ac:dyDescent="0.15">
      <c r="E1261" s="325"/>
    </row>
    <row r="1262" spans="5:5" x14ac:dyDescent="0.15">
      <c r="E1262" s="325"/>
    </row>
    <row r="1263" spans="5:5" x14ac:dyDescent="0.15">
      <c r="E1263" s="325"/>
    </row>
    <row r="1264" spans="5:5" x14ac:dyDescent="0.15">
      <c r="E1264" s="325"/>
    </row>
    <row r="1265" spans="5:5" x14ac:dyDescent="0.15">
      <c r="E1265" s="325"/>
    </row>
    <row r="1266" spans="5:5" x14ac:dyDescent="0.15">
      <c r="E1266" s="325"/>
    </row>
    <row r="1267" spans="5:5" x14ac:dyDescent="0.15">
      <c r="E1267" s="325"/>
    </row>
    <row r="1268" spans="5:5" x14ac:dyDescent="0.15">
      <c r="E1268" s="325"/>
    </row>
    <row r="1269" spans="5:5" x14ac:dyDescent="0.15">
      <c r="E1269" s="325"/>
    </row>
    <row r="1270" spans="5:5" x14ac:dyDescent="0.15">
      <c r="E1270" s="325"/>
    </row>
    <row r="1271" spans="5:5" x14ac:dyDescent="0.15">
      <c r="E1271" s="325"/>
    </row>
    <row r="1272" spans="5:5" x14ac:dyDescent="0.15">
      <c r="E1272" s="325"/>
    </row>
    <row r="1273" spans="5:5" x14ac:dyDescent="0.15">
      <c r="E1273" s="325"/>
    </row>
    <row r="1274" spans="5:5" x14ac:dyDescent="0.15">
      <c r="E1274" s="325"/>
    </row>
    <row r="1275" spans="5:5" x14ac:dyDescent="0.15">
      <c r="E1275" s="325"/>
    </row>
    <row r="1276" spans="5:5" x14ac:dyDescent="0.15">
      <c r="E1276" s="325"/>
    </row>
    <row r="1277" spans="5:5" x14ac:dyDescent="0.15">
      <c r="E1277" s="325"/>
    </row>
    <row r="1278" spans="5:5" x14ac:dyDescent="0.15">
      <c r="E1278" s="325"/>
    </row>
    <row r="1279" spans="5:5" x14ac:dyDescent="0.15">
      <c r="E1279" s="325"/>
    </row>
    <row r="1280" spans="5:5" x14ac:dyDescent="0.15">
      <c r="E1280" s="325"/>
    </row>
    <row r="1281" spans="5:5" x14ac:dyDescent="0.15">
      <c r="E1281" s="325"/>
    </row>
    <row r="1282" spans="5:5" x14ac:dyDescent="0.15">
      <c r="E1282" s="325"/>
    </row>
    <row r="1283" spans="5:5" x14ac:dyDescent="0.15">
      <c r="E1283" s="325"/>
    </row>
    <row r="1284" spans="5:5" x14ac:dyDescent="0.15">
      <c r="E1284" s="325"/>
    </row>
    <row r="1285" spans="5:5" x14ac:dyDescent="0.15">
      <c r="E1285" s="325"/>
    </row>
    <row r="1286" spans="5:5" x14ac:dyDescent="0.15">
      <c r="E1286" s="325"/>
    </row>
    <row r="1287" spans="5:5" x14ac:dyDescent="0.15">
      <c r="E1287" s="325"/>
    </row>
    <row r="1288" spans="5:5" x14ac:dyDescent="0.15">
      <c r="E1288" s="325"/>
    </row>
    <row r="1289" spans="5:5" x14ac:dyDescent="0.15">
      <c r="E1289" s="325"/>
    </row>
    <row r="1290" spans="5:5" x14ac:dyDescent="0.15">
      <c r="E1290" s="325"/>
    </row>
    <row r="1291" spans="5:5" x14ac:dyDescent="0.15">
      <c r="E1291" s="325"/>
    </row>
    <row r="1292" spans="5:5" x14ac:dyDescent="0.15">
      <c r="E1292" s="325"/>
    </row>
    <row r="1293" spans="5:5" x14ac:dyDescent="0.15">
      <c r="E1293" s="325"/>
    </row>
    <row r="1294" spans="5:5" x14ac:dyDescent="0.15">
      <c r="E1294" s="325"/>
    </row>
    <row r="1295" spans="5:5" x14ac:dyDescent="0.15">
      <c r="E1295" s="325"/>
    </row>
    <row r="1296" spans="5:5" x14ac:dyDescent="0.15">
      <c r="E1296" s="325"/>
    </row>
    <row r="1297" spans="5:5" x14ac:dyDescent="0.15">
      <c r="E1297" s="325"/>
    </row>
    <row r="1298" spans="5:5" x14ac:dyDescent="0.15">
      <c r="E1298" s="325"/>
    </row>
    <row r="1299" spans="5:5" x14ac:dyDescent="0.15">
      <c r="E1299" s="325"/>
    </row>
    <row r="1300" spans="5:5" x14ac:dyDescent="0.15">
      <c r="E1300" s="325"/>
    </row>
    <row r="1301" spans="5:5" x14ac:dyDescent="0.15">
      <c r="E1301" s="325"/>
    </row>
    <row r="1302" spans="5:5" x14ac:dyDescent="0.15">
      <c r="E1302" s="325"/>
    </row>
    <row r="1303" spans="5:5" x14ac:dyDescent="0.15">
      <c r="E1303" s="325"/>
    </row>
    <row r="1304" spans="5:5" x14ac:dyDescent="0.15">
      <c r="E1304" s="325"/>
    </row>
    <row r="1305" spans="5:5" x14ac:dyDescent="0.15">
      <c r="E1305" s="325"/>
    </row>
    <row r="1306" spans="5:5" x14ac:dyDescent="0.15">
      <c r="E1306" s="325"/>
    </row>
    <row r="1307" spans="5:5" x14ac:dyDescent="0.15">
      <c r="E1307" s="325"/>
    </row>
    <row r="1308" spans="5:5" x14ac:dyDescent="0.15">
      <c r="E1308" s="325"/>
    </row>
    <row r="1309" spans="5:5" x14ac:dyDescent="0.15">
      <c r="E1309" s="325"/>
    </row>
    <row r="1310" spans="5:5" x14ac:dyDescent="0.15">
      <c r="E1310" s="325"/>
    </row>
    <row r="1311" spans="5:5" x14ac:dyDescent="0.15">
      <c r="E1311" s="325"/>
    </row>
    <row r="1312" spans="5:5" x14ac:dyDescent="0.15">
      <c r="E1312" s="325"/>
    </row>
    <row r="1313" spans="5:5" x14ac:dyDescent="0.15">
      <c r="E1313" s="325"/>
    </row>
    <row r="1314" spans="5:5" x14ac:dyDescent="0.15">
      <c r="E1314" s="325"/>
    </row>
    <row r="1315" spans="5:5" x14ac:dyDescent="0.15">
      <c r="E1315" s="325"/>
    </row>
    <row r="1316" spans="5:5" x14ac:dyDescent="0.15">
      <c r="E1316" s="325"/>
    </row>
    <row r="1317" spans="5:5" x14ac:dyDescent="0.15">
      <c r="E1317" s="325"/>
    </row>
    <row r="1318" spans="5:5" x14ac:dyDescent="0.15">
      <c r="E1318" s="325"/>
    </row>
    <row r="1319" spans="5:5" x14ac:dyDescent="0.15">
      <c r="E1319" s="325"/>
    </row>
    <row r="1320" spans="5:5" x14ac:dyDescent="0.15">
      <c r="E1320" s="325"/>
    </row>
    <row r="1321" spans="5:5" x14ac:dyDescent="0.15">
      <c r="E1321" s="325"/>
    </row>
    <row r="1322" spans="5:5" x14ac:dyDescent="0.15">
      <c r="E1322" s="325"/>
    </row>
    <row r="1323" spans="5:5" x14ac:dyDescent="0.15">
      <c r="E1323" s="325"/>
    </row>
    <row r="1324" spans="5:5" x14ac:dyDescent="0.15">
      <c r="E1324" s="325"/>
    </row>
    <row r="1325" spans="5:5" x14ac:dyDescent="0.15">
      <c r="E1325" s="325"/>
    </row>
    <row r="1326" spans="5:5" x14ac:dyDescent="0.15">
      <c r="E1326" s="325"/>
    </row>
    <row r="1327" spans="5:5" x14ac:dyDescent="0.15">
      <c r="E1327" s="325"/>
    </row>
    <row r="1328" spans="5:5" x14ac:dyDescent="0.15">
      <c r="E1328" s="325"/>
    </row>
    <row r="1329" spans="5:5" x14ac:dyDescent="0.15">
      <c r="E1329" s="325"/>
    </row>
    <row r="1330" spans="5:5" x14ac:dyDescent="0.15">
      <c r="E1330" s="325"/>
    </row>
    <row r="1331" spans="5:5" x14ac:dyDescent="0.15">
      <c r="E1331" s="325"/>
    </row>
    <row r="1332" spans="5:5" x14ac:dyDescent="0.15">
      <c r="E1332" s="325"/>
    </row>
    <row r="1333" spans="5:5" x14ac:dyDescent="0.15">
      <c r="E1333" s="325"/>
    </row>
    <row r="1334" spans="5:5" x14ac:dyDescent="0.15">
      <c r="E1334" s="325"/>
    </row>
    <row r="1335" spans="5:5" x14ac:dyDescent="0.15">
      <c r="E1335" s="325"/>
    </row>
    <row r="1336" spans="5:5" x14ac:dyDescent="0.15">
      <c r="E1336" s="325"/>
    </row>
    <row r="1337" spans="5:5" x14ac:dyDescent="0.15">
      <c r="E1337" s="325"/>
    </row>
    <row r="1338" spans="5:5" x14ac:dyDescent="0.15">
      <c r="E1338" s="325"/>
    </row>
    <row r="1339" spans="5:5" x14ac:dyDescent="0.15">
      <c r="E1339" s="325"/>
    </row>
    <row r="1340" spans="5:5" x14ac:dyDescent="0.15">
      <c r="E1340" s="325"/>
    </row>
    <row r="1341" spans="5:5" x14ac:dyDescent="0.15">
      <c r="E1341" s="325"/>
    </row>
    <row r="1342" spans="5:5" x14ac:dyDescent="0.15">
      <c r="E1342" s="325"/>
    </row>
    <row r="1343" spans="5:5" x14ac:dyDescent="0.15">
      <c r="E1343" s="325"/>
    </row>
    <row r="1344" spans="5:5" x14ac:dyDescent="0.15">
      <c r="E1344" s="325"/>
    </row>
    <row r="1345" spans="5:5" x14ac:dyDescent="0.15">
      <c r="E1345" s="325"/>
    </row>
    <row r="1346" spans="5:5" x14ac:dyDescent="0.15">
      <c r="E1346" s="325"/>
    </row>
    <row r="1347" spans="5:5" x14ac:dyDescent="0.15">
      <c r="E1347" s="325"/>
    </row>
    <row r="1348" spans="5:5" x14ac:dyDescent="0.15">
      <c r="E1348" s="325"/>
    </row>
    <row r="1349" spans="5:5" x14ac:dyDescent="0.15">
      <c r="E1349" s="325"/>
    </row>
    <row r="1350" spans="5:5" x14ac:dyDescent="0.15">
      <c r="E1350" s="325"/>
    </row>
    <row r="1351" spans="5:5" x14ac:dyDescent="0.15">
      <c r="E1351" s="325"/>
    </row>
    <row r="1352" spans="5:5" x14ac:dyDescent="0.15">
      <c r="E1352" s="325"/>
    </row>
    <row r="1353" spans="5:5" x14ac:dyDescent="0.15">
      <c r="E1353" s="325"/>
    </row>
    <row r="1354" spans="5:5" x14ac:dyDescent="0.15">
      <c r="E1354" s="325"/>
    </row>
    <row r="1355" spans="5:5" x14ac:dyDescent="0.15">
      <c r="E1355" s="325"/>
    </row>
    <row r="1356" spans="5:5" x14ac:dyDescent="0.15">
      <c r="E1356" s="325"/>
    </row>
    <row r="1357" spans="5:5" x14ac:dyDescent="0.15">
      <c r="E1357" s="325"/>
    </row>
    <row r="1358" spans="5:5" x14ac:dyDescent="0.15">
      <c r="E1358" s="325"/>
    </row>
    <row r="1359" spans="5:5" x14ac:dyDescent="0.15">
      <c r="E1359" s="325"/>
    </row>
    <row r="1360" spans="5:5" x14ac:dyDescent="0.15">
      <c r="E1360" s="325"/>
    </row>
    <row r="1361" spans="5:5" x14ac:dyDescent="0.15">
      <c r="E1361" s="325"/>
    </row>
    <row r="1362" spans="5:5" x14ac:dyDescent="0.15">
      <c r="E1362" s="325"/>
    </row>
    <row r="1363" spans="5:5" x14ac:dyDescent="0.15">
      <c r="E1363" s="325"/>
    </row>
    <row r="1364" spans="5:5" x14ac:dyDescent="0.15">
      <c r="E1364" s="325"/>
    </row>
    <row r="1365" spans="5:5" x14ac:dyDescent="0.15">
      <c r="E1365" s="325"/>
    </row>
    <row r="1366" spans="5:5" x14ac:dyDescent="0.15">
      <c r="E1366" s="325"/>
    </row>
    <row r="1367" spans="5:5" x14ac:dyDescent="0.15">
      <c r="E1367" s="325"/>
    </row>
    <row r="1368" spans="5:5" x14ac:dyDescent="0.15">
      <c r="E1368" s="325"/>
    </row>
    <row r="1369" spans="5:5" x14ac:dyDescent="0.15">
      <c r="E1369" s="325"/>
    </row>
    <row r="1370" spans="5:5" x14ac:dyDescent="0.15">
      <c r="E1370" s="325"/>
    </row>
    <row r="1371" spans="5:5" x14ac:dyDescent="0.15">
      <c r="E1371" s="325"/>
    </row>
    <row r="1372" spans="5:5" x14ac:dyDescent="0.15">
      <c r="E1372" s="325"/>
    </row>
    <row r="1373" spans="5:5" x14ac:dyDescent="0.15">
      <c r="E1373" s="325"/>
    </row>
    <row r="1374" spans="5:5" x14ac:dyDescent="0.15">
      <c r="E1374" s="325"/>
    </row>
    <row r="1375" spans="5:5" x14ac:dyDescent="0.15">
      <c r="E1375" s="325"/>
    </row>
    <row r="1376" spans="5:5" x14ac:dyDescent="0.15">
      <c r="E1376" s="325"/>
    </row>
    <row r="1377" spans="5:5" x14ac:dyDescent="0.15">
      <c r="E1377" s="325"/>
    </row>
    <row r="1378" spans="5:5" x14ac:dyDescent="0.15">
      <c r="E1378" s="325"/>
    </row>
    <row r="1379" spans="5:5" x14ac:dyDescent="0.15">
      <c r="E1379" s="325"/>
    </row>
    <row r="1380" spans="5:5" x14ac:dyDescent="0.15">
      <c r="E1380" s="325"/>
    </row>
    <row r="1381" spans="5:5" x14ac:dyDescent="0.15">
      <c r="E1381" s="325"/>
    </row>
    <row r="1382" spans="5:5" x14ac:dyDescent="0.15">
      <c r="E1382" s="325"/>
    </row>
    <row r="1383" spans="5:5" x14ac:dyDescent="0.15">
      <c r="E1383" s="325"/>
    </row>
    <row r="1384" spans="5:5" x14ac:dyDescent="0.15">
      <c r="E1384" s="325"/>
    </row>
    <row r="1385" spans="5:5" x14ac:dyDescent="0.15">
      <c r="E1385" s="325"/>
    </row>
    <row r="1386" spans="5:5" x14ac:dyDescent="0.15">
      <c r="E1386" s="325"/>
    </row>
    <row r="1387" spans="5:5" x14ac:dyDescent="0.15">
      <c r="E1387" s="325"/>
    </row>
    <row r="1388" spans="5:5" x14ac:dyDescent="0.15">
      <c r="E1388" s="325"/>
    </row>
    <row r="1389" spans="5:5" x14ac:dyDescent="0.15">
      <c r="E1389" s="325"/>
    </row>
    <row r="1390" spans="5:5" x14ac:dyDescent="0.15">
      <c r="E1390" s="325"/>
    </row>
    <row r="1391" spans="5:5" x14ac:dyDescent="0.15">
      <c r="E1391" s="325"/>
    </row>
    <row r="1392" spans="5:5" x14ac:dyDescent="0.15">
      <c r="E1392" s="325"/>
    </row>
    <row r="1393" spans="5:5" x14ac:dyDescent="0.15">
      <c r="E1393" s="325"/>
    </row>
    <row r="1394" spans="5:5" x14ac:dyDescent="0.15">
      <c r="E1394" s="325"/>
    </row>
    <row r="1395" spans="5:5" x14ac:dyDescent="0.15">
      <c r="E1395" s="325"/>
    </row>
    <row r="1396" spans="5:5" x14ac:dyDescent="0.15">
      <c r="E1396" s="325"/>
    </row>
    <row r="1397" spans="5:5" x14ac:dyDescent="0.15">
      <c r="E1397" s="325"/>
    </row>
    <row r="1398" spans="5:5" x14ac:dyDescent="0.15">
      <c r="E1398" s="325"/>
    </row>
    <row r="1399" spans="5:5" x14ac:dyDescent="0.15">
      <c r="E1399" s="325"/>
    </row>
    <row r="1400" spans="5:5" x14ac:dyDescent="0.15">
      <c r="E1400" s="325"/>
    </row>
    <row r="1401" spans="5:5" x14ac:dyDescent="0.15">
      <c r="E1401" s="325"/>
    </row>
    <row r="1402" spans="5:5" x14ac:dyDescent="0.15">
      <c r="E1402" s="325"/>
    </row>
    <row r="1403" spans="5:5" x14ac:dyDescent="0.15">
      <c r="E1403" s="325"/>
    </row>
    <row r="1404" spans="5:5" x14ac:dyDescent="0.15">
      <c r="E1404" s="325"/>
    </row>
    <row r="1405" spans="5:5" x14ac:dyDescent="0.15">
      <c r="E1405" s="325"/>
    </row>
    <row r="1406" spans="5:5" x14ac:dyDescent="0.15">
      <c r="E1406" s="325"/>
    </row>
    <row r="1407" spans="5:5" x14ac:dyDescent="0.15">
      <c r="E1407" s="325"/>
    </row>
    <row r="1408" spans="5:5" x14ac:dyDescent="0.15">
      <c r="E1408" s="325"/>
    </row>
    <row r="1409" spans="5:5" x14ac:dyDescent="0.15">
      <c r="E1409" s="325"/>
    </row>
    <row r="1410" spans="5:5" x14ac:dyDescent="0.15">
      <c r="E1410" s="325"/>
    </row>
    <row r="1411" spans="5:5" x14ac:dyDescent="0.15">
      <c r="E1411" s="325"/>
    </row>
    <row r="1412" spans="5:5" x14ac:dyDescent="0.15">
      <c r="E1412" s="325"/>
    </row>
    <row r="1413" spans="5:5" x14ac:dyDescent="0.15">
      <c r="E1413" s="325"/>
    </row>
    <row r="1414" spans="5:5" x14ac:dyDescent="0.15">
      <c r="E1414" s="325"/>
    </row>
    <row r="1415" spans="5:5" x14ac:dyDescent="0.15">
      <c r="E1415" s="325"/>
    </row>
    <row r="1416" spans="5:5" x14ac:dyDescent="0.15">
      <c r="E1416" s="325"/>
    </row>
    <row r="1417" spans="5:5" x14ac:dyDescent="0.15">
      <c r="E1417" s="325"/>
    </row>
    <row r="1418" spans="5:5" x14ac:dyDescent="0.15">
      <c r="E1418" s="325"/>
    </row>
    <row r="1419" spans="5:5" x14ac:dyDescent="0.15">
      <c r="E1419" s="325"/>
    </row>
    <row r="1420" spans="5:5" x14ac:dyDescent="0.15">
      <c r="E1420" s="325"/>
    </row>
    <row r="1421" spans="5:5" x14ac:dyDescent="0.15">
      <c r="E1421" s="325"/>
    </row>
    <row r="1422" spans="5:5" x14ac:dyDescent="0.15">
      <c r="E1422" s="325"/>
    </row>
    <row r="1423" spans="5:5" x14ac:dyDescent="0.15">
      <c r="E1423" s="325"/>
    </row>
    <row r="1424" spans="5:5" x14ac:dyDescent="0.15">
      <c r="E1424" s="325"/>
    </row>
    <row r="1425" spans="5:5" x14ac:dyDescent="0.15">
      <c r="E1425" s="325"/>
    </row>
    <row r="1426" spans="5:5" x14ac:dyDescent="0.15">
      <c r="E1426" s="325"/>
    </row>
    <row r="1427" spans="5:5" x14ac:dyDescent="0.15">
      <c r="E1427" s="325"/>
    </row>
    <row r="1428" spans="5:5" x14ac:dyDescent="0.15">
      <c r="E1428" s="325"/>
    </row>
    <row r="1429" spans="5:5" x14ac:dyDescent="0.15">
      <c r="E1429" s="325"/>
    </row>
    <row r="1430" spans="5:5" x14ac:dyDescent="0.15">
      <c r="E1430" s="325"/>
    </row>
    <row r="1431" spans="5:5" x14ac:dyDescent="0.15">
      <c r="E1431" s="325"/>
    </row>
    <row r="1432" spans="5:5" x14ac:dyDescent="0.15">
      <c r="E1432" s="325"/>
    </row>
    <row r="1433" spans="5:5" x14ac:dyDescent="0.15">
      <c r="E1433" s="325"/>
    </row>
    <row r="1434" spans="5:5" x14ac:dyDescent="0.15">
      <c r="E1434" s="325"/>
    </row>
    <row r="1435" spans="5:5" x14ac:dyDescent="0.15">
      <c r="E1435" s="325"/>
    </row>
    <row r="1436" spans="5:5" x14ac:dyDescent="0.15">
      <c r="E1436" s="325"/>
    </row>
    <row r="1437" spans="5:5" x14ac:dyDescent="0.15">
      <c r="E1437" s="325"/>
    </row>
    <row r="1438" spans="5:5" x14ac:dyDescent="0.15">
      <c r="E1438" s="325"/>
    </row>
    <row r="1439" spans="5:5" x14ac:dyDescent="0.15">
      <c r="E1439" s="325"/>
    </row>
    <row r="1440" spans="5:5" x14ac:dyDescent="0.15">
      <c r="E1440" s="325"/>
    </row>
    <row r="1441" spans="5:5" x14ac:dyDescent="0.15">
      <c r="E1441" s="325"/>
    </row>
    <row r="1442" spans="5:5" x14ac:dyDescent="0.15">
      <c r="E1442" s="325"/>
    </row>
    <row r="1443" spans="5:5" x14ac:dyDescent="0.15">
      <c r="E1443" s="325"/>
    </row>
    <row r="1444" spans="5:5" x14ac:dyDescent="0.15">
      <c r="E1444" s="325"/>
    </row>
    <row r="1445" spans="5:5" x14ac:dyDescent="0.15">
      <c r="E1445" s="325"/>
    </row>
    <row r="1446" spans="5:5" x14ac:dyDescent="0.15">
      <c r="E1446" s="325"/>
    </row>
    <row r="1447" spans="5:5" x14ac:dyDescent="0.15">
      <c r="E1447" s="325"/>
    </row>
    <row r="1448" spans="5:5" x14ac:dyDescent="0.15">
      <c r="E1448" s="325"/>
    </row>
    <row r="1449" spans="5:5" x14ac:dyDescent="0.15">
      <c r="E1449" s="325"/>
    </row>
    <row r="1450" spans="5:5" x14ac:dyDescent="0.15">
      <c r="E1450" s="325"/>
    </row>
    <row r="1451" spans="5:5" x14ac:dyDescent="0.15">
      <c r="E1451" s="325"/>
    </row>
    <row r="1452" spans="5:5" x14ac:dyDescent="0.15">
      <c r="E1452" s="325"/>
    </row>
    <row r="1453" spans="5:5" x14ac:dyDescent="0.15">
      <c r="E1453" s="325"/>
    </row>
    <row r="1454" spans="5:5" x14ac:dyDescent="0.15">
      <c r="E1454" s="325"/>
    </row>
    <row r="1455" spans="5:5" x14ac:dyDescent="0.15">
      <c r="E1455" s="325"/>
    </row>
    <row r="1456" spans="5:5" x14ac:dyDescent="0.15">
      <c r="E1456" s="325"/>
    </row>
    <row r="1457" spans="5:5" x14ac:dyDescent="0.15">
      <c r="E1457" s="325"/>
    </row>
    <row r="1458" spans="5:5" x14ac:dyDescent="0.15">
      <c r="E1458" s="325"/>
    </row>
    <row r="1459" spans="5:5" x14ac:dyDescent="0.15">
      <c r="E1459" s="325"/>
    </row>
    <row r="1460" spans="5:5" x14ac:dyDescent="0.15">
      <c r="E1460" s="325"/>
    </row>
    <row r="1461" spans="5:5" x14ac:dyDescent="0.15">
      <c r="E1461" s="325"/>
    </row>
    <row r="1462" spans="5:5" x14ac:dyDescent="0.15">
      <c r="E1462" s="325"/>
    </row>
    <row r="1463" spans="5:5" x14ac:dyDescent="0.15">
      <c r="E1463" s="325"/>
    </row>
    <row r="1464" spans="5:5" x14ac:dyDescent="0.15">
      <c r="E1464" s="325"/>
    </row>
    <row r="1465" spans="5:5" x14ac:dyDescent="0.15">
      <c r="E1465" s="325"/>
    </row>
    <row r="1466" spans="5:5" x14ac:dyDescent="0.15">
      <c r="E1466" s="325"/>
    </row>
    <row r="1467" spans="5:5" x14ac:dyDescent="0.15">
      <c r="E1467" s="325"/>
    </row>
    <row r="1468" spans="5:5" x14ac:dyDescent="0.15">
      <c r="E1468" s="325"/>
    </row>
    <row r="1469" spans="5:5" x14ac:dyDescent="0.15">
      <c r="E1469" s="325"/>
    </row>
    <row r="1470" spans="5:5" x14ac:dyDescent="0.15">
      <c r="E1470" s="325"/>
    </row>
    <row r="1471" spans="5:5" x14ac:dyDescent="0.15">
      <c r="E1471" s="325"/>
    </row>
    <row r="1472" spans="5:5" x14ac:dyDescent="0.15">
      <c r="E1472" s="325"/>
    </row>
    <row r="1473" spans="5:5" x14ac:dyDescent="0.15">
      <c r="E1473" s="325"/>
    </row>
    <row r="1474" spans="5:5" x14ac:dyDescent="0.15">
      <c r="E1474" s="325"/>
    </row>
    <row r="1475" spans="5:5" x14ac:dyDescent="0.15">
      <c r="E1475" s="325"/>
    </row>
    <row r="1476" spans="5:5" x14ac:dyDescent="0.15">
      <c r="E1476" s="325"/>
    </row>
    <row r="1477" spans="5:5" x14ac:dyDescent="0.15">
      <c r="E1477" s="325"/>
    </row>
    <row r="1478" spans="5:5" x14ac:dyDescent="0.15">
      <c r="E1478" s="325"/>
    </row>
    <row r="1479" spans="5:5" x14ac:dyDescent="0.15">
      <c r="E1479" s="325"/>
    </row>
    <row r="1480" spans="5:5" x14ac:dyDescent="0.15">
      <c r="E1480" s="325"/>
    </row>
    <row r="1481" spans="5:5" x14ac:dyDescent="0.15">
      <c r="E1481" s="325"/>
    </row>
    <row r="1482" spans="5:5" x14ac:dyDescent="0.15">
      <c r="E1482" s="325"/>
    </row>
  </sheetData>
  <autoFilter ref="B1:L950">
    <filterColumn colId="8">
      <filters blank="1">
        <filter val="0,40"/>
        <filter val="1.003,67"/>
        <filter val="1.051,10"/>
        <filter val="1.261,04"/>
        <filter val="1.317,93"/>
        <filter val="1.709,37"/>
        <filter val="1.829.706,80"/>
        <filter val="1.977,00"/>
        <filter val="1.985,96"/>
        <filter val="10,49"/>
        <filter val="11.702,97"/>
        <filter val="115,44%"/>
        <filter val="12.874,70"/>
        <filter val="129,00"/>
        <filter val="13,76"/>
        <filter val="13,88"/>
        <filter val="133,30"/>
        <filter val="138,06"/>
        <filter val="14.859,06"/>
        <filter val="143.972,28"/>
        <filter val="144.531,87"/>
        <filter val="15,28%"/>
        <filter val="15.170,25"/>
        <filter val="15.424,76"/>
        <filter val="15.760,00"/>
        <filter val="15.939,90"/>
        <filter val="16.575,00"/>
        <filter val="16.848,00"/>
        <filter val="167.267,70"/>
        <filter val="17.241,12"/>
        <filter val="17.653,68"/>
        <filter val="171.784,65"/>
        <filter val="18.262,50"/>
        <filter val="186.288,82"/>
        <filter val="2.072,40"/>
        <filter val="2.157,98"/>
        <filter val="2.256,80"/>
        <filter val="2.803,70"/>
        <filter val="206,40"/>
        <filter val="207.303,51"/>
        <filter val="21.251,26"/>
        <filter val="213,86"/>
        <filter val="213.732,21"/>
        <filter val="22,00%"/>
        <filter val="223.611,18"/>
        <filter val="23.399,37"/>
        <filter val="24.006,83"/>
        <filter val="25,40"/>
        <filter val="254.582,19"/>
        <filter val="259.559,26"/>
        <filter val="26.055,30"/>
        <filter val="27.386,49"/>
        <filter val="28.023,54"/>
        <filter val="3.051,59"/>
        <filter val="3.426,09"/>
        <filter val="3.427,47"/>
        <filter val="3.559,80"/>
        <filter val="3.599,64"/>
        <filter val="3.623,40"/>
        <filter val="3.681.004,53"/>
        <filter val="3.767,45"/>
        <filter val="31.953,00"/>
        <filter val="319,94"/>
        <filter val="325,17"/>
        <filter val="35,72"/>
        <filter val="35.511,31"/>
        <filter val="35.948,08"/>
        <filter val="351.551,42"/>
        <filter val="36.258,04"/>
        <filter val="362.371,77"/>
        <filter val="370,70"/>
        <filter val="378.037,26"/>
        <filter val="38.808,66"/>
        <filter val="39.105,55"/>
        <filter val="4.058,30"/>
        <filter val="4.172,21"/>
        <filter val="4.392,07"/>
        <filter val="4.500,00"/>
        <filter val="4.921,31"/>
        <filter val="4.930,43"/>
        <filter val="40.320,00"/>
        <filter val="40.519,68"/>
        <filter val="41.459,76"/>
        <filter val="43.050,54"/>
        <filter val="47.781,82"/>
        <filter val="470,54"/>
        <filter val="5.118,18"/>
        <filter val="5.312,50"/>
        <filter val="5.345,52"/>
        <filter val="5.864,72"/>
        <filter val="50.555,41"/>
        <filter val="52.013,98"/>
        <filter val="6.170,06"/>
        <filter val="6.199,87"/>
        <filter val="6.384,88"/>
        <filter val="6.420,96"/>
        <filter val="6.467,84"/>
        <filter val="6.551,40"/>
        <filter val="619,32"/>
        <filter val="68,47"/>
        <filter val="697,50"/>
        <filter val="7.014,08"/>
        <filter val="7.438,50"/>
        <filter val="70,73"/>
        <filter val="71,26%"/>
        <filter val="8.102,08"/>
        <filter val="8.385,30"/>
        <filter val="8.638,33"/>
        <filter val="8.715,68"/>
        <filter val="8.778,81"/>
        <filter val="8.784,00"/>
        <filter val="80.914,79"/>
        <filter val="81.282,80"/>
        <filter val="85.892,68"/>
        <filter val="87.802,35"/>
        <filter val="870.093,25"/>
        <filter val="872,53"/>
        <filter val="894,06"/>
        <filter val="9.495,30"/>
        <filter val="9.726,38"/>
        <filter val="91,64"/>
        <filter val="95,42"/>
        <filter val="976,62"/>
        <filter val="NÃO DESONERADA"/>
        <filter val="PREÇO TOTAL (R$)"/>
      </filters>
    </filterColumn>
  </autoFilter>
  <mergeCells count="24">
    <mergeCell ref="M269:M271"/>
    <mergeCell ref="M114:M116"/>
    <mergeCell ref="M117:M119"/>
    <mergeCell ref="M120:M121"/>
    <mergeCell ref="M157:M159"/>
    <mergeCell ref="M160:M161"/>
    <mergeCell ref="M162:M163"/>
    <mergeCell ref="M154:M156"/>
    <mergeCell ref="M144:M146"/>
    <mergeCell ref="M147:M149"/>
    <mergeCell ref="M150:M151"/>
    <mergeCell ref="M152:M153"/>
    <mergeCell ref="M138:M141"/>
    <mergeCell ref="M266:M268"/>
    <mergeCell ref="M126:M129"/>
    <mergeCell ref="M136:M137"/>
    <mergeCell ref="C12:G12"/>
    <mergeCell ref="G15:G27"/>
    <mergeCell ref="L1:M1"/>
    <mergeCell ref="M122:M123"/>
    <mergeCell ref="M104:M106"/>
    <mergeCell ref="M107:M109"/>
    <mergeCell ref="M110:M111"/>
    <mergeCell ref="M112:M113"/>
  </mergeCells>
  <phoneticPr fontId="17" type="noConversion"/>
  <conditionalFormatting sqref="H35:H57 H184:H242 H245:H288 H625:H633 H830 H832 H834 H836 H838 H840 H842 H844 H846 H848 H850 H859:H886 H889">
    <cfRule type="expression" dxfId="642" priority="558">
      <formula>H35=0</formula>
    </cfRule>
  </conditionalFormatting>
  <conditionalFormatting sqref="H59">
    <cfRule type="expression" dxfId="641" priority="474">
      <formula>H59=0</formula>
    </cfRule>
  </conditionalFormatting>
  <conditionalFormatting sqref="H61">
    <cfRule type="expression" dxfId="640" priority="341">
      <formula>H61=0</formula>
    </cfRule>
  </conditionalFormatting>
  <conditionalFormatting sqref="H64:H90">
    <cfRule type="expression" dxfId="639" priority="473">
      <formula>H64=0</formula>
    </cfRule>
  </conditionalFormatting>
  <conditionalFormatting sqref="H92">
    <cfRule type="expression" dxfId="638" priority="472">
      <formula>H92=0</formula>
    </cfRule>
  </conditionalFormatting>
  <conditionalFormatting sqref="H94">
    <cfRule type="expression" dxfId="637" priority="471">
      <formula>H94=0</formula>
    </cfRule>
  </conditionalFormatting>
  <conditionalFormatting sqref="H96">
    <cfRule type="expression" dxfId="636" priority="470">
      <formula>H96=0</formula>
    </cfRule>
  </conditionalFormatting>
  <conditionalFormatting sqref="H98">
    <cfRule type="expression" dxfId="635" priority="469">
      <formula>H98=0</formula>
    </cfRule>
  </conditionalFormatting>
  <conditionalFormatting sqref="H101:H169">
    <cfRule type="expression" dxfId="634" priority="189">
      <formula>H101=0</formula>
    </cfRule>
  </conditionalFormatting>
  <conditionalFormatting sqref="H171">
    <cfRule type="expression" dxfId="633" priority="467">
      <formula>H171=0</formula>
    </cfRule>
  </conditionalFormatting>
  <conditionalFormatting sqref="H175">
    <cfRule type="expression" dxfId="632" priority="466">
      <formula>H175=0</formula>
    </cfRule>
  </conditionalFormatting>
  <conditionalFormatting sqref="H177">
    <cfRule type="expression" dxfId="631" priority="465">
      <formula>H177=0</formula>
    </cfRule>
  </conditionalFormatting>
  <conditionalFormatting sqref="H179">
    <cfRule type="expression" dxfId="630" priority="464">
      <formula>H179=0</formula>
    </cfRule>
  </conditionalFormatting>
  <conditionalFormatting sqref="H181">
    <cfRule type="expression" dxfId="629" priority="463">
      <formula>H181=0</formula>
    </cfRule>
  </conditionalFormatting>
  <conditionalFormatting sqref="H290">
    <cfRule type="expression" dxfId="628" priority="194">
      <formula>H290=0</formula>
    </cfRule>
  </conditionalFormatting>
  <conditionalFormatting sqref="H292">
    <cfRule type="expression" dxfId="627" priority="462">
      <formula>H292=0</formula>
    </cfRule>
  </conditionalFormatting>
  <conditionalFormatting sqref="H295:H312">
    <cfRule type="expression" dxfId="626" priority="461">
      <formula>H295=0</formula>
    </cfRule>
  </conditionalFormatting>
  <conditionalFormatting sqref="H316:H321">
    <cfRule type="expression" dxfId="625" priority="265">
      <formula>H316=0</formula>
    </cfRule>
  </conditionalFormatting>
  <conditionalFormatting sqref="H323:H344">
    <cfRule type="expression" dxfId="624" priority="69">
      <formula>H323=0</formula>
    </cfRule>
  </conditionalFormatting>
  <conditionalFormatting sqref="H346:H385">
    <cfRule type="expression" dxfId="623" priority="222">
      <formula>H346=0</formula>
    </cfRule>
  </conditionalFormatting>
  <conditionalFormatting sqref="H387:H399">
    <cfRule type="expression" dxfId="622" priority="74">
      <formula>H387=0</formula>
    </cfRule>
  </conditionalFormatting>
  <conditionalFormatting sqref="H401">
    <cfRule type="expression" dxfId="621" priority="68">
      <formula>H401=0</formula>
    </cfRule>
  </conditionalFormatting>
  <conditionalFormatting sqref="H403">
    <cfRule type="expression" dxfId="620" priority="259">
      <formula>H403=0</formula>
    </cfRule>
  </conditionalFormatting>
  <conditionalFormatting sqref="H405">
    <cfRule type="expression" dxfId="619" priority="257">
      <formula>H405=0</formula>
    </cfRule>
  </conditionalFormatting>
  <conditionalFormatting sqref="H407">
    <cfRule type="expression" dxfId="618" priority="219">
      <formula>H407=0</formula>
    </cfRule>
  </conditionalFormatting>
  <conditionalFormatting sqref="H409">
    <cfRule type="expression" dxfId="617" priority="218">
      <formula>H409=0</formula>
    </cfRule>
  </conditionalFormatting>
  <conditionalFormatting sqref="H411">
    <cfRule type="expression" dxfId="616" priority="217">
      <formula>H411=0</formula>
    </cfRule>
  </conditionalFormatting>
  <conditionalFormatting sqref="H414:H438">
    <cfRule type="expression" dxfId="615" priority="460">
      <formula>H414=0</formula>
    </cfRule>
  </conditionalFormatting>
  <conditionalFormatting sqref="H440">
    <cfRule type="expression" dxfId="614" priority="459">
      <formula>H440=0</formula>
    </cfRule>
  </conditionalFormatting>
  <conditionalFormatting sqref="H442">
    <cfRule type="expression" dxfId="613" priority="458">
      <formula>H442=0</formula>
    </cfRule>
  </conditionalFormatting>
  <conditionalFormatting sqref="H444">
    <cfRule type="expression" dxfId="612" priority="457">
      <formula>H444=0</formula>
    </cfRule>
  </conditionalFormatting>
  <conditionalFormatting sqref="H446">
    <cfRule type="expression" dxfId="611" priority="456">
      <formula>H446=0</formula>
    </cfRule>
  </conditionalFormatting>
  <conditionalFormatting sqref="H449:H466">
    <cfRule type="expression" dxfId="610" priority="114">
      <formula>H449=0</formula>
    </cfRule>
  </conditionalFormatting>
  <conditionalFormatting sqref="H468">
    <cfRule type="expression" dxfId="609" priority="454">
      <formula>H468=0</formula>
    </cfRule>
  </conditionalFormatting>
  <conditionalFormatting sqref="H470">
    <cfRule type="expression" dxfId="608" priority="453">
      <formula>H470=0</formula>
    </cfRule>
  </conditionalFormatting>
  <conditionalFormatting sqref="H472">
    <cfRule type="expression" dxfId="607" priority="452">
      <formula>H472=0</formula>
    </cfRule>
  </conditionalFormatting>
  <conditionalFormatting sqref="H474">
    <cfRule type="expression" dxfId="606" priority="451">
      <formula>H474=0</formula>
    </cfRule>
  </conditionalFormatting>
  <conditionalFormatting sqref="H476">
    <cfRule type="expression" dxfId="605" priority="450">
      <formula>H476=0</formula>
    </cfRule>
  </conditionalFormatting>
  <conditionalFormatting sqref="H478">
    <cfRule type="expression" dxfId="604" priority="449">
      <formula>H478=0</formula>
    </cfRule>
  </conditionalFormatting>
  <conditionalFormatting sqref="H480">
    <cfRule type="expression" dxfId="603" priority="448">
      <formula>H480=0</formula>
    </cfRule>
  </conditionalFormatting>
  <conditionalFormatting sqref="H482">
    <cfRule type="expression" dxfId="602" priority="447">
      <formula>H482=0</formula>
    </cfRule>
  </conditionalFormatting>
  <conditionalFormatting sqref="H484">
    <cfRule type="expression" dxfId="601" priority="446">
      <formula>H484=0</formula>
    </cfRule>
  </conditionalFormatting>
  <conditionalFormatting sqref="H486">
    <cfRule type="expression" dxfId="600" priority="445">
      <formula>H486=0</formula>
    </cfRule>
  </conditionalFormatting>
  <conditionalFormatting sqref="H488">
    <cfRule type="expression" dxfId="599" priority="444">
      <formula>H488=0</formula>
    </cfRule>
  </conditionalFormatting>
  <conditionalFormatting sqref="H490">
    <cfRule type="expression" dxfId="598" priority="443">
      <formula>H490=0</formula>
    </cfRule>
  </conditionalFormatting>
  <conditionalFormatting sqref="H492">
    <cfRule type="expression" dxfId="597" priority="442">
      <formula>H492=0</formula>
    </cfRule>
  </conditionalFormatting>
  <conditionalFormatting sqref="H494">
    <cfRule type="expression" dxfId="596" priority="441">
      <formula>H494=0</formula>
    </cfRule>
  </conditionalFormatting>
  <conditionalFormatting sqref="H496">
    <cfRule type="expression" dxfId="595" priority="440">
      <formula>H496=0</formula>
    </cfRule>
  </conditionalFormatting>
  <conditionalFormatting sqref="H498">
    <cfRule type="expression" dxfId="594" priority="439">
      <formula>H498=0</formula>
    </cfRule>
  </conditionalFormatting>
  <conditionalFormatting sqref="H500">
    <cfRule type="expression" dxfId="593" priority="438">
      <formula>H500=0</formula>
    </cfRule>
  </conditionalFormatting>
  <conditionalFormatting sqref="H502">
    <cfRule type="expression" dxfId="592" priority="437">
      <formula>H502=0</formula>
    </cfRule>
  </conditionalFormatting>
  <conditionalFormatting sqref="H504">
    <cfRule type="expression" dxfId="591" priority="436">
      <formula>H504=0</formula>
    </cfRule>
  </conditionalFormatting>
  <conditionalFormatting sqref="H507:H542">
    <cfRule type="expression" dxfId="590" priority="435">
      <formula>H507=0</formula>
    </cfRule>
  </conditionalFormatting>
  <conditionalFormatting sqref="H544">
    <cfRule type="expression" dxfId="589" priority="434">
      <formula>H544=0</formula>
    </cfRule>
  </conditionalFormatting>
  <conditionalFormatting sqref="H546">
    <cfRule type="expression" dxfId="588" priority="433">
      <formula>H546=0</formula>
    </cfRule>
  </conditionalFormatting>
  <conditionalFormatting sqref="H548">
    <cfRule type="expression" dxfId="587" priority="432">
      <formula>H548=0</formula>
    </cfRule>
  </conditionalFormatting>
  <conditionalFormatting sqref="H550">
    <cfRule type="expression" dxfId="586" priority="431">
      <formula>H550=0</formula>
    </cfRule>
  </conditionalFormatting>
  <conditionalFormatting sqref="H552">
    <cfRule type="expression" dxfId="585" priority="430">
      <formula>H552=0</formula>
    </cfRule>
  </conditionalFormatting>
  <conditionalFormatting sqref="H554">
    <cfRule type="expression" dxfId="584" priority="429">
      <formula>H554=0</formula>
    </cfRule>
  </conditionalFormatting>
  <conditionalFormatting sqref="H556">
    <cfRule type="expression" dxfId="583" priority="428">
      <formula>H556=0</formula>
    </cfRule>
  </conditionalFormatting>
  <conditionalFormatting sqref="H558">
    <cfRule type="expression" dxfId="582" priority="427">
      <formula>H558=0</formula>
    </cfRule>
  </conditionalFormatting>
  <conditionalFormatting sqref="H560">
    <cfRule type="expression" dxfId="581" priority="426">
      <formula>H560=0</formula>
    </cfRule>
  </conditionalFormatting>
  <conditionalFormatting sqref="H562">
    <cfRule type="expression" dxfId="580" priority="425">
      <formula>H562=0</formula>
    </cfRule>
  </conditionalFormatting>
  <conditionalFormatting sqref="H564">
    <cfRule type="expression" dxfId="579" priority="424">
      <formula>H564=0</formula>
    </cfRule>
  </conditionalFormatting>
  <conditionalFormatting sqref="H566">
    <cfRule type="expression" dxfId="578" priority="423">
      <formula>H566=0</formula>
    </cfRule>
  </conditionalFormatting>
  <conditionalFormatting sqref="H568">
    <cfRule type="expression" dxfId="577" priority="422">
      <formula>H568=0</formula>
    </cfRule>
  </conditionalFormatting>
  <conditionalFormatting sqref="H570">
    <cfRule type="expression" dxfId="576" priority="421">
      <formula>H570=0</formula>
    </cfRule>
  </conditionalFormatting>
  <conditionalFormatting sqref="H572">
    <cfRule type="expression" dxfId="575" priority="420">
      <formula>H572=0</formula>
    </cfRule>
  </conditionalFormatting>
  <conditionalFormatting sqref="H574">
    <cfRule type="expression" dxfId="574" priority="419">
      <formula>H574=0</formula>
    </cfRule>
  </conditionalFormatting>
  <conditionalFormatting sqref="H576">
    <cfRule type="expression" dxfId="573" priority="418">
      <formula>H576=0</formula>
    </cfRule>
  </conditionalFormatting>
  <conditionalFormatting sqref="H578">
    <cfRule type="expression" dxfId="572" priority="417">
      <formula>H578=0</formula>
    </cfRule>
  </conditionalFormatting>
  <conditionalFormatting sqref="H580">
    <cfRule type="expression" dxfId="571" priority="416">
      <formula>H580=0</formula>
    </cfRule>
  </conditionalFormatting>
  <conditionalFormatting sqref="H583:H598">
    <cfRule type="expression" dxfId="570" priority="415">
      <formula>H583=0</formula>
    </cfRule>
  </conditionalFormatting>
  <conditionalFormatting sqref="H600">
    <cfRule type="expression" dxfId="569" priority="414">
      <formula>H600=0</formula>
    </cfRule>
  </conditionalFormatting>
  <conditionalFormatting sqref="H602">
    <cfRule type="expression" dxfId="568" priority="413">
      <formula>H602=0</formula>
    </cfRule>
  </conditionalFormatting>
  <conditionalFormatting sqref="H604">
    <cfRule type="expression" dxfId="567" priority="412">
      <formula>H604=0</formula>
    </cfRule>
  </conditionalFormatting>
  <conditionalFormatting sqref="H606">
    <cfRule type="expression" dxfId="566" priority="411">
      <formula>H606=0</formula>
    </cfRule>
  </conditionalFormatting>
  <conditionalFormatting sqref="H608">
    <cfRule type="expression" dxfId="565" priority="410">
      <formula>H608=0</formula>
    </cfRule>
  </conditionalFormatting>
  <conditionalFormatting sqref="H610">
    <cfRule type="expression" dxfId="564" priority="409">
      <formula>H610=0</formula>
    </cfRule>
  </conditionalFormatting>
  <conditionalFormatting sqref="H612">
    <cfRule type="expression" dxfId="563" priority="408">
      <formula>H612=0</formula>
    </cfRule>
  </conditionalFormatting>
  <conditionalFormatting sqref="H614">
    <cfRule type="expression" dxfId="562" priority="407">
      <formula>H614=0</formula>
    </cfRule>
  </conditionalFormatting>
  <conditionalFormatting sqref="H616">
    <cfRule type="expression" dxfId="561" priority="406">
      <formula>H616=0</formula>
    </cfRule>
  </conditionalFormatting>
  <conditionalFormatting sqref="H618">
    <cfRule type="expression" dxfId="560" priority="405">
      <formula>H618=0</formula>
    </cfRule>
  </conditionalFormatting>
  <conditionalFormatting sqref="H620">
    <cfRule type="expression" dxfId="559" priority="404">
      <formula>H620=0</formula>
    </cfRule>
  </conditionalFormatting>
  <conditionalFormatting sqref="H622">
    <cfRule type="expression" dxfId="558" priority="403">
      <formula>H622=0</formula>
    </cfRule>
  </conditionalFormatting>
  <conditionalFormatting sqref="H635">
    <cfRule type="expression" dxfId="557" priority="401">
      <formula>H635=0</formula>
    </cfRule>
  </conditionalFormatting>
  <conditionalFormatting sqref="H637">
    <cfRule type="expression" dxfId="556" priority="400">
      <formula>H637=0</formula>
    </cfRule>
  </conditionalFormatting>
  <conditionalFormatting sqref="H639">
    <cfRule type="expression" dxfId="555" priority="399">
      <formula>H639=0</formula>
    </cfRule>
  </conditionalFormatting>
  <conditionalFormatting sqref="H641">
    <cfRule type="expression" dxfId="554" priority="398">
      <formula>H641=0</formula>
    </cfRule>
  </conditionalFormatting>
  <conditionalFormatting sqref="H643">
    <cfRule type="expression" dxfId="553" priority="397">
      <formula>H643=0</formula>
    </cfRule>
  </conditionalFormatting>
  <conditionalFormatting sqref="H646:H675">
    <cfRule type="expression" dxfId="552" priority="112">
      <formula>H646=0</formula>
    </cfRule>
  </conditionalFormatting>
  <conditionalFormatting sqref="H677">
    <cfRule type="expression" dxfId="551" priority="395">
      <formula>H677=0</formula>
    </cfRule>
  </conditionalFormatting>
  <conditionalFormatting sqref="H679">
    <cfRule type="expression" dxfId="550" priority="394">
      <formula>H679=0</formula>
    </cfRule>
  </conditionalFormatting>
  <conditionalFormatting sqref="H681">
    <cfRule type="expression" dxfId="549" priority="393">
      <formula>H681=0</formula>
    </cfRule>
  </conditionalFormatting>
  <conditionalFormatting sqref="H683">
    <cfRule type="expression" dxfId="548" priority="392">
      <formula>H683=0</formula>
    </cfRule>
  </conditionalFormatting>
  <conditionalFormatting sqref="H685">
    <cfRule type="expression" dxfId="547" priority="391">
      <formula>H685=0</formula>
    </cfRule>
  </conditionalFormatting>
  <conditionalFormatting sqref="H687">
    <cfRule type="expression" dxfId="546" priority="390">
      <formula>H687=0</formula>
    </cfRule>
  </conditionalFormatting>
  <conditionalFormatting sqref="H689">
    <cfRule type="expression" dxfId="545" priority="389">
      <formula>H689=0</formula>
    </cfRule>
  </conditionalFormatting>
  <conditionalFormatting sqref="H691">
    <cfRule type="expression" dxfId="544" priority="388">
      <formula>H691=0</formula>
    </cfRule>
  </conditionalFormatting>
  <conditionalFormatting sqref="H693">
    <cfRule type="expression" dxfId="543" priority="387">
      <formula>H693=0</formula>
    </cfRule>
  </conditionalFormatting>
  <conditionalFormatting sqref="H695">
    <cfRule type="expression" dxfId="542" priority="386">
      <formula>H695=0</formula>
    </cfRule>
  </conditionalFormatting>
  <conditionalFormatting sqref="H697">
    <cfRule type="expression" dxfId="541" priority="385">
      <formula>H697=0</formula>
    </cfRule>
  </conditionalFormatting>
  <conditionalFormatting sqref="H699">
    <cfRule type="expression" dxfId="540" priority="384">
      <formula>H699=0</formula>
    </cfRule>
  </conditionalFormatting>
  <conditionalFormatting sqref="H701">
    <cfRule type="expression" dxfId="539" priority="383">
      <formula>H701=0</formula>
    </cfRule>
  </conditionalFormatting>
  <conditionalFormatting sqref="H703">
    <cfRule type="expression" dxfId="538" priority="382">
      <formula>H703=0</formula>
    </cfRule>
  </conditionalFormatting>
  <conditionalFormatting sqref="H705">
    <cfRule type="expression" dxfId="537" priority="381">
      <formula>H705=0</formula>
    </cfRule>
  </conditionalFormatting>
  <conditionalFormatting sqref="H707">
    <cfRule type="expression" dxfId="536" priority="380">
      <formula>H707=0</formula>
    </cfRule>
  </conditionalFormatting>
  <conditionalFormatting sqref="H709">
    <cfRule type="expression" dxfId="535" priority="379">
      <formula>H709=0</formula>
    </cfRule>
  </conditionalFormatting>
  <conditionalFormatting sqref="H711">
    <cfRule type="expression" dxfId="534" priority="378">
      <formula>H711=0</formula>
    </cfRule>
  </conditionalFormatting>
  <conditionalFormatting sqref="H713">
    <cfRule type="expression" dxfId="533" priority="377">
      <formula>H713=0</formula>
    </cfRule>
  </conditionalFormatting>
  <conditionalFormatting sqref="H715">
    <cfRule type="expression" dxfId="532" priority="376">
      <formula>H715=0</formula>
    </cfRule>
  </conditionalFormatting>
  <conditionalFormatting sqref="H717">
    <cfRule type="expression" dxfId="531" priority="375">
      <formula>H717=0</formula>
    </cfRule>
  </conditionalFormatting>
  <conditionalFormatting sqref="H720:H748">
    <cfRule type="expression" dxfId="530" priority="353">
      <formula>H720=0</formula>
    </cfRule>
  </conditionalFormatting>
  <conditionalFormatting sqref="H750">
    <cfRule type="expression" dxfId="529" priority="373">
      <formula>H750=0</formula>
    </cfRule>
  </conditionalFormatting>
  <conditionalFormatting sqref="H753:H784">
    <cfRule type="expression" dxfId="528" priority="200">
      <formula>H753=0</formula>
    </cfRule>
  </conditionalFormatting>
  <conditionalFormatting sqref="H786">
    <cfRule type="expression" dxfId="527" priority="371">
      <formula>H786=0</formula>
    </cfRule>
  </conditionalFormatting>
  <conditionalFormatting sqref="H788">
    <cfRule type="expression" dxfId="526" priority="370">
      <formula>H788=0</formula>
    </cfRule>
  </conditionalFormatting>
  <conditionalFormatting sqref="H790">
    <cfRule type="expression" dxfId="525" priority="187">
      <formula>H790=0</formula>
    </cfRule>
  </conditionalFormatting>
  <conditionalFormatting sqref="H792">
    <cfRule type="expression" dxfId="524" priority="197">
      <formula>H792=0</formula>
    </cfRule>
  </conditionalFormatting>
  <conditionalFormatting sqref="H794">
    <cfRule type="expression" dxfId="523" priority="369">
      <formula>H794=0</formula>
    </cfRule>
  </conditionalFormatting>
  <conditionalFormatting sqref="H797:H826">
    <cfRule type="expression" dxfId="522" priority="539">
      <formula>H797=0</formula>
    </cfRule>
  </conditionalFormatting>
  <conditionalFormatting sqref="H828">
    <cfRule type="expression" dxfId="521" priority="360">
      <formula>H828=0</formula>
    </cfRule>
  </conditionalFormatting>
  <conditionalFormatting sqref="H852 H854 H856">
    <cfRule type="expression" dxfId="520" priority="550">
      <formula>H852=0</formula>
    </cfRule>
  </conditionalFormatting>
  <conditionalFormatting sqref="H892:H928">
    <cfRule type="expression" dxfId="519" priority="213">
      <formula>H892=0</formula>
    </cfRule>
  </conditionalFormatting>
  <conditionalFormatting sqref="I35:I57">
    <cfRule type="cellIs" dxfId="518" priority="340" operator="equal">
      <formula>G35</formula>
    </cfRule>
  </conditionalFormatting>
  <conditionalFormatting sqref="I59 I64:I89 I92 I94 I96 I171 I173 I175 I177 I179 I181 I472 I476 I486 I500 I548 I556 I562 I566 I635 I637 I639 I641 I643 I856">
    <cfRule type="cellIs" dxfId="517" priority="1639" operator="equal">
      <formula>G59</formula>
    </cfRule>
  </conditionalFormatting>
  <conditionalFormatting sqref="I61">
    <cfRule type="cellIs" dxfId="516" priority="342" operator="equal">
      <formula>G61</formula>
    </cfRule>
  </conditionalFormatting>
  <conditionalFormatting sqref="I98">
    <cfRule type="cellIs" dxfId="515" priority="1286" operator="equal">
      <formula>G98</formula>
    </cfRule>
  </conditionalFormatting>
  <conditionalFormatting sqref="I101:I169">
    <cfRule type="cellIs" dxfId="514" priority="76" operator="equal">
      <formula>G101</formula>
    </cfRule>
  </conditionalFormatting>
  <conditionalFormatting sqref="I184:I242">
    <cfRule type="cellIs" dxfId="513" priority="90" operator="equal">
      <formula>G184</formula>
    </cfRule>
  </conditionalFormatting>
  <conditionalFormatting sqref="I245:I288 I889">
    <cfRule type="cellIs" dxfId="512" priority="1517" operator="equal">
      <formula>G245</formula>
    </cfRule>
  </conditionalFormatting>
  <conditionalFormatting sqref="I290">
    <cfRule type="cellIs" dxfId="511" priority="196" operator="equal">
      <formula>G290</formula>
    </cfRule>
  </conditionalFormatting>
  <conditionalFormatting sqref="I292">
    <cfRule type="cellIs" dxfId="510" priority="1257" operator="equal">
      <formula>G292</formula>
    </cfRule>
  </conditionalFormatting>
  <conditionalFormatting sqref="I295:I312">
    <cfRule type="cellIs" dxfId="509" priority="1252" operator="equal">
      <formula>G295</formula>
    </cfRule>
  </conditionalFormatting>
  <conditionalFormatting sqref="I316:I321">
    <cfRule type="cellIs" dxfId="508" priority="266" operator="equal">
      <formula>G316</formula>
    </cfRule>
  </conditionalFormatting>
  <conditionalFormatting sqref="I323:I344">
    <cfRule type="cellIs" dxfId="507" priority="71" operator="equal">
      <formula>G323</formula>
    </cfRule>
  </conditionalFormatting>
  <conditionalFormatting sqref="I346:I385">
    <cfRule type="cellIs" dxfId="506" priority="225" operator="equal">
      <formula>G346</formula>
    </cfRule>
  </conditionalFormatting>
  <conditionalFormatting sqref="I387:I399">
    <cfRule type="cellIs" dxfId="505" priority="73" operator="equal">
      <formula>G387</formula>
    </cfRule>
  </conditionalFormatting>
  <conditionalFormatting sqref="I401">
    <cfRule type="cellIs" dxfId="504" priority="260" operator="equal">
      <formula>G401</formula>
    </cfRule>
  </conditionalFormatting>
  <conditionalFormatting sqref="I403">
    <cfRule type="cellIs" dxfId="503" priority="258" operator="equal">
      <formula>G403</formula>
    </cfRule>
  </conditionalFormatting>
  <conditionalFormatting sqref="I405">
    <cfRule type="cellIs" dxfId="502" priority="256" operator="equal">
      <formula>G405</formula>
    </cfRule>
  </conditionalFormatting>
  <conditionalFormatting sqref="I407">
    <cfRule type="cellIs" dxfId="501" priority="245" operator="equal">
      <formula>G407</formula>
    </cfRule>
  </conditionalFormatting>
  <conditionalFormatting sqref="I409">
    <cfRule type="cellIs" dxfId="500" priority="254" operator="equal">
      <formula>G409</formula>
    </cfRule>
  </conditionalFormatting>
  <conditionalFormatting sqref="I411">
    <cfRule type="cellIs" dxfId="499" priority="252" operator="equal">
      <formula>G411</formula>
    </cfRule>
  </conditionalFormatting>
  <conditionalFormatting sqref="I414:I438">
    <cfRule type="cellIs" dxfId="498" priority="84" operator="equal">
      <formula>G414</formula>
    </cfRule>
  </conditionalFormatting>
  <conditionalFormatting sqref="I440">
    <cfRule type="cellIs" dxfId="497" priority="26" operator="equal">
      <formula>G440</formula>
    </cfRule>
  </conditionalFormatting>
  <conditionalFormatting sqref="I442">
    <cfRule type="cellIs" dxfId="496" priority="23" operator="equal">
      <formula>G442</formula>
    </cfRule>
  </conditionalFormatting>
  <conditionalFormatting sqref="I444">
    <cfRule type="cellIs" dxfId="495" priority="20" operator="equal">
      <formula>G444</formula>
    </cfRule>
  </conditionalFormatting>
  <conditionalFormatting sqref="I446">
    <cfRule type="cellIs" dxfId="494" priority="17" operator="equal">
      <formula>G446</formula>
    </cfRule>
  </conditionalFormatting>
  <conditionalFormatting sqref="I449:I466">
    <cfRule type="cellIs" dxfId="493" priority="115" operator="equal">
      <formula>G449</formula>
    </cfRule>
  </conditionalFormatting>
  <conditionalFormatting sqref="I468">
    <cfRule type="cellIs" dxfId="492" priority="1079" operator="equal">
      <formula>G468</formula>
    </cfRule>
  </conditionalFormatting>
  <conditionalFormatting sqref="I470">
    <cfRule type="cellIs" dxfId="491" priority="1236" operator="equal">
      <formula>G470</formula>
    </cfRule>
  </conditionalFormatting>
  <conditionalFormatting sqref="I474">
    <cfRule type="cellIs" dxfId="490" priority="1248" operator="equal">
      <formula>G474</formula>
    </cfRule>
  </conditionalFormatting>
  <conditionalFormatting sqref="I478">
    <cfRule type="cellIs" dxfId="489" priority="1242" operator="equal">
      <formula>G478</formula>
    </cfRule>
  </conditionalFormatting>
  <conditionalFormatting sqref="I480">
    <cfRule type="cellIs" dxfId="488" priority="1239" operator="equal">
      <formula>G480</formula>
    </cfRule>
  </conditionalFormatting>
  <conditionalFormatting sqref="I482">
    <cfRule type="cellIs" dxfId="487" priority="1221" operator="equal">
      <formula>G482</formula>
    </cfRule>
  </conditionalFormatting>
  <conditionalFormatting sqref="I484">
    <cfRule type="cellIs" dxfId="486" priority="1209" operator="equal">
      <formula>G484</formula>
    </cfRule>
  </conditionalFormatting>
  <conditionalFormatting sqref="I488">
    <cfRule type="cellIs" dxfId="485" priority="1640" operator="equal">
      <formula>G488</formula>
    </cfRule>
  </conditionalFormatting>
  <conditionalFormatting sqref="I490">
    <cfRule type="cellIs" dxfId="484" priority="1212" operator="equal">
      <formula>G490</formula>
    </cfRule>
  </conditionalFormatting>
  <conditionalFormatting sqref="I492">
    <cfRule type="cellIs" dxfId="483" priority="1206" operator="equal">
      <formula>G492</formula>
    </cfRule>
  </conditionalFormatting>
  <conditionalFormatting sqref="I494">
    <cfRule type="cellIs" dxfId="482" priority="1218" operator="equal">
      <formula>G494</formula>
    </cfRule>
  </conditionalFormatting>
  <conditionalFormatting sqref="I496">
    <cfRule type="cellIs" dxfId="481" priority="1215" operator="equal">
      <formula>G496</formula>
    </cfRule>
  </conditionalFormatting>
  <conditionalFormatting sqref="I498">
    <cfRule type="cellIs" dxfId="480" priority="1233" operator="equal">
      <formula>G498</formula>
    </cfRule>
  </conditionalFormatting>
  <conditionalFormatting sqref="I502">
    <cfRule type="cellIs" dxfId="479" priority="942" operator="equal">
      <formula>G502</formula>
    </cfRule>
  </conditionalFormatting>
  <conditionalFormatting sqref="I504">
    <cfRule type="cellIs" dxfId="478" priority="1227" operator="equal">
      <formula>G504</formula>
    </cfRule>
  </conditionalFormatting>
  <conditionalFormatting sqref="I507:I542">
    <cfRule type="cellIs" dxfId="477" priority="482" operator="equal">
      <formula>G507</formula>
    </cfRule>
  </conditionalFormatting>
  <conditionalFormatting sqref="I544">
    <cfRule type="cellIs" dxfId="476" priority="1076" operator="equal">
      <formula>G544</formula>
    </cfRule>
  </conditionalFormatting>
  <conditionalFormatting sqref="I546">
    <cfRule type="cellIs" dxfId="475" priority="890" operator="equal">
      <formula>G546</formula>
    </cfRule>
  </conditionalFormatting>
  <conditionalFormatting sqref="I550">
    <cfRule type="cellIs" dxfId="474" priority="1144" operator="equal">
      <formula>G550</formula>
    </cfRule>
  </conditionalFormatting>
  <conditionalFormatting sqref="I552">
    <cfRule type="cellIs" dxfId="473" priority="1101" operator="equal">
      <formula>G552</formula>
    </cfRule>
  </conditionalFormatting>
  <conditionalFormatting sqref="I554">
    <cfRule type="cellIs" dxfId="472" priority="1142" operator="equal">
      <formula>G554</formula>
    </cfRule>
  </conditionalFormatting>
  <conditionalFormatting sqref="I558">
    <cfRule type="cellIs" dxfId="471" priority="1133" operator="equal">
      <formula>G558</formula>
    </cfRule>
  </conditionalFormatting>
  <conditionalFormatting sqref="I560 I576">
    <cfRule type="cellIs" dxfId="470" priority="1147" operator="equal">
      <formula>G560</formula>
    </cfRule>
  </conditionalFormatting>
  <conditionalFormatting sqref="I564">
    <cfRule type="cellIs" dxfId="469" priority="1134" operator="equal">
      <formula>G564</formula>
    </cfRule>
  </conditionalFormatting>
  <conditionalFormatting sqref="I568">
    <cfRule type="cellIs" dxfId="468" priority="1070" operator="equal">
      <formula>G568</formula>
    </cfRule>
  </conditionalFormatting>
  <conditionalFormatting sqref="I570">
    <cfRule type="cellIs" dxfId="467" priority="1136" operator="equal">
      <formula>G570</formula>
    </cfRule>
  </conditionalFormatting>
  <conditionalFormatting sqref="I572">
    <cfRule type="cellIs" dxfId="466" priority="1135" operator="equal">
      <formula>G572</formula>
    </cfRule>
  </conditionalFormatting>
  <conditionalFormatting sqref="I574">
    <cfRule type="cellIs" dxfId="465" priority="1139" operator="equal">
      <formula>G574</formula>
    </cfRule>
  </conditionalFormatting>
  <conditionalFormatting sqref="I578">
    <cfRule type="cellIs" dxfId="464" priority="937" operator="equal">
      <formula>G578</formula>
    </cfRule>
  </conditionalFormatting>
  <conditionalFormatting sqref="I580">
    <cfRule type="cellIs" dxfId="463" priority="1138" operator="equal">
      <formula>G580</formula>
    </cfRule>
  </conditionalFormatting>
  <conditionalFormatting sqref="I583:I598">
    <cfRule type="cellIs" dxfId="462" priority="962" operator="equal">
      <formula>G583</formula>
    </cfRule>
  </conditionalFormatting>
  <conditionalFormatting sqref="I600 I602 I604 I606">
    <cfRule type="cellIs" dxfId="461" priority="952" operator="equal">
      <formula>G600</formula>
    </cfRule>
  </conditionalFormatting>
  <conditionalFormatting sqref="I608">
    <cfRule type="cellIs" dxfId="460" priority="947" operator="equal">
      <formula>G608</formula>
    </cfRule>
  </conditionalFormatting>
  <conditionalFormatting sqref="I610">
    <cfRule type="cellIs" dxfId="459" priority="957" operator="equal">
      <formula>G610</formula>
    </cfRule>
  </conditionalFormatting>
  <conditionalFormatting sqref="I612">
    <cfRule type="cellIs" dxfId="458" priority="992" operator="equal">
      <formula>G612</formula>
    </cfRule>
  </conditionalFormatting>
  <conditionalFormatting sqref="I614">
    <cfRule type="cellIs" dxfId="457" priority="977" operator="equal">
      <formula>G614</formula>
    </cfRule>
  </conditionalFormatting>
  <conditionalFormatting sqref="I616">
    <cfRule type="cellIs" dxfId="456" priority="976" operator="equal">
      <formula>G616</formula>
    </cfRule>
  </conditionalFormatting>
  <conditionalFormatting sqref="I618">
    <cfRule type="cellIs" dxfId="455" priority="993" operator="equal">
      <formula>G618</formula>
    </cfRule>
  </conditionalFormatting>
  <conditionalFormatting sqref="I620">
    <cfRule type="cellIs" dxfId="454" priority="931" operator="equal">
      <formula>G620</formula>
    </cfRule>
  </conditionalFormatting>
  <conditionalFormatting sqref="I622">
    <cfRule type="cellIs" dxfId="453" priority="971" operator="equal">
      <formula>G622</formula>
    </cfRule>
  </conditionalFormatting>
  <conditionalFormatting sqref="I625:I633">
    <cfRule type="cellIs" dxfId="452" priority="542" operator="equal">
      <formula>G625</formula>
    </cfRule>
  </conditionalFormatting>
  <conditionalFormatting sqref="I646:I675">
    <cfRule type="cellIs" dxfId="451" priority="113" operator="equal">
      <formula>G646</formula>
    </cfRule>
  </conditionalFormatting>
  <conditionalFormatting sqref="I677">
    <cfRule type="cellIs" dxfId="450" priority="567" operator="equal">
      <formula>G677</formula>
    </cfRule>
  </conditionalFormatting>
  <conditionalFormatting sqref="I679">
    <cfRule type="cellIs" dxfId="449" priority="564" operator="equal">
      <formula>G679</formula>
    </cfRule>
  </conditionalFormatting>
  <conditionalFormatting sqref="I681">
    <cfRule type="cellIs" dxfId="448" priority="561" operator="equal">
      <formula>G681</formula>
    </cfRule>
  </conditionalFormatting>
  <conditionalFormatting sqref="I683">
    <cfRule type="cellIs" dxfId="447" priority="734" operator="equal">
      <formula>G683</formula>
    </cfRule>
  </conditionalFormatting>
  <conditionalFormatting sqref="I685">
    <cfRule type="cellIs" dxfId="446" priority="731" operator="equal">
      <formula>G685</formula>
    </cfRule>
  </conditionalFormatting>
  <conditionalFormatting sqref="I687">
    <cfRule type="cellIs" dxfId="445" priority="728" operator="equal">
      <formula>G687</formula>
    </cfRule>
  </conditionalFormatting>
  <conditionalFormatting sqref="I689">
    <cfRule type="cellIs" dxfId="444" priority="725" operator="equal">
      <formula>G689</formula>
    </cfRule>
  </conditionalFormatting>
  <conditionalFormatting sqref="I691">
    <cfRule type="cellIs" dxfId="443" priority="722" operator="equal">
      <formula>G691</formula>
    </cfRule>
  </conditionalFormatting>
  <conditionalFormatting sqref="I693">
    <cfRule type="cellIs" dxfId="442" priority="719" operator="equal">
      <formula>G693</formula>
    </cfRule>
  </conditionalFormatting>
  <conditionalFormatting sqref="I695">
    <cfRule type="cellIs" dxfId="441" priority="716" operator="equal">
      <formula>G695</formula>
    </cfRule>
  </conditionalFormatting>
  <conditionalFormatting sqref="I697">
    <cfRule type="cellIs" dxfId="440" priority="713" operator="equal">
      <formula>G697</formula>
    </cfRule>
  </conditionalFormatting>
  <conditionalFormatting sqref="I699">
    <cfRule type="cellIs" dxfId="439" priority="710" operator="equal">
      <formula>G699</formula>
    </cfRule>
  </conditionalFormatting>
  <conditionalFormatting sqref="I701">
    <cfRule type="cellIs" dxfId="438" priority="707" operator="equal">
      <formula>G701</formula>
    </cfRule>
  </conditionalFormatting>
  <conditionalFormatting sqref="I703">
    <cfRule type="cellIs" dxfId="437" priority="704" operator="equal">
      <formula>G703</formula>
    </cfRule>
  </conditionalFormatting>
  <conditionalFormatting sqref="I705">
    <cfRule type="cellIs" dxfId="436" priority="701" operator="equal">
      <formula>G705</formula>
    </cfRule>
  </conditionalFormatting>
  <conditionalFormatting sqref="I707">
    <cfRule type="cellIs" dxfId="435" priority="698" operator="equal">
      <formula>G707</formula>
    </cfRule>
  </conditionalFormatting>
  <conditionalFormatting sqref="I709">
    <cfRule type="cellIs" dxfId="434" priority="695" operator="equal">
      <formula>G709</formula>
    </cfRule>
  </conditionalFormatting>
  <conditionalFormatting sqref="I711">
    <cfRule type="cellIs" dxfId="433" priority="692" operator="equal">
      <formula>G711</formula>
    </cfRule>
  </conditionalFormatting>
  <conditionalFormatting sqref="I713">
    <cfRule type="cellIs" dxfId="432" priority="689" operator="equal">
      <formula>G713</formula>
    </cfRule>
  </conditionalFormatting>
  <conditionalFormatting sqref="I715">
    <cfRule type="cellIs" dxfId="431" priority="686" operator="equal">
      <formula>G715</formula>
    </cfRule>
  </conditionalFormatting>
  <conditionalFormatting sqref="I717">
    <cfRule type="cellIs" dxfId="430" priority="683" operator="equal">
      <formula>G717</formula>
    </cfRule>
  </conditionalFormatting>
  <conditionalFormatting sqref="I720:I748">
    <cfRule type="cellIs" dxfId="429" priority="355" operator="equal">
      <formula>G720</formula>
    </cfRule>
  </conditionalFormatting>
  <conditionalFormatting sqref="I750">
    <cfRule type="cellIs" dxfId="428" priority="662" operator="equal">
      <formula>G750</formula>
    </cfRule>
  </conditionalFormatting>
  <conditionalFormatting sqref="I753:I784">
    <cfRule type="cellIs" dxfId="427" priority="88" operator="equal">
      <formula>G753</formula>
    </cfRule>
  </conditionalFormatting>
  <conditionalFormatting sqref="I786 I788 I794">
    <cfRule type="cellIs" dxfId="426" priority="584" operator="equal">
      <formula>G786</formula>
    </cfRule>
  </conditionalFormatting>
  <conditionalFormatting sqref="I790">
    <cfRule type="cellIs" dxfId="425" priority="188" operator="equal">
      <formula>G790</formula>
    </cfRule>
  </conditionalFormatting>
  <conditionalFormatting sqref="I792">
    <cfRule type="cellIs" dxfId="424" priority="198" operator="equal">
      <formula>G792</formula>
    </cfRule>
  </conditionalFormatting>
  <conditionalFormatting sqref="I797:I826">
    <cfRule type="cellIs" dxfId="423" priority="537" operator="equal">
      <formula>G797</formula>
    </cfRule>
  </conditionalFormatting>
  <conditionalFormatting sqref="I828">
    <cfRule type="cellIs" dxfId="422" priority="532" operator="equal">
      <formula>G828</formula>
    </cfRule>
  </conditionalFormatting>
  <conditionalFormatting sqref="I830">
    <cfRule type="cellIs" dxfId="421" priority="1411" operator="equal">
      <formula>G830</formula>
    </cfRule>
  </conditionalFormatting>
  <conditionalFormatting sqref="I832">
    <cfRule type="cellIs" dxfId="420" priority="1476" operator="equal">
      <formula>G832</formula>
    </cfRule>
  </conditionalFormatting>
  <conditionalFormatting sqref="I834">
    <cfRule type="cellIs" dxfId="419" priority="1478" operator="equal">
      <formula>G834</formula>
    </cfRule>
  </conditionalFormatting>
  <conditionalFormatting sqref="I836">
    <cfRule type="cellIs" dxfId="418" priority="1474" operator="equal">
      <formula>G836</formula>
    </cfRule>
  </conditionalFormatting>
  <conditionalFormatting sqref="I838">
    <cfRule type="cellIs" dxfId="417" priority="1477" operator="equal">
      <formula>G838</formula>
    </cfRule>
  </conditionalFormatting>
  <conditionalFormatting sqref="I840 I842 I844 I846 I848 I850">
    <cfRule type="cellIs" dxfId="416" priority="1427" operator="equal">
      <formula>G840</formula>
    </cfRule>
  </conditionalFormatting>
  <conditionalFormatting sqref="I852 I854">
    <cfRule type="cellIs" dxfId="415" priority="551" operator="equal">
      <formula>G852</formula>
    </cfRule>
  </conditionalFormatting>
  <conditionalFormatting sqref="I859:I886">
    <cfRule type="cellIs" dxfId="414" priority="210" operator="equal">
      <formula>G859</formula>
    </cfRule>
  </conditionalFormatting>
  <conditionalFormatting sqref="I892:I928">
    <cfRule type="cellIs" dxfId="413" priority="214" operator="equal">
      <formula>G892</formula>
    </cfRule>
  </conditionalFormatting>
  <conditionalFormatting sqref="J5:J6">
    <cfRule type="cellIs" dxfId="412" priority="2049" operator="equal">
      <formula>G8</formula>
    </cfRule>
  </conditionalFormatting>
  <dataValidations disablePrompts="1" count="1">
    <dataValidation allowBlank="1" showInputMessage="1" showErrorMessage="1" prompt="Confirmar_x000a_DMT" sqref="E32:E33"/>
  </dataValidations>
  <hyperlinks>
    <hyperlink ref="G100" location="Dre_Terraplenagem!A1" display="Dre_Terraplenagem!A1"/>
    <hyperlink ref="G183" location="Dre_Disp_Estruturais!A1" display="Dre_Disp_Estruturais!A1"/>
    <hyperlink ref="G294" location="Dre_Disp_Estruturais!A1" display="Dre_Disp_Estruturais!A1"/>
    <hyperlink ref="G506" location="Recap_Previo!A1" display="Recap_Previo!A1"/>
    <hyperlink ref="G582" location="Recap_Final!A1" display="Recap_Final!A1"/>
    <hyperlink ref="G624" location="Pav_Terraplenagem!A1" display="Pav_Terraplenagem!A1"/>
    <hyperlink ref="G645" location="Pav_Estrutura!A1" display="Pav_Estrutura!A1"/>
    <hyperlink ref="G413" location="Dre_Profunda!A1" display="Dre_Profunda!A1"/>
    <hyperlink ref="G752" location="Passeio!A1" display="Passeio!A1"/>
    <hyperlink ref="G858" location="Sinalizacao!A1" display="Sinalizacao!A1"/>
    <hyperlink ref="G796" location="Ciclovia!A1" display="Ciclovia!A1"/>
    <hyperlink ref="G63" location="Demolicao!A1" display="Demolicao!A1"/>
    <hyperlink ref="G719" location="Pav_Estrutura!A1" display="Pav_Estrutura!A1"/>
    <hyperlink ref="G448" location="Dre_Fecha_Vala!A1" display="Dre_Fecha_Vala!A1"/>
    <hyperlink ref="M832" location="'CPU Adm Local'!A1" display="'CPU Adm Local'!A1"/>
    <hyperlink ref="G34" location="S_Preliminares!A1" display="S_Preliminares!A1"/>
    <hyperlink ref="G314" location="Bacia_Amortecimento!A1" display="Bacia_Amortecimento!A1"/>
    <hyperlink ref="G244" location="Dre_Disp_Estruturais!A1" display="Dre_Disp_Estruturais!A1"/>
  </hyperlinks>
  <printOptions horizontalCentered="1"/>
  <pageMargins left="0.39370078740157483" right="0.39370078740157483" top="0.51181102362204722" bottom="0.51181102362204722" header="0.31496062992125984" footer="0.23622047244094491"/>
  <pageSetup paperSize="9" scale="66" fitToHeight="47" orientation="landscape" r:id="rId1"/>
  <headerFooter>
    <oddFooter>&amp;L&amp;"Arial,Normal"&amp;8 &amp;F                          &amp;C&amp;"Arial,Normal"&amp;8APROVADO
Eng. Civil&amp;R&amp;"Cambria,Regular"&amp;8 &amp;P / &amp;N                                        Ricardo Schettini Figueiredo&amp;10
&amp;8Eng. Civil - CREA-RJ 52.656/D</oddFooter>
  </headerFooter>
  <rowBreaks count="1" manualBreakCount="1">
    <brk id="857" max="10" man="1"/>
  </rowBreaks>
  <ignoredErrors>
    <ignoredError sqref="J294 J58:J60 J400:J410 I791 J791:J793 J289:J291 J170:J180 I785:J788 J467 I631 J477:J503 J749 J676:J677 J634:J642 I755 J604:J621 J599:J602 J91:J97 J789 I827:J855 J322 J345 I430:J438 I439:I444 J469:J475 J543:J579 J678:J716" formula="1"/>
    <ignoredError sqref="A890 A423:A447 A35:A43 A951:A955 A1052:A1048576 A78:A99 A101:A122 A291 A295:A296 A414:A416 A543:A581 A583:A623 A625:A628 A676:A718 A740:A751 A793 A1:A8 A507 A892:A899 A720:A729 A62 A58 A170:A182 A753:A756 A768:A788 A246:A288 A293 A929:A931 A449:A457 A646:A647 A313 A184:A234 A913:A925 A460:A467 A469:A505 A631:A644 A652:A674 A64:A75 L612:L622 L574:L610 L560:L572 L546:L558 L506:L544 J446:L446 K439:L445 L272:L438 L796:L838 L840:L852 L854:L856 L891:L928" evalError="1"/>
    <ignoredError sqref="J444:J445 J439:J443" evalError="1" formula="1"/>
  </ignoredErrors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7">
    <tabColor rgb="FF92D050"/>
  </sheetPr>
  <dimension ref="A1:AD163"/>
  <sheetViews>
    <sheetView showZeros="0" zoomScaleNormal="100" workbookViewId="0"/>
  </sheetViews>
  <sheetFormatPr defaultColWidth="9" defaultRowHeight="12" x14ac:dyDescent="0.15"/>
  <cols>
    <col min="1" max="1" width="10.625" style="104" customWidth="1"/>
    <col min="2" max="2" width="45.625" style="104" customWidth="1"/>
    <col min="3" max="3" width="11.25" style="104" hidden="1" customWidth="1"/>
    <col min="4" max="4" width="11.625" style="104" customWidth="1"/>
    <col min="5" max="5" width="11.625" style="128" customWidth="1"/>
    <col min="6" max="11" width="14.625" style="104" customWidth="1"/>
    <col min="12" max="23" width="14.625" style="104" hidden="1" customWidth="1"/>
    <col min="24" max="24" width="16.625" style="104" customWidth="1"/>
    <col min="25" max="25" width="12.375" style="104" hidden="1" customWidth="1"/>
    <col min="26" max="26" width="10.5" style="104" hidden="1" customWidth="1"/>
    <col min="27" max="30" width="9" style="104" hidden="1" customWidth="1"/>
    <col min="31" max="31" width="9" style="104"/>
    <col min="32" max="32" width="18.125" style="104" customWidth="1"/>
    <col min="33" max="16384" width="9" style="104"/>
  </cols>
  <sheetData>
    <row r="1" spans="1:28" s="97" customFormat="1" ht="24.95" customHeight="1" x14ac:dyDescent="0.15">
      <c r="A1" s="853" t="str">
        <f>Orçamento_Não_Deson!B1</f>
        <v>PREFEITURA MUNICIPAL DE CAMPO GRANDE - MS</v>
      </c>
      <c r="B1" s="94"/>
      <c r="C1" s="94"/>
      <c r="D1" s="95"/>
      <c r="E1" s="96"/>
      <c r="F1" s="96"/>
      <c r="G1" s="2248" t="str">
        <f>Orçamento_Não_Deson!B5</f>
        <v>OBRA :</v>
      </c>
      <c r="H1" s="2249" t="str">
        <f>Orçamento_Não_Deson!C5</f>
        <v xml:space="preserve">INFRAESTRUTURA URBANA - PAVIMENTAÇÃO ASFÁLTICA E DRENAGEM DE ÁGUAS PLUVIAIS </v>
      </c>
      <c r="I1" s="164"/>
      <c r="J1" s="164"/>
      <c r="K1" s="164"/>
      <c r="M1" s="164"/>
      <c r="N1" s="873"/>
      <c r="O1" s="164"/>
      <c r="P1" s="164"/>
      <c r="Q1" s="164"/>
      <c r="R1" s="164"/>
      <c r="S1" s="164"/>
      <c r="T1" s="164"/>
      <c r="U1" s="164"/>
      <c r="V1" s="164"/>
      <c r="W1" s="164"/>
      <c r="X1" s="164"/>
    </row>
    <row r="2" spans="1:28" s="97" customFormat="1" ht="24.95" customHeight="1" x14ac:dyDescent="0.15">
      <c r="A2" s="2247" t="str">
        <f>Orçamento_Não_Deson!B2</f>
        <v>SECRETARIA MUNICIPAL DE INFRAESTRUTURA E SERVIÇOS PÚBLICOS - SISEP</v>
      </c>
      <c r="B2" s="2246"/>
      <c r="C2" s="2246"/>
      <c r="D2" s="2246"/>
      <c r="E2" s="2246"/>
      <c r="F2" s="96"/>
      <c r="G2" s="2248" t="str">
        <f>Orçamento_Não_Deson!B6</f>
        <v>LOCAL :</v>
      </c>
      <c r="H2" s="2450" t="str">
        <f>Orçamento_Não_Deson!C6</f>
        <v>JARDIM NASHIVILLE - ETAPA "B" - FASE 2</v>
      </c>
      <c r="I2" s="2450"/>
      <c r="J2" s="2450"/>
      <c r="K2" s="2450"/>
      <c r="L2" s="2450"/>
      <c r="M2" s="2450"/>
      <c r="N2" s="2450"/>
      <c r="O2" s="2450"/>
      <c r="P2" s="2376"/>
      <c r="Q2" s="2376"/>
      <c r="R2" s="2376"/>
      <c r="S2" s="2376"/>
      <c r="T2" s="2376"/>
      <c r="U2" s="2376"/>
      <c r="V2" s="2376"/>
      <c r="W2" s="2376"/>
      <c r="X2" s="2376"/>
    </row>
    <row r="3" spans="1:28" s="98" customFormat="1" ht="18" customHeight="1" x14ac:dyDescent="0.2">
      <c r="A3" s="2246"/>
      <c r="B3" s="2246"/>
      <c r="C3" s="2246"/>
      <c r="D3" s="2246"/>
      <c r="E3" s="2246"/>
      <c r="F3" s="100"/>
      <c r="G3" s="129"/>
      <c r="H3" s="2450"/>
      <c r="I3" s="2450"/>
      <c r="J3" s="2450"/>
      <c r="K3" s="2450"/>
      <c r="L3" s="2450"/>
      <c r="M3" s="2450"/>
      <c r="N3" s="2450"/>
      <c r="O3" s="2450"/>
      <c r="X3" s="164"/>
    </row>
    <row r="4" spans="1:28" s="98" customFormat="1" ht="18" customHeight="1" x14ac:dyDescent="0.2">
      <c r="A4" s="189"/>
      <c r="E4" s="99"/>
      <c r="F4" s="100"/>
      <c r="G4" s="129"/>
      <c r="H4" s="164"/>
      <c r="I4" s="164"/>
      <c r="J4" s="164"/>
      <c r="K4" s="164"/>
      <c r="M4" s="164"/>
      <c r="N4" s="164"/>
      <c r="O4" s="164"/>
      <c r="P4" s="164"/>
      <c r="Q4" s="164"/>
      <c r="R4" s="164"/>
      <c r="S4" s="164"/>
      <c r="T4" s="164"/>
      <c r="U4" s="164"/>
      <c r="V4" s="164"/>
      <c r="W4" s="164"/>
      <c r="X4" s="164"/>
    </row>
    <row r="5" spans="1:28" s="98" customFormat="1" ht="24.95" customHeight="1" x14ac:dyDescent="0.2">
      <c r="A5" s="189" t="s">
        <v>137</v>
      </c>
      <c r="B5" s="101"/>
      <c r="C5" s="101"/>
      <c r="D5" s="101"/>
      <c r="E5" s="101"/>
      <c r="F5" s="102"/>
      <c r="G5" s="1665" t="s">
        <v>114</v>
      </c>
      <c r="H5" s="1692" t="str">
        <f>Orçamento_Não_Deson!J1</f>
        <v>Agosto/2023</v>
      </c>
      <c r="I5" s="129"/>
      <c r="J5" s="164"/>
      <c r="M5" s="101"/>
      <c r="N5" s="129"/>
      <c r="O5" s="175"/>
      <c r="P5" s="175"/>
      <c r="Q5" s="175"/>
      <c r="R5" s="175"/>
      <c r="S5" s="175"/>
      <c r="T5" s="175"/>
      <c r="U5" s="175"/>
      <c r="V5" s="175"/>
      <c r="W5" s="175"/>
      <c r="X5" s="175"/>
    </row>
    <row r="6" spans="1:28" ht="18" customHeight="1" thickBot="1" x14ac:dyDescent="0.2">
      <c r="A6" s="103"/>
      <c r="D6" s="105"/>
      <c r="E6" s="106"/>
      <c r="G6" s="1665" t="s">
        <v>420</v>
      </c>
      <c r="H6" s="1679" t="str">
        <f>Orçamento_Não_Deson!J2</f>
        <v>NÃO DESONERADA</v>
      </c>
      <c r="I6" s="103"/>
      <c r="N6" s="130"/>
      <c r="O6" s="176"/>
      <c r="P6" s="176"/>
      <c r="Q6" s="176"/>
      <c r="R6" s="176"/>
      <c r="S6" s="176"/>
      <c r="T6" s="176"/>
      <c r="U6" s="176"/>
      <c r="V6" s="176"/>
      <c r="W6" s="176"/>
      <c r="X6" s="176"/>
    </row>
    <row r="7" spans="1:28" s="110" customFormat="1" ht="24.95" customHeight="1" x14ac:dyDescent="0.15">
      <c r="A7" s="2441" t="s">
        <v>31</v>
      </c>
      <c r="B7" s="2443" t="s">
        <v>1952</v>
      </c>
      <c r="C7" s="1661" t="s">
        <v>1948</v>
      </c>
      <c r="D7" s="2445" t="s">
        <v>138</v>
      </c>
      <c r="E7" s="2446"/>
      <c r="F7" s="107">
        <v>1</v>
      </c>
      <c r="G7" s="108">
        <v>2</v>
      </c>
      <c r="H7" s="108">
        <v>3</v>
      </c>
      <c r="I7" s="108">
        <v>4</v>
      </c>
      <c r="J7" s="107">
        <v>5</v>
      </c>
      <c r="K7" s="108">
        <v>6</v>
      </c>
      <c r="L7" s="107">
        <v>7</v>
      </c>
      <c r="M7" s="108">
        <v>8</v>
      </c>
      <c r="N7" s="108">
        <v>9</v>
      </c>
      <c r="O7" s="108">
        <v>10</v>
      </c>
      <c r="P7" s="107">
        <v>11</v>
      </c>
      <c r="Q7" s="108">
        <v>12</v>
      </c>
      <c r="R7" s="108">
        <v>13</v>
      </c>
      <c r="S7" s="108">
        <v>14</v>
      </c>
      <c r="T7" s="108">
        <v>15</v>
      </c>
      <c r="U7" s="108">
        <v>16</v>
      </c>
      <c r="V7" s="108">
        <v>17</v>
      </c>
      <c r="W7" s="108">
        <v>18</v>
      </c>
      <c r="X7" s="2433" t="s">
        <v>139</v>
      </c>
      <c r="Y7" s="109"/>
      <c r="Z7" s="446" t="s">
        <v>599</v>
      </c>
      <c r="AA7" s="447"/>
      <c r="AB7" s="447"/>
    </row>
    <row r="8" spans="1:28" s="114" customFormat="1" ht="24.95" customHeight="1" thickBot="1" x14ac:dyDescent="0.2">
      <c r="A8" s="2442"/>
      <c r="B8" s="2444"/>
      <c r="C8" s="1662" t="s">
        <v>1953</v>
      </c>
      <c r="D8" s="2435" t="s">
        <v>140</v>
      </c>
      <c r="E8" s="2436"/>
      <c r="F8" s="111">
        <v>30</v>
      </c>
      <c r="G8" s="112">
        <v>60</v>
      </c>
      <c r="H8" s="112">
        <v>90</v>
      </c>
      <c r="I8" s="112">
        <v>120</v>
      </c>
      <c r="J8" s="111">
        <v>150</v>
      </c>
      <c r="K8" s="112">
        <v>180</v>
      </c>
      <c r="L8" s="111">
        <v>210</v>
      </c>
      <c r="M8" s="112">
        <v>240</v>
      </c>
      <c r="N8" s="112">
        <v>270</v>
      </c>
      <c r="O8" s="112">
        <v>300</v>
      </c>
      <c r="P8" s="111">
        <v>330</v>
      </c>
      <c r="Q8" s="112">
        <v>360</v>
      </c>
      <c r="R8" s="112">
        <v>390</v>
      </c>
      <c r="S8" s="112">
        <v>420</v>
      </c>
      <c r="T8" s="112">
        <v>450</v>
      </c>
      <c r="U8" s="112">
        <v>480</v>
      </c>
      <c r="V8" s="112">
        <v>510</v>
      </c>
      <c r="W8" s="112">
        <v>540</v>
      </c>
      <c r="X8" s="2434"/>
      <c r="Y8" s="113"/>
      <c r="Z8" s="793">
        <f ca="1">+Orçamento_Não_Deson!J35+Orçamento_Não_Deson!J41+Orçamento_Não_Deson!J43+Orçamento_Não_Deson!J44</f>
        <v>23236.58</v>
      </c>
      <c r="AA8" s="449" t="s">
        <v>600</v>
      </c>
      <c r="AB8" s="448">
        <f ca="1">+Z8/D10</f>
        <v>0.13532034264845866</v>
      </c>
    </row>
    <row r="9" spans="1:28" s="119" customFormat="1" ht="9.9499999999999993" customHeight="1" x14ac:dyDescent="0.15">
      <c r="A9" s="2415">
        <f>Orçamento_Não_Deson!B13</f>
        <v>1</v>
      </c>
      <c r="B9" s="2418" t="str">
        <f>Orçamento_Não_Deson!C13</f>
        <v>SERVIÇOS PRELIMINARES</v>
      </c>
      <c r="C9" s="1655"/>
      <c r="D9" s="115"/>
      <c r="E9" s="116"/>
      <c r="F9" s="870">
        <f t="shared" ref="F9:M9" si="0">F10</f>
        <v>0.3</v>
      </c>
      <c r="G9" s="870">
        <f t="shared" si="0"/>
        <v>0.2</v>
      </c>
      <c r="H9" s="870">
        <f t="shared" si="0"/>
        <v>0.2</v>
      </c>
      <c r="I9" s="870">
        <f t="shared" si="0"/>
        <v>0.1</v>
      </c>
      <c r="J9" s="870">
        <f t="shared" si="0"/>
        <v>0.1</v>
      </c>
      <c r="K9" s="870">
        <f t="shared" si="0"/>
        <v>0.1</v>
      </c>
      <c r="L9" s="870">
        <f t="shared" si="0"/>
        <v>0</v>
      </c>
      <c r="M9" s="870">
        <f t="shared" si="0"/>
        <v>0</v>
      </c>
      <c r="N9" s="870">
        <f>N10</f>
        <v>0</v>
      </c>
      <c r="O9" s="870">
        <f t="shared" ref="O9:W9" si="1">O10</f>
        <v>0</v>
      </c>
      <c r="P9" s="870">
        <f t="shared" si="1"/>
        <v>0</v>
      </c>
      <c r="Q9" s="870">
        <f t="shared" si="1"/>
        <v>0</v>
      </c>
      <c r="R9" s="870">
        <f t="shared" si="1"/>
        <v>0</v>
      </c>
      <c r="S9" s="870">
        <f t="shared" si="1"/>
        <v>0</v>
      </c>
      <c r="T9" s="870">
        <f t="shared" si="1"/>
        <v>0</v>
      </c>
      <c r="U9" s="870">
        <f t="shared" si="1"/>
        <v>0</v>
      </c>
      <c r="V9" s="870">
        <f t="shared" si="1"/>
        <v>0</v>
      </c>
      <c r="W9" s="870">
        <f t="shared" si="1"/>
        <v>0</v>
      </c>
      <c r="X9" s="117"/>
      <c r="Y9" s="707">
        <f ca="1">+D10-X11-X12</f>
        <v>-2.9103830456733704E-11</v>
      </c>
    </row>
    <row r="10" spans="1:28" s="119" customFormat="1" ht="18" customHeight="1" x14ac:dyDescent="0.15">
      <c r="A10" s="2416"/>
      <c r="B10" s="2419"/>
      <c r="C10" s="1656" t="str">
        <f>CONCATENATE(Orçamento_Não_Deson!H13," ",Orçamento_Não_Deson!I13)</f>
        <v>16 M2</v>
      </c>
      <c r="D10" s="2437">
        <f ca="1">Orçamento_Não_Deson!J13</f>
        <v>171715.34999999998</v>
      </c>
      <c r="E10" s="2438"/>
      <c r="F10" s="2080">
        <v>0.3</v>
      </c>
      <c r="G10" s="2080">
        <v>0.2</v>
      </c>
      <c r="H10" s="2080">
        <v>0.2</v>
      </c>
      <c r="I10" s="2080">
        <v>0.1</v>
      </c>
      <c r="J10" s="2080">
        <v>0.1</v>
      </c>
      <c r="K10" s="694">
        <v>0.1</v>
      </c>
      <c r="L10" s="694"/>
      <c r="M10" s="694"/>
      <c r="N10" s="694"/>
      <c r="O10" s="694"/>
      <c r="P10" s="694"/>
      <c r="Q10" s="694"/>
      <c r="R10" s="694"/>
      <c r="S10" s="694"/>
      <c r="T10" s="694"/>
      <c r="U10" s="694"/>
      <c r="V10" s="694"/>
      <c r="W10" s="694"/>
      <c r="X10" s="120">
        <f>SUM(F10:W10)</f>
        <v>0.99999999999999989</v>
      </c>
      <c r="Y10" s="585">
        <f>1-X10</f>
        <v>0</v>
      </c>
      <c r="AA10" s="710">
        <f>+COUNT(F10:W10)</f>
        <v>6</v>
      </c>
    </row>
    <row r="11" spans="1:28" s="119" customFormat="1" ht="18" customHeight="1" thickBot="1" x14ac:dyDescent="0.2">
      <c r="A11" s="2416"/>
      <c r="B11" s="2419"/>
      <c r="C11" s="1656"/>
      <c r="D11" s="1687" t="s">
        <v>141</v>
      </c>
      <c r="E11" s="1688">
        <f>D$88</f>
        <v>1</v>
      </c>
      <c r="F11" s="869">
        <f t="shared" ref="F11:W11" ca="1" si="2">IF($D10=0,0,IF(F10=0,0,($E11*$D10*F10)+$AA$92))</f>
        <v>51514.604999999989</v>
      </c>
      <c r="G11" s="869">
        <f t="shared" ca="1" si="2"/>
        <v>34343.07</v>
      </c>
      <c r="H11" s="869">
        <f t="shared" ca="1" si="2"/>
        <v>34343.07</v>
      </c>
      <c r="I11" s="869">
        <f t="shared" ca="1" si="2"/>
        <v>17171.535</v>
      </c>
      <c r="J11" s="869">
        <f t="shared" ca="1" si="2"/>
        <v>17171.535</v>
      </c>
      <c r="K11" s="869">
        <f t="shared" ca="1" si="2"/>
        <v>17171.535</v>
      </c>
      <c r="L11" s="869">
        <f t="shared" ca="1" si="2"/>
        <v>0</v>
      </c>
      <c r="M11" s="869">
        <f t="shared" ca="1" si="2"/>
        <v>0</v>
      </c>
      <c r="N11" s="869">
        <f t="shared" ca="1" si="2"/>
        <v>0</v>
      </c>
      <c r="O11" s="869">
        <f t="shared" ca="1" si="2"/>
        <v>0</v>
      </c>
      <c r="P11" s="869">
        <f t="shared" ca="1" si="2"/>
        <v>0</v>
      </c>
      <c r="Q11" s="869">
        <f t="shared" ca="1" si="2"/>
        <v>0</v>
      </c>
      <c r="R11" s="869">
        <f t="shared" ca="1" si="2"/>
        <v>0</v>
      </c>
      <c r="S11" s="869">
        <f t="shared" ca="1" si="2"/>
        <v>0</v>
      </c>
      <c r="T11" s="869">
        <f t="shared" ca="1" si="2"/>
        <v>0</v>
      </c>
      <c r="U11" s="869">
        <f t="shared" ca="1" si="2"/>
        <v>0</v>
      </c>
      <c r="V11" s="869">
        <f t="shared" ca="1" si="2"/>
        <v>0</v>
      </c>
      <c r="W11" s="869">
        <f t="shared" ca="1" si="2"/>
        <v>0</v>
      </c>
      <c r="X11" s="121">
        <f ca="1">SUM(F11:W11)</f>
        <v>171715.35</v>
      </c>
      <c r="Y11" s="118">
        <f ca="1">TRUNC(X11-D10*E11,2)</f>
        <v>0</v>
      </c>
      <c r="Z11" s="709">
        <f ca="1">+X11/D10</f>
        <v>1.0000000000000002</v>
      </c>
    </row>
    <row r="12" spans="1:28" s="119" customFormat="1" ht="18" hidden="1" customHeight="1" thickBot="1" x14ac:dyDescent="0.2">
      <c r="A12" s="2417"/>
      <c r="B12" s="2420"/>
      <c r="C12" s="1657"/>
      <c r="D12" s="1651" t="s">
        <v>142</v>
      </c>
      <c r="E12" s="708">
        <f>1-E11</f>
        <v>0</v>
      </c>
      <c r="F12" s="868">
        <f ca="1">($D10*F10-F11)</f>
        <v>0</v>
      </c>
      <c r="G12" s="868">
        <f t="shared" ref="G12:W12" ca="1" si="3">($D10*G10-G11)</f>
        <v>0</v>
      </c>
      <c r="H12" s="868">
        <f t="shared" ca="1" si="3"/>
        <v>0</v>
      </c>
      <c r="I12" s="868">
        <f t="shared" ca="1" si="3"/>
        <v>0</v>
      </c>
      <c r="J12" s="868">
        <f t="shared" ca="1" si="3"/>
        <v>0</v>
      </c>
      <c r="K12" s="868">
        <f t="shared" ca="1" si="3"/>
        <v>0</v>
      </c>
      <c r="L12" s="868">
        <f t="shared" ca="1" si="3"/>
        <v>0</v>
      </c>
      <c r="M12" s="868">
        <f t="shared" ca="1" si="3"/>
        <v>0</v>
      </c>
      <c r="N12" s="868">
        <f t="shared" ca="1" si="3"/>
        <v>0</v>
      </c>
      <c r="O12" s="868">
        <f t="shared" ca="1" si="3"/>
        <v>0</v>
      </c>
      <c r="P12" s="868">
        <f t="shared" ca="1" si="3"/>
        <v>0</v>
      </c>
      <c r="Q12" s="868">
        <f t="shared" ca="1" si="3"/>
        <v>0</v>
      </c>
      <c r="R12" s="868">
        <f t="shared" ca="1" si="3"/>
        <v>0</v>
      </c>
      <c r="S12" s="868">
        <f t="shared" ca="1" si="3"/>
        <v>0</v>
      </c>
      <c r="T12" s="868">
        <f t="shared" ca="1" si="3"/>
        <v>0</v>
      </c>
      <c r="U12" s="868">
        <f t="shared" ca="1" si="3"/>
        <v>0</v>
      </c>
      <c r="V12" s="868">
        <f t="shared" ca="1" si="3"/>
        <v>0</v>
      </c>
      <c r="W12" s="868">
        <f t="shared" ca="1" si="3"/>
        <v>0</v>
      </c>
      <c r="X12" s="122">
        <f ca="1">SUM(F12:W12)</f>
        <v>0</v>
      </c>
      <c r="Y12" s="118">
        <f ca="1">+D10-X11-X12</f>
        <v>-2.9103830456733704E-11</v>
      </c>
    </row>
    <row r="13" spans="1:28" s="119" customFormat="1" ht="9.9499999999999993" customHeight="1" x14ac:dyDescent="0.15">
      <c r="A13" s="2415">
        <f ca="1">Orçamento_Não_Deson!B14</f>
        <v>2</v>
      </c>
      <c r="B13" s="2418" t="str">
        <f>Orçamento_Não_Deson!C14</f>
        <v>REMOÇÕES, DEMOLIÇÕES E SUPRESSÕES</v>
      </c>
      <c r="C13" s="1656"/>
      <c r="D13" s="1652"/>
      <c r="E13" s="116"/>
      <c r="F13" s="870">
        <f t="shared" ref="F13:M13" si="4">F14</f>
        <v>0.5</v>
      </c>
      <c r="G13" s="870">
        <f t="shared" si="4"/>
        <v>0.5</v>
      </c>
      <c r="H13" s="870">
        <f t="shared" si="4"/>
        <v>0</v>
      </c>
      <c r="I13" s="870">
        <f t="shared" si="4"/>
        <v>0</v>
      </c>
      <c r="J13" s="870">
        <f t="shared" si="4"/>
        <v>0</v>
      </c>
      <c r="K13" s="870">
        <f t="shared" si="4"/>
        <v>0</v>
      </c>
      <c r="L13" s="870">
        <f t="shared" si="4"/>
        <v>0</v>
      </c>
      <c r="M13" s="870">
        <f t="shared" si="4"/>
        <v>0</v>
      </c>
      <c r="N13" s="870">
        <f>N14</f>
        <v>0</v>
      </c>
      <c r="O13" s="870">
        <f t="shared" ref="O13:W13" si="5">O14</f>
        <v>0</v>
      </c>
      <c r="P13" s="870">
        <f t="shared" si="5"/>
        <v>0</v>
      </c>
      <c r="Q13" s="870">
        <f t="shared" si="5"/>
        <v>0</v>
      </c>
      <c r="R13" s="870">
        <f t="shared" si="5"/>
        <v>0</v>
      </c>
      <c r="S13" s="870">
        <f t="shared" si="5"/>
        <v>0</v>
      </c>
      <c r="T13" s="870">
        <f t="shared" si="5"/>
        <v>0</v>
      </c>
      <c r="U13" s="870">
        <f t="shared" si="5"/>
        <v>0</v>
      </c>
      <c r="V13" s="870">
        <f t="shared" si="5"/>
        <v>0</v>
      </c>
      <c r="W13" s="870">
        <f t="shared" si="5"/>
        <v>0</v>
      </c>
      <c r="X13" s="117"/>
      <c r="Y13" s="707">
        <f>+D14-X15-X16</f>
        <v>0</v>
      </c>
    </row>
    <row r="14" spans="1:28" s="119" customFormat="1" ht="18" customHeight="1" x14ac:dyDescent="0.15">
      <c r="A14" s="2416"/>
      <c r="B14" s="2419"/>
      <c r="C14" s="1656" t="str">
        <f>CONCATENATE(Orçamento_Não_Deson!H14," ",Orçamento_Não_Deson!I14)</f>
        <v>858,19 M</v>
      </c>
      <c r="D14" s="2437">
        <f>Orçamento_Não_Deson!J14</f>
        <v>39105.550000000003</v>
      </c>
      <c r="E14" s="2438"/>
      <c r="F14" s="2080">
        <v>0.5</v>
      </c>
      <c r="G14" s="2080">
        <v>0.5</v>
      </c>
      <c r="H14" s="2080"/>
      <c r="I14" s="2080"/>
      <c r="J14" s="2080"/>
      <c r="K14" s="2080"/>
      <c r="L14" s="694"/>
      <c r="M14" s="694"/>
      <c r="N14" s="694"/>
      <c r="O14" s="694"/>
      <c r="P14" s="694"/>
      <c r="Q14" s="694"/>
      <c r="R14" s="694"/>
      <c r="S14" s="694"/>
      <c r="T14" s="694"/>
      <c r="U14" s="694"/>
      <c r="V14" s="694"/>
      <c r="W14" s="694"/>
      <c r="X14" s="120">
        <f>SUM(F14:W14)</f>
        <v>1</v>
      </c>
      <c r="Y14" s="585">
        <f>1-X14</f>
        <v>0</v>
      </c>
      <c r="AA14" s="710">
        <f>+COUNT(F14:W14)</f>
        <v>2</v>
      </c>
    </row>
    <row r="15" spans="1:28" s="119" customFormat="1" ht="18" customHeight="1" thickBot="1" x14ac:dyDescent="0.2">
      <c r="A15" s="2416"/>
      <c r="B15" s="2419"/>
      <c r="C15" s="1658">
        <f>INT(SUM(Orçamento_Não_Deson!O64:O73)/240)+1</f>
        <v>1</v>
      </c>
      <c r="D15" s="1687" t="s">
        <v>141</v>
      </c>
      <c r="E15" s="1688">
        <f>D$88</f>
        <v>1</v>
      </c>
      <c r="F15" s="869">
        <f t="shared" ref="F15:W15" si="6">IF($D14=0,0,IF(F14=0,0,($E15*$D14*F14)+$AA$92))</f>
        <v>19552.775000000001</v>
      </c>
      <c r="G15" s="869">
        <f t="shared" si="6"/>
        <v>19552.775000000001</v>
      </c>
      <c r="H15" s="869">
        <f t="shared" si="6"/>
        <v>0</v>
      </c>
      <c r="I15" s="869">
        <f t="shared" si="6"/>
        <v>0</v>
      </c>
      <c r="J15" s="869">
        <f t="shared" si="6"/>
        <v>0</v>
      </c>
      <c r="K15" s="869">
        <f t="shared" si="6"/>
        <v>0</v>
      </c>
      <c r="L15" s="869">
        <f t="shared" si="6"/>
        <v>0</v>
      </c>
      <c r="M15" s="869">
        <f t="shared" si="6"/>
        <v>0</v>
      </c>
      <c r="N15" s="869">
        <f t="shared" si="6"/>
        <v>0</v>
      </c>
      <c r="O15" s="869">
        <f t="shared" si="6"/>
        <v>0</v>
      </c>
      <c r="P15" s="869">
        <f t="shared" si="6"/>
        <v>0</v>
      </c>
      <c r="Q15" s="869">
        <f t="shared" si="6"/>
        <v>0</v>
      </c>
      <c r="R15" s="869">
        <f t="shared" si="6"/>
        <v>0</v>
      </c>
      <c r="S15" s="869">
        <f t="shared" si="6"/>
        <v>0</v>
      </c>
      <c r="T15" s="869">
        <f t="shared" si="6"/>
        <v>0</v>
      </c>
      <c r="U15" s="869">
        <f t="shared" si="6"/>
        <v>0</v>
      </c>
      <c r="V15" s="869">
        <f t="shared" si="6"/>
        <v>0</v>
      </c>
      <c r="W15" s="869">
        <f t="shared" si="6"/>
        <v>0</v>
      </c>
      <c r="X15" s="121">
        <f>SUM(F15:W15)</f>
        <v>39105.550000000003</v>
      </c>
      <c r="Y15" s="118">
        <f>TRUNC(X15-D14*E15,2)</f>
        <v>0</v>
      </c>
      <c r="Z15" s="709">
        <f>+X15/D14</f>
        <v>1</v>
      </c>
    </row>
    <row r="16" spans="1:28" s="119" customFormat="1" ht="18" hidden="1" customHeight="1" thickBot="1" x14ac:dyDescent="0.2">
      <c r="A16" s="2417"/>
      <c r="B16" s="2420"/>
      <c r="C16" s="1657"/>
      <c r="D16" s="1651" t="s">
        <v>142</v>
      </c>
      <c r="E16" s="708">
        <f>1-E15</f>
        <v>0</v>
      </c>
      <c r="F16" s="868">
        <f>($D14*F14-F15)</f>
        <v>0</v>
      </c>
      <c r="G16" s="868">
        <f t="shared" ref="G16" si="7">($D14*G14-G15)</f>
        <v>0</v>
      </c>
      <c r="H16" s="868">
        <f t="shared" ref="H16" si="8">($D14*H14-H15)</f>
        <v>0</v>
      </c>
      <c r="I16" s="868">
        <f t="shared" ref="I16" si="9">($D14*I14-I15)</f>
        <v>0</v>
      </c>
      <c r="J16" s="868">
        <f t="shared" ref="J16" si="10">($D14*J14-J15)</f>
        <v>0</v>
      </c>
      <c r="K16" s="868">
        <f t="shared" ref="K16" si="11">($D14*K14-K15)</f>
        <v>0</v>
      </c>
      <c r="L16" s="868">
        <f t="shared" ref="L16" si="12">($D14*L14-L15)</f>
        <v>0</v>
      </c>
      <c r="M16" s="868">
        <f t="shared" ref="M16" si="13">($D14*M14-M15)</f>
        <v>0</v>
      </c>
      <c r="N16" s="868">
        <f t="shared" ref="N16" si="14">($D14*N14-N15)</f>
        <v>0</v>
      </c>
      <c r="O16" s="868">
        <f t="shared" ref="O16" si="15">($D14*O14-O15)</f>
        <v>0</v>
      </c>
      <c r="P16" s="868">
        <f t="shared" ref="P16" si="16">($D14*P14-P15)</f>
        <v>0</v>
      </c>
      <c r="Q16" s="868">
        <f t="shared" ref="Q16" si="17">($D14*Q14-Q15)</f>
        <v>0</v>
      </c>
      <c r="R16" s="868">
        <f t="shared" ref="R16" si="18">($D14*R14-R15)</f>
        <v>0</v>
      </c>
      <c r="S16" s="868">
        <f t="shared" ref="S16" si="19">($D14*S14-S15)</f>
        <v>0</v>
      </c>
      <c r="T16" s="868">
        <f t="shared" ref="T16" si="20">($D14*T14-T15)</f>
        <v>0</v>
      </c>
      <c r="U16" s="868">
        <f t="shared" ref="U16" si="21">($D14*U14-U15)</f>
        <v>0</v>
      </c>
      <c r="V16" s="868">
        <f t="shared" ref="V16" si="22">($D14*V14-V15)</f>
        <v>0</v>
      </c>
      <c r="W16" s="868">
        <f t="shared" ref="W16" si="23">($D14*W14-W15)</f>
        <v>0</v>
      </c>
      <c r="X16" s="122">
        <f>SUM(F16:W16)</f>
        <v>0</v>
      </c>
      <c r="Y16" s="118">
        <f>+D14-X15-X16</f>
        <v>0</v>
      </c>
    </row>
    <row r="17" spans="1:27" s="119" customFormat="1" ht="9.9499999999999993" customHeight="1" x14ac:dyDescent="0.15">
      <c r="A17" s="2415">
        <f ca="1">Orçamento_Não_Deson!B15</f>
        <v>3</v>
      </c>
      <c r="B17" s="2418" t="str">
        <f>Orçamento_Não_Deson!C15</f>
        <v>MICRODRENAGEM - TERRAPLENAGEM</v>
      </c>
      <c r="C17" s="1656"/>
      <c r="D17" s="1652"/>
      <c r="E17" s="116"/>
      <c r="F17" s="870">
        <f t="shared" ref="F17:M17" si="24">F18</f>
        <v>0.25</v>
      </c>
      <c r="G17" s="870">
        <f t="shared" si="24"/>
        <v>0.2</v>
      </c>
      <c r="H17" s="870">
        <f t="shared" si="24"/>
        <v>0.2</v>
      </c>
      <c r="I17" s="870">
        <f t="shared" si="24"/>
        <v>0.15</v>
      </c>
      <c r="J17" s="870">
        <f t="shared" si="24"/>
        <v>0.1</v>
      </c>
      <c r="K17" s="870">
        <f t="shared" si="24"/>
        <v>0.1</v>
      </c>
      <c r="L17" s="870">
        <f t="shared" si="24"/>
        <v>0</v>
      </c>
      <c r="M17" s="870">
        <f t="shared" si="24"/>
        <v>0</v>
      </c>
      <c r="N17" s="870">
        <f>N18</f>
        <v>0</v>
      </c>
      <c r="O17" s="870">
        <f t="shared" ref="O17:W17" si="25">O18</f>
        <v>0</v>
      </c>
      <c r="P17" s="870">
        <f t="shared" si="25"/>
        <v>0</v>
      </c>
      <c r="Q17" s="870">
        <f t="shared" si="25"/>
        <v>0</v>
      </c>
      <c r="R17" s="870">
        <f t="shared" si="25"/>
        <v>0</v>
      </c>
      <c r="S17" s="870">
        <f t="shared" si="25"/>
        <v>0</v>
      </c>
      <c r="T17" s="870">
        <f t="shared" si="25"/>
        <v>0</v>
      </c>
      <c r="U17" s="870">
        <f t="shared" si="25"/>
        <v>0</v>
      </c>
      <c r="V17" s="870">
        <f t="shared" si="25"/>
        <v>0</v>
      </c>
      <c r="W17" s="870">
        <f t="shared" si="25"/>
        <v>0</v>
      </c>
      <c r="X17" s="117"/>
      <c r="Y17" s="707">
        <f ca="1">+D18-X19-X20</f>
        <v>0</v>
      </c>
    </row>
    <row r="18" spans="1:27" s="119" customFormat="1" ht="18" customHeight="1" x14ac:dyDescent="0.15">
      <c r="A18" s="2416"/>
      <c r="B18" s="2419"/>
      <c r="C18" s="1656" t="str">
        <f ca="1">CONCATENATE(Orçamento_Não_Deson!H15," ",Orçamento_Não_Deson!I15)</f>
        <v>2041,07 M3</v>
      </c>
      <c r="D18" s="2437">
        <f ca="1">Orçamento_Não_Deson!J15</f>
        <v>143972.27999999997</v>
      </c>
      <c r="E18" s="2438"/>
      <c r="F18" s="694">
        <v>0.25</v>
      </c>
      <c r="G18" s="694">
        <v>0.2</v>
      </c>
      <c r="H18" s="694">
        <v>0.2</v>
      </c>
      <c r="I18" s="694">
        <v>0.15</v>
      </c>
      <c r="J18" s="694">
        <v>0.1</v>
      </c>
      <c r="K18" s="694">
        <v>0.1</v>
      </c>
      <c r="L18" s="694"/>
      <c r="M18" s="694"/>
      <c r="N18" s="694"/>
      <c r="O18" s="694"/>
      <c r="P18" s="694"/>
      <c r="Q18" s="694"/>
      <c r="R18" s="694"/>
      <c r="S18" s="694"/>
      <c r="T18" s="694"/>
      <c r="U18" s="694"/>
      <c r="V18" s="694"/>
      <c r="W18" s="694"/>
      <c r="X18" s="120">
        <f>SUM(F18:W18)</f>
        <v>1</v>
      </c>
      <c r="Y18" s="585">
        <f>1-X18</f>
        <v>0</v>
      </c>
      <c r="AA18" s="710">
        <f>+COUNT(F18:W18)</f>
        <v>6</v>
      </c>
    </row>
    <row r="19" spans="1:27" s="119" customFormat="1" ht="18" customHeight="1" thickBot="1" x14ac:dyDescent="0.2">
      <c r="A19" s="2416"/>
      <c r="B19" s="2419"/>
      <c r="C19" s="1658">
        <f ca="1">ROUND(SUM(Orçamento_Não_Deson!O104:O125)/240,1)</f>
        <v>0.6</v>
      </c>
      <c r="D19" s="1687" t="s">
        <v>141</v>
      </c>
      <c r="E19" s="1688">
        <f>D$88</f>
        <v>1</v>
      </c>
      <c r="F19" s="869">
        <f t="shared" ref="F19:W19" ca="1" si="26">IF($D18=0,0,IF(F18=0,0,($E19*$D18*F18)+$AA$92))</f>
        <v>35993.069999999992</v>
      </c>
      <c r="G19" s="869">
        <f t="shared" ca="1" si="26"/>
        <v>28794.455999999995</v>
      </c>
      <c r="H19" s="869">
        <f t="shared" ca="1" si="26"/>
        <v>28794.455999999995</v>
      </c>
      <c r="I19" s="869">
        <f t="shared" ca="1" si="26"/>
        <v>21595.841999999993</v>
      </c>
      <c r="J19" s="869">
        <f t="shared" ca="1" si="26"/>
        <v>14397.227999999997</v>
      </c>
      <c r="K19" s="869">
        <f t="shared" ca="1" si="26"/>
        <v>14397.227999999997</v>
      </c>
      <c r="L19" s="869">
        <f t="shared" ca="1" si="26"/>
        <v>0</v>
      </c>
      <c r="M19" s="869">
        <f t="shared" ca="1" si="26"/>
        <v>0</v>
      </c>
      <c r="N19" s="869">
        <f t="shared" ca="1" si="26"/>
        <v>0</v>
      </c>
      <c r="O19" s="869">
        <f t="shared" ca="1" si="26"/>
        <v>0</v>
      </c>
      <c r="P19" s="869">
        <f t="shared" ca="1" si="26"/>
        <v>0</v>
      </c>
      <c r="Q19" s="869">
        <f t="shared" ca="1" si="26"/>
        <v>0</v>
      </c>
      <c r="R19" s="869">
        <f t="shared" ca="1" si="26"/>
        <v>0</v>
      </c>
      <c r="S19" s="869">
        <f t="shared" ca="1" si="26"/>
        <v>0</v>
      </c>
      <c r="T19" s="869">
        <f t="shared" ca="1" si="26"/>
        <v>0</v>
      </c>
      <c r="U19" s="869">
        <f t="shared" ca="1" si="26"/>
        <v>0</v>
      </c>
      <c r="V19" s="869">
        <f t="shared" ca="1" si="26"/>
        <v>0</v>
      </c>
      <c r="W19" s="869">
        <f t="shared" ca="1" si="26"/>
        <v>0</v>
      </c>
      <c r="X19" s="121">
        <f ca="1">SUM(F19:W19)</f>
        <v>143972.27999999997</v>
      </c>
      <c r="Y19" s="118">
        <f ca="1">TRUNC(X19-D18*E19,2)</f>
        <v>0</v>
      </c>
      <c r="Z19" s="709">
        <f ca="1">+X19/D18</f>
        <v>1</v>
      </c>
    </row>
    <row r="20" spans="1:27" s="119" customFormat="1" ht="18" hidden="1" customHeight="1" thickBot="1" x14ac:dyDescent="0.2">
      <c r="A20" s="2417"/>
      <c r="B20" s="2420"/>
      <c r="C20" s="1657"/>
      <c r="D20" s="1651" t="s">
        <v>142</v>
      </c>
      <c r="E20" s="708">
        <f>1-E19</f>
        <v>0</v>
      </c>
      <c r="F20" s="868">
        <f ca="1">($D18*F18-F19)</f>
        <v>0</v>
      </c>
      <c r="G20" s="868">
        <f t="shared" ref="G20" ca="1" si="27">($D18*G18-G19)</f>
        <v>0</v>
      </c>
      <c r="H20" s="868">
        <f t="shared" ref="H20" ca="1" si="28">($D18*H18-H19)</f>
        <v>0</v>
      </c>
      <c r="I20" s="868">
        <f t="shared" ref="I20" ca="1" si="29">($D18*I18-I19)</f>
        <v>0</v>
      </c>
      <c r="J20" s="868">
        <f t="shared" ref="J20" ca="1" si="30">($D18*J18-J19)</f>
        <v>0</v>
      </c>
      <c r="K20" s="868">
        <f t="shared" ref="K20" ca="1" si="31">($D18*K18-K19)</f>
        <v>0</v>
      </c>
      <c r="L20" s="868">
        <f t="shared" ref="L20" ca="1" si="32">($D18*L18-L19)</f>
        <v>0</v>
      </c>
      <c r="M20" s="868">
        <f t="shared" ref="M20" ca="1" si="33">($D18*M18-M19)</f>
        <v>0</v>
      </c>
      <c r="N20" s="868">
        <f t="shared" ref="N20" ca="1" si="34">($D18*N18-N19)</f>
        <v>0</v>
      </c>
      <c r="O20" s="868">
        <f t="shared" ref="O20" ca="1" si="35">($D18*O18-O19)</f>
        <v>0</v>
      </c>
      <c r="P20" s="868">
        <f t="shared" ref="P20" ca="1" si="36">($D18*P18-P19)</f>
        <v>0</v>
      </c>
      <c r="Q20" s="868">
        <f t="shared" ref="Q20" ca="1" si="37">($D18*Q18-Q19)</f>
        <v>0</v>
      </c>
      <c r="R20" s="868">
        <f t="shared" ref="R20" ca="1" si="38">($D18*R18-R19)</f>
        <v>0</v>
      </c>
      <c r="S20" s="868">
        <f t="shared" ref="S20" ca="1" si="39">($D18*S18-S19)</f>
        <v>0</v>
      </c>
      <c r="T20" s="868">
        <f t="shared" ref="T20" ca="1" si="40">($D18*T18-T19)</f>
        <v>0</v>
      </c>
      <c r="U20" s="868">
        <f t="shared" ref="U20" ca="1" si="41">($D18*U18-U19)</f>
        <v>0</v>
      </c>
      <c r="V20" s="868">
        <f t="shared" ref="V20" ca="1" si="42">($D18*V18-V19)</f>
        <v>0</v>
      </c>
      <c r="W20" s="868">
        <f t="shared" ref="W20" ca="1" si="43">($D18*W18-W19)</f>
        <v>0</v>
      </c>
      <c r="X20" s="122">
        <f ca="1">SUM(F20:W20)</f>
        <v>0</v>
      </c>
      <c r="Y20" s="118">
        <f ca="1">+D18-X19-X20</f>
        <v>0</v>
      </c>
    </row>
    <row r="21" spans="1:27" s="119" customFormat="1" ht="9.9499999999999993" customHeight="1" x14ac:dyDescent="0.15">
      <c r="A21" s="2415">
        <f ca="1">Orçamento_Não_Deson!B16</f>
        <v>4</v>
      </c>
      <c r="B21" s="2418" t="str">
        <f>Orçamento_Não_Deson!C16</f>
        <v>MICRODRENAGEM - GALERIAS</v>
      </c>
      <c r="C21" s="1656"/>
      <c r="D21" s="1652"/>
      <c r="E21" s="116"/>
      <c r="F21" s="870">
        <f t="shared" ref="F21:M21" si="44">F22</f>
        <v>0.25</v>
      </c>
      <c r="G21" s="870">
        <f t="shared" si="44"/>
        <v>0.2</v>
      </c>
      <c r="H21" s="870">
        <f t="shared" si="44"/>
        <v>0.2</v>
      </c>
      <c r="I21" s="870">
        <f t="shared" si="44"/>
        <v>0.15</v>
      </c>
      <c r="J21" s="870">
        <f t="shared" si="44"/>
        <v>0.1</v>
      </c>
      <c r="K21" s="870">
        <f t="shared" si="44"/>
        <v>0.1</v>
      </c>
      <c r="L21" s="870">
        <f t="shared" si="44"/>
        <v>0</v>
      </c>
      <c r="M21" s="870">
        <f t="shared" si="44"/>
        <v>0</v>
      </c>
      <c r="N21" s="870">
        <f>N22</f>
        <v>0</v>
      </c>
      <c r="O21" s="870">
        <f t="shared" ref="O21:W21" si="45">O22</f>
        <v>0</v>
      </c>
      <c r="P21" s="870">
        <f t="shared" si="45"/>
        <v>0</v>
      </c>
      <c r="Q21" s="870">
        <f t="shared" si="45"/>
        <v>0</v>
      </c>
      <c r="R21" s="870">
        <f t="shared" si="45"/>
        <v>0</v>
      </c>
      <c r="S21" s="870">
        <f t="shared" si="45"/>
        <v>0</v>
      </c>
      <c r="T21" s="870">
        <f t="shared" si="45"/>
        <v>0</v>
      </c>
      <c r="U21" s="870">
        <f t="shared" si="45"/>
        <v>0</v>
      </c>
      <c r="V21" s="870">
        <f t="shared" si="45"/>
        <v>0</v>
      </c>
      <c r="W21" s="870">
        <f t="shared" si="45"/>
        <v>0</v>
      </c>
      <c r="X21" s="117"/>
      <c r="Y21" s="707">
        <f ca="1">+D22-X23-X24</f>
        <v>0</v>
      </c>
    </row>
    <row r="22" spans="1:27" s="119" customFormat="1" ht="18" customHeight="1" x14ac:dyDescent="0.15">
      <c r="A22" s="2416"/>
      <c r="B22" s="2419"/>
      <c r="C22" s="1656" t="str">
        <f ca="1">CONCATENATE(Orçamento_Não_Deson!H16," ",Orçamento_Não_Deson!I16)</f>
        <v>604,81 M</v>
      </c>
      <c r="D22" s="2437">
        <f ca="1">Orçamento_Não_Deson!J16</f>
        <v>213732.21</v>
      </c>
      <c r="E22" s="2438"/>
      <c r="F22" s="694">
        <v>0.25</v>
      </c>
      <c r="G22" s="694">
        <v>0.2</v>
      </c>
      <c r="H22" s="694">
        <v>0.2</v>
      </c>
      <c r="I22" s="694">
        <v>0.15</v>
      </c>
      <c r="J22" s="694">
        <v>0.1</v>
      </c>
      <c r="K22" s="694">
        <v>0.1</v>
      </c>
      <c r="L22" s="694"/>
      <c r="M22" s="694"/>
      <c r="N22" s="694"/>
      <c r="O22" s="694"/>
      <c r="P22" s="694"/>
      <c r="Q22" s="694"/>
      <c r="R22" s="694"/>
      <c r="S22" s="694"/>
      <c r="T22" s="694"/>
      <c r="U22" s="694"/>
      <c r="V22" s="694"/>
      <c r="W22" s="694"/>
      <c r="X22" s="120">
        <f>SUM(F22:W22)</f>
        <v>1</v>
      </c>
      <c r="Y22" s="585">
        <f>1-X22</f>
        <v>0</v>
      </c>
      <c r="AA22" s="710">
        <f>+COUNT(F22:W22)</f>
        <v>6</v>
      </c>
    </row>
    <row r="23" spans="1:27" s="119" customFormat="1" ht="18" customHeight="1" thickBot="1" x14ac:dyDescent="0.2">
      <c r="A23" s="2416"/>
      <c r="B23" s="2419"/>
      <c r="C23" s="1658">
        <f ca="1">ROUND((SUM(Orçamento_Não_Deson!O196:O207)+SUM(Orçamento_Não_Deson!O217:O241))/240,1)</f>
        <v>0.9</v>
      </c>
      <c r="D23" s="1687" t="s">
        <v>141</v>
      </c>
      <c r="E23" s="1688">
        <f>D$88</f>
        <v>1</v>
      </c>
      <c r="F23" s="869">
        <f t="shared" ref="F23:W23" ca="1" si="46">IF($D22=0,0,IF(F22=0,0,($E23*$D22*F22)+$AA$92))</f>
        <v>53433.052499999998</v>
      </c>
      <c r="G23" s="869">
        <f t="shared" ca="1" si="46"/>
        <v>42746.442000000003</v>
      </c>
      <c r="H23" s="869">
        <f t="shared" ca="1" si="46"/>
        <v>42746.442000000003</v>
      </c>
      <c r="I23" s="869">
        <f t="shared" ca="1" si="46"/>
        <v>32059.831499999997</v>
      </c>
      <c r="J23" s="869">
        <f t="shared" ca="1" si="46"/>
        <v>21373.221000000001</v>
      </c>
      <c r="K23" s="869">
        <f t="shared" ca="1" si="46"/>
        <v>21373.221000000001</v>
      </c>
      <c r="L23" s="869">
        <f t="shared" ca="1" si="46"/>
        <v>0</v>
      </c>
      <c r="M23" s="869">
        <f t="shared" ca="1" si="46"/>
        <v>0</v>
      </c>
      <c r="N23" s="869">
        <f t="shared" ca="1" si="46"/>
        <v>0</v>
      </c>
      <c r="O23" s="869">
        <f t="shared" ca="1" si="46"/>
        <v>0</v>
      </c>
      <c r="P23" s="869">
        <f t="shared" ca="1" si="46"/>
        <v>0</v>
      </c>
      <c r="Q23" s="869">
        <f t="shared" ca="1" si="46"/>
        <v>0</v>
      </c>
      <c r="R23" s="869">
        <f t="shared" ca="1" si="46"/>
        <v>0</v>
      </c>
      <c r="S23" s="869">
        <f t="shared" ca="1" si="46"/>
        <v>0</v>
      </c>
      <c r="T23" s="869">
        <f t="shared" ca="1" si="46"/>
        <v>0</v>
      </c>
      <c r="U23" s="869">
        <f t="shared" ca="1" si="46"/>
        <v>0</v>
      </c>
      <c r="V23" s="869">
        <f t="shared" ca="1" si="46"/>
        <v>0</v>
      </c>
      <c r="W23" s="869">
        <f t="shared" ca="1" si="46"/>
        <v>0</v>
      </c>
      <c r="X23" s="121">
        <f ca="1">SUM(F23:W23)</f>
        <v>213732.21</v>
      </c>
      <c r="Y23" s="118">
        <f ca="1">TRUNC(X23-D22*E23,2)</f>
        <v>0</v>
      </c>
      <c r="Z23" s="709">
        <f ca="1">+X23/D22</f>
        <v>1</v>
      </c>
    </row>
    <row r="24" spans="1:27" s="119" customFormat="1" ht="18" hidden="1" customHeight="1" thickBot="1" x14ac:dyDescent="0.2">
      <c r="A24" s="2417"/>
      <c r="B24" s="2420"/>
      <c r="C24" s="1657"/>
      <c r="D24" s="1651" t="s">
        <v>142</v>
      </c>
      <c r="E24" s="708">
        <f>1-E23</f>
        <v>0</v>
      </c>
      <c r="F24" s="868">
        <f ca="1">($D22*F22-F23)</f>
        <v>0</v>
      </c>
      <c r="G24" s="868">
        <f t="shared" ref="G24" ca="1" si="47">($D22*G22-G23)</f>
        <v>0</v>
      </c>
      <c r="H24" s="868">
        <f t="shared" ref="H24" ca="1" si="48">($D22*H22-H23)</f>
        <v>0</v>
      </c>
      <c r="I24" s="868">
        <f t="shared" ref="I24" ca="1" si="49">($D22*I22-I23)</f>
        <v>0</v>
      </c>
      <c r="J24" s="868">
        <f t="shared" ref="J24" ca="1" si="50">($D22*J22-J23)</f>
        <v>0</v>
      </c>
      <c r="K24" s="868">
        <f t="shared" ref="K24" ca="1" si="51">($D22*K22-K23)</f>
        <v>0</v>
      </c>
      <c r="L24" s="868">
        <f t="shared" ref="L24" ca="1" si="52">($D22*L22-L23)</f>
        <v>0</v>
      </c>
      <c r="M24" s="868">
        <f t="shared" ref="M24" ca="1" si="53">($D22*M22-M23)</f>
        <v>0</v>
      </c>
      <c r="N24" s="868">
        <f t="shared" ref="N24" ca="1" si="54">($D22*N22-N23)</f>
        <v>0</v>
      </c>
      <c r="O24" s="868">
        <f t="shared" ref="O24" ca="1" si="55">($D22*O22-O23)</f>
        <v>0</v>
      </c>
      <c r="P24" s="868">
        <f t="shared" ref="P24" ca="1" si="56">($D22*P22-P23)</f>
        <v>0</v>
      </c>
      <c r="Q24" s="868">
        <f t="shared" ref="Q24" ca="1" si="57">($D22*Q22-Q23)</f>
        <v>0</v>
      </c>
      <c r="R24" s="868">
        <f t="shared" ref="R24" ca="1" si="58">($D22*R22-R23)</f>
        <v>0</v>
      </c>
      <c r="S24" s="868">
        <f t="shared" ref="S24" ca="1" si="59">($D22*S22-S23)</f>
        <v>0</v>
      </c>
      <c r="T24" s="868">
        <f t="shared" ref="T24" ca="1" si="60">($D22*T22-T23)</f>
        <v>0</v>
      </c>
      <c r="U24" s="868">
        <f t="shared" ref="U24" ca="1" si="61">($D22*U22-U23)</f>
        <v>0</v>
      </c>
      <c r="V24" s="868">
        <f t="shared" ref="V24" ca="1" si="62">($D22*V22-V23)</f>
        <v>0</v>
      </c>
      <c r="W24" s="868">
        <f t="shared" ref="W24" ca="1" si="63">($D22*W22-W23)</f>
        <v>0</v>
      </c>
      <c r="X24" s="122">
        <f ca="1">SUM(F24:W24)</f>
        <v>0</v>
      </c>
      <c r="Y24" s="118">
        <f ca="1">+D22-X23-X24</f>
        <v>0</v>
      </c>
    </row>
    <row r="25" spans="1:27" s="119" customFormat="1" ht="9.9499999999999993" customHeight="1" x14ac:dyDescent="0.15">
      <c r="A25" s="2415">
        <f ca="1">Orçamento_Não_Deson!B17</f>
        <v>5</v>
      </c>
      <c r="B25" s="2418" t="str">
        <f>Orçamento_Não_Deson!C17</f>
        <v>MICRODRENAGEM - DISPOSITIVOS AUXILIARES</v>
      </c>
      <c r="C25" s="1656"/>
      <c r="D25" s="1652"/>
      <c r="E25" s="116"/>
      <c r="F25" s="870">
        <f t="shared" ref="F25:M25" si="64">F26</f>
        <v>0.25</v>
      </c>
      <c r="G25" s="870">
        <f t="shared" si="64"/>
        <v>0.2</v>
      </c>
      <c r="H25" s="870">
        <f t="shared" si="64"/>
        <v>0.2</v>
      </c>
      <c r="I25" s="870">
        <f t="shared" si="64"/>
        <v>0.15</v>
      </c>
      <c r="J25" s="870">
        <f t="shared" si="64"/>
        <v>0.1</v>
      </c>
      <c r="K25" s="870">
        <f t="shared" si="64"/>
        <v>0.1</v>
      </c>
      <c r="L25" s="870">
        <f t="shared" si="64"/>
        <v>0</v>
      </c>
      <c r="M25" s="870">
        <f t="shared" si="64"/>
        <v>0</v>
      </c>
      <c r="N25" s="870">
        <f>N26</f>
        <v>0</v>
      </c>
      <c r="O25" s="870">
        <f t="shared" ref="O25:W25" si="65">O26</f>
        <v>0</v>
      </c>
      <c r="P25" s="870">
        <f t="shared" si="65"/>
        <v>0</v>
      </c>
      <c r="Q25" s="870">
        <f t="shared" si="65"/>
        <v>0</v>
      </c>
      <c r="R25" s="870">
        <f t="shared" si="65"/>
        <v>0</v>
      </c>
      <c r="S25" s="870">
        <f t="shared" si="65"/>
        <v>0</v>
      </c>
      <c r="T25" s="870">
        <f t="shared" si="65"/>
        <v>0</v>
      </c>
      <c r="U25" s="870">
        <f t="shared" si="65"/>
        <v>0</v>
      </c>
      <c r="V25" s="870">
        <f t="shared" si="65"/>
        <v>0</v>
      </c>
      <c r="W25" s="870">
        <f t="shared" si="65"/>
        <v>0</v>
      </c>
      <c r="X25" s="117"/>
      <c r="Y25" s="707">
        <f ca="1">+D26-X27-X28</f>
        <v>0</v>
      </c>
    </row>
    <row r="26" spans="1:27" s="119" customFormat="1" ht="18" customHeight="1" x14ac:dyDescent="0.15">
      <c r="A26" s="2416"/>
      <c r="B26" s="2419"/>
      <c r="C26" s="1656" t="str">
        <f>CONCATENATE(Orçamento_Não_Deson!H17," ",Orçamento_Não_Deson!I17)</f>
        <v>42 UN</v>
      </c>
      <c r="D26" s="2437">
        <f ca="1">Orçamento_Não_Deson!J17</f>
        <v>254417.2</v>
      </c>
      <c r="E26" s="2438"/>
      <c r="F26" s="694">
        <v>0.25</v>
      </c>
      <c r="G26" s="694">
        <v>0.2</v>
      </c>
      <c r="H26" s="694">
        <v>0.2</v>
      </c>
      <c r="I26" s="694">
        <v>0.15</v>
      </c>
      <c r="J26" s="694">
        <v>0.1</v>
      </c>
      <c r="K26" s="694">
        <v>0.1</v>
      </c>
      <c r="L26" s="694"/>
      <c r="M26" s="694"/>
      <c r="N26" s="694"/>
      <c r="O26" s="694"/>
      <c r="P26" s="694"/>
      <c r="Q26" s="694"/>
      <c r="R26" s="694"/>
      <c r="S26" s="694"/>
      <c r="T26" s="694"/>
      <c r="U26" s="694"/>
      <c r="V26" s="694"/>
      <c r="W26" s="694"/>
      <c r="X26" s="120">
        <f>SUM(F26:W26)</f>
        <v>1</v>
      </c>
      <c r="Y26" s="585">
        <f>1-X26</f>
        <v>0</v>
      </c>
      <c r="AA26" s="710">
        <f>+COUNT(F26:W26)</f>
        <v>6</v>
      </c>
    </row>
    <row r="27" spans="1:27" s="119" customFormat="1" ht="18" customHeight="1" thickBot="1" x14ac:dyDescent="0.2">
      <c r="A27" s="2416"/>
      <c r="B27" s="2419"/>
      <c r="C27" s="1658">
        <f ca="1">Orçamento_Não_Deson!N17</f>
        <v>2</v>
      </c>
      <c r="D27" s="1687" t="s">
        <v>141</v>
      </c>
      <c r="E27" s="1688">
        <f>D$88</f>
        <v>1</v>
      </c>
      <c r="F27" s="869">
        <f t="shared" ref="F27:W27" ca="1" si="66">IF($D26=0,0,IF(F26=0,0,($E27*$D26*F26)+$AA$92))</f>
        <v>63604.3</v>
      </c>
      <c r="G27" s="869">
        <f t="shared" ca="1" si="66"/>
        <v>50883.44</v>
      </c>
      <c r="H27" s="869">
        <f t="shared" ca="1" si="66"/>
        <v>50883.44</v>
      </c>
      <c r="I27" s="869">
        <f t="shared" ca="1" si="66"/>
        <v>38162.58</v>
      </c>
      <c r="J27" s="869">
        <f t="shared" ca="1" si="66"/>
        <v>25441.72</v>
      </c>
      <c r="K27" s="869">
        <f t="shared" ca="1" si="66"/>
        <v>25441.72</v>
      </c>
      <c r="L27" s="869">
        <f t="shared" ca="1" si="66"/>
        <v>0</v>
      </c>
      <c r="M27" s="869">
        <f t="shared" ca="1" si="66"/>
        <v>0</v>
      </c>
      <c r="N27" s="869">
        <f t="shared" ca="1" si="66"/>
        <v>0</v>
      </c>
      <c r="O27" s="869">
        <f t="shared" ca="1" si="66"/>
        <v>0</v>
      </c>
      <c r="P27" s="869">
        <f t="shared" ca="1" si="66"/>
        <v>0</v>
      </c>
      <c r="Q27" s="869">
        <f t="shared" ca="1" si="66"/>
        <v>0</v>
      </c>
      <c r="R27" s="869">
        <f t="shared" ca="1" si="66"/>
        <v>0</v>
      </c>
      <c r="S27" s="869">
        <f t="shared" ca="1" si="66"/>
        <v>0</v>
      </c>
      <c r="T27" s="869">
        <f t="shared" ca="1" si="66"/>
        <v>0</v>
      </c>
      <c r="U27" s="869">
        <f t="shared" ca="1" si="66"/>
        <v>0</v>
      </c>
      <c r="V27" s="869">
        <f t="shared" ca="1" si="66"/>
        <v>0</v>
      </c>
      <c r="W27" s="869">
        <f t="shared" ca="1" si="66"/>
        <v>0</v>
      </c>
      <c r="X27" s="121">
        <f ca="1">SUM(F27:W27)</f>
        <v>254417.2</v>
      </c>
      <c r="Y27" s="118">
        <f ca="1">TRUNC(X27-D26*E27,2)</f>
        <v>0</v>
      </c>
      <c r="Z27" s="709">
        <f ca="1">+X27/D26</f>
        <v>1</v>
      </c>
    </row>
    <row r="28" spans="1:27" s="119" customFormat="1" ht="18" hidden="1" customHeight="1" thickBot="1" x14ac:dyDescent="0.2">
      <c r="A28" s="2417"/>
      <c r="B28" s="2420"/>
      <c r="C28" s="1657"/>
      <c r="D28" s="1651" t="s">
        <v>142</v>
      </c>
      <c r="E28" s="708">
        <f>1-E27</f>
        <v>0</v>
      </c>
      <c r="F28" s="868">
        <f ca="1">($D26*F26-F27)</f>
        <v>0</v>
      </c>
      <c r="G28" s="868">
        <f t="shared" ref="G28" ca="1" si="67">($D26*G26-G27)</f>
        <v>0</v>
      </c>
      <c r="H28" s="868">
        <f t="shared" ref="H28" ca="1" si="68">($D26*H26-H27)</f>
        <v>0</v>
      </c>
      <c r="I28" s="868">
        <f t="shared" ref="I28" ca="1" si="69">($D26*I26-I27)</f>
        <v>0</v>
      </c>
      <c r="J28" s="868">
        <f t="shared" ref="J28" ca="1" si="70">($D26*J26-J27)</f>
        <v>0</v>
      </c>
      <c r="K28" s="868">
        <f t="shared" ref="K28" ca="1" si="71">($D26*K26-K27)</f>
        <v>0</v>
      </c>
      <c r="L28" s="868">
        <f t="shared" ref="L28" ca="1" si="72">($D26*L26-L27)</f>
        <v>0</v>
      </c>
      <c r="M28" s="868">
        <f t="shared" ref="M28" ca="1" si="73">($D26*M26-M27)</f>
        <v>0</v>
      </c>
      <c r="N28" s="868">
        <f t="shared" ref="N28" ca="1" si="74">($D26*N26-N27)</f>
        <v>0</v>
      </c>
      <c r="O28" s="868">
        <f t="shared" ref="O28" ca="1" si="75">($D26*O26-O27)</f>
        <v>0</v>
      </c>
      <c r="P28" s="868">
        <f t="shared" ref="P28" ca="1" si="76">($D26*P26-P27)</f>
        <v>0</v>
      </c>
      <c r="Q28" s="868">
        <f t="shared" ref="Q28" ca="1" si="77">($D26*Q26-Q27)</f>
        <v>0</v>
      </c>
      <c r="R28" s="868">
        <f t="shared" ref="R28" ca="1" si="78">($D26*R26-R27)</f>
        <v>0</v>
      </c>
      <c r="S28" s="868">
        <f t="shared" ref="S28" ca="1" si="79">($D26*S26-S27)</f>
        <v>0</v>
      </c>
      <c r="T28" s="868">
        <f t="shared" ref="T28" ca="1" si="80">($D26*T26-T27)</f>
        <v>0</v>
      </c>
      <c r="U28" s="868">
        <f t="shared" ref="U28" ca="1" si="81">($D26*U26-U27)</f>
        <v>0</v>
      </c>
      <c r="V28" s="868">
        <f t="shared" ref="V28" ca="1" si="82">($D26*V26-V27)</f>
        <v>0</v>
      </c>
      <c r="W28" s="868">
        <f t="shared" ref="W28" ca="1" si="83">($D26*W26-W27)</f>
        <v>0</v>
      </c>
      <c r="X28" s="122">
        <f ca="1">SUM(F28:W28)</f>
        <v>0</v>
      </c>
      <c r="Y28" s="118">
        <f ca="1">+D26-X27-X28</f>
        <v>0</v>
      </c>
    </row>
    <row r="29" spans="1:27" s="119" customFormat="1" ht="9.9499999999999993" hidden="1" customHeight="1" x14ac:dyDescent="0.15">
      <c r="A29" s="2415">
        <f ca="1">Orçamento_Não_Deson!B18</f>
        <v>5</v>
      </c>
      <c r="B29" s="2418" t="str">
        <f>Orçamento_Não_Deson!C18</f>
        <v>MICRODRENAGEM - SERVIÇOS DE ESTRUTURAS</v>
      </c>
      <c r="C29" s="1656"/>
      <c r="D29" s="1652"/>
      <c r="E29" s="116"/>
      <c r="F29" s="870">
        <f t="shared" ref="F29:M29" si="84">F30</f>
        <v>0</v>
      </c>
      <c r="G29" s="870">
        <f t="shared" si="84"/>
        <v>0</v>
      </c>
      <c r="H29" s="870">
        <f t="shared" si="84"/>
        <v>0</v>
      </c>
      <c r="I29" s="870">
        <f t="shared" si="84"/>
        <v>0</v>
      </c>
      <c r="J29" s="870">
        <f t="shared" si="84"/>
        <v>0</v>
      </c>
      <c r="K29" s="870">
        <f t="shared" si="84"/>
        <v>0</v>
      </c>
      <c r="L29" s="870">
        <f t="shared" si="84"/>
        <v>0</v>
      </c>
      <c r="M29" s="870">
        <f t="shared" si="84"/>
        <v>0</v>
      </c>
      <c r="N29" s="870">
        <f>N30</f>
        <v>0</v>
      </c>
      <c r="O29" s="870">
        <f t="shared" ref="O29:W29" si="85">O30</f>
        <v>0</v>
      </c>
      <c r="P29" s="870">
        <f t="shared" si="85"/>
        <v>0</v>
      </c>
      <c r="Q29" s="870">
        <f t="shared" si="85"/>
        <v>0</v>
      </c>
      <c r="R29" s="870">
        <f t="shared" si="85"/>
        <v>0</v>
      </c>
      <c r="S29" s="870">
        <f t="shared" si="85"/>
        <v>0</v>
      </c>
      <c r="T29" s="870">
        <f t="shared" si="85"/>
        <v>0</v>
      </c>
      <c r="U29" s="870">
        <f t="shared" si="85"/>
        <v>0</v>
      </c>
      <c r="V29" s="870">
        <f t="shared" si="85"/>
        <v>0</v>
      </c>
      <c r="W29" s="870">
        <f t="shared" si="85"/>
        <v>0</v>
      </c>
      <c r="X29" s="117"/>
      <c r="Y29" s="707">
        <f>+D30-X31-X32</f>
        <v>0</v>
      </c>
    </row>
    <row r="30" spans="1:27" s="119" customFormat="1" ht="18" hidden="1" customHeight="1" x14ac:dyDescent="0.15">
      <c r="A30" s="2416"/>
      <c r="B30" s="2419"/>
      <c r="C30" s="1656" t="str">
        <f>CONCATENATE(Orçamento_Não_Deson!H18," ",Orçamento_Não_Deson!I18)</f>
        <v>0 M3</v>
      </c>
      <c r="D30" s="2437">
        <f>Orçamento_Não_Deson!J18</f>
        <v>0</v>
      </c>
      <c r="E30" s="2438"/>
      <c r="F30" s="2080"/>
      <c r="G30" s="2080"/>
      <c r="H30" s="2080"/>
      <c r="I30" s="2080"/>
      <c r="J30" s="2080"/>
      <c r="K30" s="2080"/>
      <c r="L30" s="694"/>
      <c r="M30" s="694"/>
      <c r="N30" s="694"/>
      <c r="O30" s="694"/>
      <c r="P30" s="694"/>
      <c r="Q30" s="694"/>
      <c r="R30" s="694"/>
      <c r="S30" s="694"/>
      <c r="T30" s="694"/>
      <c r="U30" s="694"/>
      <c r="V30" s="694"/>
      <c r="W30" s="694"/>
      <c r="X30" s="120">
        <f>SUM(F30:W30)</f>
        <v>0</v>
      </c>
      <c r="Y30" s="585">
        <f>1-X30</f>
        <v>1</v>
      </c>
      <c r="AA30" s="710">
        <f>+COUNT(F30:W30)</f>
        <v>0</v>
      </c>
    </row>
    <row r="31" spans="1:27" s="119" customFormat="1" ht="18" hidden="1" customHeight="1" x14ac:dyDescent="0.15">
      <c r="A31" s="2416"/>
      <c r="B31" s="2419"/>
      <c r="C31" s="1656"/>
      <c r="D31" s="1687" t="s">
        <v>141</v>
      </c>
      <c r="E31" s="1688">
        <f>D$88</f>
        <v>1</v>
      </c>
      <c r="F31" s="869">
        <f t="shared" ref="F31:W31" si="86">IF($D30=0,0,IF(F30=0,0,($E31*$D30*F30)+$AA$92))</f>
        <v>0</v>
      </c>
      <c r="G31" s="869">
        <f t="shared" si="86"/>
        <v>0</v>
      </c>
      <c r="H31" s="869">
        <f t="shared" si="86"/>
        <v>0</v>
      </c>
      <c r="I31" s="869">
        <f t="shared" si="86"/>
        <v>0</v>
      </c>
      <c r="J31" s="869">
        <f t="shared" si="86"/>
        <v>0</v>
      </c>
      <c r="K31" s="869">
        <f t="shared" si="86"/>
        <v>0</v>
      </c>
      <c r="L31" s="869">
        <f t="shared" si="86"/>
        <v>0</v>
      </c>
      <c r="M31" s="869">
        <f t="shared" si="86"/>
        <v>0</v>
      </c>
      <c r="N31" s="869">
        <f t="shared" si="86"/>
        <v>0</v>
      </c>
      <c r="O31" s="869">
        <f t="shared" si="86"/>
        <v>0</v>
      </c>
      <c r="P31" s="869">
        <f t="shared" si="86"/>
        <v>0</v>
      </c>
      <c r="Q31" s="869">
        <f t="shared" si="86"/>
        <v>0</v>
      </c>
      <c r="R31" s="869">
        <f t="shared" si="86"/>
        <v>0</v>
      </c>
      <c r="S31" s="869">
        <f t="shared" si="86"/>
        <v>0</v>
      </c>
      <c r="T31" s="869">
        <f t="shared" si="86"/>
        <v>0</v>
      </c>
      <c r="U31" s="869">
        <f t="shared" si="86"/>
        <v>0</v>
      </c>
      <c r="V31" s="869">
        <f t="shared" si="86"/>
        <v>0</v>
      </c>
      <c r="W31" s="869">
        <f t="shared" si="86"/>
        <v>0</v>
      </c>
      <c r="X31" s="121">
        <f>SUM(F31:W31)</f>
        <v>0</v>
      </c>
      <c r="Y31" s="118">
        <f>TRUNC(X31-D30*E31,2)</f>
        <v>0</v>
      </c>
      <c r="Z31" s="709" t="e">
        <f>+X31/D30</f>
        <v>#DIV/0!</v>
      </c>
    </row>
    <row r="32" spans="1:27" s="119" customFormat="1" ht="18" hidden="1" customHeight="1" thickBot="1" x14ac:dyDescent="0.2">
      <c r="A32" s="2417"/>
      <c r="B32" s="2420"/>
      <c r="C32" s="1657"/>
      <c r="D32" s="1651" t="s">
        <v>142</v>
      </c>
      <c r="E32" s="708">
        <f>1-E31</f>
        <v>0</v>
      </c>
      <c r="F32" s="868">
        <f>($D30*F30-F31)</f>
        <v>0</v>
      </c>
      <c r="G32" s="868">
        <f t="shared" ref="G32" si="87">($D30*G30-G31)</f>
        <v>0</v>
      </c>
      <c r="H32" s="868">
        <f t="shared" ref="H32" si="88">($D30*H30-H31)</f>
        <v>0</v>
      </c>
      <c r="I32" s="868">
        <f t="shared" ref="I32" si="89">($D30*I30-I31)</f>
        <v>0</v>
      </c>
      <c r="J32" s="868">
        <f t="shared" ref="J32" si="90">($D30*J30-J31)</f>
        <v>0</v>
      </c>
      <c r="K32" s="868">
        <f t="shared" ref="K32" si="91">($D30*K30-K31)</f>
        <v>0</v>
      </c>
      <c r="L32" s="868">
        <f t="shared" ref="L32" si="92">($D30*L30-L31)</f>
        <v>0</v>
      </c>
      <c r="M32" s="868">
        <f t="shared" ref="M32" si="93">($D30*M30-M31)</f>
        <v>0</v>
      </c>
      <c r="N32" s="868">
        <f t="shared" ref="N32" si="94">($D30*N30-N31)</f>
        <v>0</v>
      </c>
      <c r="O32" s="868">
        <f t="shared" ref="O32" si="95">($D30*O30-O31)</f>
        <v>0</v>
      </c>
      <c r="P32" s="868">
        <f t="shared" ref="P32" si="96">($D30*P30-P31)</f>
        <v>0</v>
      </c>
      <c r="Q32" s="868">
        <f t="shared" ref="Q32" si="97">($D30*Q30-Q31)</f>
        <v>0</v>
      </c>
      <c r="R32" s="868">
        <f t="shared" ref="R32" si="98">($D30*R30-R31)</f>
        <v>0</v>
      </c>
      <c r="S32" s="868">
        <f t="shared" ref="S32" si="99">($D30*S30-S31)</f>
        <v>0</v>
      </c>
      <c r="T32" s="868">
        <f t="shared" ref="T32" si="100">($D30*T30-T31)</f>
        <v>0</v>
      </c>
      <c r="U32" s="868">
        <f t="shared" ref="U32" si="101">($D30*U30-U31)</f>
        <v>0</v>
      </c>
      <c r="V32" s="868">
        <f t="shared" ref="V32" si="102">($D30*V30-V31)</f>
        <v>0</v>
      </c>
      <c r="W32" s="868">
        <f t="shared" ref="W32" si="103">($D30*W30-W31)</f>
        <v>0</v>
      </c>
      <c r="X32" s="122">
        <f>SUM(F32:W32)</f>
        <v>0</v>
      </c>
      <c r="Y32" s="118">
        <f>+D30-X31-X32</f>
        <v>0</v>
      </c>
    </row>
    <row r="33" spans="1:27" s="119" customFormat="1" ht="9.9499999999999993" hidden="1" customHeight="1" x14ac:dyDescent="0.15">
      <c r="A33" s="2415">
        <f ca="1">Orçamento_Não_Deson!B19</f>
        <v>5</v>
      </c>
      <c r="B33" s="2418" t="str">
        <f>Orçamento_Não_Deson!C19</f>
        <v>MICRODRENAGEM - BACIA DE AMORTECIMENTO</v>
      </c>
      <c r="C33" s="1656"/>
      <c r="D33" s="1652"/>
      <c r="E33" s="116"/>
      <c r="F33" s="870">
        <f t="shared" ref="F33:M33" si="104">F34</f>
        <v>0</v>
      </c>
      <c r="G33" s="870">
        <f t="shared" si="104"/>
        <v>0</v>
      </c>
      <c r="H33" s="870">
        <f t="shared" si="104"/>
        <v>0</v>
      </c>
      <c r="I33" s="870">
        <f t="shared" si="104"/>
        <v>0</v>
      </c>
      <c r="J33" s="870">
        <f t="shared" si="104"/>
        <v>0</v>
      </c>
      <c r="K33" s="870">
        <f t="shared" si="104"/>
        <v>0</v>
      </c>
      <c r="L33" s="870">
        <f t="shared" si="104"/>
        <v>0</v>
      </c>
      <c r="M33" s="870">
        <f t="shared" si="104"/>
        <v>0</v>
      </c>
      <c r="N33" s="870">
        <f>N34</f>
        <v>0</v>
      </c>
      <c r="O33" s="870">
        <f t="shared" ref="O33:W33" si="105">O34</f>
        <v>0</v>
      </c>
      <c r="P33" s="870">
        <f t="shared" si="105"/>
        <v>0</v>
      </c>
      <c r="Q33" s="870">
        <f t="shared" si="105"/>
        <v>0</v>
      </c>
      <c r="R33" s="870">
        <f t="shared" si="105"/>
        <v>0</v>
      </c>
      <c r="S33" s="870">
        <f t="shared" si="105"/>
        <v>0</v>
      </c>
      <c r="T33" s="870">
        <f t="shared" si="105"/>
        <v>0</v>
      </c>
      <c r="U33" s="870">
        <f t="shared" si="105"/>
        <v>0</v>
      </c>
      <c r="V33" s="870">
        <f t="shared" si="105"/>
        <v>0</v>
      </c>
      <c r="W33" s="870">
        <f t="shared" si="105"/>
        <v>0</v>
      </c>
      <c r="X33" s="117"/>
      <c r="Y33" s="707">
        <f>+D34-X35-X36</f>
        <v>0</v>
      </c>
    </row>
    <row r="34" spans="1:27" s="119" customFormat="1" ht="18" hidden="1" customHeight="1" x14ac:dyDescent="0.15">
      <c r="A34" s="2416"/>
      <c r="B34" s="2419"/>
      <c r="C34" s="1656" t="str">
        <f>CONCATENATE(Orçamento_Não_Deson!H19," ",Orçamento_Não_Deson!I19)</f>
        <v>0 M3</v>
      </c>
      <c r="D34" s="2437">
        <f>Orçamento_Não_Deson!J19</f>
        <v>0</v>
      </c>
      <c r="E34" s="2438"/>
      <c r="F34" s="694"/>
      <c r="G34" s="694"/>
      <c r="H34" s="694"/>
      <c r="I34" s="694"/>
      <c r="J34" s="694"/>
      <c r="K34" s="694"/>
      <c r="L34" s="694"/>
      <c r="M34" s="694"/>
      <c r="N34" s="694"/>
      <c r="O34" s="694"/>
      <c r="P34" s="694"/>
      <c r="Q34" s="694"/>
      <c r="R34" s="694"/>
      <c r="S34" s="694"/>
      <c r="T34" s="694"/>
      <c r="U34" s="694"/>
      <c r="V34" s="694"/>
      <c r="W34" s="694"/>
      <c r="X34" s="120">
        <f>SUM(F34:W34)</f>
        <v>0</v>
      </c>
      <c r="Y34" s="585">
        <f>1-X34</f>
        <v>1</v>
      </c>
      <c r="AA34" s="710">
        <f>+COUNT(F34:W34)</f>
        <v>0</v>
      </c>
    </row>
    <row r="35" spans="1:27" s="119" customFormat="1" ht="18" hidden="1" customHeight="1" x14ac:dyDescent="0.15">
      <c r="A35" s="2416"/>
      <c r="B35" s="2419"/>
      <c r="C35" s="1658">
        <f>Orçamento_Não_Deson!N19</f>
        <v>0</v>
      </c>
      <c r="D35" s="1687" t="s">
        <v>141</v>
      </c>
      <c r="E35" s="1688">
        <f>D$88</f>
        <v>1</v>
      </c>
      <c r="F35" s="869">
        <f t="shared" ref="F35:W35" si="106">IF($D34=0,0,IF(F34=0,0,($E35*$D34*F34)+$AA$92))</f>
        <v>0</v>
      </c>
      <c r="G35" s="869">
        <f t="shared" si="106"/>
        <v>0</v>
      </c>
      <c r="H35" s="869">
        <f t="shared" si="106"/>
        <v>0</v>
      </c>
      <c r="I35" s="869">
        <f t="shared" si="106"/>
        <v>0</v>
      </c>
      <c r="J35" s="869">
        <f t="shared" si="106"/>
        <v>0</v>
      </c>
      <c r="K35" s="869">
        <f t="shared" si="106"/>
        <v>0</v>
      </c>
      <c r="L35" s="869">
        <f t="shared" si="106"/>
        <v>0</v>
      </c>
      <c r="M35" s="869">
        <f t="shared" si="106"/>
        <v>0</v>
      </c>
      <c r="N35" s="869">
        <f t="shared" si="106"/>
        <v>0</v>
      </c>
      <c r="O35" s="869">
        <f t="shared" si="106"/>
        <v>0</v>
      </c>
      <c r="P35" s="869">
        <f t="shared" si="106"/>
        <v>0</v>
      </c>
      <c r="Q35" s="869">
        <f t="shared" si="106"/>
        <v>0</v>
      </c>
      <c r="R35" s="869">
        <f t="shared" si="106"/>
        <v>0</v>
      </c>
      <c r="S35" s="869">
        <f t="shared" si="106"/>
        <v>0</v>
      </c>
      <c r="T35" s="869">
        <f t="shared" si="106"/>
        <v>0</v>
      </c>
      <c r="U35" s="869">
        <f t="shared" si="106"/>
        <v>0</v>
      </c>
      <c r="V35" s="869">
        <f t="shared" si="106"/>
        <v>0</v>
      </c>
      <c r="W35" s="869">
        <f t="shared" si="106"/>
        <v>0</v>
      </c>
      <c r="X35" s="121">
        <f>SUM(F35:W35)</f>
        <v>0</v>
      </c>
      <c r="Y35" s="118">
        <f>TRUNC(X35-D34*E35,2)</f>
        <v>0</v>
      </c>
      <c r="Z35" s="709" t="e">
        <f>+X35/D34</f>
        <v>#DIV/0!</v>
      </c>
    </row>
    <row r="36" spans="1:27" s="119" customFormat="1" ht="18" hidden="1" customHeight="1" thickBot="1" x14ac:dyDescent="0.2">
      <c r="A36" s="2417"/>
      <c r="B36" s="2420"/>
      <c r="C36" s="1657"/>
      <c r="D36" s="1651" t="s">
        <v>142</v>
      </c>
      <c r="E36" s="708">
        <f>1-E35</f>
        <v>0</v>
      </c>
      <c r="F36" s="868">
        <f>($D34*F34-F35)</f>
        <v>0</v>
      </c>
      <c r="G36" s="868">
        <f t="shared" ref="G36" si="107">($D34*G34-G35)</f>
        <v>0</v>
      </c>
      <c r="H36" s="868">
        <f t="shared" ref="H36" si="108">($D34*H34-H35)</f>
        <v>0</v>
      </c>
      <c r="I36" s="868">
        <f t="shared" ref="I36" si="109">($D34*I34-I35)</f>
        <v>0</v>
      </c>
      <c r="J36" s="868">
        <f t="shared" ref="J36" si="110">($D34*J34-J35)</f>
        <v>0</v>
      </c>
      <c r="K36" s="868">
        <f t="shared" ref="K36" si="111">($D34*K34-K35)</f>
        <v>0</v>
      </c>
      <c r="L36" s="868">
        <f t="shared" ref="L36" si="112">($D34*L34-L35)</f>
        <v>0</v>
      </c>
      <c r="M36" s="868">
        <f t="shared" ref="M36" si="113">($D34*M34-M35)</f>
        <v>0</v>
      </c>
      <c r="N36" s="868">
        <f t="shared" ref="N36" si="114">($D34*N34-N35)</f>
        <v>0</v>
      </c>
      <c r="O36" s="868">
        <f t="shared" ref="O36" si="115">($D34*O34-O35)</f>
        <v>0</v>
      </c>
      <c r="P36" s="868">
        <f t="shared" ref="P36" si="116">($D34*P34-P35)</f>
        <v>0</v>
      </c>
      <c r="Q36" s="868">
        <f t="shared" ref="Q36" si="117">($D34*Q34-Q35)</f>
        <v>0</v>
      </c>
      <c r="R36" s="868">
        <f t="shared" ref="R36" si="118">($D34*R34-R35)</f>
        <v>0</v>
      </c>
      <c r="S36" s="868">
        <f t="shared" ref="S36" si="119">($D34*S34-S35)</f>
        <v>0</v>
      </c>
      <c r="T36" s="868">
        <f t="shared" ref="T36" si="120">($D34*T34-T35)</f>
        <v>0</v>
      </c>
      <c r="U36" s="868">
        <f t="shared" ref="U36" si="121">($D34*U34-U35)</f>
        <v>0</v>
      </c>
      <c r="V36" s="868">
        <f t="shared" ref="V36" si="122">($D34*V34-V35)</f>
        <v>0</v>
      </c>
      <c r="W36" s="868">
        <f t="shared" ref="W36" si="123">($D34*W34-W35)</f>
        <v>0</v>
      </c>
      <c r="X36" s="122">
        <f>SUM(F36:W36)</f>
        <v>0</v>
      </c>
      <c r="Y36" s="118">
        <f>+D34-X35-X36</f>
        <v>0</v>
      </c>
    </row>
    <row r="37" spans="1:27" s="119" customFormat="1" ht="9.9499999999999993" hidden="1" customHeight="1" x14ac:dyDescent="0.15">
      <c r="A37" s="2415">
        <f ca="1">Orçamento_Não_Deson!B20</f>
        <v>5</v>
      </c>
      <c r="B37" s="2418" t="str">
        <f>Orçamento_Não_Deson!C20</f>
        <v>DRENAGEM DE LENÇOL FREÁTICO</v>
      </c>
      <c r="C37" s="1656"/>
      <c r="D37" s="1652"/>
      <c r="E37" s="116"/>
      <c r="F37" s="870">
        <f t="shared" ref="F37:M37" si="124">F38</f>
        <v>0</v>
      </c>
      <c r="G37" s="870">
        <f t="shared" si="124"/>
        <v>0</v>
      </c>
      <c r="H37" s="870">
        <f t="shared" si="124"/>
        <v>0</v>
      </c>
      <c r="I37" s="870">
        <f t="shared" si="124"/>
        <v>0</v>
      </c>
      <c r="J37" s="870">
        <f t="shared" si="124"/>
        <v>0</v>
      </c>
      <c r="K37" s="870">
        <f t="shared" si="124"/>
        <v>0</v>
      </c>
      <c r="L37" s="870">
        <f t="shared" si="124"/>
        <v>0</v>
      </c>
      <c r="M37" s="870">
        <f t="shared" si="124"/>
        <v>0</v>
      </c>
      <c r="N37" s="870">
        <f>N38</f>
        <v>0</v>
      </c>
      <c r="O37" s="870">
        <f t="shared" ref="O37:W37" si="125">O38</f>
        <v>0</v>
      </c>
      <c r="P37" s="870">
        <f t="shared" si="125"/>
        <v>0</v>
      </c>
      <c r="Q37" s="870">
        <f t="shared" si="125"/>
        <v>0</v>
      </c>
      <c r="R37" s="870">
        <f t="shared" si="125"/>
        <v>0</v>
      </c>
      <c r="S37" s="870">
        <f t="shared" si="125"/>
        <v>0</v>
      </c>
      <c r="T37" s="870">
        <f t="shared" si="125"/>
        <v>0</v>
      </c>
      <c r="U37" s="870">
        <f t="shared" si="125"/>
        <v>0</v>
      </c>
      <c r="V37" s="870">
        <f t="shared" si="125"/>
        <v>0</v>
      </c>
      <c r="W37" s="870">
        <f t="shared" si="125"/>
        <v>0</v>
      </c>
      <c r="X37" s="117"/>
      <c r="Y37" s="707">
        <f>+D38-X39-X40</f>
        <v>0</v>
      </c>
    </row>
    <row r="38" spans="1:27" s="119" customFormat="1" ht="18" hidden="1" customHeight="1" x14ac:dyDescent="0.15">
      <c r="A38" s="2416"/>
      <c r="B38" s="2419"/>
      <c r="C38" s="1656" t="str">
        <f>CONCATENATE(Orçamento_Não_Deson!H20," ",Orçamento_Não_Deson!I20)</f>
        <v>0 M</v>
      </c>
      <c r="D38" s="2437">
        <f>Orçamento_Não_Deson!J20</f>
        <v>0</v>
      </c>
      <c r="E38" s="2438"/>
      <c r="F38" s="694"/>
      <c r="G38" s="694"/>
      <c r="H38" s="694"/>
      <c r="I38" s="694"/>
      <c r="J38" s="694"/>
      <c r="K38" s="694"/>
      <c r="L38" s="694"/>
      <c r="M38" s="694"/>
      <c r="N38" s="694"/>
      <c r="O38" s="694"/>
      <c r="P38" s="694"/>
      <c r="Q38" s="694"/>
      <c r="R38" s="694"/>
      <c r="S38" s="694"/>
      <c r="T38" s="694"/>
      <c r="U38" s="694"/>
      <c r="V38" s="694"/>
      <c r="W38" s="694"/>
      <c r="X38" s="120">
        <f>SUM(F38:W38)</f>
        <v>0</v>
      </c>
      <c r="Y38" s="585">
        <f>1-X38</f>
        <v>1</v>
      </c>
      <c r="AA38" s="710">
        <f>+COUNT(F38:W38)</f>
        <v>0</v>
      </c>
    </row>
    <row r="39" spans="1:27" s="119" customFormat="1" ht="18" hidden="1" customHeight="1" x14ac:dyDescent="0.15">
      <c r="A39" s="2416"/>
      <c r="B39" s="2419"/>
      <c r="C39" s="1658">
        <f>ROUND(SUM(Orçamento_Não_Deson!O414:O423)/240,1)</f>
        <v>0</v>
      </c>
      <c r="D39" s="1687" t="s">
        <v>141</v>
      </c>
      <c r="E39" s="1688">
        <f>D$88</f>
        <v>1</v>
      </c>
      <c r="F39" s="869">
        <f t="shared" ref="F39:W39" si="126">IF($D38=0,0,IF(F38=0,0,($E39*$D38*F38)+$AA$92))</f>
        <v>0</v>
      </c>
      <c r="G39" s="869">
        <f t="shared" si="126"/>
        <v>0</v>
      </c>
      <c r="H39" s="869">
        <f t="shared" si="126"/>
        <v>0</v>
      </c>
      <c r="I39" s="869">
        <f t="shared" si="126"/>
        <v>0</v>
      </c>
      <c r="J39" s="869">
        <f t="shared" si="126"/>
        <v>0</v>
      </c>
      <c r="K39" s="869">
        <f t="shared" si="126"/>
        <v>0</v>
      </c>
      <c r="L39" s="869">
        <f t="shared" si="126"/>
        <v>0</v>
      </c>
      <c r="M39" s="869">
        <f t="shared" si="126"/>
        <v>0</v>
      </c>
      <c r="N39" s="869">
        <f t="shared" si="126"/>
        <v>0</v>
      </c>
      <c r="O39" s="869">
        <f t="shared" si="126"/>
        <v>0</v>
      </c>
      <c r="P39" s="869">
        <f t="shared" si="126"/>
        <v>0</v>
      </c>
      <c r="Q39" s="869">
        <f t="shared" si="126"/>
        <v>0</v>
      </c>
      <c r="R39" s="869">
        <f t="shared" si="126"/>
        <v>0</v>
      </c>
      <c r="S39" s="869">
        <f t="shared" si="126"/>
        <v>0</v>
      </c>
      <c r="T39" s="869">
        <f t="shared" si="126"/>
        <v>0</v>
      </c>
      <c r="U39" s="869">
        <f t="shared" si="126"/>
        <v>0</v>
      </c>
      <c r="V39" s="869">
        <f t="shared" si="126"/>
        <v>0</v>
      </c>
      <c r="W39" s="869">
        <f t="shared" si="126"/>
        <v>0</v>
      </c>
      <c r="X39" s="121">
        <f>SUM(F39:W39)</f>
        <v>0</v>
      </c>
      <c r="Y39" s="118">
        <f>TRUNC(X39-D38*E39,2)</f>
        <v>0</v>
      </c>
      <c r="Z39" s="709" t="e">
        <f>+X39/D38</f>
        <v>#DIV/0!</v>
      </c>
    </row>
    <row r="40" spans="1:27" s="119" customFormat="1" ht="18" hidden="1" customHeight="1" thickBot="1" x14ac:dyDescent="0.2">
      <c r="A40" s="2417"/>
      <c r="B40" s="2420"/>
      <c r="C40" s="1657"/>
      <c r="D40" s="1651" t="s">
        <v>142</v>
      </c>
      <c r="E40" s="708">
        <f>1-E39</f>
        <v>0</v>
      </c>
      <c r="F40" s="868">
        <f>($D38*F38-F39)</f>
        <v>0</v>
      </c>
      <c r="G40" s="868">
        <f t="shared" ref="G40" si="127">($D38*G38-G39)</f>
        <v>0</v>
      </c>
      <c r="H40" s="868">
        <f t="shared" ref="H40" si="128">($D38*H38-H39)</f>
        <v>0</v>
      </c>
      <c r="I40" s="868">
        <f t="shared" ref="I40" si="129">($D38*I38-I39)</f>
        <v>0</v>
      </c>
      <c r="J40" s="868">
        <f t="shared" ref="J40" si="130">($D38*J38-J39)</f>
        <v>0</v>
      </c>
      <c r="K40" s="868">
        <f t="shared" ref="K40" si="131">($D38*K38-K39)</f>
        <v>0</v>
      </c>
      <c r="L40" s="868">
        <f t="shared" ref="L40" si="132">($D38*L38-L39)</f>
        <v>0</v>
      </c>
      <c r="M40" s="868">
        <f t="shared" ref="M40" si="133">($D38*M38-M39)</f>
        <v>0</v>
      </c>
      <c r="N40" s="868">
        <f t="shared" ref="N40" si="134">($D38*N38-N39)</f>
        <v>0</v>
      </c>
      <c r="O40" s="868">
        <f t="shared" ref="O40" si="135">($D38*O38-O39)</f>
        <v>0</v>
      </c>
      <c r="P40" s="868">
        <f t="shared" ref="P40" si="136">($D38*P38-P39)</f>
        <v>0</v>
      </c>
      <c r="Q40" s="868">
        <f t="shared" ref="Q40" si="137">($D38*Q38-Q39)</f>
        <v>0</v>
      </c>
      <c r="R40" s="868">
        <f t="shared" ref="R40" si="138">($D38*R38-R39)</f>
        <v>0</v>
      </c>
      <c r="S40" s="868">
        <f t="shared" ref="S40" si="139">($D38*S38-S39)</f>
        <v>0</v>
      </c>
      <c r="T40" s="868">
        <f t="shared" ref="T40" si="140">($D38*T38-T39)</f>
        <v>0</v>
      </c>
      <c r="U40" s="868">
        <f t="shared" ref="U40" si="141">($D38*U38-U39)</f>
        <v>0</v>
      </c>
      <c r="V40" s="868">
        <f t="shared" ref="V40" si="142">($D38*V38-V39)</f>
        <v>0</v>
      </c>
      <c r="W40" s="868">
        <f t="shared" ref="W40" si="143">($D38*W38-W39)</f>
        <v>0</v>
      </c>
      <c r="X40" s="122">
        <f>SUM(F40:W40)</f>
        <v>0</v>
      </c>
      <c r="Y40" s="118">
        <f>+D38-X39-X40</f>
        <v>0</v>
      </c>
    </row>
    <row r="41" spans="1:27" s="119" customFormat="1" ht="9.9499999999999993" customHeight="1" x14ac:dyDescent="0.15">
      <c r="A41" s="2415">
        <f ca="1">Orçamento_Não_Deson!B21</f>
        <v>6</v>
      </c>
      <c r="B41" s="2418" t="str">
        <f>Orçamento_Não_Deson!C21</f>
        <v>MICRODRENAGEM - RECOMPOSIÇÃO DO PAVIMENTO</v>
      </c>
      <c r="C41" s="1656"/>
      <c r="D41" s="1652"/>
      <c r="E41" s="116"/>
      <c r="F41" s="870">
        <f t="shared" ref="F41:M41" si="144">F42</f>
        <v>0.5</v>
      </c>
      <c r="G41" s="870">
        <f t="shared" si="144"/>
        <v>0.5</v>
      </c>
      <c r="H41" s="870">
        <f t="shared" si="144"/>
        <v>0</v>
      </c>
      <c r="I41" s="870">
        <f t="shared" si="144"/>
        <v>0</v>
      </c>
      <c r="J41" s="870">
        <f t="shared" si="144"/>
        <v>0</v>
      </c>
      <c r="K41" s="870">
        <f t="shared" si="144"/>
        <v>0</v>
      </c>
      <c r="L41" s="870">
        <f t="shared" si="144"/>
        <v>0</v>
      </c>
      <c r="M41" s="870">
        <f t="shared" si="144"/>
        <v>0</v>
      </c>
      <c r="N41" s="870">
        <f>N42</f>
        <v>0</v>
      </c>
      <c r="O41" s="870">
        <f t="shared" ref="O41:W41" si="145">O42</f>
        <v>0</v>
      </c>
      <c r="P41" s="870">
        <f t="shared" si="145"/>
        <v>0</v>
      </c>
      <c r="Q41" s="870">
        <f t="shared" si="145"/>
        <v>0</v>
      </c>
      <c r="R41" s="870">
        <f t="shared" si="145"/>
        <v>0</v>
      </c>
      <c r="S41" s="870">
        <f t="shared" si="145"/>
        <v>0</v>
      </c>
      <c r="T41" s="870">
        <f t="shared" si="145"/>
        <v>0</v>
      </c>
      <c r="U41" s="870">
        <f t="shared" si="145"/>
        <v>0</v>
      </c>
      <c r="V41" s="870">
        <f t="shared" si="145"/>
        <v>0</v>
      </c>
      <c r="W41" s="870">
        <f t="shared" si="145"/>
        <v>0</v>
      </c>
      <c r="X41" s="117"/>
      <c r="Y41" s="707">
        <f>+D42-X43-X44</f>
        <v>0</v>
      </c>
    </row>
    <row r="42" spans="1:27" s="119" customFormat="1" ht="18" customHeight="1" x14ac:dyDescent="0.15">
      <c r="A42" s="2416"/>
      <c r="B42" s="2419"/>
      <c r="C42" s="1656" t="str">
        <f>CONCATENATE(Orçamento_Não_Deson!H21," ",Orçamento_Não_Deson!I21)</f>
        <v>5,6 M2</v>
      </c>
      <c r="D42" s="2427">
        <f>Orçamento_Não_Deson!J21</f>
        <v>618.7399999999999</v>
      </c>
      <c r="E42" s="2428"/>
      <c r="F42" s="2080">
        <v>0.5</v>
      </c>
      <c r="G42" s="694">
        <v>0.5</v>
      </c>
      <c r="H42" s="694"/>
      <c r="I42" s="694"/>
      <c r="J42" s="694"/>
      <c r="K42" s="694"/>
      <c r="L42" s="694"/>
      <c r="M42" s="694"/>
      <c r="N42" s="694"/>
      <c r="O42" s="694"/>
      <c r="P42" s="694"/>
      <c r="Q42" s="694"/>
      <c r="R42" s="694"/>
      <c r="S42" s="694"/>
      <c r="T42" s="694"/>
      <c r="U42" s="694"/>
      <c r="V42" s="694"/>
      <c r="W42" s="694"/>
      <c r="X42" s="120">
        <f>SUM(F42:W42)</f>
        <v>1</v>
      </c>
      <c r="Y42" s="585">
        <f>1-X42</f>
        <v>0</v>
      </c>
      <c r="AA42" s="710">
        <f>+COUNT(F42:W42)</f>
        <v>2</v>
      </c>
    </row>
    <row r="43" spans="1:27" s="119" customFormat="1" ht="18" customHeight="1" thickBot="1" x14ac:dyDescent="0.2">
      <c r="A43" s="2416"/>
      <c r="B43" s="2419"/>
      <c r="C43" s="1656"/>
      <c r="D43" s="1687" t="s">
        <v>141</v>
      </c>
      <c r="E43" s="1688">
        <f>D$88</f>
        <v>1</v>
      </c>
      <c r="F43" s="869">
        <f t="shared" ref="F43:W43" si="146">IF($D42=0,0,IF(F42=0,0,($E43*$D42*F42)+$AA$92))</f>
        <v>309.36999999999995</v>
      </c>
      <c r="G43" s="869">
        <f t="shared" si="146"/>
        <v>309.36999999999995</v>
      </c>
      <c r="H43" s="869">
        <f t="shared" si="146"/>
        <v>0</v>
      </c>
      <c r="I43" s="869">
        <f t="shared" si="146"/>
        <v>0</v>
      </c>
      <c r="J43" s="869">
        <f t="shared" si="146"/>
        <v>0</v>
      </c>
      <c r="K43" s="869">
        <f t="shared" si="146"/>
        <v>0</v>
      </c>
      <c r="L43" s="869">
        <f t="shared" si="146"/>
        <v>0</v>
      </c>
      <c r="M43" s="869">
        <f t="shared" si="146"/>
        <v>0</v>
      </c>
      <c r="N43" s="869">
        <f t="shared" si="146"/>
        <v>0</v>
      </c>
      <c r="O43" s="869">
        <f t="shared" si="146"/>
        <v>0</v>
      </c>
      <c r="P43" s="869">
        <f t="shared" si="146"/>
        <v>0</v>
      </c>
      <c r="Q43" s="869">
        <f t="shared" si="146"/>
        <v>0</v>
      </c>
      <c r="R43" s="869">
        <f t="shared" si="146"/>
        <v>0</v>
      </c>
      <c r="S43" s="869">
        <f t="shared" si="146"/>
        <v>0</v>
      </c>
      <c r="T43" s="869">
        <f t="shared" si="146"/>
        <v>0</v>
      </c>
      <c r="U43" s="869">
        <f t="shared" si="146"/>
        <v>0</v>
      </c>
      <c r="V43" s="869">
        <f t="shared" si="146"/>
        <v>0</v>
      </c>
      <c r="W43" s="869">
        <f t="shared" si="146"/>
        <v>0</v>
      </c>
      <c r="X43" s="121">
        <f>SUM(F43:W43)</f>
        <v>618.7399999999999</v>
      </c>
      <c r="Y43" s="118">
        <f>TRUNC(X43-D42*E43,2)</f>
        <v>0</v>
      </c>
      <c r="Z43" s="709">
        <f>+X43/D42</f>
        <v>1</v>
      </c>
    </row>
    <row r="44" spans="1:27" s="119" customFormat="1" ht="18" hidden="1" customHeight="1" thickBot="1" x14ac:dyDescent="0.2">
      <c r="A44" s="2417"/>
      <c r="B44" s="2420"/>
      <c r="C44" s="1657"/>
      <c r="D44" s="1653" t="s">
        <v>142</v>
      </c>
      <c r="E44" s="708">
        <f>1-E43</f>
        <v>0</v>
      </c>
      <c r="F44" s="868">
        <f>($D42*F42-F43)</f>
        <v>0</v>
      </c>
      <c r="G44" s="868">
        <f t="shared" ref="G44" si="147">($D42*G42-G43)</f>
        <v>0</v>
      </c>
      <c r="H44" s="868">
        <f t="shared" ref="H44" si="148">($D42*H42-H43)</f>
        <v>0</v>
      </c>
      <c r="I44" s="868">
        <f t="shared" ref="I44" si="149">($D42*I42-I43)</f>
        <v>0</v>
      </c>
      <c r="J44" s="868">
        <f t="shared" ref="J44" si="150">($D42*J42-J43)</f>
        <v>0</v>
      </c>
      <c r="K44" s="868">
        <f t="shared" ref="K44" si="151">($D42*K42-K43)</f>
        <v>0</v>
      </c>
      <c r="L44" s="868">
        <f t="shared" ref="L44" si="152">($D42*L42-L43)</f>
        <v>0</v>
      </c>
      <c r="M44" s="868">
        <f t="shared" ref="M44" si="153">($D42*M42-M43)</f>
        <v>0</v>
      </c>
      <c r="N44" s="868">
        <f t="shared" ref="N44" si="154">($D42*N42-N43)</f>
        <v>0</v>
      </c>
      <c r="O44" s="868">
        <f t="shared" ref="O44" si="155">($D42*O42-O43)</f>
        <v>0</v>
      </c>
      <c r="P44" s="868">
        <f t="shared" ref="P44" si="156">($D42*P42-P43)</f>
        <v>0</v>
      </c>
      <c r="Q44" s="868">
        <f t="shared" ref="Q44" si="157">($D42*Q42-Q43)</f>
        <v>0</v>
      </c>
      <c r="R44" s="868">
        <f t="shared" ref="R44" si="158">($D42*R42-R43)</f>
        <v>0</v>
      </c>
      <c r="S44" s="868">
        <f t="shared" ref="S44" si="159">($D42*S42-S43)</f>
        <v>0</v>
      </c>
      <c r="T44" s="868">
        <f t="shared" ref="T44" si="160">($D42*T42-T43)</f>
        <v>0</v>
      </c>
      <c r="U44" s="868">
        <f t="shared" ref="U44" si="161">($D42*U42-U43)</f>
        <v>0</v>
      </c>
      <c r="V44" s="868">
        <f t="shared" ref="V44" si="162">($D42*V42-V43)</f>
        <v>0</v>
      </c>
      <c r="W44" s="868">
        <f t="shared" ref="W44" si="163">($D42*W42-W43)</f>
        <v>0</v>
      </c>
      <c r="X44" s="122">
        <f>SUM(F44:W44)</f>
        <v>0</v>
      </c>
      <c r="Y44" s="118">
        <f>+D42-X43-X44</f>
        <v>0</v>
      </c>
    </row>
    <row r="45" spans="1:27" s="119" customFormat="1" ht="9.9499999999999993" hidden="1" customHeight="1" x14ac:dyDescent="0.15">
      <c r="A45" s="2415">
        <f ca="1">Orçamento_Não_Deson!B22</f>
        <v>6</v>
      </c>
      <c r="B45" s="2418" t="str">
        <f>Orçamento_Não_Deson!C22</f>
        <v>RESTAURAÇÃO DO PAVIMENTO - RECUPERAÇÃO PRÉVIA DO PAVIMENTO</v>
      </c>
      <c r="C45" s="1656"/>
      <c r="D45" s="1652"/>
      <c r="E45" s="116"/>
      <c r="F45" s="870">
        <f t="shared" ref="F45:M45" si="164">F46</f>
        <v>0</v>
      </c>
      <c r="G45" s="870">
        <f t="shared" si="164"/>
        <v>0</v>
      </c>
      <c r="H45" s="870">
        <f t="shared" si="164"/>
        <v>0</v>
      </c>
      <c r="I45" s="870">
        <f t="shared" si="164"/>
        <v>0</v>
      </c>
      <c r="J45" s="870">
        <f t="shared" si="164"/>
        <v>0</v>
      </c>
      <c r="K45" s="870">
        <f t="shared" si="164"/>
        <v>0</v>
      </c>
      <c r="L45" s="870">
        <f t="shared" si="164"/>
        <v>0</v>
      </c>
      <c r="M45" s="870">
        <f t="shared" si="164"/>
        <v>0</v>
      </c>
      <c r="N45" s="870">
        <f>N46</f>
        <v>0</v>
      </c>
      <c r="O45" s="870">
        <f t="shared" ref="O45:W45" si="165">O46</f>
        <v>0</v>
      </c>
      <c r="P45" s="870">
        <f t="shared" si="165"/>
        <v>0</v>
      </c>
      <c r="Q45" s="870">
        <f t="shared" si="165"/>
        <v>0</v>
      </c>
      <c r="R45" s="870">
        <f t="shared" si="165"/>
        <v>0</v>
      </c>
      <c r="S45" s="870">
        <f t="shared" si="165"/>
        <v>0</v>
      </c>
      <c r="T45" s="870">
        <f t="shared" si="165"/>
        <v>0</v>
      </c>
      <c r="U45" s="870">
        <f t="shared" si="165"/>
        <v>0</v>
      </c>
      <c r="V45" s="870">
        <f t="shared" si="165"/>
        <v>0</v>
      </c>
      <c r="W45" s="870">
        <f t="shared" si="165"/>
        <v>0</v>
      </c>
      <c r="X45" s="117"/>
      <c r="Y45" s="707">
        <f>+D46-X47-X48</f>
        <v>0</v>
      </c>
    </row>
    <row r="46" spans="1:27" s="119" customFormat="1" ht="18" hidden="1" customHeight="1" x14ac:dyDescent="0.15">
      <c r="A46" s="2416"/>
      <c r="B46" s="2419"/>
      <c r="C46" s="1656" t="str">
        <f>CONCATENATE(Orçamento_Não_Deson!H22," ",Orçamento_Não_Deson!I22)</f>
        <v>0 M2</v>
      </c>
      <c r="D46" s="2427">
        <f>Orçamento_Não_Deson!J22</f>
        <v>0</v>
      </c>
      <c r="E46" s="2428"/>
      <c r="F46" s="2080"/>
      <c r="G46" s="2080"/>
      <c r="H46" s="2080"/>
      <c r="I46" s="2080"/>
      <c r="J46" s="2080"/>
      <c r="K46" s="2080"/>
      <c r="L46" s="2080"/>
      <c r="M46" s="2080"/>
      <c r="N46" s="2080"/>
      <c r="O46" s="694"/>
      <c r="P46" s="694"/>
      <c r="Q46" s="694"/>
      <c r="R46" s="694"/>
      <c r="S46" s="694"/>
      <c r="T46" s="694"/>
      <c r="U46" s="694"/>
      <c r="V46" s="694"/>
      <c r="W46" s="694"/>
      <c r="X46" s="120">
        <f>SUM(F46:W46)</f>
        <v>0</v>
      </c>
      <c r="Y46" s="585">
        <f>1-X46</f>
        <v>1</v>
      </c>
      <c r="AA46" s="710">
        <f>+COUNT(F46:W46)</f>
        <v>0</v>
      </c>
    </row>
    <row r="47" spans="1:27" s="119" customFormat="1" ht="18" hidden="1" customHeight="1" x14ac:dyDescent="0.15">
      <c r="A47" s="2416"/>
      <c r="B47" s="2419"/>
      <c r="C47" s="1656"/>
      <c r="D47" s="1687" t="s">
        <v>141</v>
      </c>
      <c r="E47" s="1688">
        <f>D$88</f>
        <v>1</v>
      </c>
      <c r="F47" s="869">
        <f t="shared" ref="F47:W47" si="166">IF($D46=0,0,IF(F46=0,0,($E47*$D46*F46)+$AA$92))</f>
        <v>0</v>
      </c>
      <c r="G47" s="869">
        <f t="shared" si="166"/>
        <v>0</v>
      </c>
      <c r="H47" s="869">
        <f t="shared" si="166"/>
        <v>0</v>
      </c>
      <c r="I47" s="869">
        <f t="shared" si="166"/>
        <v>0</v>
      </c>
      <c r="J47" s="869">
        <f t="shared" si="166"/>
        <v>0</v>
      </c>
      <c r="K47" s="869">
        <f t="shared" si="166"/>
        <v>0</v>
      </c>
      <c r="L47" s="869">
        <f t="shared" si="166"/>
        <v>0</v>
      </c>
      <c r="M47" s="869">
        <f t="shared" si="166"/>
        <v>0</v>
      </c>
      <c r="N47" s="869">
        <f t="shared" si="166"/>
        <v>0</v>
      </c>
      <c r="O47" s="869">
        <f t="shared" si="166"/>
        <v>0</v>
      </c>
      <c r="P47" s="869">
        <f t="shared" si="166"/>
        <v>0</v>
      </c>
      <c r="Q47" s="869">
        <f t="shared" si="166"/>
        <v>0</v>
      </c>
      <c r="R47" s="869">
        <f t="shared" si="166"/>
        <v>0</v>
      </c>
      <c r="S47" s="869">
        <f t="shared" si="166"/>
        <v>0</v>
      </c>
      <c r="T47" s="869">
        <f t="shared" si="166"/>
        <v>0</v>
      </c>
      <c r="U47" s="869">
        <f t="shared" si="166"/>
        <v>0</v>
      </c>
      <c r="V47" s="869">
        <f t="shared" si="166"/>
        <v>0</v>
      </c>
      <c r="W47" s="869">
        <f t="shared" si="166"/>
        <v>0</v>
      </c>
      <c r="X47" s="121">
        <f>SUM(F47:W47)</f>
        <v>0</v>
      </c>
      <c r="Y47" s="118">
        <f>TRUNC(X47-D46*E47,2)</f>
        <v>0</v>
      </c>
      <c r="Z47" s="709" t="e">
        <f>+X47/D46</f>
        <v>#DIV/0!</v>
      </c>
    </row>
    <row r="48" spans="1:27" s="119" customFormat="1" ht="18" hidden="1" customHeight="1" thickBot="1" x14ac:dyDescent="0.2">
      <c r="A48" s="2417"/>
      <c r="B48" s="2420"/>
      <c r="C48" s="1657"/>
      <c r="D48" s="1653" t="s">
        <v>142</v>
      </c>
      <c r="E48" s="708">
        <f>1-E47</f>
        <v>0</v>
      </c>
      <c r="F48" s="868">
        <f>($D46*F46-F47)</f>
        <v>0</v>
      </c>
      <c r="G48" s="868">
        <f t="shared" ref="G48" si="167">($D46*G46-G47)</f>
        <v>0</v>
      </c>
      <c r="H48" s="868">
        <f t="shared" ref="H48" si="168">($D46*H46-H47)</f>
        <v>0</v>
      </c>
      <c r="I48" s="868">
        <f t="shared" ref="I48" si="169">($D46*I46-I47)</f>
        <v>0</v>
      </c>
      <c r="J48" s="868">
        <f t="shared" ref="J48" si="170">($D46*J46-J47)</f>
        <v>0</v>
      </c>
      <c r="K48" s="868">
        <f t="shared" ref="K48" si="171">($D46*K46-K47)</f>
        <v>0</v>
      </c>
      <c r="L48" s="868">
        <f t="shared" ref="L48" si="172">($D46*L46-L47)</f>
        <v>0</v>
      </c>
      <c r="M48" s="868">
        <f t="shared" ref="M48" si="173">($D46*M46-M47)</f>
        <v>0</v>
      </c>
      <c r="N48" s="868">
        <f t="shared" ref="N48" si="174">($D46*N46-N47)</f>
        <v>0</v>
      </c>
      <c r="O48" s="868">
        <f t="shared" ref="O48" si="175">($D46*O46-O47)</f>
        <v>0</v>
      </c>
      <c r="P48" s="868">
        <f t="shared" ref="P48" si="176">($D46*P46-P47)</f>
        <v>0</v>
      </c>
      <c r="Q48" s="868">
        <f t="shared" ref="Q48" si="177">($D46*Q46-Q47)</f>
        <v>0</v>
      </c>
      <c r="R48" s="868">
        <f t="shared" ref="R48" si="178">($D46*R46-R47)</f>
        <v>0</v>
      </c>
      <c r="S48" s="868">
        <f t="shared" ref="S48" si="179">($D46*S46-S47)</f>
        <v>0</v>
      </c>
      <c r="T48" s="868">
        <f t="shared" ref="T48" si="180">($D46*T46-T47)</f>
        <v>0</v>
      </c>
      <c r="U48" s="868">
        <f t="shared" ref="U48" si="181">($D46*U46-U47)</f>
        <v>0</v>
      </c>
      <c r="V48" s="868">
        <f t="shared" ref="V48" si="182">($D46*V46-V47)</f>
        <v>0</v>
      </c>
      <c r="W48" s="868">
        <f t="shared" ref="W48" si="183">($D46*W46-W47)</f>
        <v>0</v>
      </c>
      <c r="X48" s="122">
        <f>SUM(F48:W48)</f>
        <v>0</v>
      </c>
      <c r="Y48" s="118">
        <f>+D46-X47-X48</f>
        <v>0</v>
      </c>
    </row>
    <row r="49" spans="1:27" s="119" customFormat="1" ht="9.9499999999999993" hidden="1" customHeight="1" x14ac:dyDescent="0.15">
      <c r="A49" s="2415">
        <f ca="1">Orçamento_Não_Deson!B23</f>
        <v>6</v>
      </c>
      <c r="B49" s="2418" t="str">
        <f>Orçamento_Não_Deson!C23</f>
        <v>RESTAURAÇÃO DO PAVIMENTO - RECAPEAMENTO ASFÁLTICO</v>
      </c>
      <c r="C49" s="1656"/>
      <c r="D49" s="1652"/>
      <c r="E49" s="116"/>
      <c r="F49" s="870">
        <f t="shared" ref="F49:M49" si="184">F50</f>
        <v>0</v>
      </c>
      <c r="G49" s="870">
        <f t="shared" si="184"/>
        <v>0</v>
      </c>
      <c r="H49" s="870">
        <f t="shared" si="184"/>
        <v>0</v>
      </c>
      <c r="I49" s="870">
        <f t="shared" si="184"/>
        <v>0</v>
      </c>
      <c r="J49" s="870">
        <f t="shared" si="184"/>
        <v>0</v>
      </c>
      <c r="K49" s="870">
        <f t="shared" si="184"/>
        <v>0</v>
      </c>
      <c r="L49" s="870">
        <f t="shared" si="184"/>
        <v>0</v>
      </c>
      <c r="M49" s="870">
        <f t="shared" si="184"/>
        <v>0</v>
      </c>
      <c r="N49" s="870">
        <f>N50</f>
        <v>0</v>
      </c>
      <c r="O49" s="870">
        <f t="shared" ref="O49:W49" si="185">O50</f>
        <v>0</v>
      </c>
      <c r="P49" s="870">
        <f t="shared" si="185"/>
        <v>0</v>
      </c>
      <c r="Q49" s="870">
        <f t="shared" si="185"/>
        <v>0</v>
      </c>
      <c r="R49" s="870">
        <f t="shared" si="185"/>
        <v>0</v>
      </c>
      <c r="S49" s="870">
        <f t="shared" si="185"/>
        <v>0</v>
      </c>
      <c r="T49" s="870">
        <f t="shared" si="185"/>
        <v>0</v>
      </c>
      <c r="U49" s="870">
        <f t="shared" si="185"/>
        <v>0</v>
      </c>
      <c r="V49" s="870">
        <f t="shared" si="185"/>
        <v>0</v>
      </c>
      <c r="W49" s="870">
        <f t="shared" si="185"/>
        <v>0</v>
      </c>
      <c r="X49" s="117"/>
      <c r="Y49" s="707">
        <f>+D50-X51-X52</f>
        <v>0</v>
      </c>
    </row>
    <row r="50" spans="1:27" s="119" customFormat="1" ht="18" hidden="1" customHeight="1" x14ac:dyDescent="0.15">
      <c r="A50" s="2416"/>
      <c r="B50" s="2419"/>
      <c r="C50" s="1656" t="str">
        <f>CONCATENATE(Orçamento_Não_Deson!H23," ",Orçamento_Não_Deson!I23)</f>
        <v>0 M2</v>
      </c>
      <c r="D50" s="2427">
        <f>Orçamento_Não_Deson!J23</f>
        <v>0</v>
      </c>
      <c r="E50" s="2428"/>
      <c r="F50" s="2080"/>
      <c r="G50" s="2080"/>
      <c r="H50" s="2080"/>
      <c r="I50" s="2080"/>
      <c r="J50" s="2080"/>
      <c r="K50" s="2080"/>
      <c r="L50" s="694"/>
      <c r="M50" s="694"/>
      <c r="N50" s="694"/>
      <c r="O50" s="694"/>
      <c r="P50" s="694"/>
      <c r="Q50" s="694"/>
      <c r="R50" s="694"/>
      <c r="S50" s="694"/>
      <c r="T50" s="694"/>
      <c r="U50" s="694"/>
      <c r="V50" s="694"/>
      <c r="W50" s="694"/>
      <c r="X50" s="120">
        <f>SUM(F50:W50)</f>
        <v>0</v>
      </c>
      <c r="Y50" s="585">
        <f>1-X50</f>
        <v>1</v>
      </c>
      <c r="AA50" s="710">
        <f>+COUNT(F50:W50)</f>
        <v>0</v>
      </c>
    </row>
    <row r="51" spans="1:27" s="119" customFormat="1" ht="18" hidden="1" customHeight="1" x14ac:dyDescent="0.15">
      <c r="A51" s="2416"/>
      <c r="B51" s="2419"/>
      <c r="C51" s="1658">
        <f>INT(+Orçamento_Não_Deson!H23/C52)+1</f>
        <v>1</v>
      </c>
      <c r="D51" s="1687" t="s">
        <v>141</v>
      </c>
      <c r="E51" s="1688">
        <f>D$88</f>
        <v>1</v>
      </c>
      <c r="F51" s="869">
        <f t="shared" ref="F51:W51" si="186">IF($D50=0,0,IF(F50=0,0,($E51*$D50*F50)+$AA$92))</f>
        <v>0</v>
      </c>
      <c r="G51" s="869">
        <f t="shared" si="186"/>
        <v>0</v>
      </c>
      <c r="H51" s="869">
        <f t="shared" si="186"/>
        <v>0</v>
      </c>
      <c r="I51" s="869">
        <f t="shared" si="186"/>
        <v>0</v>
      </c>
      <c r="J51" s="869">
        <f t="shared" si="186"/>
        <v>0</v>
      </c>
      <c r="K51" s="869">
        <f t="shared" si="186"/>
        <v>0</v>
      </c>
      <c r="L51" s="869">
        <f t="shared" si="186"/>
        <v>0</v>
      </c>
      <c r="M51" s="869">
        <f t="shared" si="186"/>
        <v>0</v>
      </c>
      <c r="N51" s="869">
        <f t="shared" si="186"/>
        <v>0</v>
      </c>
      <c r="O51" s="869">
        <f t="shared" si="186"/>
        <v>0</v>
      </c>
      <c r="P51" s="869">
        <f t="shared" si="186"/>
        <v>0</v>
      </c>
      <c r="Q51" s="869">
        <f t="shared" si="186"/>
        <v>0</v>
      </c>
      <c r="R51" s="869">
        <f t="shared" si="186"/>
        <v>0</v>
      </c>
      <c r="S51" s="869">
        <f t="shared" si="186"/>
        <v>0</v>
      </c>
      <c r="T51" s="869">
        <f t="shared" si="186"/>
        <v>0</v>
      </c>
      <c r="U51" s="869">
        <f t="shared" si="186"/>
        <v>0</v>
      </c>
      <c r="V51" s="869">
        <f t="shared" si="186"/>
        <v>0</v>
      </c>
      <c r="W51" s="869">
        <f t="shared" si="186"/>
        <v>0</v>
      </c>
      <c r="X51" s="121">
        <f>SUM(F51:W51)</f>
        <v>0</v>
      </c>
      <c r="Y51" s="118">
        <f>TRUNC(X51-D50*E51,2)</f>
        <v>0</v>
      </c>
      <c r="Z51" s="709" t="e">
        <f>+X51/D50</f>
        <v>#DIV/0!</v>
      </c>
    </row>
    <row r="52" spans="1:27" s="119" customFormat="1" ht="18" hidden="1" customHeight="1" thickBot="1" x14ac:dyDescent="0.2">
      <c r="A52" s="2417"/>
      <c r="B52" s="2420"/>
      <c r="C52" s="1659">
        <v>30000</v>
      </c>
      <c r="D52" s="1653" t="s">
        <v>142</v>
      </c>
      <c r="E52" s="708">
        <f>1-E51</f>
        <v>0</v>
      </c>
      <c r="F52" s="868">
        <f>($D50*F50-F51)</f>
        <v>0</v>
      </c>
      <c r="G52" s="868">
        <f t="shared" ref="G52" si="187">($D50*G50-G51)</f>
        <v>0</v>
      </c>
      <c r="H52" s="868">
        <f t="shared" ref="H52" si="188">($D50*H50-H51)</f>
        <v>0</v>
      </c>
      <c r="I52" s="868">
        <f t="shared" ref="I52" si="189">($D50*I50-I51)</f>
        <v>0</v>
      </c>
      <c r="J52" s="868">
        <f t="shared" ref="J52" si="190">($D50*J50-J51)</f>
        <v>0</v>
      </c>
      <c r="K52" s="868">
        <f t="shared" ref="K52" si="191">($D50*K50-K51)</f>
        <v>0</v>
      </c>
      <c r="L52" s="868">
        <f t="shared" ref="L52" si="192">($D50*L50-L51)</f>
        <v>0</v>
      </c>
      <c r="M52" s="868">
        <f t="shared" ref="M52" si="193">($D50*M50-M51)</f>
        <v>0</v>
      </c>
      <c r="N52" s="868">
        <f t="shared" ref="N52" si="194">($D50*N50-N51)</f>
        <v>0</v>
      </c>
      <c r="O52" s="868">
        <f t="shared" ref="O52" si="195">($D50*O50-O51)</f>
        <v>0</v>
      </c>
      <c r="P52" s="868">
        <f t="shared" ref="P52" si="196">($D50*P50-P51)</f>
        <v>0</v>
      </c>
      <c r="Q52" s="868">
        <f t="shared" ref="Q52" si="197">($D50*Q50-Q51)</f>
        <v>0</v>
      </c>
      <c r="R52" s="868">
        <f t="shared" ref="R52" si="198">($D50*R50-R51)</f>
        <v>0</v>
      </c>
      <c r="S52" s="868">
        <f t="shared" ref="S52" si="199">($D50*S50-S51)</f>
        <v>0</v>
      </c>
      <c r="T52" s="868">
        <f t="shared" ref="T52" si="200">($D50*T50-T51)</f>
        <v>0</v>
      </c>
      <c r="U52" s="868">
        <f t="shared" ref="U52" si="201">($D50*U50-U51)</f>
        <v>0</v>
      </c>
      <c r="V52" s="868">
        <f t="shared" ref="V52" si="202">($D50*V50-V51)</f>
        <v>0</v>
      </c>
      <c r="W52" s="868">
        <f t="shared" ref="W52" si="203">($D50*W50-W51)</f>
        <v>0</v>
      </c>
      <c r="X52" s="122">
        <f>SUM(F52:W52)</f>
        <v>0</v>
      </c>
      <c r="Y52" s="118">
        <f>+D50-X51-X52</f>
        <v>0</v>
      </c>
    </row>
    <row r="53" spans="1:27" s="119" customFormat="1" ht="9.9499999999999993" customHeight="1" x14ac:dyDescent="0.15">
      <c r="A53" s="2415">
        <f ca="1">Orçamento_Não_Deson!B24</f>
        <v>7</v>
      </c>
      <c r="B53" s="2418" t="str">
        <f>Orçamento_Não_Deson!C24</f>
        <v>IMPLANTAÇÃO ASFÁLTICA - TERRAPLENAGEM</v>
      </c>
      <c r="C53" s="1656"/>
      <c r="D53" s="1652"/>
      <c r="E53" s="116"/>
      <c r="F53" s="870">
        <f t="shared" ref="F53:M53" si="204">F54</f>
        <v>0.1</v>
      </c>
      <c r="G53" s="870">
        <f t="shared" si="204"/>
        <v>0.2</v>
      </c>
      <c r="H53" s="870">
        <f t="shared" si="204"/>
        <v>0.2</v>
      </c>
      <c r="I53" s="870">
        <f t="shared" si="204"/>
        <v>0.2</v>
      </c>
      <c r="J53" s="870">
        <f t="shared" si="204"/>
        <v>0.2</v>
      </c>
      <c r="K53" s="870">
        <f t="shared" si="204"/>
        <v>0.1</v>
      </c>
      <c r="L53" s="870">
        <f t="shared" si="204"/>
        <v>0</v>
      </c>
      <c r="M53" s="870">
        <f t="shared" si="204"/>
        <v>0</v>
      </c>
      <c r="N53" s="870">
        <f>N54</f>
        <v>0</v>
      </c>
      <c r="O53" s="870">
        <f t="shared" ref="O53:W53" si="205">O54</f>
        <v>0</v>
      </c>
      <c r="P53" s="870">
        <f t="shared" si="205"/>
        <v>0</v>
      </c>
      <c r="Q53" s="870">
        <f t="shared" si="205"/>
        <v>0</v>
      </c>
      <c r="R53" s="870">
        <f t="shared" si="205"/>
        <v>0</v>
      </c>
      <c r="S53" s="870">
        <f t="shared" si="205"/>
        <v>0</v>
      </c>
      <c r="T53" s="870">
        <f t="shared" si="205"/>
        <v>0</v>
      </c>
      <c r="U53" s="870">
        <f t="shared" si="205"/>
        <v>0</v>
      </c>
      <c r="V53" s="870">
        <f t="shared" si="205"/>
        <v>0</v>
      </c>
      <c r="W53" s="870">
        <f t="shared" si="205"/>
        <v>0</v>
      </c>
      <c r="X53" s="117"/>
      <c r="Y53" s="707">
        <f>+D54-X55-X56</f>
        <v>0</v>
      </c>
    </row>
    <row r="54" spans="1:27" s="119" customFormat="1" ht="18" customHeight="1" x14ac:dyDescent="0.15">
      <c r="A54" s="2416"/>
      <c r="B54" s="2419"/>
      <c r="C54" s="1656" t="str">
        <f>CONCATENATE(Orçamento_Não_Deson!H24," ",Orçamento_Não_Deson!I24)</f>
        <v>5749,3 M3</v>
      </c>
      <c r="D54" s="2427">
        <f>Orçamento_Não_Deson!J24</f>
        <v>186288.82</v>
      </c>
      <c r="E54" s="2428"/>
      <c r="F54" s="694">
        <v>0.1</v>
      </c>
      <c r="G54" s="694">
        <v>0.2</v>
      </c>
      <c r="H54" s="694">
        <v>0.2</v>
      </c>
      <c r="I54" s="694">
        <v>0.2</v>
      </c>
      <c r="J54" s="694">
        <v>0.2</v>
      </c>
      <c r="K54" s="694">
        <v>0.1</v>
      </c>
      <c r="L54" s="694"/>
      <c r="M54" s="694"/>
      <c r="N54" s="694"/>
      <c r="O54" s="694"/>
      <c r="P54" s="694"/>
      <c r="Q54" s="694"/>
      <c r="R54" s="694"/>
      <c r="S54" s="694"/>
      <c r="T54" s="694"/>
      <c r="U54" s="694"/>
      <c r="V54" s="694"/>
      <c r="W54" s="694"/>
      <c r="X54" s="120">
        <f>SUM(F54:W54)</f>
        <v>0.99999999999999989</v>
      </c>
      <c r="Y54" s="585">
        <f>1-X54</f>
        <v>0</v>
      </c>
      <c r="AA54" s="710">
        <f>+COUNT(F54:W54)</f>
        <v>6</v>
      </c>
    </row>
    <row r="55" spans="1:27" s="119" customFormat="1" ht="18" customHeight="1" thickBot="1" x14ac:dyDescent="0.2">
      <c r="A55" s="2416"/>
      <c r="B55" s="2419"/>
      <c r="C55" s="1658">
        <f>Orçamento_Não_Deson!N24</f>
        <v>1</v>
      </c>
      <c r="D55" s="1687" t="s">
        <v>141</v>
      </c>
      <c r="E55" s="1688">
        <f>D$88</f>
        <v>1</v>
      </c>
      <c r="F55" s="869">
        <f t="shared" ref="F55:W55" si="206">IF($D54=0,0,IF(F54=0,0,($E55*$D54*F54)+$AA$92))</f>
        <v>18628.882000000001</v>
      </c>
      <c r="G55" s="869">
        <f t="shared" si="206"/>
        <v>37257.764000000003</v>
      </c>
      <c r="H55" s="869">
        <f t="shared" si="206"/>
        <v>37257.764000000003</v>
      </c>
      <c r="I55" s="869">
        <f t="shared" si="206"/>
        <v>37257.764000000003</v>
      </c>
      <c r="J55" s="869">
        <f t="shared" si="206"/>
        <v>37257.764000000003</v>
      </c>
      <c r="K55" s="869">
        <f t="shared" si="206"/>
        <v>18628.882000000001</v>
      </c>
      <c r="L55" s="869">
        <f t="shared" si="206"/>
        <v>0</v>
      </c>
      <c r="M55" s="869">
        <f t="shared" si="206"/>
        <v>0</v>
      </c>
      <c r="N55" s="869">
        <f t="shared" si="206"/>
        <v>0</v>
      </c>
      <c r="O55" s="869">
        <f t="shared" si="206"/>
        <v>0</v>
      </c>
      <c r="P55" s="869">
        <f t="shared" si="206"/>
        <v>0</v>
      </c>
      <c r="Q55" s="869">
        <f t="shared" si="206"/>
        <v>0</v>
      </c>
      <c r="R55" s="869">
        <f t="shared" si="206"/>
        <v>0</v>
      </c>
      <c r="S55" s="869">
        <f t="shared" si="206"/>
        <v>0</v>
      </c>
      <c r="T55" s="869">
        <f t="shared" si="206"/>
        <v>0</v>
      </c>
      <c r="U55" s="869">
        <f t="shared" si="206"/>
        <v>0</v>
      </c>
      <c r="V55" s="869">
        <f t="shared" si="206"/>
        <v>0</v>
      </c>
      <c r="W55" s="869">
        <f t="shared" si="206"/>
        <v>0</v>
      </c>
      <c r="X55" s="121">
        <f>SUM(F55:W55)</f>
        <v>186288.82</v>
      </c>
      <c r="Y55" s="118">
        <f>TRUNC(X55-D54*E55,2)</f>
        <v>0</v>
      </c>
      <c r="Z55" s="709">
        <f>+X55/D54</f>
        <v>1</v>
      </c>
    </row>
    <row r="56" spans="1:27" s="119" customFormat="1" ht="18" hidden="1" customHeight="1" thickBot="1" x14ac:dyDescent="0.2">
      <c r="A56" s="2417"/>
      <c r="B56" s="2420"/>
      <c r="C56" s="1657"/>
      <c r="D56" s="1653" t="s">
        <v>142</v>
      </c>
      <c r="E56" s="708">
        <f>1-E55</f>
        <v>0</v>
      </c>
      <c r="F56" s="868">
        <f>($D54*F54-F55)</f>
        <v>0</v>
      </c>
      <c r="G56" s="868">
        <f t="shared" ref="G56" si="207">($D54*G54-G55)</f>
        <v>0</v>
      </c>
      <c r="H56" s="868">
        <f t="shared" ref="H56" si="208">($D54*H54-H55)</f>
        <v>0</v>
      </c>
      <c r="I56" s="868">
        <f t="shared" ref="I56" si="209">($D54*I54-I55)</f>
        <v>0</v>
      </c>
      <c r="J56" s="868">
        <f t="shared" ref="J56" si="210">($D54*J54-J55)</f>
        <v>0</v>
      </c>
      <c r="K56" s="868">
        <f t="shared" ref="K56" si="211">($D54*K54-K55)</f>
        <v>0</v>
      </c>
      <c r="L56" s="868">
        <f t="shared" ref="L56" si="212">($D54*L54-L55)</f>
        <v>0</v>
      </c>
      <c r="M56" s="868">
        <f t="shared" ref="M56" si="213">($D54*M54-M55)</f>
        <v>0</v>
      </c>
      <c r="N56" s="868">
        <f t="shared" ref="N56" si="214">($D54*N54-N55)</f>
        <v>0</v>
      </c>
      <c r="O56" s="868">
        <f t="shared" ref="O56" si="215">($D54*O54-O55)</f>
        <v>0</v>
      </c>
      <c r="P56" s="868">
        <f t="shared" ref="P56" si="216">($D54*P54-P55)</f>
        <v>0</v>
      </c>
      <c r="Q56" s="868">
        <f t="shared" ref="Q56" si="217">($D54*Q54-Q55)</f>
        <v>0</v>
      </c>
      <c r="R56" s="868">
        <f t="shared" ref="R56" si="218">($D54*R54-R55)</f>
        <v>0</v>
      </c>
      <c r="S56" s="868">
        <f t="shared" ref="S56" si="219">($D54*S54-S55)</f>
        <v>0</v>
      </c>
      <c r="T56" s="868">
        <f t="shared" ref="T56" si="220">($D54*T54-T55)</f>
        <v>0</v>
      </c>
      <c r="U56" s="868">
        <f t="shared" ref="U56" si="221">($D54*U54-U55)</f>
        <v>0</v>
      </c>
      <c r="V56" s="868">
        <f t="shared" ref="V56" si="222">($D54*V54-V55)</f>
        <v>0</v>
      </c>
      <c r="W56" s="868">
        <f t="shared" ref="W56" si="223">($D54*W54-W55)</f>
        <v>0</v>
      </c>
      <c r="X56" s="122">
        <f>SUM(F56:W56)</f>
        <v>0</v>
      </c>
      <c r="Y56" s="118">
        <f>+D54-X55-X56</f>
        <v>0</v>
      </c>
    </row>
    <row r="57" spans="1:27" s="119" customFormat="1" ht="9.9499999999999993" customHeight="1" x14ac:dyDescent="0.15">
      <c r="A57" s="2415">
        <f ca="1">Orçamento_Não_Deson!B25</f>
        <v>8</v>
      </c>
      <c r="B57" s="2418" t="str">
        <f>Orçamento_Não_Deson!C25</f>
        <v>IMPLANTAÇÃO ASFÁLTICA - PAVIMENTAÇÃO</v>
      </c>
      <c r="C57" s="1656"/>
      <c r="D57" s="1652"/>
      <c r="E57" s="116"/>
      <c r="F57" s="870">
        <f t="shared" ref="F57:M57" si="224">F58</f>
        <v>0.1</v>
      </c>
      <c r="G57" s="870">
        <f t="shared" si="224"/>
        <v>0.2</v>
      </c>
      <c r="H57" s="870">
        <f t="shared" si="224"/>
        <v>0.2</v>
      </c>
      <c r="I57" s="870">
        <f t="shared" si="224"/>
        <v>0.2</v>
      </c>
      <c r="J57" s="870">
        <f t="shared" si="224"/>
        <v>0.2</v>
      </c>
      <c r="K57" s="870">
        <f t="shared" si="224"/>
        <v>0.1</v>
      </c>
      <c r="L57" s="870">
        <f t="shared" si="224"/>
        <v>0</v>
      </c>
      <c r="M57" s="870">
        <f t="shared" si="224"/>
        <v>0</v>
      </c>
      <c r="N57" s="870">
        <f>N58</f>
        <v>0</v>
      </c>
      <c r="O57" s="870">
        <f t="shared" ref="O57:W57" si="225">O58</f>
        <v>0</v>
      </c>
      <c r="P57" s="870">
        <f t="shared" si="225"/>
        <v>0</v>
      </c>
      <c r="Q57" s="870">
        <f t="shared" si="225"/>
        <v>0</v>
      </c>
      <c r="R57" s="870">
        <f t="shared" si="225"/>
        <v>0</v>
      </c>
      <c r="S57" s="870">
        <f t="shared" si="225"/>
        <v>0</v>
      </c>
      <c r="T57" s="870">
        <f t="shared" si="225"/>
        <v>0</v>
      </c>
      <c r="U57" s="870">
        <f t="shared" si="225"/>
        <v>0</v>
      </c>
      <c r="V57" s="870">
        <f t="shared" si="225"/>
        <v>0</v>
      </c>
      <c r="W57" s="870">
        <f t="shared" si="225"/>
        <v>0</v>
      </c>
      <c r="X57" s="117"/>
      <c r="Y57" s="707">
        <f>+D58-X59-X60</f>
        <v>0</v>
      </c>
    </row>
    <row r="58" spans="1:27" s="119" customFormat="1" ht="18" customHeight="1" x14ac:dyDescent="0.15">
      <c r="A58" s="2416"/>
      <c r="B58" s="2419"/>
      <c r="C58" s="1656" t="str">
        <f>CONCATENATE(Orçamento_Não_Deson!H25," ",Orçamento_Não_Deson!I25)</f>
        <v>12682,57 M2</v>
      </c>
      <c r="D58" s="2427">
        <f>Orçamento_Não_Deson!J25</f>
        <v>1827993.5500000003</v>
      </c>
      <c r="E58" s="2428"/>
      <c r="F58" s="694">
        <v>0.1</v>
      </c>
      <c r="G58" s="694">
        <v>0.2</v>
      </c>
      <c r="H58" s="694">
        <v>0.2</v>
      </c>
      <c r="I58" s="694">
        <v>0.2</v>
      </c>
      <c r="J58" s="694">
        <v>0.2</v>
      </c>
      <c r="K58" s="694">
        <v>0.1</v>
      </c>
      <c r="L58" s="694"/>
      <c r="M58" s="694"/>
      <c r="N58" s="694"/>
      <c r="O58" s="694"/>
      <c r="P58" s="694"/>
      <c r="Q58" s="694"/>
      <c r="R58" s="694"/>
      <c r="S58" s="694"/>
      <c r="T58" s="694"/>
      <c r="U58" s="694"/>
      <c r="V58" s="694"/>
      <c r="W58" s="694"/>
      <c r="X58" s="120">
        <f>SUM(F58:W58)</f>
        <v>0.99999999999999989</v>
      </c>
      <c r="Y58" s="585">
        <f>1-X58</f>
        <v>0</v>
      </c>
      <c r="AA58" s="710">
        <f>+COUNT(F58:W58)</f>
        <v>6</v>
      </c>
    </row>
    <row r="59" spans="1:27" s="119" customFormat="1" ht="18" customHeight="1" thickBot="1" x14ac:dyDescent="0.2">
      <c r="A59" s="2416"/>
      <c r="B59" s="2419"/>
      <c r="C59" s="1658">
        <f>Orçamento_Não_Deson!N25</f>
        <v>0</v>
      </c>
      <c r="D59" s="1687" t="s">
        <v>141</v>
      </c>
      <c r="E59" s="1688">
        <f>D$88</f>
        <v>1</v>
      </c>
      <c r="F59" s="869">
        <f t="shared" ref="F59:W59" si="226">IF($D58=0,0,IF(F58=0,0,($E59*$D58*F58)+$AA$92))</f>
        <v>182799.35500000004</v>
      </c>
      <c r="G59" s="869">
        <f t="shared" si="226"/>
        <v>365598.71000000008</v>
      </c>
      <c r="H59" s="869">
        <f t="shared" si="226"/>
        <v>365598.71000000008</v>
      </c>
      <c r="I59" s="869">
        <f t="shared" si="226"/>
        <v>365598.71000000008</v>
      </c>
      <c r="J59" s="869">
        <f t="shared" si="226"/>
        <v>365598.71000000008</v>
      </c>
      <c r="K59" s="869">
        <f t="shared" si="226"/>
        <v>182799.35500000004</v>
      </c>
      <c r="L59" s="869">
        <f t="shared" si="226"/>
        <v>0</v>
      </c>
      <c r="M59" s="869">
        <f t="shared" si="226"/>
        <v>0</v>
      </c>
      <c r="N59" s="869">
        <f t="shared" si="226"/>
        <v>0</v>
      </c>
      <c r="O59" s="869">
        <f t="shared" si="226"/>
        <v>0</v>
      </c>
      <c r="P59" s="869">
        <f t="shared" si="226"/>
        <v>0</v>
      </c>
      <c r="Q59" s="869">
        <f t="shared" si="226"/>
        <v>0</v>
      </c>
      <c r="R59" s="869">
        <f t="shared" si="226"/>
        <v>0</v>
      </c>
      <c r="S59" s="869">
        <f t="shared" si="226"/>
        <v>0</v>
      </c>
      <c r="T59" s="869">
        <f t="shared" si="226"/>
        <v>0</v>
      </c>
      <c r="U59" s="869">
        <f t="shared" si="226"/>
        <v>0</v>
      </c>
      <c r="V59" s="869">
        <f t="shared" si="226"/>
        <v>0</v>
      </c>
      <c r="W59" s="869">
        <f t="shared" si="226"/>
        <v>0</v>
      </c>
      <c r="X59" s="121">
        <f>SUM(F59:W59)</f>
        <v>1827993.5500000003</v>
      </c>
      <c r="Y59" s="118">
        <f>+X59-D58*E59</f>
        <v>0</v>
      </c>
      <c r="Z59" s="709">
        <f>+X59/D58</f>
        <v>1</v>
      </c>
    </row>
    <row r="60" spans="1:27" s="119" customFormat="1" ht="18" hidden="1" customHeight="1" thickBot="1" x14ac:dyDescent="0.2">
      <c r="A60" s="2417"/>
      <c r="B60" s="2420"/>
      <c r="C60" s="1659">
        <v>15000</v>
      </c>
      <c r="D60" s="1653" t="s">
        <v>142</v>
      </c>
      <c r="E60" s="708">
        <f>1-E59</f>
        <v>0</v>
      </c>
      <c r="F60" s="868">
        <f>($D58*F58-F59)</f>
        <v>0</v>
      </c>
      <c r="G60" s="868">
        <f t="shared" ref="G60" si="227">($D58*G58-G59)</f>
        <v>0</v>
      </c>
      <c r="H60" s="868">
        <f t="shared" ref="H60" si="228">($D58*H58-H59)</f>
        <v>0</v>
      </c>
      <c r="I60" s="868">
        <f t="shared" ref="I60" si="229">($D58*I58-I59)</f>
        <v>0</v>
      </c>
      <c r="J60" s="868">
        <f t="shared" ref="J60" si="230">($D58*J58-J59)</f>
        <v>0</v>
      </c>
      <c r="K60" s="868">
        <f t="shared" ref="K60" si="231">($D58*K58-K59)</f>
        <v>0</v>
      </c>
      <c r="L60" s="868">
        <f t="shared" ref="L60" si="232">($D58*L58-L59)</f>
        <v>0</v>
      </c>
      <c r="M60" s="868">
        <f t="shared" ref="M60" si="233">($D58*M58-M59)</f>
        <v>0</v>
      </c>
      <c r="N60" s="868">
        <f t="shared" ref="N60" si="234">($D58*N58-N59)</f>
        <v>0</v>
      </c>
      <c r="O60" s="868">
        <f t="shared" ref="O60" si="235">($D58*O58-O59)</f>
        <v>0</v>
      </c>
      <c r="P60" s="868">
        <f t="shared" ref="P60" si="236">($D58*P58-P59)</f>
        <v>0</v>
      </c>
      <c r="Q60" s="868">
        <f t="shared" ref="Q60" si="237">($D58*Q58-Q59)</f>
        <v>0</v>
      </c>
      <c r="R60" s="868">
        <f t="shared" ref="R60" si="238">($D58*R58-R59)</f>
        <v>0</v>
      </c>
      <c r="S60" s="868">
        <f t="shared" ref="S60" si="239">($D58*S58-S59)</f>
        <v>0</v>
      </c>
      <c r="T60" s="868">
        <f t="shared" ref="T60" si="240">($D58*T58-T59)</f>
        <v>0</v>
      </c>
      <c r="U60" s="868">
        <f t="shared" ref="U60" si="241">($D58*U58-U59)</f>
        <v>0</v>
      </c>
      <c r="V60" s="868">
        <f t="shared" ref="V60" si="242">($D58*V58-V59)</f>
        <v>0</v>
      </c>
      <c r="W60" s="868">
        <f t="shared" ref="W60" si="243">($D58*W58-W59)</f>
        <v>0</v>
      </c>
      <c r="X60" s="122">
        <f>SUM(F60:W60)</f>
        <v>0</v>
      </c>
      <c r="Y60" s="118">
        <f>+X60-E60*D58</f>
        <v>0</v>
      </c>
    </row>
    <row r="61" spans="1:27" s="119" customFormat="1" ht="9.9499999999999993" customHeight="1" x14ac:dyDescent="0.15">
      <c r="A61" s="2415">
        <f ca="1">Orçamento_Não_Deson!B26</f>
        <v>9</v>
      </c>
      <c r="B61" s="2418" t="str">
        <f>Orçamento_Não_Deson!C26</f>
        <v>SERVIÇOS COMPLEMENTARES</v>
      </c>
      <c r="C61" s="1656"/>
      <c r="D61" s="1652"/>
      <c r="E61" s="116"/>
      <c r="F61" s="870">
        <f t="shared" ref="F61:M61" si="244">F62</f>
        <v>0</v>
      </c>
      <c r="G61" s="870">
        <f t="shared" si="244"/>
        <v>0.2</v>
      </c>
      <c r="H61" s="870">
        <f t="shared" si="244"/>
        <v>0.2</v>
      </c>
      <c r="I61" s="870">
        <f t="shared" si="244"/>
        <v>0.2</v>
      </c>
      <c r="J61" s="870">
        <f t="shared" si="244"/>
        <v>0.2</v>
      </c>
      <c r="K61" s="870">
        <f t="shared" si="244"/>
        <v>0.2</v>
      </c>
      <c r="L61" s="870">
        <f t="shared" si="244"/>
        <v>0</v>
      </c>
      <c r="M61" s="870">
        <f t="shared" si="244"/>
        <v>0</v>
      </c>
      <c r="N61" s="870">
        <f>N62</f>
        <v>0</v>
      </c>
      <c r="O61" s="870">
        <f t="shared" ref="O61:W61" si="245">O62</f>
        <v>0</v>
      </c>
      <c r="P61" s="870">
        <f t="shared" si="245"/>
        <v>0</v>
      </c>
      <c r="Q61" s="870">
        <f t="shared" si="245"/>
        <v>0</v>
      </c>
      <c r="R61" s="870">
        <f t="shared" si="245"/>
        <v>0</v>
      </c>
      <c r="S61" s="870">
        <f t="shared" si="245"/>
        <v>0</v>
      </c>
      <c r="T61" s="870">
        <f t="shared" si="245"/>
        <v>0</v>
      </c>
      <c r="U61" s="870">
        <f t="shared" si="245"/>
        <v>0</v>
      </c>
      <c r="V61" s="870">
        <f t="shared" si="245"/>
        <v>0</v>
      </c>
      <c r="W61" s="870">
        <f t="shared" si="245"/>
        <v>0</v>
      </c>
      <c r="X61" s="117"/>
      <c r="Y61" s="707">
        <f>+D62-X63-X64</f>
        <v>-2.9103830456733704E-11</v>
      </c>
    </row>
    <row r="62" spans="1:27" s="119" customFormat="1" ht="18" customHeight="1" x14ac:dyDescent="0.15">
      <c r="A62" s="2416"/>
      <c r="B62" s="2419"/>
      <c r="C62" s="1656" t="str">
        <f>CONCATENATE(Orçamento_Não_Deson!H26," ",Orçamento_Não_Deson!I26)</f>
        <v>3392,16 M</v>
      </c>
      <c r="D62" s="2427">
        <f>Orçamento_Não_Deson!J26</f>
        <v>259559.26</v>
      </c>
      <c r="E62" s="2428"/>
      <c r="F62" s="694"/>
      <c r="G62" s="694">
        <v>0.2</v>
      </c>
      <c r="H62" s="694">
        <v>0.2</v>
      </c>
      <c r="I62" s="694">
        <v>0.2</v>
      </c>
      <c r="J62" s="694">
        <v>0.2</v>
      </c>
      <c r="K62" s="694">
        <v>0.2</v>
      </c>
      <c r="L62" s="694"/>
      <c r="M62" s="694"/>
      <c r="N62" s="694"/>
      <c r="O62" s="694"/>
      <c r="P62" s="694"/>
      <c r="Q62" s="694"/>
      <c r="R62" s="694"/>
      <c r="S62" s="694"/>
      <c r="T62" s="694"/>
      <c r="U62" s="694"/>
      <c r="V62" s="694"/>
      <c r="W62" s="694"/>
      <c r="X62" s="120">
        <f>SUM(F62:W62)</f>
        <v>1</v>
      </c>
      <c r="Y62" s="585">
        <f>1-X62</f>
        <v>0</v>
      </c>
      <c r="AA62" s="710">
        <f>+COUNT(F62:W62)</f>
        <v>5</v>
      </c>
    </row>
    <row r="63" spans="1:27" s="119" customFormat="1" ht="18" customHeight="1" thickBot="1" x14ac:dyDescent="0.2">
      <c r="A63" s="2416"/>
      <c r="B63" s="2419"/>
      <c r="C63" s="1658">
        <f>ROUND(SUM(Orçamento_Não_Deson!O720:O726)/240,1)</f>
        <v>1.3</v>
      </c>
      <c r="D63" s="1687" t="s">
        <v>141</v>
      </c>
      <c r="E63" s="1688">
        <f>D$88</f>
        <v>1</v>
      </c>
      <c r="F63" s="869">
        <f t="shared" ref="F63:W63" si="246">IF($D62=0,0,IF(F62=0,0,($E63*$D62*F62)+$AA$92))</f>
        <v>0</v>
      </c>
      <c r="G63" s="869">
        <f t="shared" si="246"/>
        <v>51911.852000000006</v>
      </c>
      <c r="H63" s="869">
        <f t="shared" si="246"/>
        <v>51911.852000000006</v>
      </c>
      <c r="I63" s="869">
        <f t="shared" si="246"/>
        <v>51911.852000000006</v>
      </c>
      <c r="J63" s="869">
        <f t="shared" si="246"/>
        <v>51911.852000000006</v>
      </c>
      <c r="K63" s="869">
        <f t="shared" si="246"/>
        <v>51911.852000000006</v>
      </c>
      <c r="L63" s="869">
        <f t="shared" si="246"/>
        <v>0</v>
      </c>
      <c r="M63" s="869">
        <f t="shared" si="246"/>
        <v>0</v>
      </c>
      <c r="N63" s="869">
        <f t="shared" si="246"/>
        <v>0</v>
      </c>
      <c r="O63" s="869">
        <f t="shared" si="246"/>
        <v>0</v>
      </c>
      <c r="P63" s="869">
        <f t="shared" si="246"/>
        <v>0</v>
      </c>
      <c r="Q63" s="869">
        <f t="shared" si="246"/>
        <v>0</v>
      </c>
      <c r="R63" s="869">
        <f t="shared" si="246"/>
        <v>0</v>
      </c>
      <c r="S63" s="869">
        <f t="shared" si="246"/>
        <v>0</v>
      </c>
      <c r="T63" s="869">
        <f t="shared" si="246"/>
        <v>0</v>
      </c>
      <c r="U63" s="869">
        <f t="shared" si="246"/>
        <v>0</v>
      </c>
      <c r="V63" s="869">
        <f t="shared" si="246"/>
        <v>0</v>
      </c>
      <c r="W63" s="869">
        <f t="shared" si="246"/>
        <v>0</v>
      </c>
      <c r="X63" s="121">
        <f>SUM(F63:W63)</f>
        <v>259559.26000000004</v>
      </c>
      <c r="Y63" s="118">
        <f>TRUNC(X63-D62*E63,2)</f>
        <v>0</v>
      </c>
      <c r="Z63" s="709">
        <f>+X63/D62</f>
        <v>1.0000000000000002</v>
      </c>
    </row>
    <row r="64" spans="1:27" s="119" customFormat="1" ht="18" hidden="1" customHeight="1" thickBot="1" x14ac:dyDescent="0.2">
      <c r="A64" s="2417"/>
      <c r="B64" s="2420"/>
      <c r="C64" s="1657"/>
      <c r="D64" s="1653" t="s">
        <v>142</v>
      </c>
      <c r="E64" s="708">
        <f>1-E63</f>
        <v>0</v>
      </c>
      <c r="F64" s="868">
        <f>($D62*F62-F63)</f>
        <v>0</v>
      </c>
      <c r="G64" s="868">
        <f t="shared" ref="G64" si="247">($D62*G62-G63)</f>
        <v>0</v>
      </c>
      <c r="H64" s="868">
        <f t="shared" ref="H64" si="248">($D62*H62-H63)</f>
        <v>0</v>
      </c>
      <c r="I64" s="868">
        <f t="shared" ref="I64" si="249">($D62*I62-I63)</f>
        <v>0</v>
      </c>
      <c r="J64" s="868">
        <f t="shared" ref="J64" si="250">($D62*J62-J63)</f>
        <v>0</v>
      </c>
      <c r="K64" s="868">
        <f t="shared" ref="K64" si="251">($D62*K62-K63)</f>
        <v>0</v>
      </c>
      <c r="L64" s="868">
        <f t="shared" ref="L64" si="252">($D62*L62-L63)</f>
        <v>0</v>
      </c>
      <c r="M64" s="868">
        <f t="shared" ref="M64" si="253">($D62*M62-M63)</f>
        <v>0</v>
      </c>
      <c r="N64" s="868">
        <f t="shared" ref="N64" si="254">($D62*N62-N63)</f>
        <v>0</v>
      </c>
      <c r="O64" s="868">
        <f t="shared" ref="O64" si="255">($D62*O62-O63)</f>
        <v>0</v>
      </c>
      <c r="P64" s="868">
        <f t="shared" ref="P64" si="256">($D62*P62-P63)</f>
        <v>0</v>
      </c>
      <c r="Q64" s="868">
        <f t="shared" ref="Q64" si="257">($D62*Q62-Q63)</f>
        <v>0</v>
      </c>
      <c r="R64" s="868">
        <f t="shared" ref="R64" si="258">($D62*R62-R63)</f>
        <v>0</v>
      </c>
      <c r="S64" s="868">
        <f t="shared" ref="S64" si="259">($D62*S62-S63)</f>
        <v>0</v>
      </c>
      <c r="T64" s="868">
        <f t="shared" ref="T64" si="260">($D62*T62-T63)</f>
        <v>0</v>
      </c>
      <c r="U64" s="868">
        <f t="shared" ref="U64" si="261">($D62*U62-U63)</f>
        <v>0</v>
      </c>
      <c r="V64" s="868">
        <f t="shared" ref="V64" si="262">($D62*V62-V63)</f>
        <v>0</v>
      </c>
      <c r="W64" s="868">
        <f t="shared" ref="W64" si="263">($D62*W62-W63)</f>
        <v>0</v>
      </c>
      <c r="X64" s="122">
        <f>SUM(F64:W64)</f>
        <v>0</v>
      </c>
      <c r="Y64" s="118">
        <f>+D62-X63-X64</f>
        <v>-2.9103830456733704E-11</v>
      </c>
    </row>
    <row r="65" spans="1:27" s="119" customFormat="1" ht="9.9499999999999993" customHeight="1" x14ac:dyDescent="0.15">
      <c r="A65" s="2415">
        <f ca="1">Orçamento_Não_Deson!B27</f>
        <v>10</v>
      </c>
      <c r="B65" s="2418" t="str">
        <f>Orçamento_Não_Deson!C27</f>
        <v>PASSEIO COM ACESSIBILIDADE</v>
      </c>
      <c r="C65" s="1656"/>
      <c r="D65" s="1652"/>
      <c r="E65" s="116"/>
      <c r="F65" s="870">
        <f t="shared" ref="F65:M65" si="264">F66</f>
        <v>0</v>
      </c>
      <c r="G65" s="870">
        <f t="shared" si="264"/>
        <v>0.2</v>
      </c>
      <c r="H65" s="870">
        <f t="shared" si="264"/>
        <v>0.2</v>
      </c>
      <c r="I65" s="870">
        <f t="shared" si="264"/>
        <v>0.2</v>
      </c>
      <c r="J65" s="870">
        <f t="shared" si="264"/>
        <v>0.2</v>
      </c>
      <c r="K65" s="870">
        <f t="shared" si="264"/>
        <v>0.2</v>
      </c>
      <c r="L65" s="870">
        <f t="shared" si="264"/>
        <v>0</v>
      </c>
      <c r="M65" s="870">
        <f t="shared" si="264"/>
        <v>0</v>
      </c>
      <c r="N65" s="870">
        <f>N66</f>
        <v>0</v>
      </c>
      <c r="O65" s="870">
        <f t="shared" ref="O65:W65" si="265">O66</f>
        <v>0</v>
      </c>
      <c r="P65" s="870">
        <f t="shared" si="265"/>
        <v>0</v>
      </c>
      <c r="Q65" s="870">
        <f t="shared" si="265"/>
        <v>0</v>
      </c>
      <c r="R65" s="870">
        <f t="shared" si="265"/>
        <v>0</v>
      </c>
      <c r="S65" s="870">
        <f t="shared" si="265"/>
        <v>0</v>
      </c>
      <c r="T65" s="870">
        <f t="shared" si="265"/>
        <v>0</v>
      </c>
      <c r="U65" s="870">
        <f t="shared" si="265"/>
        <v>0</v>
      </c>
      <c r="V65" s="870">
        <f t="shared" si="265"/>
        <v>0</v>
      </c>
      <c r="W65" s="870">
        <f t="shared" si="265"/>
        <v>0</v>
      </c>
      <c r="X65" s="117"/>
      <c r="Y65" s="707">
        <f>+D66-X67-X68</f>
        <v>-5.8207660913467407E-11</v>
      </c>
    </row>
    <row r="66" spans="1:27" s="119" customFormat="1" ht="18" customHeight="1" x14ac:dyDescent="0.15">
      <c r="A66" s="2416"/>
      <c r="B66" s="2419"/>
      <c r="C66" s="1656" t="str">
        <f>CONCATENATE(Orçamento_Não_Deson!H27," ",Orçamento_Não_Deson!I27)</f>
        <v>5339,87 M2</v>
      </c>
      <c r="D66" s="2427">
        <f>Orçamento_Não_Deson!J27</f>
        <v>362370.94</v>
      </c>
      <c r="E66" s="2428"/>
      <c r="F66" s="694"/>
      <c r="G66" s="694">
        <v>0.2</v>
      </c>
      <c r="H66" s="694">
        <v>0.2</v>
      </c>
      <c r="I66" s="694">
        <v>0.2</v>
      </c>
      <c r="J66" s="694">
        <v>0.2</v>
      </c>
      <c r="K66" s="694">
        <v>0.2</v>
      </c>
      <c r="L66" s="694"/>
      <c r="M66" s="694"/>
      <c r="N66" s="694"/>
      <c r="O66" s="694"/>
      <c r="P66" s="694"/>
      <c r="Q66" s="694"/>
      <c r="R66" s="694"/>
      <c r="S66" s="694"/>
      <c r="T66" s="694"/>
      <c r="U66" s="694"/>
      <c r="V66" s="694"/>
      <c r="W66" s="694"/>
      <c r="X66" s="120">
        <f>SUM(F66:W66)</f>
        <v>1</v>
      </c>
      <c r="Y66" s="585">
        <f>1-X66</f>
        <v>0</v>
      </c>
      <c r="AA66" s="710">
        <f>+COUNT(F66:W66)</f>
        <v>5</v>
      </c>
    </row>
    <row r="67" spans="1:27" s="119" customFormat="1" ht="18" customHeight="1" thickBot="1" x14ac:dyDescent="0.2">
      <c r="A67" s="2416"/>
      <c r="B67" s="2419"/>
      <c r="C67" s="1658">
        <f>Orçamento_Não_Deson!N27</f>
        <v>0</v>
      </c>
      <c r="D67" s="1687" t="s">
        <v>141</v>
      </c>
      <c r="E67" s="1688">
        <f>D$88</f>
        <v>1</v>
      </c>
      <c r="F67" s="869">
        <f t="shared" ref="F67:W67" si="266">IF($D66=0,0,IF(F66=0,0,($E67*$D66*F66)+$AA$92))</f>
        <v>0</v>
      </c>
      <c r="G67" s="869">
        <f t="shared" si="266"/>
        <v>72474.188000000009</v>
      </c>
      <c r="H67" s="869">
        <f t="shared" si="266"/>
        <v>72474.188000000009</v>
      </c>
      <c r="I67" s="869">
        <f t="shared" si="266"/>
        <v>72474.188000000009</v>
      </c>
      <c r="J67" s="869">
        <f t="shared" si="266"/>
        <v>72474.188000000009</v>
      </c>
      <c r="K67" s="869">
        <f t="shared" si="266"/>
        <v>72474.188000000009</v>
      </c>
      <c r="L67" s="869">
        <f t="shared" si="266"/>
        <v>0</v>
      </c>
      <c r="M67" s="869">
        <f t="shared" si="266"/>
        <v>0</v>
      </c>
      <c r="N67" s="869">
        <f t="shared" si="266"/>
        <v>0</v>
      </c>
      <c r="O67" s="869">
        <f t="shared" si="266"/>
        <v>0</v>
      </c>
      <c r="P67" s="869">
        <f t="shared" si="266"/>
        <v>0</v>
      </c>
      <c r="Q67" s="869">
        <f t="shared" si="266"/>
        <v>0</v>
      </c>
      <c r="R67" s="869">
        <f t="shared" si="266"/>
        <v>0</v>
      </c>
      <c r="S67" s="869">
        <f t="shared" si="266"/>
        <v>0</v>
      </c>
      <c r="T67" s="869">
        <f t="shared" si="266"/>
        <v>0</v>
      </c>
      <c r="U67" s="869">
        <f t="shared" si="266"/>
        <v>0</v>
      </c>
      <c r="V67" s="869">
        <f t="shared" si="266"/>
        <v>0</v>
      </c>
      <c r="W67" s="869">
        <f t="shared" si="266"/>
        <v>0</v>
      </c>
      <c r="X67" s="121">
        <f>SUM(F67:W67)</f>
        <v>362370.94000000006</v>
      </c>
      <c r="Y67" s="118">
        <f>TRUNC(X67-D66*E67,2)</f>
        <v>0</v>
      </c>
      <c r="Z67" s="709">
        <f>+X67/D66</f>
        <v>1.0000000000000002</v>
      </c>
    </row>
    <row r="68" spans="1:27" s="119" customFormat="1" ht="18" hidden="1" customHeight="1" thickBot="1" x14ac:dyDescent="0.2">
      <c r="A68" s="2417"/>
      <c r="B68" s="2420"/>
      <c r="C68" s="1657"/>
      <c r="D68" s="1653" t="s">
        <v>142</v>
      </c>
      <c r="E68" s="708">
        <f>1-E67</f>
        <v>0</v>
      </c>
      <c r="F68" s="868">
        <f>($D66*F66-F67)</f>
        <v>0</v>
      </c>
      <c r="G68" s="868">
        <f t="shared" ref="G68" si="267">($D66*G66-G67)</f>
        <v>0</v>
      </c>
      <c r="H68" s="868">
        <f t="shared" ref="H68" si="268">($D66*H66-H67)</f>
        <v>0</v>
      </c>
      <c r="I68" s="868">
        <f t="shared" ref="I68" si="269">($D66*I66-I67)</f>
        <v>0</v>
      </c>
      <c r="J68" s="868">
        <f t="shared" ref="J68" si="270">($D66*J66-J67)</f>
        <v>0</v>
      </c>
      <c r="K68" s="868">
        <f t="shared" ref="K68" si="271">($D66*K66-K67)</f>
        <v>0</v>
      </c>
      <c r="L68" s="868">
        <f t="shared" ref="L68" si="272">($D66*L66-L67)</f>
        <v>0</v>
      </c>
      <c r="M68" s="868">
        <f t="shared" ref="M68" si="273">($D66*M66-M67)</f>
        <v>0</v>
      </c>
      <c r="N68" s="868">
        <f t="shared" ref="N68" si="274">($D66*N66-N67)</f>
        <v>0</v>
      </c>
      <c r="O68" s="868">
        <f t="shared" ref="O68" si="275">($D66*O66-O67)</f>
        <v>0</v>
      </c>
      <c r="P68" s="868">
        <f t="shared" ref="P68" si="276">($D66*P66-P67)</f>
        <v>0</v>
      </c>
      <c r="Q68" s="868">
        <f t="shared" ref="Q68" si="277">($D66*Q66-Q67)</f>
        <v>0</v>
      </c>
      <c r="R68" s="868">
        <f t="shared" ref="R68" si="278">($D66*R66-R67)</f>
        <v>0</v>
      </c>
      <c r="S68" s="868">
        <f t="shared" ref="S68" si="279">($D66*S66-S67)</f>
        <v>0</v>
      </c>
      <c r="T68" s="868">
        <f t="shared" ref="T68" si="280">($D66*T66-T67)</f>
        <v>0</v>
      </c>
      <c r="U68" s="868">
        <f t="shared" ref="U68" si="281">($D66*U66-U67)</f>
        <v>0</v>
      </c>
      <c r="V68" s="868">
        <f t="shared" ref="V68" si="282">($D66*V66-V67)</f>
        <v>0</v>
      </c>
      <c r="W68" s="868">
        <f t="shared" ref="W68" si="283">($D66*W66-W67)</f>
        <v>0</v>
      </c>
      <c r="X68" s="122">
        <f>SUM(F68:W68)</f>
        <v>0</v>
      </c>
      <c r="Y68" s="118">
        <f>+D66-X67-X68</f>
        <v>-5.8207660913467407E-11</v>
      </c>
    </row>
    <row r="69" spans="1:27" s="119" customFormat="1" ht="9.9499999999999993" hidden="1" customHeight="1" x14ac:dyDescent="0.15">
      <c r="A69" s="2415">
        <f ca="1">Orçamento_Não_Deson!B28</f>
        <v>10</v>
      </c>
      <c r="B69" s="2418" t="str">
        <f>Orçamento_Não_Deson!C28</f>
        <v>IMPLANTAÇÃO / ADEQUAÇÃO GEOMÉTRICA DE CICLOVIA</v>
      </c>
      <c r="C69" s="1656"/>
      <c r="D69" s="1652"/>
      <c r="E69" s="116"/>
      <c r="F69" s="870">
        <f t="shared" ref="F69:M69" si="284">F70</f>
        <v>0</v>
      </c>
      <c r="G69" s="870">
        <f t="shared" si="284"/>
        <v>0</v>
      </c>
      <c r="H69" s="870">
        <f t="shared" si="284"/>
        <v>0</v>
      </c>
      <c r="I69" s="870">
        <f t="shared" si="284"/>
        <v>0</v>
      </c>
      <c r="J69" s="870">
        <f t="shared" si="284"/>
        <v>0</v>
      </c>
      <c r="K69" s="870">
        <f t="shared" si="284"/>
        <v>0</v>
      </c>
      <c r="L69" s="870">
        <f t="shared" si="284"/>
        <v>0</v>
      </c>
      <c r="M69" s="870">
        <f t="shared" si="284"/>
        <v>0</v>
      </c>
      <c r="N69" s="870">
        <f>N70</f>
        <v>0</v>
      </c>
      <c r="O69" s="870">
        <f t="shared" ref="O69:W69" si="285">O70</f>
        <v>0</v>
      </c>
      <c r="P69" s="870">
        <f t="shared" si="285"/>
        <v>0</v>
      </c>
      <c r="Q69" s="870">
        <f t="shared" si="285"/>
        <v>0</v>
      </c>
      <c r="R69" s="870">
        <f t="shared" si="285"/>
        <v>0</v>
      </c>
      <c r="S69" s="870">
        <f t="shared" si="285"/>
        <v>0</v>
      </c>
      <c r="T69" s="870">
        <f t="shared" si="285"/>
        <v>0</v>
      </c>
      <c r="U69" s="870">
        <f t="shared" si="285"/>
        <v>0</v>
      </c>
      <c r="V69" s="870">
        <f t="shared" si="285"/>
        <v>0</v>
      </c>
      <c r="W69" s="870">
        <f t="shared" si="285"/>
        <v>0</v>
      </c>
      <c r="X69" s="117"/>
      <c r="Y69" s="707">
        <f>+D70-X71-X72</f>
        <v>0</v>
      </c>
    </row>
    <row r="70" spans="1:27" s="119" customFormat="1" ht="18" hidden="1" customHeight="1" x14ac:dyDescent="0.15">
      <c r="A70" s="2416"/>
      <c r="B70" s="2419"/>
      <c r="C70" s="1656" t="str">
        <f>CONCATENATE(Orçamento_Não_Deson!H28," ",Orçamento_Não_Deson!I28)</f>
        <v>0 M</v>
      </c>
      <c r="D70" s="2427">
        <f>Orçamento_Não_Deson!J28</f>
        <v>0</v>
      </c>
      <c r="E70" s="2428"/>
      <c r="F70" s="694"/>
      <c r="G70" s="694"/>
      <c r="H70" s="694"/>
      <c r="I70" s="694"/>
      <c r="J70" s="694"/>
      <c r="K70" s="694"/>
      <c r="L70" s="694"/>
      <c r="M70" s="694"/>
      <c r="N70" s="694"/>
      <c r="O70" s="694"/>
      <c r="P70" s="694"/>
      <c r="Q70" s="694"/>
      <c r="R70" s="694"/>
      <c r="S70" s="694"/>
      <c r="T70" s="694"/>
      <c r="U70" s="694"/>
      <c r="V70" s="694"/>
      <c r="W70" s="694"/>
      <c r="X70" s="120">
        <f>SUM(F70:W70)</f>
        <v>0</v>
      </c>
      <c r="Y70" s="585">
        <f>1-X70</f>
        <v>1</v>
      </c>
      <c r="AA70" s="710">
        <f>+COUNT(F70:W70)</f>
        <v>0</v>
      </c>
    </row>
    <row r="71" spans="1:27" s="119" customFormat="1" ht="18" hidden="1" customHeight="1" thickBot="1" x14ac:dyDescent="0.2">
      <c r="A71" s="2416"/>
      <c r="B71" s="2419"/>
      <c r="C71" s="1658">
        <f>Orçamento_Não_Deson!N28</f>
        <v>0</v>
      </c>
      <c r="D71" s="1687" t="s">
        <v>141</v>
      </c>
      <c r="E71" s="1688">
        <f>D$88</f>
        <v>1</v>
      </c>
      <c r="F71" s="869">
        <f>IF($D70=0,0,IF(F70=0,0,($E71*$D70*F70)+$AA$92))</f>
        <v>0</v>
      </c>
      <c r="G71" s="869">
        <f t="shared" ref="G71" si="286">IF($D70=0,0,IF(G70=0,0,($E71*$D70*G70)+$AA$92))</f>
        <v>0</v>
      </c>
      <c r="H71" s="869">
        <f t="shared" ref="H71" si="287">IF($D70=0,0,IF(H70=0,0,($E71*$D70*H70)+$AA$92))</f>
        <v>0</v>
      </c>
      <c r="I71" s="869">
        <f t="shared" ref="I71" si="288">IF($D70=0,0,IF(I70=0,0,($E71*$D70*I70)+$AA$92))</f>
        <v>0</v>
      </c>
      <c r="J71" s="869">
        <f t="shared" ref="J71" si="289">IF($D70=0,0,IF(J70=0,0,($E71*$D70*J70)+$AA$92))</f>
        <v>0</v>
      </c>
      <c r="K71" s="869">
        <f t="shared" ref="K71" si="290">IF($D70=0,0,IF(K70=0,0,($E71*$D70*K70)+$AA$92))</f>
        <v>0</v>
      </c>
      <c r="L71" s="869">
        <f t="shared" ref="L71" si="291">IF($D70=0,0,IF(L70=0,0,($E71*$D70*L70)+$AA$92))</f>
        <v>0</v>
      </c>
      <c r="M71" s="869">
        <f t="shared" ref="M71" si="292">IF($D70=0,0,IF(M70=0,0,($E71*$D70*M70)+$AA$92))</f>
        <v>0</v>
      </c>
      <c r="N71" s="869">
        <f t="shared" ref="N71" si="293">IF($D70=0,0,IF(N70=0,0,($E71*$D70*N70)+$AA$92))</f>
        <v>0</v>
      </c>
      <c r="O71" s="869">
        <f t="shared" ref="O71" si="294">IF($D70=0,0,IF(O70=0,0,($E71*$D70*O70)+$AA$92))</f>
        <v>0</v>
      </c>
      <c r="P71" s="869">
        <f t="shared" ref="P71" si="295">IF($D70=0,0,IF(P70=0,0,($E71*$D70*P70)+$AA$92))</f>
        <v>0</v>
      </c>
      <c r="Q71" s="869">
        <f t="shared" ref="Q71" si="296">IF($D70=0,0,IF(Q70=0,0,($E71*$D70*Q70)+$AA$92))</f>
        <v>0</v>
      </c>
      <c r="R71" s="869">
        <f t="shared" ref="R71" si="297">IF($D70=0,0,IF(R70=0,0,($E71*$D70*R70)+$AA$92))</f>
        <v>0</v>
      </c>
      <c r="S71" s="869">
        <f t="shared" ref="S71" si="298">IF($D70=0,0,IF(S70=0,0,($E71*$D70*S70)+$AA$92))</f>
        <v>0</v>
      </c>
      <c r="T71" s="869">
        <f t="shared" ref="T71" si="299">IF($D70=0,0,IF(T70=0,0,($E71*$D70*T70)+$AA$92))</f>
        <v>0</v>
      </c>
      <c r="U71" s="869">
        <f t="shared" ref="U71" si="300">IF($D70=0,0,IF(U70=0,0,($E71*$D70*U70)+$AA$92))</f>
        <v>0</v>
      </c>
      <c r="V71" s="869">
        <f t="shared" ref="V71" si="301">IF($D70=0,0,IF(V70=0,0,($E71*$D70*V70)+$AA$92))</f>
        <v>0</v>
      </c>
      <c r="W71" s="869">
        <f t="shared" ref="W71" si="302">IF($D70=0,0,IF(W70=0,0,($E71*$D70*W70)+$AA$92))</f>
        <v>0</v>
      </c>
      <c r="X71" s="121">
        <f>SUM(F71:W71)</f>
        <v>0</v>
      </c>
      <c r="Y71" s="118">
        <f>+X71-D70*E71</f>
        <v>0</v>
      </c>
      <c r="Z71" s="709" t="e">
        <f>+X71/D70</f>
        <v>#DIV/0!</v>
      </c>
    </row>
    <row r="72" spans="1:27" s="119" customFormat="1" ht="18" hidden="1" customHeight="1" thickBot="1" x14ac:dyDescent="0.2">
      <c r="A72" s="2417"/>
      <c r="B72" s="2420"/>
      <c r="C72" s="1657"/>
      <c r="D72" s="1653" t="s">
        <v>142</v>
      </c>
      <c r="E72" s="708">
        <f>1-E71</f>
        <v>0</v>
      </c>
      <c r="F72" s="868">
        <f>($D70*F70-F71)</f>
        <v>0</v>
      </c>
      <c r="G72" s="868">
        <f t="shared" ref="G72" si="303">($D70*G70-G71)</f>
        <v>0</v>
      </c>
      <c r="H72" s="868">
        <f t="shared" ref="H72" si="304">($D70*H70-H71)</f>
        <v>0</v>
      </c>
      <c r="I72" s="868">
        <f t="shared" ref="I72" si="305">($D70*I70-I71)</f>
        <v>0</v>
      </c>
      <c r="J72" s="868">
        <f t="shared" ref="J72" si="306">($D70*J70-J71)</f>
        <v>0</v>
      </c>
      <c r="K72" s="868">
        <f t="shared" ref="K72" si="307">($D70*K70-K71)</f>
        <v>0</v>
      </c>
      <c r="L72" s="868">
        <f t="shared" ref="L72" si="308">($D70*L70-L71)</f>
        <v>0</v>
      </c>
      <c r="M72" s="868">
        <f t="shared" ref="M72" si="309">($D70*M70-M71)</f>
        <v>0</v>
      </c>
      <c r="N72" s="868">
        <f t="shared" ref="N72" si="310">($D70*N70-N71)</f>
        <v>0</v>
      </c>
      <c r="O72" s="868">
        <f t="shared" ref="O72" si="311">($D70*O70-O71)</f>
        <v>0</v>
      </c>
      <c r="P72" s="868">
        <f t="shared" ref="P72" si="312">($D70*P70-P71)</f>
        <v>0</v>
      </c>
      <c r="Q72" s="868">
        <f t="shared" ref="Q72" si="313">($D70*Q70-Q71)</f>
        <v>0</v>
      </c>
      <c r="R72" s="868">
        <f t="shared" ref="R72" si="314">($D70*R70-R71)</f>
        <v>0</v>
      </c>
      <c r="S72" s="868">
        <f t="shared" ref="S72" si="315">($D70*S70-S71)</f>
        <v>0</v>
      </c>
      <c r="T72" s="868">
        <f t="shared" ref="T72" si="316">($D70*T70-T71)</f>
        <v>0</v>
      </c>
      <c r="U72" s="868">
        <f t="shared" ref="U72" si="317">($D70*U70-U71)</f>
        <v>0</v>
      </c>
      <c r="V72" s="868">
        <f t="shared" ref="V72" si="318">($D70*V70-V71)</f>
        <v>0</v>
      </c>
      <c r="W72" s="868">
        <f t="shared" ref="W72" si="319">($D70*W70-W71)</f>
        <v>0</v>
      </c>
      <c r="X72" s="122">
        <f>SUM(F72:W72)</f>
        <v>0</v>
      </c>
      <c r="Y72" s="118">
        <f>+X72-E72*D70</f>
        <v>0</v>
      </c>
    </row>
    <row r="73" spans="1:27" s="119" customFormat="1" ht="9.9499999999999993" customHeight="1" x14ac:dyDescent="0.15">
      <c r="A73" s="2415">
        <f ca="1">Orçamento_Não_Deson!B29</f>
        <v>11</v>
      </c>
      <c r="B73" s="2418" t="str">
        <f>Orçamento_Não_Deson!C29</f>
        <v>SINALIZAÇÃO VIÁRIA DEFINITIVA HORIZONTAL E VERTICAL E DISPOSITIVOS DE SEGURANÇA</v>
      </c>
      <c r="C73" s="1656"/>
      <c r="D73" s="1652"/>
      <c r="E73" s="116"/>
      <c r="F73" s="870">
        <f t="shared" ref="F73:M73" si="320">F74</f>
        <v>0</v>
      </c>
      <c r="G73" s="870">
        <f t="shared" si="320"/>
        <v>0</v>
      </c>
      <c r="H73" s="870">
        <f t="shared" si="320"/>
        <v>0</v>
      </c>
      <c r="I73" s="870">
        <f t="shared" si="320"/>
        <v>0</v>
      </c>
      <c r="J73" s="870">
        <f t="shared" si="320"/>
        <v>0.5</v>
      </c>
      <c r="K73" s="870">
        <f t="shared" si="320"/>
        <v>0.5</v>
      </c>
      <c r="L73" s="870">
        <f t="shared" si="320"/>
        <v>0</v>
      </c>
      <c r="M73" s="870">
        <f t="shared" si="320"/>
        <v>0</v>
      </c>
      <c r="N73" s="870">
        <f>N74</f>
        <v>0</v>
      </c>
      <c r="O73" s="870">
        <f t="shared" ref="O73:W73" si="321">O74</f>
        <v>0</v>
      </c>
      <c r="P73" s="870">
        <f t="shared" si="321"/>
        <v>0</v>
      </c>
      <c r="Q73" s="870">
        <f t="shared" si="321"/>
        <v>0</v>
      </c>
      <c r="R73" s="870">
        <f t="shared" si="321"/>
        <v>0</v>
      </c>
      <c r="S73" s="870">
        <f t="shared" si="321"/>
        <v>0</v>
      </c>
      <c r="T73" s="870">
        <f t="shared" si="321"/>
        <v>0</v>
      </c>
      <c r="U73" s="870">
        <f t="shared" si="321"/>
        <v>0</v>
      </c>
      <c r="V73" s="870">
        <f t="shared" si="321"/>
        <v>0</v>
      </c>
      <c r="W73" s="870">
        <f t="shared" si="321"/>
        <v>0</v>
      </c>
      <c r="X73" s="117"/>
      <c r="Y73" s="707">
        <f>+D74-X75-X76</f>
        <v>0</v>
      </c>
    </row>
    <row r="74" spans="1:27" s="119" customFormat="1" ht="18" customHeight="1" x14ac:dyDescent="0.15">
      <c r="A74" s="2416"/>
      <c r="B74" s="2419"/>
      <c r="C74" s="1656"/>
      <c r="D74" s="2427">
        <f>Orçamento_Não_Deson!J29</f>
        <v>52013.98</v>
      </c>
      <c r="E74" s="2428"/>
      <c r="F74" s="694"/>
      <c r="G74" s="694"/>
      <c r="H74" s="694"/>
      <c r="I74" s="694"/>
      <c r="J74" s="694">
        <v>0.5</v>
      </c>
      <c r="K74" s="694">
        <v>0.5</v>
      </c>
      <c r="L74" s="694"/>
      <c r="M74" s="694"/>
      <c r="N74" s="694"/>
      <c r="O74" s="694"/>
      <c r="P74" s="694"/>
      <c r="Q74" s="694"/>
      <c r="R74" s="694"/>
      <c r="S74" s="694"/>
      <c r="T74" s="694"/>
      <c r="U74" s="694"/>
      <c r="V74" s="694"/>
      <c r="W74" s="694"/>
      <c r="X74" s="120">
        <f>SUM(F74:W74)</f>
        <v>1</v>
      </c>
      <c r="Y74" s="585">
        <f>1-X74</f>
        <v>0</v>
      </c>
      <c r="AA74" s="710">
        <f>+COUNT(F74:W74)</f>
        <v>2</v>
      </c>
    </row>
    <row r="75" spans="1:27" s="119" customFormat="1" ht="18" customHeight="1" thickBot="1" x14ac:dyDescent="0.2">
      <c r="A75" s="2416"/>
      <c r="B75" s="2419"/>
      <c r="C75" s="1656"/>
      <c r="D75" s="1687" t="s">
        <v>141</v>
      </c>
      <c r="E75" s="1688">
        <f>D$88</f>
        <v>1</v>
      </c>
      <c r="F75" s="869">
        <f>IF($D74=0,0,IF(F74=0,0,($E75*$D74*F74)+$AA$92))</f>
        <v>0</v>
      </c>
      <c r="G75" s="869">
        <f t="shared" ref="G75" si="322">IF($D74=0,0,IF(G74=0,0,($E75*$D74*G74)+$AA$92))</f>
        <v>0</v>
      </c>
      <c r="H75" s="869">
        <f t="shared" ref="H75" si="323">IF($D74=0,0,IF(H74=0,0,($E75*$D74*H74)+$AA$92))</f>
        <v>0</v>
      </c>
      <c r="I75" s="869">
        <f t="shared" ref="I75" si="324">IF($D74=0,0,IF(I74=0,0,($E75*$D74*I74)+$AA$92))</f>
        <v>0</v>
      </c>
      <c r="J75" s="869">
        <f t="shared" ref="J75" si="325">IF($D74=0,0,IF(J74=0,0,($E75*$D74*J74)+$AA$92))</f>
        <v>26006.99</v>
      </c>
      <c r="K75" s="869">
        <f t="shared" ref="K75" si="326">IF($D74=0,0,IF(K74=0,0,($E75*$D74*K74)+$AA$92))</f>
        <v>26006.99</v>
      </c>
      <c r="L75" s="869">
        <f t="shared" ref="L75" si="327">IF($D74=0,0,IF(L74=0,0,($E75*$D74*L74)+$AA$92))</f>
        <v>0</v>
      </c>
      <c r="M75" s="869">
        <f t="shared" ref="M75" si="328">IF($D74=0,0,IF(M74=0,0,($E75*$D74*M74)+$AA$92))</f>
        <v>0</v>
      </c>
      <c r="N75" s="869">
        <f t="shared" ref="N75" si="329">IF($D74=0,0,IF(N74=0,0,($E75*$D74*N74)+$AA$92))</f>
        <v>0</v>
      </c>
      <c r="O75" s="869">
        <f t="shared" ref="O75" si="330">IF($D74=0,0,IF(O74=0,0,($E75*$D74*O74)+$AA$92))</f>
        <v>0</v>
      </c>
      <c r="P75" s="869">
        <f t="shared" ref="P75" si="331">IF($D74=0,0,IF(P74=0,0,($E75*$D74*P74)+$AA$92))</f>
        <v>0</v>
      </c>
      <c r="Q75" s="869">
        <f t="shared" ref="Q75" si="332">IF($D74=0,0,IF(Q74=0,0,($E75*$D74*Q74)+$AA$92))</f>
        <v>0</v>
      </c>
      <c r="R75" s="869">
        <f t="shared" ref="R75" si="333">IF($D74=0,0,IF(R74=0,0,($E75*$D74*R74)+$AA$92))</f>
        <v>0</v>
      </c>
      <c r="S75" s="869">
        <f t="shared" ref="S75" si="334">IF($D74=0,0,IF(S74=0,0,($E75*$D74*S74)+$AA$92))</f>
        <v>0</v>
      </c>
      <c r="T75" s="869">
        <f t="shared" ref="T75" si="335">IF($D74=0,0,IF(T74=0,0,($E75*$D74*T74)+$AA$92))</f>
        <v>0</v>
      </c>
      <c r="U75" s="869">
        <f t="shared" ref="U75" si="336">IF($D74=0,0,IF(U74=0,0,($E75*$D74*U74)+$AA$92))</f>
        <v>0</v>
      </c>
      <c r="V75" s="869">
        <f t="shared" ref="V75" si="337">IF($D74=0,0,IF(V74=0,0,($E75*$D74*V74)+$AA$92))</f>
        <v>0</v>
      </c>
      <c r="W75" s="869">
        <f t="shared" ref="W75" si="338">IF($D74=0,0,IF(W74=0,0,($E75*$D74*W74)+$AA$92))</f>
        <v>0</v>
      </c>
      <c r="X75" s="121">
        <f>SUM(F75:W75)</f>
        <v>52013.98</v>
      </c>
      <c r="Y75" s="118">
        <f>+X75-D74*E75</f>
        <v>0</v>
      </c>
      <c r="Z75" s="709">
        <f>+X75/D74</f>
        <v>1</v>
      </c>
    </row>
    <row r="76" spans="1:27" s="119" customFormat="1" ht="18" hidden="1" customHeight="1" thickBot="1" x14ac:dyDescent="0.2">
      <c r="A76" s="2417"/>
      <c r="B76" s="2420"/>
      <c r="C76" s="1657"/>
      <c r="D76" s="1653" t="s">
        <v>142</v>
      </c>
      <c r="E76" s="708">
        <f>1-E75</f>
        <v>0</v>
      </c>
      <c r="F76" s="868">
        <f>($D74*F74-F75)</f>
        <v>0</v>
      </c>
      <c r="G76" s="868">
        <f t="shared" ref="G76" si="339">($D74*G74-G75)</f>
        <v>0</v>
      </c>
      <c r="H76" s="868">
        <f t="shared" ref="H76" si="340">($D74*H74-H75)</f>
        <v>0</v>
      </c>
      <c r="I76" s="868">
        <f t="shared" ref="I76" si="341">($D74*I74-I75)</f>
        <v>0</v>
      </c>
      <c r="J76" s="868">
        <f t="shared" ref="J76" si="342">($D74*J74-J75)</f>
        <v>0</v>
      </c>
      <c r="K76" s="868">
        <f t="shared" ref="K76" si="343">($D74*K74-K75)</f>
        <v>0</v>
      </c>
      <c r="L76" s="868">
        <f t="shared" ref="L76" si="344">($D74*L74-L75)</f>
        <v>0</v>
      </c>
      <c r="M76" s="868">
        <f t="shared" ref="M76" si="345">($D74*M74-M75)</f>
        <v>0</v>
      </c>
      <c r="N76" s="868">
        <f t="shared" ref="N76" si="346">($D74*N74-N75)</f>
        <v>0</v>
      </c>
      <c r="O76" s="868">
        <f t="shared" ref="O76" si="347">($D74*O74-O75)</f>
        <v>0</v>
      </c>
      <c r="P76" s="868">
        <f t="shared" ref="P76" si="348">($D74*P74-P75)</f>
        <v>0</v>
      </c>
      <c r="Q76" s="868">
        <f t="shared" ref="Q76" si="349">($D74*Q74-Q75)</f>
        <v>0</v>
      </c>
      <c r="R76" s="868">
        <f t="shared" ref="R76" si="350">($D74*R74-R75)</f>
        <v>0</v>
      </c>
      <c r="S76" s="868">
        <f t="shared" ref="S76" si="351">($D74*S74-S75)</f>
        <v>0</v>
      </c>
      <c r="T76" s="868">
        <f t="shared" ref="T76" si="352">($D74*T74-T75)</f>
        <v>0</v>
      </c>
      <c r="U76" s="868">
        <f t="shared" ref="U76" si="353">($D74*U74-U75)</f>
        <v>0</v>
      </c>
      <c r="V76" s="868">
        <f t="shared" ref="V76" si="354">($D74*V74-V75)</f>
        <v>0</v>
      </c>
      <c r="W76" s="868">
        <f t="shared" ref="W76" si="355">($D74*W74-W75)</f>
        <v>0</v>
      </c>
      <c r="X76" s="122">
        <f>SUM(F76:W76)</f>
        <v>0</v>
      </c>
      <c r="Y76" s="118">
        <f>+X76-E76*D74</f>
        <v>0</v>
      </c>
    </row>
    <row r="77" spans="1:27" s="119" customFormat="1" ht="9.9499999999999993" customHeight="1" x14ac:dyDescent="0.15">
      <c r="A77" s="2415">
        <f ca="1">Orçamento_Não_Deson!B30</f>
        <v>12</v>
      </c>
      <c r="B77" s="2418" t="str">
        <f>Orçamento_Não_Deson!C30</f>
        <v>ADMINISTRAÇÃO LOCAL</v>
      </c>
      <c r="C77" s="1656"/>
      <c r="D77" s="1652"/>
      <c r="E77" s="116"/>
      <c r="F77" s="870">
        <f t="shared" ref="F77:M77" si="356">F78</f>
        <v>0.122</v>
      </c>
      <c r="G77" s="870">
        <f t="shared" si="356"/>
        <v>0.2</v>
      </c>
      <c r="H77" s="870">
        <f t="shared" si="356"/>
        <v>0.19500000000000001</v>
      </c>
      <c r="I77" s="870">
        <f t="shared" si="356"/>
        <v>0.182</v>
      </c>
      <c r="J77" s="870">
        <f t="shared" si="356"/>
        <v>0.17899999999999999</v>
      </c>
      <c r="K77" s="870">
        <f t="shared" si="356"/>
        <v>0.122</v>
      </c>
      <c r="L77" s="870">
        <f t="shared" si="356"/>
        <v>0</v>
      </c>
      <c r="M77" s="870">
        <f t="shared" si="356"/>
        <v>0</v>
      </c>
      <c r="N77" s="870">
        <f>N78</f>
        <v>0</v>
      </c>
      <c r="O77" s="870">
        <f t="shared" ref="O77:W77" si="357">O78</f>
        <v>0</v>
      </c>
      <c r="P77" s="870">
        <f t="shared" si="357"/>
        <v>0</v>
      </c>
      <c r="Q77" s="870">
        <f t="shared" si="357"/>
        <v>0</v>
      </c>
      <c r="R77" s="870">
        <f t="shared" si="357"/>
        <v>0</v>
      </c>
      <c r="S77" s="870">
        <f t="shared" si="357"/>
        <v>0</v>
      </c>
      <c r="T77" s="870">
        <f t="shared" si="357"/>
        <v>0</v>
      </c>
      <c r="U77" s="870">
        <f t="shared" si="357"/>
        <v>0</v>
      </c>
      <c r="V77" s="870">
        <f t="shared" si="357"/>
        <v>0</v>
      </c>
      <c r="W77" s="870">
        <f t="shared" si="357"/>
        <v>0</v>
      </c>
      <c r="X77" s="117"/>
      <c r="Y77" s="707">
        <f>+D78-X79-X80</f>
        <v>0</v>
      </c>
    </row>
    <row r="78" spans="1:27" s="119" customFormat="1" ht="18" customHeight="1" x14ac:dyDescent="0.15">
      <c r="A78" s="2416"/>
      <c r="B78" s="2419"/>
      <c r="C78" s="1656" t="str">
        <f>CONCATENATE(Orçamento_Não_Deson!H30," ",Orçamento_Não_Deson!I30)</f>
        <v>6 MÊS</v>
      </c>
      <c r="D78" s="2427">
        <f>Orçamento_Não_Deson!J30</f>
        <v>167267.70000000001</v>
      </c>
      <c r="E78" s="2428"/>
      <c r="F78" s="2325">
        <v>0.122</v>
      </c>
      <c r="G78" s="2325">
        <v>0.2</v>
      </c>
      <c r="H78" s="2325">
        <v>0.19500000000000001</v>
      </c>
      <c r="I78" s="2325">
        <v>0.182</v>
      </c>
      <c r="J78" s="2325">
        <v>0.17899999999999999</v>
      </c>
      <c r="K78" s="2325">
        <v>0.122</v>
      </c>
      <c r="L78" s="694"/>
      <c r="M78" s="694"/>
      <c r="N78" s="694"/>
      <c r="O78" s="694"/>
      <c r="P78" s="694"/>
      <c r="Q78" s="694"/>
      <c r="R78" s="2080"/>
      <c r="S78" s="2080"/>
      <c r="T78" s="2080"/>
      <c r="U78" s="2080"/>
      <c r="V78" s="2080"/>
      <c r="W78" s="2080"/>
      <c r="X78" s="120">
        <f>SUM(F78:W78)</f>
        <v>1</v>
      </c>
      <c r="Y78" s="585">
        <f>1-X78</f>
        <v>0</v>
      </c>
      <c r="AA78" s="710">
        <f>+COUNT(F78:W78)</f>
        <v>6</v>
      </c>
    </row>
    <row r="79" spans="1:27" s="119" customFormat="1" ht="18" customHeight="1" thickBot="1" x14ac:dyDescent="0.2">
      <c r="A79" s="2416"/>
      <c r="B79" s="2419"/>
      <c r="C79" s="1656"/>
      <c r="D79" s="1687" t="s">
        <v>141</v>
      </c>
      <c r="E79" s="1688">
        <f>D$88</f>
        <v>1</v>
      </c>
      <c r="F79" s="869">
        <f>IF($D78=0,0,IF(F78=0,0,($E79*$D78*F78)+$AA$92))</f>
        <v>20406.6594</v>
      </c>
      <c r="G79" s="869">
        <f t="shared" ref="G79" si="358">IF($D78=0,0,IF(G78=0,0,($E79*$D78*G78)+$AA$92))</f>
        <v>33453.54</v>
      </c>
      <c r="H79" s="869">
        <f t="shared" ref="H79" si="359">IF($D78=0,0,IF(H78=0,0,($E79*$D78*H78)+$AA$92))</f>
        <v>32617.201500000003</v>
      </c>
      <c r="I79" s="869">
        <f t="shared" ref="I79" si="360">IF($D78=0,0,IF(I78=0,0,($E79*$D78*I78)+$AA$92))</f>
        <v>30442.721400000002</v>
      </c>
      <c r="J79" s="869">
        <f t="shared" ref="J79" si="361">IF($D78=0,0,IF(J78=0,0,($E79*$D78*J78)+$AA$92))</f>
        <v>29940.918300000001</v>
      </c>
      <c r="K79" s="869">
        <f t="shared" ref="K79" si="362">IF($D78=0,0,IF(K78=0,0,($E79*$D78*K78)+$AA$92))</f>
        <v>20406.6594</v>
      </c>
      <c r="L79" s="869">
        <f t="shared" ref="L79" si="363">IF($D78=0,0,IF(L78=0,0,($E79*$D78*L78)+$AA$92))</f>
        <v>0</v>
      </c>
      <c r="M79" s="869">
        <f t="shared" ref="M79" si="364">IF($D78=0,0,IF(M78=0,0,($E79*$D78*M78)+$AA$92))</f>
        <v>0</v>
      </c>
      <c r="N79" s="869">
        <f t="shared" ref="N79" si="365">IF($D78=0,0,IF(N78=0,0,($E79*$D78*N78)+$AA$92))</f>
        <v>0</v>
      </c>
      <c r="O79" s="869">
        <f t="shared" ref="O79" si="366">IF($D78=0,0,IF(O78=0,0,($E79*$D78*O78)+$AA$92))</f>
        <v>0</v>
      </c>
      <c r="P79" s="869">
        <f t="shared" ref="P79" si="367">IF($D78=0,0,IF(P78=0,0,($E79*$D78*P78)+$AA$92))</f>
        <v>0</v>
      </c>
      <c r="Q79" s="869">
        <f t="shared" ref="Q79" si="368">IF($D78=0,0,IF(Q78=0,0,($E79*$D78*Q78)+$AA$92))</f>
        <v>0</v>
      </c>
      <c r="R79" s="869">
        <f t="shared" ref="R79" si="369">IF($D78=0,0,IF(R78=0,0,($E79*$D78*R78)+$AA$92))</f>
        <v>0</v>
      </c>
      <c r="S79" s="869">
        <f t="shared" ref="S79" si="370">IF($D78=0,0,IF(S78=0,0,($E79*$D78*S78)+$AA$92))</f>
        <v>0</v>
      </c>
      <c r="T79" s="869">
        <f t="shared" ref="T79" si="371">IF($D78=0,0,IF(T78=0,0,($E79*$D78*T78)+$AA$92))</f>
        <v>0</v>
      </c>
      <c r="U79" s="869">
        <f t="shared" ref="U79" si="372">IF($D78=0,0,IF(U78=0,0,($E79*$D78*U78)+$AA$92))</f>
        <v>0</v>
      </c>
      <c r="V79" s="869">
        <f t="shared" ref="V79" si="373">IF($D78=0,0,IF(V78=0,0,($E79*$D78*V78)+$AA$92))</f>
        <v>0</v>
      </c>
      <c r="W79" s="869">
        <f t="shared" ref="W79" si="374">IF($D78=0,0,IF(W78=0,0,($E79*$D78*W78)+$AA$92))</f>
        <v>0</v>
      </c>
      <c r="X79" s="121">
        <f>SUM(F79:W79)</f>
        <v>167267.70000000001</v>
      </c>
      <c r="Y79" s="118">
        <f>TRUNC(X79-D78*E79,2)</f>
        <v>0</v>
      </c>
      <c r="Z79" s="709">
        <f>+X79/D78</f>
        <v>1</v>
      </c>
    </row>
    <row r="80" spans="1:27" s="119" customFormat="1" ht="18" hidden="1" customHeight="1" thickBot="1" x14ac:dyDescent="0.2">
      <c r="A80" s="2417"/>
      <c r="B80" s="2420"/>
      <c r="C80" s="1657"/>
      <c r="D80" s="1653" t="s">
        <v>142</v>
      </c>
      <c r="E80" s="708">
        <f>1-E79</f>
        <v>0</v>
      </c>
      <c r="F80" s="868">
        <f>($D78*F78-F79)</f>
        <v>0</v>
      </c>
      <c r="G80" s="868">
        <f t="shared" ref="G80" si="375">($D78*G78-G79)</f>
        <v>0</v>
      </c>
      <c r="H80" s="868">
        <f t="shared" ref="H80" si="376">($D78*H78-H79)</f>
        <v>0</v>
      </c>
      <c r="I80" s="868">
        <f t="shared" ref="I80" si="377">($D78*I78-I79)</f>
        <v>0</v>
      </c>
      <c r="J80" s="868">
        <f t="shared" ref="J80" si="378">($D78*J78-J79)</f>
        <v>0</v>
      </c>
      <c r="K80" s="868">
        <f t="shared" ref="K80" si="379">($D78*K78-K79)</f>
        <v>0</v>
      </c>
      <c r="L80" s="868">
        <f t="shared" ref="L80" si="380">($D78*L78-L79)</f>
        <v>0</v>
      </c>
      <c r="M80" s="868">
        <f t="shared" ref="M80" si="381">($D78*M78-M79)</f>
        <v>0</v>
      </c>
      <c r="N80" s="868">
        <f t="shared" ref="N80" si="382">($D78*N78-N79)</f>
        <v>0</v>
      </c>
      <c r="O80" s="868">
        <f t="shared" ref="O80" si="383">($D78*O78-O79)</f>
        <v>0</v>
      </c>
      <c r="P80" s="868">
        <f t="shared" ref="P80" si="384">($D78*P78-P79)</f>
        <v>0</v>
      </c>
      <c r="Q80" s="868">
        <f t="shared" ref="Q80" si="385">($D78*Q78-Q79)</f>
        <v>0</v>
      </c>
      <c r="R80" s="868">
        <f t="shared" ref="R80" si="386">($D78*R78-R79)</f>
        <v>0</v>
      </c>
      <c r="S80" s="868">
        <f t="shared" ref="S80" si="387">($D78*S78-S79)</f>
        <v>0</v>
      </c>
      <c r="T80" s="868">
        <f t="shared" ref="T80" si="388">($D78*T78-T79)</f>
        <v>0</v>
      </c>
      <c r="U80" s="868">
        <f t="shared" ref="U80" si="389">($D78*U78-U79)</f>
        <v>0</v>
      </c>
      <c r="V80" s="868">
        <f t="shared" ref="V80" si="390">($D78*V78-V79)</f>
        <v>0</v>
      </c>
      <c r="W80" s="868">
        <f t="shared" ref="W80" si="391">($D78*W78-W79)</f>
        <v>0</v>
      </c>
      <c r="X80" s="122">
        <f>SUM(F80:W80)</f>
        <v>0</v>
      </c>
      <c r="Y80" s="118">
        <f>+D78-X79-X80</f>
        <v>0</v>
      </c>
    </row>
    <row r="81" spans="1:27" s="119" customFormat="1" ht="9.9499999999999993" hidden="1" customHeight="1" x14ac:dyDescent="0.15">
      <c r="A81" s="2415">
        <f ca="1">Orçamento_Não_Deson!B31</f>
        <v>12</v>
      </c>
      <c r="B81" s="2418" t="str">
        <f>Orçamento_Não_Deson!C31</f>
        <v>SERVIÇOS DE ENGENHARIA</v>
      </c>
      <c r="C81" s="1660"/>
      <c r="D81" s="1652"/>
      <c r="E81" s="116"/>
      <c r="F81" s="870">
        <f t="shared" ref="F81:M81" si="392">F82</f>
        <v>0</v>
      </c>
      <c r="G81" s="870">
        <f t="shared" si="392"/>
        <v>0</v>
      </c>
      <c r="H81" s="870">
        <f t="shared" si="392"/>
        <v>0</v>
      </c>
      <c r="I81" s="870">
        <f t="shared" si="392"/>
        <v>0</v>
      </c>
      <c r="J81" s="870">
        <f t="shared" si="392"/>
        <v>0</v>
      </c>
      <c r="K81" s="870">
        <f t="shared" si="392"/>
        <v>0</v>
      </c>
      <c r="L81" s="870">
        <f t="shared" si="392"/>
        <v>0</v>
      </c>
      <c r="M81" s="870">
        <f t="shared" si="392"/>
        <v>0</v>
      </c>
      <c r="N81" s="870">
        <f>N82</f>
        <v>0</v>
      </c>
      <c r="O81" s="870">
        <f t="shared" ref="O81:W81" si="393">O82</f>
        <v>0</v>
      </c>
      <c r="P81" s="870">
        <f t="shared" si="393"/>
        <v>0</v>
      </c>
      <c r="Q81" s="870">
        <f t="shared" si="393"/>
        <v>0</v>
      </c>
      <c r="R81" s="870">
        <f t="shared" si="393"/>
        <v>0</v>
      </c>
      <c r="S81" s="870">
        <f t="shared" si="393"/>
        <v>0</v>
      </c>
      <c r="T81" s="870">
        <f t="shared" si="393"/>
        <v>0</v>
      </c>
      <c r="U81" s="870">
        <f t="shared" si="393"/>
        <v>0</v>
      </c>
      <c r="V81" s="870">
        <f t="shared" si="393"/>
        <v>0</v>
      </c>
      <c r="W81" s="870">
        <f t="shared" si="393"/>
        <v>0</v>
      </c>
      <c r="X81" s="117"/>
      <c r="Y81" s="707">
        <f>+D82-X83-X84</f>
        <v>0</v>
      </c>
    </row>
    <row r="82" spans="1:27" s="119" customFormat="1" ht="18" hidden="1" customHeight="1" x14ac:dyDescent="0.15">
      <c r="A82" s="2416"/>
      <c r="B82" s="2419"/>
      <c r="C82" s="1656" t="str">
        <f>CONCATENATE(Orçamento_Não_Deson!H31," ",Orçamento_Não_Deson!I31)</f>
        <v>0 m²</v>
      </c>
      <c r="D82" s="2427">
        <f>Orçamento_Não_Deson!J31</f>
        <v>0</v>
      </c>
      <c r="E82" s="2428"/>
      <c r="F82" s="694"/>
      <c r="G82" s="694"/>
      <c r="H82" s="694"/>
      <c r="I82" s="694"/>
      <c r="J82" s="694"/>
      <c r="K82" s="694"/>
      <c r="L82" s="694"/>
      <c r="M82" s="694"/>
      <c r="N82" s="694"/>
      <c r="O82" s="694"/>
      <c r="P82" s="694"/>
      <c r="Q82" s="694"/>
      <c r="R82" s="694"/>
      <c r="S82" s="694"/>
      <c r="T82" s="694"/>
      <c r="U82" s="694"/>
      <c r="V82" s="694"/>
      <c r="W82" s="694"/>
      <c r="X82" s="120">
        <f>SUM(F82:W82)</f>
        <v>0</v>
      </c>
      <c r="Y82" s="585">
        <f>1-X82</f>
        <v>1</v>
      </c>
      <c r="AA82" s="710">
        <f>+COUNT(F82:W82)</f>
        <v>0</v>
      </c>
    </row>
    <row r="83" spans="1:27" s="119" customFormat="1" ht="18" hidden="1" customHeight="1" x14ac:dyDescent="0.15">
      <c r="A83" s="2416"/>
      <c r="B83" s="2419"/>
      <c r="C83" s="1656"/>
      <c r="D83" s="1687" t="s">
        <v>141</v>
      </c>
      <c r="E83" s="1688">
        <f>D$88</f>
        <v>1</v>
      </c>
      <c r="F83" s="869">
        <f>IF($D82=0,0,IF(F82=0,0,($E83*$D82*F82)+$AA$92))</f>
        <v>0</v>
      </c>
      <c r="G83" s="869">
        <f t="shared" ref="G83" si="394">IF($D82=0,0,IF(G82=0,0,($E83*$D82*G82)+$AA$92))</f>
        <v>0</v>
      </c>
      <c r="H83" s="869">
        <f t="shared" ref="H83" si="395">IF($D82=0,0,IF(H82=0,0,($E83*$D82*H82)+$AA$92))</f>
        <v>0</v>
      </c>
      <c r="I83" s="869">
        <f t="shared" ref="I83" si="396">IF($D82=0,0,IF(I82=0,0,($E83*$D82*I82)+$AA$92))</f>
        <v>0</v>
      </c>
      <c r="J83" s="869">
        <f t="shared" ref="J83" si="397">IF($D82=0,0,IF(J82=0,0,($E83*$D82*J82)+$AA$92))</f>
        <v>0</v>
      </c>
      <c r="K83" s="869">
        <f t="shared" ref="K83" si="398">IF($D82=0,0,IF(K82=0,0,($E83*$D82*K82)+$AA$92))</f>
        <v>0</v>
      </c>
      <c r="L83" s="869">
        <f t="shared" ref="L83" si="399">IF($D82=0,0,IF(L82=0,0,($E83*$D82*L82)+$AA$92))</f>
        <v>0</v>
      </c>
      <c r="M83" s="869">
        <f t="shared" ref="M83" si="400">IF($D82=0,0,IF(M82=0,0,($E83*$D82*M82)+$AA$92))</f>
        <v>0</v>
      </c>
      <c r="N83" s="869">
        <f t="shared" ref="N83" si="401">IF($D82=0,0,IF(N82=0,0,($E83*$D82*N82)+$AA$92))</f>
        <v>0</v>
      </c>
      <c r="O83" s="869">
        <f t="shared" ref="O83" si="402">IF($D82=0,0,IF(O82=0,0,($E83*$D82*O82)+$AA$92))</f>
        <v>0</v>
      </c>
      <c r="P83" s="869">
        <f t="shared" ref="P83" si="403">IF($D82=0,0,IF(P82=0,0,($E83*$D82*P82)+$AA$92))</f>
        <v>0</v>
      </c>
      <c r="Q83" s="869">
        <f t="shared" ref="Q83" si="404">IF($D82=0,0,IF(Q82=0,0,($E83*$D82*Q82)+$AA$92))</f>
        <v>0</v>
      </c>
      <c r="R83" s="869">
        <f t="shared" ref="R83" si="405">IF($D82=0,0,IF(R82=0,0,($E83*$D82*R82)+$AA$92))</f>
        <v>0</v>
      </c>
      <c r="S83" s="869">
        <f t="shared" ref="S83" si="406">IF($D82=0,0,IF(S82=0,0,($E83*$D82*S82)+$AA$92))</f>
        <v>0</v>
      </c>
      <c r="T83" s="869">
        <f t="shared" ref="T83" si="407">IF($D82=0,0,IF(T82=0,0,($E83*$D82*T82)+$AA$92))</f>
        <v>0</v>
      </c>
      <c r="U83" s="869">
        <f t="shared" ref="U83" si="408">IF($D82=0,0,IF(U82=0,0,($E83*$D82*U82)+$AA$92))</f>
        <v>0</v>
      </c>
      <c r="V83" s="869">
        <f t="shared" ref="V83" si="409">IF($D82=0,0,IF(V82=0,0,($E83*$D82*V82)+$AA$92))</f>
        <v>0</v>
      </c>
      <c r="W83" s="869">
        <f t="shared" ref="W83" si="410">IF($D82=0,0,IF(W82=0,0,($E83*$D82*W82)+$AA$92))</f>
        <v>0</v>
      </c>
      <c r="X83" s="121">
        <f>SUM(F83:W83)</f>
        <v>0</v>
      </c>
      <c r="Y83" s="118">
        <f>TRUNC(X83-D82*E83,2)</f>
        <v>0</v>
      </c>
      <c r="Z83" s="709" t="e">
        <f>+X83/D82</f>
        <v>#DIV/0!</v>
      </c>
    </row>
    <row r="84" spans="1:27" s="119" customFormat="1" ht="18" hidden="1" customHeight="1" thickBot="1" x14ac:dyDescent="0.2">
      <c r="A84" s="2417"/>
      <c r="B84" s="2420"/>
      <c r="C84" s="1657"/>
      <c r="D84" s="1653" t="s">
        <v>142</v>
      </c>
      <c r="E84" s="708">
        <f>1-E83</f>
        <v>0</v>
      </c>
      <c r="F84" s="868">
        <f>($D82*F82-F83)</f>
        <v>0</v>
      </c>
      <c r="G84" s="868">
        <f t="shared" ref="G84" si="411">($D82*G82-G83)</f>
        <v>0</v>
      </c>
      <c r="H84" s="868">
        <f t="shared" ref="H84" si="412">($D82*H82-H83)</f>
        <v>0</v>
      </c>
      <c r="I84" s="868">
        <f t="shared" ref="I84" si="413">($D82*I82-I83)</f>
        <v>0</v>
      </c>
      <c r="J84" s="868">
        <f t="shared" ref="J84" si="414">($D82*J82-J83)</f>
        <v>0</v>
      </c>
      <c r="K84" s="868">
        <f t="shared" ref="K84" si="415">($D82*K82-K83)</f>
        <v>0</v>
      </c>
      <c r="L84" s="868">
        <f t="shared" ref="L84" si="416">($D82*L82-L83)</f>
        <v>0</v>
      </c>
      <c r="M84" s="868">
        <f t="shared" ref="M84" si="417">($D82*M82-M83)</f>
        <v>0</v>
      </c>
      <c r="N84" s="868">
        <f t="shared" ref="N84" si="418">($D82*N82-N83)</f>
        <v>0</v>
      </c>
      <c r="O84" s="868">
        <f t="shared" ref="O84" si="419">($D82*O82-O83)</f>
        <v>0</v>
      </c>
      <c r="P84" s="868">
        <f t="shared" ref="P84" si="420">($D82*P82-P83)</f>
        <v>0</v>
      </c>
      <c r="Q84" s="868">
        <f t="shared" ref="Q84" si="421">($D82*Q82-Q83)</f>
        <v>0</v>
      </c>
      <c r="R84" s="868">
        <f t="shared" ref="R84" si="422">($D82*R82-R83)</f>
        <v>0</v>
      </c>
      <c r="S84" s="868">
        <f t="shared" ref="S84" si="423">($D82*S82-S83)</f>
        <v>0</v>
      </c>
      <c r="T84" s="868">
        <f t="shared" ref="T84" si="424">($D82*T82-T83)</f>
        <v>0</v>
      </c>
      <c r="U84" s="868">
        <f t="shared" ref="U84" si="425">($D82*U82-U83)</f>
        <v>0</v>
      </c>
      <c r="V84" s="868">
        <f t="shared" ref="V84" si="426">($D82*V82-V83)</f>
        <v>0</v>
      </c>
      <c r="W84" s="868">
        <f t="shared" ref="W84" si="427">($D82*W82-W83)</f>
        <v>0</v>
      </c>
      <c r="X84" s="122">
        <f>SUM(F84:W84)</f>
        <v>0</v>
      </c>
      <c r="Y84" s="118">
        <f>+D82-X83-X84</f>
        <v>0</v>
      </c>
    </row>
    <row r="85" spans="1:27" s="123" customFormat="1" ht="18" customHeight="1" x14ac:dyDescent="0.15">
      <c r="A85" s="178"/>
      <c r="B85" s="2429" t="s">
        <v>70</v>
      </c>
      <c r="C85" s="1681"/>
      <c r="D85" s="2431">
        <f ca="1">SUM(D10:D84)</f>
        <v>3679055.58</v>
      </c>
      <c r="E85" s="2432"/>
      <c r="F85" s="131">
        <f t="shared" ref="F85" ca="1" si="428">F87+F89</f>
        <v>446242.06890000007</v>
      </c>
      <c r="G85" s="131">
        <f t="shared" ref="G85:W85" ca="1" si="429">G87+G89</f>
        <v>737325.60699999996</v>
      </c>
      <c r="H85" s="131">
        <f t="shared" ca="1" si="429"/>
        <v>716627.12349999999</v>
      </c>
      <c r="I85" s="131">
        <f t="shared" ca="1" si="429"/>
        <v>666675.02390000003</v>
      </c>
      <c r="J85" s="131">
        <f t="shared" ca="1" si="429"/>
        <v>661574.1263</v>
      </c>
      <c r="K85" s="131">
        <f t="shared" ca="1" si="429"/>
        <v>450611.63040000008</v>
      </c>
      <c r="L85" s="131">
        <f t="shared" ca="1" si="429"/>
        <v>0</v>
      </c>
      <c r="M85" s="131">
        <f t="shared" ca="1" si="429"/>
        <v>0</v>
      </c>
      <c r="N85" s="131">
        <f t="shared" ca="1" si="429"/>
        <v>0</v>
      </c>
      <c r="O85" s="131">
        <f t="shared" ca="1" si="429"/>
        <v>0</v>
      </c>
      <c r="P85" s="131">
        <f t="shared" ca="1" si="429"/>
        <v>0</v>
      </c>
      <c r="Q85" s="131">
        <f t="shared" ca="1" si="429"/>
        <v>0</v>
      </c>
      <c r="R85" s="131">
        <f t="shared" ca="1" si="429"/>
        <v>0</v>
      </c>
      <c r="S85" s="131">
        <f t="shared" ca="1" si="429"/>
        <v>0</v>
      </c>
      <c r="T85" s="131">
        <f t="shared" ca="1" si="429"/>
        <v>0</v>
      </c>
      <c r="U85" s="131">
        <f t="shared" ca="1" si="429"/>
        <v>0</v>
      </c>
      <c r="V85" s="131">
        <f t="shared" ca="1" si="429"/>
        <v>0</v>
      </c>
      <c r="W85" s="131">
        <f t="shared" ca="1" si="429"/>
        <v>0</v>
      </c>
      <c r="X85" s="181">
        <f t="shared" ref="X85:X90" ca="1" si="430">SUM(F85:W85)</f>
        <v>3679055.5800000005</v>
      </c>
      <c r="Y85" s="118">
        <f ca="1">+X85-D85</f>
        <v>0</v>
      </c>
    </row>
    <row r="86" spans="1:27" s="123" customFormat="1" ht="18" customHeight="1" x14ac:dyDescent="0.15">
      <c r="A86" s="179"/>
      <c r="B86" s="2430"/>
      <c r="C86" s="1682"/>
      <c r="D86" s="2425">
        <v>1</v>
      </c>
      <c r="E86" s="2426"/>
      <c r="F86" s="186">
        <f t="shared" ref="F86" ca="1" si="431">F85/$D85</f>
        <v>0.12129255978785732</v>
      </c>
      <c r="G86" s="186">
        <f t="shared" ref="G86:W86" ca="1" si="432">G85/$D85</f>
        <v>0.20041165211208903</v>
      </c>
      <c r="H86" s="186">
        <f t="shared" ca="1" si="432"/>
        <v>0.19478562036293021</v>
      </c>
      <c r="I86" s="186">
        <f t="shared" ca="1" si="432"/>
        <v>0.18120819580007541</v>
      </c>
      <c r="J86" s="186">
        <f t="shared" ca="1" si="432"/>
        <v>0.17982172650406114</v>
      </c>
      <c r="K86" s="186">
        <f t="shared" ca="1" si="432"/>
        <v>0.12248024543298693</v>
      </c>
      <c r="L86" s="186">
        <f t="shared" ca="1" si="432"/>
        <v>0</v>
      </c>
      <c r="M86" s="186">
        <f t="shared" ca="1" si="432"/>
        <v>0</v>
      </c>
      <c r="N86" s="186">
        <f t="shared" ca="1" si="432"/>
        <v>0</v>
      </c>
      <c r="O86" s="186">
        <f t="shared" ca="1" si="432"/>
        <v>0</v>
      </c>
      <c r="P86" s="186">
        <f t="shared" ca="1" si="432"/>
        <v>0</v>
      </c>
      <c r="Q86" s="186">
        <f t="shared" ca="1" si="432"/>
        <v>0</v>
      </c>
      <c r="R86" s="186">
        <f t="shared" ca="1" si="432"/>
        <v>0</v>
      </c>
      <c r="S86" s="186">
        <f t="shared" ca="1" si="432"/>
        <v>0</v>
      </c>
      <c r="T86" s="186">
        <f t="shared" ca="1" si="432"/>
        <v>0</v>
      </c>
      <c r="U86" s="186">
        <f t="shared" ca="1" si="432"/>
        <v>0</v>
      </c>
      <c r="V86" s="186">
        <f t="shared" ca="1" si="432"/>
        <v>0</v>
      </c>
      <c r="W86" s="186">
        <f t="shared" ca="1" si="432"/>
        <v>0</v>
      </c>
      <c r="X86" s="182">
        <f t="shared" ca="1" si="430"/>
        <v>1</v>
      </c>
      <c r="Y86" s="118"/>
    </row>
    <row r="87" spans="1:27" s="123" customFormat="1" ht="18" hidden="1" customHeight="1" x14ac:dyDescent="0.15">
      <c r="A87" s="180"/>
      <c r="B87" s="2423" t="s">
        <v>68</v>
      </c>
      <c r="C87" s="1683"/>
      <c r="D87" s="2421">
        <f ca="1">TRUNC(D85*D88,2)</f>
        <v>3679055.58</v>
      </c>
      <c r="E87" s="2422"/>
      <c r="F87" s="177">
        <f ca="1">+F11+F15+F19+F23+F27+F31+F35+F39+F43+F47+F51+F55+F59+F63+F67+F71+F75+F79+F83</f>
        <v>446242.06890000007</v>
      </c>
      <c r="G87" s="177">
        <f t="shared" ref="G87:W87" ca="1" si="433">+G11+G15+G19+G23+G27+G31+G35+G39+G43+G47+G51+G55+G59+G63+G67+G71+G75+G79+G83</f>
        <v>737325.60699999996</v>
      </c>
      <c r="H87" s="177">
        <f t="shared" ca="1" si="433"/>
        <v>716627.12349999999</v>
      </c>
      <c r="I87" s="177">
        <f t="shared" ca="1" si="433"/>
        <v>666675.02390000003</v>
      </c>
      <c r="J87" s="177">
        <f t="shared" ca="1" si="433"/>
        <v>661574.1263</v>
      </c>
      <c r="K87" s="177">
        <f t="shared" ca="1" si="433"/>
        <v>450611.63040000008</v>
      </c>
      <c r="L87" s="177">
        <f t="shared" ca="1" si="433"/>
        <v>0</v>
      </c>
      <c r="M87" s="177">
        <f t="shared" ca="1" si="433"/>
        <v>0</v>
      </c>
      <c r="N87" s="177">
        <f t="shared" ca="1" si="433"/>
        <v>0</v>
      </c>
      <c r="O87" s="177">
        <f t="shared" ca="1" si="433"/>
        <v>0</v>
      </c>
      <c r="P87" s="177">
        <f t="shared" ca="1" si="433"/>
        <v>0</v>
      </c>
      <c r="Q87" s="177">
        <f t="shared" ca="1" si="433"/>
        <v>0</v>
      </c>
      <c r="R87" s="177">
        <f t="shared" ca="1" si="433"/>
        <v>0</v>
      </c>
      <c r="S87" s="177">
        <f t="shared" ca="1" si="433"/>
        <v>0</v>
      </c>
      <c r="T87" s="177">
        <f t="shared" ca="1" si="433"/>
        <v>0</v>
      </c>
      <c r="U87" s="177">
        <f t="shared" ca="1" si="433"/>
        <v>0</v>
      </c>
      <c r="V87" s="177">
        <f t="shared" ca="1" si="433"/>
        <v>0</v>
      </c>
      <c r="W87" s="177">
        <f t="shared" ca="1" si="433"/>
        <v>0</v>
      </c>
      <c r="X87" s="124">
        <f t="shared" ca="1" si="430"/>
        <v>3679055.5800000005</v>
      </c>
      <c r="Y87" s="118">
        <f ca="1">+X87-D87</f>
        <v>0</v>
      </c>
      <c r="Z87" s="709">
        <f ca="1">+X87/X85</f>
        <v>1</v>
      </c>
      <c r="AA87" s="711">
        <f>SUM(AA10:AA83)</f>
        <v>58</v>
      </c>
    </row>
    <row r="88" spans="1:27" s="123" customFormat="1" ht="18" hidden="1" customHeight="1" x14ac:dyDescent="0.15">
      <c r="A88" s="179"/>
      <c r="B88" s="2424"/>
      <c r="C88" s="1684"/>
      <c r="D88" s="2447">
        <v>1</v>
      </c>
      <c r="E88" s="2448"/>
      <c r="F88" s="186">
        <f t="shared" ref="F88:W88" ca="1" si="434">F87/$D87</f>
        <v>0.12129255978785732</v>
      </c>
      <c r="G88" s="186">
        <f t="shared" ca="1" si="434"/>
        <v>0.20041165211208903</v>
      </c>
      <c r="H88" s="186">
        <f t="shared" ca="1" si="434"/>
        <v>0.19478562036293021</v>
      </c>
      <c r="I88" s="186">
        <f t="shared" ca="1" si="434"/>
        <v>0.18120819580007541</v>
      </c>
      <c r="J88" s="186">
        <f t="shared" ca="1" si="434"/>
        <v>0.17982172650406114</v>
      </c>
      <c r="K88" s="186">
        <f t="shared" ca="1" si="434"/>
        <v>0.12248024543298693</v>
      </c>
      <c r="L88" s="186">
        <f t="shared" ca="1" si="434"/>
        <v>0</v>
      </c>
      <c r="M88" s="186">
        <f t="shared" ca="1" si="434"/>
        <v>0</v>
      </c>
      <c r="N88" s="186">
        <f t="shared" ca="1" si="434"/>
        <v>0</v>
      </c>
      <c r="O88" s="186">
        <f t="shared" ca="1" si="434"/>
        <v>0</v>
      </c>
      <c r="P88" s="186">
        <f t="shared" ca="1" si="434"/>
        <v>0</v>
      </c>
      <c r="Q88" s="186">
        <f t="shared" ca="1" si="434"/>
        <v>0</v>
      </c>
      <c r="R88" s="186">
        <f t="shared" ca="1" si="434"/>
        <v>0</v>
      </c>
      <c r="S88" s="186">
        <f t="shared" ca="1" si="434"/>
        <v>0</v>
      </c>
      <c r="T88" s="186">
        <f t="shared" ca="1" si="434"/>
        <v>0</v>
      </c>
      <c r="U88" s="186">
        <f t="shared" ca="1" si="434"/>
        <v>0</v>
      </c>
      <c r="V88" s="186">
        <f t="shared" ca="1" si="434"/>
        <v>0</v>
      </c>
      <c r="W88" s="186">
        <f t="shared" ca="1" si="434"/>
        <v>0</v>
      </c>
      <c r="X88" s="182">
        <f t="shared" ca="1" si="430"/>
        <v>1</v>
      </c>
      <c r="Y88" s="118"/>
      <c r="Z88" s="712">
        <f ca="1">+Y87/AA87</f>
        <v>0</v>
      </c>
      <c r="AA88" s="711"/>
    </row>
    <row r="89" spans="1:27" s="123" customFormat="1" ht="18" hidden="1" customHeight="1" x14ac:dyDescent="0.15">
      <c r="A89" s="180"/>
      <c r="B89" s="2423" t="s">
        <v>67</v>
      </c>
      <c r="C89" s="1683"/>
      <c r="D89" s="2421">
        <f ca="1">D85-D87</f>
        <v>0</v>
      </c>
      <c r="E89" s="2422"/>
      <c r="F89" s="177">
        <f ca="1">+F12+F16+F20+F24+F28+F32+F36+F40+F44+F48+F52+F56+F60+F64+F68+F72+F76+F80+F84</f>
        <v>0</v>
      </c>
      <c r="G89" s="177">
        <f t="shared" ref="G89:W89" ca="1" si="435">+G12+G16+G20+G24+G28+G32+G36+G40+G44+G48+G52+G56+G60+G64+G68+G72+G76+G80+G84</f>
        <v>0</v>
      </c>
      <c r="H89" s="177">
        <f t="shared" ca="1" si="435"/>
        <v>0</v>
      </c>
      <c r="I89" s="177">
        <f t="shared" ca="1" si="435"/>
        <v>0</v>
      </c>
      <c r="J89" s="177">
        <f t="shared" ca="1" si="435"/>
        <v>0</v>
      </c>
      <c r="K89" s="177">
        <f t="shared" ca="1" si="435"/>
        <v>0</v>
      </c>
      <c r="L89" s="177">
        <f t="shared" ca="1" si="435"/>
        <v>0</v>
      </c>
      <c r="M89" s="177">
        <f t="shared" ca="1" si="435"/>
        <v>0</v>
      </c>
      <c r="N89" s="177">
        <f t="shared" ca="1" si="435"/>
        <v>0</v>
      </c>
      <c r="O89" s="177">
        <f t="shared" ca="1" si="435"/>
        <v>0</v>
      </c>
      <c r="P89" s="177">
        <f t="shared" ca="1" si="435"/>
        <v>0</v>
      </c>
      <c r="Q89" s="177">
        <f t="shared" ca="1" si="435"/>
        <v>0</v>
      </c>
      <c r="R89" s="177">
        <f t="shared" ca="1" si="435"/>
        <v>0</v>
      </c>
      <c r="S89" s="177">
        <f t="shared" ca="1" si="435"/>
        <v>0</v>
      </c>
      <c r="T89" s="177">
        <f t="shared" ca="1" si="435"/>
        <v>0</v>
      </c>
      <c r="U89" s="177">
        <f t="shared" ca="1" si="435"/>
        <v>0</v>
      </c>
      <c r="V89" s="177">
        <f t="shared" ca="1" si="435"/>
        <v>0</v>
      </c>
      <c r="W89" s="177">
        <f t="shared" ca="1" si="435"/>
        <v>0</v>
      </c>
      <c r="X89" s="124">
        <f t="shared" ca="1" si="430"/>
        <v>0</v>
      </c>
      <c r="Y89" s="118">
        <f ca="1">+X89-D89</f>
        <v>0</v>
      </c>
    </row>
    <row r="90" spans="1:27" s="123" customFormat="1" ht="18" hidden="1" customHeight="1" x14ac:dyDescent="0.15">
      <c r="A90" s="179"/>
      <c r="B90" s="2424"/>
      <c r="C90" s="1684"/>
      <c r="D90" s="2447">
        <f>D86-D88</f>
        <v>0</v>
      </c>
      <c r="E90" s="2448"/>
      <c r="F90" s="186">
        <f t="shared" ref="F90" ca="1" si="436">IF(F89=0,0,F89/$D89)</f>
        <v>0</v>
      </c>
      <c r="G90" s="186">
        <f t="shared" ref="G90:W90" ca="1" si="437">IF(G89=0,0,G89/$D89)</f>
        <v>0</v>
      </c>
      <c r="H90" s="186">
        <f t="shared" ca="1" si="437"/>
        <v>0</v>
      </c>
      <c r="I90" s="186">
        <f t="shared" ca="1" si="437"/>
        <v>0</v>
      </c>
      <c r="J90" s="186">
        <f t="shared" ca="1" si="437"/>
        <v>0</v>
      </c>
      <c r="K90" s="186">
        <f t="shared" ca="1" si="437"/>
        <v>0</v>
      </c>
      <c r="L90" s="186">
        <f t="shared" ca="1" si="437"/>
        <v>0</v>
      </c>
      <c r="M90" s="186">
        <f t="shared" ca="1" si="437"/>
        <v>0</v>
      </c>
      <c r="N90" s="186">
        <f t="shared" ca="1" si="437"/>
        <v>0</v>
      </c>
      <c r="O90" s="186">
        <f t="shared" ca="1" si="437"/>
        <v>0</v>
      </c>
      <c r="P90" s="186">
        <f t="shared" ca="1" si="437"/>
        <v>0</v>
      </c>
      <c r="Q90" s="186">
        <f t="shared" ca="1" si="437"/>
        <v>0</v>
      </c>
      <c r="R90" s="186">
        <f t="shared" ca="1" si="437"/>
        <v>0</v>
      </c>
      <c r="S90" s="186">
        <f t="shared" ca="1" si="437"/>
        <v>0</v>
      </c>
      <c r="T90" s="186">
        <f t="shared" ca="1" si="437"/>
        <v>0</v>
      </c>
      <c r="U90" s="186">
        <f t="shared" ca="1" si="437"/>
        <v>0</v>
      </c>
      <c r="V90" s="186">
        <f t="shared" ca="1" si="437"/>
        <v>0</v>
      </c>
      <c r="W90" s="186">
        <f t="shared" ca="1" si="437"/>
        <v>0</v>
      </c>
      <c r="X90" s="182">
        <f t="shared" ca="1" si="430"/>
        <v>0</v>
      </c>
      <c r="Y90" s="118"/>
    </row>
    <row r="91" spans="1:27" s="123" customFormat="1" ht="18" customHeight="1" thickBot="1" x14ac:dyDescent="0.2">
      <c r="A91" s="180"/>
      <c r="B91" s="2423" t="s">
        <v>69</v>
      </c>
      <c r="C91" s="1685"/>
      <c r="D91" s="125"/>
      <c r="E91" s="184" t="s">
        <v>199</v>
      </c>
      <c r="F91" s="177">
        <f ca="1">F85</f>
        <v>446242.06890000007</v>
      </c>
      <c r="G91" s="177">
        <f t="shared" ref="G91:W91" ca="1" si="438">G85</f>
        <v>737325.60699999996</v>
      </c>
      <c r="H91" s="177">
        <f t="shared" ca="1" si="438"/>
        <v>716627.12349999999</v>
      </c>
      <c r="I91" s="177">
        <f t="shared" ca="1" si="438"/>
        <v>666675.02390000003</v>
      </c>
      <c r="J91" s="177">
        <f t="shared" ca="1" si="438"/>
        <v>661574.1263</v>
      </c>
      <c r="K91" s="177">
        <f t="shared" ca="1" si="438"/>
        <v>450611.63040000008</v>
      </c>
      <c r="L91" s="177">
        <f t="shared" ca="1" si="438"/>
        <v>0</v>
      </c>
      <c r="M91" s="177">
        <f t="shared" ca="1" si="438"/>
        <v>0</v>
      </c>
      <c r="N91" s="177">
        <f t="shared" ca="1" si="438"/>
        <v>0</v>
      </c>
      <c r="O91" s="177">
        <f t="shared" ca="1" si="438"/>
        <v>0</v>
      </c>
      <c r="P91" s="177">
        <f t="shared" ca="1" si="438"/>
        <v>0</v>
      </c>
      <c r="Q91" s="177">
        <f t="shared" ca="1" si="438"/>
        <v>0</v>
      </c>
      <c r="R91" s="177">
        <f t="shared" ca="1" si="438"/>
        <v>0</v>
      </c>
      <c r="S91" s="177">
        <f t="shared" ca="1" si="438"/>
        <v>0</v>
      </c>
      <c r="T91" s="177">
        <f t="shared" ca="1" si="438"/>
        <v>0</v>
      </c>
      <c r="U91" s="177">
        <f t="shared" ca="1" si="438"/>
        <v>0</v>
      </c>
      <c r="V91" s="177">
        <f t="shared" ca="1" si="438"/>
        <v>0</v>
      </c>
      <c r="W91" s="177">
        <f t="shared" ca="1" si="438"/>
        <v>0</v>
      </c>
      <c r="X91" s="126"/>
      <c r="Y91" s="118">
        <f ca="1">+X89+X87-X85</f>
        <v>0</v>
      </c>
    </row>
    <row r="92" spans="1:27" ht="18" customHeight="1" thickBot="1" x14ac:dyDescent="0.2">
      <c r="A92" s="183"/>
      <c r="B92" s="2449"/>
      <c r="C92" s="1686"/>
      <c r="D92" s="125"/>
      <c r="E92" s="185" t="s">
        <v>200</v>
      </c>
      <c r="F92" s="2250">
        <f t="shared" ref="F92" ca="1" si="439">F91/$D85</f>
        <v>0.12129255978785732</v>
      </c>
      <c r="G92" s="2250">
        <f t="shared" ref="G92:W92" ca="1" si="440">G91/$D85</f>
        <v>0.20041165211208903</v>
      </c>
      <c r="H92" s="2250">
        <f t="shared" ca="1" si="440"/>
        <v>0.19478562036293021</v>
      </c>
      <c r="I92" s="2250">
        <f t="shared" ca="1" si="440"/>
        <v>0.18120819580007541</v>
      </c>
      <c r="J92" s="2250">
        <f t="shared" ca="1" si="440"/>
        <v>0.17982172650406114</v>
      </c>
      <c r="K92" s="2250">
        <f t="shared" ca="1" si="440"/>
        <v>0.12248024543298693</v>
      </c>
      <c r="L92" s="2250">
        <f t="shared" ca="1" si="440"/>
        <v>0</v>
      </c>
      <c r="M92" s="2250">
        <f t="shared" ca="1" si="440"/>
        <v>0</v>
      </c>
      <c r="N92" s="2250">
        <f t="shared" ca="1" si="440"/>
        <v>0</v>
      </c>
      <c r="O92" s="2250">
        <f t="shared" ca="1" si="440"/>
        <v>0</v>
      </c>
      <c r="P92" s="2250">
        <f t="shared" ca="1" si="440"/>
        <v>0</v>
      </c>
      <c r="Q92" s="2250">
        <f t="shared" ca="1" si="440"/>
        <v>0</v>
      </c>
      <c r="R92" s="2250">
        <f t="shared" ca="1" si="440"/>
        <v>0</v>
      </c>
      <c r="S92" s="2250">
        <f t="shared" ca="1" si="440"/>
        <v>0</v>
      </c>
      <c r="T92" s="2250">
        <f t="shared" ca="1" si="440"/>
        <v>0</v>
      </c>
      <c r="U92" s="2250">
        <f t="shared" ca="1" si="440"/>
        <v>0</v>
      </c>
      <c r="V92" s="2250">
        <f t="shared" ca="1" si="440"/>
        <v>0</v>
      </c>
      <c r="W92" s="2250">
        <f t="shared" ca="1" si="440"/>
        <v>0</v>
      </c>
      <c r="X92" s="126"/>
    </row>
    <row r="93" spans="1:27" s="110" customFormat="1" ht="18" hidden="1" customHeight="1" x14ac:dyDescent="0.15">
      <c r="A93" s="109"/>
      <c r="B93" s="109"/>
      <c r="C93" s="109"/>
      <c r="D93" s="109"/>
      <c r="E93" s="127"/>
      <c r="F93" s="109"/>
      <c r="G93" s="109"/>
      <c r="H93" s="109"/>
      <c r="I93" s="109"/>
      <c r="J93" s="109"/>
      <c r="K93" s="109"/>
      <c r="L93" s="109"/>
      <c r="M93" s="109"/>
      <c r="N93" s="109"/>
      <c r="O93" s="109"/>
      <c r="P93" s="109"/>
      <c r="Q93" s="109"/>
      <c r="R93" s="109"/>
      <c r="S93" s="109"/>
      <c r="T93" s="109"/>
      <c r="U93" s="109"/>
      <c r="V93" s="109"/>
      <c r="W93" s="109"/>
      <c r="X93" s="109"/>
      <c r="Y93" s="118"/>
    </row>
    <row r="94" spans="1:27" s="110" customFormat="1" ht="18" hidden="1" customHeight="1" x14ac:dyDescent="0.15">
      <c r="A94" s="109"/>
      <c r="B94" s="109"/>
      <c r="C94" s="109"/>
      <c r="D94" s="109"/>
      <c r="E94" s="127"/>
      <c r="F94" s="109"/>
      <c r="G94" s="109"/>
      <c r="H94" s="109"/>
      <c r="I94" s="109"/>
      <c r="J94" s="109"/>
      <c r="K94" s="109"/>
      <c r="L94" s="109"/>
      <c r="M94" s="109"/>
      <c r="N94" s="109"/>
      <c r="O94" s="109"/>
      <c r="P94" s="109"/>
      <c r="Q94" s="109"/>
      <c r="R94" s="109"/>
      <c r="S94" s="109"/>
      <c r="T94" s="109"/>
      <c r="U94" s="109"/>
      <c r="V94" s="109"/>
      <c r="W94" s="109"/>
      <c r="X94" s="109"/>
      <c r="Y94" s="118"/>
    </row>
    <row r="95" spans="1:27" s="110" customFormat="1" ht="18" hidden="1" customHeight="1" x14ac:dyDescent="0.15">
      <c r="F95" s="2439" t="s">
        <v>668</v>
      </c>
      <c r="G95" s="2439"/>
      <c r="H95" s="2439"/>
      <c r="I95" s="2439"/>
      <c r="J95" s="2440" t="s">
        <v>201</v>
      </c>
      <c r="K95" s="2440"/>
      <c r="L95" s="2440"/>
      <c r="M95" s="2440"/>
    </row>
    <row r="96" spans="1:27" s="110" customFormat="1" ht="18" hidden="1" customHeight="1" x14ac:dyDescent="0.15">
      <c r="B96" s="163" t="str">
        <f>IF(B95=B84,"PLANILHA CORRETA","PLANILHA ERRADA")</f>
        <v>PLANILHA CORRETA</v>
      </c>
      <c r="C96" s="163"/>
      <c r="D96" s="123">
        <f ca="1">Orçamento_Não_Deson!J12</f>
        <v>3679055.58</v>
      </c>
      <c r="F96" s="2439"/>
      <c r="G96" s="2439"/>
      <c r="H96" s="2439"/>
      <c r="I96" s="2439"/>
      <c r="J96" s="2440"/>
      <c r="K96" s="2440"/>
      <c r="L96" s="2440"/>
      <c r="M96" s="2440"/>
    </row>
    <row r="97" spans="4:5" s="110" customFormat="1" ht="18" hidden="1" customHeight="1" x14ac:dyDescent="0.15"/>
    <row r="98" spans="4:5" ht="18" hidden="1" customHeight="1" x14ac:dyDescent="0.15">
      <c r="E98" s="104"/>
    </row>
    <row r="99" spans="4:5" ht="18" hidden="1" customHeight="1" x14ac:dyDescent="0.15">
      <c r="E99" s="104"/>
    </row>
    <row r="100" spans="4:5" x14ac:dyDescent="0.15">
      <c r="E100" s="104"/>
    </row>
    <row r="101" spans="4:5" x14ac:dyDescent="0.15">
      <c r="E101" s="104"/>
    </row>
    <row r="102" spans="4:5" x14ac:dyDescent="0.15">
      <c r="E102" s="104"/>
    </row>
    <row r="103" spans="4:5" x14ac:dyDescent="0.15">
      <c r="E103" s="104"/>
    </row>
    <row r="104" spans="4:5" x14ac:dyDescent="0.15">
      <c r="D104" s="1650"/>
    </row>
    <row r="105" spans="4:5" x14ac:dyDescent="0.15">
      <c r="D105" s="1650"/>
    </row>
    <row r="106" spans="4:5" ht="12.75" x14ac:dyDescent="0.15">
      <c r="E106" s="850"/>
    </row>
    <row r="107" spans="4:5" ht="12.75" x14ac:dyDescent="0.15">
      <c r="D107" s="850"/>
      <c r="E107" s="850"/>
    </row>
    <row r="108" spans="4:5" ht="12.75" x14ac:dyDescent="0.15">
      <c r="D108" s="850"/>
      <c r="E108" s="850"/>
    </row>
    <row r="109" spans="4:5" ht="12.75" x14ac:dyDescent="0.15">
      <c r="D109" s="850"/>
      <c r="E109" s="850"/>
    </row>
    <row r="110" spans="4:5" ht="12.75" x14ac:dyDescent="0.15">
      <c r="E110" s="850"/>
    </row>
    <row r="111" spans="4:5" ht="12.75" x14ac:dyDescent="0.15">
      <c r="D111" s="850"/>
      <c r="E111" s="850"/>
    </row>
    <row r="112" spans="4:5" ht="12.75" x14ac:dyDescent="0.15">
      <c r="D112" s="850"/>
      <c r="E112" s="850"/>
    </row>
    <row r="113" spans="4:5" ht="12.75" x14ac:dyDescent="0.15">
      <c r="D113" s="850"/>
      <c r="E113" s="850"/>
    </row>
    <row r="114" spans="4:5" ht="12.75" x14ac:dyDescent="0.15">
      <c r="D114" s="832"/>
      <c r="E114" s="815"/>
    </row>
    <row r="115" spans="4:5" ht="12.75" x14ac:dyDescent="0.15">
      <c r="D115" s="832"/>
      <c r="E115" s="815"/>
    </row>
    <row r="116" spans="4:5" ht="12.75" x14ac:dyDescent="0.15">
      <c r="D116" s="832"/>
      <c r="E116" s="815"/>
    </row>
    <row r="117" spans="4:5" ht="12.75" x14ac:dyDescent="0.15">
      <c r="D117" s="832"/>
      <c r="E117" s="815"/>
    </row>
    <row r="118" spans="4:5" ht="12.75" x14ac:dyDescent="0.15">
      <c r="E118" s="815"/>
    </row>
    <row r="119" spans="4:5" ht="12.75" x14ac:dyDescent="0.15">
      <c r="D119" s="850"/>
      <c r="E119" s="815"/>
    </row>
    <row r="120" spans="4:5" ht="12.75" x14ac:dyDescent="0.15">
      <c r="D120" s="850"/>
      <c r="E120" s="815"/>
    </row>
    <row r="121" spans="4:5" ht="12.75" x14ac:dyDescent="0.15">
      <c r="D121" s="850"/>
      <c r="E121" s="815"/>
    </row>
    <row r="122" spans="4:5" ht="12.75" x14ac:dyDescent="0.15">
      <c r="D122" s="815"/>
      <c r="E122" s="815"/>
    </row>
    <row r="123" spans="4:5" ht="12.75" x14ac:dyDescent="0.15">
      <c r="D123" s="815"/>
      <c r="E123" s="815"/>
    </row>
    <row r="124" spans="4:5" ht="12.75" x14ac:dyDescent="0.15">
      <c r="D124" s="815"/>
      <c r="E124" s="815"/>
    </row>
    <row r="125" spans="4:5" ht="12.75" x14ac:dyDescent="0.15">
      <c r="D125" s="815"/>
      <c r="E125" s="815"/>
    </row>
    <row r="126" spans="4:5" ht="12.75" x14ac:dyDescent="0.15">
      <c r="D126" s="815"/>
      <c r="E126" s="815"/>
    </row>
    <row r="127" spans="4:5" ht="12.75" x14ac:dyDescent="0.15">
      <c r="D127" s="815"/>
      <c r="E127" s="815"/>
    </row>
    <row r="128" spans="4:5" ht="12.75" x14ac:dyDescent="0.15">
      <c r="D128" s="815"/>
      <c r="E128" s="815"/>
    </row>
    <row r="129" spans="4:5" ht="12.75" x14ac:dyDescent="0.15">
      <c r="D129" s="815"/>
      <c r="E129" s="815"/>
    </row>
    <row r="130" spans="4:5" x14ac:dyDescent="0.15">
      <c r="E130" s="104"/>
    </row>
    <row r="131" spans="4:5" ht="12.75" x14ac:dyDescent="0.15">
      <c r="D131" s="851"/>
      <c r="E131" s="850"/>
    </row>
    <row r="132" spans="4:5" ht="12.75" x14ac:dyDescent="0.15">
      <c r="D132" s="851"/>
      <c r="E132" s="850"/>
    </row>
    <row r="133" spans="4:5" ht="12.75" x14ac:dyDescent="0.15">
      <c r="D133" s="851"/>
      <c r="E133" s="850"/>
    </row>
    <row r="134" spans="4:5" ht="12.75" x14ac:dyDescent="0.15">
      <c r="D134" s="815"/>
      <c r="E134" s="815"/>
    </row>
    <row r="135" spans="4:5" ht="12.75" x14ac:dyDescent="0.15">
      <c r="D135" s="815"/>
      <c r="E135" s="815"/>
    </row>
    <row r="136" spans="4:5" ht="12.75" x14ac:dyDescent="0.15">
      <c r="D136" s="815"/>
      <c r="E136" s="815"/>
    </row>
    <row r="137" spans="4:5" ht="12.75" x14ac:dyDescent="0.15">
      <c r="D137" s="815"/>
      <c r="E137" s="815"/>
    </row>
    <row r="138" spans="4:5" x14ac:dyDescent="0.15">
      <c r="E138" s="104"/>
    </row>
    <row r="139" spans="4:5" ht="12.75" x14ac:dyDescent="0.15">
      <c r="D139" s="851"/>
      <c r="E139" s="850"/>
    </row>
    <row r="140" spans="4:5" ht="12.75" x14ac:dyDescent="0.15">
      <c r="D140" s="851"/>
      <c r="E140" s="850"/>
    </row>
    <row r="141" spans="4:5" ht="12.75" x14ac:dyDescent="0.15">
      <c r="D141" s="851"/>
      <c r="E141" s="850"/>
    </row>
    <row r="142" spans="4:5" x14ac:dyDescent="0.15">
      <c r="D142" s="1615"/>
    </row>
    <row r="143" spans="4:5" x14ac:dyDescent="0.15">
      <c r="D143" s="1615"/>
    </row>
    <row r="144" spans="4:5" x14ac:dyDescent="0.15">
      <c r="D144" s="1615"/>
    </row>
    <row r="145" spans="4:4" x14ac:dyDescent="0.15">
      <c r="D145" s="1615"/>
    </row>
    <row r="146" spans="4:4" x14ac:dyDescent="0.15">
      <c r="D146" s="1615"/>
    </row>
    <row r="147" spans="4:4" x14ac:dyDescent="0.15">
      <c r="D147" s="1615"/>
    </row>
    <row r="148" spans="4:4" x14ac:dyDescent="0.15">
      <c r="D148" s="1615"/>
    </row>
    <row r="149" spans="4:4" x14ac:dyDescent="0.15">
      <c r="D149" s="1615"/>
    </row>
    <row r="150" spans="4:4" x14ac:dyDescent="0.15">
      <c r="D150" s="1615"/>
    </row>
    <row r="151" spans="4:4" x14ac:dyDescent="0.15">
      <c r="D151" s="1615"/>
    </row>
    <row r="152" spans="4:4" x14ac:dyDescent="0.15">
      <c r="D152" s="1615"/>
    </row>
    <row r="153" spans="4:4" x14ac:dyDescent="0.15">
      <c r="D153" s="1615"/>
    </row>
    <row r="154" spans="4:4" x14ac:dyDescent="0.15">
      <c r="D154" s="1615"/>
    </row>
    <row r="155" spans="4:4" x14ac:dyDescent="0.15">
      <c r="D155" s="1615"/>
    </row>
    <row r="156" spans="4:4" x14ac:dyDescent="0.15">
      <c r="D156" s="1615"/>
    </row>
    <row r="157" spans="4:4" x14ac:dyDescent="0.15">
      <c r="D157" s="1615"/>
    </row>
    <row r="158" spans="4:4" x14ac:dyDescent="0.15">
      <c r="D158" s="1615"/>
    </row>
    <row r="159" spans="4:4" x14ac:dyDescent="0.15">
      <c r="D159" s="1615"/>
    </row>
    <row r="160" spans="4:4" x14ac:dyDescent="0.15">
      <c r="D160" s="1615"/>
    </row>
    <row r="161" spans="4:4" x14ac:dyDescent="0.15">
      <c r="D161" s="1615"/>
    </row>
    <row r="162" spans="4:4" x14ac:dyDescent="0.15">
      <c r="D162" s="1615"/>
    </row>
    <row r="163" spans="4:4" x14ac:dyDescent="0.15">
      <c r="D163" s="1615"/>
    </row>
  </sheetData>
  <mergeCells count="75">
    <mergeCell ref="H2:O3"/>
    <mergeCell ref="A41:A44"/>
    <mergeCell ref="B41:B44"/>
    <mergeCell ref="A25:A28"/>
    <mergeCell ref="B25:B28"/>
    <mergeCell ref="A37:A40"/>
    <mergeCell ref="B37:B40"/>
    <mergeCell ref="D26:E26"/>
    <mergeCell ref="A33:A36"/>
    <mergeCell ref="B33:B36"/>
    <mergeCell ref="D34:E34"/>
    <mergeCell ref="A29:A32"/>
    <mergeCell ref="B29:B32"/>
    <mergeCell ref="A9:A12"/>
    <mergeCell ref="B9:B12"/>
    <mergeCell ref="A13:A16"/>
    <mergeCell ref="F95:I96"/>
    <mergeCell ref="J95:M96"/>
    <mergeCell ref="A7:A8"/>
    <mergeCell ref="B7:B8"/>
    <mergeCell ref="D7:E7"/>
    <mergeCell ref="D54:E54"/>
    <mergeCell ref="D22:E22"/>
    <mergeCell ref="D30:E30"/>
    <mergeCell ref="D38:E38"/>
    <mergeCell ref="D50:E50"/>
    <mergeCell ref="A21:A24"/>
    <mergeCell ref="D90:E90"/>
    <mergeCell ref="B21:B24"/>
    <mergeCell ref="B91:B92"/>
    <mergeCell ref="D88:E88"/>
    <mergeCell ref="B87:B88"/>
    <mergeCell ref="X7:X8"/>
    <mergeCell ref="D8:E8"/>
    <mergeCell ref="D10:E10"/>
    <mergeCell ref="D14:E14"/>
    <mergeCell ref="D18:E18"/>
    <mergeCell ref="D89:E89"/>
    <mergeCell ref="B89:B90"/>
    <mergeCell ref="D86:E86"/>
    <mergeCell ref="D42:E42"/>
    <mergeCell ref="D46:E46"/>
    <mergeCell ref="D78:E78"/>
    <mergeCell ref="B85:B86"/>
    <mergeCell ref="D87:E87"/>
    <mergeCell ref="D85:E85"/>
    <mergeCell ref="D82:E82"/>
    <mergeCell ref="D70:E70"/>
    <mergeCell ref="D74:E74"/>
    <mergeCell ref="D58:E58"/>
    <mergeCell ref="D62:E62"/>
    <mergeCell ref="D66:E66"/>
    <mergeCell ref="B13:B16"/>
    <mergeCell ref="A17:A20"/>
    <mergeCell ref="B17:B20"/>
    <mergeCell ref="B65:B68"/>
    <mergeCell ref="B53:B56"/>
    <mergeCell ref="A45:A48"/>
    <mergeCell ref="A49:A52"/>
    <mergeCell ref="B49:B52"/>
    <mergeCell ref="B45:B48"/>
    <mergeCell ref="A53:A56"/>
    <mergeCell ref="A57:A60"/>
    <mergeCell ref="B57:B60"/>
    <mergeCell ref="A61:A64"/>
    <mergeCell ref="B61:B64"/>
    <mergeCell ref="A65:A68"/>
    <mergeCell ref="A81:A84"/>
    <mergeCell ref="B81:B84"/>
    <mergeCell ref="A77:A80"/>
    <mergeCell ref="B77:B80"/>
    <mergeCell ref="A69:A72"/>
    <mergeCell ref="B69:B72"/>
    <mergeCell ref="A73:A76"/>
    <mergeCell ref="B73:B76"/>
  </mergeCells>
  <conditionalFormatting sqref="F9:W9">
    <cfRule type="cellIs" dxfId="411" priority="5" operator="greaterThan">
      <formula>0</formula>
    </cfRule>
  </conditionalFormatting>
  <conditionalFormatting sqref="F13:W13">
    <cfRule type="cellIs" dxfId="410" priority="6" operator="greaterThan">
      <formula>0</formula>
    </cfRule>
  </conditionalFormatting>
  <conditionalFormatting sqref="F17:W17">
    <cfRule type="cellIs" dxfId="409" priority="7" operator="greaterThan">
      <formula>0</formula>
    </cfRule>
  </conditionalFormatting>
  <conditionalFormatting sqref="F21:W21">
    <cfRule type="cellIs" dxfId="408" priority="8" operator="greaterThan">
      <formula>0</formula>
    </cfRule>
  </conditionalFormatting>
  <conditionalFormatting sqref="F25:W25">
    <cfRule type="cellIs" dxfId="407" priority="9" operator="greaterThan">
      <formula>0</formula>
    </cfRule>
  </conditionalFormatting>
  <conditionalFormatting sqref="F29:W29">
    <cfRule type="cellIs" dxfId="406" priority="10" operator="greaterThan">
      <formula>0</formula>
    </cfRule>
  </conditionalFormatting>
  <conditionalFormatting sqref="F33:W33">
    <cfRule type="cellIs" dxfId="405" priority="11" operator="greaterThan">
      <formula>0</formula>
    </cfRule>
  </conditionalFormatting>
  <conditionalFormatting sqref="F37:W37">
    <cfRule type="cellIs" dxfId="404" priority="12" operator="greaterThan">
      <formula>0</formula>
    </cfRule>
  </conditionalFormatting>
  <conditionalFormatting sqref="F41:W41">
    <cfRule type="cellIs" dxfId="403" priority="13" operator="greaterThan">
      <formula>0</formula>
    </cfRule>
  </conditionalFormatting>
  <conditionalFormatting sqref="F45:W45">
    <cfRule type="cellIs" dxfId="402" priority="14" operator="greaterThan">
      <formula>0</formula>
    </cfRule>
  </conditionalFormatting>
  <conditionalFormatting sqref="F49:W49">
    <cfRule type="cellIs" dxfId="401" priority="15" operator="greaterThan">
      <formula>0</formula>
    </cfRule>
  </conditionalFormatting>
  <conditionalFormatting sqref="F53:W53">
    <cfRule type="cellIs" dxfId="400" priority="16" operator="greaterThan">
      <formula>0</formula>
    </cfRule>
  </conditionalFormatting>
  <conditionalFormatting sqref="F57:W57">
    <cfRule type="cellIs" dxfId="399" priority="17" operator="greaterThan">
      <formula>0</formula>
    </cfRule>
  </conditionalFormatting>
  <conditionalFormatting sqref="F61:W61">
    <cfRule type="cellIs" dxfId="398" priority="18" operator="greaterThan">
      <formula>0</formula>
    </cfRule>
  </conditionalFormatting>
  <conditionalFormatting sqref="F65:W65">
    <cfRule type="cellIs" dxfId="397" priority="19" operator="greaterThan">
      <formula>0</formula>
    </cfRule>
  </conditionalFormatting>
  <conditionalFormatting sqref="F69:W69">
    <cfRule type="cellIs" dxfId="396" priority="21" operator="greaterThan">
      <formula>0</formula>
    </cfRule>
  </conditionalFormatting>
  <conditionalFormatting sqref="F73:W73">
    <cfRule type="cellIs" dxfId="395" priority="22" operator="greaterThan">
      <formula>0</formula>
    </cfRule>
  </conditionalFormatting>
  <conditionalFormatting sqref="F77:W77">
    <cfRule type="cellIs" dxfId="394" priority="23" operator="greaterThan">
      <formula>0</formula>
    </cfRule>
  </conditionalFormatting>
  <conditionalFormatting sqref="F81:W81">
    <cfRule type="cellIs" dxfId="393" priority="24" operator="greaterThan">
      <formula>0</formula>
    </cfRule>
  </conditionalFormatting>
  <conditionalFormatting sqref="Y12 Y16 Y20 Y24 Y32 Y40 Y44 Y48 Y52 Y56 Y60 Y64 Y68 Y80 Y84">
    <cfRule type="cellIs" dxfId="392" priority="157" operator="lessThan">
      <formula>0</formula>
    </cfRule>
    <cfRule type="cellIs" dxfId="391" priority="158" operator="greaterThan">
      <formula>0</formula>
    </cfRule>
  </conditionalFormatting>
  <conditionalFormatting sqref="Y28">
    <cfRule type="cellIs" dxfId="390" priority="55" operator="lessThan">
      <formula>0</formula>
    </cfRule>
    <cfRule type="cellIs" dxfId="389" priority="56" operator="greaterThan">
      <formula>0</formula>
    </cfRule>
  </conditionalFormatting>
  <conditionalFormatting sqref="Y36">
    <cfRule type="cellIs" dxfId="388" priority="51" operator="lessThan">
      <formula>0</formula>
    </cfRule>
    <cfRule type="cellIs" dxfId="387" priority="52" operator="greaterThan">
      <formula>0</formula>
    </cfRule>
  </conditionalFormatting>
  <conditionalFormatting sqref="Y72">
    <cfRule type="cellIs" dxfId="386" priority="96" operator="lessThan">
      <formula>0</formula>
    </cfRule>
    <cfRule type="cellIs" dxfId="385" priority="97" operator="greaterThan">
      <formula>0</formula>
    </cfRule>
  </conditionalFormatting>
  <conditionalFormatting sqref="Y76">
    <cfRule type="cellIs" dxfId="384" priority="94" operator="lessThan">
      <formula>0</formula>
    </cfRule>
    <cfRule type="cellIs" dxfId="383" priority="95" operator="greaterThan">
      <formula>0</formula>
    </cfRule>
  </conditionalFormatting>
  <hyperlinks>
    <hyperlink ref="A7:A8" location="PAINEL!A1" display="ITEM"/>
  </hyperlinks>
  <printOptions horizontalCentered="1"/>
  <pageMargins left="0.39370078740157483" right="0.39370078740157483" top="0.59055118110236227" bottom="0.59055118110236227" header="0.31496062992125984" footer="0.23622047244094491"/>
  <pageSetup paperSize="9" scale="65" orientation="landscape" r:id="rId1"/>
  <headerFooter>
    <oddFooter>&amp;L&amp;"Arial,Normal"&amp;8&amp;F&amp;C&amp;"Arial,Normal"&amp;8&amp;P / &amp;N&amp;R&amp;"Cambria,Regular"&amp;8Ricardo Schettini Figueiredo&amp;10
&amp;8Eng. Civil - CREA-RJ 52.656/D</oddFooter>
  </headerFooter>
  <ignoredErrors>
    <ignoredError sqref="X87" formula="1"/>
  </ignoredErrors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8">
    <tabColor rgb="FF92D050"/>
    <pageSetUpPr fitToPage="1"/>
  </sheetPr>
  <dimension ref="A1:Q70"/>
  <sheetViews>
    <sheetView showZeros="0" zoomScaleNormal="100" zoomScaleSheetLayoutView="100" workbookViewId="0"/>
  </sheetViews>
  <sheetFormatPr defaultColWidth="10" defaultRowHeight="12.75" x14ac:dyDescent="0.2"/>
  <cols>
    <col min="1" max="1" width="9.875" style="378" customWidth="1"/>
    <col min="2" max="2" width="41.5" style="375" customWidth="1"/>
    <col min="3" max="3" width="7.875" style="409" customWidth="1"/>
    <col min="4" max="4" width="11.625" style="409" customWidth="1"/>
    <col min="5" max="5" width="8.5" style="410" customWidth="1"/>
    <col min="6" max="6" width="9.875" style="375" customWidth="1"/>
    <col min="7" max="7" width="9.875" style="409" customWidth="1"/>
    <col min="8" max="8" width="12.875" style="409" customWidth="1"/>
    <col min="9" max="44" width="10" style="375" customWidth="1"/>
    <col min="45" max="16384" width="10" style="375"/>
  </cols>
  <sheetData>
    <row r="1" spans="1:17" s="35" customFormat="1" ht="21.95" customHeight="1" x14ac:dyDescent="0.15">
      <c r="A1" s="369" t="s">
        <v>520</v>
      </c>
      <c r="B1" s="369"/>
      <c r="C1" s="369"/>
      <c r="D1" s="369"/>
      <c r="E1" s="369"/>
      <c r="F1" s="369"/>
      <c r="G1" s="369"/>
      <c r="H1" s="369"/>
    </row>
    <row r="2" spans="1:17" s="35" customFormat="1" ht="18" customHeight="1" x14ac:dyDescent="0.15">
      <c r="A2" s="35" t="s">
        <v>596</v>
      </c>
      <c r="B2" s="35" t="s">
        <v>597</v>
      </c>
      <c r="C2" s="370"/>
      <c r="D2" s="370"/>
      <c r="E2" s="371"/>
    </row>
    <row r="3" spans="1:17" s="35" customFormat="1" ht="18" customHeight="1" x14ac:dyDescent="0.15">
      <c r="A3" s="35" t="s">
        <v>595</v>
      </c>
      <c r="B3" s="35" t="s">
        <v>2815</v>
      </c>
      <c r="C3" s="2454" t="str">
        <f>Orçamento_Não_Deson!J2</f>
        <v>NÃO DESONERADA</v>
      </c>
      <c r="D3" s="2454"/>
      <c r="E3" s="2454"/>
    </row>
    <row r="4" spans="1:17" s="35" customFormat="1" ht="18" customHeight="1" x14ac:dyDescent="0.15">
      <c r="A4" s="35" t="s">
        <v>594</v>
      </c>
      <c r="B4" s="1691" t="str">
        <f>Orçamento_Não_Deson!$J$1</f>
        <v>Agosto/2023</v>
      </c>
      <c r="C4" s="47"/>
      <c r="D4" s="372" t="s">
        <v>521</v>
      </c>
      <c r="E4" s="373">
        <f>Orçamento_Não_Deson!J3</f>
        <v>1.1544000000000001</v>
      </c>
    </row>
    <row r="5" spans="1:17" s="35" customFormat="1" ht="18" customHeight="1" thickBot="1" x14ac:dyDescent="0.2">
      <c r="D5" s="372" t="s">
        <v>697</v>
      </c>
      <c r="E5" s="373">
        <f>Orçamento_Não_Deson!J4</f>
        <v>0.71260000000000001</v>
      </c>
    </row>
    <row r="6" spans="1:17" s="377" customFormat="1" ht="18" customHeight="1" thickTop="1" x14ac:dyDescent="0.15">
      <c r="A6" s="374" t="s">
        <v>186</v>
      </c>
      <c r="B6" s="2455" t="s">
        <v>522</v>
      </c>
      <c r="C6" s="2456"/>
      <c r="D6" s="2457"/>
      <c r="E6" s="2463" t="s">
        <v>523</v>
      </c>
      <c r="F6" s="2464"/>
      <c r="G6" s="2465"/>
      <c r="H6" s="856" t="s">
        <v>536</v>
      </c>
      <c r="J6" s="35"/>
      <c r="K6" s="35"/>
      <c r="L6" s="35"/>
      <c r="M6" s="35"/>
      <c r="N6" s="35"/>
      <c r="O6" s="35"/>
      <c r="P6" s="35"/>
      <c r="Q6" s="35"/>
    </row>
    <row r="7" spans="1:17" s="377" customFormat="1" ht="35.1" customHeight="1" thickBot="1" x14ac:dyDescent="0.2">
      <c r="A7" s="413" t="s">
        <v>535</v>
      </c>
      <c r="B7" s="2458" t="s">
        <v>537</v>
      </c>
      <c r="C7" s="2459"/>
      <c r="D7" s="2460"/>
      <c r="E7" s="2466" t="s">
        <v>534</v>
      </c>
      <c r="F7" s="2467"/>
      <c r="G7" s="411">
        <f>S_Preliminares!N4</f>
        <v>6</v>
      </c>
      <c r="H7" s="376" t="s">
        <v>205</v>
      </c>
      <c r="J7" s="35"/>
      <c r="K7" s="35"/>
      <c r="L7" s="35"/>
      <c r="M7" s="35"/>
      <c r="N7" s="35"/>
      <c r="O7" s="35"/>
      <c r="P7" s="35"/>
      <c r="Q7" s="35"/>
    </row>
    <row r="8" spans="1:17" ht="18" customHeight="1" thickTop="1" thickBot="1" x14ac:dyDescent="0.25">
      <c r="C8" s="375"/>
      <c r="D8" s="375"/>
      <c r="E8" s="375"/>
      <c r="G8" s="375"/>
      <c r="H8" s="375"/>
      <c r="J8" s="35"/>
      <c r="K8" s="35"/>
      <c r="L8" s="35"/>
      <c r="M8" s="35"/>
      <c r="N8" s="35"/>
      <c r="O8" s="35"/>
      <c r="P8" s="35"/>
      <c r="Q8" s="35"/>
    </row>
    <row r="9" spans="1:17" s="35" customFormat="1" ht="18" customHeight="1" thickTop="1" x14ac:dyDescent="0.15">
      <c r="A9" s="2472" t="s">
        <v>186</v>
      </c>
      <c r="B9" s="2468" t="s">
        <v>524</v>
      </c>
      <c r="C9" s="2469"/>
      <c r="D9" s="2461" t="s">
        <v>187</v>
      </c>
      <c r="E9" s="2461" t="s">
        <v>33</v>
      </c>
      <c r="F9" s="2461" t="s">
        <v>526</v>
      </c>
      <c r="G9" s="2487" t="s">
        <v>336</v>
      </c>
      <c r="H9" s="2484" t="s">
        <v>917</v>
      </c>
    </row>
    <row r="10" spans="1:17" s="35" customFormat="1" ht="18" customHeight="1" x14ac:dyDescent="0.15">
      <c r="A10" s="2473"/>
      <c r="B10" s="2470"/>
      <c r="C10" s="2471"/>
      <c r="D10" s="2462"/>
      <c r="E10" s="2462"/>
      <c r="F10" s="2462"/>
      <c r="G10" s="2462"/>
      <c r="H10" s="2485"/>
    </row>
    <row r="11" spans="1:17" s="382" customFormat="1" ht="30" hidden="1" customHeight="1" x14ac:dyDescent="0.15">
      <c r="A11" s="412" t="s">
        <v>2601</v>
      </c>
      <c r="B11" s="801" t="str">
        <f>VLOOKUP($A11,[1]BOLETIM_SEL!$A:$G,4,0)</f>
        <v xml:space="preserve"> VEÍCULO LEVE - 53 KW (SEM MOTORISTA) (116,49h CPI + 66h CHP - 182,49h MDO)(REF. SICRO COD. E9512)</v>
      </c>
      <c r="C11" s="802"/>
      <c r="D11" s="805" t="str">
        <f>VLOOKUP($A11,[1]BOLETIM_SEL!$A:$G,2,0)</f>
        <v>COMPOSIÇÃO</v>
      </c>
      <c r="E11" s="804" t="str">
        <f>VLOOKUP($A11,[1]BOLETIM_SEL!$A:$G,6,0)</f>
        <v>UN.MÊS</v>
      </c>
      <c r="F11" s="804">
        <f>VLOOKUP($A11,[1]BOLETIM_SEL!$A:$G,7,0)</f>
        <v>2914.22</v>
      </c>
      <c r="G11" s="804">
        <f>G22</f>
        <v>0</v>
      </c>
      <c r="H11" s="662">
        <f>F11*G11</f>
        <v>0</v>
      </c>
    </row>
    <row r="12" spans="1:17" s="382" customFormat="1" ht="30" hidden="1" customHeight="1" x14ac:dyDescent="0.15">
      <c r="A12" s="412" t="s">
        <v>2602</v>
      </c>
      <c r="B12" s="801" t="str">
        <f>VLOOKUP($A12,[1]BOLETIM_SEL!$A:$G,4,0)</f>
        <v xml:space="preserve"> CAMINHONETE - 101/104 CV (SEM MOTORISTA) (116,49h CPI + 66h CHP)(REF. SINAPI COD. 92145 E 92146)</v>
      </c>
      <c r="C12" s="802"/>
      <c r="D12" s="805" t="str">
        <f>VLOOKUP($A12,[1]BOLETIM_SEL!$A:$G,2,0)</f>
        <v>COMPOSIÇÃO</v>
      </c>
      <c r="E12" s="804" t="str">
        <f>VLOOKUP($A12,[1]BOLETIM_SEL!$A:$G,6,0)</f>
        <v>UN.MÊS</v>
      </c>
      <c r="F12" s="804">
        <f>VLOOKUP($A12,[1]BOLETIM_SEL!$A:$G,7,0)</f>
        <v>4030.05</v>
      </c>
      <c r="G12" s="804"/>
      <c r="H12" s="662">
        <f t="shared" ref="H12:H13" si="0">F12*G12</f>
        <v>0</v>
      </c>
    </row>
    <row r="13" spans="1:17" s="382" customFormat="1" ht="30" hidden="1" customHeight="1" x14ac:dyDescent="0.15">
      <c r="A13" s="412" t="s">
        <v>2603</v>
      </c>
      <c r="B13" s="801" t="str">
        <f>VLOOKUP($A13,[1]BOLETIM_SEL!$A:$G,4,0)</f>
        <v xml:space="preserve"> VAN - 93 KW (COM MOTORISTA) (116,49h CPI + 66h CHP). CAPACIDADE DE 10 PESSOAS (REF. SICRO COD. E9125)</v>
      </c>
      <c r="C13" s="802"/>
      <c r="D13" s="805" t="str">
        <f>VLOOKUP($A13,[1]BOLETIM_SEL!$A:$G,2,0)</f>
        <v>COMPOSIÇÃO</v>
      </c>
      <c r="E13" s="804" t="str">
        <f>VLOOKUP($A13,[1]BOLETIM_SEL!$A:$G,6,0)</f>
        <v>UN.MÊS</v>
      </c>
      <c r="F13" s="804">
        <f>VLOOKUP($A13,[1]BOLETIM_SEL!$A:$G,7,0)</f>
        <v>9997.76</v>
      </c>
      <c r="G13" s="804"/>
      <c r="H13" s="662">
        <f t="shared" si="0"/>
        <v>0</v>
      </c>
    </row>
    <row r="14" spans="1:17" s="382" customFormat="1" ht="30" customHeight="1" x14ac:dyDescent="0.15">
      <c r="A14" s="412" t="s">
        <v>2447</v>
      </c>
      <c r="B14" s="801" t="str">
        <f>VLOOKUP($A14,[1]BOLETIM_SEL!$A:$G,4,0)</f>
        <v xml:space="preserve">Topografia </v>
      </c>
      <c r="C14" s="802"/>
      <c r="D14" s="805" t="str">
        <f>VLOOKUP($A14,[1]BOLETIM_SEL!$A:$G,2,0)</f>
        <v>DNIT/Consultoria</v>
      </c>
      <c r="E14" s="804" t="str">
        <f>VLOOKUP($A14,[1]BOLETIM_SEL!$A:$G,6,0)</f>
        <v>mês</v>
      </c>
      <c r="F14" s="804">
        <f>VLOOKUP($A14,[1]BOLETIM_SEL!$A:$G,7,0)</f>
        <v>3265.25</v>
      </c>
      <c r="G14" s="804">
        <f>G27</f>
        <v>3</v>
      </c>
      <c r="H14" s="662">
        <f>F14*G14</f>
        <v>9795.75</v>
      </c>
    </row>
    <row r="15" spans="1:17" s="382" customFormat="1" ht="30" customHeight="1" x14ac:dyDescent="0.15">
      <c r="A15" s="412" t="s">
        <v>2448</v>
      </c>
      <c r="B15" s="801" t="str">
        <f>VLOOKUP($A15,[1]BOLETIM_SEL!$A:$G,4,0)</f>
        <v xml:space="preserve">Laboratório de solos </v>
      </c>
      <c r="C15" s="802"/>
      <c r="D15" s="805" t="str">
        <f>VLOOKUP($A15,[1]BOLETIM_SEL!$A:$G,2,0)</f>
        <v>DNIT/Consultoria</v>
      </c>
      <c r="E15" s="804" t="str">
        <f>VLOOKUP($A15,[1]BOLETIM_SEL!$A:$G,6,0)</f>
        <v>mês</v>
      </c>
      <c r="F15" s="804">
        <f>VLOOKUP($A15,[1]BOLETIM_SEL!$A:$G,7,0)</f>
        <v>4491.67</v>
      </c>
      <c r="G15" s="804">
        <f>G28</f>
        <v>3</v>
      </c>
      <c r="H15" s="662">
        <f>F15*G15</f>
        <v>13475.01</v>
      </c>
    </row>
    <row r="16" spans="1:17" s="35" customFormat="1" ht="15.95" customHeight="1" thickBot="1" x14ac:dyDescent="0.2">
      <c r="A16" s="384"/>
      <c r="B16" s="385"/>
      <c r="C16" s="1693"/>
      <c r="D16" s="1694"/>
      <c r="E16" s="386"/>
      <c r="F16" s="387"/>
      <c r="G16" s="388"/>
      <c r="H16" s="389"/>
    </row>
    <row r="17" spans="1:15" s="35" customFormat="1" ht="18" customHeight="1" thickTop="1" x14ac:dyDescent="0.15">
      <c r="A17" s="390"/>
      <c r="B17" s="391"/>
      <c r="C17" s="31"/>
      <c r="D17" s="31" t="s">
        <v>527</v>
      </c>
      <c r="E17" s="393"/>
      <c r="F17" s="393"/>
      <c r="G17" s="392"/>
      <c r="H17" s="392">
        <f>SUM(H11:H16)</f>
        <v>23270.760000000002</v>
      </c>
    </row>
    <row r="18" spans="1:15" s="35" customFormat="1" ht="18" customHeight="1" thickBot="1" x14ac:dyDescent="0.2">
      <c r="A18" s="394"/>
      <c r="B18" s="371"/>
      <c r="C18" s="31"/>
      <c r="D18" s="31"/>
      <c r="G18" s="31"/>
      <c r="H18" s="31"/>
    </row>
    <row r="19" spans="1:15" s="35" customFormat="1" ht="18" customHeight="1" thickTop="1" x14ac:dyDescent="0.15">
      <c r="A19" s="2472" t="s">
        <v>186</v>
      </c>
      <c r="B19" s="2474" t="s">
        <v>528</v>
      </c>
      <c r="C19" s="2475"/>
      <c r="D19" s="2476"/>
      <c r="E19" s="2487" t="s">
        <v>33</v>
      </c>
      <c r="F19" s="2486" t="s">
        <v>916</v>
      </c>
      <c r="G19" s="2487" t="s">
        <v>336</v>
      </c>
      <c r="H19" s="2484" t="s">
        <v>915</v>
      </c>
      <c r="J19" s="514">
        <f ca="1">Orçamento_Não_Deson!K889</f>
        <v>4.54648472584369E-2</v>
      </c>
    </row>
    <row r="20" spans="1:15" s="35" customFormat="1" ht="18" customHeight="1" x14ac:dyDescent="0.15">
      <c r="A20" s="2473"/>
      <c r="B20" s="2477"/>
      <c r="C20" s="2478"/>
      <c r="D20" s="2479"/>
      <c r="E20" s="2462"/>
      <c r="F20" s="2462"/>
      <c r="G20" s="2462"/>
      <c r="H20" s="2485"/>
      <c r="I20" s="382"/>
      <c r="J20" s="382"/>
      <c r="K20" s="382"/>
      <c r="L20" s="382"/>
      <c r="M20" s="395"/>
      <c r="N20" s="396"/>
      <c r="O20" s="397"/>
    </row>
    <row r="21" spans="1:15" s="382" customFormat="1" ht="18" customHeight="1" x14ac:dyDescent="0.15">
      <c r="A21" s="379">
        <v>93567</v>
      </c>
      <c r="B21" s="2480" t="str">
        <f>VLOOKUP($A21,[1]BOLETIM_SEL!$A:$G,4,0)</f>
        <v>Engenheiro civil de obra pleno com encargos complementares (mensalista)</v>
      </c>
      <c r="C21" s="2481"/>
      <c r="D21" s="2481"/>
      <c r="E21" s="804" t="str">
        <f>VLOOKUP($A21,[1]BOLETIM_SEL!$A:$G,6,0)</f>
        <v>MES</v>
      </c>
      <c r="F21" s="380">
        <f>VLOOKUP(A21,[1]BOLETIM_SEL!$A:$G,7,0)</f>
        <v>22490.49</v>
      </c>
      <c r="G21" s="380">
        <v>0.5</v>
      </c>
      <c r="H21" s="580">
        <f t="shared" ref="H21:H31" si="1">F21*G21</f>
        <v>11245.245000000001</v>
      </c>
      <c r="I21" s="691"/>
      <c r="J21" s="691"/>
      <c r="K21" s="691"/>
      <c r="L21" s="691"/>
    </row>
    <row r="22" spans="1:15" s="382" customFormat="1" ht="18" hidden="1" customHeight="1" x14ac:dyDescent="0.15">
      <c r="A22" s="379">
        <v>93565</v>
      </c>
      <c r="B22" s="2451" t="str">
        <f>VLOOKUP($A22,[1]BOLETIM_SEL!$A:$G,4,0)</f>
        <v>Engenheiro civil de obra júnior com encargos complementares (mensalista)</v>
      </c>
      <c r="C22" s="2452"/>
      <c r="D22" s="2453"/>
      <c r="E22" s="804" t="str">
        <f>VLOOKUP($A22,[1]BOLETIM_SEL!$A:$G,6,0)</f>
        <v>MES</v>
      </c>
      <c r="F22" s="380">
        <f>VLOOKUP(A22,[1]BOLETIM_SEL!$A:$G,7,0)</f>
        <v>19803.86</v>
      </c>
      <c r="G22" s="380"/>
      <c r="H22" s="381">
        <f t="shared" si="1"/>
        <v>0</v>
      </c>
      <c r="I22" s="691"/>
      <c r="J22" s="691"/>
      <c r="K22" s="691"/>
      <c r="L22" s="691"/>
    </row>
    <row r="23" spans="1:15" s="382" customFormat="1" ht="18" customHeight="1" x14ac:dyDescent="0.15">
      <c r="A23" s="379">
        <v>93563</v>
      </c>
      <c r="B23" s="2451" t="str">
        <f>VLOOKUP($A23,[1]BOLETIM_SEL!$A:$G,4,0)</f>
        <v>Almoxarife com encargos complementares (mensalista)</v>
      </c>
      <c r="C23" s="2452"/>
      <c r="D23" s="2453"/>
      <c r="E23" s="804" t="str">
        <f>VLOOKUP($A23,[1]BOLETIM_SEL!$A:$G,6,0)</f>
        <v>MES</v>
      </c>
      <c r="F23" s="380">
        <f>VLOOKUP(A23,[1]BOLETIM_SEL!$A:$G,7,0)</f>
        <v>3769.18</v>
      </c>
      <c r="G23" s="380">
        <v>2</v>
      </c>
      <c r="H23" s="381">
        <f t="shared" si="1"/>
        <v>7538.36</v>
      </c>
      <c r="I23" s="691"/>
      <c r="J23" s="691"/>
      <c r="K23" s="691"/>
      <c r="L23" s="691"/>
    </row>
    <row r="24" spans="1:15" s="382" customFormat="1" ht="18" customHeight="1" x14ac:dyDescent="0.15">
      <c r="A24" s="379">
        <v>93564</v>
      </c>
      <c r="B24" s="2451" t="str">
        <f>VLOOKUP($A24,[1]BOLETIM_SEL!$A:$G,4,0)</f>
        <v>Apontador ou apropriador com encargos complementares (mensalista)</v>
      </c>
      <c r="C24" s="2452"/>
      <c r="D24" s="2453"/>
      <c r="E24" s="804" t="str">
        <f>VLOOKUP($A24,[1]BOLETIM_SEL!$A:$G,6,0)</f>
        <v>MES</v>
      </c>
      <c r="F24" s="380">
        <f>VLOOKUP(A24,[1]BOLETIM_SEL!$A:$G,7,0)</f>
        <v>3683.35</v>
      </c>
      <c r="G24" s="380">
        <v>2</v>
      </c>
      <c r="H24" s="381">
        <f t="shared" si="1"/>
        <v>7366.7</v>
      </c>
      <c r="I24" s="691"/>
      <c r="J24" s="691"/>
      <c r="K24" s="691"/>
      <c r="L24" s="691"/>
    </row>
    <row r="25" spans="1:15" s="382" customFormat="1" ht="18" customHeight="1" x14ac:dyDescent="0.15">
      <c r="A25" s="379">
        <v>94295</v>
      </c>
      <c r="B25" s="2451" t="str">
        <f>VLOOKUP($A25,[1]BOLETIM_SEL!$A:$G,4,0)</f>
        <v>Mestre de obras com encargos complementares (mensalista)</v>
      </c>
      <c r="C25" s="2452"/>
      <c r="D25" s="2453"/>
      <c r="E25" s="804" t="str">
        <f>VLOOKUP($A25,[1]BOLETIM_SEL!$A:$G,6,0)</f>
        <v>MES</v>
      </c>
      <c r="F25" s="380">
        <f>VLOOKUP(A25,[1]BOLETIM_SEL!$A:$G,7,0)</f>
        <v>6321.89</v>
      </c>
      <c r="G25" s="380">
        <v>2</v>
      </c>
      <c r="H25" s="381">
        <f t="shared" si="1"/>
        <v>12643.78</v>
      </c>
      <c r="I25" s="691"/>
      <c r="J25" s="691"/>
      <c r="K25" s="691"/>
      <c r="L25" s="691"/>
    </row>
    <row r="26" spans="1:15" s="382" customFormat="1" ht="18" customHeight="1" x14ac:dyDescent="0.15">
      <c r="A26" s="379">
        <v>100321</v>
      </c>
      <c r="B26" s="2451" t="str">
        <f>VLOOKUP($A26,[1]BOLETIM_SEL!$A:$G,4,0)</f>
        <v>Técnico de segurança do trabalho com encargos complementares (mensalista)</v>
      </c>
      <c r="C26" s="2452"/>
      <c r="D26" s="2453"/>
      <c r="E26" s="804" t="str">
        <f>VLOOKUP($A26,[1]BOLETIM_SEL!$A:$G,6,0)</f>
        <v>MES</v>
      </c>
      <c r="F26" s="380">
        <f>VLOOKUP(A26,[1]BOLETIM_SEL!$A:$G,7,0)</f>
        <v>5338.51</v>
      </c>
      <c r="G26" s="380">
        <v>2</v>
      </c>
      <c r="H26" s="381">
        <f>F26*G26</f>
        <v>10677.02</v>
      </c>
      <c r="I26" s="691"/>
      <c r="J26" s="691"/>
      <c r="K26" s="691"/>
      <c r="L26" s="691"/>
    </row>
    <row r="27" spans="1:15" s="382" customFormat="1" ht="18" customHeight="1" x14ac:dyDescent="0.15">
      <c r="A27" s="379">
        <v>94296</v>
      </c>
      <c r="B27" s="2451" t="str">
        <f>VLOOKUP($A27,[1]BOLETIM_SEL!$A:$G,4,0)</f>
        <v>Topografo com encargos complementares (mensalista)</v>
      </c>
      <c r="C27" s="2452"/>
      <c r="D27" s="2453"/>
      <c r="E27" s="804" t="str">
        <f>VLOOKUP($A27,[1]BOLETIM_SEL!$A:$G,6,0)</f>
        <v>MES</v>
      </c>
      <c r="F27" s="380">
        <f>VLOOKUP(A27,[1]BOLETIM_SEL!$A:$G,7,0)</f>
        <v>4435.8500000000004</v>
      </c>
      <c r="G27" s="380">
        <v>3</v>
      </c>
      <c r="H27" s="381">
        <f t="shared" si="1"/>
        <v>13307.550000000001</v>
      </c>
      <c r="I27" s="691"/>
      <c r="J27" s="691"/>
      <c r="K27" s="691"/>
      <c r="L27" s="691"/>
      <c r="O27" s="382">
        <f>N27*G7</f>
        <v>0</v>
      </c>
    </row>
    <row r="28" spans="1:15" s="382" customFormat="1" ht="18" customHeight="1" x14ac:dyDescent="0.15">
      <c r="A28" s="379">
        <v>101456</v>
      </c>
      <c r="B28" s="2451" t="str">
        <f>VLOOKUP($A28,[1]BOLETIM_SEL!$A:$G,4,0)</f>
        <v>Técnico de laboratório e campo de construção com encargos complementares (mensalista)</v>
      </c>
      <c r="C28" s="2452"/>
      <c r="D28" s="2453"/>
      <c r="E28" s="804" t="str">
        <f>VLOOKUP($A28,[1]BOLETIM_SEL!$A:$G,6,0)</f>
        <v>MES</v>
      </c>
      <c r="F28" s="380">
        <f>VLOOKUP(A28,[1]BOLETIM_SEL!$A:$G,7,0)</f>
        <v>5498.05</v>
      </c>
      <c r="G28" s="380">
        <v>3</v>
      </c>
      <c r="H28" s="381">
        <f t="shared" si="1"/>
        <v>16494.150000000001</v>
      </c>
      <c r="I28" s="691"/>
      <c r="J28" s="691"/>
      <c r="K28" s="691"/>
      <c r="L28" s="691"/>
      <c r="O28" s="382">
        <f>N28*G8</f>
        <v>0</v>
      </c>
    </row>
    <row r="29" spans="1:15" s="382" customFormat="1" ht="18" customHeight="1" x14ac:dyDescent="0.15">
      <c r="A29" s="379">
        <v>101389</v>
      </c>
      <c r="B29" s="2451" t="str">
        <f>VLOOKUP($A29,[1]BOLETIM_SEL!$A:$G,4,0)</f>
        <v>Auxiliar de topógrafo com encargos complementares (mensalista)</v>
      </c>
      <c r="C29" s="2452"/>
      <c r="D29" s="2453"/>
      <c r="E29" s="804" t="str">
        <f>VLOOKUP($A29,[1]BOLETIM_SEL!$A:$G,6,0)</f>
        <v>MES</v>
      </c>
      <c r="F29" s="380">
        <f>VLOOKUP(A29,[1]BOLETIM_SEL!$A:$G,7,0)</f>
        <v>2199.9299999999998</v>
      </c>
      <c r="G29" s="380">
        <v>2</v>
      </c>
      <c r="H29" s="381">
        <f t="shared" si="1"/>
        <v>4399.8599999999997</v>
      </c>
      <c r="I29" s="691"/>
      <c r="J29" s="691"/>
      <c r="K29" s="691"/>
      <c r="L29" s="691"/>
    </row>
    <row r="30" spans="1:15" s="382" customFormat="1" ht="18" customHeight="1" x14ac:dyDescent="0.15">
      <c r="A30" s="379">
        <v>101385</v>
      </c>
      <c r="B30" s="2451" t="str">
        <f>VLOOKUP($A30,[1]BOLETIM_SEL!$A:$G,4,0)</f>
        <v>Auxiliar de laboratorista de solos e de concreto com encargos complementares (mensalista)</v>
      </c>
      <c r="C30" s="2452"/>
      <c r="D30" s="2453"/>
      <c r="E30" s="804" t="str">
        <f>VLOOKUP($A30,[1]BOLETIM_SEL!$A:$G,6,0)</f>
        <v>MES</v>
      </c>
      <c r="F30" s="380">
        <f>VLOOKUP(A30,[1]BOLETIM_SEL!$A:$G,7,0)</f>
        <v>4627.3</v>
      </c>
      <c r="G30" s="380">
        <v>2</v>
      </c>
      <c r="H30" s="381">
        <f t="shared" si="1"/>
        <v>9254.6</v>
      </c>
      <c r="I30" s="691"/>
      <c r="J30" s="691"/>
      <c r="K30" s="691"/>
      <c r="L30" s="691"/>
      <c r="O30" s="382">
        <f>N30*G10</f>
        <v>0</v>
      </c>
    </row>
    <row r="31" spans="1:15" s="382" customFormat="1" ht="18" customHeight="1" x14ac:dyDescent="0.15">
      <c r="A31" s="383">
        <v>101460</v>
      </c>
      <c r="B31" s="2451" t="str">
        <f>VLOOKUP($A31,[1]BOLETIM_SEL!$A:$G,4,0)</f>
        <v>Vigia Diurno com encargos complementares (mensalista)</v>
      </c>
      <c r="C31" s="2488"/>
      <c r="D31" s="2488"/>
      <c r="E31" s="804" t="str">
        <f>VLOOKUP($A31,[1]BOLETIM_SEL!$A:$G,6,0)</f>
        <v>MES</v>
      </c>
      <c r="F31" s="380">
        <f>VLOOKUP(A31,[1]BOLETIM_SEL!$A:$G,7,0)</f>
        <v>3484.45</v>
      </c>
      <c r="G31" s="380">
        <v>6</v>
      </c>
      <c r="H31" s="381">
        <f t="shared" si="1"/>
        <v>20906.699999999997</v>
      </c>
      <c r="I31" s="691"/>
      <c r="J31" s="691"/>
      <c r="K31" s="691"/>
      <c r="L31" s="691"/>
    </row>
    <row r="32" spans="1:15" s="382" customFormat="1" ht="18" hidden="1" customHeight="1" x14ac:dyDescent="0.15">
      <c r="A32" s="383"/>
      <c r="B32" s="2012"/>
      <c r="C32" s="2017"/>
      <c r="D32" s="2017"/>
      <c r="E32" s="803"/>
      <c r="F32" s="380"/>
      <c r="G32" s="380"/>
      <c r="H32" s="381"/>
      <c r="I32" s="691"/>
      <c r="J32" s="691"/>
      <c r="K32" s="691"/>
      <c r="L32" s="691"/>
    </row>
    <row r="33" spans="1:12" s="382" customFormat="1" ht="18" hidden="1" customHeight="1" x14ac:dyDescent="0.15">
      <c r="A33" s="383"/>
      <c r="B33" s="2012"/>
      <c r="C33" s="2017"/>
      <c r="D33" s="2017"/>
      <c r="E33" s="803"/>
      <c r="F33" s="380"/>
      <c r="G33" s="380"/>
      <c r="H33" s="381"/>
      <c r="I33" s="691"/>
      <c r="J33" s="691"/>
      <c r="K33" s="691"/>
      <c r="L33" s="691"/>
    </row>
    <row r="34" spans="1:12" s="382" customFormat="1" ht="18" hidden="1" customHeight="1" x14ac:dyDescent="0.15">
      <c r="A34" s="383"/>
      <c r="B34" s="2012"/>
      <c r="C34" s="2017"/>
      <c r="D34" s="2017"/>
      <c r="E34" s="803"/>
      <c r="F34" s="380"/>
      <c r="G34" s="380"/>
      <c r="H34" s="381"/>
      <c r="I34" s="691"/>
      <c r="J34" s="691"/>
      <c r="K34" s="691"/>
      <c r="L34" s="691"/>
    </row>
    <row r="35" spans="1:12" s="382" customFormat="1" ht="18" hidden="1" customHeight="1" x14ac:dyDescent="0.15">
      <c r="A35" s="383"/>
      <c r="B35" s="2012"/>
      <c r="C35" s="2017"/>
      <c r="D35" s="2017"/>
      <c r="E35" s="803"/>
      <c r="F35" s="380"/>
      <c r="G35" s="380"/>
      <c r="H35" s="381"/>
      <c r="I35" s="691"/>
      <c r="J35" s="691"/>
      <c r="K35" s="691"/>
      <c r="L35" s="691"/>
    </row>
    <row r="36" spans="1:12" s="382" customFormat="1" ht="18" hidden="1" customHeight="1" x14ac:dyDescent="0.15">
      <c r="A36" s="383"/>
      <c r="B36" s="2012"/>
      <c r="C36" s="2017"/>
      <c r="D36" s="2017"/>
      <c r="E36" s="803"/>
      <c r="F36" s="380"/>
      <c r="G36" s="380"/>
      <c r="H36" s="381"/>
      <c r="I36" s="691"/>
      <c r="J36" s="691"/>
      <c r="K36" s="691"/>
      <c r="L36" s="691"/>
    </row>
    <row r="37" spans="1:12" s="382" customFormat="1" ht="18" hidden="1" customHeight="1" x14ac:dyDescent="0.15">
      <c r="A37" s="383"/>
      <c r="B37" s="2012"/>
      <c r="C37" s="2017"/>
      <c r="D37" s="2017"/>
      <c r="E37" s="803"/>
      <c r="F37" s="380"/>
      <c r="G37" s="380"/>
      <c r="H37" s="381"/>
      <c r="I37" s="691"/>
      <c r="J37" s="691"/>
      <c r="K37" s="691"/>
      <c r="L37" s="691"/>
    </row>
    <row r="38" spans="1:12" s="382" customFormat="1" ht="18" hidden="1" customHeight="1" x14ac:dyDescent="0.15">
      <c r="A38" s="383"/>
      <c r="B38" s="2012"/>
      <c r="C38" s="2017"/>
      <c r="D38" s="2017"/>
      <c r="E38" s="803"/>
      <c r="F38" s="380"/>
      <c r="G38" s="380"/>
      <c r="H38" s="381"/>
      <c r="I38" s="691"/>
      <c r="J38" s="691"/>
      <c r="K38" s="691"/>
      <c r="L38" s="691"/>
    </row>
    <row r="39" spans="1:12" s="382" customFormat="1" ht="18" hidden="1" customHeight="1" x14ac:dyDescent="0.15">
      <c r="A39" s="383"/>
      <c r="B39" s="2012"/>
      <c r="C39" s="2017"/>
      <c r="D39" s="2017"/>
      <c r="E39" s="803"/>
      <c r="F39" s="380"/>
      <c r="G39" s="380"/>
      <c r="H39" s="381"/>
      <c r="I39" s="691"/>
      <c r="J39" s="691"/>
      <c r="K39" s="691"/>
      <c r="L39" s="691"/>
    </row>
    <row r="40" spans="1:12" s="382" customFormat="1" ht="18" hidden="1" customHeight="1" x14ac:dyDescent="0.15">
      <c r="A40" s="383"/>
      <c r="B40" s="2012"/>
      <c r="C40" s="2017"/>
      <c r="D40" s="2017"/>
      <c r="E40" s="803"/>
      <c r="F40" s="380"/>
      <c r="G40" s="380"/>
      <c r="H40" s="381"/>
      <c r="I40" s="691"/>
      <c r="J40" s="691"/>
      <c r="K40" s="691"/>
      <c r="L40" s="691"/>
    </row>
    <row r="41" spans="1:12" s="382" customFormat="1" ht="18" hidden="1" customHeight="1" x14ac:dyDescent="0.15">
      <c r="A41" s="383"/>
      <c r="B41" s="2012"/>
      <c r="C41" s="2017"/>
      <c r="D41" s="2017"/>
      <c r="E41" s="803"/>
      <c r="F41" s="380"/>
      <c r="G41" s="380"/>
      <c r="H41" s="381"/>
      <c r="I41" s="691"/>
      <c r="J41" s="691"/>
      <c r="K41" s="691"/>
      <c r="L41" s="691"/>
    </row>
    <row r="42" spans="1:12" s="382" customFormat="1" ht="18" hidden="1" customHeight="1" x14ac:dyDescent="0.15">
      <c r="A42" s="383"/>
      <c r="B42" s="2012"/>
      <c r="C42" s="2017"/>
      <c r="D42" s="2017"/>
      <c r="E42" s="803"/>
      <c r="F42" s="380"/>
      <c r="G42" s="380"/>
      <c r="H42" s="381"/>
      <c r="I42" s="691"/>
      <c r="J42" s="691"/>
      <c r="K42" s="691"/>
      <c r="L42" s="691"/>
    </row>
    <row r="43" spans="1:12" s="382" customFormat="1" ht="18" hidden="1" customHeight="1" x14ac:dyDescent="0.15">
      <c r="A43" s="383"/>
      <c r="B43" s="2012"/>
      <c r="C43" s="2017"/>
      <c r="D43" s="2017"/>
      <c r="E43" s="803"/>
      <c r="F43" s="380"/>
      <c r="G43" s="380"/>
      <c r="H43" s="381"/>
      <c r="I43" s="691"/>
      <c r="J43" s="691"/>
      <c r="K43" s="691"/>
      <c r="L43" s="691"/>
    </row>
    <row r="44" spans="1:12" s="382" customFormat="1" ht="18" hidden="1" customHeight="1" x14ac:dyDescent="0.15">
      <c r="A44" s="383"/>
      <c r="B44" s="2012"/>
      <c r="C44" s="2017"/>
      <c r="D44" s="2017"/>
      <c r="E44" s="803"/>
      <c r="F44" s="380"/>
      <c r="G44" s="380"/>
      <c r="H44" s="381"/>
      <c r="I44" s="691"/>
      <c r="J44" s="691"/>
      <c r="K44" s="691"/>
      <c r="L44" s="691"/>
    </row>
    <row r="45" spans="1:12" s="382" customFormat="1" ht="18" hidden="1" customHeight="1" x14ac:dyDescent="0.15">
      <c r="A45" s="383"/>
      <c r="B45" s="2012"/>
      <c r="C45" s="2017"/>
      <c r="D45" s="2017"/>
      <c r="E45" s="803"/>
      <c r="F45" s="380"/>
      <c r="G45" s="380"/>
      <c r="H45" s="381"/>
      <c r="I45" s="691"/>
      <c r="J45" s="691"/>
      <c r="K45" s="691"/>
      <c r="L45" s="691"/>
    </row>
    <row r="46" spans="1:12" s="382" customFormat="1" ht="18" hidden="1" customHeight="1" x14ac:dyDescent="0.15">
      <c r="A46" s="383"/>
      <c r="B46" s="2012"/>
      <c r="C46" s="2017"/>
      <c r="D46" s="2017"/>
      <c r="E46" s="803"/>
      <c r="F46" s="380"/>
      <c r="G46" s="380"/>
      <c r="H46" s="381"/>
      <c r="I46" s="691"/>
      <c r="J46" s="691"/>
      <c r="K46" s="691"/>
      <c r="L46" s="691"/>
    </row>
    <row r="47" spans="1:12" s="382" customFormat="1" ht="18" hidden="1" customHeight="1" x14ac:dyDescent="0.15">
      <c r="A47" s="383"/>
      <c r="B47" s="2012"/>
      <c r="C47" s="2017"/>
      <c r="D47" s="2017"/>
      <c r="E47" s="803"/>
      <c r="F47" s="380"/>
      <c r="G47" s="380"/>
      <c r="H47" s="381"/>
      <c r="I47" s="691"/>
      <c r="J47" s="691"/>
      <c r="K47" s="691"/>
      <c r="L47" s="691"/>
    </row>
    <row r="48" spans="1:12" s="382" customFormat="1" ht="18" hidden="1" customHeight="1" x14ac:dyDescent="0.15">
      <c r="A48" s="383"/>
      <c r="B48" s="2012"/>
      <c r="C48" s="2017"/>
      <c r="D48" s="2017"/>
      <c r="E48" s="803"/>
      <c r="F48" s="380"/>
      <c r="G48" s="380"/>
      <c r="H48" s="381"/>
      <c r="I48" s="691"/>
      <c r="J48" s="691"/>
      <c r="K48" s="691"/>
      <c r="L48" s="691"/>
    </row>
    <row r="49" spans="1:12" s="382" customFormat="1" ht="18" hidden="1" customHeight="1" x14ac:dyDescent="0.15">
      <c r="A49" s="383"/>
      <c r="B49" s="2012"/>
      <c r="C49" s="2017"/>
      <c r="D49" s="2017"/>
      <c r="E49" s="803"/>
      <c r="F49" s="380"/>
      <c r="G49" s="380"/>
      <c r="H49" s="381"/>
      <c r="I49" s="691"/>
      <c r="J49" s="691"/>
      <c r="K49" s="691"/>
      <c r="L49" s="691"/>
    </row>
    <row r="50" spans="1:12" s="382" customFormat="1" ht="18" hidden="1" customHeight="1" x14ac:dyDescent="0.15">
      <c r="A50" s="383"/>
      <c r="B50" s="2012"/>
      <c r="C50" s="2017"/>
      <c r="D50" s="2017"/>
      <c r="E50" s="803"/>
      <c r="F50" s="380"/>
      <c r="G50" s="380"/>
      <c r="H50" s="381"/>
      <c r="I50" s="691"/>
      <c r="J50" s="691"/>
      <c r="K50" s="691"/>
      <c r="L50" s="691"/>
    </row>
    <row r="51" spans="1:12" s="382" customFormat="1" ht="18" hidden="1" customHeight="1" x14ac:dyDescent="0.15">
      <c r="A51" s="383"/>
      <c r="B51" s="2012"/>
      <c r="C51" s="2017"/>
      <c r="D51" s="2017"/>
      <c r="E51" s="803"/>
      <c r="F51" s="380"/>
      <c r="G51" s="380"/>
      <c r="H51" s="381"/>
      <c r="I51" s="691"/>
      <c r="J51" s="691"/>
      <c r="K51" s="691"/>
      <c r="L51" s="691"/>
    </row>
    <row r="52" spans="1:12" s="382" customFormat="1" ht="18" hidden="1" customHeight="1" x14ac:dyDescent="0.15">
      <c r="A52" s="383"/>
      <c r="B52" s="2012"/>
      <c r="C52" s="2017"/>
      <c r="D52" s="2017"/>
      <c r="E52" s="803"/>
      <c r="F52" s="380"/>
      <c r="G52" s="380"/>
      <c r="H52" s="381"/>
      <c r="I52" s="691"/>
      <c r="J52" s="691"/>
      <c r="K52" s="691"/>
      <c r="L52" s="691"/>
    </row>
    <row r="53" spans="1:12" s="382" customFormat="1" ht="18" hidden="1" customHeight="1" x14ac:dyDescent="0.15">
      <c r="A53" s="383"/>
      <c r="B53" s="2012"/>
      <c r="C53" s="2017"/>
      <c r="D53" s="2017"/>
      <c r="E53" s="803"/>
      <c r="F53" s="380"/>
      <c r="G53" s="380"/>
      <c r="H53" s="381"/>
      <c r="I53" s="691"/>
      <c r="J53" s="691"/>
      <c r="K53" s="691"/>
      <c r="L53" s="691"/>
    </row>
    <row r="54" spans="1:12" s="382" customFormat="1" ht="18" hidden="1" customHeight="1" x14ac:dyDescent="0.15">
      <c r="A54" s="383"/>
      <c r="B54" s="2012"/>
      <c r="C54" s="2017"/>
      <c r="D54" s="2017"/>
      <c r="E54" s="803"/>
      <c r="F54" s="380"/>
      <c r="G54" s="380"/>
      <c r="H54" s="381"/>
      <c r="I54" s="691"/>
      <c r="J54" s="691"/>
      <c r="K54" s="691"/>
      <c r="L54" s="691"/>
    </row>
    <row r="55" spans="1:12" s="382" customFormat="1" ht="18" hidden="1" customHeight="1" x14ac:dyDescent="0.15">
      <c r="A55" s="383"/>
      <c r="B55" s="2012"/>
      <c r="C55" s="2017"/>
      <c r="D55" s="2017"/>
      <c r="E55" s="803"/>
      <c r="F55" s="380"/>
      <c r="G55" s="380"/>
      <c r="H55" s="381"/>
      <c r="I55" s="691"/>
      <c r="J55" s="691"/>
      <c r="K55" s="691"/>
      <c r="L55" s="691"/>
    </row>
    <row r="56" spans="1:12" s="382" customFormat="1" ht="18" hidden="1" customHeight="1" x14ac:dyDescent="0.15">
      <c r="A56" s="383"/>
      <c r="B56" s="2012"/>
      <c r="C56" s="2017"/>
      <c r="D56" s="2017"/>
      <c r="E56" s="803"/>
      <c r="F56" s="380"/>
      <c r="G56" s="380"/>
      <c r="H56" s="381"/>
      <c r="I56" s="691"/>
      <c r="J56" s="691"/>
      <c r="K56" s="691"/>
      <c r="L56" s="691"/>
    </row>
    <row r="57" spans="1:12" s="382" customFormat="1" ht="18" hidden="1" customHeight="1" x14ac:dyDescent="0.15">
      <c r="A57" s="383"/>
      <c r="B57" s="2012"/>
      <c r="C57" s="2017"/>
      <c r="D57" s="2017"/>
      <c r="E57" s="803"/>
      <c r="F57" s="380"/>
      <c r="G57" s="380"/>
      <c r="H57" s="381"/>
      <c r="I57" s="691"/>
      <c r="J57" s="691"/>
      <c r="K57" s="691"/>
      <c r="L57" s="691"/>
    </row>
    <row r="58" spans="1:12" s="382" customFormat="1" ht="18" hidden="1" customHeight="1" x14ac:dyDescent="0.15">
      <c r="A58" s="383"/>
      <c r="B58" s="2012"/>
      <c r="C58" s="2017"/>
      <c r="D58" s="2017"/>
      <c r="E58" s="803"/>
      <c r="F58" s="380"/>
      <c r="G58" s="380"/>
      <c r="H58" s="381"/>
      <c r="I58" s="691"/>
      <c r="J58" s="691"/>
      <c r="K58" s="691"/>
      <c r="L58" s="691"/>
    </row>
    <row r="59" spans="1:12" s="382" customFormat="1" ht="18" hidden="1" customHeight="1" x14ac:dyDescent="0.15">
      <c r="A59" s="383"/>
      <c r="B59" s="2012"/>
      <c r="C59" s="2017"/>
      <c r="D59" s="2017"/>
      <c r="E59" s="803"/>
      <c r="F59" s="380"/>
      <c r="G59" s="380"/>
      <c r="H59" s="381"/>
      <c r="I59" s="691"/>
      <c r="J59" s="691"/>
      <c r="K59" s="691"/>
      <c r="L59" s="691"/>
    </row>
    <row r="60" spans="1:12" s="382" customFormat="1" ht="18" hidden="1" customHeight="1" x14ac:dyDescent="0.15">
      <c r="A60" s="383"/>
      <c r="B60" s="2012"/>
      <c r="C60" s="2017"/>
      <c r="D60" s="2017"/>
      <c r="E60" s="803"/>
      <c r="F60" s="380"/>
      <c r="G60" s="380"/>
      <c r="H60" s="381"/>
      <c r="I60" s="691"/>
      <c r="J60" s="691"/>
      <c r="K60" s="691"/>
      <c r="L60" s="691"/>
    </row>
    <row r="61" spans="1:12" s="382" customFormat="1" ht="18" hidden="1" customHeight="1" x14ac:dyDescent="0.15">
      <c r="A61" s="383"/>
      <c r="B61" s="2012"/>
      <c r="C61" s="2017"/>
      <c r="D61" s="2017"/>
      <c r="E61" s="803"/>
      <c r="F61" s="380"/>
      <c r="G61" s="380"/>
      <c r="H61" s="381"/>
      <c r="I61" s="691"/>
      <c r="J61" s="691"/>
      <c r="K61" s="691"/>
      <c r="L61" s="691"/>
    </row>
    <row r="62" spans="1:12" s="382" customFormat="1" ht="18" hidden="1" customHeight="1" x14ac:dyDescent="0.15">
      <c r="A62" s="383"/>
      <c r="B62" s="2012"/>
      <c r="C62" s="2017"/>
      <c r="D62" s="2017"/>
      <c r="E62" s="803"/>
      <c r="F62" s="380"/>
      <c r="G62" s="380"/>
      <c r="H62" s="381"/>
      <c r="I62" s="691"/>
      <c r="J62" s="691"/>
      <c r="K62" s="691"/>
      <c r="L62" s="691"/>
    </row>
    <row r="63" spans="1:12" s="382" customFormat="1" ht="18" customHeight="1" thickBot="1" x14ac:dyDescent="0.2">
      <c r="A63" s="398"/>
      <c r="B63" s="2482"/>
      <c r="C63" s="2483"/>
      <c r="D63" s="2483"/>
      <c r="E63" s="1695"/>
      <c r="F63" s="1696"/>
      <c r="G63" s="1696"/>
      <c r="H63" s="1697"/>
      <c r="I63" s="691"/>
      <c r="J63" s="691"/>
      <c r="K63" s="691"/>
      <c r="L63" s="691"/>
    </row>
    <row r="64" spans="1:12" s="35" customFormat="1" ht="18" customHeight="1" thickTop="1" x14ac:dyDescent="0.15">
      <c r="A64" s="203"/>
      <c r="B64" s="371"/>
      <c r="C64" s="399"/>
      <c r="D64" s="400" t="s">
        <v>529</v>
      </c>
      <c r="G64" s="399"/>
      <c r="H64" s="370">
        <f>SUM(H21:H63)</f>
        <v>113833.965</v>
      </c>
      <c r="I64" s="382"/>
      <c r="J64" s="382"/>
      <c r="K64" s="382"/>
      <c r="L64" s="382"/>
    </row>
    <row r="65" spans="1:12" s="35" customFormat="1" ht="18" customHeight="1" x14ac:dyDescent="0.15">
      <c r="A65" s="394"/>
      <c r="B65" s="371"/>
      <c r="D65" s="46" t="s">
        <v>530</v>
      </c>
      <c r="G65" s="370"/>
      <c r="H65" s="370">
        <f>H17+H64</f>
        <v>137104.72500000001</v>
      </c>
      <c r="I65" s="382"/>
      <c r="J65" s="382"/>
      <c r="K65" s="382"/>
      <c r="L65" s="382"/>
    </row>
    <row r="66" spans="1:12" s="35" customFormat="1" ht="18" customHeight="1" x14ac:dyDescent="0.2">
      <c r="A66" s="203"/>
      <c r="B66" s="371"/>
      <c r="C66" s="401"/>
      <c r="D66" s="46" t="s">
        <v>531</v>
      </c>
      <c r="H66" s="402">
        <f>H65/G7</f>
        <v>22850.787500000002</v>
      </c>
      <c r="I66" s="382"/>
      <c r="J66" s="382"/>
      <c r="K66" s="382"/>
      <c r="L66" s="382"/>
    </row>
    <row r="67" spans="1:12" s="35" customFormat="1" ht="19.5" customHeight="1" thickBot="1" x14ac:dyDescent="0.2">
      <c r="A67" s="203"/>
      <c r="B67" s="2018"/>
      <c r="C67" s="2018"/>
      <c r="D67" s="2018"/>
      <c r="E67" s="2018"/>
      <c r="F67" s="2018"/>
      <c r="G67" s="1698"/>
      <c r="H67" s="1699"/>
    </row>
    <row r="68" spans="1:12" s="35" customFormat="1" ht="18" customHeight="1" thickTop="1" thickBot="1" x14ac:dyDescent="0.2">
      <c r="A68" s="403" t="s">
        <v>752</v>
      </c>
      <c r="B68" s="404"/>
      <c r="C68" s="405"/>
      <c r="D68" s="405"/>
      <c r="E68" s="405"/>
      <c r="F68" s="406"/>
      <c r="G68" s="407" t="s">
        <v>199</v>
      </c>
      <c r="H68" s="408">
        <f>TRUNC(H66,2)</f>
        <v>22850.78</v>
      </c>
    </row>
    <row r="69" spans="1:12" s="35" customFormat="1" ht="18" customHeight="1" thickTop="1" thickBot="1" x14ac:dyDescent="0.2">
      <c r="A69" s="403" t="str">
        <f>CONCATENATE("CUSTO DIRETO TOTAL PARA ",G7," MESES DE OBRA:")</f>
        <v>CUSTO DIRETO TOTAL PARA 6 MESES DE OBRA:</v>
      </c>
      <c r="B69" s="404"/>
      <c r="C69" s="405"/>
      <c r="D69" s="405"/>
      <c r="E69" s="405"/>
      <c r="F69" s="406"/>
      <c r="G69" s="407" t="s">
        <v>199</v>
      </c>
      <c r="H69" s="408">
        <f>TRUNC(+H68*G7,2)</f>
        <v>137104.68</v>
      </c>
    </row>
    <row r="70" spans="1:12" s="35" customFormat="1" ht="18" customHeight="1" thickTop="1" x14ac:dyDescent="0.15">
      <c r="A70" s="855" t="s">
        <v>533</v>
      </c>
      <c r="C70" s="370"/>
      <c r="D70" s="370"/>
      <c r="E70" s="371"/>
      <c r="G70" s="370"/>
      <c r="H70" s="370"/>
    </row>
  </sheetData>
  <mergeCells count="30">
    <mergeCell ref="B63:D63"/>
    <mergeCell ref="H9:H10"/>
    <mergeCell ref="H19:H20"/>
    <mergeCell ref="F19:F20"/>
    <mergeCell ref="F9:F10"/>
    <mergeCell ref="G9:G10"/>
    <mergeCell ref="G19:G20"/>
    <mergeCell ref="E19:E20"/>
    <mergeCell ref="B23:D23"/>
    <mergeCell ref="B24:D24"/>
    <mergeCell ref="B25:D25"/>
    <mergeCell ref="B27:D27"/>
    <mergeCell ref="B31:D31"/>
    <mergeCell ref="B26:D26"/>
    <mergeCell ref="B28:D28"/>
    <mergeCell ref="B29:D29"/>
    <mergeCell ref="A9:A10"/>
    <mergeCell ref="A19:A20"/>
    <mergeCell ref="B19:D20"/>
    <mergeCell ref="B21:D21"/>
    <mergeCell ref="B22:D22"/>
    <mergeCell ref="B30:D30"/>
    <mergeCell ref="C3:E3"/>
    <mergeCell ref="B6:D6"/>
    <mergeCell ref="B7:D7"/>
    <mergeCell ref="E9:E10"/>
    <mergeCell ref="E6:G6"/>
    <mergeCell ref="E7:F7"/>
    <mergeCell ref="D9:D10"/>
    <mergeCell ref="B9:C10"/>
  </mergeCells>
  <printOptions horizontalCentered="1"/>
  <pageMargins left="0.39370078740157483" right="0.39370078740157483" top="0.59055118110236227" bottom="0.59055118110236227" header="0.23622047244094491" footer="0.23622047244094491"/>
  <pageSetup paperSize="9" scale="80" orientation="portrait" r:id="rId1"/>
  <headerFooter>
    <oddFooter>&amp;L&amp;"Arial,Normal"&amp;8&amp;F&amp;C&amp;"Arial,Normal"&amp;8&amp;P / &amp;N&amp;R&amp;"Cambria,Regular"&amp;8Ricardo Schettini Figueiredo&amp;10
&amp;8Eng. Civil - CREA-RJ 52.656/D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12" filterMode="1">
    <tabColor rgb="FF00B0F0"/>
    <pageSetUpPr fitToPage="1"/>
  </sheetPr>
  <dimension ref="A1:Y1482"/>
  <sheetViews>
    <sheetView showZeros="0" zoomScaleNormal="100" zoomScaleSheetLayoutView="100" workbookViewId="0">
      <selection activeCell="J16" sqref="J16"/>
    </sheetView>
  </sheetViews>
  <sheetFormatPr defaultColWidth="9" defaultRowHeight="25.5" x14ac:dyDescent="0.15"/>
  <cols>
    <col min="1" max="1" width="7.625" style="844" customWidth="1"/>
    <col min="2" max="2" width="15.625" style="844" customWidth="1"/>
    <col min="3" max="3" width="13.5" style="844" customWidth="1"/>
    <col min="4" max="4" width="90.625" style="844" customWidth="1"/>
    <col min="5" max="5" width="5.875" style="844" customWidth="1"/>
    <col min="6" max="6" width="7.625" style="844" customWidth="1"/>
    <col min="7" max="7" width="14.75" style="846" hidden="1" customWidth="1"/>
    <col min="8" max="8" width="12.625" style="844" customWidth="1"/>
    <col min="9" max="9" width="14.375" style="844" customWidth="1"/>
    <col min="10" max="10" width="17.625" style="844" bestFit="1" customWidth="1"/>
    <col min="11" max="11" width="9.25" style="1611" customWidth="1"/>
    <col min="12" max="12" width="12.5" style="1571" hidden="1" customWidth="1"/>
    <col min="13" max="13" width="29" style="852" hidden="1" customWidth="1"/>
    <col min="14" max="14" width="14.25" style="852" hidden="1" customWidth="1"/>
    <col min="15" max="15" width="13.75" style="852" hidden="1" customWidth="1"/>
    <col min="16" max="16" width="8.75" style="852" hidden="1" customWidth="1"/>
    <col min="17" max="17" width="12.75" style="852" hidden="1" customWidth="1"/>
    <col min="18" max="18" width="3.25" style="852" bestFit="1" customWidth="1"/>
    <col min="19" max="19" width="12.75" style="852" customWidth="1"/>
    <col min="20" max="20" width="3.25" style="852" bestFit="1" customWidth="1"/>
    <col min="21" max="21" width="12.75" style="852" customWidth="1"/>
    <col min="22" max="22" width="3.25" style="852" bestFit="1" customWidth="1"/>
    <col min="23" max="23" width="12.75" style="852" customWidth="1"/>
    <col min="24" max="24" width="3.25" style="852" bestFit="1" customWidth="1"/>
    <col min="25" max="25" width="14.5" style="844" customWidth="1"/>
    <col min="26" max="26" width="12.625" style="844" customWidth="1"/>
    <col min="27" max="27" width="13.25" style="844" customWidth="1"/>
    <col min="28" max="28" width="9" style="844" customWidth="1"/>
    <col min="29" max="32" width="9" style="844"/>
    <col min="33" max="33" width="13.375" style="844" customWidth="1"/>
    <col min="34" max="16384" width="9" style="844"/>
  </cols>
  <sheetData>
    <row r="1" spans="1:19" s="812" customFormat="1" ht="24.95" customHeight="1" x14ac:dyDescent="0.15">
      <c r="A1" s="810"/>
      <c r="B1" s="853" t="str">
        <f>+Orçamento_Não_Deson!B1</f>
        <v>PREFEITURA MUNICIPAL DE CAMPO GRANDE - MS</v>
      </c>
      <c r="C1" s="810"/>
      <c r="D1" s="810"/>
      <c r="E1" s="810"/>
      <c r="F1" s="813"/>
      <c r="I1" s="1678" t="s">
        <v>114</v>
      </c>
      <c r="J1" s="1691" t="str">
        <f>[2]BOLETIM_SEL!$B$1</f>
        <v>Agosto/2023</v>
      </c>
      <c r="K1" s="1609"/>
      <c r="L1" s="2407" t="s">
        <v>445</v>
      </c>
      <c r="M1" s="2407"/>
      <c r="N1" s="1955" t="s">
        <v>705</v>
      </c>
      <c r="O1" s="1423"/>
    </row>
    <row r="2" spans="1:19" s="812" customFormat="1" ht="24.95" customHeight="1" x14ac:dyDescent="0.15">
      <c r="A2" s="816"/>
      <c r="B2" s="460" t="str">
        <f>+Orçamento_Não_Deson!B2</f>
        <v>SECRETARIA MUNICIPAL DE INFRAESTRUTURA E SERVIÇOS PÚBLICOS - SISEP</v>
      </c>
      <c r="C2" s="816"/>
      <c r="D2" s="816"/>
      <c r="E2" s="816"/>
      <c r="F2" s="817"/>
      <c r="I2" s="1678" t="s">
        <v>420</v>
      </c>
      <c r="J2" s="48" t="str">
        <f>[2]BOLETIM_SEL!$D$2</f>
        <v>DESONERADA</v>
      </c>
      <c r="K2" s="1609"/>
      <c r="L2" s="1954" t="s">
        <v>446</v>
      </c>
      <c r="M2" s="1964" t="str">
        <f ca="1">IF(J12=J930,"OK","ERRO")</f>
        <v>OK</v>
      </c>
      <c r="N2" s="1956" t="s">
        <v>703</v>
      </c>
      <c r="O2" s="848" t="s">
        <v>704</v>
      </c>
    </row>
    <row r="3" spans="1:19" s="812" customFormat="1" ht="24.95" customHeight="1" x14ac:dyDescent="0.15">
      <c r="A3" s="818"/>
      <c r="B3" s="460">
        <f>+Orçamento_Não_Deson!B3</f>
        <v>0</v>
      </c>
      <c r="C3" s="818"/>
      <c r="D3" s="818"/>
      <c r="E3" s="817"/>
      <c r="F3" s="817"/>
      <c r="H3" s="1678"/>
      <c r="I3" s="1678" t="s">
        <v>270</v>
      </c>
      <c r="J3" s="1689">
        <f>[2]BOLETIM_SEL!$G$3</f>
        <v>0.8528</v>
      </c>
      <c r="K3" s="1609"/>
      <c r="L3" s="1569"/>
    </row>
    <row r="4" spans="1:19" s="812" customFormat="1" ht="24.95" customHeight="1" x14ac:dyDescent="0.15">
      <c r="B4" s="865">
        <f>Orçamento_Não_Deson!B4</f>
        <v>0</v>
      </c>
      <c r="C4" s="874">
        <f>Orçamento_Não_Deson!C4</f>
        <v>0</v>
      </c>
      <c r="E4" s="814"/>
      <c r="F4" s="819"/>
      <c r="I4" s="1678" t="s">
        <v>269</v>
      </c>
      <c r="J4" s="1689">
        <f>[2]BOLETIM_SEL!$G$4</f>
        <v>0.4723</v>
      </c>
      <c r="K4" s="1609"/>
      <c r="L4" s="1569"/>
    </row>
    <row r="5" spans="1:19" s="812" customFormat="1" ht="24.95" customHeight="1" x14ac:dyDescent="0.15">
      <c r="A5" s="821"/>
      <c r="B5" s="865" t="str">
        <f>Orçamento_Não_Deson!B5</f>
        <v>OBRA :</v>
      </c>
      <c r="C5" s="874" t="s">
        <v>2657</v>
      </c>
      <c r="D5" s="894"/>
      <c r="E5" s="894"/>
      <c r="F5" s="894"/>
      <c r="I5" s="1678" t="s">
        <v>421</v>
      </c>
      <c r="J5" s="1690">
        <v>0.28170000000000001</v>
      </c>
      <c r="K5" s="1609"/>
      <c r="L5" s="1569"/>
    </row>
    <row r="6" spans="1:19" s="812" customFormat="1" ht="24.95" customHeight="1" x14ac:dyDescent="0.15">
      <c r="A6" s="821"/>
      <c r="B6" s="865" t="str">
        <f>Orçamento_Não_Deson!B6</f>
        <v>LOCAL :</v>
      </c>
      <c r="C6" s="874" t="s">
        <v>2832</v>
      </c>
      <c r="D6" s="874"/>
      <c r="E6" s="822"/>
      <c r="F6" s="822"/>
      <c r="I6" s="1678" t="s">
        <v>937</v>
      </c>
      <c r="J6" s="2101">
        <v>0.15279999999999999</v>
      </c>
      <c r="K6" s="1609"/>
      <c r="L6" s="1569"/>
    </row>
    <row r="7" spans="1:19" s="812" customFormat="1" ht="24.95" customHeight="1" x14ac:dyDescent="0.15">
      <c r="A7" s="821"/>
      <c r="B7" s="865" t="str">
        <f>Orçamento_Não_Deson!B7</f>
        <v>MUNICÍPIO :</v>
      </c>
      <c r="C7" s="874" t="str">
        <f>Orçamento_Não_Deson!C7</f>
        <v>CAMPO GRANDE / MS</v>
      </c>
      <c r="D7" s="821"/>
      <c r="E7" s="823"/>
      <c r="F7" s="823"/>
      <c r="G7" s="819"/>
      <c r="K7" s="1610"/>
      <c r="L7" s="1569"/>
    </row>
    <row r="8" spans="1:19" s="812" customFormat="1" ht="24.95" customHeight="1" x14ac:dyDescent="0.15">
      <c r="A8" s="824"/>
      <c r="B8" s="865" t="str">
        <f>Orçamento_Não_Deson!B8</f>
        <v>COORDENADAS :</v>
      </c>
      <c r="C8" s="874" t="str">
        <f>Orçamento_Não_Deson!C8</f>
        <v>(20°32'01.13"S ; 54°36'32.29"O) ; (20°32'04.37"S ; 54°36'52.35"O) ; (20°32'09.83"S ; 54°36'53.82"O)</v>
      </c>
      <c r="D8" s="824"/>
      <c r="E8" s="824"/>
      <c r="F8" s="824"/>
      <c r="G8" s="820"/>
      <c r="K8" s="814"/>
      <c r="L8" s="1680"/>
    </row>
    <row r="9" spans="1:19" s="812" customFormat="1" ht="24.95" customHeight="1" x14ac:dyDescent="0.15">
      <c r="A9" s="824"/>
      <c r="B9" s="865"/>
      <c r="C9" s="874"/>
      <c r="D9" s="824"/>
      <c r="E9" s="824"/>
      <c r="F9" s="824"/>
      <c r="G9" s="820"/>
      <c r="K9" s="814"/>
      <c r="L9" s="1680"/>
    </row>
    <row r="10" spans="1:19" s="812" customFormat="1" ht="24.95" customHeight="1" x14ac:dyDescent="0.15">
      <c r="A10" s="825"/>
      <c r="B10" s="825"/>
      <c r="C10" s="811"/>
      <c r="D10" s="903" t="str">
        <f>CONCATENATE("PLANILHA ORÇAMENTÁRIA ",J2)</f>
        <v>PLANILHA ORÇAMENTÁRIA DESONERADA</v>
      </c>
      <c r="E10" s="825"/>
      <c r="F10" s="825"/>
      <c r="G10" s="826"/>
      <c r="K10" s="814"/>
      <c r="L10" s="1569"/>
    </row>
    <row r="11" spans="1:19" s="812" customFormat="1" ht="24.95" customHeight="1" thickBot="1" x14ac:dyDescent="0.2">
      <c r="A11" s="824"/>
      <c r="C11" s="824"/>
      <c r="D11" s="824"/>
      <c r="E11" s="824"/>
      <c r="F11" s="824"/>
      <c r="G11" s="820"/>
      <c r="K11" s="814"/>
      <c r="L11" s="1680"/>
    </row>
    <row r="12" spans="1:19" s="832" customFormat="1" ht="30" customHeight="1" thickTop="1" thickBot="1" x14ac:dyDescent="0.2">
      <c r="A12" s="825"/>
      <c r="B12" s="1675" t="s">
        <v>31</v>
      </c>
      <c r="C12" s="2404" t="s">
        <v>38</v>
      </c>
      <c r="D12" s="2405"/>
      <c r="E12" s="2405"/>
      <c r="F12" s="2405"/>
      <c r="G12" s="2405"/>
      <c r="H12" s="665" t="s">
        <v>336</v>
      </c>
      <c r="I12" s="829" t="s">
        <v>33</v>
      </c>
      <c r="J12" s="2114">
        <f ca="1">SUM(J13:J31)</f>
        <v>3778233.4</v>
      </c>
      <c r="K12" s="1625">
        <f ca="1">SUM(K13:K31)</f>
        <v>1.0000000000000002</v>
      </c>
      <c r="L12" s="1676" t="s">
        <v>1954</v>
      </c>
      <c r="M12" s="1677" t="s">
        <v>200</v>
      </c>
      <c r="N12" s="205" t="s">
        <v>2020</v>
      </c>
      <c r="O12" s="849"/>
      <c r="S12" s="841"/>
    </row>
    <row r="13" spans="1:19" s="3" customFormat="1" ht="24.95" customHeight="1" thickTop="1" x14ac:dyDescent="0.15">
      <c r="B13" s="1663">
        <f>A34</f>
        <v>1</v>
      </c>
      <c r="C13" s="1664" t="str">
        <f>D34</f>
        <v>SERVIÇOS PRELIMINARES</v>
      </c>
      <c r="E13" s="1668"/>
      <c r="F13" s="865"/>
      <c r="G13" s="1663"/>
      <c r="H13" s="1665">
        <f>H35</f>
        <v>16</v>
      </c>
      <c r="I13" s="893" t="str">
        <f>F35</f>
        <v>M2</v>
      </c>
      <c r="J13" s="1666">
        <f ca="1">J34</f>
        <v>176747.43</v>
      </c>
      <c r="K13" s="1667">
        <f ca="1">K34</f>
        <v>4.6780442415230369E-2</v>
      </c>
      <c r="L13" s="1672" t="str">
        <f ca="1">IF(SUBTOTAL(109,J35:J62)=J13,"OK","ERRO")</f>
        <v>OK</v>
      </c>
      <c r="M13" s="1965" t="str">
        <f t="shared" ref="M13:M31" ca="1" si="0">IF(K13=J13/J$930,"OK","ERRO")</f>
        <v>OK</v>
      </c>
      <c r="N13" s="1757">
        <f>S_Preliminares!N4</f>
        <v>6</v>
      </c>
      <c r="O13" s="205"/>
    </row>
    <row r="14" spans="1:19" s="3" customFormat="1" ht="24.95" customHeight="1" x14ac:dyDescent="0.15">
      <c r="B14" s="1663">
        <f ca="1">A63</f>
        <v>2</v>
      </c>
      <c r="C14" s="1664" t="str">
        <f>D63</f>
        <v>REMOÇÕES, DEMOLIÇÕES E SUPRESSÕES</v>
      </c>
      <c r="E14" s="1668"/>
      <c r="F14" s="1669"/>
      <c r="G14" s="205"/>
      <c r="H14" s="1670">
        <f>+H73</f>
        <v>858.19</v>
      </c>
      <c r="I14" s="893" t="str">
        <f>+F73</f>
        <v>M</v>
      </c>
      <c r="J14" s="1666">
        <f>J63</f>
        <v>39545.100000000006</v>
      </c>
      <c r="K14" s="1667">
        <f ca="1">K63</f>
        <v>1.0466558259741184E-2</v>
      </c>
      <c r="L14" s="1672" t="str">
        <f>IF(SUBTOTAL(109,J64:J98)=J14,"OK","ERRO")</f>
        <v>OK</v>
      </c>
      <c r="M14" s="1965" t="str">
        <f t="shared" ca="1" si="0"/>
        <v>OK</v>
      </c>
      <c r="N14" s="1757">
        <f>ROUND(SUM(O64:O73)/240,0)</f>
        <v>1</v>
      </c>
      <c r="O14" s="1671"/>
    </row>
    <row r="15" spans="1:19" s="3" customFormat="1" ht="24.95" customHeight="1" x14ac:dyDescent="0.15">
      <c r="B15" s="1663">
        <f ca="1">A100</f>
        <v>3</v>
      </c>
      <c r="C15" s="1664" t="str">
        <f>D100</f>
        <v>MICRODRENAGEM - TERRAPLENAGEM</v>
      </c>
      <c r="E15" s="1668"/>
      <c r="F15" s="1669"/>
      <c r="G15" s="2406" t="s">
        <v>444</v>
      </c>
      <c r="H15" s="1670">
        <f>SUM(I104:I123)+I125</f>
        <v>819.46</v>
      </c>
      <c r="I15" s="893" t="str">
        <f>F104</f>
        <v>M3</v>
      </c>
      <c r="J15" s="1666">
        <f ca="1">J100</f>
        <v>143847.81</v>
      </c>
      <c r="K15" s="1667">
        <f ca="1">K100</f>
        <v>3.8072769670608499E-2</v>
      </c>
      <c r="L15" s="1674" t="str">
        <f ca="1">IF(SUBTOTAL(109,J101:J181)=J15,"OK","ERRO")</f>
        <v>OK</v>
      </c>
      <c r="M15" s="1965" t="str">
        <f t="shared" ca="1" si="0"/>
        <v>OK</v>
      </c>
      <c r="N15" s="1757">
        <f ca="1">ROUND(SUM(O104:O125)/240,0)</f>
        <v>1</v>
      </c>
    </row>
    <row r="16" spans="1:19" s="3" customFormat="1" ht="24.95" customHeight="1" x14ac:dyDescent="0.15">
      <c r="B16" s="1663">
        <f ca="1">A183</f>
        <v>4</v>
      </c>
      <c r="C16" s="1664" t="str">
        <f>D183</f>
        <v>MICRODRENAGEM - GALERIAS</v>
      </c>
      <c r="E16" s="1668"/>
      <c r="F16" s="865"/>
      <c r="G16" s="2406"/>
      <c r="H16" s="1665">
        <f ca="1">SUM(H196:H216)+SUM(H235:H241)</f>
        <v>604.80999999999995</v>
      </c>
      <c r="I16" s="893" t="str">
        <f>F196</f>
        <v>M</v>
      </c>
      <c r="J16" s="1666">
        <f ca="1">J183</f>
        <v>212644.3</v>
      </c>
      <c r="K16" s="1667">
        <f ca="1">K183</f>
        <v>5.6281409189808139E-2</v>
      </c>
      <c r="L16" s="1672" t="str">
        <f ca="1">IF(SUBTOTAL(109,J184:J242)=J16,"OK","ERRO")</f>
        <v>OK</v>
      </c>
      <c r="M16" s="1965" t="str">
        <f t="shared" ca="1" si="0"/>
        <v>OK</v>
      </c>
      <c r="N16" s="1757" t="e">
        <f>ROUND(SUM(O196:O242)/240,0)</f>
        <v>#VALUE!</v>
      </c>
    </row>
    <row r="17" spans="1:15" s="3" customFormat="1" ht="24.95" customHeight="1" x14ac:dyDescent="0.15">
      <c r="B17" s="1663">
        <f ca="1">A244</f>
        <v>5</v>
      </c>
      <c r="C17" s="1664" t="str">
        <f>D244</f>
        <v>MICRODRENAGEM - DISPOSITIVOS AUXILIARES</v>
      </c>
      <c r="E17" s="1668"/>
      <c r="F17" s="865"/>
      <c r="G17" s="2406"/>
      <c r="H17" s="1665">
        <f>SUM(H245:H251)+SUM(H261:H281)</f>
        <v>42</v>
      </c>
      <c r="I17" s="893" t="str">
        <f>F245</f>
        <v>UN</v>
      </c>
      <c r="J17" s="1666">
        <f ca="1">J244</f>
        <v>259192.69999999995</v>
      </c>
      <c r="K17" s="1667">
        <f ca="1">K244</f>
        <v>6.860155860143527E-2</v>
      </c>
      <c r="L17" s="1672" t="str">
        <f ca="1">IF(SUBTOTAL(109,J245:J292)=J17,"OK","ERRO")</f>
        <v>OK</v>
      </c>
      <c r="M17" s="1965" t="str">
        <f t="shared" ca="1" si="0"/>
        <v>OK</v>
      </c>
      <c r="N17" s="1757" t="e">
        <f>ROUND(SUM(O245:O271)/240,0)</f>
        <v>#VALUE!</v>
      </c>
    </row>
    <row r="18" spans="1:15" s="3" customFormat="1" ht="24.95" hidden="1" customHeight="1" x14ac:dyDescent="0.15">
      <c r="B18" s="1663">
        <f ca="1">A294</f>
        <v>5</v>
      </c>
      <c r="C18" s="1664" t="str">
        <f>D294</f>
        <v>MICRODRENAGEM - SERVIÇOS DE ESTRUTURAS</v>
      </c>
      <c r="E18" s="1668"/>
      <c r="F18" s="1669"/>
      <c r="G18" s="2406"/>
      <c r="H18" s="1670">
        <f>SUM(H299:H300)</f>
        <v>0</v>
      </c>
      <c r="I18" s="893" t="str">
        <f>F299</f>
        <v>M3</v>
      </c>
      <c r="J18" s="1666">
        <f>J294</f>
        <v>0</v>
      </c>
      <c r="K18" s="1667">
        <f ca="1">K294</f>
        <v>0</v>
      </c>
      <c r="L18" s="1674" t="str">
        <f>IF(SUBTOTAL(109,J295:J312)=J18,"OK","ERRO")</f>
        <v>OK</v>
      </c>
      <c r="M18" s="1965" t="str">
        <f t="shared" ca="1" si="0"/>
        <v>OK</v>
      </c>
      <c r="N18" s="1757"/>
    </row>
    <row r="19" spans="1:15" s="3" customFormat="1" ht="24.95" hidden="1" customHeight="1" x14ac:dyDescent="0.15">
      <c r="B19" s="1663">
        <f ca="1">A314</f>
        <v>5</v>
      </c>
      <c r="C19" s="1664" t="str">
        <f>D314</f>
        <v>MICRODRENAGEM - BACIA DE AMORTECIMENTO</v>
      </c>
      <c r="E19" s="1668"/>
      <c r="F19" s="1669"/>
      <c r="G19" s="2406"/>
      <c r="H19" s="1670">
        <f>SUM(H323:H324)</f>
        <v>0</v>
      </c>
      <c r="I19" s="893" t="str">
        <f>F323</f>
        <v>M3</v>
      </c>
      <c r="J19" s="1666">
        <f>J314</f>
        <v>0</v>
      </c>
      <c r="K19" s="1667">
        <f ca="1">K314</f>
        <v>0</v>
      </c>
      <c r="L19" s="1674" t="str">
        <f>IF(SUBTOTAL(109,J316:J411)=J19,"OK","ERRO")</f>
        <v>OK</v>
      </c>
      <c r="M19" s="1965" t="str">
        <f t="shared" ca="1" si="0"/>
        <v>OK</v>
      </c>
      <c r="N19" s="1757">
        <f>ROUND(O323/240,0)</f>
        <v>0</v>
      </c>
    </row>
    <row r="20" spans="1:15" s="3" customFormat="1" ht="24.95" hidden="1" customHeight="1" x14ac:dyDescent="0.15">
      <c r="B20" s="1663">
        <f ca="1">A413</f>
        <v>5</v>
      </c>
      <c r="C20" s="1664" t="str">
        <f>D413</f>
        <v>DRENAGEM DE LENÇOL FREÁTICO</v>
      </c>
      <c r="E20" s="1668"/>
      <c r="F20" s="865"/>
      <c r="G20" s="2406"/>
      <c r="H20" s="1665">
        <f>Dre_Profunda!I3+Dre_Profunda!I15</f>
        <v>0</v>
      </c>
      <c r="I20" s="893" t="str">
        <f>F414</f>
        <v>M</v>
      </c>
      <c r="J20" s="1666">
        <f>J413</f>
        <v>0</v>
      </c>
      <c r="K20" s="1667">
        <f ca="1">K413</f>
        <v>0</v>
      </c>
      <c r="L20" s="1672" t="str">
        <f>IF(SUBTOTAL(109,J414:J446)=J20,"OK","ERRO")</f>
        <v>OK</v>
      </c>
      <c r="M20" s="1965" t="str">
        <f t="shared" ca="1" si="0"/>
        <v>OK</v>
      </c>
      <c r="N20" s="1757">
        <f>ROUND(O416/240,0)</f>
        <v>0</v>
      </c>
    </row>
    <row r="21" spans="1:15" s="3" customFormat="1" ht="24.95" customHeight="1" x14ac:dyDescent="0.15">
      <c r="B21" s="1663">
        <f ca="1">A448</f>
        <v>6</v>
      </c>
      <c r="C21" s="1664" t="str">
        <f>D448</f>
        <v>MICRODRENAGEM - RECOMPOSIÇÃO DO PAVIMENTO</v>
      </c>
      <c r="E21" s="1668"/>
      <c r="F21" s="865"/>
      <c r="G21" s="2406"/>
      <c r="H21" s="1665">
        <f>H460</f>
        <v>5.6</v>
      </c>
      <c r="I21" s="893" t="str">
        <f>F460</f>
        <v>M2</v>
      </c>
      <c r="J21" s="1666">
        <f>J448</f>
        <v>640.39999999999986</v>
      </c>
      <c r="K21" s="1667">
        <f ca="1">K448</f>
        <v>1.6949720469889448E-4</v>
      </c>
      <c r="L21" s="1672" t="str">
        <f>IF(SUBTOTAL(109,J449:J504)=J21,"OK","ERRO")</f>
        <v>OK</v>
      </c>
      <c r="M21" s="1965" t="str">
        <f t="shared" ca="1" si="0"/>
        <v>OK</v>
      </c>
      <c r="N21" s="1757">
        <f>ROUND(SUM(O414:O423)/240,0)</f>
        <v>0</v>
      </c>
    </row>
    <row r="22" spans="1:15" s="3" customFormat="1" ht="24.95" hidden="1" customHeight="1" x14ac:dyDescent="0.15">
      <c r="B22" s="1663">
        <f ca="1">A506</f>
        <v>6</v>
      </c>
      <c r="C22" s="1664" t="str">
        <f>D506</f>
        <v>RESTAURAÇÃO DO PAVIMENTO - RECUPERAÇÃO PRÉVIA DO PAVIMENTO</v>
      </c>
      <c r="E22" s="1668"/>
      <c r="F22" s="1669"/>
      <c r="G22" s="2406"/>
      <c r="H22" s="1670">
        <f>H532+H533</f>
        <v>0</v>
      </c>
      <c r="I22" s="893" t="str">
        <f>F532</f>
        <v>M2</v>
      </c>
      <c r="J22" s="1666">
        <f>J506</f>
        <v>0</v>
      </c>
      <c r="K22" s="1667">
        <f ca="1">K506</f>
        <v>0</v>
      </c>
      <c r="L22" s="1674" t="str">
        <f>IF(SUBTOTAL(109,J507:J580)=J22,"OK","ERRO")</f>
        <v>OK</v>
      </c>
      <c r="M22" s="1965" t="str">
        <f t="shared" ca="1" si="0"/>
        <v>OK</v>
      </c>
      <c r="N22" s="1757"/>
    </row>
    <row r="23" spans="1:15" s="3" customFormat="1" ht="24.95" hidden="1" customHeight="1" x14ac:dyDescent="0.15">
      <c r="B23" s="1663">
        <f ca="1">A582</f>
        <v>6</v>
      </c>
      <c r="C23" s="1664" t="str">
        <f>D582</f>
        <v>RESTAURAÇÃO DO PAVIMENTO - RECAPEAMENTO ASFÁLTICO</v>
      </c>
      <c r="E23" s="1668"/>
      <c r="F23" s="865"/>
      <c r="G23" s="2406"/>
      <c r="H23" s="1665">
        <f>H587</f>
        <v>0</v>
      </c>
      <c r="I23" s="893" t="str">
        <f>F587</f>
        <v>M2</v>
      </c>
      <c r="J23" s="1666">
        <f>J582</f>
        <v>0</v>
      </c>
      <c r="K23" s="1667">
        <f ca="1">K582</f>
        <v>0</v>
      </c>
      <c r="L23" s="1672" t="str">
        <f>IF(SUBTOTAL(109,J583:J622)=J23,"OK","ERRO")</f>
        <v>OK</v>
      </c>
      <c r="M23" s="1965" t="str">
        <f t="shared" ca="1" si="0"/>
        <v>OK</v>
      </c>
      <c r="N23" s="1757"/>
    </row>
    <row r="24" spans="1:15" s="3" customFormat="1" ht="24.95" customHeight="1" x14ac:dyDescent="0.15">
      <c r="B24" s="1663">
        <f ca="1">A624</f>
        <v>7</v>
      </c>
      <c r="C24" s="1664" t="str">
        <f>D624</f>
        <v>IMPLANTAÇÃO ASFÁLTICA - TERRAPLENAGEM</v>
      </c>
      <c r="E24" s="1668"/>
      <c r="F24" s="1669"/>
      <c r="G24" s="2406"/>
      <c r="H24" s="1670">
        <f>H626+H627+H630</f>
        <v>5749.3</v>
      </c>
      <c r="I24" s="893" t="str">
        <f>F626</f>
        <v>M3</v>
      </c>
      <c r="J24" s="1666">
        <f>J624</f>
        <v>191918.91</v>
      </c>
      <c r="K24" s="1667">
        <f ca="1">K624</f>
        <v>5.0795938122827469E-2</v>
      </c>
      <c r="L24" s="1674" t="str">
        <f>IF(SUBTOTAL(109,J625:J643)=J24,"OK","ERRO")</f>
        <v>OK</v>
      </c>
      <c r="M24" s="1965" t="str">
        <f t="shared" ca="1" si="0"/>
        <v>OK</v>
      </c>
      <c r="N24" s="1757">
        <f>ROUND(O626/240,0)</f>
        <v>1</v>
      </c>
    </row>
    <row r="25" spans="1:15" s="3" customFormat="1" ht="24.95" customHeight="1" x14ac:dyDescent="0.15">
      <c r="B25" s="1663">
        <f ca="1">A645</f>
        <v>8</v>
      </c>
      <c r="C25" s="1664" t="str">
        <f>D645</f>
        <v>IMPLANTAÇÃO ASFÁLTICA - PAVIMENTAÇÃO</v>
      </c>
      <c r="E25" s="1668"/>
      <c r="F25" s="865"/>
      <c r="G25" s="2406"/>
      <c r="H25" s="1665">
        <f>H655</f>
        <v>12682.57</v>
      </c>
      <c r="I25" s="893" t="str">
        <f>F655</f>
        <v>M2</v>
      </c>
      <c r="J25" s="1666">
        <f>J645</f>
        <v>1887485.7200000002</v>
      </c>
      <c r="K25" s="1667">
        <f ca="1">K645</f>
        <v>0.4995683220628987</v>
      </c>
      <c r="L25" s="1672" t="str">
        <f>IF(SUBTOTAL(109,J646:J717)=J25,"OK","ERRO")</f>
        <v>OK</v>
      </c>
      <c r="M25" s="1965" t="str">
        <f t="shared" ca="1" si="0"/>
        <v>OK</v>
      </c>
      <c r="N25" s="1757">
        <f>ROUND(O646/240,0)</f>
        <v>0</v>
      </c>
    </row>
    <row r="26" spans="1:15" s="3" customFormat="1" ht="24.95" customHeight="1" x14ac:dyDescent="0.15">
      <c r="B26" s="1663">
        <f ca="1">A719</f>
        <v>9</v>
      </c>
      <c r="C26" s="1664" t="str">
        <f>D719</f>
        <v>SERVIÇOS COMPLEMENTARES</v>
      </c>
      <c r="E26" s="1668"/>
      <c r="F26" s="1669"/>
      <c r="G26" s="2406"/>
      <c r="H26" s="1670">
        <f>SUM(H720:H726)</f>
        <v>3392.16</v>
      </c>
      <c r="I26" s="893" t="str">
        <f>F720</f>
        <v>M</v>
      </c>
      <c r="J26" s="1666">
        <f>J719</f>
        <v>259930.96999999997</v>
      </c>
      <c r="K26" s="1667">
        <f ca="1">K719</f>
        <v>6.8796959446708619E-2</v>
      </c>
      <c r="L26" s="1674" t="str">
        <f>IF(SUBTOTAL(109,J720:J750)=J26,"OK","ERRO")</f>
        <v>OK</v>
      </c>
      <c r="M26" s="1965" t="str">
        <f t="shared" ca="1" si="0"/>
        <v>OK</v>
      </c>
      <c r="N26" s="1757">
        <f>ROUND(SUM(O720:O726)/240,0)</f>
        <v>1</v>
      </c>
      <c r="O26" s="205"/>
    </row>
    <row r="27" spans="1:15" s="3" customFormat="1" ht="24.95" customHeight="1" x14ac:dyDescent="0.15">
      <c r="B27" s="1663">
        <f ca="1">A752</f>
        <v>10</v>
      </c>
      <c r="C27" s="1664" t="str">
        <f>D752</f>
        <v>PASSEIO COM ACESSIBILIDADE</v>
      </c>
      <c r="E27" s="1668"/>
      <c r="F27" s="865"/>
      <c r="G27" s="2406"/>
      <c r="H27" s="1665">
        <f>H759</f>
        <v>5339.87</v>
      </c>
      <c r="I27" s="893" t="str">
        <f>F759</f>
        <v>M2</v>
      </c>
      <c r="J27" s="1666">
        <f>J752</f>
        <v>375957.84</v>
      </c>
      <c r="K27" s="1667">
        <f ca="1">K752</f>
        <v>9.9506250725537523E-2</v>
      </c>
      <c r="L27" s="1674" t="str">
        <f>IF(SUBTOTAL(109,J753:J794)=J27,"OK","ERRO")</f>
        <v>OK</v>
      </c>
      <c r="M27" s="1965" t="str">
        <f t="shared" ca="1" si="0"/>
        <v>OK</v>
      </c>
      <c r="N27" s="1757" t="e">
        <f>ROUND(SUM(O759:O763)/240,0)</f>
        <v>#DIV/0!</v>
      </c>
      <c r="O27" s="1671"/>
    </row>
    <row r="28" spans="1:15" s="3" customFormat="1" ht="24.95" hidden="1" customHeight="1" x14ac:dyDescent="0.15">
      <c r="B28" s="1663">
        <f ca="1">A796</f>
        <v>10</v>
      </c>
      <c r="C28" s="1664" t="str">
        <f>D796</f>
        <v>IMPLANTAÇÃO / ADEQUAÇÃO GEOMÉTRICA DE CICLOVIA</v>
      </c>
      <c r="E28" s="1668"/>
      <c r="F28" s="1669"/>
      <c r="G28" s="205"/>
      <c r="H28" s="1670">
        <f>Ciclovia!J2</f>
        <v>0</v>
      </c>
      <c r="I28" s="893" t="s">
        <v>953</v>
      </c>
      <c r="J28" s="1666">
        <f>J796</f>
        <v>0</v>
      </c>
      <c r="K28" s="1667">
        <f ca="1">K796</f>
        <v>0</v>
      </c>
      <c r="L28" s="1674" t="str">
        <f>IF(SUBTOTAL(109,J797:J856)=J28,"OK","ERRO")</f>
        <v>OK</v>
      </c>
      <c r="M28" s="1965" t="str">
        <f t="shared" ca="1" si="0"/>
        <v>OK</v>
      </c>
      <c r="N28" s="1757" t="e">
        <f>ROUND(SUM(O798:O820)/240,0)</f>
        <v>#VALUE!</v>
      </c>
      <c r="O28" s="205"/>
    </row>
    <row r="29" spans="1:15" s="3" customFormat="1" ht="24.95" customHeight="1" x14ac:dyDescent="0.15">
      <c r="B29" s="1663">
        <f ca="1">A858</f>
        <v>11</v>
      </c>
      <c r="C29" s="1664" t="str">
        <f>D858</f>
        <v>SINALIZAÇÃO VIÁRIA DEFINITIVA HORIZONTAL E VERTICAL E DISPOSITIVOS DE SEGURANÇA</v>
      </c>
      <c r="E29" s="1668"/>
      <c r="F29" s="1669"/>
      <c r="G29" s="205"/>
      <c r="H29" s="1670">
        <f>SUM(H859:H869)</f>
        <v>148.22</v>
      </c>
      <c r="I29" s="893" t="str">
        <f>F859</f>
        <v>M2</v>
      </c>
      <c r="J29" s="1666">
        <f>J858</f>
        <v>54295.62</v>
      </c>
      <c r="K29" s="1667">
        <f ca="1">K858</f>
        <v>1.4370636816666758E-2</v>
      </c>
      <c r="L29" s="1672" t="str">
        <f>IF(SUBTOTAL(109,J859:J886)=J29,"OK","ERRO")</f>
        <v>OK</v>
      </c>
      <c r="M29" s="1965" t="str">
        <f t="shared" ca="1" si="0"/>
        <v>OK</v>
      </c>
      <c r="N29" s="1757"/>
      <c r="O29" s="205"/>
    </row>
    <row r="30" spans="1:15" s="3" customFormat="1" ht="24.95" customHeight="1" x14ac:dyDescent="0.15">
      <c r="B30" s="1663">
        <f ca="1">A888</f>
        <v>12</v>
      </c>
      <c r="C30" s="1664" t="str">
        <f>D888</f>
        <v>ADMINISTRAÇÃO LOCAL</v>
      </c>
      <c r="E30" s="1668"/>
      <c r="F30" s="865"/>
      <c r="G30" s="1663"/>
      <c r="H30" s="1665">
        <f>S_Preliminares!N4</f>
        <v>6</v>
      </c>
      <c r="I30" s="893" t="s">
        <v>1947</v>
      </c>
      <c r="J30" s="1666">
        <f>J888</f>
        <v>176026.6</v>
      </c>
      <c r="K30" s="1667">
        <f ca="1">K888</f>
        <v>4.6589657483838892E-2</v>
      </c>
      <c r="L30" s="1672" t="str">
        <f>IF(SUBTOTAL(109,J889:J889)=J30,"OK","ERRO")</f>
        <v>OK</v>
      </c>
      <c r="M30" s="1965" t="str">
        <f t="shared" ca="1" si="0"/>
        <v>OK</v>
      </c>
      <c r="N30" s="1757"/>
      <c r="O30" s="1671"/>
    </row>
    <row r="31" spans="1:15" s="3" customFormat="1" ht="24.95" hidden="1" customHeight="1" x14ac:dyDescent="0.15">
      <c r="B31" s="1663">
        <f ca="1">A891</f>
        <v>12</v>
      </c>
      <c r="C31" s="1664" t="str">
        <f>D891</f>
        <v>SERVIÇOS DE ENGENHARIA</v>
      </c>
      <c r="E31" s="1668"/>
      <c r="F31" s="1669"/>
      <c r="G31" s="205"/>
      <c r="H31" s="1670">
        <f>H911+H918</f>
        <v>0</v>
      </c>
      <c r="I31" s="893" t="str">
        <f>F911</f>
        <v>m²</v>
      </c>
      <c r="J31" s="1666">
        <f>J891</f>
        <v>0</v>
      </c>
      <c r="K31" s="1667">
        <f ca="1">K891</f>
        <v>0</v>
      </c>
      <c r="L31" s="1674" t="str">
        <f>IF(SUBTOTAL(109,J892:J928)=J31,"OK","ERRO")</f>
        <v>OK</v>
      </c>
      <c r="M31" s="1965" t="str">
        <f t="shared" ca="1" si="0"/>
        <v>OK</v>
      </c>
      <c r="N31" s="1757"/>
      <c r="O31" s="205"/>
    </row>
    <row r="32" spans="1:15" s="832" customFormat="1" ht="24.95" customHeight="1" thickBot="1" x14ac:dyDescent="0.2">
      <c r="A32" s="891"/>
      <c r="C32" s="845"/>
      <c r="D32" s="821"/>
      <c r="E32" s="892"/>
      <c r="F32" s="892"/>
      <c r="G32" s="815"/>
      <c r="H32" s="906"/>
      <c r="I32" s="904"/>
      <c r="J32" s="905"/>
      <c r="K32" s="1612"/>
      <c r="L32" s="1674"/>
      <c r="M32" s="1965"/>
      <c r="N32" s="815"/>
      <c r="O32" s="815"/>
    </row>
    <row r="33" spans="1:25" s="832" customFormat="1" ht="50.1" customHeight="1" thickTop="1" thickBot="1" x14ac:dyDescent="0.2">
      <c r="A33" s="827" t="s">
        <v>31</v>
      </c>
      <c r="B33" s="828" t="s">
        <v>186</v>
      </c>
      <c r="C33" s="828" t="s">
        <v>187</v>
      </c>
      <c r="D33" s="829" t="s">
        <v>40</v>
      </c>
      <c r="E33" s="829" t="s">
        <v>32</v>
      </c>
      <c r="F33" s="829" t="s">
        <v>33</v>
      </c>
      <c r="G33" s="1806" t="s">
        <v>443</v>
      </c>
      <c r="H33" s="665" t="s">
        <v>336</v>
      </c>
      <c r="I33" s="830" t="s">
        <v>664</v>
      </c>
      <c r="J33" s="830" t="s">
        <v>665</v>
      </c>
      <c r="K33" s="831" t="s">
        <v>34</v>
      </c>
      <c r="L33" s="1624"/>
      <c r="M33" s="1966" t="s">
        <v>441</v>
      </c>
    </row>
    <row r="34" spans="1:25" s="832" customFormat="1" ht="24.95" customHeight="1" thickTop="1" x14ac:dyDescent="0.15">
      <c r="A34" s="2071">
        <v>1</v>
      </c>
      <c r="B34" s="1626"/>
      <c r="C34" s="1626"/>
      <c r="D34" s="1627" t="s">
        <v>35</v>
      </c>
      <c r="E34" s="1821"/>
      <c r="F34" s="1628"/>
      <c r="G34" s="1813" t="s">
        <v>644</v>
      </c>
      <c r="H34" s="1630"/>
      <c r="I34" s="1631" t="str">
        <f>CONCATENATE("SUB-TOTAL ",A34)</f>
        <v>SUB-TOTAL 1</v>
      </c>
      <c r="J34" s="1632">
        <f ca="1">SUM(J35:J61)</f>
        <v>176747.43</v>
      </c>
      <c r="K34" s="2068">
        <f t="shared" ref="K34:K57" ca="1" si="1">J34/J$930</f>
        <v>4.6780442415230369E-2</v>
      </c>
      <c r="L34" s="1605">
        <f t="shared" ref="L34:L57" ca="1" si="2">J34/J$34</f>
        <v>1</v>
      </c>
      <c r="O34" s="812"/>
      <c r="P34" s="812"/>
      <c r="Q34" s="812"/>
      <c r="R34" s="812"/>
      <c r="S34" s="812"/>
      <c r="T34" s="812"/>
      <c r="U34" s="812"/>
      <c r="V34" s="812"/>
      <c r="W34" s="812"/>
      <c r="X34" s="812"/>
      <c r="Y34" s="812"/>
    </row>
    <row r="35" spans="1:25" s="812" customFormat="1" ht="39.950000000000003" customHeight="1" x14ac:dyDescent="0.15">
      <c r="A35" s="2072">
        <f>Orçamento_Não_Deson!A35</f>
        <v>1.01</v>
      </c>
      <c r="B35" s="833" t="str">
        <f>Orçamento_Não_Deson!B35</f>
        <v>SP/0001</v>
      </c>
      <c r="C35" s="2" t="str">
        <f>VLOOKUP($B35,[2]BOLETIM_SEL!$A:$H,2,0)</f>
        <v>COMPOSIÇÃO</v>
      </c>
      <c r="D35" s="315" t="str">
        <f>VLOOKUP($B35,[2]BOLETIM_SEL!$A:$H,4,0)</f>
        <v>Placa de identificação de obra pública, inclusive pintura e adesivos, estrutura e suporte de madeira. Incluso fornecimento de material e instalação. Ref SINAPI, CÓD 74209/001, DB 01/2020</v>
      </c>
      <c r="E35" s="2"/>
      <c r="F35" s="2" t="str">
        <f>VLOOKUP($B35,[2]BOLETIM_SEL!$A:$H,6,0)</f>
        <v>M2</v>
      </c>
      <c r="G35" s="1407">
        <f>VLOOKUP($B35,[2]BOLETIM_SEL!$A:$H,7,0)</f>
        <v>352.57</v>
      </c>
      <c r="H35" s="1608">
        <f>Orçamento_Não_Deson!H35</f>
        <v>16</v>
      </c>
      <c r="I35" s="876">
        <f t="shared" ref="I35:I57" si="3">TRUNC(G35*(1+$J$5),2)</f>
        <v>451.88</v>
      </c>
      <c r="J35" s="1607">
        <f>TRUNC(H35*I35,2)</f>
        <v>7230.08</v>
      </c>
      <c r="K35" s="2069">
        <f t="shared" ca="1" si="1"/>
        <v>1.9136139127879188E-3</v>
      </c>
      <c r="L35" s="1570">
        <f t="shared" ca="1" si="2"/>
        <v>4.0906280787222762E-2</v>
      </c>
      <c r="M35" s="1967"/>
    </row>
    <row r="36" spans="1:25" s="812" customFormat="1" ht="39.950000000000003" hidden="1" customHeight="1" x14ac:dyDescent="0.15">
      <c r="A36" s="2072">
        <f>+Orçamento_Não_Deson!A36</f>
        <v>1.01</v>
      </c>
      <c r="B36" s="833">
        <f>+Orçamento_Não_Deson!B36</f>
        <v>93207</v>
      </c>
      <c r="C36" s="2" t="str">
        <f>VLOOKUP($B36,[2]BOLETIM_SEL!$A:$H,2,0)</f>
        <v>SINAPI</v>
      </c>
      <c r="D36" s="315" t="str">
        <f>VLOOKUP($B36,[2]BOLETIM_SEL!$A:$H,4,0)</f>
        <v>Barracão de obra - Execução de escritório em canteiro de obra em chapa de madeira compensada, não incluso mobiliário e equipamentos. AF_02/2016</v>
      </c>
      <c r="E36" s="2"/>
      <c r="F36" s="2" t="str">
        <f>VLOOKUP($B36,[2]BOLETIM_SEL!$A:$H,6,0)</f>
        <v>M2</v>
      </c>
      <c r="G36" s="1407">
        <f>VLOOKUP($B36,[2]BOLETIM_SEL!$A:$H,7,0)</f>
        <v>1165.6400000000001</v>
      </c>
      <c r="H36" s="1608">
        <f>+Orçamento_Não_Deson!H36</f>
        <v>0</v>
      </c>
      <c r="I36" s="876">
        <f t="shared" si="3"/>
        <v>1494</v>
      </c>
      <c r="J36" s="1607">
        <f t="shared" ref="J36:J57" si="4">TRUNC(H36*I36,2)</f>
        <v>0</v>
      </c>
      <c r="K36" s="2069">
        <f t="shared" ca="1" si="1"/>
        <v>0</v>
      </c>
      <c r="L36" s="1570">
        <f t="shared" ca="1" si="2"/>
        <v>0</v>
      </c>
      <c r="M36" s="1967"/>
    </row>
    <row r="37" spans="1:25" s="812" customFormat="1" ht="39.950000000000003" hidden="1" customHeight="1" x14ac:dyDescent="0.15">
      <c r="A37" s="2072">
        <f>+Orçamento_Não_Deson!A37</f>
        <v>1.01</v>
      </c>
      <c r="B37" s="833">
        <f>+Orçamento_Não_Deson!B37</f>
        <v>93584</v>
      </c>
      <c r="C37" s="2" t="str">
        <f>VLOOKUP($B37,[2]BOLETIM_SEL!$A:$H,2,0)</f>
        <v>SINAPI</v>
      </c>
      <c r="D37" s="315" t="str">
        <f>VLOOKUP($B37,[2]BOLETIM_SEL!$A:$H,4,0)</f>
        <v>Barracão de obra - Execução de depósito em canteiro de obra em chapa de madeira compensada, não incluso mobiliário. AF_04/2016</v>
      </c>
      <c r="E37" s="2"/>
      <c r="F37" s="2" t="str">
        <f>VLOOKUP($B37,[2]BOLETIM_SEL!$A:$H,6,0)</f>
        <v>M2</v>
      </c>
      <c r="G37" s="1407">
        <f>VLOOKUP($B37,[2]BOLETIM_SEL!$A:$H,7,0)</f>
        <v>914.83</v>
      </c>
      <c r="H37" s="1608">
        <f>+Orçamento_Não_Deson!H37</f>
        <v>0</v>
      </c>
      <c r="I37" s="876">
        <f t="shared" si="3"/>
        <v>1172.53</v>
      </c>
      <c r="J37" s="1607">
        <f t="shared" si="4"/>
        <v>0</v>
      </c>
      <c r="K37" s="2069">
        <f t="shared" ca="1" si="1"/>
        <v>0</v>
      </c>
      <c r="L37" s="1570">
        <f t="shared" ca="1" si="2"/>
        <v>0</v>
      </c>
      <c r="M37" s="1967"/>
    </row>
    <row r="38" spans="1:25" s="812" customFormat="1" ht="39.950000000000003" hidden="1" customHeight="1" x14ac:dyDescent="0.15">
      <c r="A38" s="2072">
        <f>+Orçamento_Não_Deson!A38</f>
        <v>1.01</v>
      </c>
      <c r="B38" s="833">
        <f>+Orçamento_Não_Deson!B38</f>
        <v>93212</v>
      </c>
      <c r="C38" s="2" t="str">
        <f>VLOOKUP($B38,[2]BOLETIM_SEL!$A:$H,2,0)</f>
        <v>SINAPI</v>
      </c>
      <c r="D38" s="315" t="str">
        <f>VLOOKUP($B38,[2]BOLETIM_SEL!$A:$H,4,0)</f>
        <v>Barracão de obra - Execução de sanitário e vestiário em canteiro de obra em chapa de madeira compensada, não incluso mobiliário. AF_02/2016</v>
      </c>
      <c r="E38" s="2"/>
      <c r="F38" s="2" t="str">
        <f>VLOOKUP($B38,[2]BOLETIM_SEL!$A:$H,6,0)</f>
        <v>M2</v>
      </c>
      <c r="G38" s="1407">
        <f>VLOOKUP($B38,[2]BOLETIM_SEL!$A:$H,7,0)</f>
        <v>1005.77</v>
      </c>
      <c r="H38" s="1608">
        <f>+Orçamento_Não_Deson!H38</f>
        <v>0</v>
      </c>
      <c r="I38" s="876">
        <f t="shared" si="3"/>
        <v>1289.0899999999999</v>
      </c>
      <c r="J38" s="1607">
        <f t="shared" si="4"/>
        <v>0</v>
      </c>
      <c r="K38" s="2069">
        <f t="shared" ca="1" si="1"/>
        <v>0</v>
      </c>
      <c r="L38" s="1570">
        <f t="shared" ca="1" si="2"/>
        <v>0</v>
      </c>
      <c r="M38" s="1967"/>
    </row>
    <row r="39" spans="1:25" s="812" customFormat="1" ht="30" customHeight="1" x14ac:dyDescent="0.15">
      <c r="A39" s="2072">
        <f ca="1">Orçamento_Não_Deson!A39</f>
        <v>1.02</v>
      </c>
      <c r="B39" s="833">
        <f>Orçamento_Não_Deson!B39</f>
        <v>10775</v>
      </c>
      <c r="C39" s="2" t="str">
        <f>VLOOKUP($B39,[2]BOLETIM_SEL!$A:$H,2,0)</f>
        <v>SINAPI</v>
      </c>
      <c r="D39" s="315" t="str">
        <f>VLOOKUP($B39,[2]BOLETIM_SEL!$A:$H,4,0)</f>
        <v>Locação de container 2,30  x  6,00 m, alt. 2,50 m, com 1 sanitário, para escritório, completo, sem divisórias internas</v>
      </c>
      <c r="E39" s="2"/>
      <c r="F39" s="2" t="str">
        <f>VLOOKUP($B39,[2]BOLETIM_SEL!$A:$H,6,0)</f>
        <v xml:space="preserve">MES   </v>
      </c>
      <c r="G39" s="1407">
        <f>VLOOKUP($B39,[2]BOLETIM_SEL!$A:$H,7,0)</f>
        <v>895</v>
      </c>
      <c r="H39" s="1608">
        <f ca="1">Orçamento_Não_Deson!H39</f>
        <v>6</v>
      </c>
      <c r="I39" s="876">
        <f t="shared" si="3"/>
        <v>1147.1199999999999</v>
      </c>
      <c r="J39" s="1607">
        <f t="shared" ca="1" si="4"/>
        <v>6882.72</v>
      </c>
      <c r="K39" s="2069">
        <f t="shared" ca="1" si="1"/>
        <v>1.8216767656545523E-3</v>
      </c>
      <c r="L39" s="1570">
        <f t="shared" ca="1" si="2"/>
        <v>3.8940990542267011E-2</v>
      </c>
      <c r="M39" s="1967"/>
    </row>
    <row r="40" spans="1:25" s="812" customFormat="1" ht="30" customHeight="1" x14ac:dyDescent="0.15">
      <c r="A40" s="2072">
        <f ca="1">Orçamento_Não_Deson!A40</f>
        <v>1.03</v>
      </c>
      <c r="B40" s="833">
        <f>Orçamento_Não_Deson!B40</f>
        <v>10776</v>
      </c>
      <c r="C40" s="2" t="str">
        <f>VLOOKUP($B40,[2]BOLETIM_SEL!$A:$H,2,0)</f>
        <v>SINAPI</v>
      </c>
      <c r="D40" s="315" t="str">
        <f>VLOOKUP($B40,[2]BOLETIM_SEL!$A:$H,4,0)</f>
        <v>Locação de container 2,30  x  6,00 m, alt. 2,50 m, para escritório, sem divisórias internas e sem sanitário</v>
      </c>
      <c r="E40" s="2"/>
      <c r="F40" s="2" t="str">
        <f>VLOOKUP($B40,[2]BOLETIM_SEL!$A:$H,6,0)</f>
        <v xml:space="preserve">MES   </v>
      </c>
      <c r="G40" s="1407">
        <f>VLOOKUP($B40,[2]BOLETIM_SEL!$A:$H,7,0)</f>
        <v>699.21</v>
      </c>
      <c r="H40" s="1608">
        <f ca="1">Orçamento_Não_Deson!H40</f>
        <v>6</v>
      </c>
      <c r="I40" s="876">
        <f t="shared" si="3"/>
        <v>896.17</v>
      </c>
      <c r="J40" s="1607">
        <f t="shared" ca="1" si="4"/>
        <v>5377.02</v>
      </c>
      <c r="K40" s="2069">
        <f t="shared" ca="1" si="1"/>
        <v>1.4231571824017018E-3</v>
      </c>
      <c r="L40" s="1570">
        <f t="shared" ca="1" si="2"/>
        <v>3.042205479310223E-2</v>
      </c>
      <c r="M40" s="1967"/>
    </row>
    <row r="41" spans="1:25" s="812" customFormat="1" ht="30" customHeight="1" x14ac:dyDescent="0.15">
      <c r="A41" s="2072">
        <f ca="1">Orçamento_Não_Deson!A41</f>
        <v>1.04</v>
      </c>
      <c r="B41" s="833">
        <f>Orçamento_Não_Deson!B41</f>
        <v>10777</v>
      </c>
      <c r="C41" s="2" t="str">
        <f>VLOOKUP($B41,[2]BOLETIM_SEL!$A:$H,2,0)</f>
        <v>SINAPI</v>
      </c>
      <c r="D41" s="315" t="str">
        <f>VLOOKUP($B41,[2]BOLETIM_SEL!$A:$H,4,0)</f>
        <v>Locação de container 2,30 x 4,30 m, alt. 2,50 m, para sanitário, com 3 bacias, 4 chuveiros, 1 lavatório e 1 mictório</v>
      </c>
      <c r="E41" s="2"/>
      <c r="F41" s="2" t="str">
        <f>VLOOKUP($B41,[2]BOLETIM_SEL!$A:$H,6,0)</f>
        <v xml:space="preserve">MES   </v>
      </c>
      <c r="G41" s="1407">
        <f>VLOOKUP($B41,[2]BOLETIM_SEL!$A:$H,7,0)</f>
        <v>1016.19</v>
      </c>
      <c r="H41" s="1608">
        <f ca="1">Orçamento_Não_Deson!H41</f>
        <v>6</v>
      </c>
      <c r="I41" s="876">
        <f t="shared" si="3"/>
        <v>1302.45</v>
      </c>
      <c r="J41" s="1607">
        <f t="shared" ca="1" si="4"/>
        <v>7814.7</v>
      </c>
      <c r="K41" s="2069">
        <f t="shared" ca="1" si="1"/>
        <v>2.0683476039357446E-3</v>
      </c>
      <c r="L41" s="1570">
        <f t="shared" ca="1" si="2"/>
        <v>4.4213938499699824E-2</v>
      </c>
      <c r="M41" s="1967"/>
    </row>
    <row r="42" spans="1:25" s="812" customFormat="1" ht="30" customHeight="1" x14ac:dyDescent="0.15">
      <c r="A42" s="2072">
        <f ca="1">Orçamento_Não_Deson!A42</f>
        <v>1.05</v>
      </c>
      <c r="B42" s="833">
        <f>Orçamento_Não_Deson!B42</f>
        <v>93585</v>
      </c>
      <c r="C42" s="2" t="str">
        <f>VLOOKUP($B42,[2]BOLETIM_SEL!$A:$H,2,0)</f>
        <v>SINAPI</v>
      </c>
      <c r="D42" s="315" t="str">
        <f>VLOOKUP($B42,[2]BOLETIM_SEL!$A:$H,4,0)</f>
        <v>Execução de guarita em canteiro de obra em chapa de madeira compensada, não incluso mobiliário. AF_04/2016</v>
      </c>
      <c r="E42" s="2"/>
      <c r="F42" s="2" t="str">
        <f>VLOOKUP($B42,[2]BOLETIM_SEL!$A:$H,6,0)</f>
        <v>M2</v>
      </c>
      <c r="G42" s="1407">
        <f>VLOOKUP($B42,[2]BOLETIM_SEL!$A:$H,7,0)</f>
        <v>1282.79</v>
      </c>
      <c r="H42" s="1608">
        <f>Orçamento_Não_Deson!H42</f>
        <v>4</v>
      </c>
      <c r="I42" s="876">
        <f t="shared" si="3"/>
        <v>1644.15</v>
      </c>
      <c r="J42" s="1607">
        <f t="shared" si="4"/>
        <v>6576.6</v>
      </c>
      <c r="K42" s="2069">
        <f t="shared" ca="1" si="1"/>
        <v>1.740654772677623E-3</v>
      </c>
      <c r="L42" s="1570">
        <f t="shared" ca="1" si="2"/>
        <v>3.720902759378171E-2</v>
      </c>
      <c r="M42" s="1967"/>
    </row>
    <row r="43" spans="1:25" s="812" customFormat="1" ht="39.950000000000003" customHeight="1" x14ac:dyDescent="0.15">
      <c r="A43" s="2072">
        <f ca="1">Orçamento_Não_Deson!A43</f>
        <v>1.06</v>
      </c>
      <c r="B43" s="833" t="str">
        <f>Orçamento_Não_Deson!B43</f>
        <v>SP/0005</v>
      </c>
      <c r="C43" s="2" t="str">
        <f>VLOOKUP($B43,[2]BOLETIM_SEL!$A:$H,2,0)</f>
        <v>COMPOSIÇÃO</v>
      </c>
      <c r="D43" s="315" t="str">
        <f>VLOOKUP($B43,[2]BOLETIM_SEL!$A:$H,4,0)</f>
        <v>Aluguel de banheiro quimico, incluindo transporte de ida e volta, manutencao e higienizacao 3 vezes por semana. Modelo Luxo, dimensões 2,31 x 1,15 x 1,15m</v>
      </c>
      <c r="E43" s="2"/>
      <c r="F43" s="2" t="str">
        <f>VLOOKUP($B43,[2]BOLETIM_SEL!$A:$H,6,0)</f>
        <v>UN.MÊS</v>
      </c>
      <c r="G43" s="1407">
        <f>VLOOKUP($B43,[2]BOLETIM_SEL!$A:$H,7,0)</f>
        <v>1200</v>
      </c>
      <c r="H43" s="1608">
        <f>Orçamento_Não_Deson!H43</f>
        <v>6</v>
      </c>
      <c r="I43" s="876">
        <f t="shared" si="3"/>
        <v>1538.04</v>
      </c>
      <c r="J43" s="1607">
        <f t="shared" si="4"/>
        <v>9228.24</v>
      </c>
      <c r="K43" s="2069">
        <f t="shared" ca="1" si="1"/>
        <v>2.4424748349321148E-3</v>
      </c>
      <c r="L43" s="1570">
        <f t="shared" ca="1" si="2"/>
        <v>5.2211452240069345E-2</v>
      </c>
      <c r="M43" s="1967"/>
    </row>
    <row r="44" spans="1:25" s="812" customFormat="1" ht="30" hidden="1" customHeight="1" x14ac:dyDescent="0.15">
      <c r="A44" s="2072">
        <f ca="1">Orçamento_Não_Deson!A44</f>
        <v>1.06</v>
      </c>
      <c r="B44" s="833">
        <f>Orçamento_Não_Deson!B44</f>
        <v>98459</v>
      </c>
      <c r="C44" s="2" t="str">
        <f>VLOOKUP($B44,[2]BOLETIM_SEL!$A:$H,2,0)</f>
        <v>SINAPI</v>
      </c>
      <c r="D44" s="315" t="str">
        <f>VLOOKUP($B44,[2]BOLETIM_SEL!$A:$H,4,0)</f>
        <v>Tapume com telha metálica, sem pintura, trapezoidal espessura 0,5 mm, colunas, bases e parafusos</v>
      </c>
      <c r="E44" s="2"/>
      <c r="F44" s="2" t="str">
        <f>VLOOKUP($B44,[2]BOLETIM_SEL!$A:$H,6,0)</f>
        <v>M2</v>
      </c>
      <c r="G44" s="1407">
        <f>VLOOKUP($B44,[2]BOLETIM_SEL!$A:$H,7,0)</f>
        <v>119.83</v>
      </c>
      <c r="H44" s="1608">
        <f>Orçamento_Não_Deson!H44</f>
        <v>0</v>
      </c>
      <c r="I44" s="876">
        <f t="shared" si="3"/>
        <v>153.58000000000001</v>
      </c>
      <c r="J44" s="1607">
        <f t="shared" si="4"/>
        <v>0</v>
      </c>
      <c r="K44" s="2069">
        <f t="shared" ca="1" si="1"/>
        <v>0</v>
      </c>
      <c r="L44" s="1570">
        <f t="shared" ca="1" si="2"/>
        <v>0</v>
      </c>
      <c r="M44" s="1967"/>
    </row>
    <row r="45" spans="1:25" s="812" customFormat="1" ht="39.950000000000003" customHeight="1" x14ac:dyDescent="0.15">
      <c r="A45" s="2072">
        <f ca="1">Orçamento_Não_Deson!A45</f>
        <v>1.07</v>
      </c>
      <c r="B45" s="833">
        <f>Orçamento_Não_Deson!B45</f>
        <v>98525</v>
      </c>
      <c r="C45" s="2" t="str">
        <f>VLOOKUP($B45,[2]BOLETIM_SEL!$A:$H,2,0)</f>
        <v>SINAPI</v>
      </c>
      <c r="D45" s="315" t="str">
        <f>VLOOKUP($B45,[2]BOLETIM_SEL!$A:$H,4,0)</f>
        <v>Limpeza mecanizada de camada vegetal, vegetação e pequenas árvores (diâmetro nominal de tronco menor que 0,20 m), com trator de esteiras. AF_05/2018</v>
      </c>
      <c r="E45" s="2"/>
      <c r="F45" s="2" t="str">
        <f>VLOOKUP($B45,[2]BOLETIM_SEL!$A:$H,6,0)</f>
        <v>M2</v>
      </c>
      <c r="G45" s="1407">
        <f>VLOOKUP($B45,[2]BOLETIM_SEL!$A:$H,7,0)</f>
        <v>0.35</v>
      </c>
      <c r="H45" s="1608">
        <f>Orçamento_Não_Deson!H45</f>
        <v>10000</v>
      </c>
      <c r="I45" s="876">
        <f t="shared" si="3"/>
        <v>0.44</v>
      </c>
      <c r="J45" s="1607">
        <f t="shared" si="4"/>
        <v>4400</v>
      </c>
      <c r="K45" s="2069">
        <f t="shared" ca="1" si="1"/>
        <v>1.1645654289118299E-3</v>
      </c>
      <c r="L45" s="1570">
        <f t="shared" ca="1" si="2"/>
        <v>2.4894279933801583E-2</v>
      </c>
      <c r="M45" s="1967"/>
    </row>
    <row r="46" spans="1:25" s="812" customFormat="1" ht="39.950000000000003" customHeight="1" x14ac:dyDescent="0.15">
      <c r="A46" s="2072">
        <f ca="1">Orçamento_Não_Deson!A46</f>
        <v>1.08</v>
      </c>
      <c r="B46" s="833" t="str">
        <f>Orçamento_Não_Deson!B46</f>
        <v>SC/0068</v>
      </c>
      <c r="C46" s="2" t="str">
        <f>VLOOKUP($B46,[2]BOLETIM_SEL!$A:$H,2,0)</f>
        <v>COMPOSIÇÃO</v>
      </c>
      <c r="D46" s="315" t="str">
        <f>VLOOKUP($B46,[2]BOLETIM_SEL!$A:$H,4,0)</f>
        <v>Revestimento de pátio com pedra britada com espessura de 5 cm com regularização do terreno com motoniveladora. Exclusive transporte. (REF SINAPI COD 100575)</v>
      </c>
      <c r="E46" s="2"/>
      <c r="F46" s="2" t="str">
        <f>VLOOKUP($B46,[2]BOLETIM_SEL!$A:$H,6,0)</f>
        <v>M2</v>
      </c>
      <c r="G46" s="1407">
        <f>VLOOKUP($B46,[2]BOLETIM_SEL!$A:$H,7,0)</f>
        <v>5.44</v>
      </c>
      <c r="H46" s="1608">
        <f>Orçamento_Não_Deson!H46</f>
        <v>2500</v>
      </c>
      <c r="I46" s="876">
        <f t="shared" si="3"/>
        <v>6.97</v>
      </c>
      <c r="J46" s="1607">
        <f t="shared" si="4"/>
        <v>17425</v>
      </c>
      <c r="K46" s="2069">
        <f t="shared" ca="1" si="1"/>
        <v>4.6119437724519629E-3</v>
      </c>
      <c r="L46" s="1570">
        <f t="shared" ca="1" si="2"/>
        <v>9.8587006328748325E-2</v>
      </c>
      <c r="M46" s="1967"/>
      <c r="O46" s="832"/>
      <c r="P46" s="832"/>
      <c r="Q46" s="832"/>
      <c r="R46" s="832"/>
      <c r="S46" s="832"/>
      <c r="T46" s="832"/>
      <c r="U46" s="832"/>
      <c r="V46" s="832"/>
      <c r="W46" s="832"/>
      <c r="X46" s="832"/>
    </row>
    <row r="47" spans="1:25" s="812" customFormat="1" ht="39.950000000000003" customHeight="1" x14ac:dyDescent="0.15">
      <c r="A47" s="2072">
        <f ca="1">Orçamento_Não_Deson!A47</f>
        <v>1.0900000000000001</v>
      </c>
      <c r="B47" s="833" t="str">
        <f>Orçamento_Não_Deson!B47</f>
        <v>SC/0110</v>
      </c>
      <c r="C47" s="2" t="str">
        <f>VLOOKUP($B47,[2]BOLETIM_SEL!$A:$H,2,0)</f>
        <v>COMPOSIÇÃO</v>
      </c>
      <c r="D47" s="315" t="str">
        <f>VLOOKUP($B47,[2]BOLETIM_SEL!$A:$H,4,0)</f>
        <v>Cerca com mourões de madeira roliça Ø 11cm, espaçamento de 2,00m, altura livre de 1,50m, cravado 0,50m, com 5 fios de arame liso ovalado 15x17, conforme projeto</v>
      </c>
      <c r="E47" s="2"/>
      <c r="F47" s="2" t="str">
        <f>VLOOKUP($B47,[2]BOLETIM_SEL!$A:$H,6,0)</f>
        <v>M</v>
      </c>
      <c r="G47" s="1407">
        <f>VLOOKUP($B47,[2]BOLETIM_SEL!$A:$H,7,0)</f>
        <v>33.33</v>
      </c>
      <c r="H47" s="1608">
        <f>Orçamento_Não_Deson!H47</f>
        <v>400</v>
      </c>
      <c r="I47" s="876">
        <f t="shared" si="3"/>
        <v>42.71</v>
      </c>
      <c r="J47" s="1607">
        <f t="shared" si="4"/>
        <v>17084</v>
      </c>
      <c r="K47" s="2069">
        <f t="shared" ca="1" si="1"/>
        <v>4.5216899517112955E-3</v>
      </c>
      <c r="L47" s="1570">
        <f t="shared" ca="1" si="2"/>
        <v>9.6657699633878699E-2</v>
      </c>
      <c r="M47" s="1967"/>
      <c r="O47" s="832"/>
      <c r="P47" s="832"/>
      <c r="Q47" s="832"/>
      <c r="R47" s="832"/>
      <c r="S47" s="832"/>
      <c r="T47" s="832"/>
      <c r="U47" s="832"/>
      <c r="V47" s="832"/>
      <c r="W47" s="832"/>
      <c r="X47" s="832"/>
    </row>
    <row r="48" spans="1:25" s="812" customFormat="1" ht="39.950000000000003" customHeight="1" x14ac:dyDescent="0.15">
      <c r="A48" s="2072">
        <f ca="1">Orçamento_Não_Deson!A48</f>
        <v>1.1000000000000001</v>
      </c>
      <c r="B48" s="833" t="str">
        <f>Orçamento_Não_Deson!B48</f>
        <v>SC/0120</v>
      </c>
      <c r="C48" s="2" t="str">
        <f>VLOOKUP($B48,[2]BOLETIM_SEL!$A:$H,2,0)</f>
        <v>COMPOSIÇÃO</v>
      </c>
      <c r="D48" s="315" t="str">
        <f>VLOOKUP($B48,[2]BOLETIM_SEL!$A:$H,4,0)</f>
        <v>Portão para veículos em tela arame galvanizado n.12 malha 2" e moldura em tubos de aco com duas folhas de abrir, incluso ferragens (REF. SINAPI COD. 74238/2 - Descontinuado)</v>
      </c>
      <c r="E48" s="2"/>
      <c r="F48" s="2" t="str">
        <f>VLOOKUP($B48,[2]BOLETIM_SEL!$A:$H,6,0)</f>
        <v>M2</v>
      </c>
      <c r="G48" s="1407">
        <f>VLOOKUP($B48,[2]BOLETIM_SEL!$A:$H,7,0)</f>
        <v>944.99</v>
      </c>
      <c r="H48" s="1608">
        <f>Orçamento_Não_Deson!H48</f>
        <v>7.2</v>
      </c>
      <c r="I48" s="876">
        <f t="shared" si="3"/>
        <v>1211.19</v>
      </c>
      <c r="J48" s="1607">
        <f t="shared" si="4"/>
        <v>8720.56</v>
      </c>
      <c r="K48" s="2069">
        <f t="shared" ca="1" si="1"/>
        <v>2.3081051583525788E-3</v>
      </c>
      <c r="L48" s="1570">
        <f t="shared" ca="1" si="2"/>
        <v>4.9339104958980168E-2</v>
      </c>
      <c r="M48" s="1967"/>
      <c r="O48" s="832"/>
      <c r="P48" s="832"/>
      <c r="Q48" s="832"/>
      <c r="R48" s="832"/>
      <c r="S48" s="832"/>
      <c r="T48" s="832"/>
      <c r="U48" s="832"/>
      <c r="V48" s="832"/>
      <c r="W48" s="832"/>
      <c r="X48" s="832"/>
    </row>
    <row r="49" spans="1:24" s="812" customFormat="1" ht="50.1" customHeight="1" x14ac:dyDescent="0.15">
      <c r="A49" s="2072">
        <f ca="1">Orçamento_Não_Deson!A49</f>
        <v>1.1100000000000001</v>
      </c>
      <c r="B49" s="833" t="str">
        <f>Orçamento_Não_Deson!B49</f>
        <v>SP/0020</v>
      </c>
      <c r="C49" s="2" t="str">
        <f>VLOOKUP($B49,[2]BOLETIM_SEL!$A:$H,2,0)</f>
        <v>COMPOSIÇÃO</v>
      </c>
      <c r="D49" s="315" t="str">
        <f>VLOOKUP($B49,[2]BOLETIM_SEL!$A:$H,4,0)</f>
        <v>Segurança de trânsito - sinalização de advertência de obra com placa (fundo laranja) sobre cavalete, conforme ABNT - NBR-7678 Segurança na execução de obras e serviços de construção Ministério do Trabalho e da Previdência Social - NB-26 - Sinalização De Segurança CONTRAN - Manual De Noções De Normas De Trânsito</v>
      </c>
      <c r="E49" s="2"/>
      <c r="F49" s="2" t="str">
        <f>VLOOKUP($B49,[2]BOLETIM_SEL!$A:$H,6,0)</f>
        <v>M2</v>
      </c>
      <c r="G49" s="1407">
        <f>VLOOKUP($B49,[2]BOLETIM_SEL!$A:$H,7,0)</f>
        <v>135.69999999999999</v>
      </c>
      <c r="H49" s="1608">
        <f ca="1">Orçamento_Não_Deson!H49</f>
        <v>13</v>
      </c>
      <c r="I49" s="876">
        <f t="shared" si="3"/>
        <v>173.92</v>
      </c>
      <c r="J49" s="1607">
        <f t="shared" ca="1" si="4"/>
        <v>2260.96</v>
      </c>
      <c r="K49" s="2069">
        <f t="shared" ca="1" si="1"/>
        <v>5.984172391255661E-4</v>
      </c>
      <c r="L49" s="1570">
        <f t="shared" ca="1" si="2"/>
        <v>1.2792038899801825E-2</v>
      </c>
      <c r="M49" s="1967"/>
      <c r="O49" s="832"/>
      <c r="P49" s="832"/>
      <c r="Q49" s="832"/>
      <c r="R49" s="832"/>
      <c r="S49" s="832"/>
      <c r="X49" s="815"/>
    </row>
    <row r="50" spans="1:24" s="812" customFormat="1" ht="30" customHeight="1" x14ac:dyDescent="0.15">
      <c r="A50" s="2072">
        <f ca="1">Orçamento_Não_Deson!A50</f>
        <v>1.1200000000000001</v>
      </c>
      <c r="B50" s="833" t="str">
        <f>Orçamento_Não_Deson!B50</f>
        <v>SP/0025</v>
      </c>
      <c r="C50" s="2" t="str">
        <f>VLOOKUP($B50,[2]BOLETIM_SEL!$A:$H,2,0)</f>
        <v>COMPOSIÇÃO</v>
      </c>
      <c r="D50" s="315" t="str">
        <f>VLOOKUP($B50,[2]BOLETIM_SEL!$A:$H,4,0)</f>
        <v>Segurança de trânsito - sinalização de advertência de obra com elemento luminoso (balde vermelho)</v>
      </c>
      <c r="E50" s="2"/>
      <c r="F50" s="2" t="str">
        <f>VLOOKUP($B50,[2]BOLETIM_SEL!$A:$H,6,0)</f>
        <v>M</v>
      </c>
      <c r="G50" s="1407">
        <f>VLOOKUP($B50,[2]BOLETIM_SEL!$A:$H,7,0)</f>
        <v>3.18</v>
      </c>
      <c r="H50" s="1608">
        <f ca="1">Orçamento_Não_Deson!H50</f>
        <v>302.41000000000003</v>
      </c>
      <c r="I50" s="876">
        <f t="shared" si="3"/>
        <v>4.07</v>
      </c>
      <c r="J50" s="1607">
        <f t="shared" ca="1" si="4"/>
        <v>1230.8</v>
      </c>
      <c r="K50" s="2069">
        <f t="shared" ca="1" si="1"/>
        <v>3.2576071134197276E-4</v>
      </c>
      <c r="L50" s="1570">
        <f t="shared" ca="1" si="2"/>
        <v>6.9636090323915885E-3</v>
      </c>
      <c r="M50" s="1967"/>
      <c r="O50" s="832"/>
      <c r="P50" s="832"/>
      <c r="Q50" s="832"/>
      <c r="R50" s="832"/>
      <c r="S50" s="832"/>
      <c r="X50" s="832"/>
    </row>
    <row r="51" spans="1:24" s="812" customFormat="1" ht="39.950000000000003" hidden="1" customHeight="1" x14ac:dyDescent="0.15">
      <c r="A51" s="2072">
        <f ca="1">+Orçamento_Não_Deson!A51</f>
        <v>1.1200000000000001</v>
      </c>
      <c r="B51" s="833">
        <f>+Orçamento_Não_Deson!B51</f>
        <v>98458</v>
      </c>
      <c r="C51" s="2" t="str">
        <f>VLOOKUP($B51,[2]BOLETIM_SEL!$A:$H,2,0)</f>
        <v>SINAPI</v>
      </c>
      <c r="D51" s="315" t="str">
        <f>VLOOKUP($B51,[2]BOLETIM_SEL!$A:$H,4,0)</f>
        <v>Segurança de trânsito - tapume baixo removível de proteção para valas com chapas compensadas (6 mm). Exclusive pintura de sinalização de advertência</v>
      </c>
      <c r="E51" s="2"/>
      <c r="F51" s="2" t="str">
        <f>VLOOKUP($B51,[2]BOLETIM_SEL!$A:$H,6,0)</f>
        <v>M2</v>
      </c>
      <c r="G51" s="1407">
        <f>VLOOKUP($B51,[2]BOLETIM_SEL!$A:$H,7,0)</f>
        <v>153.18</v>
      </c>
      <c r="H51" s="1608">
        <f>+Orçamento_Não_Deson!H51</f>
        <v>0</v>
      </c>
      <c r="I51" s="876">
        <f t="shared" si="3"/>
        <v>196.33</v>
      </c>
      <c r="J51" s="1607">
        <f t="shared" si="4"/>
        <v>0</v>
      </c>
      <c r="K51" s="2069">
        <f t="shared" ca="1" si="1"/>
        <v>0</v>
      </c>
      <c r="L51" s="1570">
        <f t="shared" ca="1" si="2"/>
        <v>0</v>
      </c>
      <c r="M51" s="1967"/>
      <c r="O51" s="832"/>
      <c r="P51" s="832"/>
      <c r="Q51" s="832"/>
      <c r="R51" s="832"/>
      <c r="S51" s="832"/>
      <c r="X51" s="832"/>
    </row>
    <row r="52" spans="1:24" s="812" customFormat="1" ht="50.1" customHeight="1" x14ac:dyDescent="0.15">
      <c r="A52" s="2072">
        <f ca="1">Orçamento_Não_Deson!A52</f>
        <v>1.1300000000000001</v>
      </c>
      <c r="B52" s="833" t="str">
        <f>Orçamento_Não_Deson!B52</f>
        <v>SP/0030</v>
      </c>
      <c r="C52" s="2" t="str">
        <f>VLOOKUP($B52,[2]BOLETIM_SEL!$A:$H,2,0)</f>
        <v>COMPOSIÇÃO</v>
      </c>
      <c r="D52" s="315" t="str">
        <f>VLOOKUP($B52,[2]BOLETIM_SEL!$A:$H,4,0)</f>
        <v>Segurança de trânsito - isolamento de obra com tela cerquite plática laranja conforme ABNT - NBR-7678 Segurança na execução de obras e serviços de construção Ministério do Trabalho e da Previdência Social - NB-26 - Sinalização De Segurança CONTRAN - Manual De Noções De Normas De Trânsito</v>
      </c>
      <c r="E52" s="2"/>
      <c r="F52" s="2" t="str">
        <f>VLOOKUP($B52,[2]BOLETIM_SEL!$A:$H,6,0)</f>
        <v>M</v>
      </c>
      <c r="G52" s="1407">
        <f>VLOOKUP($B52,[2]BOLETIM_SEL!$A:$H,7,0)</f>
        <v>9.85</v>
      </c>
      <c r="H52" s="1608">
        <f ca="1">Orçamento_Não_Deson!H52</f>
        <v>650.77</v>
      </c>
      <c r="I52" s="876">
        <f t="shared" si="3"/>
        <v>12.62</v>
      </c>
      <c r="J52" s="1607">
        <f ca="1">TRUNC(H52*I52,2)</f>
        <v>8212.7099999999991</v>
      </c>
      <c r="K52" s="2069">
        <f t="shared" ca="1" si="1"/>
        <v>2.1736904871996528E-3</v>
      </c>
      <c r="L52" s="1570">
        <f t="shared" ca="1" si="2"/>
        <v>4.6465795853438997E-2</v>
      </c>
      <c r="M52" s="1967"/>
      <c r="O52" s="832"/>
      <c r="X52" s="832"/>
    </row>
    <row r="53" spans="1:24" s="812" customFormat="1" ht="30" customHeight="1" x14ac:dyDescent="0.15">
      <c r="A53" s="2072">
        <f ca="1">Orçamento_Não_Deson!A53</f>
        <v>1.1400000000000001</v>
      </c>
      <c r="B53" s="833">
        <f>Orçamento_Não_Deson!B53</f>
        <v>13244</v>
      </c>
      <c r="C53" s="2" t="str">
        <f>VLOOKUP($B53,[2]BOLETIM_SEL!$A:$H,2,0)</f>
        <v>SINAPI</v>
      </c>
      <c r="D53" s="315" t="str">
        <f>VLOOKUP($B53,[2]BOLETIM_SEL!$A:$H,4,0)</f>
        <v>Segurança de trânsito - cone de sinalização em pvc rígido com faixa refletiva, h = 70 / 76 cm</v>
      </c>
      <c r="E53" s="2"/>
      <c r="F53" s="2" t="str">
        <f>VLOOKUP($B53,[2]BOLETIM_SEL!$A:$H,6,0)</f>
        <v xml:space="preserve">UN    </v>
      </c>
      <c r="G53" s="1407">
        <f>VLOOKUP($B53,[2]BOLETIM_SEL!$A:$H,7,0)</f>
        <v>51.9</v>
      </c>
      <c r="H53" s="1608">
        <f ca="1">Orçamento_Não_Deson!H53</f>
        <v>27</v>
      </c>
      <c r="I53" s="876">
        <f t="shared" si="3"/>
        <v>66.52</v>
      </c>
      <c r="J53" s="1607">
        <f ca="1">TRUNC(H53*I53,2)</f>
        <v>1796.04</v>
      </c>
      <c r="K53" s="2069">
        <f t="shared" ca="1" si="1"/>
        <v>4.7536502112336429E-4</v>
      </c>
      <c r="L53" s="1570">
        <f t="shared" ca="1" si="2"/>
        <v>1.0161618757342044E-2</v>
      </c>
      <c r="M53" s="1967"/>
      <c r="O53" s="832"/>
      <c r="X53" s="832"/>
    </row>
    <row r="54" spans="1:24" s="812" customFormat="1" ht="30" customHeight="1" x14ac:dyDescent="0.15">
      <c r="A54" s="2072">
        <f ca="1">Orçamento_Não_Deson!A54</f>
        <v>1.1500000000000001</v>
      </c>
      <c r="B54" s="833" t="str">
        <f>Orçamento_Não_Deson!B54</f>
        <v>SP/0050</v>
      </c>
      <c r="C54" s="2" t="str">
        <f>VLOOKUP($B54,[2]BOLETIM_SEL!$A:$H,2,0)</f>
        <v>COMPOSIÇÃO</v>
      </c>
      <c r="D54" s="315" t="str">
        <f>VLOOKUP($B54,[2]BOLETIM_SEL!$A:$H,4,0)</f>
        <v>Sondagem de investigação de interferências subterrâneas, incluindo escavações mecânica e manual e reaterro</v>
      </c>
      <c r="E54" s="2"/>
      <c r="F54" s="2" t="str">
        <f>VLOOKUP($B54,[2]BOLETIM_SEL!$A:$H,6,0)</f>
        <v xml:space="preserve">UN </v>
      </c>
      <c r="G54" s="1407">
        <f>VLOOKUP($B54,[2]BOLETIM_SEL!$A:$H,7,0)</f>
        <v>261.77999999999997</v>
      </c>
      <c r="H54" s="1608">
        <f ca="1">Orçamento_Não_Deson!H54</f>
        <v>6</v>
      </c>
      <c r="I54" s="876">
        <f t="shared" si="3"/>
        <v>335.52</v>
      </c>
      <c r="J54" s="1607">
        <f ca="1">TRUNC(H54*I54,2)</f>
        <v>2013.12</v>
      </c>
      <c r="K54" s="2069">
        <f t="shared" ca="1" si="1"/>
        <v>5.3282044460249613E-4</v>
      </c>
      <c r="L54" s="1570">
        <f t="shared" ca="1" si="2"/>
        <v>1.1389812004621509E-2</v>
      </c>
      <c r="M54" s="1967"/>
      <c r="O54" s="832"/>
      <c r="X54" s="832"/>
    </row>
    <row r="55" spans="1:24" s="812" customFormat="1" ht="30" customHeight="1" x14ac:dyDescent="0.15">
      <c r="A55" s="2072">
        <f ca="1">Orçamento_Não_Deson!A55</f>
        <v>1.1600000000000001</v>
      </c>
      <c r="B55" s="833" t="str">
        <f>Orçamento_Não_Deson!B55</f>
        <v>SP/0060</v>
      </c>
      <c r="C55" s="2" t="str">
        <f>VLOOKUP($B55,[2]BOLETIM_SEL!$A:$H,2,0)</f>
        <v>COMPOSIÇÃO</v>
      </c>
      <c r="D55" s="315" t="str">
        <f>VLOOKUP($B55,[2]BOLETIM_SEL!$A:$H,4,0)</f>
        <v>Reparo em ramal de ligação predial de água</v>
      </c>
      <c r="E55" s="2"/>
      <c r="F55" s="2" t="str">
        <f>VLOOKUP($B55,[2]BOLETIM_SEL!$A:$H,6,0)</f>
        <v xml:space="preserve">UN </v>
      </c>
      <c r="G55" s="1407">
        <f>VLOOKUP($B55,[2]BOLETIM_SEL!$A:$H,7,0)</f>
        <v>228.44</v>
      </c>
      <c r="H55" s="1608">
        <f ca="1">Orçamento_Não_Deson!H55</f>
        <v>12</v>
      </c>
      <c r="I55" s="876">
        <f t="shared" si="3"/>
        <v>292.79000000000002</v>
      </c>
      <c r="J55" s="1607">
        <f ca="1">TRUNC(H55*I55,2)</f>
        <v>3513.48</v>
      </c>
      <c r="K55" s="2069">
        <f t="shared" ca="1" si="1"/>
        <v>9.2992666890298549E-4</v>
      </c>
      <c r="L55" s="1570">
        <f t="shared" ca="1" si="2"/>
        <v>1.9878535150412088E-2</v>
      </c>
      <c r="M55" s="1967"/>
      <c r="O55" s="832"/>
      <c r="P55" s="832"/>
      <c r="Q55" s="832"/>
      <c r="R55" s="832"/>
      <c r="S55" s="832"/>
      <c r="T55" s="832"/>
      <c r="U55" s="832"/>
      <c r="V55" s="832"/>
      <c r="W55" s="832"/>
      <c r="X55" s="832"/>
    </row>
    <row r="56" spans="1:24" s="812" customFormat="1" ht="30" customHeight="1" x14ac:dyDescent="0.15">
      <c r="A56" s="2072">
        <f ca="1">Orçamento_Não_Deson!A56</f>
        <v>1.1700000000000002</v>
      </c>
      <c r="B56" s="833">
        <f>Orçamento_Não_Deson!B56</f>
        <v>100575</v>
      </c>
      <c r="C56" s="2" t="str">
        <f>VLOOKUP($B56,[2]BOLETIM_SEL!$A:$H,2,0)</f>
        <v>SINAPI</v>
      </c>
      <c r="D56" s="315" t="str">
        <f>VLOOKUP($B56,[2]BOLETIM_SEL!$A:$H,4,0)</f>
        <v>Regularização de superfícies com motoniveladora. AF_11/2019</v>
      </c>
      <c r="E56" s="2"/>
      <c r="F56" s="2" t="str">
        <f>VLOOKUP($B56,[2]BOLETIM_SEL!$A:$H,6,0)</f>
        <v>M2</v>
      </c>
      <c r="G56" s="1407">
        <f>VLOOKUP($B56,[2]BOLETIM_SEL!$A:$H,7,0)</f>
        <v>0.12</v>
      </c>
      <c r="H56" s="1608">
        <f ca="1">Orçamento_Não_Deson!H56</f>
        <v>2322.67</v>
      </c>
      <c r="I56" s="876">
        <f t="shared" si="3"/>
        <v>0.15</v>
      </c>
      <c r="J56" s="1607">
        <f ca="1">TRUNC(H56*I56,2)</f>
        <v>348.4</v>
      </c>
      <c r="K56" s="2069">
        <f t="shared" ca="1" si="1"/>
        <v>9.2212408052927606E-5</v>
      </c>
      <c r="L56" s="1570">
        <f t="shared" ca="1" si="2"/>
        <v>1.9711743474855616E-3</v>
      </c>
      <c r="M56" s="1967"/>
      <c r="O56" s="832"/>
      <c r="P56" s="832"/>
      <c r="Q56" s="832"/>
      <c r="R56" s="832"/>
      <c r="S56" s="832"/>
      <c r="T56" s="832"/>
      <c r="U56" s="832"/>
      <c r="V56" s="832"/>
      <c r="W56" s="832"/>
      <c r="X56" s="832"/>
    </row>
    <row r="57" spans="1:24" s="812" customFormat="1" ht="39.950000000000003" customHeight="1" x14ac:dyDescent="0.15">
      <c r="A57" s="2072">
        <f ca="1">Orçamento_Não_Deson!A57</f>
        <v>1.1800000000000002</v>
      </c>
      <c r="B57" s="833">
        <f>Orçamento_Não_Deson!B57</f>
        <v>100979</v>
      </c>
      <c r="C57" s="2" t="str">
        <f>VLOOKUP($B57,[2]BOLETIM_SEL!$A:$H,2,0)</f>
        <v>SINAPI</v>
      </c>
      <c r="D57" s="315" t="str">
        <f>VLOOKUP($B57,[2]BOLETIM_SEL!$A:$H,4,0)</f>
        <v>Carga, manobra e descarga de solos e materiais granulares em caminhão basculante 14 m3 - carga com escavadeira hidráulica (capacidade da caçamba: 1,20 m3 / potência: 155 HP) e descarga livre (unidade: m3). AF_07/2020</v>
      </c>
      <c r="E57" s="2"/>
      <c r="F57" s="2" t="str">
        <f>VLOOKUP($B57,[2]BOLETIM_SEL!$A:$H,6,0)</f>
        <v>M3</v>
      </c>
      <c r="G57" s="1407">
        <f>VLOOKUP($B57,[2]BOLETIM_SEL!$A:$H,7,0)</f>
        <v>6.35</v>
      </c>
      <c r="H57" s="1608">
        <f>Orçamento_Não_Deson!H57</f>
        <v>2000</v>
      </c>
      <c r="I57" s="876">
        <f t="shared" si="3"/>
        <v>8.1300000000000008</v>
      </c>
      <c r="J57" s="1607">
        <f t="shared" si="4"/>
        <v>16260</v>
      </c>
      <c r="K57" s="2069">
        <f t="shared" ca="1" si="1"/>
        <v>4.3035986077514443E-3</v>
      </c>
      <c r="L57" s="1570">
        <f t="shared" ca="1" si="2"/>
        <v>9.1995679937184952E-2</v>
      </c>
      <c r="M57" s="1968" t="str">
        <f>Orçamento_Não_Deson!M57</f>
        <v>ESCAVADEIRA</v>
      </c>
      <c r="O57" s="832"/>
      <c r="P57" s="832"/>
      <c r="Q57" s="832"/>
      <c r="R57" s="832"/>
      <c r="S57" s="832"/>
      <c r="T57" s="832"/>
      <c r="U57" s="832"/>
      <c r="V57" s="832"/>
      <c r="W57" s="832"/>
      <c r="X57" s="832"/>
    </row>
    <row r="58" spans="1:24" s="812" customFormat="1" ht="24.95" customHeight="1" x14ac:dyDescent="0.15">
      <c r="A58" s="2072">
        <f>Orçamento_Não_Deson!A58</f>
        <v>0</v>
      </c>
      <c r="B58" s="833">
        <f>Orçamento_Não_Deson!B58</f>
        <v>0</v>
      </c>
      <c r="C58" s="2"/>
      <c r="D58" s="1449" t="s">
        <v>1801</v>
      </c>
      <c r="E58" s="2"/>
      <c r="F58" s="2"/>
      <c r="G58" s="1407"/>
      <c r="H58" s="2"/>
      <c r="I58" s="2"/>
      <c r="J58" s="838" t="str">
        <f>IF(J59=0,"-","")</f>
        <v/>
      </c>
      <c r="K58" s="2069"/>
      <c r="L58" s="1570"/>
      <c r="M58" s="1967" t="str">
        <f>Orçamento_Não_Deson!M58</f>
        <v>Depósito de expurgo SEM reciclagem: 1</v>
      </c>
      <c r="O58" s="832"/>
      <c r="P58" s="832"/>
      <c r="Q58" s="832"/>
      <c r="R58" s="832"/>
      <c r="S58" s="832"/>
      <c r="T58" s="832"/>
      <c r="U58" s="832"/>
      <c r="V58" s="832"/>
      <c r="W58" s="832"/>
      <c r="X58" s="832"/>
    </row>
    <row r="59" spans="1:24" s="812" customFormat="1" ht="39.950000000000003" customHeight="1" x14ac:dyDescent="0.15">
      <c r="A59" s="2072">
        <f ca="1">Orçamento_Não_Deson!A59</f>
        <v>1.1900000000000002</v>
      </c>
      <c r="B59" s="833">
        <f>Orçamento_Não_Deson!B59</f>
        <v>95876</v>
      </c>
      <c r="C59" s="2" t="str">
        <f>VLOOKUP($B59,[2]BOLETIM_SEL!$A:$H,2,0)</f>
        <v>SINAPI</v>
      </c>
      <c r="D59" s="315" t="str">
        <f>VLOOKUP($B59,[2]BOLETIM_SEL!$A:$H,4,0)</f>
        <v>Transporte com caminhão basculante de 14 m3, em via urbana pavimentada, DMT até 30,00 km (unidade: m3xkm). AF_07/2020</v>
      </c>
      <c r="E59" s="2">
        <f>Orçamento_Não_Deson!E59</f>
        <v>8</v>
      </c>
      <c r="F59" s="2" t="str">
        <f>VLOOKUP($B59,[2]BOLETIM_SEL!$A:$H,6,0)</f>
        <v>M3XKM</v>
      </c>
      <c r="G59" s="1407">
        <f>VLOOKUP($B59,[2]BOLETIM_SEL!$A:$H,7,0)</f>
        <v>2.04</v>
      </c>
      <c r="H59" s="1608">
        <f>ROUND(H57*E59,2)</f>
        <v>16000</v>
      </c>
      <c r="I59" s="876">
        <f>TRUNC(G59*(1+$J$5),2)</f>
        <v>2.61</v>
      </c>
      <c r="J59" s="1607">
        <f>TRUNC(H59*I59,2)</f>
        <v>41760</v>
      </c>
      <c r="K59" s="2069">
        <f ca="1">J59/J$930</f>
        <v>1.1052784616217731E-2</v>
      </c>
      <c r="L59" s="1570">
        <f ca="1">J59/J$34</f>
        <v>0.23626934773535321</v>
      </c>
      <c r="M59" s="1969">
        <f>Orçamento_Não_Deson!M59</f>
        <v>2000</v>
      </c>
      <c r="O59" s="1414"/>
      <c r="P59" s="832"/>
      <c r="Q59" s="832"/>
      <c r="R59" s="832"/>
      <c r="S59" s="832"/>
      <c r="T59" s="832"/>
      <c r="U59" s="832"/>
      <c r="V59" s="832"/>
      <c r="W59" s="832"/>
      <c r="X59" s="832"/>
    </row>
    <row r="60" spans="1:24" s="812" customFormat="1" ht="24.95" customHeight="1" x14ac:dyDescent="0.15">
      <c r="A60" s="2072">
        <f>Orçamento_Não_Deson!A60</f>
        <v>0</v>
      </c>
      <c r="B60" s="833">
        <f>Orçamento_Não_Deson!B60</f>
        <v>0</v>
      </c>
      <c r="C60" s="2"/>
      <c r="D60" s="1449" t="s">
        <v>2178</v>
      </c>
      <c r="E60" s="2"/>
      <c r="F60" s="2"/>
      <c r="G60" s="1407"/>
      <c r="H60" s="2"/>
      <c r="I60" s="2"/>
      <c r="J60" s="838" t="str">
        <f>IF(J61=0,"-","")</f>
        <v/>
      </c>
      <c r="K60" s="2069"/>
      <c r="L60" s="1570"/>
      <c r="M60" s="1967" t="str">
        <f>Orçamento_Não_Deson!M60</f>
        <v>Depósito de expurgo SEM reciclagem: 1</v>
      </c>
      <c r="O60" s="832"/>
      <c r="P60" s="832"/>
      <c r="Q60" s="832"/>
      <c r="R60" s="832"/>
      <c r="S60" s="832"/>
      <c r="T60" s="832"/>
      <c r="U60" s="832"/>
      <c r="V60" s="832"/>
      <c r="W60" s="832"/>
      <c r="X60" s="832"/>
    </row>
    <row r="61" spans="1:24" s="812" customFormat="1" ht="39.950000000000003" customHeight="1" x14ac:dyDescent="0.15">
      <c r="A61" s="2072">
        <f ca="1">Orçamento_Não_Deson!A61</f>
        <v>1.2000000000000002</v>
      </c>
      <c r="B61" s="833">
        <f>Orçamento_Não_Deson!B61</f>
        <v>95876</v>
      </c>
      <c r="C61" s="2" t="str">
        <f>VLOOKUP($B61,[2]BOLETIM_SEL!$A:$H,2,0)</f>
        <v>SINAPI</v>
      </c>
      <c r="D61" s="315" t="str">
        <f>VLOOKUP($B61,[2]BOLETIM_SEL!$A:$H,4,0)</f>
        <v>Transporte com caminhão basculante de 14 m3, em via urbana pavimentada, DMT até 30,00 km (unidade: m3xkm). AF_07/2020</v>
      </c>
      <c r="E61" s="2">
        <f>Orçamento_Não_Deson!E61</f>
        <v>24</v>
      </c>
      <c r="F61" s="2" t="str">
        <f>VLOOKUP($B61,[2]BOLETIM_SEL!$A:$H,6,0)</f>
        <v>M3XKM</v>
      </c>
      <c r="G61" s="1407">
        <f>VLOOKUP($B61,[2]BOLETIM_SEL!$A:$H,7,0)</f>
        <v>2.04</v>
      </c>
      <c r="H61" s="1608">
        <f>ROUND(S_Preliminares!N17*1.1*E61,2)</f>
        <v>3300</v>
      </c>
      <c r="I61" s="876">
        <f>TRUNC(G61*(1+$J$5),2)</f>
        <v>2.61</v>
      </c>
      <c r="J61" s="1607">
        <f>TRUNC(H61*I61,2)</f>
        <v>8613</v>
      </c>
      <c r="K61" s="2069">
        <f ca="1">J61/J$930</f>
        <v>2.2796368270949071E-3</v>
      </c>
      <c r="L61" s="1570">
        <f ca="1">J61/J$34</f>
        <v>4.8730552970416605E-2</v>
      </c>
      <c r="M61" s="1969">
        <f>Orçamento_Não_Deson!M61</f>
        <v>137.5</v>
      </c>
      <c r="O61" s="1414"/>
      <c r="P61" s="832"/>
      <c r="Q61" s="832"/>
      <c r="R61" s="832"/>
      <c r="S61" s="832"/>
      <c r="T61" s="832"/>
      <c r="U61" s="832"/>
      <c r="V61" s="832"/>
      <c r="W61" s="832"/>
      <c r="X61" s="832"/>
    </row>
    <row r="62" spans="1:24" s="812" customFormat="1" ht="24.95" customHeight="1" x14ac:dyDescent="0.15">
      <c r="A62" s="2072"/>
      <c r="B62" s="833"/>
      <c r="C62" s="833"/>
      <c r="D62" s="834"/>
      <c r="E62" s="2"/>
      <c r="F62" s="833"/>
      <c r="G62" s="1814"/>
      <c r="H62" s="1"/>
      <c r="I62" s="876"/>
      <c r="J62" s="838" t="str">
        <f ca="1">IF(J34=0,0,"")</f>
        <v/>
      </c>
      <c r="K62" s="2069"/>
      <c r="L62" s="1570"/>
      <c r="M62" s="1826"/>
      <c r="O62" s="832"/>
      <c r="P62" s="832"/>
      <c r="Q62" s="832"/>
      <c r="R62" s="832"/>
      <c r="S62" s="832"/>
      <c r="T62" s="832"/>
      <c r="U62" s="832"/>
      <c r="V62" s="832"/>
      <c r="W62" s="832"/>
      <c r="X62" s="832"/>
    </row>
    <row r="63" spans="1:24" s="832" customFormat="1" ht="24.95" customHeight="1" x14ac:dyDescent="0.15">
      <c r="A63" s="2073">
        <f ca="1">IF(J63&gt;0,INT(A59)+1,IF(J63=0,INT(A59),0))</f>
        <v>2</v>
      </c>
      <c r="B63" s="1626"/>
      <c r="C63" s="1626"/>
      <c r="D63" s="1627" t="s">
        <v>1648</v>
      </c>
      <c r="E63" s="1821"/>
      <c r="F63" s="1628"/>
      <c r="G63" s="1813" t="s">
        <v>1670</v>
      </c>
      <c r="H63" s="1630"/>
      <c r="I63" s="1633" t="str">
        <f ca="1">CONCATENATE("SUB-TOTAL ",A63)</f>
        <v>SUB-TOTAL 2</v>
      </c>
      <c r="J63" s="1632">
        <f>SUM(J64:J98)</f>
        <v>39545.100000000006</v>
      </c>
      <c r="K63" s="2070">
        <f t="shared" ref="K63:K90" ca="1" si="5">J63/J$930</f>
        <v>1.0466558259741184E-2</v>
      </c>
      <c r="L63" s="1605">
        <f t="shared" ref="L63:L90" si="6">J63/$J$63</f>
        <v>1</v>
      </c>
      <c r="N63" s="1957" t="s">
        <v>1951</v>
      </c>
      <c r="O63" s="1648" t="s">
        <v>1977</v>
      </c>
    </row>
    <row r="64" spans="1:24" s="812" customFormat="1" ht="30" hidden="1" customHeight="1" x14ac:dyDescent="0.15">
      <c r="A64" s="2072">
        <f ca="1">+Orçamento_Não_Deson!A64</f>
        <v>2</v>
      </c>
      <c r="B64" s="833" t="str">
        <f>+Orçamento_Não_Deson!B64</f>
        <v>SR/0010</v>
      </c>
      <c r="C64" s="2" t="str">
        <f>VLOOKUP($B64,[2]BOLETIM_SEL!$A:$H,2,0)</f>
        <v>COMPOSIÇÃO</v>
      </c>
      <c r="D64" s="315" t="str">
        <f>VLOOKUP($B64,[2]BOLETIM_SEL!$A:$H,4,0)</f>
        <v>Demolição de concreto simples, de forma manual, sem reaproveitamento (REF. SICRO COD. 1600436)</v>
      </c>
      <c r="E64" s="2">
        <f>+Orçamento_Não_Deson!E64</f>
        <v>0</v>
      </c>
      <c r="F64" s="2" t="str">
        <f>VLOOKUP($B64,[2]BOLETIM_SEL!$A:$H,6,0)</f>
        <v>M3</v>
      </c>
      <c r="G64" s="1407">
        <f>VLOOKUP($B64,[2]BOLETIM_SEL!$A:$H,7,0)</f>
        <v>249.36</v>
      </c>
      <c r="H64" s="1608">
        <f>+Orçamento_Não_Deson!H64</f>
        <v>0</v>
      </c>
      <c r="I64" s="876">
        <f t="shared" ref="I64:I90" si="7">TRUNC(G64*(1+$J$5),2)</f>
        <v>319.60000000000002</v>
      </c>
      <c r="J64" s="1607">
        <f t="shared" ref="J64:J87" si="8">TRUNC(H64*I64,2)</f>
        <v>0</v>
      </c>
      <c r="K64" s="2069">
        <f t="shared" ca="1" si="5"/>
        <v>0</v>
      </c>
      <c r="L64" s="1570">
        <f t="shared" si="6"/>
        <v>0</v>
      </c>
      <c r="M64" s="1826"/>
      <c r="N64" s="1958">
        <f>VLOOKUP($B64,[2]BOLETIM_SEL!$A:$H,3,0)</f>
        <v>0.08</v>
      </c>
      <c r="O64" s="1645">
        <f t="shared" ref="O64:O72" si="9">+H64/N64</f>
        <v>0</v>
      </c>
      <c r="Q64" s="832"/>
      <c r="R64" s="832"/>
      <c r="S64" s="832"/>
      <c r="T64" s="832"/>
      <c r="U64" s="832"/>
      <c r="V64" s="832"/>
      <c r="W64" s="832"/>
      <c r="X64" s="832"/>
    </row>
    <row r="65" spans="1:24" s="812" customFormat="1" ht="30" customHeight="1" x14ac:dyDescent="0.15">
      <c r="A65" s="2072">
        <f ca="1">Orçamento_Não_Deson!A65</f>
        <v>2.0099999999999998</v>
      </c>
      <c r="B65" s="833" t="str">
        <f>Orçamento_Não_Deson!B65</f>
        <v>SR/0020</v>
      </c>
      <c r="C65" s="2" t="str">
        <f>VLOOKUP($B65,[2]BOLETIM_SEL!$A:$H,2,0)</f>
        <v>COMPOSIÇÃO</v>
      </c>
      <c r="D65" s="315" t="str">
        <f>VLOOKUP($B65,[2]BOLETIM_SEL!$A:$H,4,0)</f>
        <v>Demolição de concreto simples, de forma mecanizada, sem reaproveitamento (REF. SICRO COD. 1600989, db 01-2023)</v>
      </c>
      <c r="E65" s="2">
        <f>Orçamento_Não_Deson!E65</f>
        <v>0</v>
      </c>
      <c r="F65" s="2" t="str">
        <f>VLOOKUP($B65,[2]BOLETIM_SEL!$A:$H,6,0)</f>
        <v>M3</v>
      </c>
      <c r="G65" s="1407">
        <f>VLOOKUP($B65,[2]BOLETIM_SEL!$A:$H,7,0)</f>
        <v>242.25</v>
      </c>
      <c r="H65" s="1608">
        <f>Orçamento_Não_Deson!H65</f>
        <v>76.150000000000006</v>
      </c>
      <c r="I65" s="876">
        <f t="shared" si="7"/>
        <v>310.49</v>
      </c>
      <c r="J65" s="1607">
        <f t="shared" si="8"/>
        <v>23643.81</v>
      </c>
      <c r="K65" s="2069">
        <f t="shared" ca="1" si="5"/>
        <v>6.2579008485817754E-3</v>
      </c>
      <c r="L65" s="1570">
        <f t="shared" si="6"/>
        <v>0.59789480871207801</v>
      </c>
      <c r="M65" s="1826"/>
      <c r="N65" s="1958">
        <f>VLOOKUP($B65,[2]BOLETIM_SEL!$A:$H,3,0)</f>
        <v>0.6</v>
      </c>
      <c r="O65" s="1645">
        <f>H65/N65</f>
        <v>126.91666666666669</v>
      </c>
      <c r="Q65" s="832"/>
      <c r="R65" s="832"/>
      <c r="S65" s="832"/>
      <c r="T65" s="832"/>
      <c r="U65" s="832"/>
      <c r="V65" s="832"/>
      <c r="W65" s="832"/>
      <c r="X65" s="832"/>
    </row>
    <row r="66" spans="1:24" s="812" customFormat="1" ht="30" hidden="1" customHeight="1" x14ac:dyDescent="0.15">
      <c r="A66" s="2072">
        <f ca="1">+Orçamento_Não_Deson!A66</f>
        <v>2.0099999999999998</v>
      </c>
      <c r="B66" s="833" t="str">
        <f>+Orçamento_Não_Deson!B66</f>
        <v>SR/0030</v>
      </c>
      <c r="C66" s="2" t="str">
        <f>VLOOKUP($B66,[2]BOLETIM_SEL!$A:$H,2,0)</f>
        <v>COMPOSIÇÃO</v>
      </c>
      <c r="D66" s="315" t="str">
        <f>VLOOKUP($B66,[2]BOLETIM_SEL!$A:$H,4,0)</f>
        <v>Demolição de concreto armado, de forma manual, sem reaproveitamento (REF. SICRO COD. 1600438)</v>
      </c>
      <c r="E66" s="2">
        <f>+Orçamento_Não_Deson!E66</f>
        <v>0</v>
      </c>
      <c r="F66" s="2" t="str">
        <f>VLOOKUP($B66,[2]BOLETIM_SEL!$A:$H,6,0)</f>
        <v>M3</v>
      </c>
      <c r="G66" s="1407">
        <f>VLOOKUP($B66,[2]BOLETIM_SEL!$A:$H,7,0)</f>
        <v>398.98</v>
      </c>
      <c r="H66" s="1608">
        <f>+Orçamento_Não_Deson!H66</f>
        <v>0</v>
      </c>
      <c r="I66" s="876">
        <f t="shared" si="7"/>
        <v>511.37</v>
      </c>
      <c r="J66" s="1607">
        <f t="shared" si="8"/>
        <v>0</v>
      </c>
      <c r="K66" s="2069">
        <f t="shared" ca="1" si="5"/>
        <v>0</v>
      </c>
      <c r="L66" s="1570">
        <f t="shared" si="6"/>
        <v>0</v>
      </c>
      <c r="M66" s="1826"/>
      <c r="N66" s="1958">
        <f>VLOOKUP($B66,[2]BOLETIM_SEL!$A:$H,3,0)</f>
        <v>0.05</v>
      </c>
      <c r="O66" s="1645">
        <f t="shared" si="9"/>
        <v>0</v>
      </c>
      <c r="Q66" s="832"/>
      <c r="R66" s="832"/>
      <c r="S66" s="832"/>
      <c r="T66" s="832"/>
      <c r="U66" s="832"/>
      <c r="V66" s="832"/>
      <c r="W66" s="832"/>
      <c r="X66" s="832"/>
    </row>
    <row r="67" spans="1:24" s="812" customFormat="1" ht="30" hidden="1" customHeight="1" x14ac:dyDescent="0.15">
      <c r="A67" s="2072">
        <f ca="1">+Orçamento_Não_Deson!A67</f>
        <v>2.0099999999999998</v>
      </c>
      <c r="B67" s="833" t="str">
        <f>+Orçamento_Não_Deson!B67</f>
        <v>SR/0040</v>
      </c>
      <c r="C67" s="2" t="str">
        <f>VLOOKUP($B67,[2]BOLETIM_SEL!$A:$H,2,0)</f>
        <v>COMPOSIÇÃO</v>
      </c>
      <c r="D67" s="315" t="str">
        <f>VLOOKUP($B67,[2]BOLETIM_SEL!$A:$H,4,0)</f>
        <v>Demolição de concreto armado, de forma mecanizada, sem reaproveitamento (REF. SICRO COD. 1619003)</v>
      </c>
      <c r="E67" s="2">
        <f>+Orçamento_Não_Deson!E67</f>
        <v>0</v>
      </c>
      <c r="F67" s="2" t="str">
        <f>VLOOKUP($B67,[2]BOLETIM_SEL!$A:$H,6,0)</f>
        <v>M3</v>
      </c>
      <c r="G67" s="1407">
        <f>VLOOKUP($B67,[2]BOLETIM_SEL!$A:$H,7,0)</f>
        <v>159.56</v>
      </c>
      <c r="H67" s="1608">
        <f>+Orçamento_Não_Deson!H67</f>
        <v>0</v>
      </c>
      <c r="I67" s="876">
        <f t="shared" si="7"/>
        <v>204.5</v>
      </c>
      <c r="J67" s="1607">
        <f t="shared" si="8"/>
        <v>0</v>
      </c>
      <c r="K67" s="2069">
        <f t="shared" ca="1" si="5"/>
        <v>0</v>
      </c>
      <c r="L67" s="1570">
        <f t="shared" si="6"/>
        <v>0</v>
      </c>
      <c r="M67" s="1826"/>
      <c r="N67" s="1958">
        <f>VLOOKUP($B67,[2]BOLETIM_SEL!$A:$H,3,0)</f>
        <v>4.7699999999999996</v>
      </c>
      <c r="O67" s="1645">
        <f t="shared" si="9"/>
        <v>0</v>
      </c>
      <c r="Q67" s="832"/>
      <c r="R67" s="832"/>
      <c r="S67" s="832"/>
      <c r="T67" s="832"/>
      <c r="U67" s="832"/>
      <c r="V67" s="832"/>
      <c r="W67" s="832"/>
      <c r="X67" s="832"/>
    </row>
    <row r="68" spans="1:24" s="812" customFormat="1" ht="30" hidden="1" customHeight="1" x14ac:dyDescent="0.15">
      <c r="A68" s="2072">
        <f ca="1">+Orçamento_Não_Deson!A68</f>
        <v>2.0099999999999998</v>
      </c>
      <c r="B68" s="833">
        <f>+Orçamento_Não_Deson!B68</f>
        <v>97624</v>
      </c>
      <c r="C68" s="2" t="str">
        <f>VLOOKUP($B68,[2]BOLETIM_SEL!$A:$H,2,0)</f>
        <v>SINAPI</v>
      </c>
      <c r="D68" s="315" t="str">
        <f>VLOOKUP($B68,[2]BOLETIM_SEL!$A:$H,4,0)</f>
        <v>Demolição de alvenaria de tijolo maciço, de forma manual, sem reaproveitamento. AF_12/2017</v>
      </c>
      <c r="E68" s="2">
        <f>+Orçamento_Não_Deson!E68</f>
        <v>0</v>
      </c>
      <c r="F68" s="2" t="str">
        <f>VLOOKUP($B68,[2]BOLETIM_SEL!$A:$H,6,0)</f>
        <v>M3</v>
      </c>
      <c r="G68" s="1407">
        <f>VLOOKUP($B68,[2]BOLETIM_SEL!$A:$H,7,0)</f>
        <v>86.87</v>
      </c>
      <c r="H68" s="1608">
        <f>+Orçamento_Não_Deson!H68</f>
        <v>0</v>
      </c>
      <c r="I68" s="876">
        <f t="shared" si="7"/>
        <v>111.34</v>
      </c>
      <c r="J68" s="1607">
        <f t="shared" si="8"/>
        <v>0</v>
      </c>
      <c r="K68" s="2069">
        <f t="shared" ca="1" si="5"/>
        <v>0</v>
      </c>
      <c r="L68" s="1570">
        <f t="shared" si="6"/>
        <v>0</v>
      </c>
      <c r="M68" s="1826"/>
      <c r="N68" s="1958">
        <f>VLOOKUP($B68,[2]BOLETIM_SEL!$A:$H,3,0)</f>
        <v>2.36</v>
      </c>
      <c r="O68" s="1645">
        <f t="shared" si="9"/>
        <v>0</v>
      </c>
      <c r="Q68" s="832"/>
      <c r="R68" s="832"/>
      <c r="S68" s="832"/>
      <c r="T68" s="832"/>
      <c r="U68" s="832"/>
      <c r="V68" s="832"/>
      <c r="W68" s="832"/>
      <c r="X68" s="832"/>
    </row>
    <row r="69" spans="1:24" s="812" customFormat="1" ht="30" hidden="1" customHeight="1" x14ac:dyDescent="0.15">
      <c r="A69" s="2072">
        <f ca="1">+Orçamento_Não_Deson!A69</f>
        <v>2.0099999999999998</v>
      </c>
      <c r="B69" s="833" t="str">
        <f>+Orçamento_Não_Deson!B69</f>
        <v>SR/0070</v>
      </c>
      <c r="C69" s="2" t="str">
        <f>VLOOKUP($B69,[2]BOLETIM_SEL!$A:$H,2,0)</f>
        <v>COMPOSIÇÃO</v>
      </c>
      <c r="D69" s="315" t="str">
        <f>VLOOKUP($B69,[2]BOLETIM_SEL!$A:$H,4,0)</f>
        <v>Demolição de alvenaria de pedra, de forma manual, com reaproveitamento</v>
      </c>
      <c r="E69" s="2">
        <f>+Orçamento_Não_Deson!E69</f>
        <v>0</v>
      </c>
      <c r="F69" s="2" t="str">
        <f>VLOOKUP($B69,[2]BOLETIM_SEL!$A:$H,6,0)</f>
        <v>M3</v>
      </c>
      <c r="G69" s="1407">
        <f>VLOOKUP($B69,[2]BOLETIM_SEL!$A:$H,7,0)</f>
        <v>79.790000000000006</v>
      </c>
      <c r="H69" s="1608">
        <f>+Orçamento_Não_Deson!H69</f>
        <v>0</v>
      </c>
      <c r="I69" s="876">
        <f t="shared" si="7"/>
        <v>102.26</v>
      </c>
      <c r="J69" s="1607">
        <f t="shared" si="8"/>
        <v>0</v>
      </c>
      <c r="K69" s="2069">
        <f t="shared" ca="1" si="5"/>
        <v>0</v>
      </c>
      <c r="L69" s="1570">
        <f t="shared" si="6"/>
        <v>0</v>
      </c>
      <c r="M69" s="1826"/>
      <c r="N69" s="1958">
        <f>VLOOKUP($B69,[2]BOLETIM_SEL!$A:$H,3,0)</f>
        <v>2.5</v>
      </c>
      <c r="O69" s="1645">
        <f t="shared" si="9"/>
        <v>0</v>
      </c>
      <c r="Q69" s="832"/>
      <c r="R69" s="832"/>
      <c r="S69" s="832"/>
      <c r="T69" s="832"/>
      <c r="U69" s="832"/>
      <c r="V69" s="832"/>
      <c r="W69" s="832"/>
      <c r="X69" s="832"/>
    </row>
    <row r="70" spans="1:24" s="812" customFormat="1" ht="30" hidden="1" customHeight="1" x14ac:dyDescent="0.15">
      <c r="A70" s="2072">
        <f ca="1">+Orçamento_Não_Deson!A70</f>
        <v>2.0099999999999998</v>
      </c>
      <c r="B70" s="833" t="str">
        <f>+Orçamento_Não_Deson!B70</f>
        <v>SR/0050</v>
      </c>
      <c r="C70" s="2" t="str">
        <f>VLOOKUP($B70,[2]BOLETIM_SEL!$A:$H,2,0)</f>
        <v>COMPOSIÇÃO</v>
      </c>
      <c r="D70" s="315" t="str">
        <f>VLOOKUP($B70,[2]BOLETIM_SEL!$A:$H,4,0)</f>
        <v>Demolição de piso em ladrilho, de forma mecanizada, sem reaproveitamento (REF. SINAPI COD. 97634)</v>
      </c>
      <c r="E70" s="2">
        <f>+Orçamento_Não_Deson!E70</f>
        <v>0</v>
      </c>
      <c r="F70" s="2" t="str">
        <f>VLOOKUP($B70,[2]BOLETIM_SEL!$A:$H,6,0)</f>
        <v>M2</v>
      </c>
      <c r="G70" s="1407">
        <f>VLOOKUP($B70,[2]BOLETIM_SEL!$A:$H,7,0)</f>
        <v>10.96</v>
      </c>
      <c r="H70" s="1608">
        <f>+Orçamento_Não_Deson!H70</f>
        <v>0</v>
      </c>
      <c r="I70" s="876">
        <f t="shared" si="7"/>
        <v>14.04</v>
      </c>
      <c r="J70" s="1607">
        <f t="shared" si="8"/>
        <v>0</v>
      </c>
      <c r="K70" s="2069">
        <f t="shared" ca="1" si="5"/>
        <v>0</v>
      </c>
      <c r="L70" s="1570">
        <f t="shared" si="6"/>
        <v>0</v>
      </c>
      <c r="M70" s="1826"/>
      <c r="N70" s="1959">
        <f>VLOOKUP($B70,[2]BOLETIM_SEL!$A:$H,3,0)</f>
        <v>7.15</v>
      </c>
      <c r="O70" s="1645">
        <f t="shared" si="9"/>
        <v>0</v>
      </c>
      <c r="Q70" s="832"/>
      <c r="R70" s="832"/>
      <c r="S70" s="832"/>
      <c r="T70" s="832"/>
      <c r="U70" s="832"/>
      <c r="V70" s="832"/>
      <c r="W70" s="832"/>
      <c r="X70" s="832"/>
    </row>
    <row r="71" spans="1:24" s="812" customFormat="1" ht="30" customHeight="1" x14ac:dyDescent="0.15">
      <c r="A71" s="2072">
        <f ca="1">Orçamento_Não_Deson!A71</f>
        <v>2.0199999999999996</v>
      </c>
      <c r="B71" s="833">
        <f>Orçamento_Não_Deson!B71</f>
        <v>97636</v>
      </c>
      <c r="C71" s="2" t="str">
        <f>VLOOKUP($B71,[2]BOLETIM_SEL!$A:$H,2,0)</f>
        <v>SINAPI</v>
      </c>
      <c r="D71" s="315" t="str">
        <f>VLOOKUP($B71,[2]BOLETIM_SEL!$A:$H,4,0)</f>
        <v>Demolição parcial de pavimento asfáltico, de forma mecanizada, sem reaproveitamento. AF_12/2017</v>
      </c>
      <c r="E71" s="2">
        <f>Orçamento_Não_Deson!E71</f>
        <v>0</v>
      </c>
      <c r="F71" s="2" t="str">
        <f>VLOOKUP($B71,[2]BOLETIM_SEL!$A:$H,6,0)</f>
        <v>M2</v>
      </c>
      <c r="G71" s="1407">
        <f>VLOOKUP($B71,[2]BOLETIM_SEL!$A:$H,7,0)</f>
        <v>18.260000000000002</v>
      </c>
      <c r="H71" s="1608">
        <f>Orçamento_Não_Deson!H71</f>
        <v>84.85</v>
      </c>
      <c r="I71" s="876">
        <f t="shared" si="7"/>
        <v>23.4</v>
      </c>
      <c r="J71" s="1607">
        <f>TRUNC(H71*I71,2)</f>
        <v>1985.49</v>
      </c>
      <c r="K71" s="2069">
        <f t="shared" ca="1" si="5"/>
        <v>5.2550750305685207E-4</v>
      </c>
      <c r="L71" s="1570">
        <f t="shared" si="6"/>
        <v>5.020824324631875E-2</v>
      </c>
      <c r="M71" s="1826"/>
      <c r="N71" s="1958">
        <f>VLOOKUP($B71,[2]BOLETIM_SEL!$A:$H,3,0)</f>
        <v>8.18</v>
      </c>
      <c r="O71" s="1645">
        <f>H71/N71</f>
        <v>10.372860635696821</v>
      </c>
      <c r="Q71" s="832"/>
      <c r="R71" s="832"/>
      <c r="S71" s="832"/>
      <c r="T71" s="832"/>
      <c r="U71" s="832"/>
      <c r="V71" s="832"/>
      <c r="W71" s="832"/>
      <c r="X71" s="832"/>
    </row>
    <row r="72" spans="1:24" s="812" customFormat="1" ht="30" hidden="1" customHeight="1" x14ac:dyDescent="0.15">
      <c r="A72" s="2072">
        <f ca="1">+Orçamento_Não_Deson!A72</f>
        <v>2.0199999999999996</v>
      </c>
      <c r="B72" s="833" t="str">
        <f>+Orçamento_Não_Deson!B72</f>
        <v>SR/0060</v>
      </c>
      <c r="C72" s="2" t="str">
        <f>VLOOKUP($B72,[2]BOLETIM_SEL!$A:$H,2,0)</f>
        <v>COMPOSIÇÃO</v>
      </c>
      <c r="D72" s="315" t="str">
        <f>VLOOKUP($B72,[2]BOLETIM_SEL!$A:$H,4,0)</f>
        <v>Remoção de piso em bloco de concreto, de forma mecanizada, sem reaproveitamento</v>
      </c>
      <c r="E72" s="2">
        <f>+Orçamento_Não_Deson!E72</f>
        <v>0</v>
      </c>
      <c r="F72" s="2" t="str">
        <f>VLOOKUP($B72,[2]BOLETIM_SEL!$A:$H,6,0)</f>
        <v>M2</v>
      </c>
      <c r="G72" s="1407">
        <f>VLOOKUP($B72,[2]BOLETIM_SEL!$A:$H,7,0)</f>
        <v>12.12</v>
      </c>
      <c r="H72" s="1608">
        <f>+Orçamento_Não_Deson!H72</f>
        <v>0</v>
      </c>
      <c r="I72" s="876">
        <f t="shared" si="7"/>
        <v>15.53</v>
      </c>
      <c r="J72" s="1607">
        <f t="shared" si="8"/>
        <v>0</v>
      </c>
      <c r="K72" s="2069">
        <f t="shared" ca="1" si="5"/>
        <v>0</v>
      </c>
      <c r="L72" s="1570">
        <f t="shared" si="6"/>
        <v>0</v>
      </c>
      <c r="M72" s="1826"/>
      <c r="N72" s="1958">
        <f>VLOOKUP($B72,[2]BOLETIM_SEL!$A:$H,3,0)</f>
        <v>21.78</v>
      </c>
      <c r="O72" s="1645">
        <f t="shared" si="9"/>
        <v>0</v>
      </c>
      <c r="Q72" s="832"/>
      <c r="R72" s="832"/>
      <c r="S72" s="832"/>
      <c r="T72" s="832"/>
      <c r="U72" s="832"/>
      <c r="V72" s="832"/>
      <c r="W72" s="832"/>
      <c r="X72" s="832"/>
    </row>
    <row r="73" spans="1:24" s="812" customFormat="1" ht="30" customHeight="1" x14ac:dyDescent="0.15">
      <c r="A73" s="2072">
        <f ca="1">Orçamento_Não_Deson!A73</f>
        <v>2.0299999999999994</v>
      </c>
      <c r="B73" s="833" t="str">
        <f>Orçamento_Não_Deson!B73</f>
        <v>SR/0100</v>
      </c>
      <c r="C73" s="2" t="str">
        <f>VLOOKUP($B73,[2]BOLETIM_SEL!$A:$H,2,0)</f>
        <v>COMPOSIÇÃO</v>
      </c>
      <c r="D73" s="315" t="str">
        <f>VLOOKUP($B73,[2]BOLETIM_SEL!$A:$H,4,0)</f>
        <v>Recorte mecânico de pavimento asfáltico ou piso de concreto, com serra de disco diamantado para piso/asfalto. REF SICRO 4011537, DB 04-2023</v>
      </c>
      <c r="E73" s="2">
        <f>Orçamento_Não_Deson!E73</f>
        <v>0</v>
      </c>
      <c r="F73" s="2" t="str">
        <f>VLOOKUP($B73,[2]BOLETIM_SEL!$A:$H,6,0)</f>
        <v>M</v>
      </c>
      <c r="G73" s="1407">
        <f>VLOOKUP($B73,[2]BOLETIM_SEL!$A:$H,7,0)</f>
        <v>3.55</v>
      </c>
      <c r="H73" s="1608">
        <f>Orçamento_Não_Deson!H73</f>
        <v>858.19</v>
      </c>
      <c r="I73" s="876">
        <f t="shared" si="7"/>
        <v>4.55</v>
      </c>
      <c r="J73" s="1607">
        <f>TRUNC(H73*I73,2)</f>
        <v>3904.76</v>
      </c>
      <c r="K73" s="2069">
        <f t="shared" ca="1" si="5"/>
        <v>1.0334882964085812E-3</v>
      </c>
      <c r="L73" s="1570">
        <f t="shared" si="6"/>
        <v>9.8741942743854477E-2</v>
      </c>
      <c r="M73" s="1826"/>
      <c r="N73" s="1958">
        <f>VLOOKUP($B73,[2]BOLETIM_SEL!$A:$H,3,0)</f>
        <v>12</v>
      </c>
      <c r="O73" s="1645">
        <f>H73/N73</f>
        <v>71.515833333333333</v>
      </c>
      <c r="Q73" s="832"/>
      <c r="R73" s="832"/>
      <c r="S73" s="832"/>
      <c r="T73" s="832"/>
      <c r="U73" s="832"/>
      <c r="V73" s="832"/>
      <c r="W73" s="832"/>
      <c r="X73" s="832"/>
    </row>
    <row r="74" spans="1:24" s="812" customFormat="1" ht="30" hidden="1" customHeight="1" x14ac:dyDescent="0.15">
      <c r="A74" s="2072">
        <f ca="1">Orçamento_Não_Deson!A74</f>
        <v>2.0299999999999994</v>
      </c>
      <c r="B74" s="833" t="str">
        <f>Orçamento_Não_Deson!B74</f>
        <v>SR/0080</v>
      </c>
      <c r="C74" s="2" t="str">
        <f>VLOOKUP($B74,[2]BOLETIM_SEL!$A:$H,2,0)</f>
        <v>COMPOSIÇÃO</v>
      </c>
      <c r="D74" s="315" t="str">
        <f>VLOOKUP($B74,[2]BOLETIM_SEL!$A:$H,4,0)</f>
        <v>Demolição de boca de lobo, incluindo carga e bota-fora do entulho e reaterro da cava</v>
      </c>
      <c r="E74" s="2">
        <f>Orçamento_Não_Deson!E74</f>
        <v>0</v>
      </c>
      <c r="F74" s="2" t="str">
        <f>VLOOKUP($B74,[2]BOLETIM_SEL!$A:$H,6,0)</f>
        <v xml:space="preserve">UN </v>
      </c>
      <c r="G74" s="1407">
        <f>VLOOKUP($B74,[2]BOLETIM_SEL!$A:$H,7,0)</f>
        <v>434.53</v>
      </c>
      <c r="H74" s="1608">
        <f>Orçamento_Não_Deson!H74</f>
        <v>0</v>
      </c>
      <c r="I74" s="876">
        <f t="shared" si="7"/>
        <v>556.92999999999995</v>
      </c>
      <c r="J74" s="1607">
        <f t="shared" si="8"/>
        <v>0</v>
      </c>
      <c r="K74" s="2069">
        <f t="shared" ca="1" si="5"/>
        <v>0</v>
      </c>
      <c r="L74" s="1570">
        <f t="shared" si="6"/>
        <v>0</v>
      </c>
      <c r="M74" s="1826"/>
      <c r="N74" s="832"/>
      <c r="O74" s="832"/>
      <c r="Q74" s="832"/>
      <c r="R74" s="832"/>
      <c r="S74" s="832"/>
      <c r="T74" s="832"/>
      <c r="U74" s="832"/>
      <c r="V74" s="832"/>
      <c r="W74" s="832"/>
      <c r="X74" s="832"/>
    </row>
    <row r="75" spans="1:24" s="812" customFormat="1" ht="30" hidden="1" customHeight="1" x14ac:dyDescent="0.15">
      <c r="A75" s="2072">
        <f ca="1">+Orçamento_Não_Deson!A75</f>
        <v>2.0299999999999994</v>
      </c>
      <c r="B75" s="833" t="str">
        <f>+Orçamento_Não_Deson!B75</f>
        <v>SR/0090</v>
      </c>
      <c r="C75" s="2" t="str">
        <f>VLOOKUP($B75,[2]BOLETIM_SEL!$A:$H,2,0)</f>
        <v>COMPOSIÇÃO</v>
      </c>
      <c r="D75" s="315" t="str">
        <f>VLOOKUP($B75,[2]BOLETIM_SEL!$A:$H,4,0)</f>
        <v>Demolição de poço de visita, inclusive carga e bota-fora do entulho</v>
      </c>
      <c r="E75" s="2">
        <f>+Orçamento_Não_Deson!E75</f>
        <v>0</v>
      </c>
      <c r="F75" s="2" t="str">
        <f>VLOOKUP($B75,[2]BOLETIM_SEL!$A:$H,6,0)</f>
        <v xml:space="preserve">UN </v>
      </c>
      <c r="G75" s="1407">
        <f>VLOOKUP($B75,[2]BOLETIM_SEL!$A:$H,7,0)</f>
        <v>888.44</v>
      </c>
      <c r="H75" s="1608">
        <f>+Orçamento_Não_Deson!H75</f>
        <v>0</v>
      </c>
      <c r="I75" s="876">
        <f t="shared" si="7"/>
        <v>1138.71</v>
      </c>
      <c r="J75" s="1607">
        <f t="shared" si="8"/>
        <v>0</v>
      </c>
      <c r="K75" s="2069">
        <f t="shared" ca="1" si="5"/>
        <v>0</v>
      </c>
      <c r="L75" s="1570">
        <f t="shared" si="6"/>
        <v>0</v>
      </c>
      <c r="M75" s="1826"/>
      <c r="N75" s="832"/>
      <c r="O75" s="832"/>
      <c r="Q75" s="832"/>
      <c r="R75" s="832"/>
      <c r="S75" s="832"/>
      <c r="T75" s="832"/>
      <c r="U75" s="832"/>
      <c r="V75" s="832"/>
      <c r="W75" s="832"/>
      <c r="X75" s="832"/>
    </row>
    <row r="76" spans="1:24" s="812" customFormat="1" ht="39.950000000000003" hidden="1" customHeight="1" x14ac:dyDescent="0.15">
      <c r="A76" s="2072">
        <f ca="1">+Orçamento_Não_Deson!A76</f>
        <v>2.0299999999999994</v>
      </c>
      <c r="B76" s="833" t="str">
        <f>+Orçamento_Não_Deson!B76</f>
        <v>SR/0120</v>
      </c>
      <c r="C76" s="2" t="str">
        <f>VLOOKUP($B76,[2]BOLETIM_SEL!$A:$H,2,0)</f>
        <v>COMPOSIÇÃO</v>
      </c>
      <c r="D76" s="315" t="str">
        <f>VLOOKUP($B76,[2]BOLETIM_SEL!$A:$H,4,0)</f>
        <v>Remoção de alambrado com tela de arame galvanizado (inclusive mureta em concreto). (REF SINAPI CÓD 98522, DB 11-2022)</v>
      </c>
      <c r="E76" s="2">
        <f>+Orçamento_Não_Deson!E76</f>
        <v>0</v>
      </c>
      <c r="F76" s="2" t="str">
        <f>VLOOKUP($B76,[2]BOLETIM_SEL!$A:$H,6,0)</f>
        <v>M</v>
      </c>
      <c r="G76" s="1407">
        <f>VLOOKUP($B76,[2]BOLETIM_SEL!$A:$H,7,0)</f>
        <v>44.72</v>
      </c>
      <c r="H76" s="1608">
        <f>+Orçamento_Não_Deson!H76</f>
        <v>0</v>
      </c>
      <c r="I76" s="876">
        <f t="shared" ref="I76" si="10">TRUNC(G76*(1+$J$5),2)</f>
        <v>57.31</v>
      </c>
      <c r="J76" s="1607">
        <f t="shared" ref="J76" si="11">TRUNC(H76*I76,2)</f>
        <v>0</v>
      </c>
      <c r="K76" s="2069">
        <f t="shared" ca="1" si="5"/>
        <v>0</v>
      </c>
      <c r="L76" s="1570">
        <f t="shared" ref="L76" si="12">J76/$J$63</f>
        <v>0</v>
      </c>
      <c r="M76" s="1826"/>
      <c r="N76" s="832"/>
      <c r="O76" s="832"/>
      <c r="Q76" s="832"/>
      <c r="R76" s="832"/>
      <c r="S76" s="832"/>
      <c r="T76" s="832"/>
      <c r="U76" s="832"/>
      <c r="V76" s="832"/>
      <c r="W76" s="832"/>
      <c r="X76" s="832"/>
    </row>
    <row r="77" spans="1:24" s="812" customFormat="1" ht="39.950000000000003" customHeight="1" x14ac:dyDescent="0.15">
      <c r="A77" s="2072">
        <f ca="1">Orçamento_Não_Deson!A77</f>
        <v>2.0399999999999991</v>
      </c>
      <c r="B77" s="833">
        <f>Orçamento_Não_Deson!B77</f>
        <v>98526</v>
      </c>
      <c r="C77" s="2" t="str">
        <f>VLOOKUP($B77,[2]BOLETIM_SEL!$A:$H,2,0)</f>
        <v>SINAPI</v>
      </c>
      <c r="D77" s="315" t="str">
        <f>VLOOKUP($B77,[2]BOLETIM_SEL!$A:$H,4,0)</f>
        <v>Remoção de raízes remanescentes de tronco de árvore com diâmetro maior ou igual a 0,20 m e menor que 0,40 m. AF_05/2018</v>
      </c>
      <c r="E77" s="2">
        <f>Orçamento_Não_Deson!E77</f>
        <v>0</v>
      </c>
      <c r="F77" s="2" t="str">
        <f>VLOOKUP($B77,[2]BOLETIM_SEL!$A:$H,6,0)</f>
        <v>UN</v>
      </c>
      <c r="G77" s="1407">
        <f>VLOOKUP($B77,[2]BOLETIM_SEL!$A:$H,7,0)</f>
        <v>76.16</v>
      </c>
      <c r="H77" s="1608">
        <f>Orçamento_Não_Deson!H77</f>
        <v>9</v>
      </c>
      <c r="I77" s="876">
        <f t="shared" si="7"/>
        <v>97.61</v>
      </c>
      <c r="J77" s="1607">
        <f t="shared" si="8"/>
        <v>878.49</v>
      </c>
      <c r="K77" s="2069">
        <f t="shared" ca="1" si="5"/>
        <v>2.3251342810108033E-4</v>
      </c>
      <c r="L77" s="1570">
        <f t="shared" si="6"/>
        <v>2.2214888823141168E-2</v>
      </c>
      <c r="M77" s="1826"/>
      <c r="N77" s="832"/>
      <c r="O77" s="832"/>
      <c r="Q77" s="832"/>
      <c r="R77" s="832"/>
      <c r="S77" s="832"/>
      <c r="T77" s="832"/>
      <c r="U77" s="832"/>
      <c r="V77" s="832"/>
      <c r="W77" s="832"/>
      <c r="X77" s="832"/>
    </row>
    <row r="78" spans="1:24" s="812" customFormat="1" ht="39.950000000000003" customHeight="1" x14ac:dyDescent="0.15">
      <c r="A78" s="2072">
        <f ca="1">Orçamento_Não_Deson!A78</f>
        <v>2.0499999999999989</v>
      </c>
      <c r="B78" s="833">
        <f>Orçamento_Não_Deson!B78</f>
        <v>98527</v>
      </c>
      <c r="C78" s="2" t="str">
        <f>VLOOKUP($B78,[2]BOLETIM_SEL!$A:$H,2,0)</f>
        <v>SINAPI</v>
      </c>
      <c r="D78" s="315" t="str">
        <f>VLOOKUP($B78,[2]BOLETIM_SEL!$A:$H,4,0)</f>
        <v>Remoção de raízes remanescentes de tronco de árvore com diâmetro maior ou igual a 0,40 m e menor que 0,60 m. AF_05/2018</v>
      </c>
      <c r="E78" s="2">
        <f>Orçamento_Não_Deson!E78</f>
        <v>0</v>
      </c>
      <c r="F78" s="2" t="str">
        <f>VLOOKUP($B78,[2]BOLETIM_SEL!$A:$H,6,0)</f>
        <v>UN</v>
      </c>
      <c r="G78" s="1407">
        <f>VLOOKUP($B78,[2]BOLETIM_SEL!$A:$H,7,0)</f>
        <v>163.97</v>
      </c>
      <c r="H78" s="1608">
        <f>Orçamento_Não_Deson!H78</f>
        <v>1</v>
      </c>
      <c r="I78" s="876">
        <f t="shared" si="7"/>
        <v>210.16</v>
      </c>
      <c r="J78" s="1607">
        <f t="shared" si="8"/>
        <v>210.16</v>
      </c>
      <c r="K78" s="2069">
        <f t="shared" ca="1" si="5"/>
        <v>5.5623879668206854E-5</v>
      </c>
      <c r="L78" s="1570">
        <f t="shared" si="6"/>
        <v>5.314438451287264E-3</v>
      </c>
      <c r="M78" s="1826"/>
      <c r="N78" s="832"/>
      <c r="O78" s="832"/>
      <c r="Q78" s="832"/>
      <c r="R78" s="832"/>
      <c r="S78" s="832"/>
      <c r="T78" s="832"/>
      <c r="U78" s="832"/>
      <c r="V78" s="832"/>
      <c r="W78" s="832"/>
      <c r="X78" s="832"/>
    </row>
    <row r="79" spans="1:24" s="812" customFormat="1" ht="30" hidden="1" customHeight="1" x14ac:dyDescent="0.15">
      <c r="A79" s="2072">
        <f ca="1">Orçamento_Não_Deson!A79</f>
        <v>2.0499999999999989</v>
      </c>
      <c r="B79" s="833">
        <f>Orçamento_Não_Deson!B79</f>
        <v>98528</v>
      </c>
      <c r="C79" s="2" t="str">
        <f>VLOOKUP($B79,[2]BOLETIM_SEL!$A:$H,2,0)</f>
        <v>SINAPI</v>
      </c>
      <c r="D79" s="315" t="str">
        <f>VLOOKUP($B79,[2]BOLETIM_SEL!$A:$H,4,0)</f>
        <v>Remoção de raízes remanescentes de tronco de árvore com diâmetro maior ou igual a 0,60 m. AF_05/2018</v>
      </c>
      <c r="E79" s="2">
        <f>Orçamento_Não_Deson!E79</f>
        <v>0</v>
      </c>
      <c r="F79" s="2" t="str">
        <f>VLOOKUP($B79,[2]BOLETIM_SEL!$A:$H,6,0)</f>
        <v>UN</v>
      </c>
      <c r="G79" s="1407">
        <f>VLOOKUP($B79,[2]BOLETIM_SEL!$A:$H,7,0)</f>
        <v>239.78</v>
      </c>
      <c r="H79" s="1608">
        <f>Orçamento_Não_Deson!H79</f>
        <v>0</v>
      </c>
      <c r="I79" s="876">
        <f t="shared" si="7"/>
        <v>307.32</v>
      </c>
      <c r="J79" s="1607">
        <f t="shared" si="8"/>
        <v>0</v>
      </c>
      <c r="K79" s="2069">
        <f t="shared" ca="1" si="5"/>
        <v>0</v>
      </c>
      <c r="L79" s="1570">
        <f t="shared" si="6"/>
        <v>0</v>
      </c>
      <c r="M79" s="1826"/>
      <c r="N79" s="832"/>
      <c r="O79" s="832"/>
      <c r="Q79" s="832"/>
      <c r="R79" s="832"/>
      <c r="S79" s="832"/>
      <c r="T79" s="832"/>
      <c r="U79" s="832"/>
      <c r="V79" s="832"/>
      <c r="W79" s="832"/>
      <c r="X79" s="832"/>
    </row>
    <row r="80" spans="1:24" s="812" customFormat="1" ht="39.950000000000003" customHeight="1" x14ac:dyDescent="0.15">
      <c r="A80" s="2072">
        <f ca="1">Orçamento_Não_Deson!A80</f>
        <v>2.0599999999999987</v>
      </c>
      <c r="B80" s="833">
        <f>Orçamento_Não_Deson!B80</f>
        <v>98529</v>
      </c>
      <c r="C80" s="2" t="str">
        <f>VLOOKUP($B80,[2]BOLETIM_SEL!$A:$H,2,0)</f>
        <v>SINAPI</v>
      </c>
      <c r="D80" s="315" t="str">
        <f>VLOOKUP($B80,[2]BOLETIM_SEL!$A:$H,4,0)</f>
        <v>Corte raso e recorte de árvore com diâmetro nominal de tronco maior ou igual a 0,20 m e menor que 0,40 m. AF_05/2018</v>
      </c>
      <c r="E80" s="2">
        <f>Orçamento_Não_Deson!E80</f>
        <v>0</v>
      </c>
      <c r="F80" s="2" t="str">
        <f>VLOOKUP($B80,[2]BOLETIM_SEL!$A:$H,6,0)</f>
        <v>UN</v>
      </c>
      <c r="G80" s="1407">
        <f>VLOOKUP($B80,[2]BOLETIM_SEL!$A:$H,7,0)</f>
        <v>57.01</v>
      </c>
      <c r="H80" s="1608">
        <f>Orçamento_Não_Deson!H80</f>
        <v>9</v>
      </c>
      <c r="I80" s="876">
        <f t="shared" si="7"/>
        <v>73.06</v>
      </c>
      <c r="J80" s="1607">
        <f t="shared" si="8"/>
        <v>657.54</v>
      </c>
      <c r="K80" s="2069">
        <f t="shared" ca="1" si="5"/>
        <v>1.740337163924283E-4</v>
      </c>
      <c r="L80" s="1570">
        <f t="shared" si="6"/>
        <v>1.6627597350872797E-2</v>
      </c>
      <c r="M80" s="1826"/>
      <c r="N80" s="832"/>
      <c r="O80" s="832"/>
      <c r="Q80" s="832"/>
      <c r="R80" s="832"/>
      <c r="S80" s="832"/>
      <c r="T80" s="832"/>
      <c r="U80" s="832"/>
      <c r="V80" s="832"/>
      <c r="W80" s="832"/>
      <c r="X80" s="832"/>
    </row>
    <row r="81" spans="1:24" s="812" customFormat="1" ht="39.950000000000003" customHeight="1" x14ac:dyDescent="0.15">
      <c r="A81" s="2072">
        <f ca="1">Orçamento_Não_Deson!A81</f>
        <v>2.0699999999999985</v>
      </c>
      <c r="B81" s="833">
        <f>Orçamento_Não_Deson!B81</f>
        <v>98530</v>
      </c>
      <c r="C81" s="2" t="str">
        <f>VLOOKUP($B81,[2]BOLETIM_SEL!$A:$H,2,0)</f>
        <v>SINAPI</v>
      </c>
      <c r="D81" s="315" t="str">
        <f>VLOOKUP($B81,[2]BOLETIM_SEL!$A:$H,4,0)</f>
        <v>Corte raso e recorte de árvore com diâmetro nominal de tronco maior ou igual a 0,40 m e menor que 0,60 m. AF_05/2018</v>
      </c>
      <c r="E81" s="2">
        <f>Orçamento_Não_Deson!E81</f>
        <v>0</v>
      </c>
      <c r="F81" s="2" t="str">
        <f>VLOOKUP($B81,[2]BOLETIM_SEL!$A:$H,6,0)</f>
        <v>UN</v>
      </c>
      <c r="G81" s="1407">
        <f>VLOOKUP($B81,[2]BOLETIM_SEL!$A:$H,7,0)</f>
        <v>101.56</v>
      </c>
      <c r="H81" s="1608">
        <f>Orçamento_Não_Deson!H81</f>
        <v>1</v>
      </c>
      <c r="I81" s="876">
        <f t="shared" si="7"/>
        <v>130.16</v>
      </c>
      <c r="J81" s="1607">
        <f t="shared" si="8"/>
        <v>130.16</v>
      </c>
      <c r="K81" s="2069">
        <f t="shared" ca="1" si="5"/>
        <v>3.4449962778900856E-5</v>
      </c>
      <c r="L81" s="1570">
        <f t="shared" si="6"/>
        <v>3.2914318082391996E-3</v>
      </c>
      <c r="M81" s="1826"/>
      <c r="N81" s="832"/>
      <c r="O81" s="832"/>
      <c r="Q81" s="832"/>
      <c r="R81" s="832"/>
      <c r="S81" s="832"/>
      <c r="T81" s="832"/>
      <c r="U81" s="832"/>
      <c r="V81" s="832"/>
      <c r="W81" s="832"/>
      <c r="X81" s="832"/>
    </row>
    <row r="82" spans="1:24" s="812" customFormat="1" ht="30" hidden="1" customHeight="1" x14ac:dyDescent="0.15">
      <c r="A82" s="2072">
        <f ca="1">Orçamento_Não_Deson!A82</f>
        <v>2.0699999999999985</v>
      </c>
      <c r="B82" s="833">
        <f>Orçamento_Não_Deson!B82</f>
        <v>98531</v>
      </c>
      <c r="C82" s="2" t="str">
        <f>VLOOKUP($B82,[2]BOLETIM_SEL!$A:$H,2,0)</f>
        <v>SINAPI</v>
      </c>
      <c r="D82" s="315" t="str">
        <f>VLOOKUP($B82,[2]BOLETIM_SEL!$A:$H,4,0)</f>
        <v>Corte raso e recorte de árvore com diâmetro nominal de tronco maior ou igual a 0,60 m. AF_05/2018</v>
      </c>
      <c r="E82" s="2">
        <f>Orçamento_Não_Deson!E82</f>
        <v>0</v>
      </c>
      <c r="F82" s="2" t="str">
        <f>VLOOKUP($B82,[2]BOLETIM_SEL!$A:$H,6,0)</f>
        <v>UN</v>
      </c>
      <c r="G82" s="1407">
        <f>VLOOKUP($B82,[2]BOLETIM_SEL!$A:$H,7,0)</f>
        <v>251.83</v>
      </c>
      <c r="H82" s="1608">
        <f>Orçamento_Não_Deson!H82</f>
        <v>0</v>
      </c>
      <c r="I82" s="876">
        <f t="shared" si="7"/>
        <v>322.77</v>
      </c>
      <c r="J82" s="1607">
        <f t="shared" si="8"/>
        <v>0</v>
      </c>
      <c r="K82" s="2069">
        <f t="shared" ca="1" si="5"/>
        <v>0</v>
      </c>
      <c r="L82" s="1570">
        <f t="shared" si="6"/>
        <v>0</v>
      </c>
      <c r="M82" s="1826"/>
      <c r="N82" s="832"/>
      <c r="O82" s="832"/>
      <c r="Q82" s="832"/>
      <c r="R82" s="832"/>
      <c r="S82" s="832"/>
      <c r="T82" s="832"/>
      <c r="U82" s="832"/>
      <c r="V82" s="832"/>
      <c r="W82" s="832"/>
      <c r="X82" s="832"/>
    </row>
    <row r="83" spans="1:24" s="812" customFormat="1" ht="30" hidden="1" customHeight="1" x14ac:dyDescent="0.15">
      <c r="A83" s="2072">
        <f ca="1">+Orçamento_Não_Deson!A83</f>
        <v>2.0699999999999985</v>
      </c>
      <c r="B83" s="833">
        <f>+Orçamento_Não_Deson!B83</f>
        <v>98532</v>
      </c>
      <c r="C83" s="2" t="str">
        <f>VLOOKUP($B83,[2]BOLETIM_SEL!$A:$H,2,0)</f>
        <v>SINAPI</v>
      </c>
      <c r="D83" s="315" t="str">
        <f>VLOOKUP($B83,[2]BOLETIM_SEL!$A:$H,4,0)</f>
        <v>Poda em altura de árvore com diâmetro nominal de tronco menor que 0,20 m. AF_05/2018</v>
      </c>
      <c r="E83" s="2">
        <f>+Orçamento_Não_Deson!E83</f>
        <v>0</v>
      </c>
      <c r="F83" s="2" t="str">
        <f>VLOOKUP($B83,[2]BOLETIM_SEL!$A:$H,6,0)</f>
        <v>UN</v>
      </c>
      <c r="G83" s="1407">
        <f>VLOOKUP($B83,[2]BOLETIM_SEL!$A:$H,7,0)</f>
        <v>109.33</v>
      </c>
      <c r="H83" s="1608">
        <f>+Orçamento_Não_Deson!H83</f>
        <v>0</v>
      </c>
      <c r="I83" s="876">
        <f t="shared" si="7"/>
        <v>140.12</v>
      </c>
      <c r="J83" s="1607">
        <f t="shared" si="8"/>
        <v>0</v>
      </c>
      <c r="K83" s="2069">
        <f t="shared" ca="1" si="5"/>
        <v>0</v>
      </c>
      <c r="L83" s="1570">
        <f t="shared" si="6"/>
        <v>0</v>
      </c>
      <c r="M83" s="1826"/>
      <c r="N83" s="832"/>
      <c r="O83" s="832"/>
      <c r="Q83" s="832"/>
      <c r="R83" s="832"/>
      <c r="S83" s="832"/>
      <c r="T83" s="832"/>
      <c r="U83" s="832"/>
      <c r="V83" s="832"/>
      <c r="W83" s="832"/>
      <c r="X83" s="832"/>
    </row>
    <row r="84" spans="1:24" s="812" customFormat="1" ht="30" customHeight="1" x14ac:dyDescent="0.15">
      <c r="A84" s="2072">
        <f ca="1">Orçamento_Não_Deson!A84</f>
        <v>2.0799999999999983</v>
      </c>
      <c r="B84" s="833">
        <f>Orçamento_Não_Deson!B84</f>
        <v>98533</v>
      </c>
      <c r="C84" s="2" t="str">
        <f>VLOOKUP($B84,[2]BOLETIM_SEL!$A:$H,2,0)</f>
        <v>SINAPI</v>
      </c>
      <c r="D84" s="315" t="str">
        <f>VLOOKUP($B84,[2]BOLETIM_SEL!$A:$H,4,0)</f>
        <v>Poda em altura de árvore com diâmetro nominal de tronco maior ou igual a 0,20 m e menor que 0,40 m. AF_05/2018</v>
      </c>
      <c r="E84" s="2">
        <f>Orçamento_Não_Deson!E84</f>
        <v>0</v>
      </c>
      <c r="F84" s="2" t="str">
        <f>VLOOKUP($B84,[2]BOLETIM_SEL!$A:$H,6,0)</f>
        <v>UN</v>
      </c>
      <c r="G84" s="1407">
        <f>VLOOKUP($B84,[2]BOLETIM_SEL!$A:$H,7,0)</f>
        <v>296.91000000000003</v>
      </c>
      <c r="H84" s="1608">
        <f>Orçamento_Não_Deson!H84</f>
        <v>9</v>
      </c>
      <c r="I84" s="876">
        <f t="shared" si="7"/>
        <v>380.54</v>
      </c>
      <c r="J84" s="1607">
        <f t="shared" si="8"/>
        <v>3424.86</v>
      </c>
      <c r="K84" s="2069">
        <f t="shared" ca="1" si="5"/>
        <v>9.0647126246885671E-4</v>
      </c>
      <c r="L84" s="1570">
        <f t="shared" si="6"/>
        <v>8.6606431643869899E-2</v>
      </c>
      <c r="M84" s="1826"/>
      <c r="N84" s="832"/>
      <c r="O84" s="832"/>
      <c r="Q84" s="832"/>
      <c r="R84" s="832"/>
      <c r="S84" s="832"/>
      <c r="T84" s="832"/>
      <c r="U84" s="832"/>
      <c r="V84" s="832"/>
      <c r="W84" s="832"/>
      <c r="X84" s="832"/>
    </row>
    <row r="85" spans="1:24" s="812" customFormat="1" ht="30" customHeight="1" x14ac:dyDescent="0.15">
      <c r="A85" s="2072">
        <f ca="1">Orçamento_Não_Deson!A85</f>
        <v>2.0899999999999981</v>
      </c>
      <c r="B85" s="833">
        <f>Orçamento_Não_Deson!B85</f>
        <v>98534</v>
      </c>
      <c r="C85" s="2" t="str">
        <f>VLOOKUP($B85,[2]BOLETIM_SEL!$A:$H,2,0)</f>
        <v>SINAPI</v>
      </c>
      <c r="D85" s="315" t="str">
        <f>VLOOKUP($B85,[2]BOLETIM_SEL!$A:$H,4,0)</f>
        <v>Poda em altura de árvore com diâmetro nominal de tronco maior ou igual a 0,40 m e menor que 0,60 m. AF_05/2018</v>
      </c>
      <c r="E85" s="2">
        <f>Orçamento_Não_Deson!E85</f>
        <v>0</v>
      </c>
      <c r="F85" s="2" t="str">
        <f>VLOOKUP($B85,[2]BOLETIM_SEL!$A:$H,6,0)</f>
        <v>UN</v>
      </c>
      <c r="G85" s="1407">
        <f>VLOOKUP($B85,[2]BOLETIM_SEL!$A:$H,7,0)</f>
        <v>763.67</v>
      </c>
      <c r="H85" s="1608">
        <f>Orçamento_Não_Deson!H85</f>
        <v>1</v>
      </c>
      <c r="I85" s="876">
        <f t="shared" si="7"/>
        <v>978.79</v>
      </c>
      <c r="J85" s="1607">
        <f t="shared" si="8"/>
        <v>978.79</v>
      </c>
      <c r="K85" s="2069">
        <f t="shared" ca="1" si="5"/>
        <v>2.5906022640104768E-4</v>
      </c>
      <c r="L85" s="1570">
        <f t="shared" si="6"/>
        <v>2.475123340186268E-2</v>
      </c>
      <c r="M85" s="1826"/>
      <c r="N85" s="832"/>
      <c r="O85" s="832"/>
      <c r="Q85" s="832"/>
      <c r="R85" s="832"/>
      <c r="S85" s="832"/>
      <c r="T85" s="832"/>
      <c r="U85" s="832"/>
      <c r="V85" s="832"/>
      <c r="W85" s="832"/>
      <c r="X85" s="832"/>
    </row>
    <row r="86" spans="1:24" s="812" customFormat="1" ht="30" hidden="1" customHeight="1" x14ac:dyDescent="0.15">
      <c r="A86" s="2072">
        <f ca="1">Orçamento_Não_Deson!A86</f>
        <v>2.0899999999999981</v>
      </c>
      <c r="B86" s="833">
        <f>Orçamento_Não_Deson!B86</f>
        <v>98535</v>
      </c>
      <c r="C86" s="2" t="str">
        <f>VLOOKUP($B86,[2]BOLETIM_SEL!$A:$H,2,0)</f>
        <v>SINAPI</v>
      </c>
      <c r="D86" s="315" t="str">
        <f>VLOOKUP($B86,[2]BOLETIM_SEL!$A:$H,4,0)</f>
        <v>Poda em altura de árvore com diâmetro nominal de tronco maior ou igual a 0,60 m. AF_05/2018</v>
      </c>
      <c r="E86" s="2">
        <f>Orçamento_Não_Deson!E86</f>
        <v>0</v>
      </c>
      <c r="F86" s="2" t="str">
        <f>VLOOKUP($B86,[2]BOLETIM_SEL!$A:$H,6,0)</f>
        <v>UN</v>
      </c>
      <c r="G86" s="1407">
        <f>VLOOKUP($B86,[2]BOLETIM_SEL!$A:$H,7,0)</f>
        <v>1203.58</v>
      </c>
      <c r="H86" s="1608">
        <f>Orçamento_Não_Deson!H86</f>
        <v>0</v>
      </c>
      <c r="I86" s="876">
        <f t="shared" si="7"/>
        <v>1542.62</v>
      </c>
      <c r="J86" s="1607">
        <f t="shared" si="8"/>
        <v>0</v>
      </c>
      <c r="K86" s="2069">
        <f t="shared" ca="1" si="5"/>
        <v>0</v>
      </c>
      <c r="L86" s="1570">
        <f t="shared" si="6"/>
        <v>0</v>
      </c>
      <c r="M86" s="1826"/>
      <c r="N86" s="832"/>
      <c r="O86" s="832"/>
      <c r="Q86" s="832"/>
      <c r="R86" s="832"/>
      <c r="S86" s="832"/>
      <c r="T86" s="832"/>
      <c r="U86" s="832"/>
      <c r="V86" s="832"/>
      <c r="W86" s="832"/>
      <c r="X86" s="832"/>
    </row>
    <row r="87" spans="1:24" s="812" customFormat="1" ht="30" hidden="1" customHeight="1" x14ac:dyDescent="0.15">
      <c r="A87" s="2072">
        <f ca="1">+Orçamento_Não_Deson!A87</f>
        <v>2.0899999999999981</v>
      </c>
      <c r="B87" s="833" t="str">
        <f>+Orçamento_Não_Deson!B87</f>
        <v>ST/0020</v>
      </c>
      <c r="C87" s="2" t="str">
        <f>VLOOKUP($B87,[2]BOLETIM_SEL!$A:$H,2,0)</f>
        <v>COMPOSIÇÃO</v>
      </c>
      <c r="D87" s="315" t="str">
        <f>VLOOKUP($B87,[2]BOLETIM_SEL!$A:$H,4,0)</f>
        <v>Carga manual, manobra e descarga de entulho em caminhão basculante 6m3 (REF. SICRO COD. 72897)</v>
      </c>
      <c r="E87" s="2">
        <f>+Orçamento_Não_Deson!E87</f>
        <v>0</v>
      </c>
      <c r="F87" s="2" t="str">
        <f>VLOOKUP($B87,[2]BOLETIM_SEL!$A:$H,6,0)</f>
        <v>M3</v>
      </c>
      <c r="G87" s="1407">
        <f>VLOOKUP($B87,[2]BOLETIM_SEL!$A:$H,7,0)</f>
        <v>26.48</v>
      </c>
      <c r="H87" s="1608">
        <f>+Orçamento_Não_Deson!H87</f>
        <v>0</v>
      </c>
      <c r="I87" s="876">
        <f t="shared" si="7"/>
        <v>33.93</v>
      </c>
      <c r="J87" s="1607">
        <f t="shared" si="8"/>
        <v>0</v>
      </c>
      <c r="K87" s="2069">
        <f t="shared" ca="1" si="5"/>
        <v>0</v>
      </c>
      <c r="L87" s="1570">
        <f t="shared" si="6"/>
        <v>0</v>
      </c>
      <c r="M87" s="1826"/>
      <c r="N87" s="832"/>
      <c r="O87" s="832"/>
      <c r="Q87" s="832"/>
      <c r="R87" s="832"/>
      <c r="S87" s="832"/>
      <c r="T87" s="832"/>
      <c r="U87" s="832"/>
      <c r="V87" s="832"/>
      <c r="W87" s="832"/>
      <c r="X87" s="832"/>
    </row>
    <row r="88" spans="1:24" s="812" customFormat="1" ht="39.950000000000003" customHeight="1" x14ac:dyDescent="0.15">
      <c r="A88" s="2072">
        <f ca="1">Orçamento_Não_Deson!A88</f>
        <v>2.0999999999999979</v>
      </c>
      <c r="B88" s="833">
        <f>Orçamento_Não_Deson!B88</f>
        <v>100983</v>
      </c>
      <c r="C88" s="2" t="str">
        <f>VLOOKUP($B88,[2]BOLETIM_SEL!$A:$H,2,0)</f>
        <v>SINAPI</v>
      </c>
      <c r="D88" s="315" t="str">
        <f>VLOOKUP($B88,[2]BOLETIM_SEL!$A:$H,4,0)</f>
        <v>Carga, manobra e descarga de entulho em caminhão basculante 14 m3 - carga com escavadeira hidráulica  (capacidade da caçamba: 0,80 m3 / potência: 111 HP) e descarga livre (unidade: m3). AF_07/2020</v>
      </c>
      <c r="E88" s="2">
        <f>Orçamento_Não_Deson!E88</f>
        <v>0</v>
      </c>
      <c r="F88" s="2" t="str">
        <f>VLOOKUP($B88,[2]BOLETIM_SEL!$A:$H,6,0)</f>
        <v>M3</v>
      </c>
      <c r="G88" s="1407">
        <f>VLOOKUP($B88,[2]BOLETIM_SEL!$A:$H,7,0)</f>
        <v>8.61</v>
      </c>
      <c r="H88" s="1608">
        <f>Orçamento_Não_Deson!H88</f>
        <v>98.51</v>
      </c>
      <c r="I88" s="876">
        <f t="shared" si="7"/>
        <v>11.03</v>
      </c>
      <c r="J88" s="1607">
        <f>TRUNC(H88*I88,2)</f>
        <v>1086.56</v>
      </c>
      <c r="K88" s="2069">
        <f t="shared" ca="1" si="5"/>
        <v>2.8758413919055406E-4</v>
      </c>
      <c r="L88" s="1570">
        <f t="shared" si="6"/>
        <v>2.7476476225878801E-2</v>
      </c>
      <c r="M88" s="1826"/>
      <c r="N88" s="832"/>
      <c r="O88" s="832"/>
      <c r="Q88" s="832"/>
      <c r="R88" s="832"/>
      <c r="S88" s="832"/>
      <c r="T88" s="832"/>
      <c r="U88" s="832"/>
      <c r="V88" s="832"/>
      <c r="W88" s="832"/>
      <c r="X88" s="832"/>
    </row>
    <row r="89" spans="1:24" s="812" customFormat="1" ht="39.950000000000003" hidden="1" customHeight="1" x14ac:dyDescent="0.15">
      <c r="A89" s="2072">
        <f ca="1">+Orçamento_Não_Deson!A89</f>
        <v>2.0999999999999979</v>
      </c>
      <c r="B89" s="833">
        <f>+Orçamento_Não_Deson!B89</f>
        <v>100983</v>
      </c>
      <c r="C89" s="2" t="str">
        <f>VLOOKUP($B89,[2]BOLETIM_SEL!$A:$H,2,0)</f>
        <v>SINAPI</v>
      </c>
      <c r="D89" s="315" t="str">
        <f>VLOOKUP($B89,[2]BOLETIM_SEL!$A:$H,4,0)</f>
        <v>Carga, manobra e descarga de entulho em caminhão basculante 14 m3 - carga com escavadeira hidráulica  (capacidade da caçamba: 0,80 m3 / potência: 111 HP) e descarga livre (unidade: m3). AF_07/2020</v>
      </c>
      <c r="E89" s="2">
        <f>+Orçamento_Não_Deson!E89</f>
        <v>0</v>
      </c>
      <c r="F89" s="2" t="str">
        <f>VLOOKUP($B89,[2]BOLETIM_SEL!$A:$H,6,0)</f>
        <v>M3</v>
      </c>
      <c r="G89" s="1407">
        <f>VLOOKUP($B89,[2]BOLETIM_SEL!$A:$H,7,0)</f>
        <v>8.61</v>
      </c>
      <c r="H89" s="1608">
        <f>+Orçamento_Não_Deson!H89</f>
        <v>0</v>
      </c>
      <c r="I89" s="876">
        <f t="shared" si="7"/>
        <v>11.03</v>
      </c>
      <c r="J89" s="1607">
        <f>TRUNC(H89*I89,2)</f>
        <v>0</v>
      </c>
      <c r="K89" s="2069">
        <f t="shared" ca="1" si="5"/>
        <v>0</v>
      </c>
      <c r="L89" s="1570">
        <f t="shared" si="6"/>
        <v>0</v>
      </c>
      <c r="M89" s="1826"/>
      <c r="N89" s="832"/>
      <c r="O89" s="832"/>
      <c r="Q89" s="832"/>
      <c r="R89" s="832"/>
      <c r="S89" s="832"/>
      <c r="T89" s="832"/>
      <c r="U89" s="832"/>
      <c r="V89" s="832"/>
      <c r="W89" s="832"/>
      <c r="X89" s="832"/>
    </row>
    <row r="90" spans="1:24" s="812" customFormat="1" ht="39.950000000000003" customHeight="1" x14ac:dyDescent="0.15">
      <c r="A90" s="2072">
        <f ca="1">Orçamento_Não_Deson!A90</f>
        <v>2.1099999999999977</v>
      </c>
      <c r="B90" s="833" t="str">
        <f>Orçamento_Não_Deson!B90</f>
        <v>ST/0070</v>
      </c>
      <c r="C90" s="2" t="str">
        <f>VLOOKUP($B90,[2]BOLETIM_SEL!$A:$H,2,0)</f>
        <v>COMPOSIÇÃO</v>
      </c>
      <c r="D90" s="315" t="str">
        <f>VLOOKUP($B90,[2]BOLETIM_SEL!$A:$H,4,0)</f>
        <v>Carga, manobra e descarga de materiais diversos em caminhão carroceria - carga e descaga manuais (REF. SICRO COD. 5915474)</v>
      </c>
      <c r="E90" s="2">
        <f>Orçamento_Não_Deson!E90</f>
        <v>0</v>
      </c>
      <c r="F90" s="2" t="str">
        <f>VLOOKUP($B90,[2]BOLETIM_SEL!$A:$H,6,0)</f>
        <v>T</v>
      </c>
      <c r="G90" s="1407">
        <f>VLOOKUP($B90,[2]BOLETIM_SEL!$A:$H,7,0)</f>
        <v>29.25</v>
      </c>
      <c r="H90" s="1608">
        <f>Orçamento_Não_Deson!H90</f>
        <v>10</v>
      </c>
      <c r="I90" s="876">
        <f t="shared" si="7"/>
        <v>37.479999999999997</v>
      </c>
      <c r="J90" s="1607">
        <f>TRUNC(H90*I90,2)</f>
        <v>374.8</v>
      </c>
      <c r="K90" s="2069">
        <f t="shared" ca="1" si="5"/>
        <v>9.9199800626398603E-5</v>
      </c>
      <c r="L90" s="1570">
        <f t="shared" si="6"/>
        <v>9.4777861226801787E-3</v>
      </c>
      <c r="M90" s="1826"/>
      <c r="N90" s="832"/>
      <c r="O90" s="832"/>
      <c r="Q90" s="832"/>
      <c r="R90" s="832"/>
      <c r="S90" s="832"/>
      <c r="T90" s="832"/>
      <c r="U90" s="832"/>
      <c r="V90" s="832"/>
      <c r="W90" s="832"/>
      <c r="X90" s="832"/>
    </row>
    <row r="91" spans="1:24" s="812" customFormat="1" ht="24.95" hidden="1" customHeight="1" x14ac:dyDescent="0.15">
      <c r="A91" s="2072"/>
      <c r="B91" s="833"/>
      <c r="C91" s="2"/>
      <c r="D91" s="1449" t="s">
        <v>1809</v>
      </c>
      <c r="E91" s="1442"/>
      <c r="F91" s="1442"/>
      <c r="G91" s="1815"/>
      <c r="H91" s="1442"/>
      <c r="I91" s="1442"/>
      <c r="J91" s="1557" t="str">
        <f>IF(J92=0,"-","")</f>
        <v>-</v>
      </c>
      <c r="K91" s="1936"/>
      <c r="L91" s="1570"/>
      <c r="M91" s="1967" t="str">
        <f>+Orçamento_Não_Deson!M91</f>
        <v>Depósito provisório</v>
      </c>
      <c r="N91" s="832"/>
      <c r="O91" s="832"/>
      <c r="Q91" s="832"/>
      <c r="R91" s="832"/>
      <c r="S91" s="832"/>
      <c r="T91" s="832"/>
      <c r="U91" s="832"/>
      <c r="V91" s="832"/>
      <c r="W91" s="832"/>
      <c r="X91" s="832"/>
    </row>
    <row r="92" spans="1:24" s="812" customFormat="1" ht="30" hidden="1" customHeight="1" x14ac:dyDescent="0.15">
      <c r="A92" s="2072">
        <f ca="1">+Orçamento_Não_Deson!A92</f>
        <v>2.1099999999999977</v>
      </c>
      <c r="B92" s="833">
        <f>+Orçamento_Não_Deson!B92</f>
        <v>100938</v>
      </c>
      <c r="C92" s="2" t="str">
        <f>VLOOKUP($B92,[2]BOLETIM_SEL!$A:$H,2,0)</f>
        <v>SINAPI</v>
      </c>
      <c r="D92" s="315" t="str">
        <f>VLOOKUP($B92,[2]BOLETIM_SEL!$A:$H,4,0)</f>
        <v>Transporte com caminhão basculante de 10 m3, em via interna (dentro do canteiro - unidade: m3xkm). AF_07/2020</v>
      </c>
      <c r="E92" s="2">
        <f>+Orçamento_Não_Deson!E92</f>
        <v>1</v>
      </c>
      <c r="F92" s="2" t="str">
        <f>VLOOKUP($B92,[2]BOLETIM_SEL!$A:$H,6,0)</f>
        <v>M3XKM</v>
      </c>
      <c r="G92" s="1407">
        <f>VLOOKUP($B92,[2]BOLETIM_SEL!$A:$H,7,0)</f>
        <v>7.02</v>
      </c>
      <c r="H92" s="1608">
        <f>+Orçamento_Não_Deson!H92</f>
        <v>0</v>
      </c>
      <c r="I92" s="876">
        <f>TRUNC(G92*(1+$J$5),2)</f>
        <v>8.99</v>
      </c>
      <c r="J92" s="1607">
        <f>TRUNC(H92*I92,2)</f>
        <v>0</v>
      </c>
      <c r="K92" s="2069">
        <f ca="1">J92/J$930</f>
        <v>0</v>
      </c>
      <c r="L92" s="1570">
        <f>J92/$J$63</f>
        <v>0</v>
      </c>
      <c r="M92" s="1967"/>
      <c r="N92" s="832"/>
      <c r="O92" s="832"/>
      <c r="Q92" s="832"/>
      <c r="R92" s="832"/>
      <c r="S92" s="832"/>
      <c r="T92" s="832"/>
      <c r="U92" s="832"/>
      <c r="V92" s="832"/>
      <c r="W92" s="832"/>
      <c r="X92" s="832"/>
    </row>
    <row r="93" spans="1:24" s="812" customFormat="1" ht="24.95" customHeight="1" x14ac:dyDescent="0.15">
      <c r="A93" s="2072"/>
      <c r="B93" s="833"/>
      <c r="C93" s="2"/>
      <c r="D93" s="1449" t="s">
        <v>1849</v>
      </c>
      <c r="E93" s="1442"/>
      <c r="F93" s="1442"/>
      <c r="G93" s="1815"/>
      <c r="H93" s="1442"/>
      <c r="I93" s="1442"/>
      <c r="J93" s="1557" t="str">
        <f>IF(J94=0,"-","")</f>
        <v/>
      </c>
      <c r="K93" s="1936"/>
      <c r="L93" s="1570"/>
      <c r="M93" s="1967" t="str">
        <f>Orçamento_Não_Deson!M93</f>
        <v>Depósito de expurgo SEM reciclagem: 1</v>
      </c>
      <c r="N93" s="832"/>
      <c r="O93" s="832"/>
      <c r="Q93" s="832"/>
      <c r="R93" s="832"/>
      <c r="S93" s="832"/>
      <c r="T93" s="832"/>
      <c r="U93" s="832"/>
      <c r="V93" s="832"/>
      <c r="W93" s="832"/>
      <c r="X93" s="832"/>
    </row>
    <row r="94" spans="1:24" s="812" customFormat="1" ht="39.950000000000003" customHeight="1" x14ac:dyDescent="0.15">
      <c r="A94" s="2072">
        <f ca="1">Orçamento_Não_Deson!A94</f>
        <v>2.1199999999999974</v>
      </c>
      <c r="B94" s="833">
        <f>Orçamento_Não_Deson!B94</f>
        <v>95876</v>
      </c>
      <c r="C94" s="2" t="str">
        <f>VLOOKUP($B94,[2]BOLETIM_SEL!$A:$H,2,0)</f>
        <v>SINAPI</v>
      </c>
      <c r="D94" s="315" t="str">
        <f>VLOOKUP($B94,[2]BOLETIM_SEL!$A:$H,4,0)</f>
        <v>Transporte com caminhão basculante de 14 m3, em via urbana pavimentada, DMT até 30,00 km (unidade: m3xkm). AF_07/2020</v>
      </c>
      <c r="E94" s="2">
        <f>Orçamento_Não_Deson!E94</f>
        <v>8</v>
      </c>
      <c r="F94" s="2" t="str">
        <f>VLOOKUP($B94,[2]BOLETIM_SEL!$A:$H,6,0)</f>
        <v>M3XKM</v>
      </c>
      <c r="G94" s="1407">
        <f>VLOOKUP($B94,[2]BOLETIM_SEL!$A:$H,7,0)</f>
        <v>2.04</v>
      </c>
      <c r="H94" s="1608">
        <f>Orçamento_Não_Deson!H94</f>
        <v>788.08</v>
      </c>
      <c r="I94" s="876">
        <f>TRUNC(G94*(1+$J$5),2)</f>
        <v>2.61</v>
      </c>
      <c r="J94" s="1607">
        <f>TRUNC(H94*I94,2)</f>
        <v>2056.88</v>
      </c>
      <c r="K94" s="2069">
        <f ca="1">J94/J$930</f>
        <v>5.4440257714094651E-4</v>
      </c>
      <c r="L94" s="1570">
        <f>J94/$J$63</f>
        <v>5.2013523799408774E-2</v>
      </c>
      <c r="M94" s="1969">
        <f>Orçamento_Não_Deson!M94</f>
        <v>98.51</v>
      </c>
      <c r="N94" s="832"/>
      <c r="O94" s="832"/>
      <c r="Q94" s="832"/>
      <c r="R94" s="832"/>
      <c r="S94" s="832"/>
      <c r="T94" s="832"/>
      <c r="U94" s="832"/>
      <c r="V94" s="832"/>
      <c r="W94" s="832"/>
      <c r="X94" s="832"/>
    </row>
    <row r="95" spans="1:24" s="812" customFormat="1" ht="24.95" hidden="1" customHeight="1" x14ac:dyDescent="0.15">
      <c r="A95" s="2072"/>
      <c r="B95" s="833"/>
      <c r="C95" s="2"/>
      <c r="D95" s="1449" t="s">
        <v>1846</v>
      </c>
      <c r="E95" s="1442"/>
      <c r="F95" s="1442"/>
      <c r="G95" s="1815"/>
      <c r="H95" s="1442"/>
      <c r="I95" s="1442"/>
      <c r="J95" s="1557" t="str">
        <f>IF(J96=0,"-","")</f>
        <v>-</v>
      </c>
      <c r="K95" s="1936"/>
      <c r="L95" s="1570"/>
      <c r="M95" s="1967" t="str">
        <f>+Orçamento_Não_Deson!M95</f>
        <v>Definir depósito reciclável: 2, 3 ou 4</v>
      </c>
      <c r="N95" s="832"/>
      <c r="O95" s="832"/>
      <c r="Q95" s="832"/>
      <c r="R95" s="832"/>
      <c r="S95" s="832"/>
      <c r="T95" s="832"/>
      <c r="U95" s="832"/>
      <c r="V95" s="832"/>
      <c r="W95" s="832"/>
      <c r="X95" s="832"/>
    </row>
    <row r="96" spans="1:24" s="812" customFormat="1" ht="39.950000000000003" hidden="1" customHeight="1" x14ac:dyDescent="0.15">
      <c r="A96" s="2072">
        <f ca="1">+Orçamento_Não_Deson!A96</f>
        <v>2.1199999999999974</v>
      </c>
      <c r="B96" s="833">
        <f>+Orçamento_Não_Deson!B96</f>
        <v>95875</v>
      </c>
      <c r="C96" s="2" t="str">
        <f>VLOOKUP($B96,[2]BOLETIM_SEL!$A:$H,2,0)</f>
        <v>SINAPI</v>
      </c>
      <c r="D96" s="315" t="str">
        <f>VLOOKUP($B96,[2]BOLETIM_SEL!$A:$H,4,0)</f>
        <v>Transporte com caminhão basculante de 10 m3, em via urbana pavimentada, DMT até 30,00 km (unidade: m3xkm). AF_07/2020</v>
      </c>
      <c r="E96" s="2">
        <f>+Orçamento_Não_Deson!E96</f>
        <v>0</v>
      </c>
      <c r="F96" s="2" t="str">
        <f>VLOOKUP($B96,[2]BOLETIM_SEL!$A:$H,6,0)</f>
        <v>M3XKM</v>
      </c>
      <c r="G96" s="1407">
        <f>VLOOKUP($B96,[2]BOLETIM_SEL!$A:$H,7,0)</f>
        <v>2.33</v>
      </c>
      <c r="H96" s="1608">
        <f>+Orçamento_Não_Deson!H96</f>
        <v>0</v>
      </c>
      <c r="I96" s="876">
        <f>TRUNC(G96*(1+$J$5),2)</f>
        <v>2.98</v>
      </c>
      <c r="J96" s="1607">
        <f>TRUNC(H96*I96,2)</f>
        <v>0</v>
      </c>
      <c r="K96" s="2069">
        <f ca="1">J96/J$930</f>
        <v>0</v>
      </c>
      <c r="L96" s="1570">
        <f>J96/$J$63</f>
        <v>0</v>
      </c>
      <c r="M96" s="1969">
        <f>+Orçamento_Não_Deson!M96</f>
        <v>0</v>
      </c>
      <c r="N96" s="832"/>
      <c r="O96" s="832"/>
      <c r="Q96" s="832"/>
      <c r="R96" s="832"/>
      <c r="S96" s="832"/>
      <c r="T96" s="832"/>
      <c r="U96" s="832"/>
      <c r="V96" s="832"/>
      <c r="W96" s="832"/>
      <c r="X96" s="832"/>
    </row>
    <row r="97" spans="1:24" s="812" customFormat="1" ht="24.95" customHeight="1" x14ac:dyDescent="0.15">
      <c r="A97" s="2072"/>
      <c r="B97" s="833"/>
      <c r="C97" s="2"/>
      <c r="D97" s="1449" t="s">
        <v>1850</v>
      </c>
      <c r="E97" s="1442"/>
      <c r="F97" s="1442"/>
      <c r="G97" s="1815"/>
      <c r="H97" s="1442"/>
      <c r="I97" s="1442"/>
      <c r="J97" s="1557" t="str">
        <f>IF(J98=0,"-","")</f>
        <v/>
      </c>
      <c r="K97" s="1936"/>
      <c r="L97" s="1570"/>
      <c r="M97" s="1967" t="str">
        <f>Orçamento_Não_Deson!M97</f>
        <v xml:space="preserve">Definir depósito expurgo:1 </v>
      </c>
      <c r="N97" s="832"/>
      <c r="O97" s="832"/>
      <c r="Q97" s="832"/>
      <c r="R97" s="832"/>
      <c r="S97" s="832"/>
      <c r="T97" s="832"/>
      <c r="U97" s="832"/>
      <c r="V97" s="832"/>
      <c r="W97" s="832"/>
      <c r="X97" s="832"/>
    </row>
    <row r="98" spans="1:24" s="812" customFormat="1" ht="30" customHeight="1" x14ac:dyDescent="0.15">
      <c r="A98" s="2072">
        <f ca="1">Orçamento_Não_Deson!A98</f>
        <v>2.1299999999999972</v>
      </c>
      <c r="B98" s="833">
        <f>Orçamento_Não_Deson!B98</f>
        <v>100947</v>
      </c>
      <c r="C98" s="2" t="str">
        <f>VLOOKUP($B98,[2]BOLETIM_SEL!$A:$H,2,0)</f>
        <v>SINAPI</v>
      </c>
      <c r="D98" s="315" t="str">
        <f>VLOOKUP($B98,[2]BOLETIM_SEL!$A:$H,4,0)</f>
        <v>Transporte com caminhão carroceria 9t, em via urbana pavimentada, DMT até 30,00 km (unidade: txkm). AF_07/2020</v>
      </c>
      <c r="E98" s="2">
        <f>Orçamento_Não_Deson!E98</f>
        <v>8</v>
      </c>
      <c r="F98" s="2" t="str">
        <f>VLOOKUP($B98,[2]BOLETIM_SEL!$A:$H,6,0)</f>
        <v>TXKM</v>
      </c>
      <c r="G98" s="1407">
        <f>VLOOKUP($B98,[2]BOLETIM_SEL!$A:$H,7,0)</f>
        <v>2.08</v>
      </c>
      <c r="H98" s="1608">
        <f>Orçamento_Não_Deson!H98</f>
        <v>80</v>
      </c>
      <c r="I98" s="876">
        <f>TRUNC(G98*(1+$J$5),2)</f>
        <v>2.66</v>
      </c>
      <c r="J98" s="1607">
        <f>TRUNC(H98*I98,2)</f>
        <v>212.8</v>
      </c>
      <c r="K98" s="2069">
        <f ca="1">J98/J$930</f>
        <v>5.6322618925553956E-5</v>
      </c>
      <c r="L98" s="1570">
        <f>J98/$J$63</f>
        <v>5.3811976705078497E-3</v>
      </c>
      <c r="M98" s="4"/>
      <c r="N98" s="832"/>
      <c r="O98" s="832"/>
      <c r="Q98" s="832"/>
      <c r="R98" s="832"/>
      <c r="S98" s="832"/>
      <c r="T98" s="832"/>
      <c r="U98" s="832"/>
      <c r="V98" s="832"/>
      <c r="W98" s="832"/>
      <c r="X98" s="832"/>
    </row>
    <row r="99" spans="1:24" s="812" customFormat="1" ht="24.95" customHeight="1" x14ac:dyDescent="0.15">
      <c r="A99" s="2072"/>
      <c r="B99" s="833"/>
      <c r="C99" s="833"/>
      <c r="D99" s="834"/>
      <c r="E99" s="2"/>
      <c r="F99" s="833"/>
      <c r="G99" s="1814"/>
      <c r="H99" s="1"/>
      <c r="I99" s="876"/>
      <c r="J99" s="838" t="str">
        <f>IF(J63=0,0,"")</f>
        <v/>
      </c>
      <c r="K99" s="2069"/>
      <c r="L99" s="1570"/>
      <c r="M99" s="1826"/>
      <c r="N99" s="832"/>
      <c r="O99" s="832"/>
      <c r="Q99" s="832"/>
      <c r="R99" s="832"/>
      <c r="S99" s="832"/>
      <c r="T99" s="832"/>
      <c r="U99" s="832"/>
      <c r="V99" s="832"/>
      <c r="W99" s="832"/>
      <c r="X99" s="832"/>
    </row>
    <row r="100" spans="1:24" s="832" customFormat="1" ht="24.95" customHeight="1" x14ac:dyDescent="0.15">
      <c r="A100" s="2073">
        <f ca="1">IF(J100&gt;0,INT(A98)+1,IF(J100=0,INT(A98),0))</f>
        <v>3</v>
      </c>
      <c r="B100" s="1626"/>
      <c r="C100" s="1626"/>
      <c r="D100" s="1627" t="s">
        <v>742</v>
      </c>
      <c r="E100" s="1821"/>
      <c r="F100" s="1628"/>
      <c r="G100" s="1813" t="s">
        <v>645</v>
      </c>
      <c r="H100" s="1630"/>
      <c r="I100" s="1633" t="str">
        <f ca="1">CONCATENATE("SUB-TOTAL ",A100)</f>
        <v>SUB-TOTAL 3</v>
      </c>
      <c r="J100" s="1632">
        <f ca="1">SUM(J101:J181)</f>
        <v>143847.81</v>
      </c>
      <c r="K100" s="2070">
        <f t="shared" ref="K100:K131" ca="1" si="13">J100/J$930</f>
        <v>3.8072769670608499E-2</v>
      </c>
      <c r="L100" s="1605">
        <f t="shared" ref="L100:L153" ca="1" si="14">J100/J$100</f>
        <v>1</v>
      </c>
    </row>
    <row r="101" spans="1:24" s="812" customFormat="1" ht="30" hidden="1" customHeight="1" x14ac:dyDescent="0.15">
      <c r="A101" s="2072">
        <f ca="1">Orçamento_Não_Deson!A101</f>
        <v>3</v>
      </c>
      <c r="B101" s="833" t="str">
        <f>Orçamento_Não_Deson!B101</f>
        <v>DR/0050</v>
      </c>
      <c r="C101" s="2" t="str">
        <f>VLOOKUP($B101,[2]BOLETIM_SEL!$A:$H,2,0)</f>
        <v>COMPOSIÇÃO</v>
      </c>
      <c r="D101" s="315" t="str">
        <f>VLOOKUP($B101,[2]BOLETIM_SEL!$A:$H,4,0)</f>
        <v>Esgotamento de água com bomba submersa (REF. SICRO COD. 2003864)</v>
      </c>
      <c r="E101" s="2">
        <f>Orçamento_Não_Deson!E101</f>
        <v>0</v>
      </c>
      <c r="F101" s="2" t="str">
        <f>VLOOKUP($B101,[2]BOLETIM_SEL!$A:$H,6,0)</f>
        <v>H</v>
      </c>
      <c r="G101" s="1407">
        <f>VLOOKUP($B101,[2]BOLETIM_SEL!$A:$H,7,0)</f>
        <v>22.01</v>
      </c>
      <c r="H101" s="1608">
        <f>Orçamento_Não_Deson!H101</f>
        <v>0</v>
      </c>
      <c r="I101" s="876">
        <f t="shared" ref="I101:I154" si="15">TRUNC(G101*(1+$J$5),2)</f>
        <v>28.21</v>
      </c>
      <c r="J101" s="1607">
        <f t="shared" ref="J101:J154" si="16">TRUNC(H101*I101,2)</f>
        <v>0</v>
      </c>
      <c r="K101" s="2069">
        <f t="shared" ca="1" si="13"/>
        <v>0</v>
      </c>
      <c r="L101" s="1570">
        <f t="shared" ca="1" si="14"/>
        <v>0</v>
      </c>
      <c r="M101" s="1826"/>
      <c r="N101" s="832"/>
      <c r="O101" s="832"/>
      <c r="Q101" s="832"/>
      <c r="R101" s="832"/>
      <c r="S101" s="832"/>
      <c r="T101" s="832"/>
      <c r="U101" s="832"/>
      <c r="V101" s="832"/>
      <c r="W101" s="832"/>
      <c r="X101" s="832"/>
    </row>
    <row r="102" spans="1:24" s="812" customFormat="1" ht="30" hidden="1" customHeight="1" x14ac:dyDescent="0.15">
      <c r="A102" s="2072">
        <f ca="1">+Orçamento_Não_Deson!A102</f>
        <v>3</v>
      </c>
      <c r="B102" s="833" t="str">
        <f>+Orçamento_Não_Deson!B102</f>
        <v>DR/0040</v>
      </c>
      <c r="C102" s="2" t="str">
        <f>VLOOKUP($B102,[2]BOLETIM_SEL!$A:$H,2,0)</f>
        <v>COMPOSIÇÃO</v>
      </c>
      <c r="D102" s="315" t="str">
        <f>VLOOKUP($B102,[2]BOLETIM_SEL!$A:$H,4,0)</f>
        <v>Arrancamento e remoção de canalização, Ø ≤ 60 cm. Exclusive bota-fora</v>
      </c>
      <c r="E102" s="2">
        <f>+Orçamento_Não_Deson!E102</f>
        <v>0</v>
      </c>
      <c r="F102" s="2" t="str">
        <f>VLOOKUP($B102,[2]BOLETIM_SEL!$A:$H,6,0)</f>
        <v>M</v>
      </c>
      <c r="G102" s="1407">
        <f>VLOOKUP($B102,[2]BOLETIM_SEL!$A:$H,7,0)</f>
        <v>71.099999999999994</v>
      </c>
      <c r="H102" s="1608">
        <f>+Orçamento_Não_Deson!H102</f>
        <v>0</v>
      </c>
      <c r="I102" s="876">
        <f t="shared" si="15"/>
        <v>91.12</v>
      </c>
      <c r="J102" s="1607">
        <f t="shared" si="16"/>
        <v>0</v>
      </c>
      <c r="K102" s="2069">
        <f t="shared" ca="1" si="13"/>
        <v>0</v>
      </c>
      <c r="L102" s="1570">
        <f t="shared" ca="1" si="14"/>
        <v>0</v>
      </c>
      <c r="M102" s="1826"/>
      <c r="N102" s="832"/>
      <c r="O102" s="832"/>
      <c r="Q102" s="832"/>
      <c r="R102" s="832"/>
      <c r="S102" s="832"/>
      <c r="T102" s="832"/>
      <c r="U102" s="832"/>
      <c r="V102" s="832"/>
      <c r="W102" s="832"/>
      <c r="X102" s="832"/>
    </row>
    <row r="103" spans="1:24" s="812" customFormat="1" ht="30" hidden="1" customHeight="1" x14ac:dyDescent="0.15">
      <c r="A103" s="2072">
        <f ca="1">+Orçamento_Não_Deson!A103</f>
        <v>3</v>
      </c>
      <c r="B103" s="833" t="str">
        <f>+Orçamento_Não_Deson!B103</f>
        <v>DR/0045</v>
      </c>
      <c r="C103" s="2" t="str">
        <f>VLOOKUP($B103,[2]BOLETIM_SEL!$A:$H,2,0)</f>
        <v>COMPOSIÇÃO</v>
      </c>
      <c r="D103" s="315" t="str">
        <f>VLOOKUP($B103,[2]BOLETIM_SEL!$A:$H,4,0)</f>
        <v>Arrancamento e remoção de canalização, Ø &gt; 60 cm. Exclusive bota-fora</v>
      </c>
      <c r="E103" s="2">
        <f>+Orçamento_Não_Deson!E103</f>
        <v>0</v>
      </c>
      <c r="F103" s="2" t="str">
        <f>VLOOKUP($B103,[2]BOLETIM_SEL!$A:$H,6,0)</f>
        <v>M</v>
      </c>
      <c r="G103" s="1407">
        <f>VLOOKUP($B103,[2]BOLETIM_SEL!$A:$H,7,0)</f>
        <v>122.06</v>
      </c>
      <c r="H103" s="1608">
        <f>+Orçamento_Não_Deson!H103</f>
        <v>0</v>
      </c>
      <c r="I103" s="876">
        <f t="shared" si="15"/>
        <v>156.44</v>
      </c>
      <c r="J103" s="1607">
        <f t="shared" si="16"/>
        <v>0</v>
      </c>
      <c r="K103" s="2069">
        <f t="shared" ca="1" si="13"/>
        <v>0</v>
      </c>
      <c r="L103" s="1570">
        <f t="shared" ca="1" si="14"/>
        <v>0</v>
      </c>
      <c r="M103" s="1826"/>
      <c r="N103" s="1957" t="s">
        <v>1951</v>
      </c>
      <c r="O103" s="1648" t="s">
        <v>1977</v>
      </c>
      <c r="Q103" s="832"/>
      <c r="R103" s="832"/>
      <c r="S103" s="832"/>
      <c r="T103" s="832"/>
      <c r="U103" s="832"/>
      <c r="V103" s="832"/>
      <c r="W103" s="832"/>
      <c r="X103" s="832"/>
    </row>
    <row r="104" spans="1:24" s="812" customFormat="1" ht="50.1" hidden="1" customHeight="1" x14ac:dyDescent="0.15">
      <c r="A104" s="2072">
        <f ca="1">+Orçamento_Não_Deson!A104</f>
        <v>3</v>
      </c>
      <c r="B104" s="833">
        <f>+Orçamento_Não_Deson!B104</f>
        <v>90099</v>
      </c>
      <c r="C104" s="2" t="str">
        <f>VLOOKUP($B104,[2]BOLETIM_SEL!$A:$H,2,0)</f>
        <v>SINAPI</v>
      </c>
      <c r="D104" s="315" t="str">
        <f>VLOOKUP($B104,[2]BOLETIM_SEL!$A:$H,4,0)</f>
        <v>Escavação mecanizada de vala com profundidade até 1,50 m (média entre montante e jusante / uma composição por trecho), com retroescavadeira (capacidade da caçamba: 0,26 m3 / potência: 88 HP), largura menor que 0,80 m, em solo de 1a categoria, em locais com alto nível de interferência. AF_01/2015</v>
      </c>
      <c r="E104" s="2">
        <f>+Orçamento_Não_Deson!E104</f>
        <v>0</v>
      </c>
      <c r="F104" s="2" t="str">
        <f>VLOOKUP($B104,[2]BOLETIM_SEL!$A:$H,6,0)</f>
        <v>M3</v>
      </c>
      <c r="G104" s="1407">
        <f>VLOOKUP($B104,[2]BOLETIM_SEL!$A:$H,7,0)</f>
        <v>14.75</v>
      </c>
      <c r="H104" s="1608">
        <f ca="1">+Orçamento_Não_Deson!H104</f>
        <v>0</v>
      </c>
      <c r="I104" s="876">
        <f t="shared" si="15"/>
        <v>18.899999999999999</v>
      </c>
      <c r="J104" s="1607">
        <f t="shared" ca="1" si="16"/>
        <v>0</v>
      </c>
      <c r="K104" s="2069">
        <f t="shared" ca="1" si="13"/>
        <v>0</v>
      </c>
      <c r="L104" s="1570">
        <f t="shared" ca="1" si="14"/>
        <v>0</v>
      </c>
      <c r="M104" s="2490" t="str">
        <f>VLOOKUP($B104,[2]BOLETIM_SEL!$A:$H,5,0)</f>
        <v>H &lt; 1,50
alta Interferência</v>
      </c>
      <c r="N104" s="1958">
        <f>VLOOKUP($B104,[2]BOLETIM_SEL!$A:$H,3,0)</f>
        <v>7.62</v>
      </c>
      <c r="O104" s="1645">
        <f t="shared" ref="O104:O123" ca="1" si="17">+H104/N104</f>
        <v>0</v>
      </c>
      <c r="Q104" s="832"/>
      <c r="R104" s="832"/>
      <c r="S104" s="832"/>
      <c r="T104" s="832"/>
      <c r="U104" s="832"/>
      <c r="V104" s="832"/>
      <c r="W104" s="832"/>
      <c r="X104" s="832"/>
    </row>
    <row r="105" spans="1:24" s="812" customFormat="1" ht="50.1" customHeight="1" x14ac:dyDescent="0.15">
      <c r="A105" s="2072">
        <f ca="1">+Orçamento_Não_Deson!A105</f>
        <v>3.01</v>
      </c>
      <c r="B105" s="833">
        <f>+Orçamento_Não_Deson!B105</f>
        <v>90100</v>
      </c>
      <c r="C105" s="2" t="str">
        <f>VLOOKUP($B105,[2]BOLETIM_SEL!$A:$H,2,0)</f>
        <v>SINAPI</v>
      </c>
      <c r="D105" s="315" t="str">
        <f>VLOOKUP($B105,[2]BOLETIM_SEL!$A:$H,4,0)</f>
        <v>Escavação mecanizada de vala com profundidade até 1,50 m (média entre montante e jusante / uma composição por trecho), com retroescavadeira (capacidade da caçamba: 0,26 m3 / potência: 88 HP), largura de 0,80 m a 1,50 m, em solo de 1a categoria, em locais com alto nível de interferência. AF_01/2015</v>
      </c>
      <c r="E105" s="2">
        <f>+Orçamento_Não_Deson!E105</f>
        <v>0</v>
      </c>
      <c r="F105" s="2" t="str">
        <f>VLOOKUP($B105,[2]BOLETIM_SEL!$A:$H,6,0)</f>
        <v>M3</v>
      </c>
      <c r="G105" s="1407">
        <f>VLOOKUP($B105,[2]BOLETIM_SEL!$A:$H,7,0)</f>
        <v>12.52</v>
      </c>
      <c r="H105" s="1608">
        <f ca="1">+Orçamento_Não_Deson!H105</f>
        <v>307.39</v>
      </c>
      <c r="I105" s="876">
        <f t="shared" si="15"/>
        <v>16.04</v>
      </c>
      <c r="J105" s="1607">
        <f t="shared" ca="1" si="16"/>
        <v>4930.53</v>
      </c>
      <c r="K105" s="2069">
        <f t="shared" ca="1" si="13"/>
        <v>1.3049829055028737E-3</v>
      </c>
      <c r="L105" s="1570">
        <f t="shared" ca="1" si="14"/>
        <v>3.4276017132273337E-2</v>
      </c>
      <c r="M105" s="2490"/>
      <c r="N105" s="1958">
        <f>VLOOKUP($B105,[2]BOLETIM_SEL!$A:$H,3,0)</f>
        <v>8.9600000000000009</v>
      </c>
      <c r="O105" s="1645">
        <f t="shared" ca="1" si="17"/>
        <v>34.306919642857139</v>
      </c>
      <c r="Q105" s="832"/>
      <c r="R105" s="832"/>
      <c r="S105" s="832"/>
      <c r="T105" s="832"/>
      <c r="U105" s="832"/>
      <c r="V105" s="832"/>
      <c r="W105" s="832"/>
      <c r="X105" s="832"/>
    </row>
    <row r="106" spans="1:24" s="812" customFormat="1" ht="50.1" hidden="1" customHeight="1" x14ac:dyDescent="0.15">
      <c r="A106" s="2072">
        <f ca="1">Orçamento_Não_Deson!A106</f>
        <v>3.01</v>
      </c>
      <c r="B106" s="833">
        <f>Orçamento_Não_Deson!B106</f>
        <v>90082</v>
      </c>
      <c r="C106" s="2" t="str">
        <f>VLOOKUP($B106,[2]BOLETIM_SEL!$A:$H,2,0)</f>
        <v>SINAPI</v>
      </c>
      <c r="D106" s="315" t="str">
        <f>VLOOKUP($B106,[2]BOLETIM_SEL!$A:$H,4,0)</f>
        <v>Escavação mecanizada de vala com profundidade até 1,50 m (média entre montante e jusante / uma composição por trecho), com escavadeira hidráulica (capacidade da caçamba: 0,80 m3), largura de 1,50 m a 2,50 m, em solo de 1a categoria, em locais com alto nível de interferência. AF_01/2015</v>
      </c>
      <c r="E106" s="2">
        <f>Orçamento_Não_Deson!E106</f>
        <v>0</v>
      </c>
      <c r="F106" s="2" t="str">
        <f>VLOOKUP($B106,[2]BOLETIM_SEL!$A:$H,6,0)</f>
        <v>M3</v>
      </c>
      <c r="G106" s="1407">
        <f>VLOOKUP($B106,[2]BOLETIM_SEL!$A:$H,7,0)</f>
        <v>10.81</v>
      </c>
      <c r="H106" s="1608">
        <f ca="1">Orçamento_Não_Deson!H106</f>
        <v>0</v>
      </c>
      <c r="I106" s="876">
        <f t="shared" si="15"/>
        <v>13.85</v>
      </c>
      <c r="J106" s="1607">
        <f t="shared" ca="1" si="16"/>
        <v>0</v>
      </c>
      <c r="K106" s="2069">
        <f t="shared" ca="1" si="13"/>
        <v>0</v>
      </c>
      <c r="L106" s="1570">
        <f t="shared" ca="1" si="14"/>
        <v>0</v>
      </c>
      <c r="M106" s="2490"/>
      <c r="N106" s="1958">
        <f>VLOOKUP($B106,[2]BOLETIM_SEL!$A:$H,3,0)</f>
        <v>13.46</v>
      </c>
      <c r="O106" s="1645">
        <f ca="1">H106/N106</f>
        <v>0</v>
      </c>
      <c r="Q106" s="832"/>
      <c r="R106" s="832"/>
      <c r="S106" s="832"/>
      <c r="T106" s="832"/>
      <c r="U106" s="832"/>
      <c r="V106" s="832"/>
      <c r="W106" s="832"/>
      <c r="X106" s="832"/>
    </row>
    <row r="107" spans="1:24" s="812" customFormat="1" ht="50.1" hidden="1" customHeight="1" x14ac:dyDescent="0.15">
      <c r="A107" s="2072">
        <f ca="1">+Orçamento_Não_Deson!A107</f>
        <v>3.01</v>
      </c>
      <c r="B107" s="833">
        <f>+Orçamento_Não_Deson!B107</f>
        <v>90101</v>
      </c>
      <c r="C107" s="2" t="str">
        <f>VLOOKUP($B107,[2]BOLETIM_SEL!$A:$H,2,0)</f>
        <v>SINAPI</v>
      </c>
      <c r="D107" s="315" t="str">
        <f>VLOOKUP($B107,[2]BOLETIM_SEL!$A:$H,4,0)</f>
        <v>Escavação mecanizada de vala com profundidade maior que 1,50 m até 3,00 m (média entre montante e jusante / uma composição por trecho), com retroescavadeira (capacidade da caçamba: 0,26 m3 / potência: 88 HP), largura menor que 0,80 m, em solo de 1a categoria, em locais com alto nível de interferência. AF_01/2015</v>
      </c>
      <c r="E107" s="2">
        <f>+Orçamento_Não_Deson!E107</f>
        <v>0</v>
      </c>
      <c r="F107" s="2" t="str">
        <f>VLOOKUP($B107,[2]BOLETIM_SEL!$A:$H,6,0)</f>
        <v>M3</v>
      </c>
      <c r="G107" s="1407">
        <f>VLOOKUP($B107,[2]BOLETIM_SEL!$A:$H,7,0)</f>
        <v>12.37</v>
      </c>
      <c r="H107" s="1608">
        <f ca="1">+Orçamento_Não_Deson!H107</f>
        <v>0</v>
      </c>
      <c r="I107" s="876">
        <f t="shared" si="15"/>
        <v>15.85</v>
      </c>
      <c r="J107" s="1607">
        <f t="shared" ca="1" si="16"/>
        <v>0</v>
      </c>
      <c r="K107" s="2069">
        <f t="shared" ca="1" si="13"/>
        <v>0</v>
      </c>
      <c r="L107" s="1570">
        <f t="shared" ca="1" si="14"/>
        <v>0</v>
      </c>
      <c r="M107" s="2491" t="str">
        <f>VLOOKUP($B107,[2]BOLETIM_SEL!$A:$H,5,0)</f>
        <v>1,51 &lt; H &lt; 3,00
alta Interferência</v>
      </c>
      <c r="N107" s="1958">
        <f>VLOOKUP($B107,[2]BOLETIM_SEL!$A:$H,3,0)</f>
        <v>9.07</v>
      </c>
      <c r="O107" s="1645">
        <f t="shared" ca="1" si="17"/>
        <v>0</v>
      </c>
      <c r="Q107" s="832"/>
      <c r="R107" s="832"/>
      <c r="S107" s="832"/>
      <c r="T107" s="832"/>
      <c r="U107" s="832"/>
      <c r="V107" s="832"/>
      <c r="W107" s="832"/>
      <c r="X107" s="832"/>
    </row>
    <row r="108" spans="1:24" s="812" customFormat="1" ht="50.1" customHeight="1" x14ac:dyDescent="0.15">
      <c r="A108" s="2072">
        <f ca="1">Orçamento_Não_Deson!A108</f>
        <v>3.0199999999999996</v>
      </c>
      <c r="B108" s="833">
        <f>Orçamento_Não_Deson!B108</f>
        <v>90102</v>
      </c>
      <c r="C108" s="2" t="str">
        <f>VLOOKUP($B108,[2]BOLETIM_SEL!$A:$H,2,0)</f>
        <v>SINAPI</v>
      </c>
      <c r="D108" s="315" t="str">
        <f>VLOOKUP($B108,[2]BOLETIM_SEL!$A:$H,4,0)</f>
        <v>Escavação mecanizada de vala com profundidade maior que 1,50 m até 3,00 m (média entre montante e jusante / uma composição por trecho), com retroescavadeira (capacidade da caçamba: 0,26 m3 / potência: 88 HP), largura de 0,80 m a 1,50 m, em solo de 1a categoria, em locais com alto nível de interferência. AF_01/2015</v>
      </c>
      <c r="E108" s="2">
        <f>Orçamento_Não_Deson!E108</f>
        <v>0</v>
      </c>
      <c r="F108" s="2" t="str">
        <f>VLOOKUP($B108,[2]BOLETIM_SEL!$A:$H,6,0)</f>
        <v>M3</v>
      </c>
      <c r="G108" s="1407">
        <f>VLOOKUP($B108,[2]BOLETIM_SEL!$A:$H,7,0)</f>
        <v>11.26</v>
      </c>
      <c r="H108" s="1608">
        <f ca="1">Orçamento_Não_Deson!H108</f>
        <v>149.86000000000001</v>
      </c>
      <c r="I108" s="876">
        <f t="shared" si="15"/>
        <v>14.43</v>
      </c>
      <c r="J108" s="1607">
        <f t="shared" ca="1" si="16"/>
        <v>2162.4699999999998</v>
      </c>
      <c r="K108" s="2069">
        <f t="shared" ca="1" si="13"/>
        <v>5.7234950069521922E-4</v>
      </c>
      <c r="L108" s="1570">
        <f t="shared" ca="1" si="14"/>
        <v>1.5033040822797371E-2</v>
      </c>
      <c r="M108" s="2491"/>
      <c r="N108" s="1958">
        <f>VLOOKUP($B108,[2]BOLETIM_SEL!$A:$H,3,0)</f>
        <v>9.9700000000000006</v>
      </c>
      <c r="O108" s="1645">
        <f ca="1">H108/N108</f>
        <v>15.031093279839519</v>
      </c>
      <c r="Q108" s="832"/>
      <c r="R108" s="832"/>
      <c r="S108" s="832"/>
      <c r="T108" s="832"/>
      <c r="U108" s="832"/>
      <c r="V108" s="832"/>
      <c r="W108" s="832"/>
      <c r="X108" s="832"/>
    </row>
    <row r="109" spans="1:24" s="812" customFormat="1" ht="50.1" customHeight="1" x14ac:dyDescent="0.15">
      <c r="A109" s="2072">
        <f ca="1">Orçamento_Não_Deson!A109</f>
        <v>3.0299999999999994</v>
      </c>
      <c r="B109" s="833">
        <f>Orçamento_Não_Deson!B109</f>
        <v>102278</v>
      </c>
      <c r="C109" s="2" t="str">
        <f>VLOOKUP($B109,[2]BOLETIM_SEL!$A:$H,2,0)</f>
        <v>SINAPI</v>
      </c>
      <c r="D109" s="315" t="str">
        <f>VLOOKUP($B109,[2]BOLETIM_SEL!$A:$H,4,0)</f>
        <v>Escavação mecanizada de vala com profundidade maior que 1,50 m até 3,00 m (média entre montante e jusante / uma composição por trecho), com escavadeira hidráulica (capacidade da caçamba: 1,2 m3 / potência: 155 HP), largura de 1,50 m a 2,50 m, em solo de 1a categoria, em locais com alto nível de interferência. AF_02/2021</v>
      </c>
      <c r="E109" s="2">
        <f>Orçamento_Não_Deson!E109</f>
        <v>0</v>
      </c>
      <c r="F109" s="2" t="str">
        <f>VLOOKUP($B109,[2]BOLETIM_SEL!$A:$H,6,0)</f>
        <v>M3</v>
      </c>
      <c r="G109" s="1407">
        <f>VLOOKUP($B109,[2]BOLETIM_SEL!$A:$H,7,0)</f>
        <v>9.42</v>
      </c>
      <c r="H109" s="1608">
        <f ca="1">Orçamento_Não_Deson!H109</f>
        <v>451.48</v>
      </c>
      <c r="I109" s="876">
        <f t="shared" si="15"/>
        <v>12.07</v>
      </c>
      <c r="J109" s="1607">
        <f t="shared" ca="1" si="16"/>
        <v>5449.36</v>
      </c>
      <c r="K109" s="2069">
        <f t="shared" ca="1" si="13"/>
        <v>1.4423036967488566E-3</v>
      </c>
      <c r="L109" s="1570">
        <f t="shared" ca="1" si="14"/>
        <v>3.7882815178069094E-2</v>
      </c>
      <c r="M109" s="2491"/>
      <c r="N109" s="1958">
        <v>14.75</v>
      </c>
      <c r="O109" s="1645">
        <f ca="1">H109/N109</f>
        <v>30.608813559322034</v>
      </c>
      <c r="Q109" s="832"/>
      <c r="R109" s="832"/>
      <c r="S109" s="832"/>
      <c r="T109" s="832"/>
      <c r="U109" s="832"/>
      <c r="V109" s="832"/>
      <c r="W109" s="832"/>
      <c r="X109" s="832"/>
    </row>
    <row r="110" spans="1:24" s="812" customFormat="1" ht="50.1" hidden="1" customHeight="1" x14ac:dyDescent="0.15">
      <c r="A110" s="2072">
        <f ca="1">+Orçamento_Não_Deson!A110</f>
        <v>3.0299999999999994</v>
      </c>
      <c r="B110" s="833">
        <f>+Orçamento_Não_Deson!B110</f>
        <v>90086</v>
      </c>
      <c r="C110" s="2" t="str">
        <f>VLOOKUP($B110,[2]BOLETIM_SEL!$A:$H,2,0)</f>
        <v>SINAPI</v>
      </c>
      <c r="D110" s="315" t="str">
        <f>VLOOKUP($B110,[2]BOLETIM_SEL!$A:$H,4,0)</f>
        <v>Escavação mecanizada de vala com profundidade maior que 3,00 m até 4,50 m (média entre montante e jusante / uma composição por trecho), com escavadeira hidráulica (capacidade da caçamba: 0,80 m3 / potência: 111 HP), largura menor que 1,50 m, em solo de 1a categoria, em locais com alto nível de interferência. AF_01/2015</v>
      </c>
      <c r="E110" s="2">
        <f>+Orçamento_Não_Deson!E110</f>
        <v>0</v>
      </c>
      <c r="F110" s="2" t="str">
        <f>VLOOKUP($B110,[2]BOLETIM_SEL!$A:$H,6,0)</f>
        <v>M3</v>
      </c>
      <c r="G110" s="1407">
        <f>VLOOKUP($B110,[2]BOLETIM_SEL!$A:$H,7,0)</f>
        <v>9.9</v>
      </c>
      <c r="H110" s="1608">
        <f ca="1">+Orçamento_Não_Deson!H110</f>
        <v>0</v>
      </c>
      <c r="I110" s="876">
        <f t="shared" si="15"/>
        <v>12.68</v>
      </c>
      <c r="J110" s="1607">
        <f t="shared" ca="1" si="16"/>
        <v>0</v>
      </c>
      <c r="K110" s="2069">
        <f t="shared" ca="1" si="13"/>
        <v>0</v>
      </c>
      <c r="L110" s="1570">
        <f t="shared" ca="1" si="14"/>
        <v>0</v>
      </c>
      <c r="M110" s="2492" t="str">
        <f>VLOOKUP($B110,[2]BOLETIM_SEL!$A:$H,5,0)</f>
        <v>3,01 &lt; H &lt; 4,50
alta Interferência</v>
      </c>
      <c r="N110" s="1958">
        <f>VLOOKUP($B110,[2]BOLETIM_SEL!$A:$H,3,0)</f>
        <v>14.58</v>
      </c>
      <c r="O110" s="1645">
        <f t="shared" ca="1" si="17"/>
        <v>0</v>
      </c>
      <c r="Q110" s="832"/>
      <c r="R110" s="832"/>
      <c r="S110" s="832"/>
      <c r="T110" s="832"/>
      <c r="U110" s="832"/>
      <c r="V110" s="832"/>
      <c r="W110" s="832"/>
      <c r="X110" s="832"/>
    </row>
    <row r="111" spans="1:24" s="812" customFormat="1" ht="50.1" customHeight="1" x14ac:dyDescent="0.15">
      <c r="A111" s="2072">
        <f ca="1">Orçamento_Não_Deson!A111</f>
        <v>3.0399999999999991</v>
      </c>
      <c r="B111" s="833">
        <f>Orçamento_Não_Deson!B111</f>
        <v>90087</v>
      </c>
      <c r="C111" s="2" t="str">
        <f>VLOOKUP($B111,[2]BOLETIM_SEL!$A:$H,2,0)</f>
        <v>SINAPI</v>
      </c>
      <c r="D111" s="315" t="str">
        <f>VLOOKUP($B111,[2]BOLETIM_SEL!$A:$H,4,0)</f>
        <v>Escavação mecanizada de vala com profundidade de 3,00 m até 4,50 m (média entre montante e jusante / uma composição por trecho), com escavadeira hidráulica (capacidade da caçamba: 1,20 m3 / potência: 155 HP), largura de 1,50 m a 2,50 m, em solo de 1a categoria, em locais com alto nível de interferência. AF_01/2015</v>
      </c>
      <c r="E111" s="2">
        <f>Orçamento_Não_Deson!E111</f>
        <v>0</v>
      </c>
      <c r="F111" s="2" t="str">
        <f>VLOOKUP($B111,[2]BOLETIM_SEL!$A:$H,6,0)</f>
        <v>M3</v>
      </c>
      <c r="G111" s="1407">
        <f>VLOOKUP($B111,[2]BOLETIM_SEL!$A:$H,7,0)</f>
        <v>9.0399999999999991</v>
      </c>
      <c r="H111" s="1608">
        <f ca="1">Orçamento_Não_Deson!H111</f>
        <v>1132.3399999999999</v>
      </c>
      <c r="I111" s="876">
        <f t="shared" si="15"/>
        <v>11.58</v>
      </c>
      <c r="J111" s="1607">
        <f t="shared" ca="1" si="16"/>
        <v>13112.49</v>
      </c>
      <c r="K111" s="2069">
        <f t="shared" ca="1" si="13"/>
        <v>3.4705346683982E-3</v>
      </c>
      <c r="L111" s="1570">
        <f t="shared" ca="1" si="14"/>
        <v>9.1155298089001149E-2</v>
      </c>
      <c r="M111" s="2492"/>
      <c r="N111" s="1958">
        <f>VLOOKUP($B111,[2]BOLETIM_SEL!$A:$H,3,0)</f>
        <v>19.12</v>
      </c>
      <c r="O111" s="1645">
        <f ca="1">H111/N111</f>
        <v>59.222803347280326</v>
      </c>
      <c r="Q111" s="832"/>
      <c r="R111" s="832"/>
      <c r="S111" s="832"/>
      <c r="T111" s="832"/>
      <c r="U111" s="832"/>
      <c r="V111" s="832"/>
      <c r="W111" s="832"/>
      <c r="X111" s="832"/>
    </row>
    <row r="112" spans="1:24" s="812" customFormat="1" ht="50.1" hidden="1" customHeight="1" x14ac:dyDescent="0.15">
      <c r="A112" s="2072">
        <f ca="1">+Orçamento_Não_Deson!A112</f>
        <v>3.0399999999999991</v>
      </c>
      <c r="B112" s="833">
        <f>+Orçamento_Não_Deson!B112</f>
        <v>102277</v>
      </c>
      <c r="C112" s="2" t="str">
        <f>VLOOKUP($B112,[2]BOLETIM_SEL!$A:$H,2,0)</f>
        <v>SINAPI</v>
      </c>
      <c r="D112" s="315" t="str">
        <f>VLOOKUP($B112,[2]BOLETIM_SEL!$A:$H,4,0)</f>
        <v>Escavação mecanizada de vala com profundidade maior que 4,50 m até 6,00 m (média entre montante e jusante / uma composição por trecho), com escavadeira hidráulica (capacidade da caçamba: 0,80 m3 / potência: 111 HP), largura menor que 1,50 m, em solo de 1a categoria, em locais com alto nível de interferência. AF_02/2021</v>
      </c>
      <c r="E112" s="2">
        <f>+Orçamento_Não_Deson!E112</f>
        <v>0</v>
      </c>
      <c r="F112" s="2" t="str">
        <f>VLOOKUP($B112,[2]BOLETIM_SEL!$A:$H,6,0)</f>
        <v>M3</v>
      </c>
      <c r="G112" s="1407">
        <f>VLOOKUP($B112,[2]BOLETIM_SEL!$A:$H,7,0)</f>
        <v>9.6</v>
      </c>
      <c r="H112" s="1608">
        <f ca="1">+Orçamento_Não_Deson!H112</f>
        <v>0</v>
      </c>
      <c r="I112" s="876">
        <f t="shared" si="15"/>
        <v>12.3</v>
      </c>
      <c r="J112" s="1607">
        <f t="shared" ca="1" si="16"/>
        <v>0</v>
      </c>
      <c r="K112" s="2069">
        <f t="shared" ca="1" si="13"/>
        <v>0</v>
      </c>
      <c r="L112" s="1570">
        <f t="shared" ca="1" si="14"/>
        <v>0</v>
      </c>
      <c r="M112" s="2489" t="str">
        <f>VLOOKUP($B112,[2]BOLETIM_SEL!$A:$H,5,0)</f>
        <v>H &gt; 4,51
alta Interferência</v>
      </c>
      <c r="N112" s="1958">
        <v>18.73</v>
      </c>
      <c r="O112" s="1645">
        <f t="shared" ca="1" si="17"/>
        <v>0</v>
      </c>
      <c r="Q112" s="832"/>
      <c r="R112" s="832"/>
      <c r="S112" s="832"/>
      <c r="T112" s="832"/>
      <c r="U112" s="832"/>
      <c r="V112" s="832"/>
      <c r="W112" s="832"/>
      <c r="X112" s="832"/>
    </row>
    <row r="113" spans="1:24" s="812" customFormat="1" ht="50.1" hidden="1" customHeight="1" x14ac:dyDescent="0.15">
      <c r="A113" s="2072">
        <f ca="1">+Orçamento_Não_Deson!A113</f>
        <v>3.0399999999999991</v>
      </c>
      <c r="B113" s="833">
        <f>+Orçamento_Não_Deson!B113</f>
        <v>90090</v>
      </c>
      <c r="C113" s="2" t="str">
        <f>VLOOKUP($B113,[2]BOLETIM_SEL!$A:$H,2,0)</f>
        <v>SINAPI</v>
      </c>
      <c r="D113" s="315" t="str">
        <f>VLOOKUP($B113,[2]BOLETIM_SEL!$A:$H,4,0)</f>
        <v>Escavação mecanizada de vala com profundidade maior que 4,50 m até 6,00 m (média entre montante e jusante / uma composição por trecho), com escavadeira hidráulica (capacidade da caçamba: 1,20 m3 / potência: 155 HP), largura de 1,50 m a 2,50 m, em solo de 1a categoria, em locais com alto nível de interferência. AF_01/2015</v>
      </c>
      <c r="E113" s="2">
        <f>+Orçamento_Não_Deson!E113</f>
        <v>0</v>
      </c>
      <c r="F113" s="2" t="str">
        <f>VLOOKUP($B113,[2]BOLETIM_SEL!$A:$H,6,0)</f>
        <v>M3</v>
      </c>
      <c r="G113" s="1407">
        <f>VLOOKUP($B113,[2]BOLETIM_SEL!$A:$H,7,0)</f>
        <v>8.85</v>
      </c>
      <c r="H113" s="1608">
        <f ca="1">+Orçamento_Não_Deson!H113</f>
        <v>0</v>
      </c>
      <c r="I113" s="876">
        <f t="shared" si="15"/>
        <v>11.34</v>
      </c>
      <c r="J113" s="1607">
        <f t="shared" ca="1" si="16"/>
        <v>0</v>
      </c>
      <c r="K113" s="2069">
        <f t="shared" ca="1" si="13"/>
        <v>0</v>
      </c>
      <c r="L113" s="1570">
        <f t="shared" ca="1" si="14"/>
        <v>0</v>
      </c>
      <c r="M113" s="2489"/>
      <c r="N113" s="1958">
        <f>VLOOKUP($B113,[2]BOLETIM_SEL!$A:$H,3,0)</f>
        <v>19.489999999999998</v>
      </c>
      <c r="O113" s="1645">
        <f t="shared" ca="1" si="17"/>
        <v>0</v>
      </c>
      <c r="Q113" s="832"/>
      <c r="R113" s="832"/>
      <c r="S113" s="832"/>
      <c r="T113" s="832"/>
      <c r="U113" s="832"/>
      <c r="V113" s="832"/>
      <c r="W113" s="832"/>
      <c r="X113" s="832"/>
    </row>
    <row r="114" spans="1:24" s="812" customFormat="1" ht="50.1" hidden="1" customHeight="1" x14ac:dyDescent="0.15">
      <c r="A114" s="2072">
        <f ca="1">+Orçamento_Não_Deson!A114</f>
        <v>3.0399999999999991</v>
      </c>
      <c r="B114" s="833">
        <f>+Orçamento_Não_Deson!B114</f>
        <v>90105</v>
      </c>
      <c r="C114" s="2" t="str">
        <f>VLOOKUP($B114,[2]BOLETIM_SEL!$A:$H,2,0)</f>
        <v>SINAPI</v>
      </c>
      <c r="D114" s="315" t="str">
        <f>VLOOKUP($B114,[2]BOLETIM_SEL!$A:$H,4,0)</f>
        <v>Escavação mecanizada de vala com profundidade até 1,50 m (média entre montante e jusante / uma composição por trecho) com retroescavadeira (capacidade da caçamba: 0,26 m3 / potência: 88 HP), largura menor que 0,80 m, em solo de 1a categoria, locais com baixo nível de interferência. AF_01/2015</v>
      </c>
      <c r="E114" s="2">
        <f>+Orçamento_Não_Deson!E114</f>
        <v>0</v>
      </c>
      <c r="F114" s="2" t="str">
        <f>VLOOKUP($B114,[2]BOLETIM_SEL!$A:$H,6,0)</f>
        <v>M3</v>
      </c>
      <c r="G114" s="1407">
        <f>VLOOKUP($B114,[2]BOLETIM_SEL!$A:$H,7,0)</f>
        <v>8.1300000000000008</v>
      </c>
      <c r="H114" s="1608">
        <f>+Orçamento_Não_Deson!H114</f>
        <v>0</v>
      </c>
      <c r="I114" s="876">
        <f t="shared" si="15"/>
        <v>10.42</v>
      </c>
      <c r="J114" s="1607">
        <f t="shared" si="16"/>
        <v>0</v>
      </c>
      <c r="K114" s="2069">
        <f t="shared" ca="1" si="13"/>
        <v>0</v>
      </c>
      <c r="L114" s="1570">
        <f t="shared" ca="1" si="14"/>
        <v>0</v>
      </c>
      <c r="M114" s="2490" t="str">
        <f>VLOOKUP($B114,[2]BOLETIM_SEL!$A:$H,5,0)</f>
        <v>H &lt; 1,50
baixa Interferência</v>
      </c>
      <c r="N114" s="1958">
        <f>VLOOKUP($B114,[2]BOLETIM_SEL!$A:$H,3,0)</f>
        <v>12.76</v>
      </c>
      <c r="O114" s="1645">
        <f t="shared" si="17"/>
        <v>0</v>
      </c>
      <c r="Q114" s="832"/>
      <c r="R114" s="832"/>
      <c r="S114" s="832"/>
      <c r="T114" s="832"/>
      <c r="U114" s="832"/>
      <c r="V114" s="832"/>
      <c r="W114" s="832"/>
      <c r="X114" s="832"/>
    </row>
    <row r="115" spans="1:24" s="812" customFormat="1" ht="50.1" hidden="1" customHeight="1" x14ac:dyDescent="0.15">
      <c r="A115" s="2072">
        <f ca="1">+Orçamento_Não_Deson!A115</f>
        <v>3.0399999999999991</v>
      </c>
      <c r="B115" s="833">
        <f>+Orçamento_Não_Deson!B115</f>
        <v>90106</v>
      </c>
      <c r="C115" s="2" t="str">
        <f>VLOOKUP($B115,[2]BOLETIM_SEL!$A:$H,2,0)</f>
        <v>SINAPI</v>
      </c>
      <c r="D115" s="315" t="str">
        <f>VLOOKUP($B115,[2]BOLETIM_SEL!$A:$H,4,0)</f>
        <v>Escavação mecanizada de vala com profundidade até 1,50 m (média entre montante e jusante / uma composição por trecho) com retroescavadeira (capacidade da caçamba: 0,26 m3 / potência: 88 HP), largura de 0,80 m a 1,50 m, em solo de 1a categoria, locais com baixo nível de interferência. AF_01/2015</v>
      </c>
      <c r="E115" s="2">
        <f>+Orçamento_Não_Deson!E115</f>
        <v>0</v>
      </c>
      <c r="F115" s="2" t="str">
        <f>VLOOKUP($B115,[2]BOLETIM_SEL!$A:$H,6,0)</f>
        <v>M3</v>
      </c>
      <c r="G115" s="1407">
        <f>VLOOKUP($B115,[2]BOLETIM_SEL!$A:$H,7,0)</f>
        <v>6.92</v>
      </c>
      <c r="H115" s="1608">
        <f>+Orçamento_Não_Deson!H115</f>
        <v>0</v>
      </c>
      <c r="I115" s="876">
        <f t="shared" si="15"/>
        <v>8.86</v>
      </c>
      <c r="J115" s="1607">
        <f t="shared" si="16"/>
        <v>0</v>
      </c>
      <c r="K115" s="2069">
        <f t="shared" ca="1" si="13"/>
        <v>0</v>
      </c>
      <c r="L115" s="1570">
        <f t="shared" ca="1" si="14"/>
        <v>0</v>
      </c>
      <c r="M115" s="2490"/>
      <c r="N115" s="1958">
        <f>VLOOKUP($B115,[2]BOLETIM_SEL!$A:$H,3,0)</f>
        <v>14.99</v>
      </c>
      <c r="O115" s="1645">
        <f t="shared" si="17"/>
        <v>0</v>
      </c>
      <c r="Q115" s="832"/>
      <c r="R115" s="832"/>
      <c r="S115" s="832"/>
      <c r="T115" s="832"/>
      <c r="U115" s="832"/>
      <c r="V115" s="832"/>
      <c r="W115" s="832"/>
      <c r="X115" s="832"/>
    </row>
    <row r="116" spans="1:24" s="812" customFormat="1" ht="50.1" hidden="1" customHeight="1" x14ac:dyDescent="0.15">
      <c r="A116" s="2072">
        <f ca="1">+Orçamento_Não_Deson!A116</f>
        <v>3.0399999999999991</v>
      </c>
      <c r="B116" s="833">
        <f>+Orçamento_Não_Deson!B116</f>
        <v>90091</v>
      </c>
      <c r="C116" s="2" t="str">
        <f>VLOOKUP($B116,[2]BOLETIM_SEL!$A:$H,2,0)</f>
        <v>SINAPI</v>
      </c>
      <c r="D116" s="315" t="str">
        <f>VLOOKUP($B116,[2]BOLETIM_SEL!$A:$H,4,0)</f>
        <v>Escavação mecanizada de vala com profundidade até 1,50 m (média entre montante e jusante / uma composição por trecho), com escavadeira hidráulica (capacidade da caçamba: 0,80 m3), largura de 1,50 m a 2,50 m, em solo de 1a categoria, locais com baixo nível de interferência. AF_01/2015</v>
      </c>
      <c r="E116" s="2">
        <f>+Orçamento_Não_Deson!E116</f>
        <v>0</v>
      </c>
      <c r="F116" s="2" t="str">
        <f>VLOOKUP($B116,[2]BOLETIM_SEL!$A:$H,6,0)</f>
        <v>M3</v>
      </c>
      <c r="G116" s="1407">
        <f>VLOOKUP($B116,[2]BOLETIM_SEL!$A:$H,7,0)</f>
        <v>5.84</v>
      </c>
      <c r="H116" s="1608">
        <f>+Orçamento_Não_Deson!H116</f>
        <v>0</v>
      </c>
      <c r="I116" s="876">
        <f t="shared" si="15"/>
        <v>7.48</v>
      </c>
      <c r="J116" s="1607">
        <f t="shared" si="16"/>
        <v>0</v>
      </c>
      <c r="K116" s="2069">
        <f t="shared" ca="1" si="13"/>
        <v>0</v>
      </c>
      <c r="L116" s="1570">
        <f t="shared" ca="1" si="14"/>
        <v>0</v>
      </c>
      <c r="M116" s="2490"/>
      <c r="N116" s="1958">
        <f>VLOOKUP($B116,[2]BOLETIM_SEL!$A:$H,3,0)</f>
        <v>22.52</v>
      </c>
      <c r="O116" s="1645">
        <f t="shared" si="17"/>
        <v>0</v>
      </c>
      <c r="Q116" s="832"/>
      <c r="R116" s="832"/>
      <c r="S116" s="832"/>
      <c r="T116" s="832"/>
      <c r="U116" s="832"/>
      <c r="V116" s="832"/>
      <c r="W116" s="832"/>
      <c r="X116" s="832"/>
    </row>
    <row r="117" spans="1:24" s="812" customFormat="1" ht="50.1" hidden="1" customHeight="1" x14ac:dyDescent="0.15">
      <c r="A117" s="2072">
        <f ca="1">+Orçamento_Não_Deson!A117</f>
        <v>3.0399999999999991</v>
      </c>
      <c r="B117" s="833">
        <f>+Orçamento_Não_Deson!B117</f>
        <v>90107</v>
      </c>
      <c r="C117" s="2" t="str">
        <f>VLOOKUP($B117,[2]BOLETIM_SEL!$A:$H,2,0)</f>
        <v>SINAPI</v>
      </c>
      <c r="D117" s="315" t="str">
        <f>VLOOKUP($B117,[2]BOLETIM_SEL!$A:$H,4,0)</f>
        <v>Escavação mecanizada de vala com profundidade maior que 1,50 m até 3,00 m (média entre montante e jusante / uma composição por trecho) com retroescavadeira (capacidade da caçamba: 0,26 m3 / potência: 88 HP), largura menor que 0,80 m, em solo de 1a categoria, locais com baixo nível de interferência. AF_01/2015</v>
      </c>
      <c r="E117" s="2">
        <f>+Orçamento_Não_Deson!E117</f>
        <v>0</v>
      </c>
      <c r="F117" s="2" t="str">
        <f>VLOOKUP($B117,[2]BOLETIM_SEL!$A:$H,6,0)</f>
        <v>M3</v>
      </c>
      <c r="G117" s="1407">
        <f>VLOOKUP($B117,[2]BOLETIM_SEL!$A:$H,7,0)</f>
        <v>6.82</v>
      </c>
      <c r="H117" s="1608">
        <f>+Orçamento_Não_Deson!H117</f>
        <v>0</v>
      </c>
      <c r="I117" s="876">
        <f t="shared" si="15"/>
        <v>8.74</v>
      </c>
      <c r="J117" s="1607">
        <f t="shared" si="16"/>
        <v>0</v>
      </c>
      <c r="K117" s="2069">
        <f t="shared" ca="1" si="13"/>
        <v>0</v>
      </c>
      <c r="L117" s="1570">
        <f t="shared" ca="1" si="14"/>
        <v>0</v>
      </c>
      <c r="M117" s="2491" t="str">
        <f>VLOOKUP($B117,[2]BOLETIM_SEL!$A:$H,5,0)</f>
        <v>1,51 &lt; H &lt; 3,00
baixa Interferência</v>
      </c>
      <c r="N117" s="1958">
        <f>VLOOKUP($B117,[2]BOLETIM_SEL!$A:$H,3,0)</f>
        <v>15.2</v>
      </c>
      <c r="O117" s="1645">
        <f t="shared" si="17"/>
        <v>0</v>
      </c>
      <c r="Q117" s="832"/>
      <c r="R117" s="832"/>
      <c r="S117" s="832"/>
      <c r="T117" s="832"/>
      <c r="U117" s="832"/>
      <c r="V117" s="832"/>
      <c r="W117" s="832"/>
      <c r="X117" s="832"/>
    </row>
    <row r="118" spans="1:24" s="812" customFormat="1" ht="50.1" hidden="1" customHeight="1" x14ac:dyDescent="0.15">
      <c r="A118" s="2072">
        <f ca="1">+Orçamento_Não_Deson!A118</f>
        <v>3.0399999999999991</v>
      </c>
      <c r="B118" s="833">
        <f>+Orçamento_Não_Deson!B118</f>
        <v>90108</v>
      </c>
      <c r="C118" s="2" t="str">
        <f>VLOOKUP($B118,[2]BOLETIM_SEL!$A:$H,2,0)</f>
        <v>SINAPI</v>
      </c>
      <c r="D118" s="315" t="str">
        <f>VLOOKUP($B118,[2]BOLETIM_SEL!$A:$H,4,0)</f>
        <v>Escavação mecanizada de vala com profundidade maior que 1,50 m até 3,00 m (média entre montante e jusante / uma composição por trecho) com retroescavadeira (capacidade da caçamba: 0,26 m3 / potência: 88 HP), largura de 0,80 m a 1,50 m, em solo de 1a categoria, locais com baixo nível de interferência. AF_01/2015</v>
      </c>
      <c r="E118" s="2">
        <f>+Orçamento_Não_Deson!E118</f>
        <v>0</v>
      </c>
      <c r="F118" s="2" t="str">
        <f>VLOOKUP($B118,[2]BOLETIM_SEL!$A:$H,6,0)</f>
        <v>M3</v>
      </c>
      <c r="G118" s="1407">
        <f>VLOOKUP($B118,[2]BOLETIM_SEL!$A:$H,7,0)</f>
        <v>6.22</v>
      </c>
      <c r="H118" s="1608">
        <f>+Orçamento_Não_Deson!H118</f>
        <v>0</v>
      </c>
      <c r="I118" s="876">
        <f t="shared" si="15"/>
        <v>7.97</v>
      </c>
      <c r="J118" s="1607">
        <f t="shared" si="16"/>
        <v>0</v>
      </c>
      <c r="K118" s="2069">
        <f t="shared" ca="1" si="13"/>
        <v>0</v>
      </c>
      <c r="L118" s="1570">
        <f t="shared" ca="1" si="14"/>
        <v>0</v>
      </c>
      <c r="M118" s="2491"/>
      <c r="N118" s="1958">
        <f>VLOOKUP($B118,[2]BOLETIM_SEL!$A:$H,3,0)</f>
        <v>16.690000000000001</v>
      </c>
      <c r="O118" s="1645">
        <f t="shared" si="17"/>
        <v>0</v>
      </c>
      <c r="Q118" s="832"/>
      <c r="R118" s="832"/>
      <c r="S118" s="832"/>
      <c r="T118" s="832"/>
      <c r="U118" s="832"/>
      <c r="V118" s="832"/>
      <c r="W118" s="832"/>
      <c r="X118" s="832"/>
    </row>
    <row r="119" spans="1:24" s="812" customFormat="1" ht="50.1" hidden="1" customHeight="1" x14ac:dyDescent="0.15">
      <c r="A119" s="2072">
        <f ca="1">Orçamento_Não_Deson!A119</f>
        <v>3.0399999999999991</v>
      </c>
      <c r="B119" s="833">
        <f>Orçamento_Não_Deson!B119</f>
        <v>102281</v>
      </c>
      <c r="C119" s="2" t="str">
        <f>VLOOKUP($B119,[2]BOLETIM_SEL!$A:$H,2,0)</f>
        <v>SINAPI</v>
      </c>
      <c r="D119" s="315" t="str">
        <f>VLOOKUP($B119,[2]BOLETIM_SEL!$A:$H,4,0)</f>
        <v>Escavação mecanizada de vala com profundidade maior que 1,50 m até 3,00 m (média entre montante e jusante / uma composição por trecho),com escavadeira hidráulica (capacidade da caçamba: 1,20 m3 / potência: 155 HP),largura de 1,50 m a 2,50 m, em solo de 1a categoria, locais com baixo nível de interferência. AF_02/2021</v>
      </c>
      <c r="E119" s="2">
        <f>Orçamento_Não_Deson!E119</f>
        <v>0</v>
      </c>
      <c r="F119" s="2" t="str">
        <f>VLOOKUP($B119,[2]BOLETIM_SEL!$A:$H,6,0)</f>
        <v>M3</v>
      </c>
      <c r="G119" s="1407">
        <f>VLOOKUP($B119,[2]BOLETIM_SEL!$A:$H,7,0)</f>
        <v>5.19</v>
      </c>
      <c r="H119" s="1608">
        <f>Orçamento_Não_Deson!H119</f>
        <v>0</v>
      </c>
      <c r="I119" s="876">
        <f t="shared" si="15"/>
        <v>6.65</v>
      </c>
      <c r="J119" s="1607">
        <f t="shared" si="16"/>
        <v>0</v>
      </c>
      <c r="K119" s="2069">
        <f t="shared" ca="1" si="13"/>
        <v>0</v>
      </c>
      <c r="L119" s="1570">
        <f t="shared" ca="1" si="14"/>
        <v>0</v>
      </c>
      <c r="M119" s="2491"/>
      <c r="N119" s="1958">
        <v>24.69</v>
      </c>
      <c r="O119" s="1645">
        <f>H119/N119</f>
        <v>0</v>
      </c>
      <c r="Q119" s="832"/>
      <c r="R119" s="832"/>
      <c r="S119" s="832"/>
      <c r="T119" s="832"/>
      <c r="U119" s="832"/>
      <c r="V119" s="832"/>
      <c r="W119" s="832"/>
      <c r="X119" s="832"/>
    </row>
    <row r="120" spans="1:24" s="812" customFormat="1" ht="50.1" hidden="1" customHeight="1" x14ac:dyDescent="0.15">
      <c r="A120" s="2072">
        <f ca="1">+Orçamento_Não_Deson!A120</f>
        <v>3.0399999999999991</v>
      </c>
      <c r="B120" s="833">
        <f>+Orçamento_Não_Deson!B120</f>
        <v>90094</v>
      </c>
      <c r="C120" s="2" t="str">
        <f>VLOOKUP($B120,[2]BOLETIM_SEL!$A:$H,2,0)</f>
        <v>SINAPI</v>
      </c>
      <c r="D120" s="315" t="str">
        <f>VLOOKUP($B120,[2]BOLETIM_SEL!$A:$H,4,0)</f>
        <v>Escavação mecanizada de vala com profundidade maior que 3,00 m até 4,50 m (média entre montante e jusante / uma composição por trecho), com escavadeira hidráulica (capacidade da caçamba: 0,80 m3 / potência: 111 HP), largura menor que 1,50 m, em solo de 1a categoria, locais com baixo nível de interferência. AF_01/2015</v>
      </c>
      <c r="E120" s="2">
        <f>+Orçamento_Não_Deson!E120</f>
        <v>0</v>
      </c>
      <c r="F120" s="2" t="str">
        <f>VLOOKUP($B120,[2]BOLETIM_SEL!$A:$H,6,0)</f>
        <v>M3</v>
      </c>
      <c r="G120" s="1407">
        <f>VLOOKUP($B120,[2]BOLETIM_SEL!$A:$H,7,0)</f>
        <v>5.46</v>
      </c>
      <c r="H120" s="1608">
        <f>+Orçamento_Não_Deson!H120</f>
        <v>0</v>
      </c>
      <c r="I120" s="876">
        <f t="shared" si="15"/>
        <v>6.99</v>
      </c>
      <c r="J120" s="1607">
        <f t="shared" si="16"/>
        <v>0</v>
      </c>
      <c r="K120" s="2069">
        <f t="shared" ca="1" si="13"/>
        <v>0</v>
      </c>
      <c r="L120" s="1570">
        <f t="shared" ca="1" si="14"/>
        <v>0</v>
      </c>
      <c r="M120" s="2492" t="str">
        <f>VLOOKUP($B120,[2]BOLETIM_SEL!$A:$H,5,0)</f>
        <v>3,01 &lt; H &lt; 4,50
baixa Interferência</v>
      </c>
      <c r="N120" s="1958">
        <f>VLOOKUP($B120,[2]BOLETIM_SEL!$A:$H,3,0)</f>
        <v>24.45</v>
      </c>
      <c r="O120" s="1645">
        <f t="shared" si="17"/>
        <v>0</v>
      </c>
      <c r="Q120" s="832"/>
      <c r="R120" s="832"/>
      <c r="S120" s="832"/>
      <c r="T120" s="832"/>
      <c r="U120" s="832"/>
      <c r="V120" s="832"/>
      <c r="W120" s="832"/>
      <c r="X120" s="832"/>
    </row>
    <row r="121" spans="1:24" s="812" customFormat="1" ht="50.1" hidden="1" customHeight="1" x14ac:dyDescent="0.15">
      <c r="A121" s="2072">
        <f ca="1">Orçamento_Não_Deson!A121</f>
        <v>3.0399999999999991</v>
      </c>
      <c r="B121" s="833">
        <f>Orçamento_Não_Deson!B121</f>
        <v>90095</v>
      </c>
      <c r="C121" s="2" t="str">
        <f>VLOOKUP($B121,[2]BOLETIM_SEL!$A:$H,2,0)</f>
        <v>SINAPI</v>
      </c>
      <c r="D121" s="315" t="str">
        <f>VLOOKUP($B121,[2]BOLETIM_SEL!$A:$H,4,0)</f>
        <v>Escavação mecanizada de vala com profundidade maior que 3,00 m até 4,50 m (média entre montante e jusante / uma composição por trecho), com escavadeira hidráulica (capacidade da caçamba: 1,20 m3/ potência: 155 HP), largura de 1,50 m a 2,50 m, em solo de 1a categoria, locais com baixo nível de interferência. AF_01/2015</v>
      </c>
      <c r="E121" s="2">
        <f>Orçamento_Não_Deson!E121</f>
        <v>0</v>
      </c>
      <c r="F121" s="2" t="str">
        <f>VLOOKUP($B121,[2]BOLETIM_SEL!$A:$H,6,0)</f>
        <v>M3</v>
      </c>
      <c r="G121" s="1407">
        <f>VLOOKUP($B121,[2]BOLETIM_SEL!$A:$H,7,0)</f>
        <v>4.9800000000000004</v>
      </c>
      <c r="H121" s="1608">
        <f>Orçamento_Não_Deson!H121</f>
        <v>0</v>
      </c>
      <c r="I121" s="876">
        <f t="shared" si="15"/>
        <v>6.38</v>
      </c>
      <c r="J121" s="1607">
        <f t="shared" si="16"/>
        <v>0</v>
      </c>
      <c r="K121" s="2069">
        <f t="shared" ca="1" si="13"/>
        <v>0</v>
      </c>
      <c r="L121" s="1570">
        <f t="shared" ca="1" si="14"/>
        <v>0</v>
      </c>
      <c r="M121" s="2492"/>
      <c r="N121" s="1958">
        <f>VLOOKUP($B121,[2]BOLETIM_SEL!$A:$H,3,0)</f>
        <v>21.65</v>
      </c>
      <c r="O121" s="1645">
        <f>H121/N121</f>
        <v>0</v>
      </c>
      <c r="Q121" s="832"/>
      <c r="R121" s="832"/>
      <c r="S121" s="832"/>
      <c r="T121" s="832"/>
      <c r="U121" s="832"/>
      <c r="V121" s="832"/>
      <c r="W121" s="832"/>
      <c r="X121" s="832"/>
    </row>
    <row r="122" spans="1:24" s="812" customFormat="1" ht="50.1" hidden="1" customHeight="1" x14ac:dyDescent="0.15">
      <c r="A122" s="2072">
        <f ca="1">+Orçamento_Não_Deson!A122</f>
        <v>3.0399999999999991</v>
      </c>
      <c r="B122" s="833">
        <f>+Orçamento_Não_Deson!B122</f>
        <v>102280</v>
      </c>
      <c r="C122" s="2" t="str">
        <f>VLOOKUP($B122,[2]BOLETIM_SEL!$A:$H,2,0)</f>
        <v>SINAPI</v>
      </c>
      <c r="D122" s="315" t="str">
        <f>VLOOKUP($B122,[2]BOLETIM_SEL!$A:$H,4,0)</f>
        <v>Escavação mecanizada de vala com profundidade maior que 4,50 m até 6,00 m (média entre montante e jusante / uma composição por trecho), com escavadeira hidráulica (capacidade da caçamba: 1,20 m3 / potência: 155 HP), largura menor que 1,50 m, em solo de 1a categoria, locais com baixo nível de interferência. AF_01/2015</v>
      </c>
      <c r="E122" s="2">
        <f>+Orçamento_Não_Deson!E122</f>
        <v>0</v>
      </c>
      <c r="F122" s="2" t="str">
        <f>VLOOKUP($B122,[2]BOLETIM_SEL!$A:$H,6,0)</f>
        <v>M3</v>
      </c>
      <c r="G122" s="1407">
        <f>VLOOKUP($B122,[2]BOLETIM_SEL!$A:$H,7,0)</f>
        <v>5.3</v>
      </c>
      <c r="H122" s="1608">
        <f>+Orçamento_Não_Deson!H122</f>
        <v>0</v>
      </c>
      <c r="I122" s="876">
        <f t="shared" si="15"/>
        <v>6.79</v>
      </c>
      <c r="J122" s="1607">
        <f t="shared" si="16"/>
        <v>0</v>
      </c>
      <c r="K122" s="2069">
        <f t="shared" ca="1" si="13"/>
        <v>0</v>
      </c>
      <c r="L122" s="1570">
        <f t="shared" ca="1" si="14"/>
        <v>0</v>
      </c>
      <c r="M122" s="2489" t="str">
        <f>VLOOKUP($B122,[2]BOLETIM_SEL!$A:$H,5,0)</f>
        <v>H &gt; 4,51
baixa Interferência</v>
      </c>
      <c r="N122" s="1958">
        <v>21.19</v>
      </c>
      <c r="O122" s="1645">
        <f t="shared" si="17"/>
        <v>0</v>
      </c>
      <c r="Q122" s="832"/>
      <c r="R122" s="832"/>
      <c r="S122" s="832"/>
      <c r="T122" s="832"/>
      <c r="U122" s="832"/>
      <c r="V122" s="832"/>
      <c r="W122" s="832"/>
      <c r="X122" s="832"/>
    </row>
    <row r="123" spans="1:24" s="812" customFormat="1" ht="50.1" hidden="1" customHeight="1" x14ac:dyDescent="0.15">
      <c r="A123" s="2072">
        <f ca="1">+Orçamento_Não_Deson!A123</f>
        <v>3.0399999999999991</v>
      </c>
      <c r="B123" s="833">
        <f>+Orçamento_Não_Deson!B123</f>
        <v>90098</v>
      </c>
      <c r="C123" s="2" t="str">
        <f>VLOOKUP($B123,[2]BOLETIM_SEL!$A:$H,2,0)</f>
        <v>SINAPI</v>
      </c>
      <c r="D123" s="315" t="str">
        <f>VLOOKUP($B123,[2]BOLETIM_SEL!$A:$H,4,0)</f>
        <v>Escavação mecanizada de vala com profundidade maior que 4,50 m até 6,00 m (média entre montante e jusante / uma composição por trecho), com escavadeira hidráulica (capacidade da caçamba: 1,20 m3 / potência: 155 HP), largura de 1,50 m a 2,50 m, em solo de 1a categoria, locais com baixo nível de interferência. AF_01/2015</v>
      </c>
      <c r="E123" s="2">
        <f>+Orçamento_Não_Deson!E123</f>
        <v>0</v>
      </c>
      <c r="F123" s="2" t="str">
        <f>VLOOKUP($B123,[2]BOLETIM_SEL!$A:$H,6,0)</f>
        <v>M3</v>
      </c>
      <c r="G123" s="1407">
        <f>VLOOKUP($B123,[2]BOLETIM_SEL!$A:$H,7,0)</f>
        <v>4.8899999999999997</v>
      </c>
      <c r="H123" s="1608">
        <f>+Orçamento_Não_Deson!H123</f>
        <v>0</v>
      </c>
      <c r="I123" s="876">
        <f t="shared" si="15"/>
        <v>6.26</v>
      </c>
      <c r="J123" s="1607">
        <f t="shared" si="16"/>
        <v>0</v>
      </c>
      <c r="K123" s="2069">
        <f t="shared" ca="1" si="13"/>
        <v>0</v>
      </c>
      <c r="L123" s="1570">
        <f t="shared" ca="1" si="14"/>
        <v>0</v>
      </c>
      <c r="M123" s="2489"/>
      <c r="N123" s="1958">
        <f>VLOOKUP($B123,[2]BOLETIM_SEL!$A:$H,3,0)</f>
        <v>22.08</v>
      </c>
      <c r="O123" s="1645">
        <f t="shared" si="17"/>
        <v>0</v>
      </c>
      <c r="Q123" s="832"/>
      <c r="R123" s="832"/>
      <c r="S123" s="832"/>
      <c r="T123" s="832"/>
      <c r="U123" s="832"/>
      <c r="V123" s="832"/>
      <c r="W123" s="832"/>
      <c r="X123" s="832"/>
    </row>
    <row r="124" spans="1:24" s="812" customFormat="1" ht="30" customHeight="1" x14ac:dyDescent="0.15">
      <c r="A124" s="2072">
        <f ca="1">Orçamento_Não_Deson!A124</f>
        <v>3.0499999999999989</v>
      </c>
      <c r="B124" s="833">
        <f>Orçamento_Não_Deson!B124</f>
        <v>93358</v>
      </c>
      <c r="C124" s="2" t="str">
        <f>VLOOKUP($B124,[2]BOLETIM_SEL!$A:$H,2,0)</f>
        <v>SINAPI</v>
      </c>
      <c r="D124" s="315" t="str">
        <f>VLOOKUP($B124,[2]BOLETIM_SEL!$A:$H,4,0)</f>
        <v>Escavação manual de vala com profundidade menor ou igual a 1,30 m. AF_03/2016</v>
      </c>
      <c r="E124" s="2">
        <f>Orçamento_Não_Deson!E124</f>
        <v>0</v>
      </c>
      <c r="F124" s="2" t="str">
        <f>VLOOKUP($B124,[2]BOLETIM_SEL!$A:$H,6,0)</f>
        <v>M3</v>
      </c>
      <c r="G124" s="1407">
        <f>VLOOKUP($B124,[2]BOLETIM_SEL!$A:$H,7,0)</f>
        <v>70.17</v>
      </c>
      <c r="H124" s="1608">
        <f ca="1">Orçamento_Não_Deson!H124</f>
        <v>102.05</v>
      </c>
      <c r="I124" s="876">
        <f t="shared" si="15"/>
        <v>89.93</v>
      </c>
      <c r="J124" s="1607">
        <f ca="1">TRUNC(H124*I124,2)</f>
        <v>9177.35</v>
      </c>
      <c r="K124" s="2069">
        <f t="shared" ca="1" si="13"/>
        <v>2.429005577050905E-3</v>
      </c>
      <c r="L124" s="1570">
        <f t="shared" ca="1" si="14"/>
        <v>6.3799024816575248E-2</v>
      </c>
      <c r="M124" s="1967"/>
      <c r="N124" s="1958"/>
      <c r="O124" s="1645"/>
      <c r="Q124" s="832"/>
      <c r="R124" s="832"/>
      <c r="S124" s="832"/>
      <c r="T124" s="832"/>
      <c r="U124" s="832"/>
      <c r="V124" s="832"/>
      <c r="W124" s="832"/>
      <c r="X124" s="832"/>
    </row>
    <row r="125" spans="1:24" s="812" customFormat="1" ht="39.950000000000003" hidden="1" customHeight="1" x14ac:dyDescent="0.15">
      <c r="A125" s="2072">
        <f ca="1">+Orçamento_Não_Deson!A125</f>
        <v>3.0499999999999989</v>
      </c>
      <c r="B125" s="833" t="str">
        <f>+Orçamento_Não_Deson!B125</f>
        <v>DR/0020</v>
      </c>
      <c r="C125" s="2" t="str">
        <f>VLOOKUP($B125,[2]BOLETIM_SEL!$A:$H,2,0)</f>
        <v>COMPOSIÇÃO</v>
      </c>
      <c r="D125" s="315" t="str">
        <f>VLOOKUP($B125,[2]BOLETIM_SEL!$A:$H,4,0)</f>
        <v>Escavação de vala em rocha - 3a categoria, com uso de explosivos e perfuração mecânica, em locais com alto nível de interferência. Inclusive carga</v>
      </c>
      <c r="E125" s="2">
        <f>+Orçamento_Não_Deson!E125</f>
        <v>0</v>
      </c>
      <c r="F125" s="2" t="str">
        <f>VLOOKUP($B125,[2]BOLETIM_SEL!$A:$H,6,0)</f>
        <v>M3</v>
      </c>
      <c r="G125" s="1407">
        <f>VLOOKUP($B125,[2]BOLETIM_SEL!$A:$H,7,0)</f>
        <v>471.16</v>
      </c>
      <c r="H125" s="1608">
        <f>+Orçamento_Não_Deson!H125</f>
        <v>0</v>
      </c>
      <c r="I125" s="876">
        <f t="shared" si="15"/>
        <v>603.88</v>
      </c>
      <c r="J125" s="1607">
        <f t="shared" si="16"/>
        <v>0</v>
      </c>
      <c r="K125" s="2069">
        <f t="shared" ca="1" si="13"/>
        <v>0</v>
      </c>
      <c r="L125" s="1570">
        <f t="shared" ca="1" si="14"/>
        <v>0</v>
      </c>
      <c r="M125" s="1967"/>
      <c r="N125" s="1958">
        <f>VLOOKUP($B125,[2]BOLETIM_SEL!$A:$H,3,0)</f>
        <v>3</v>
      </c>
      <c r="O125" s="1645">
        <f>+H125/N125</f>
        <v>0</v>
      </c>
      <c r="Q125" s="832"/>
      <c r="R125" s="832"/>
      <c r="S125" s="832"/>
      <c r="T125" s="832"/>
      <c r="U125" s="832"/>
      <c r="V125" s="832"/>
      <c r="W125" s="832"/>
      <c r="X125" s="832"/>
    </row>
    <row r="126" spans="1:24" s="812" customFormat="1" ht="30" customHeight="1" x14ac:dyDescent="0.15">
      <c r="A126" s="2072">
        <f ca="1">+Orçamento_Não_Deson!A126</f>
        <v>3.0599999999999987</v>
      </c>
      <c r="B126" s="833">
        <f>+Orçamento_Não_Deson!B126</f>
        <v>101570</v>
      </c>
      <c r="C126" s="2" t="str">
        <f>VLOOKUP($B126,[2]BOLETIM_SEL!$A:$H,2,0)</f>
        <v>SINAPI</v>
      </c>
      <c r="D126" s="315" t="str">
        <f>VLOOKUP($B126,[2]BOLETIM_SEL!$A:$H,4,0)</f>
        <v>Escoramento de vala, tipo pontaleteamento, com profundidade de 0,00 a 1,50 m, largura menor que 1,50 m. AF_08/2020</v>
      </c>
      <c r="E126" s="2">
        <f>+Orçamento_Não_Deson!E126</f>
        <v>0</v>
      </c>
      <c r="F126" s="2" t="str">
        <f>VLOOKUP($B126,[2]BOLETIM_SEL!$A:$H,6,0)</f>
        <v>M2</v>
      </c>
      <c r="G126" s="1407">
        <f>VLOOKUP($B126,[2]BOLETIM_SEL!$A:$H,7,0)</f>
        <v>21.06</v>
      </c>
      <c r="H126" s="1608">
        <f ca="1">+Orçamento_Não_Deson!H126</f>
        <v>576.28</v>
      </c>
      <c r="I126" s="876">
        <f t="shared" si="15"/>
        <v>26.99</v>
      </c>
      <c r="J126" s="1607">
        <f t="shared" ca="1" si="16"/>
        <v>15553.79</v>
      </c>
      <c r="K126" s="2069">
        <f t="shared" ca="1" si="13"/>
        <v>4.1166832096714845E-3</v>
      </c>
      <c r="L126" s="1570">
        <f t="shared" ca="1" si="14"/>
        <v>0.10812670696898341</v>
      </c>
      <c r="M126" s="2491" t="str">
        <f>VLOOKUP($B126,[2]BOLETIM_SEL!$A:$H,5,0)</f>
        <v>PONTALETEAMENTO</v>
      </c>
      <c r="N126" s="832"/>
      <c r="O126" s="841"/>
      <c r="Q126" s="832"/>
      <c r="R126" s="832"/>
      <c r="S126" s="832"/>
      <c r="T126" s="832"/>
      <c r="U126" s="832"/>
      <c r="V126" s="832"/>
      <c r="W126" s="832"/>
      <c r="X126" s="832"/>
    </row>
    <row r="127" spans="1:24" s="812" customFormat="1" ht="39.950000000000003" hidden="1" customHeight="1" x14ac:dyDescent="0.15">
      <c r="A127" s="2072">
        <f ca="1">+Orçamento_Não_Deson!A127</f>
        <v>3.0599999999999987</v>
      </c>
      <c r="B127" s="833">
        <f>+Orçamento_Não_Deson!B127</f>
        <v>101571</v>
      </c>
      <c r="C127" s="2" t="str">
        <f>VLOOKUP($B127,[2]BOLETIM_SEL!$A:$H,2,0)</f>
        <v>SINAPI</v>
      </c>
      <c r="D127" s="315" t="str">
        <f>VLOOKUP($B127,[2]BOLETIM_SEL!$A:$H,4,0)</f>
        <v>Escoramento de vala, tipo pontaleteamento, com profundidade de 0,00 a 1,50 m, largura maior ou igual a 1,50 m e menor que 2,50 m. AF_08/2020</v>
      </c>
      <c r="E127" s="2">
        <f>+Orçamento_Não_Deson!E127</f>
        <v>0</v>
      </c>
      <c r="F127" s="2" t="str">
        <f>VLOOKUP($B127,[2]BOLETIM_SEL!$A:$H,6,0)</f>
        <v>M2</v>
      </c>
      <c r="G127" s="1407">
        <f>VLOOKUP($B127,[2]BOLETIM_SEL!$A:$H,7,0)</f>
        <v>28.2</v>
      </c>
      <c r="H127" s="1608">
        <f ca="1">+Orçamento_Não_Deson!H127</f>
        <v>0</v>
      </c>
      <c r="I127" s="876">
        <f t="shared" si="15"/>
        <v>36.14</v>
      </c>
      <c r="J127" s="1607">
        <f t="shared" ca="1" si="16"/>
        <v>0</v>
      </c>
      <c r="K127" s="2069">
        <f t="shared" ca="1" si="13"/>
        <v>0</v>
      </c>
      <c r="L127" s="1570">
        <f t="shared" ca="1" si="14"/>
        <v>0</v>
      </c>
      <c r="M127" s="2491"/>
      <c r="N127" s="832"/>
      <c r="O127" s="832"/>
      <c r="Q127" s="832"/>
      <c r="R127" s="832"/>
      <c r="S127" s="832"/>
      <c r="T127" s="832"/>
      <c r="U127" s="832"/>
      <c r="V127" s="832"/>
      <c r="W127" s="832"/>
      <c r="X127" s="832"/>
    </row>
    <row r="128" spans="1:24" s="812" customFormat="1" ht="30" hidden="1" customHeight="1" x14ac:dyDescent="0.15">
      <c r="A128" s="2072">
        <f ca="1">+Orçamento_Não_Deson!A128</f>
        <v>3.0599999999999987</v>
      </c>
      <c r="B128" s="833">
        <f>+Orçamento_Não_Deson!B128</f>
        <v>101572</v>
      </c>
      <c r="C128" s="2" t="str">
        <f>VLOOKUP($B128,[2]BOLETIM_SEL!$A:$H,2,0)</f>
        <v>SINAPI</v>
      </c>
      <c r="D128" s="315" t="str">
        <f>VLOOKUP($B128,[2]BOLETIM_SEL!$A:$H,4,0)</f>
        <v>Escoramento de vala, tipo pontaleteamento, com profundidade de 1,50 a 3,00 m, largura menor que 1,50 m. AF_08/2020</v>
      </c>
      <c r="E128" s="2">
        <f>+Orçamento_Não_Deson!E128</f>
        <v>0</v>
      </c>
      <c r="F128" s="2" t="str">
        <f>VLOOKUP($B128,[2]BOLETIM_SEL!$A:$H,6,0)</f>
        <v>M2</v>
      </c>
      <c r="G128" s="1407">
        <f>VLOOKUP($B128,[2]BOLETIM_SEL!$A:$H,7,0)</f>
        <v>16.75</v>
      </c>
      <c r="H128" s="1608">
        <f ca="1">+Orçamento_Não_Deson!H128</f>
        <v>0</v>
      </c>
      <c r="I128" s="876">
        <f t="shared" si="15"/>
        <v>21.46</v>
      </c>
      <c r="J128" s="1607">
        <f t="shared" ca="1" si="16"/>
        <v>0</v>
      </c>
      <c r="K128" s="2069">
        <f t="shared" ca="1" si="13"/>
        <v>0</v>
      </c>
      <c r="L128" s="1570">
        <f t="shared" ca="1" si="14"/>
        <v>0</v>
      </c>
      <c r="M128" s="2491"/>
      <c r="N128" s="832"/>
      <c r="O128" s="832"/>
      <c r="Q128" s="832"/>
      <c r="R128" s="832"/>
      <c r="S128" s="832"/>
      <c r="T128" s="832"/>
      <c r="U128" s="832"/>
      <c r="V128" s="832"/>
      <c r="W128" s="832"/>
      <c r="X128" s="832"/>
    </row>
    <row r="129" spans="1:24" s="812" customFormat="1" ht="39.950000000000003" customHeight="1" x14ac:dyDescent="0.15">
      <c r="A129" s="2072">
        <f ca="1">+Orçamento_Não_Deson!A129</f>
        <v>3.0699999999999985</v>
      </c>
      <c r="B129" s="833">
        <f>+Orçamento_Não_Deson!B129</f>
        <v>101573</v>
      </c>
      <c r="C129" s="2" t="str">
        <f>VLOOKUP($B129,[2]BOLETIM_SEL!$A:$H,2,0)</f>
        <v>SINAPI</v>
      </c>
      <c r="D129" s="315" t="str">
        <f>VLOOKUP($B129,[2]BOLETIM_SEL!$A:$H,4,0)</f>
        <v>Escoramento de vala, tipo pontaleteamento, com profundidade de 1,50 a 3,00 m, largura maior ou igual a 1,50 m e menor que 2,50 m. AF_08/2020</v>
      </c>
      <c r="E129" s="2">
        <f>+Orçamento_Não_Deson!E129</f>
        <v>0</v>
      </c>
      <c r="F129" s="2" t="str">
        <f>VLOOKUP($B129,[2]BOLETIM_SEL!$A:$H,6,0)</f>
        <v>M2</v>
      </c>
      <c r="G129" s="1407">
        <f>VLOOKUP($B129,[2]BOLETIM_SEL!$A:$H,7,0)</f>
        <v>23.88</v>
      </c>
      <c r="H129" s="1608">
        <f ca="1">+Orçamento_Não_Deson!H129</f>
        <v>578.66</v>
      </c>
      <c r="I129" s="876">
        <f t="shared" si="15"/>
        <v>30.6</v>
      </c>
      <c r="J129" s="1607">
        <f t="shared" ca="1" si="16"/>
        <v>17706.990000000002</v>
      </c>
      <c r="K129" s="2069">
        <f t="shared" ca="1" si="13"/>
        <v>4.6865791827471557E-3</v>
      </c>
      <c r="L129" s="1570">
        <f t="shared" ca="1" si="14"/>
        <v>0.12309530468347069</v>
      </c>
      <c r="M129" s="2491"/>
      <c r="N129" s="832"/>
      <c r="O129" s="832"/>
      <c r="Q129" s="832"/>
      <c r="R129" s="832"/>
      <c r="S129" s="832"/>
      <c r="T129" s="832"/>
      <c r="U129" s="832"/>
      <c r="V129" s="832"/>
      <c r="W129" s="832"/>
      <c r="X129" s="832"/>
    </row>
    <row r="130" spans="1:24" s="812" customFormat="1" ht="30" hidden="1" customHeight="1" x14ac:dyDescent="0.15">
      <c r="A130" s="2072">
        <f ca="1">+Orçamento_Não_Deson!A130</f>
        <v>3.0699999999999985</v>
      </c>
      <c r="B130" s="833">
        <f>+Orçamento_Não_Deson!B130</f>
        <v>101578</v>
      </c>
      <c r="C130" s="2" t="str">
        <f>VLOOKUP($B130,[2]BOLETIM_SEL!$A:$H,2,0)</f>
        <v>SINAPI</v>
      </c>
      <c r="D130" s="315" t="str">
        <f>VLOOKUP($B130,[2]BOLETIM_SEL!$A:$H,4,0)</f>
        <v>Escoramento de vala, tipo descontínuo, com profundidade de 1,50 m a 3,00 m, largura menor que 1,50 m. AF_08/2020</v>
      </c>
      <c r="E130" s="2">
        <f>+Orçamento_Não_Deson!E130</f>
        <v>0</v>
      </c>
      <c r="F130" s="2" t="str">
        <f>VLOOKUP($B130,[2]BOLETIM_SEL!$A:$H,6,0)</f>
        <v>M2</v>
      </c>
      <c r="G130" s="1407">
        <f>VLOOKUP($B130,[2]BOLETIM_SEL!$A:$H,7,0)</f>
        <v>33.25</v>
      </c>
      <c r="H130" s="1608">
        <f ca="1">+Orçamento_Não_Deson!H130</f>
        <v>0</v>
      </c>
      <c r="I130" s="876">
        <f t="shared" ref="I130:I133" si="18">TRUNC(G130*(1+$J$5),2)</f>
        <v>42.61</v>
      </c>
      <c r="J130" s="1607">
        <f t="shared" ref="J130:J133" ca="1" si="19">TRUNC(H130*I130,2)</f>
        <v>0</v>
      </c>
      <c r="K130" s="2069">
        <f t="shared" ca="1" si="13"/>
        <v>0</v>
      </c>
      <c r="L130" s="1570">
        <f t="shared" ref="L130:L133" ca="1" si="20">J130/J$100</f>
        <v>0</v>
      </c>
      <c r="M130" s="2099"/>
      <c r="N130" s="832"/>
      <c r="O130" s="832"/>
      <c r="Q130" s="832"/>
      <c r="R130" s="832"/>
      <c r="S130" s="832"/>
      <c r="T130" s="832"/>
      <c r="U130" s="832"/>
      <c r="V130" s="832"/>
      <c r="W130" s="832"/>
      <c r="X130" s="832"/>
    </row>
    <row r="131" spans="1:24" s="812" customFormat="1" ht="39.950000000000003" hidden="1" customHeight="1" x14ac:dyDescent="0.15">
      <c r="A131" s="2072">
        <f ca="1">+Orçamento_Não_Deson!A131</f>
        <v>3.0699999999999985</v>
      </c>
      <c r="B131" s="833">
        <f>+Orçamento_Não_Deson!B131</f>
        <v>101579</v>
      </c>
      <c r="C131" s="2" t="str">
        <f>VLOOKUP($B131,[2]BOLETIM_SEL!$A:$H,2,0)</f>
        <v>SINAPI</v>
      </c>
      <c r="D131" s="315" t="str">
        <f>VLOOKUP($B131,[2]BOLETIM_SEL!$A:$H,4,0)</f>
        <v>Escoramento de vala, tipo descontínuo, com profundidade de 1,50 a 3,00 m, largura maior ou igual a 1,50 m e menor que 2,50 m. AF_08/2020</v>
      </c>
      <c r="E131" s="2">
        <f>+Orçamento_Não_Deson!E131</f>
        <v>0</v>
      </c>
      <c r="F131" s="2" t="str">
        <f>VLOOKUP($B131,[2]BOLETIM_SEL!$A:$H,6,0)</f>
        <v>M2</v>
      </c>
      <c r="G131" s="1407">
        <f>VLOOKUP($B131,[2]BOLETIM_SEL!$A:$H,7,0)</f>
        <v>42.3</v>
      </c>
      <c r="H131" s="1608">
        <f ca="1">+Orçamento_Não_Deson!H131</f>
        <v>0</v>
      </c>
      <c r="I131" s="876">
        <f t="shared" si="18"/>
        <v>54.21</v>
      </c>
      <c r="J131" s="1607">
        <f t="shared" ca="1" si="19"/>
        <v>0</v>
      </c>
      <c r="K131" s="2069">
        <f t="shared" ca="1" si="13"/>
        <v>0</v>
      </c>
      <c r="L131" s="1570">
        <f t="shared" ca="1" si="20"/>
        <v>0</v>
      </c>
      <c r="M131" s="2099"/>
      <c r="N131" s="832"/>
      <c r="O131" s="832"/>
      <c r="Q131" s="832"/>
      <c r="R131" s="832"/>
      <c r="S131" s="832"/>
      <c r="T131" s="832"/>
      <c r="U131" s="832"/>
      <c r="V131" s="832"/>
      <c r="W131" s="832"/>
      <c r="X131" s="832"/>
    </row>
    <row r="132" spans="1:24" s="812" customFormat="1" ht="30" hidden="1" customHeight="1" x14ac:dyDescent="0.15">
      <c r="A132" s="2072">
        <f ca="1">+Orçamento_Não_Deson!A132</f>
        <v>3.0699999999999985</v>
      </c>
      <c r="B132" s="833">
        <f>+Orçamento_Não_Deson!B132</f>
        <v>101586</v>
      </c>
      <c r="C132" s="2" t="str">
        <f>VLOOKUP($B132,[2]BOLETIM_SEL!$A:$H,2,0)</f>
        <v>SINAPI</v>
      </c>
      <c r="D132" s="315" t="str">
        <f>VLOOKUP($B132,[2]BOLETIM_SEL!$A:$H,4,0)</f>
        <v>Escoramento de vala, tipo contínuo, com profundidade de 3,00 a 4,50 m, largura menor que 1,50 m. AF_08/2020</v>
      </c>
      <c r="E132" s="2">
        <f>+Orçamento_Não_Deson!E132</f>
        <v>0</v>
      </c>
      <c r="F132" s="2" t="str">
        <f>VLOOKUP($B132,[2]BOLETIM_SEL!$A:$H,6,0)</f>
        <v>M2</v>
      </c>
      <c r="G132" s="1407">
        <f>VLOOKUP($B132,[2]BOLETIM_SEL!$A:$H,7,0)</f>
        <v>48.48</v>
      </c>
      <c r="H132" s="1608">
        <f>+Orçamento_Não_Deson!H132</f>
        <v>0</v>
      </c>
      <c r="I132" s="876">
        <f t="shared" si="18"/>
        <v>62.13</v>
      </c>
      <c r="J132" s="1607">
        <f t="shared" si="19"/>
        <v>0</v>
      </c>
      <c r="K132" s="2069">
        <f t="shared" ref="K132:K163" ca="1" si="21">J132/J$930</f>
        <v>0</v>
      </c>
      <c r="L132" s="1570">
        <f t="shared" ca="1" si="20"/>
        <v>0</v>
      </c>
      <c r="M132" s="2099"/>
      <c r="N132" s="832"/>
      <c r="O132" s="832"/>
      <c r="Q132" s="832"/>
      <c r="R132" s="832"/>
      <c r="S132" s="832"/>
      <c r="T132" s="832"/>
      <c r="U132" s="832"/>
      <c r="V132" s="832"/>
      <c r="W132" s="832"/>
      <c r="X132" s="832"/>
    </row>
    <row r="133" spans="1:24" s="812" customFormat="1" ht="39.950000000000003" hidden="1" customHeight="1" x14ac:dyDescent="0.15">
      <c r="A133" s="2072">
        <f ca="1">+Orçamento_Não_Deson!A133</f>
        <v>3.0699999999999985</v>
      </c>
      <c r="B133" s="833">
        <f>+Orçamento_Não_Deson!B133</f>
        <v>101587</v>
      </c>
      <c r="C133" s="2" t="str">
        <f>VLOOKUP($B133,[2]BOLETIM_SEL!$A:$H,2,0)</f>
        <v>SINAPI</v>
      </c>
      <c r="D133" s="315" t="str">
        <f>VLOOKUP($B133,[2]BOLETIM_SEL!$A:$H,4,0)</f>
        <v>Escoramento de vala, tipo contínuo, com profundidade de 3,00 a 4,50 m, largura maior ou igual a 1,50 e menor que 2,50 m. AF_08/2020</v>
      </c>
      <c r="E133" s="2">
        <f>+Orçamento_Não_Deson!E133</f>
        <v>0</v>
      </c>
      <c r="F133" s="2" t="str">
        <f>VLOOKUP($B133,[2]BOLETIM_SEL!$A:$H,6,0)</f>
        <v>M2</v>
      </c>
      <c r="G133" s="1407">
        <f>VLOOKUP($B133,[2]BOLETIM_SEL!$A:$H,7,0)</f>
        <v>62.68</v>
      </c>
      <c r="H133" s="1608">
        <f ca="1">+Orçamento_Não_Deson!H133</f>
        <v>0</v>
      </c>
      <c r="I133" s="876">
        <f t="shared" si="18"/>
        <v>80.33</v>
      </c>
      <c r="J133" s="1607">
        <f t="shared" ca="1" si="19"/>
        <v>0</v>
      </c>
      <c r="K133" s="2069">
        <f t="shared" ca="1" si="21"/>
        <v>0</v>
      </c>
      <c r="L133" s="1570">
        <f t="shared" ca="1" si="20"/>
        <v>0</v>
      </c>
      <c r="M133" s="2099"/>
      <c r="N133" s="832"/>
      <c r="O133" s="832"/>
      <c r="Q133" s="832"/>
      <c r="R133" s="832"/>
      <c r="S133" s="832"/>
      <c r="T133" s="832"/>
      <c r="U133" s="832"/>
      <c r="V133" s="832"/>
      <c r="W133" s="832"/>
      <c r="X133" s="832"/>
    </row>
    <row r="134" spans="1:24" s="812" customFormat="1" ht="50.1" customHeight="1" x14ac:dyDescent="0.15">
      <c r="A134" s="2072">
        <f ca="1">+Orçamento_Não_Deson!A134</f>
        <v>3.0799999999999983</v>
      </c>
      <c r="B134" s="833" t="str">
        <f>+Orçamento_Não_Deson!B134</f>
        <v>ES/0010</v>
      </c>
      <c r="C134" s="2" t="str">
        <f>VLOOKUP($B134,[2]BOLETIM_SEL!$A:$H,2,0)</f>
        <v>COMPOSIÇÃO</v>
      </c>
      <c r="D134" s="315" t="str">
        <f>VLOOKUP($B134,[2]BOLETIM_SEL!$A:$H,4,0)</f>
        <v>Escoramento de vala, tipo blindado, com profundidade de 1,5 a 3,0 m, largura maior ou igual a 1,5 m e menor que 2,5 m. Altura do escoramento igual a 2,4 m.  Execução e fornecimento, inclui material. (REF. SINAPI COD. 03.ESCO.VALA.040/01)</v>
      </c>
      <c r="E134" s="2">
        <f>+Orçamento_Não_Deson!E134</f>
        <v>0</v>
      </c>
      <c r="F134" s="2" t="str">
        <f>VLOOKUP($B134,[2]BOLETIM_SEL!$A:$H,6,0)</f>
        <v>M2</v>
      </c>
      <c r="G134" s="1407">
        <f>VLOOKUP($B134,[2]BOLETIM_SEL!$A:$H,7,0)</f>
        <v>22.36</v>
      </c>
      <c r="H134" s="1608">
        <f ca="1">+Orçamento_Não_Deson!H134</f>
        <v>216.19</v>
      </c>
      <c r="I134" s="876">
        <f t="shared" si="15"/>
        <v>28.65</v>
      </c>
      <c r="J134" s="1607">
        <f t="shared" ca="1" si="16"/>
        <v>6193.84</v>
      </c>
      <c r="K134" s="2069">
        <f t="shared" ca="1" si="21"/>
        <v>1.6393481673207383E-3</v>
      </c>
      <c r="L134" s="1570">
        <f t="shared" ca="1" si="14"/>
        <v>4.3058285002740053E-2</v>
      </c>
      <c r="M134" s="1970">
        <f>VLOOKUP($B134,[2]BOLETIM_SEL!$A:$H,5,0)</f>
        <v>0</v>
      </c>
      <c r="N134" s="832"/>
      <c r="O134" s="832"/>
      <c r="Q134" s="832"/>
      <c r="R134" s="832"/>
      <c r="S134" s="832"/>
      <c r="T134" s="832"/>
      <c r="U134" s="832"/>
      <c r="V134" s="832"/>
      <c r="W134" s="832"/>
      <c r="X134" s="832"/>
    </row>
    <row r="135" spans="1:24" s="812" customFormat="1" ht="50.1" customHeight="1" x14ac:dyDescent="0.15">
      <c r="A135" s="2072">
        <f ca="1">Orçamento_Não_Deson!A135</f>
        <v>3.0899999999999981</v>
      </c>
      <c r="B135" s="833" t="str">
        <f>Orçamento_Não_Deson!B135</f>
        <v>ES/0015</v>
      </c>
      <c r="C135" s="2" t="str">
        <f>VLOOKUP($B135,[2]BOLETIM_SEL!$A:$H,2,0)</f>
        <v>COMPOSIÇÃO</v>
      </c>
      <c r="D135" s="315" t="str">
        <f>VLOOKUP($B135,[2]BOLETIM_SEL!$A:$H,4,0)</f>
        <v>Escoramento de vala, tipo blindado, com profundidade de 3,0 a 4,5 m, largura maior ou igual a 1,5 m e menor que 2,5 m. Altura do escoramento igual a 2,4 m.  Execução e fornecimento, inclui material. (REF. SINAPI COD. 03.ESCO.VALA.042/01)</v>
      </c>
      <c r="E135" s="2">
        <f>Orçamento_Não_Deson!E135</f>
        <v>0</v>
      </c>
      <c r="F135" s="2" t="str">
        <f>VLOOKUP($B135,[2]BOLETIM_SEL!$A:$H,6,0)</f>
        <v>M2</v>
      </c>
      <c r="G135" s="1407">
        <f>VLOOKUP($B135,[2]BOLETIM_SEL!$A:$H,7,0)</f>
        <v>19.2</v>
      </c>
      <c r="H135" s="1608">
        <f ca="1">Orçamento_Não_Deson!H135</f>
        <v>870.24</v>
      </c>
      <c r="I135" s="876">
        <f t="shared" si="15"/>
        <v>24.6</v>
      </c>
      <c r="J135" s="1607">
        <f t="shared" ca="1" si="16"/>
        <v>21407.9</v>
      </c>
      <c r="K135" s="2069">
        <f t="shared" ca="1" si="21"/>
        <v>5.666113692182174E-3</v>
      </c>
      <c r="L135" s="1570">
        <f t="shared" ca="1" si="14"/>
        <v>0.14882325980492858</v>
      </c>
      <c r="M135" s="1970">
        <f>VLOOKUP($B135,[2]BOLETIM_SEL!$A:$H,5,0)</f>
        <v>0</v>
      </c>
      <c r="N135" s="832"/>
      <c r="O135" s="832"/>
      <c r="Q135" s="832"/>
      <c r="R135" s="832"/>
      <c r="S135" s="832"/>
      <c r="T135" s="832"/>
      <c r="U135" s="832"/>
      <c r="V135" s="832"/>
      <c r="W135" s="832"/>
      <c r="X135" s="832"/>
    </row>
    <row r="136" spans="1:24" s="812" customFormat="1" ht="30" customHeight="1" x14ac:dyDescent="0.15">
      <c r="A136" s="2072">
        <f ca="1">Orçamento_Não_Deson!A136</f>
        <v>3.0999999999999979</v>
      </c>
      <c r="B136" s="833">
        <f>Orçamento_Não_Deson!B136</f>
        <v>101616</v>
      </c>
      <c r="C136" s="2" t="str">
        <f>VLOOKUP($B136,[2]BOLETIM_SEL!$A:$H,2,0)</f>
        <v>SINAPI</v>
      </c>
      <c r="D136" s="315" t="str">
        <f>VLOOKUP($B136,[2]BOLETIM_SEL!$A:$H,4,0)</f>
        <v>Preparo de fundo de vala com largura menor que 1,50 m (acerto do solo natural). AF_08/2020</v>
      </c>
      <c r="E136" s="2">
        <f>Orçamento_Não_Deson!E136</f>
        <v>0</v>
      </c>
      <c r="F136" s="2" t="str">
        <f>VLOOKUP($B136,[2]BOLETIM_SEL!$A:$H,6,0)</f>
        <v>M2</v>
      </c>
      <c r="G136" s="1407">
        <f>VLOOKUP($B136,[2]BOLETIM_SEL!$A:$H,7,0)</f>
        <v>5.15</v>
      </c>
      <c r="H136" s="1608">
        <f ca="1">Orçamento_Não_Deson!H136</f>
        <v>435.32</v>
      </c>
      <c r="I136" s="876">
        <f t="shared" si="15"/>
        <v>6.6</v>
      </c>
      <c r="J136" s="1607">
        <f t="shared" ca="1" si="16"/>
        <v>2873.11</v>
      </c>
      <c r="K136" s="2069">
        <f t="shared" ca="1" si="21"/>
        <v>7.6043740442292449E-4</v>
      </c>
      <c r="L136" s="1570">
        <f t="shared" ca="1" si="14"/>
        <v>1.9973262019074189E-2</v>
      </c>
      <c r="M136" s="2494" t="str">
        <f>VLOOKUP($B136,[2]BOLETIM_SEL!$A:$H,5,0)</f>
        <v>SOLO NATURAL</v>
      </c>
      <c r="N136" s="832"/>
      <c r="O136" s="832"/>
      <c r="Q136" s="832"/>
      <c r="R136" s="832"/>
      <c r="S136" s="832"/>
      <c r="T136" s="832"/>
      <c r="U136" s="832"/>
      <c r="V136" s="832"/>
      <c r="W136" s="832"/>
      <c r="X136" s="832"/>
    </row>
    <row r="137" spans="1:24" s="812" customFormat="1" ht="30" customHeight="1" x14ac:dyDescent="0.15">
      <c r="A137" s="2072">
        <f ca="1">+Orçamento_Não_Deson!A137</f>
        <v>3.1099999999999977</v>
      </c>
      <c r="B137" s="833">
        <f>+Orçamento_Não_Deson!B137</f>
        <v>101617</v>
      </c>
      <c r="C137" s="2" t="str">
        <f>VLOOKUP($B137,[2]BOLETIM_SEL!$A:$H,2,0)</f>
        <v>SINAPI</v>
      </c>
      <c r="D137" s="315" t="str">
        <f>VLOOKUP($B137,[2]BOLETIM_SEL!$A:$H,4,0)</f>
        <v>Preparo de fundo de vala com largura maior ou igual a 1,50 m e menor que 2,50 m (acerto do solo natural). AF_08/2020</v>
      </c>
      <c r="E137" s="2">
        <f>+Orçamento_Não_Deson!E137</f>
        <v>0</v>
      </c>
      <c r="F137" s="2" t="str">
        <f>VLOOKUP($B137,[2]BOLETIM_SEL!$A:$H,6,0)</f>
        <v>M2</v>
      </c>
      <c r="G137" s="1407">
        <f>VLOOKUP($B137,[2]BOLETIM_SEL!$A:$H,7,0)</f>
        <v>2.52</v>
      </c>
      <c r="H137" s="1608">
        <f ca="1">+Orçamento_Não_Deson!H137</f>
        <v>290.08</v>
      </c>
      <c r="I137" s="876">
        <f t="shared" si="15"/>
        <v>3.22</v>
      </c>
      <c r="J137" s="1607">
        <f t="shared" ca="1" si="16"/>
        <v>934.05</v>
      </c>
      <c r="K137" s="2069">
        <f t="shared" ca="1" si="21"/>
        <v>2.4721871338070331E-4</v>
      </c>
      <c r="L137" s="1570">
        <f t="shared" ca="1" si="14"/>
        <v>6.493320961924968E-3</v>
      </c>
      <c r="M137" s="2494"/>
      <c r="N137" s="832"/>
      <c r="O137" s="832"/>
      <c r="Q137" s="832"/>
      <c r="R137" s="832"/>
      <c r="S137" s="832"/>
      <c r="T137" s="832"/>
      <c r="U137" s="832"/>
      <c r="V137" s="832"/>
      <c r="W137" s="832"/>
      <c r="X137" s="832"/>
    </row>
    <row r="138" spans="1:24" s="812" customFormat="1" ht="30" hidden="1" customHeight="1" x14ac:dyDescent="0.15">
      <c r="A138" s="2072">
        <f ca="1">Orçamento_Não_Deson!A138</f>
        <v>3.1099999999999977</v>
      </c>
      <c r="B138" s="833">
        <f>Orçamento_Não_Deson!B138</f>
        <v>101623</v>
      </c>
      <c r="C138" s="2" t="str">
        <f>VLOOKUP($B138,[2]BOLETIM_SEL!$A:$H,2,0)</f>
        <v>SINAPI</v>
      </c>
      <c r="D138" s="315" t="str">
        <f>VLOOKUP($B138,[2]BOLETIM_SEL!$A:$H,4,0)</f>
        <v>Preparo de fundo de vala com largura menor que 1,50 m, com camada de brita, lançamento mecanizado. AF_08/2020</v>
      </c>
      <c r="E138" s="2">
        <f>Orçamento_Não_Deson!E138</f>
        <v>0</v>
      </c>
      <c r="F138" s="2" t="str">
        <f>VLOOKUP($B138,[2]BOLETIM_SEL!$A:$H,6,0)</f>
        <v>M3</v>
      </c>
      <c r="G138" s="1407">
        <f>VLOOKUP($B138,[2]BOLETIM_SEL!$A:$H,7,0)</f>
        <v>237.45</v>
      </c>
      <c r="H138" s="1608">
        <f>Orçamento_Não_Deson!H138</f>
        <v>0</v>
      </c>
      <c r="I138" s="876">
        <f t="shared" si="15"/>
        <v>304.33</v>
      </c>
      <c r="J138" s="1607">
        <f t="shared" si="16"/>
        <v>0</v>
      </c>
      <c r="K138" s="2069">
        <f t="shared" ca="1" si="21"/>
        <v>0</v>
      </c>
      <c r="L138" s="1570">
        <f t="shared" ca="1" si="14"/>
        <v>0</v>
      </c>
      <c r="M138" s="2489">
        <f>VLOOKUP($B138,[2]BOLETIM_SEL!$A:$H,5,0)</f>
        <v>0</v>
      </c>
      <c r="N138" s="832"/>
      <c r="O138" s="832"/>
      <c r="Q138" s="832"/>
      <c r="R138" s="832"/>
      <c r="S138" s="832"/>
      <c r="T138" s="832"/>
      <c r="U138" s="832"/>
      <c r="V138" s="832"/>
      <c r="W138" s="832"/>
      <c r="X138" s="832"/>
    </row>
    <row r="139" spans="1:24" s="812" customFormat="1" ht="39.950000000000003" hidden="1" customHeight="1" x14ac:dyDescent="0.15">
      <c r="A139" s="2072">
        <f ca="1">Orçamento_Não_Deson!A139</f>
        <v>3.1099999999999977</v>
      </c>
      <c r="B139" s="833">
        <f>Orçamento_Não_Deson!B139</f>
        <v>101624</v>
      </c>
      <c r="C139" s="2" t="str">
        <f>VLOOKUP($B139,[2]BOLETIM_SEL!$A:$H,2,0)</f>
        <v>SINAPI</v>
      </c>
      <c r="D139" s="315" t="str">
        <f>VLOOKUP($B139,[2]BOLETIM_SEL!$A:$H,4,0)</f>
        <v>Preparo de fundo de vala com largura maior ou igual a 1,50 m e menor que 2,50 m, com camada de brita, lançamento mecanizado. AF_08/2020</v>
      </c>
      <c r="E139" s="2">
        <f>Orçamento_Não_Deson!E139</f>
        <v>0</v>
      </c>
      <c r="F139" s="2" t="str">
        <f>VLOOKUP($B139,[2]BOLETIM_SEL!$A:$H,6,0)</f>
        <v>M3</v>
      </c>
      <c r="G139" s="1407">
        <f>VLOOKUP($B139,[2]BOLETIM_SEL!$A:$H,7,0)</f>
        <v>197.04</v>
      </c>
      <c r="H139" s="1608">
        <f>Orçamento_Não_Deson!H139</f>
        <v>0</v>
      </c>
      <c r="I139" s="876">
        <f t="shared" si="15"/>
        <v>252.54</v>
      </c>
      <c r="J139" s="1607">
        <f t="shared" si="16"/>
        <v>0</v>
      </c>
      <c r="K139" s="2069">
        <f t="shared" ca="1" si="21"/>
        <v>0</v>
      </c>
      <c r="L139" s="1570">
        <f t="shared" ca="1" si="14"/>
        <v>0</v>
      </c>
      <c r="M139" s="2489"/>
      <c r="N139" s="832"/>
      <c r="O139" s="832"/>
      <c r="Q139" s="832"/>
      <c r="R139" s="832"/>
      <c r="S139" s="832"/>
      <c r="T139" s="832"/>
      <c r="U139" s="832"/>
      <c r="V139" s="832"/>
      <c r="W139" s="832"/>
      <c r="X139" s="832"/>
    </row>
    <row r="140" spans="1:24" s="812" customFormat="1" ht="30" hidden="1" customHeight="1" x14ac:dyDescent="0.15">
      <c r="A140" s="2072">
        <f ca="1">Orçamento_Não_Deson!A140</f>
        <v>3.1099999999999977</v>
      </c>
      <c r="B140" s="833">
        <f>Orçamento_Não_Deson!B140</f>
        <v>101622</v>
      </c>
      <c r="C140" s="2" t="str">
        <f>VLOOKUP($B140,[2]BOLETIM_SEL!$A:$H,2,0)</f>
        <v>SINAPI</v>
      </c>
      <c r="D140" s="315" t="str">
        <f>VLOOKUP($B140,[2]BOLETIM_SEL!$A:$H,4,0)</f>
        <v>Preparo de fundo de vala com largura menor que 1,50 m, com camada de areia, lançamento mecanizado. AF_08/2020</v>
      </c>
      <c r="E140" s="2">
        <f>Orçamento_Não_Deson!E140</f>
        <v>0</v>
      </c>
      <c r="F140" s="2" t="str">
        <f>VLOOKUP($B140,[2]BOLETIM_SEL!$A:$H,6,0)</f>
        <v>M3</v>
      </c>
      <c r="G140" s="1407">
        <f>VLOOKUP($B140,[2]BOLETIM_SEL!$A:$H,7,0)</f>
        <v>184.7</v>
      </c>
      <c r="H140" s="1608">
        <f>Orçamento_Não_Deson!H140</f>
        <v>0</v>
      </c>
      <c r="I140" s="876">
        <f t="shared" si="15"/>
        <v>236.72</v>
      </c>
      <c r="J140" s="1607">
        <f t="shared" si="16"/>
        <v>0</v>
      </c>
      <c r="K140" s="2069">
        <f t="shared" ca="1" si="21"/>
        <v>0</v>
      </c>
      <c r="L140" s="1570">
        <f t="shared" ca="1" si="14"/>
        <v>0</v>
      </c>
      <c r="M140" s="2489"/>
      <c r="N140" s="832"/>
      <c r="O140" s="832"/>
      <c r="Q140" s="832"/>
      <c r="R140" s="832"/>
      <c r="S140" s="832"/>
      <c r="T140" s="832"/>
      <c r="U140" s="832"/>
      <c r="V140" s="832"/>
      <c r="W140" s="832"/>
      <c r="X140" s="832"/>
    </row>
    <row r="141" spans="1:24" s="812" customFormat="1" ht="39.950000000000003" hidden="1" customHeight="1" x14ac:dyDescent="0.15">
      <c r="A141" s="2072">
        <f ca="1">Orçamento_Não_Deson!A141</f>
        <v>3.1099999999999977</v>
      </c>
      <c r="B141" s="833">
        <f>Orçamento_Não_Deson!B141</f>
        <v>101625</v>
      </c>
      <c r="C141" s="2" t="str">
        <f>VLOOKUP($B141,[2]BOLETIM_SEL!$A:$H,2,0)</f>
        <v>SINAPI</v>
      </c>
      <c r="D141" s="315" t="str">
        <f>VLOOKUP($B141,[2]BOLETIM_SEL!$A:$H,4,0)</f>
        <v>Preparo de fundo de vala com largura maior ou igual a 1,50 m e menor que 2,50 m, com camada de areia, lançamento mecanizado. AF_08/2020</v>
      </c>
      <c r="E141" s="2">
        <f>Orçamento_Não_Deson!E141</f>
        <v>0</v>
      </c>
      <c r="F141" s="2" t="str">
        <f>VLOOKUP($B141,[2]BOLETIM_SEL!$A:$H,6,0)</f>
        <v>M3</v>
      </c>
      <c r="G141" s="1407">
        <f>VLOOKUP($B141,[2]BOLETIM_SEL!$A:$H,7,0)</f>
        <v>149.38</v>
      </c>
      <c r="H141" s="1608">
        <f>Orçamento_Não_Deson!H141</f>
        <v>0</v>
      </c>
      <c r="I141" s="876">
        <f t="shared" si="15"/>
        <v>191.46</v>
      </c>
      <c r="J141" s="1607">
        <f t="shared" si="16"/>
        <v>0</v>
      </c>
      <c r="K141" s="2069">
        <f t="shared" ca="1" si="21"/>
        <v>0</v>
      </c>
      <c r="L141" s="1570">
        <f t="shared" ca="1" si="14"/>
        <v>0</v>
      </c>
      <c r="M141" s="2489"/>
      <c r="N141" s="832"/>
      <c r="O141" s="832"/>
      <c r="Q141" s="832"/>
      <c r="R141" s="832"/>
      <c r="S141" s="832"/>
      <c r="T141" s="832"/>
      <c r="U141" s="832"/>
      <c r="V141" s="832"/>
      <c r="W141" s="832"/>
      <c r="X141" s="832"/>
    </row>
    <row r="142" spans="1:24" s="812" customFormat="1" ht="30" hidden="1" customHeight="1" x14ac:dyDescent="0.15">
      <c r="A142" s="2072">
        <f ca="1">+Orçamento_Não_Deson!A142</f>
        <v>3.1099999999999977</v>
      </c>
      <c r="B142" s="833">
        <f>+Orçamento_Não_Deson!B142</f>
        <v>96616</v>
      </c>
      <c r="C142" s="2" t="str">
        <f>VLOOKUP($B142,[2]BOLETIM_SEL!$A:$H,2,0)</f>
        <v>SINAPI</v>
      </c>
      <c r="D142" s="315" t="str">
        <f>VLOOKUP($B142,[2]BOLETIM_SEL!$A:$H,4,0)</f>
        <v>Lastro de concreto magro, aplicado em blocos de coroamento ou sapatas. AF_08/2017</v>
      </c>
      <c r="E142" s="2">
        <f>+Orçamento_Não_Deson!E142</f>
        <v>0</v>
      </c>
      <c r="F142" s="2" t="str">
        <f>VLOOKUP($B142,[2]BOLETIM_SEL!$A:$H,6,0)</f>
        <v>M3</v>
      </c>
      <c r="G142" s="1407">
        <f>VLOOKUP($B142,[2]BOLETIM_SEL!$A:$H,7,0)</f>
        <v>591.02</v>
      </c>
      <c r="H142" s="1608">
        <f ca="1">+Orçamento_Não_Deson!H142</f>
        <v>0</v>
      </c>
      <c r="I142" s="876">
        <f t="shared" ref="I142" si="22">TRUNC(G142*(1+$J$5),2)</f>
        <v>757.51</v>
      </c>
      <c r="J142" s="1607">
        <f t="shared" ref="J142" ca="1" si="23">TRUNC(H142*I142,2)</f>
        <v>0</v>
      </c>
      <c r="K142" s="2069">
        <f t="shared" ca="1" si="21"/>
        <v>0</v>
      </c>
      <c r="L142" s="1570">
        <f t="shared" ref="L142" ca="1" si="24">J142/J$100</f>
        <v>0</v>
      </c>
      <c r="M142" s="2021"/>
      <c r="N142" s="832"/>
      <c r="O142" s="832"/>
      <c r="Q142" s="832"/>
      <c r="R142" s="832"/>
      <c r="S142" s="832"/>
      <c r="T142" s="832"/>
      <c r="U142" s="832"/>
      <c r="V142" s="832"/>
      <c r="W142" s="832"/>
      <c r="X142" s="832"/>
    </row>
    <row r="143" spans="1:24" s="812" customFormat="1" ht="39.950000000000003" hidden="1" customHeight="1" x14ac:dyDescent="0.15">
      <c r="A143" s="2072">
        <f ca="1">Orçamento_Não_Deson!A143</f>
        <v>3.1099999999999977</v>
      </c>
      <c r="B143" s="833" t="str">
        <f>Orçamento_Não_Deson!B143</f>
        <v>DR/0032</v>
      </c>
      <c r="C143" s="2" t="str">
        <f>VLOOKUP($B143,[2]BOLETIM_SEL!$A:$H,2,0)</f>
        <v>COMPOSIÇÃO</v>
      </c>
      <c r="D143" s="315" t="str">
        <f>VLOOKUP($B143,[2]BOLETIM_SEL!$A:$H,4,0)</f>
        <v>Lastro ou enrocamento de pedra-de-mão ou rachão lançado, fornecimento e apiloamento. Exclusive transporte, ref SINAPI 73697, data 01/2020 e SINAPI 92744.</v>
      </c>
      <c r="E143" s="2">
        <f>Orçamento_Não_Deson!E143</f>
        <v>0</v>
      </c>
      <c r="F143" s="2" t="str">
        <f>VLOOKUP($B143,[2]BOLETIM_SEL!$A:$H,6,0)</f>
        <v>M3</v>
      </c>
      <c r="G143" s="1407">
        <f>VLOOKUP($B143,[2]BOLETIM_SEL!$A:$H,7,0)</f>
        <v>253.46</v>
      </c>
      <c r="H143" s="1608">
        <f>Orçamento_Não_Deson!H143</f>
        <v>0</v>
      </c>
      <c r="I143" s="876">
        <f t="shared" si="15"/>
        <v>324.85000000000002</v>
      </c>
      <c r="J143" s="1607">
        <f t="shared" si="16"/>
        <v>0</v>
      </c>
      <c r="K143" s="2069">
        <f t="shared" ca="1" si="21"/>
        <v>0</v>
      </c>
      <c r="L143" s="1570">
        <f t="shared" ca="1" si="14"/>
        <v>0</v>
      </c>
      <c r="M143" s="1826"/>
      <c r="N143" s="832"/>
      <c r="O143" s="832"/>
      <c r="Q143" s="832"/>
      <c r="R143" s="832"/>
      <c r="S143" s="832"/>
      <c r="T143" s="832"/>
      <c r="U143" s="832"/>
      <c r="V143" s="832"/>
      <c r="W143" s="832"/>
      <c r="X143" s="832"/>
    </row>
    <row r="144" spans="1:24" s="812" customFormat="1" ht="50.1" hidden="1" customHeight="1" x14ac:dyDescent="0.15">
      <c r="A144" s="2072">
        <f ca="1">+Orçamento_Não_Deson!A144</f>
        <v>3.1099999999999977</v>
      </c>
      <c r="B144" s="833">
        <f>+Orçamento_Não_Deson!B144</f>
        <v>104733</v>
      </c>
      <c r="C144" s="2" t="str">
        <f>VLOOKUP($B144,[2]BOLETIM_SEL!$A:$H,2,0)</f>
        <v>SINAPI</v>
      </c>
      <c r="D144" s="315" t="str">
        <f>VLOOKUP($B144,[2]BOLETIM_SEL!$A:$H,4,0)</f>
        <v>Reaterro mecanizado de vala com retroescavadeira (capacidade   da   caçamba   da retro: 0,26 M³/potência: 88 HP), largura até 0,8 m, profundidade até 1,5 m, com solo (sem substituição) de 1ª categoria, com placa vibratória. AF_08/2023</v>
      </c>
      <c r="E144" s="2">
        <f>+Orçamento_Não_Deson!E144</f>
        <v>0</v>
      </c>
      <c r="F144" s="2" t="str">
        <f>VLOOKUP($B144,[2]BOLETIM_SEL!$A:$H,6,0)</f>
        <v>M3</v>
      </c>
      <c r="G144" s="1407">
        <f>VLOOKUP($B144,[2]BOLETIM_SEL!$A:$H,7,0)</f>
        <v>17.62</v>
      </c>
      <c r="H144" s="1608">
        <f ca="1">+Orçamento_Não_Deson!H144</f>
        <v>0</v>
      </c>
      <c r="I144" s="876">
        <f t="shared" si="15"/>
        <v>22.58</v>
      </c>
      <c r="J144" s="1607">
        <f t="shared" ca="1" si="16"/>
        <v>0</v>
      </c>
      <c r="K144" s="2069">
        <f t="shared" ca="1" si="21"/>
        <v>0</v>
      </c>
      <c r="L144" s="1570">
        <f t="shared" ca="1" si="14"/>
        <v>0</v>
      </c>
      <c r="M144" s="2490" t="str">
        <f>VLOOKUP($B144,[2]BOLETIM_SEL!$A:$H,5,0)</f>
        <v>H &lt; 1,50
alta Interferência</v>
      </c>
      <c r="N144" s="832"/>
      <c r="O144" s="832"/>
      <c r="Q144" s="832"/>
      <c r="R144" s="832"/>
      <c r="S144" s="832"/>
      <c r="T144" s="832"/>
      <c r="U144" s="832"/>
      <c r="V144" s="832"/>
      <c r="W144" s="832"/>
      <c r="X144" s="832"/>
    </row>
    <row r="145" spans="1:24" s="812" customFormat="1" ht="50.1" customHeight="1" x14ac:dyDescent="0.15">
      <c r="A145" s="2072">
        <f ca="1">+Orçamento_Não_Deson!A145</f>
        <v>3.1199999999999974</v>
      </c>
      <c r="B145" s="833">
        <f>+Orçamento_Não_Deson!B145</f>
        <v>104734</v>
      </c>
      <c r="C145" s="2" t="str">
        <f>VLOOKUP($B145,[2]BOLETIM_SEL!$A:$H,2,0)</f>
        <v>SINAPI</v>
      </c>
      <c r="D145" s="315" t="str">
        <f>VLOOKUP($B145,[2]BOLETIM_SEL!$A:$H,4,0)</f>
        <v>Reaterro mecanizado de vala com retroescavadeira (capacidade   da   caçamba   da retro: 0,26 M³/potência: 88 HP), largura de 0,8 a 1,5 m, profundidade até 1,5 m, com solo (sem substituição) de 1ª categoria, com placa vibratória. AF_08/2023</v>
      </c>
      <c r="E145" s="2">
        <f>+Orçamento_Não_Deson!E145</f>
        <v>0</v>
      </c>
      <c r="F145" s="2" t="str">
        <f>VLOOKUP($B145,[2]BOLETIM_SEL!$A:$H,6,0)</f>
        <v>M3</v>
      </c>
      <c r="G145" s="1407">
        <f>VLOOKUP($B145,[2]BOLETIM_SEL!$A:$H,7,0)</f>
        <v>12.83</v>
      </c>
      <c r="H145" s="1608">
        <f ca="1">+Orçamento_Não_Deson!H145</f>
        <v>268.3</v>
      </c>
      <c r="I145" s="876">
        <f t="shared" si="15"/>
        <v>16.440000000000001</v>
      </c>
      <c r="J145" s="1607">
        <f t="shared" ca="1" si="16"/>
        <v>4410.8500000000004</v>
      </c>
      <c r="K145" s="2069">
        <f t="shared" ca="1" si="21"/>
        <v>1.167437141389942E-3</v>
      </c>
      <c r="L145" s="1570">
        <f t="shared" ca="1" si="14"/>
        <v>3.0663310063601248E-2</v>
      </c>
      <c r="M145" s="2490"/>
      <c r="N145" s="832"/>
      <c r="O145" s="832"/>
      <c r="Q145" s="832"/>
      <c r="R145" s="832"/>
      <c r="S145" s="832"/>
      <c r="T145" s="832"/>
      <c r="U145" s="832"/>
      <c r="V145" s="832"/>
      <c r="W145" s="832"/>
      <c r="X145" s="832"/>
    </row>
    <row r="146" spans="1:24" s="812" customFormat="1" ht="50.1" hidden="1" customHeight="1" x14ac:dyDescent="0.15">
      <c r="A146" s="2072">
        <f ca="1">Orçamento_Não_Deson!A146</f>
        <v>3.1199999999999974</v>
      </c>
      <c r="B146" s="833">
        <f>Orçamento_Não_Deson!B146</f>
        <v>104728</v>
      </c>
      <c r="C146" s="2" t="str">
        <f>VLOOKUP($B146,[2]BOLETIM_SEL!$A:$H,2,0)</f>
        <v>SINAPI</v>
      </c>
      <c r="D146" s="315" t="str">
        <f>VLOOKUP($B146,[2]BOLETIM_SEL!$A:$H,4,0)</f>
        <v>Reaterro mecanizado de vala com escavadeira hidráulica (capacidade da caçamba: 0,8 M³/potência: 111 HP), largura de 1,5 a 2,5 m, profundidade até 1,5 m, com solo (sem substituição) de 1ª categoria, com placa vibratória. AF_08/2023</v>
      </c>
      <c r="E146" s="2">
        <f>Orçamento_Não_Deson!E146</f>
        <v>0</v>
      </c>
      <c r="F146" s="2" t="str">
        <f>VLOOKUP($B146,[2]BOLETIM_SEL!$A:$H,6,0)</f>
        <v>M3</v>
      </c>
      <c r="G146" s="1407">
        <f>VLOOKUP($B146,[2]BOLETIM_SEL!$A:$H,7,0)</f>
        <v>18.2</v>
      </c>
      <c r="H146" s="1608">
        <f ca="1">Orçamento_Não_Deson!H146</f>
        <v>0</v>
      </c>
      <c r="I146" s="876">
        <f t="shared" si="15"/>
        <v>23.32</v>
      </c>
      <c r="J146" s="1607">
        <f t="shared" ca="1" si="16"/>
        <v>0</v>
      </c>
      <c r="K146" s="2069">
        <f t="shared" ca="1" si="21"/>
        <v>0</v>
      </c>
      <c r="L146" s="1570">
        <f t="shared" ca="1" si="14"/>
        <v>0</v>
      </c>
      <c r="M146" s="2490"/>
      <c r="N146" s="832"/>
      <c r="O146" s="832"/>
      <c r="Q146" s="832"/>
      <c r="R146" s="832"/>
      <c r="S146" s="832"/>
      <c r="T146" s="832"/>
      <c r="U146" s="832"/>
      <c r="V146" s="832"/>
      <c r="W146" s="832"/>
      <c r="X146" s="832"/>
    </row>
    <row r="147" spans="1:24" s="812" customFormat="1" ht="50.1" hidden="1" customHeight="1" x14ac:dyDescent="0.15">
      <c r="A147" s="2072">
        <f ca="1">+Orçamento_Não_Deson!A147</f>
        <v>3.1199999999999974</v>
      </c>
      <c r="B147" s="833">
        <f>+Orçamento_Não_Deson!B147</f>
        <v>104735</v>
      </c>
      <c r="C147" s="2" t="str">
        <f>VLOOKUP($B147,[2]BOLETIM_SEL!$A:$H,2,0)</f>
        <v>SINAPI</v>
      </c>
      <c r="D147" s="315" t="str">
        <f>VLOOKUP($B147,[2]BOLETIM_SEL!$A:$H,4,0)</f>
        <v>Reaterro mecanizado de vala com retroescavadeira (capacidade   da   caçamba   da retro: 0,26 M³/potência: 88 HP), largura até 0,8 m, profundidade de 1,5 a 3,0 m, com solo (sem substituição) de 1ª categoria, com placa vibratória. AF_08/2023</v>
      </c>
      <c r="E147" s="2">
        <f>+Orçamento_Não_Deson!E147</f>
        <v>0</v>
      </c>
      <c r="F147" s="2" t="str">
        <f>VLOOKUP($B147,[2]BOLETIM_SEL!$A:$H,6,0)</f>
        <v>M3</v>
      </c>
      <c r="G147" s="1407">
        <f>VLOOKUP($B147,[2]BOLETIM_SEL!$A:$H,7,0)</f>
        <v>10.5</v>
      </c>
      <c r="H147" s="1608">
        <f ca="1">+Orçamento_Não_Deson!H147</f>
        <v>0</v>
      </c>
      <c r="I147" s="876">
        <f t="shared" si="15"/>
        <v>13.45</v>
      </c>
      <c r="J147" s="1607">
        <f t="shared" ca="1" si="16"/>
        <v>0</v>
      </c>
      <c r="K147" s="2069">
        <f t="shared" ca="1" si="21"/>
        <v>0</v>
      </c>
      <c r="L147" s="1570">
        <f t="shared" ca="1" si="14"/>
        <v>0</v>
      </c>
      <c r="M147" s="2491" t="str">
        <f>VLOOKUP($B147,[2]BOLETIM_SEL!$A:$H,5,0)</f>
        <v>1,51 &lt; H &lt; 3,00
alta Interferência</v>
      </c>
      <c r="N147" s="832"/>
      <c r="O147" s="832"/>
      <c r="Q147" s="832"/>
      <c r="R147" s="832"/>
      <c r="S147" s="832"/>
      <c r="T147" s="832"/>
      <c r="U147" s="832"/>
      <c r="V147" s="832"/>
      <c r="W147" s="832"/>
      <c r="X147" s="832"/>
    </row>
    <row r="148" spans="1:24" s="812" customFormat="1" ht="50.1" customHeight="1" x14ac:dyDescent="0.15">
      <c r="A148" s="2072">
        <f ca="1">Orçamento_Não_Deson!A148</f>
        <v>3.1299999999999972</v>
      </c>
      <c r="B148" s="833">
        <f>Orçamento_Não_Deson!B148</f>
        <v>104736</v>
      </c>
      <c r="C148" s="2" t="str">
        <f>VLOOKUP($B148,[2]BOLETIM_SEL!$A:$H,2,0)</f>
        <v>SINAPI</v>
      </c>
      <c r="D148" s="315" t="str">
        <f>VLOOKUP($B148,[2]BOLETIM_SEL!$A:$H,4,0)</f>
        <v>Reaterro mecanizado de vala com retroescavadeira (capacidade   da   caçamba   da retro: 0,26 M³/potência: 88 HP), largura de 0,8 a 1,5 m, profundidade de 1,5 a 3,0 m, com solo (sem substituição) de 1ª categoria, com placa vibratória. AF_08/2023</v>
      </c>
      <c r="E148" s="2">
        <f>Orçamento_Não_Deson!E148</f>
        <v>0</v>
      </c>
      <c r="F148" s="2" t="str">
        <f>VLOOKUP($B148,[2]BOLETIM_SEL!$A:$H,6,0)</f>
        <v>M3</v>
      </c>
      <c r="G148" s="1407">
        <f>VLOOKUP($B148,[2]BOLETIM_SEL!$A:$H,7,0)</f>
        <v>7.89</v>
      </c>
      <c r="H148" s="1608">
        <f ca="1">Orçamento_Não_Deson!H148</f>
        <v>131.53</v>
      </c>
      <c r="I148" s="876">
        <f t="shared" si="15"/>
        <v>10.11</v>
      </c>
      <c r="J148" s="1607">
        <f t="shared" ca="1" si="16"/>
        <v>1329.76</v>
      </c>
      <c r="K148" s="2069">
        <f t="shared" ca="1" si="21"/>
        <v>3.519528465340443E-4</v>
      </c>
      <c r="L148" s="1570">
        <f t="shared" ca="1" si="14"/>
        <v>9.2442144235633482E-3</v>
      </c>
      <c r="M148" s="2491"/>
      <c r="N148" s="832"/>
      <c r="O148" s="832"/>
      <c r="Q148" s="832"/>
      <c r="R148" s="832"/>
      <c r="S148" s="832"/>
      <c r="T148" s="832"/>
      <c r="U148" s="832"/>
      <c r="V148" s="832"/>
      <c r="W148" s="832"/>
      <c r="X148" s="832"/>
    </row>
    <row r="149" spans="1:24" s="812" customFormat="1" ht="50.1" customHeight="1" x14ac:dyDescent="0.15">
      <c r="A149" s="2072">
        <f ca="1">Orçamento_Não_Deson!A149</f>
        <v>3.139999999999997</v>
      </c>
      <c r="B149" s="833">
        <f>Orçamento_Não_Deson!B149</f>
        <v>104730</v>
      </c>
      <c r="C149" s="2" t="str">
        <f>VLOOKUP($B149,[2]BOLETIM_SEL!$A:$H,2,0)</f>
        <v>SINAPI</v>
      </c>
      <c r="D149" s="315" t="str">
        <f>VLOOKUP($B149,[2]BOLETIM_SEL!$A:$H,4,0)</f>
        <v>Reaterro mecanizado de vala com escavadeira hidráulica (capacidade da caçamba: 0,8 M³/potência: 111 HP), largura de 1,5 a 2,5 m, profundidade de 1,5 a 3,0 m, com solo (sem substituição) de 1ª categoria, com placa vibratória. AF_08/2023</v>
      </c>
      <c r="E149" s="2">
        <f>Orçamento_Não_Deson!E149</f>
        <v>0</v>
      </c>
      <c r="F149" s="2" t="str">
        <f>VLOOKUP($B149,[2]BOLETIM_SEL!$A:$H,6,0)</f>
        <v>M3</v>
      </c>
      <c r="G149" s="1407">
        <f>VLOOKUP($B149,[2]BOLETIM_SEL!$A:$H,7,0)</f>
        <v>12.09</v>
      </c>
      <c r="H149" s="1608">
        <f ca="1">Orçamento_Não_Deson!H149</f>
        <v>385.33</v>
      </c>
      <c r="I149" s="876">
        <f t="shared" si="15"/>
        <v>15.49</v>
      </c>
      <c r="J149" s="1607">
        <f t="shared" ca="1" si="16"/>
        <v>5968.76</v>
      </c>
      <c r="K149" s="2069">
        <f t="shared" ca="1" si="21"/>
        <v>1.5797753521526758E-3</v>
      </c>
      <c r="L149" s="1570">
        <f t="shared" ca="1" si="14"/>
        <v>4.1493575745087816E-2</v>
      </c>
      <c r="M149" s="2491"/>
      <c r="N149" s="832"/>
      <c r="O149" s="832"/>
      <c r="Q149" s="832"/>
      <c r="R149" s="832"/>
      <c r="S149" s="832"/>
      <c r="T149" s="832"/>
      <c r="U149" s="832"/>
      <c r="V149" s="832"/>
      <c r="W149" s="832"/>
      <c r="X149" s="832"/>
    </row>
    <row r="150" spans="1:24" s="812" customFormat="1" ht="50.1" hidden="1" customHeight="1" x14ac:dyDescent="0.15">
      <c r="A150" s="2072">
        <f ca="1">+Orçamento_Não_Deson!A150</f>
        <v>3.139999999999997</v>
      </c>
      <c r="B150" s="833">
        <f>+Orçamento_Não_Deson!B150</f>
        <v>104731</v>
      </c>
      <c r="C150" s="2" t="str">
        <f>VLOOKUP($B150,[2]BOLETIM_SEL!$A:$H,2,0)</f>
        <v>SINAPI</v>
      </c>
      <c r="D150" s="315" t="str">
        <f>VLOOKUP($B150,[2]BOLETIM_SEL!$A:$H,4,0)</f>
        <v>Reaterro mecanizado de vala com escavadeira hidráulica (capacidade da caçamba: 0,8 M³/potência: 111 HP), largura até 1,5 m, profundidade de 3,0 a 6,0 m, com solo (sem substituição) de 1ª categoria, com placa vibratória. AF_08/2023</v>
      </c>
      <c r="E150" s="2">
        <f>+Orçamento_Não_Deson!E150</f>
        <v>0</v>
      </c>
      <c r="F150" s="2" t="str">
        <f>VLOOKUP($B150,[2]BOLETIM_SEL!$A:$H,6,0)</f>
        <v>M3</v>
      </c>
      <c r="G150" s="1407">
        <f>VLOOKUP($B150,[2]BOLETIM_SEL!$A:$H,7,0)</f>
        <v>11.47</v>
      </c>
      <c r="H150" s="1608">
        <f ca="1">+Orçamento_Não_Deson!H150</f>
        <v>0</v>
      </c>
      <c r="I150" s="876">
        <f t="shared" si="15"/>
        <v>14.7</v>
      </c>
      <c r="J150" s="1607">
        <f t="shared" ca="1" si="16"/>
        <v>0</v>
      </c>
      <c r="K150" s="2069">
        <f t="shared" ca="1" si="21"/>
        <v>0</v>
      </c>
      <c r="L150" s="1570">
        <f t="shared" ca="1" si="14"/>
        <v>0</v>
      </c>
      <c r="M150" s="2492" t="str">
        <f>VLOOKUP($B150,[2]BOLETIM_SEL!$A:$H,5,0)</f>
        <v>3,01 &lt; H &lt; 4,50
baixa Interferência</v>
      </c>
      <c r="N150" s="832"/>
      <c r="O150" s="832"/>
      <c r="Q150" s="832"/>
      <c r="R150" s="832"/>
      <c r="S150" s="832"/>
      <c r="T150" s="832"/>
      <c r="U150" s="832"/>
      <c r="V150" s="832"/>
      <c r="W150" s="832"/>
      <c r="X150" s="832"/>
    </row>
    <row r="151" spans="1:24" s="812" customFormat="1" ht="50.1" customHeight="1" x14ac:dyDescent="0.15">
      <c r="A151" s="2072">
        <f ca="1">Orçamento_Não_Deson!A151</f>
        <v>3.1499999999999968</v>
      </c>
      <c r="B151" s="833">
        <f>Orçamento_Não_Deson!B151</f>
        <v>104732</v>
      </c>
      <c r="C151" s="2" t="str">
        <f>VLOOKUP($B151,[2]BOLETIM_SEL!$A:$H,2,0)</f>
        <v>SINAPI</v>
      </c>
      <c r="D151" s="315" t="str">
        <f>VLOOKUP($B151,[2]BOLETIM_SEL!$A:$H,4,0)</f>
        <v>Reaterro mecanizado de vala com escavadeira hidráulica (capacidade da caçamba: 0,8 M³/potência: 111 HP), largura de 1,5 a 2,5 m, profundidade de 3,0 a 6,0 m, com solo (sem substituição) de 1ª categoria, com placa vibratória. AF_08/2023</v>
      </c>
      <c r="E151" s="2">
        <f>Orçamento_Não_Deson!E151</f>
        <v>0</v>
      </c>
      <c r="F151" s="2" t="str">
        <f>VLOOKUP($B151,[2]BOLETIM_SEL!$A:$H,6,0)</f>
        <v>M3</v>
      </c>
      <c r="G151" s="1407">
        <f>VLOOKUP($B151,[2]BOLETIM_SEL!$A:$H,7,0)</f>
        <v>9.3000000000000007</v>
      </c>
      <c r="H151" s="1608">
        <f ca="1">Orçamento_Não_Deson!H151</f>
        <v>1001.11</v>
      </c>
      <c r="I151" s="876">
        <f t="shared" si="15"/>
        <v>11.91</v>
      </c>
      <c r="J151" s="1607">
        <f t="shared" ca="1" si="16"/>
        <v>11923.22</v>
      </c>
      <c r="K151" s="2069">
        <f t="shared" ca="1" si="21"/>
        <v>3.1557658666613881E-3</v>
      </c>
      <c r="L151" s="1570">
        <f t="shared" ca="1" si="14"/>
        <v>8.288774087002089E-2</v>
      </c>
      <c r="M151" s="2492"/>
      <c r="N151" s="832"/>
      <c r="O151" s="832"/>
      <c r="Q151" s="832"/>
      <c r="R151" s="832"/>
      <c r="S151" s="832"/>
      <c r="T151" s="832"/>
      <c r="U151" s="832"/>
      <c r="V151" s="832"/>
      <c r="W151" s="832"/>
      <c r="X151" s="832"/>
    </row>
    <row r="152" spans="1:24" s="812" customFormat="1" ht="50.1" hidden="1" customHeight="1" x14ac:dyDescent="0.15">
      <c r="A152" s="2072">
        <f ca="1">+Orçamento_Não_Deson!A152</f>
        <v>3.1499999999999968</v>
      </c>
      <c r="B152" s="833">
        <f>+Orçamento_Não_Deson!B152</f>
        <v>104731</v>
      </c>
      <c r="C152" s="2" t="str">
        <f>VLOOKUP($B152,[2]BOLETIM_SEL!$A:$H,2,0)</f>
        <v>SINAPI</v>
      </c>
      <c r="D152" s="315" t="str">
        <f>VLOOKUP($B152,[2]BOLETIM_SEL!$A:$H,4,0)</f>
        <v>Reaterro mecanizado de vala com escavadeira hidráulica (capacidade da caçamba: 0,8 M³/potência: 111 HP), largura até 1,5 m, profundidade de 3,0 a 6,0 m, com solo (sem substituição) de 1ª categoria, com placa vibratória. AF_08/2023</v>
      </c>
      <c r="E152" s="2">
        <f>+Orçamento_Não_Deson!E152</f>
        <v>0</v>
      </c>
      <c r="F152" s="2" t="str">
        <f>VLOOKUP($B152,[2]BOLETIM_SEL!$A:$H,6,0)</f>
        <v>M3</v>
      </c>
      <c r="G152" s="1407">
        <f>VLOOKUP($B152,[2]BOLETIM_SEL!$A:$H,7,0)</f>
        <v>11.47</v>
      </c>
      <c r="H152" s="1608">
        <f>+Orçamento_Não_Deson!H152</f>
        <v>0</v>
      </c>
      <c r="I152" s="876">
        <f t="shared" si="15"/>
        <v>14.7</v>
      </c>
      <c r="J152" s="1607">
        <f t="shared" si="16"/>
        <v>0</v>
      </c>
      <c r="K152" s="2069">
        <f t="shared" ca="1" si="21"/>
        <v>0</v>
      </c>
      <c r="L152" s="1570">
        <f t="shared" ca="1" si="14"/>
        <v>0</v>
      </c>
      <c r="M152" s="2489" t="str">
        <f>VLOOKUP($B152,[2]BOLETIM_SEL!$A:$H,5,0)</f>
        <v>3,01 &lt; H &lt; 4,50
baixa Interferência</v>
      </c>
      <c r="N152" s="832"/>
      <c r="O152" s="832"/>
      <c r="Q152" s="832"/>
      <c r="R152" s="832"/>
      <c r="S152" s="832"/>
      <c r="T152" s="832"/>
      <c r="U152" s="832"/>
      <c r="V152" s="832"/>
      <c r="W152" s="832"/>
      <c r="X152" s="832"/>
    </row>
    <row r="153" spans="1:24" s="812" customFormat="1" ht="50.1" hidden="1" customHeight="1" x14ac:dyDescent="0.15">
      <c r="A153" s="2072">
        <f ca="1">+Orçamento_Não_Deson!A153</f>
        <v>3.1499999999999968</v>
      </c>
      <c r="B153" s="833">
        <f>+Orçamento_Não_Deson!B153</f>
        <v>104732</v>
      </c>
      <c r="C153" s="2" t="str">
        <f>VLOOKUP($B153,[2]BOLETIM_SEL!$A:$H,2,0)</f>
        <v>SINAPI</v>
      </c>
      <c r="D153" s="315" t="str">
        <f>VLOOKUP($B153,[2]BOLETIM_SEL!$A:$H,4,0)</f>
        <v>Reaterro mecanizado de vala com escavadeira hidráulica (capacidade da caçamba: 0,8 M³/potência: 111 HP), largura de 1,5 a 2,5 m, profundidade de 3,0 a 6,0 m, com solo (sem substituição) de 1ª categoria, com placa vibratória. AF_08/2023</v>
      </c>
      <c r="E153" s="2">
        <f>+Orçamento_Não_Deson!E153</f>
        <v>0</v>
      </c>
      <c r="F153" s="2" t="str">
        <f>VLOOKUP($B153,[2]BOLETIM_SEL!$A:$H,6,0)</f>
        <v>M3</v>
      </c>
      <c r="G153" s="1407">
        <f>VLOOKUP($B153,[2]BOLETIM_SEL!$A:$H,7,0)</f>
        <v>9.3000000000000007</v>
      </c>
      <c r="H153" s="1608">
        <f>+Orçamento_Não_Deson!H153</f>
        <v>0</v>
      </c>
      <c r="I153" s="876">
        <f t="shared" si="15"/>
        <v>11.91</v>
      </c>
      <c r="J153" s="1607">
        <f t="shared" si="16"/>
        <v>0</v>
      </c>
      <c r="K153" s="2069">
        <f t="shared" ca="1" si="21"/>
        <v>0</v>
      </c>
      <c r="L153" s="1570">
        <f t="shared" ca="1" si="14"/>
        <v>0</v>
      </c>
      <c r="M153" s="2489"/>
      <c r="N153" s="832"/>
      <c r="O153" s="832"/>
      <c r="Q153" s="832"/>
      <c r="R153" s="832"/>
      <c r="S153" s="832"/>
      <c r="T153" s="832"/>
      <c r="U153" s="832"/>
      <c r="V153" s="832"/>
      <c r="W153" s="832"/>
      <c r="X153" s="832"/>
    </row>
    <row r="154" spans="1:24" s="812" customFormat="1" ht="50.1" hidden="1" customHeight="1" x14ac:dyDescent="0.15">
      <c r="A154" s="2072">
        <f ca="1">+Orçamento_Não_Deson!A154</f>
        <v>3.1499999999999968</v>
      </c>
      <c r="B154" s="833">
        <f>+Orçamento_Não_Deson!B154</f>
        <v>93378</v>
      </c>
      <c r="C154" s="2" t="str">
        <f>VLOOKUP($B154,[2]BOLETIM_SEL!$A:$H,2,0)</f>
        <v>SINAPI</v>
      </c>
      <c r="D154" s="315" t="str">
        <f>VLOOKUP($B154,[2]BOLETIM_SEL!$A:$H,4,0)</f>
        <v>Reaterro mecanizado de vala com retroescavadeira (capacidade da caçamba da retro: 0,26 m3 / potência: 88 HP), largura até 0,80 m, profundidade até 1,50 m, com solo (sem substituição) de 1a categoria em locais com baixo nível de interferência. AF_04/2016</v>
      </c>
      <c r="E154" s="2">
        <f>+Orçamento_Não_Deson!E154</f>
        <v>0</v>
      </c>
      <c r="F154" s="2" t="str">
        <f>VLOOKUP($B154,[2]BOLETIM_SEL!$A:$H,6,0)</f>
        <v>M3</v>
      </c>
      <c r="G154" s="1407">
        <f>VLOOKUP($B154,[2]BOLETIM_SEL!$A:$H,7,0)</f>
        <v>21.21</v>
      </c>
      <c r="H154" s="1608">
        <f>+Orçamento_Não_Deson!H154</f>
        <v>0</v>
      </c>
      <c r="I154" s="876">
        <f t="shared" si="15"/>
        <v>27.18</v>
      </c>
      <c r="J154" s="1607">
        <f t="shared" si="16"/>
        <v>0</v>
      </c>
      <c r="K154" s="2069">
        <f t="shared" ca="1" si="21"/>
        <v>0</v>
      </c>
      <c r="L154" s="1570">
        <f t="shared" ref="L154:L169" ca="1" si="25">J154/J$100</f>
        <v>0</v>
      </c>
      <c r="M154" s="2490" t="str">
        <f>VLOOKUP($B154,[2]BOLETIM_SEL!$A:$H,5,0)</f>
        <v>H &lt; 1,50
baixa Interferência</v>
      </c>
      <c r="N154" s="832"/>
      <c r="O154" s="832"/>
      <c r="Q154" s="832"/>
      <c r="R154" s="832"/>
      <c r="S154" s="832"/>
      <c r="T154" s="832"/>
      <c r="U154" s="832"/>
      <c r="V154" s="832"/>
      <c r="W154" s="832"/>
      <c r="X154" s="832"/>
    </row>
    <row r="155" spans="1:24" s="812" customFormat="1" ht="50.1" hidden="1" customHeight="1" x14ac:dyDescent="0.15">
      <c r="A155" s="2072">
        <f ca="1">+Orçamento_Não_Deson!A155</f>
        <v>3.1499999999999968</v>
      </c>
      <c r="B155" s="833">
        <f>+Orçamento_Não_Deson!B155</f>
        <v>93379</v>
      </c>
      <c r="C155" s="2" t="str">
        <f>VLOOKUP($B155,[2]BOLETIM_SEL!$A:$H,2,0)</f>
        <v>SINAPI</v>
      </c>
      <c r="D155" s="315" t="str">
        <f>VLOOKUP($B155,[2]BOLETIM_SEL!$A:$H,4,0)</f>
        <v>Reaterro mecanizado de vala com retroescavadeira (capacidade da caçamba da retro: 0,26 m3 / potência: 88 HP), largura de 0,80 a 1,50 m, profundidade até 1,50 m, com solo (sem substituição) de 1a categoria em locais com baixo nível de interferência. AF_04/2016</v>
      </c>
      <c r="E155" s="2">
        <f>+Orçamento_Não_Deson!E155</f>
        <v>0</v>
      </c>
      <c r="F155" s="2" t="str">
        <f>VLOOKUP($B155,[2]BOLETIM_SEL!$A:$H,6,0)</f>
        <v>M3</v>
      </c>
      <c r="G155" s="1407">
        <f>VLOOKUP($B155,[2]BOLETIM_SEL!$A:$H,7,0)</f>
        <v>16.27</v>
      </c>
      <c r="H155" s="1608">
        <f>+Orçamento_Não_Deson!H155</f>
        <v>0</v>
      </c>
      <c r="I155" s="876">
        <f t="shared" ref="I155:I165" si="26">TRUNC(G155*(1+$J$5),2)</f>
        <v>20.85</v>
      </c>
      <c r="J155" s="1607">
        <f t="shared" ref="J155:J164" si="27">TRUNC(H155*I155,2)</f>
        <v>0</v>
      </c>
      <c r="K155" s="2069">
        <f t="shared" ca="1" si="21"/>
        <v>0</v>
      </c>
      <c r="L155" s="1570">
        <f t="shared" ca="1" si="25"/>
        <v>0</v>
      </c>
      <c r="M155" s="2490"/>
      <c r="N155" s="832"/>
      <c r="O155" s="832"/>
      <c r="Q155" s="832"/>
      <c r="R155" s="832"/>
      <c r="S155" s="832"/>
      <c r="T155" s="832"/>
      <c r="U155" s="832"/>
      <c r="V155" s="832"/>
      <c r="W155" s="832"/>
      <c r="X155" s="832"/>
    </row>
    <row r="156" spans="1:24" s="812" customFormat="1" ht="50.1" hidden="1" customHeight="1" x14ac:dyDescent="0.15">
      <c r="A156" s="2072">
        <f ca="1">+Orçamento_Não_Deson!A156</f>
        <v>3.1499999999999968</v>
      </c>
      <c r="B156" s="833">
        <f>+Orçamento_Não_Deson!B156</f>
        <v>93367</v>
      </c>
      <c r="C156" s="2" t="str">
        <f>VLOOKUP($B156,[2]BOLETIM_SEL!$A:$H,2,0)</f>
        <v>SINAPI</v>
      </c>
      <c r="D156" s="315" t="str">
        <f>VLOOKUP($B156,[2]BOLETIM_SEL!$A:$H,4,0)</f>
        <v>Reaterro mecanizado de vala com escavadeira hidráulica (capacidade da caçamba: 0,80 m3 / potência: 111 HP), largura de 1,50 a 2,50 m, profundidade até 1,50 m, com solo (sem substituição) de 1a categoria em locais com baixo nível de interferência. AF_04/2016</v>
      </c>
      <c r="E156" s="2">
        <f>+Orçamento_Não_Deson!E156</f>
        <v>0</v>
      </c>
      <c r="F156" s="2" t="str">
        <f>VLOOKUP($B156,[2]BOLETIM_SEL!$A:$H,6,0)</f>
        <v>M3</v>
      </c>
      <c r="G156" s="1407">
        <f>VLOOKUP($B156,[2]BOLETIM_SEL!$A:$H,7,0)</f>
        <v>21.52</v>
      </c>
      <c r="H156" s="1608">
        <f>+Orçamento_Não_Deson!H156</f>
        <v>0</v>
      </c>
      <c r="I156" s="876">
        <f t="shared" si="26"/>
        <v>27.58</v>
      </c>
      <c r="J156" s="1607">
        <f t="shared" si="27"/>
        <v>0</v>
      </c>
      <c r="K156" s="2069">
        <f t="shared" ca="1" si="21"/>
        <v>0</v>
      </c>
      <c r="L156" s="1570">
        <f t="shared" ca="1" si="25"/>
        <v>0</v>
      </c>
      <c r="M156" s="2490"/>
      <c r="N156" s="832"/>
      <c r="O156" s="832"/>
      <c r="Q156" s="832"/>
      <c r="R156" s="832"/>
      <c r="S156" s="832"/>
      <c r="T156" s="832"/>
      <c r="U156" s="832"/>
      <c r="V156" s="832"/>
      <c r="W156" s="832"/>
      <c r="X156" s="832"/>
    </row>
    <row r="157" spans="1:24" s="812" customFormat="1" ht="50.1" hidden="1" customHeight="1" x14ac:dyDescent="0.15">
      <c r="A157" s="2072">
        <f ca="1">+Orçamento_Não_Deson!A157</f>
        <v>3.1499999999999968</v>
      </c>
      <c r="B157" s="833">
        <f>+Orçamento_Não_Deson!B157</f>
        <v>93380</v>
      </c>
      <c r="C157" s="2" t="str">
        <f>VLOOKUP($B157,[2]BOLETIM_SEL!$A:$H,2,0)</f>
        <v>SINAPI</v>
      </c>
      <c r="D157" s="315" t="str">
        <f>VLOOKUP($B157,[2]BOLETIM_SEL!$A:$H,4,0)</f>
        <v>Reaterro mecanizado de vala com retroescavadeira (capacidade da caçamba da retro: 0,26 m3 / potência: 88 HP), largura até 0,80 m, profundidade de 1,50 a 3,00 m, com solo (sem substituição) de 1a categoria em locais com baixo nível de interferência. AF_04/2016</v>
      </c>
      <c r="E157" s="2">
        <f>+Orçamento_Não_Deson!E157</f>
        <v>0</v>
      </c>
      <c r="F157" s="2" t="str">
        <f>VLOOKUP($B157,[2]BOLETIM_SEL!$A:$H,6,0)</f>
        <v>M3</v>
      </c>
      <c r="G157" s="1407">
        <f>VLOOKUP($B157,[2]BOLETIM_SEL!$A:$H,7,0)</f>
        <v>13.85</v>
      </c>
      <c r="H157" s="1608">
        <f>+Orçamento_Não_Deson!H157</f>
        <v>0</v>
      </c>
      <c r="I157" s="876">
        <f t="shared" si="26"/>
        <v>17.75</v>
      </c>
      <c r="J157" s="1607">
        <f t="shared" si="27"/>
        <v>0</v>
      </c>
      <c r="K157" s="2069">
        <f t="shared" ca="1" si="21"/>
        <v>0</v>
      </c>
      <c r="L157" s="1570">
        <f t="shared" ca="1" si="25"/>
        <v>0</v>
      </c>
      <c r="M157" s="2491" t="str">
        <f>VLOOKUP($B157,[2]BOLETIM_SEL!$A:$H,5,0)</f>
        <v>1,51 &lt; H &lt; 3,00
baixa Interferência</v>
      </c>
      <c r="N157" s="832"/>
      <c r="O157" s="832"/>
      <c r="Q157" s="832"/>
      <c r="R157" s="832"/>
      <c r="S157" s="832"/>
      <c r="T157" s="832"/>
      <c r="U157" s="832"/>
      <c r="V157" s="832"/>
      <c r="W157" s="832"/>
      <c r="X157" s="832"/>
    </row>
    <row r="158" spans="1:24" s="812" customFormat="1" ht="50.1" hidden="1" customHeight="1" x14ac:dyDescent="0.15">
      <c r="A158" s="2072">
        <f ca="1">+Orçamento_Não_Deson!A158</f>
        <v>3.1499999999999968</v>
      </c>
      <c r="B158" s="833">
        <f>+Orçamento_Não_Deson!B158</f>
        <v>93381</v>
      </c>
      <c r="C158" s="2" t="str">
        <f>VLOOKUP($B158,[2]BOLETIM_SEL!$A:$H,2,0)</f>
        <v>SINAPI</v>
      </c>
      <c r="D158" s="315" t="str">
        <f>VLOOKUP($B158,[2]BOLETIM_SEL!$A:$H,4,0)</f>
        <v>Reaterro mecanizado de vala com retroescavadeira (capacidade da caçamba da retro: 0,26 m3 / potência: 88 HP), largura de 0,80 a 1,50 m, profundidade de 1,50 a 3,00 m, com solo (sem substituição) de 1a categoria em locais com baixo nível de interferência. AF_04/2016</v>
      </c>
      <c r="E158" s="2">
        <f>+Orçamento_Não_Deson!E158</f>
        <v>0</v>
      </c>
      <c r="F158" s="2" t="str">
        <f>VLOOKUP($B158,[2]BOLETIM_SEL!$A:$H,6,0)</f>
        <v>M3</v>
      </c>
      <c r="G158" s="1407">
        <f>VLOOKUP($B158,[2]BOLETIM_SEL!$A:$H,7,0)</f>
        <v>11.18</v>
      </c>
      <c r="H158" s="1608">
        <f>+Orçamento_Não_Deson!H158</f>
        <v>0</v>
      </c>
      <c r="I158" s="876">
        <f t="shared" si="26"/>
        <v>14.32</v>
      </c>
      <c r="J158" s="1607">
        <f t="shared" si="27"/>
        <v>0</v>
      </c>
      <c r="K158" s="2069">
        <f t="shared" ca="1" si="21"/>
        <v>0</v>
      </c>
      <c r="L158" s="1570">
        <f t="shared" ca="1" si="25"/>
        <v>0</v>
      </c>
      <c r="M158" s="2491"/>
      <c r="N158" s="832"/>
      <c r="O158" s="832"/>
      <c r="Q158" s="832"/>
      <c r="R158" s="832"/>
      <c r="S158" s="832"/>
      <c r="T158" s="832"/>
      <c r="U158" s="832"/>
      <c r="V158" s="832"/>
      <c r="W158" s="832"/>
      <c r="X158" s="832"/>
    </row>
    <row r="159" spans="1:24" s="812" customFormat="1" ht="50.1" hidden="1" customHeight="1" x14ac:dyDescent="0.15">
      <c r="A159" s="2072">
        <f ca="1">Orçamento_Não_Deson!A159</f>
        <v>3.1499999999999968</v>
      </c>
      <c r="B159" s="833">
        <f>Orçamento_Não_Deson!B159</f>
        <v>93369</v>
      </c>
      <c r="C159" s="2" t="str">
        <f>VLOOKUP($B159,[2]BOLETIM_SEL!$A:$H,2,0)</f>
        <v>SINAPI</v>
      </c>
      <c r="D159" s="315" t="str">
        <f>VLOOKUP($B159,[2]BOLETIM_SEL!$A:$H,4,0)</f>
        <v>Reaterro mecanizado de vala com escavadeira hidráulica (capacidade da caçamba: 0,80 m3 / potência: 111 HP), largura de 1,50 a 2,50 m, profundidade de 1,50 a 3,00 m, com solo (sem substituição) de 1a categoria em locais com baixo nível de interferência. AF_04/2016</v>
      </c>
      <c r="E159" s="2">
        <f>Orçamento_Não_Deson!E159</f>
        <v>0</v>
      </c>
      <c r="F159" s="2" t="str">
        <f>VLOOKUP($B159,[2]BOLETIM_SEL!$A:$H,6,0)</f>
        <v>M3</v>
      </c>
      <c r="G159" s="1407">
        <f>VLOOKUP($B159,[2]BOLETIM_SEL!$A:$H,7,0)</f>
        <v>15.37</v>
      </c>
      <c r="H159" s="1608">
        <f>Orçamento_Não_Deson!H159</f>
        <v>0</v>
      </c>
      <c r="I159" s="876">
        <f t="shared" si="26"/>
        <v>19.690000000000001</v>
      </c>
      <c r="J159" s="1607">
        <f t="shared" si="27"/>
        <v>0</v>
      </c>
      <c r="K159" s="2069">
        <f t="shared" ca="1" si="21"/>
        <v>0</v>
      </c>
      <c r="L159" s="1570">
        <f t="shared" ca="1" si="25"/>
        <v>0</v>
      </c>
      <c r="M159" s="2491"/>
      <c r="N159" s="832"/>
      <c r="O159" s="832"/>
      <c r="Q159" s="832"/>
      <c r="R159" s="832"/>
      <c r="S159" s="832"/>
      <c r="T159" s="832"/>
      <c r="U159" s="832"/>
      <c r="V159" s="832"/>
      <c r="W159" s="832"/>
      <c r="X159" s="832"/>
    </row>
    <row r="160" spans="1:24" s="812" customFormat="1" ht="50.1" hidden="1" customHeight="1" x14ac:dyDescent="0.15">
      <c r="A160" s="2072">
        <f ca="1">+Orçamento_Não_Deson!A160</f>
        <v>3.1499999999999968</v>
      </c>
      <c r="B160" s="833">
        <f>+Orçamento_Não_Deson!B160</f>
        <v>104731</v>
      </c>
      <c r="C160" s="2" t="str">
        <f>VLOOKUP($B160,[2]BOLETIM_SEL!$A:$H,2,0)</f>
        <v>SINAPI</v>
      </c>
      <c r="D160" s="315" t="str">
        <f>VLOOKUP($B160,[2]BOLETIM_SEL!$A:$H,4,0)</f>
        <v>Reaterro mecanizado de vala com escavadeira hidráulica (capacidade da caçamba: 0,8 M³/potência: 111 HP), largura até 1,5 m, profundidade de 3,0 a 6,0 m, com solo (sem substituição) de 1ª categoria, com placa vibratória. AF_08/2023</v>
      </c>
      <c r="E160" s="2">
        <f>+Orçamento_Não_Deson!E160</f>
        <v>0</v>
      </c>
      <c r="F160" s="2" t="str">
        <f>VLOOKUP($B160,[2]BOLETIM_SEL!$A:$H,6,0)</f>
        <v>M3</v>
      </c>
      <c r="G160" s="1407">
        <f>VLOOKUP($B160,[2]BOLETIM_SEL!$A:$H,7,0)</f>
        <v>11.47</v>
      </c>
      <c r="H160" s="1608">
        <f>+Orçamento_Não_Deson!H160</f>
        <v>0</v>
      </c>
      <c r="I160" s="876">
        <f t="shared" si="26"/>
        <v>14.7</v>
      </c>
      <c r="J160" s="1607">
        <f t="shared" si="27"/>
        <v>0</v>
      </c>
      <c r="K160" s="2069">
        <f t="shared" ca="1" si="21"/>
        <v>0</v>
      </c>
      <c r="L160" s="1570">
        <f t="shared" ca="1" si="25"/>
        <v>0</v>
      </c>
      <c r="M160" s="2492" t="str">
        <f>VLOOKUP($B160,[2]BOLETIM_SEL!$A:$H,5,0)</f>
        <v>3,01 &lt; H &lt; 4,50
baixa Interferência</v>
      </c>
      <c r="N160" s="832"/>
      <c r="O160" s="832"/>
      <c r="Q160" s="832"/>
      <c r="R160" s="832"/>
      <c r="S160" s="832"/>
      <c r="T160" s="832"/>
      <c r="U160" s="832"/>
      <c r="V160" s="832"/>
      <c r="W160" s="832"/>
      <c r="X160" s="832"/>
    </row>
    <row r="161" spans="1:24" s="812" customFormat="1" ht="50.1" hidden="1" customHeight="1" x14ac:dyDescent="0.15">
      <c r="A161" s="2072">
        <f ca="1">Orçamento_Não_Deson!A161</f>
        <v>3.1499999999999968</v>
      </c>
      <c r="B161" s="833">
        <f>Orçamento_Não_Deson!B161</f>
        <v>104732</v>
      </c>
      <c r="C161" s="2" t="str">
        <f>VLOOKUP($B161,[2]BOLETIM_SEL!$A:$H,2,0)</f>
        <v>SINAPI</v>
      </c>
      <c r="D161" s="315" t="str">
        <f>VLOOKUP($B161,[2]BOLETIM_SEL!$A:$H,4,0)</f>
        <v>Reaterro mecanizado de vala com escavadeira hidráulica (capacidade da caçamba: 0,8 M³/potência: 111 HP), largura de 1,5 a 2,5 m, profundidade de 3,0 a 6,0 m, com solo (sem substituição) de 1ª categoria, com placa vibratória. AF_08/2023</v>
      </c>
      <c r="E161" s="2">
        <f>Orçamento_Não_Deson!E161</f>
        <v>0</v>
      </c>
      <c r="F161" s="2" t="str">
        <f>VLOOKUP($B161,[2]BOLETIM_SEL!$A:$H,6,0)</f>
        <v>M3</v>
      </c>
      <c r="G161" s="1407">
        <f>VLOOKUP($B161,[2]BOLETIM_SEL!$A:$H,7,0)</f>
        <v>9.3000000000000007</v>
      </c>
      <c r="H161" s="1608">
        <f>Orçamento_Não_Deson!H161</f>
        <v>0</v>
      </c>
      <c r="I161" s="876">
        <f t="shared" si="26"/>
        <v>11.91</v>
      </c>
      <c r="J161" s="1607">
        <f t="shared" si="27"/>
        <v>0</v>
      </c>
      <c r="K161" s="2069">
        <f t="shared" ca="1" si="21"/>
        <v>0</v>
      </c>
      <c r="L161" s="1570">
        <f t="shared" ca="1" si="25"/>
        <v>0</v>
      </c>
      <c r="M161" s="2492"/>
      <c r="N161" s="832"/>
      <c r="O161" s="832"/>
      <c r="Q161" s="832"/>
      <c r="R161" s="832"/>
      <c r="S161" s="832"/>
      <c r="T161" s="832"/>
      <c r="U161" s="832"/>
      <c r="V161" s="832"/>
      <c r="W161" s="832"/>
      <c r="X161" s="832"/>
    </row>
    <row r="162" spans="1:24" s="812" customFormat="1" ht="50.1" hidden="1" customHeight="1" x14ac:dyDescent="0.15">
      <c r="A162" s="2072">
        <f ca="1">+Orçamento_Não_Deson!A162</f>
        <v>3.1499999999999968</v>
      </c>
      <c r="B162" s="833">
        <f>+Orçamento_Não_Deson!B162</f>
        <v>93372</v>
      </c>
      <c r="C162" s="2" t="str">
        <f>VLOOKUP($B162,[2]BOLETIM_SEL!$A:$H,2,0)</f>
        <v>SINAPI</v>
      </c>
      <c r="D162" s="315" t="str">
        <f>VLOOKUP($B162,[2]BOLETIM_SEL!$A:$H,4,0)</f>
        <v>Reaterro mecanizado de vala com escavadeira hidráulica (capacidade da caçamba: 0,80 m3 / potência: 111 HP), largura até 1,50 m, profundidade de 4,50 a 6,00 m, com solo (sem substituição) de 1a categoria em locais com baixo nível de interferência. AF_04/2016</v>
      </c>
      <c r="E162" s="2">
        <f>+Orçamento_Não_Deson!E162</f>
        <v>0</v>
      </c>
      <c r="F162" s="2" t="str">
        <f>VLOOKUP($B162,[2]BOLETIM_SEL!$A:$H,6,0)</f>
        <v>M3</v>
      </c>
      <c r="G162" s="1407">
        <f>VLOOKUP($B162,[2]BOLETIM_SEL!$A:$H,7,0)</f>
        <v>14.76</v>
      </c>
      <c r="H162" s="1608">
        <f>+Orçamento_Não_Deson!H162</f>
        <v>0</v>
      </c>
      <c r="I162" s="876">
        <f t="shared" si="26"/>
        <v>18.91</v>
      </c>
      <c r="J162" s="1607">
        <f t="shared" si="27"/>
        <v>0</v>
      </c>
      <c r="K162" s="2069">
        <f t="shared" ca="1" si="21"/>
        <v>0</v>
      </c>
      <c r="L162" s="1570">
        <f t="shared" ca="1" si="25"/>
        <v>0</v>
      </c>
      <c r="M162" s="2489" t="str">
        <f>VLOOKUP($B162,[2]BOLETIM_SEL!$A:$H,5,0)</f>
        <v>H &gt; 4,51
baixa Interferência</v>
      </c>
      <c r="N162" s="832"/>
      <c r="O162" s="832"/>
      <c r="Q162" s="832"/>
      <c r="R162" s="832"/>
      <c r="S162" s="832"/>
      <c r="T162" s="832"/>
      <c r="U162" s="832"/>
      <c r="V162" s="832"/>
      <c r="W162" s="832"/>
      <c r="X162" s="832"/>
    </row>
    <row r="163" spans="1:24" s="812" customFormat="1" ht="50.1" hidden="1" customHeight="1" x14ac:dyDescent="0.15">
      <c r="A163" s="2072">
        <f ca="1">+Orçamento_Não_Deson!A163</f>
        <v>3.1499999999999968</v>
      </c>
      <c r="B163" s="833">
        <f>+Orçamento_Não_Deson!B163</f>
        <v>93373</v>
      </c>
      <c r="C163" s="2" t="str">
        <f>VLOOKUP($B163,[2]BOLETIM_SEL!$A:$H,2,0)</f>
        <v>SINAPI</v>
      </c>
      <c r="D163" s="315" t="str">
        <f>VLOOKUP($B163,[2]BOLETIM_SEL!$A:$H,4,0)</f>
        <v>Reaterro mecanizado de vala com escavadeira hidráulica (capacidade da caçamba: 0,80 m3 / potência: 111 HP), largura de 1,50 a 2,50 m, profundidade de 4,50 a 6,00 m, com solo (sem substituição) de 1a categoria em locais com baixo nível de interferência. AF_04/2016</v>
      </c>
      <c r="E163" s="2">
        <f>+Orçamento_Não_Deson!E163</f>
        <v>0</v>
      </c>
      <c r="F163" s="2" t="str">
        <f>VLOOKUP($B163,[2]BOLETIM_SEL!$A:$H,6,0)</f>
        <v>M3</v>
      </c>
      <c r="G163" s="1407">
        <f>VLOOKUP($B163,[2]BOLETIM_SEL!$A:$H,7,0)</f>
        <v>12.58</v>
      </c>
      <c r="H163" s="1608">
        <f>+Orçamento_Não_Deson!H163</f>
        <v>0</v>
      </c>
      <c r="I163" s="876">
        <f t="shared" si="26"/>
        <v>16.12</v>
      </c>
      <c r="J163" s="1607">
        <f t="shared" si="27"/>
        <v>0</v>
      </c>
      <c r="K163" s="2069">
        <f t="shared" ca="1" si="21"/>
        <v>0</v>
      </c>
      <c r="L163" s="1570">
        <f t="shared" ca="1" si="25"/>
        <v>0</v>
      </c>
      <c r="M163" s="2489"/>
      <c r="N163" s="832"/>
      <c r="O163" s="832"/>
      <c r="Q163" s="832"/>
      <c r="R163" s="832"/>
      <c r="S163" s="832"/>
      <c r="T163" s="832"/>
      <c r="U163" s="832"/>
      <c r="V163" s="832"/>
      <c r="W163" s="832"/>
      <c r="X163" s="832"/>
    </row>
    <row r="164" spans="1:24" s="812" customFormat="1" ht="39.950000000000003" hidden="1" customHeight="1" x14ac:dyDescent="0.15">
      <c r="A164" s="2072">
        <f ca="1">+Orçamento_Não_Deson!A164</f>
        <v>3.1499999999999968</v>
      </c>
      <c r="B164" s="833">
        <f>+Orçamento_Não_Deson!B164</f>
        <v>94342</v>
      </c>
      <c r="C164" s="2" t="str">
        <f>VLOOKUP($B164,[2]BOLETIM_SEL!$A:$H,2,0)</f>
        <v>SINAPI</v>
      </c>
      <c r="D164" s="315" t="str">
        <f>VLOOKUP($B164,[2]BOLETIM_SEL!$A:$H,4,0)</f>
        <v>Aterro manual de valas com areia para aterro e compactação mecanizada (adensamento hidráulico e inclusive aquisição). AF_05/2016</v>
      </c>
      <c r="E164" s="2">
        <f>+Orçamento_Não_Deson!E164</f>
        <v>0</v>
      </c>
      <c r="F164" s="2" t="str">
        <f>VLOOKUP($B164,[2]BOLETIM_SEL!$A:$H,6,0)</f>
        <v>M3</v>
      </c>
      <c r="G164" s="1407">
        <f>VLOOKUP($B164,[2]BOLETIM_SEL!$A:$H,7,0)</f>
        <v>84.21</v>
      </c>
      <c r="H164" s="1608">
        <f>+Orçamento_Não_Deson!H164</f>
        <v>0</v>
      </c>
      <c r="I164" s="876">
        <f t="shared" si="26"/>
        <v>107.93</v>
      </c>
      <c r="J164" s="1607">
        <f t="shared" si="27"/>
        <v>0</v>
      </c>
      <c r="K164" s="2069">
        <f t="shared" ref="K164:K169" ca="1" si="28">J164/J$930</f>
        <v>0</v>
      </c>
      <c r="L164" s="1570">
        <f t="shared" ca="1" si="25"/>
        <v>0</v>
      </c>
      <c r="M164" s="1967"/>
      <c r="N164" s="832"/>
      <c r="O164" s="832"/>
      <c r="Q164" s="832"/>
      <c r="R164" s="832"/>
      <c r="S164" s="832"/>
      <c r="T164" s="832"/>
      <c r="U164" s="832"/>
      <c r="V164" s="832"/>
      <c r="W164" s="832"/>
      <c r="X164" s="832"/>
    </row>
    <row r="165" spans="1:24" s="812" customFormat="1" ht="50.1" hidden="1" customHeight="1" x14ac:dyDescent="0.15">
      <c r="A165" s="2072">
        <f ca="1">+Orçamento_Não_Deson!A165</f>
        <v>3.1499999999999968</v>
      </c>
      <c r="B165" s="833">
        <f>+Orçamento_Não_Deson!B165</f>
        <v>101230</v>
      </c>
      <c r="C165" s="2" t="str">
        <f>VLOOKUP($B165,[2]BOLETIM_SEL!$A:$H,2,0)</f>
        <v>SINAPI</v>
      </c>
      <c r="D165" s="315" t="str">
        <f>VLOOKUP($B165,[2]BOLETIM_SEL!$A:$H,4,0)</f>
        <v>Escavação vertical a céu aberto, em obras de infraestrutura, incluindo carga, descarga e transporte, em solo de 1a categoria com escavadeira hidráulica (caçamba: 0,80 m3 / 111 HP), frota de 3 caminhões basculantes de 14 m3, DMT até 1 km e velocidade média 14 km/h. AF_05/2020</v>
      </c>
      <c r="E165" s="2">
        <f>+Orçamento_Não_Deson!E165</f>
        <v>0</v>
      </c>
      <c r="F165" s="2" t="str">
        <f>VLOOKUP($B165,[2]BOLETIM_SEL!$A:$H,6,0)</f>
        <v>M3</v>
      </c>
      <c r="G165" s="1407">
        <f>VLOOKUP($B165,[2]BOLETIM_SEL!$A:$H,7,0)</f>
        <v>10.59</v>
      </c>
      <c r="H165" s="1608">
        <f ca="1">+Orçamento_Não_Deson!H165</f>
        <v>0</v>
      </c>
      <c r="I165" s="876">
        <f t="shared" si="26"/>
        <v>13.57</v>
      </c>
      <c r="J165" s="1607">
        <f ca="1">TRUNC(H165*I165,2)</f>
        <v>0</v>
      </c>
      <c r="K165" s="2069">
        <f t="shared" ca="1" si="28"/>
        <v>0</v>
      </c>
      <c r="L165" s="1570">
        <f t="shared" ca="1" si="25"/>
        <v>0</v>
      </c>
      <c r="M165" s="1967"/>
      <c r="N165" s="832"/>
      <c r="O165" s="832"/>
      <c r="Q165" s="832"/>
      <c r="R165" s="832"/>
      <c r="S165" s="832"/>
      <c r="T165" s="832"/>
      <c r="U165" s="832"/>
      <c r="V165" s="832"/>
      <c r="W165" s="832"/>
      <c r="X165" s="832"/>
    </row>
    <row r="166" spans="1:24" s="812" customFormat="1" ht="39.950000000000003" hidden="1" customHeight="1" x14ac:dyDescent="0.15">
      <c r="A166" s="2072">
        <f ca="1">+Orçamento_Não_Deson!A166</f>
        <v>3.1499999999999968</v>
      </c>
      <c r="B166" s="833">
        <f>+Orçamento_Não_Deson!B166</f>
        <v>368</v>
      </c>
      <c r="C166" s="2" t="str">
        <f>VLOOKUP($B166,[2]BOLETIM_SEL!$A:$H,2,0)</f>
        <v>COTAÇÃO - SINAPI</v>
      </c>
      <c r="D166" s="315" t="str">
        <f>VLOOKUP($B166,[2]BOLETIM_SEL!$A:$H,4,0)</f>
        <v>Areia para aterro - posto jazida/fornecedor (retirado na jazida, sem transporte)</v>
      </c>
      <c r="E166" s="2221" t="str">
        <f>+Orçamento_Não_Deson!E166</f>
        <v>BDI insumo</v>
      </c>
      <c r="F166" s="2" t="str">
        <f>VLOOKUP($B166,[2]BOLETIM_SEL!$A:$H,6,0)</f>
        <v xml:space="preserve">M3    </v>
      </c>
      <c r="G166" s="1407">
        <f>VLOOKUP($B166,[2]BOLETIM_SEL!$A:$H,7,0)</f>
        <v>45</v>
      </c>
      <c r="H166" s="1608">
        <f>+Orçamento_Não_Deson!H166</f>
        <v>0</v>
      </c>
      <c r="I166" s="2222">
        <f>TRUNC(G166*(1+$J$6),2)</f>
        <v>51.87</v>
      </c>
      <c r="J166" s="1607">
        <f>TRUNC(H166*I166,2)</f>
        <v>0</v>
      </c>
      <c r="K166" s="2069">
        <f t="shared" ca="1" si="28"/>
        <v>0</v>
      </c>
      <c r="L166" s="1570">
        <f t="shared" ca="1" si="25"/>
        <v>0</v>
      </c>
      <c r="M166" s="1967"/>
      <c r="N166" s="832"/>
      <c r="O166" s="832"/>
      <c r="Q166" s="832"/>
      <c r="R166" s="832"/>
      <c r="S166" s="832"/>
      <c r="T166" s="832"/>
      <c r="U166" s="832"/>
      <c r="V166" s="832"/>
      <c r="W166" s="832"/>
      <c r="X166" s="832"/>
    </row>
    <row r="167" spans="1:24" s="812" customFormat="1" ht="39.950000000000003" hidden="1" customHeight="1" x14ac:dyDescent="0.15">
      <c r="A167" s="2072">
        <f ca="1">+Orçamento_Não_Deson!A167</f>
        <v>3.1499999999999968</v>
      </c>
      <c r="B167" s="833">
        <f>+Orçamento_Não_Deson!B167</f>
        <v>6079</v>
      </c>
      <c r="C167" s="2" t="str">
        <f>VLOOKUP($B167,[2]BOLETIM_SEL!$A:$H,2,0)</f>
        <v>COTAÇÃO - SINAPI</v>
      </c>
      <c r="D167" s="315" t="str">
        <f>VLOOKUP($B167,[2]BOLETIM_SEL!$A:$H,4,0)</f>
        <v>Argila, argila vermelha ou argila arenosa (retirada na jazida, sem transporte)</v>
      </c>
      <c r="E167" s="2221" t="str">
        <f>+Orçamento_Não_Deson!E167</f>
        <v>BDI insumo</v>
      </c>
      <c r="F167" s="2" t="str">
        <f>VLOOKUP($B167,[2]BOLETIM_SEL!$A:$H,6,0)</f>
        <v xml:space="preserve">M3    </v>
      </c>
      <c r="G167" s="1407">
        <f>VLOOKUP($B167,[2]BOLETIM_SEL!$A:$H,7,0)</f>
        <v>36.51</v>
      </c>
      <c r="H167" s="1608">
        <f>+Orçamento_Não_Deson!H167</f>
        <v>0</v>
      </c>
      <c r="I167" s="2222">
        <f>TRUNC(G167*(1+$J$6),2)</f>
        <v>42.08</v>
      </c>
      <c r="J167" s="1607">
        <f>TRUNC(H167*I167,2)</f>
        <v>0</v>
      </c>
      <c r="K167" s="2069">
        <f t="shared" ca="1" si="28"/>
        <v>0</v>
      </c>
      <c r="L167" s="1570">
        <f t="shared" ca="1" si="25"/>
        <v>0</v>
      </c>
      <c r="M167" s="1968" t="str">
        <f>+Orçamento_Não_Deson!M167</f>
        <v>LOCAL</v>
      </c>
      <c r="N167" s="832"/>
      <c r="O167" s="832"/>
      <c r="Q167" s="832"/>
      <c r="R167" s="832"/>
      <c r="S167" s="832"/>
      <c r="T167" s="832"/>
      <c r="U167" s="832"/>
      <c r="V167" s="832"/>
      <c r="W167" s="832"/>
      <c r="X167" s="832"/>
    </row>
    <row r="168" spans="1:24" s="812" customFormat="1" ht="30" hidden="1" customHeight="1" x14ac:dyDescent="0.15">
      <c r="A168" s="2072">
        <f ca="1">+Orçamento_Não_Deson!A168</f>
        <v>3.1499999999999968</v>
      </c>
      <c r="B168" s="833" t="str">
        <f>+Orçamento_Não_Deson!B168</f>
        <v>SC/0082</v>
      </c>
      <c r="C168" s="2" t="str">
        <f>VLOOKUP($B168,[2]BOLETIM_SEL!$A:$H,2,0)</f>
        <v>COMPOSIÇÃO</v>
      </c>
      <c r="D168" s="315" t="str">
        <f>VLOOKUP($B168,[2]BOLETIM_SEL!$A:$H,4,0)</f>
        <v>Grama em placas, tipo esmeralda, incluindo plantio, adubo, fertilizante, calcário, terra orgânica e irrigação</v>
      </c>
      <c r="E168" s="2">
        <f>+Orçamento_Não_Deson!E168</f>
        <v>0</v>
      </c>
      <c r="F168" s="2" t="str">
        <f>VLOOKUP($B168,[2]BOLETIM_SEL!$A:$H,6,0)</f>
        <v>M2</v>
      </c>
      <c r="G168" s="1407">
        <f>VLOOKUP($B168,[2]BOLETIM_SEL!$A:$H,7,0)</f>
        <v>21.59</v>
      </c>
      <c r="H168" s="1608">
        <f>+Orçamento_Não_Deson!H168</f>
        <v>0</v>
      </c>
      <c r="I168" s="876">
        <f>TRUNC(G168*(1+$J$5),2)</f>
        <v>27.67</v>
      </c>
      <c r="J168" s="1607">
        <f>TRUNC(H168*I168,2)</f>
        <v>0</v>
      </c>
      <c r="K168" s="2069">
        <f t="shared" ca="1" si="28"/>
        <v>0</v>
      </c>
      <c r="L168" s="1570">
        <f t="shared" ca="1" si="25"/>
        <v>0</v>
      </c>
      <c r="M168" s="1968" t="str">
        <f>+Orçamento_Não_Deson!M168</f>
        <v>ESMERALDA</v>
      </c>
      <c r="N168" s="832"/>
      <c r="O168" s="832"/>
      <c r="Q168" s="832"/>
      <c r="R168" s="832"/>
      <c r="S168" s="832"/>
      <c r="T168" s="832"/>
      <c r="U168" s="832"/>
      <c r="V168" s="832"/>
      <c r="W168" s="832"/>
      <c r="X168" s="832"/>
    </row>
    <row r="169" spans="1:24" s="812" customFormat="1" ht="39.950000000000003" customHeight="1" x14ac:dyDescent="0.15">
      <c r="A169" s="2072">
        <f ca="1">Orçamento_Não_Deson!A169</f>
        <v>3.1599999999999966</v>
      </c>
      <c r="B169" s="833">
        <f>Orçamento_Não_Deson!B169</f>
        <v>100979</v>
      </c>
      <c r="C169" s="2" t="str">
        <f>VLOOKUP($B169,[2]BOLETIM_SEL!$A:$H,2,0)</f>
        <v>SINAPI</v>
      </c>
      <c r="D169" s="315" t="str">
        <f>VLOOKUP($B169,[2]BOLETIM_SEL!$A:$H,4,0)</f>
        <v>Carga, manobra e descarga de solos e materiais granulares em caminhão basculante 14 m3 - carga com escavadeira hidráulica (capacidade da caçamba: 1,20 m3 / potência: 155 HP) e descarga livre (unidade: m3). AF_07/2020</v>
      </c>
      <c r="E169" s="2">
        <f>Orçamento_Não_Deson!E169</f>
        <v>0</v>
      </c>
      <c r="F169" s="2" t="str">
        <f>VLOOKUP($B169,[2]BOLETIM_SEL!$A:$H,6,0)</f>
        <v>M3</v>
      </c>
      <c r="G169" s="1407">
        <f>VLOOKUP($B169,[2]BOLETIM_SEL!$A:$H,7,0)</f>
        <v>6.35</v>
      </c>
      <c r="H169" s="1608">
        <f ca="1">Orçamento_Não_Deson!H169</f>
        <v>625.69000000000005</v>
      </c>
      <c r="I169" s="876">
        <f>TRUNC(G169*(1+$J$5),2)</f>
        <v>8.1300000000000008</v>
      </c>
      <c r="J169" s="1607">
        <f ca="1">TRUNC(H169*I169,2)</f>
        <v>5086.8500000000004</v>
      </c>
      <c r="K169" s="2069">
        <f t="shared" ca="1" si="28"/>
        <v>1.3463567391045778E-3</v>
      </c>
      <c r="L169" s="1570">
        <f t="shared" ca="1" si="25"/>
        <v>3.5362721198188563E-2</v>
      </c>
      <c r="M169" s="1968" t="str">
        <f>Orçamento_Não_Deson!M169</f>
        <v>ESCAVADEIRA</v>
      </c>
      <c r="N169" s="832"/>
      <c r="O169" s="832"/>
      <c r="Q169" s="832"/>
      <c r="R169" s="832"/>
      <c r="S169" s="832"/>
      <c r="T169" s="832"/>
      <c r="U169" s="832"/>
      <c r="V169" s="832"/>
      <c r="W169" s="832"/>
      <c r="X169" s="832"/>
    </row>
    <row r="170" spans="1:24" s="812" customFormat="1" ht="24.95" customHeight="1" x14ac:dyDescent="0.15">
      <c r="A170" s="2072"/>
      <c r="B170" s="833"/>
      <c r="C170" s="2"/>
      <c r="D170" s="1449" t="s">
        <v>1809</v>
      </c>
      <c r="E170" s="2"/>
      <c r="F170" s="2"/>
      <c r="G170" s="1407"/>
      <c r="H170" s="2"/>
      <c r="I170" s="2"/>
      <c r="J170" s="838" t="str">
        <f ca="1">IF(J171=0,"-","")</f>
        <v/>
      </c>
      <c r="K170" s="2069"/>
      <c r="L170" s="1570"/>
      <c r="M170" s="1967" t="str">
        <f>Orçamento_Não_Deson!M170</f>
        <v>Depósito provisório</v>
      </c>
      <c r="N170" s="832"/>
      <c r="O170" s="832"/>
      <c r="Q170" s="832"/>
      <c r="R170" s="832"/>
      <c r="S170" s="832"/>
      <c r="T170" s="832"/>
      <c r="U170" s="832"/>
      <c r="V170" s="832"/>
      <c r="W170" s="832"/>
      <c r="X170" s="832"/>
    </row>
    <row r="171" spans="1:24" s="812" customFormat="1" ht="30" customHeight="1" x14ac:dyDescent="0.15">
      <c r="A171" s="2072">
        <f ca="1">Orçamento_Não_Deson!A171</f>
        <v>3.1699999999999964</v>
      </c>
      <c r="B171" s="833">
        <f>Orçamento_Não_Deson!B171</f>
        <v>100939</v>
      </c>
      <c r="C171" s="2" t="str">
        <f>VLOOKUP($B171,[2]BOLETIM_SEL!$A:$H,2,0)</f>
        <v>SINAPI</v>
      </c>
      <c r="D171" s="315" t="str">
        <f>VLOOKUP($B171,[2]BOLETIM_SEL!$A:$H,4,0)</f>
        <v>Transporte com caminhão basculante de 14 m3, em via interna (dentro do canteiro - unidade:m3xkm). AF_07/2020</v>
      </c>
      <c r="E171" s="2">
        <f>Orçamento_Não_Deson!E171</f>
        <v>1</v>
      </c>
      <c r="F171" s="2" t="str">
        <f>VLOOKUP($B171,[2]BOLETIM_SEL!$A:$H,6,0)</f>
        <v>M3XKM</v>
      </c>
      <c r="G171" s="1407">
        <f>VLOOKUP($B171,[2]BOLETIM_SEL!$A:$H,7,0)</f>
        <v>6.22</v>
      </c>
      <c r="H171" s="1608">
        <f ca="1">Orçamento_Não_Deson!H171</f>
        <v>1126.25</v>
      </c>
      <c r="I171" s="876">
        <f>TRUNC(G171*(1+$J$5),2)</f>
        <v>7.97</v>
      </c>
      <c r="J171" s="1607">
        <f ca="1">TRUNC(H171*I171,2)</f>
        <v>8976.2099999999991</v>
      </c>
      <c r="K171" s="2069">
        <f ca="1">J171/J$930</f>
        <v>2.3757690565119672E-3</v>
      </c>
      <c r="L171" s="1570">
        <f ca="1">J171/J$100</f>
        <v>6.2400741450286935E-2</v>
      </c>
      <c r="M171" s="1967"/>
      <c r="N171" s="832"/>
      <c r="O171" s="832"/>
      <c r="Q171" s="832"/>
      <c r="R171" s="832"/>
      <c r="S171" s="832"/>
      <c r="T171" s="832"/>
      <c r="U171" s="832"/>
      <c r="V171" s="832"/>
      <c r="W171" s="832"/>
      <c r="X171" s="832"/>
    </row>
    <row r="172" spans="1:24" s="812" customFormat="1" ht="24.95" hidden="1" customHeight="1" x14ac:dyDescent="0.15">
      <c r="A172" s="2072"/>
      <c r="B172" s="833"/>
      <c r="C172" s="2"/>
      <c r="D172" s="1449" t="s">
        <v>1797</v>
      </c>
      <c r="E172" s="2"/>
      <c r="F172" s="2"/>
      <c r="G172" s="1407"/>
      <c r="H172" s="2"/>
      <c r="I172" s="2"/>
      <c r="J172" s="838" t="str">
        <f>IF(J173=0,"-","")</f>
        <v>-</v>
      </c>
      <c r="K172" s="2069"/>
      <c r="L172" s="1570"/>
      <c r="M172" s="1967" t="str">
        <f>+Orçamento_Não_Deson!M172</f>
        <v>Definir depósito reciclável: 2, 3 ou 4</v>
      </c>
      <c r="N172" s="832"/>
      <c r="O172" s="832"/>
      <c r="Q172" s="832"/>
      <c r="R172" s="832"/>
      <c r="S172" s="832"/>
      <c r="T172" s="832"/>
      <c r="U172" s="832"/>
      <c r="V172" s="832"/>
      <c r="W172" s="832"/>
      <c r="X172" s="832"/>
    </row>
    <row r="173" spans="1:24" s="812" customFormat="1" ht="39.950000000000003" hidden="1" customHeight="1" x14ac:dyDescent="0.15">
      <c r="A173" s="2072">
        <f ca="1">+Orçamento_Não_Deson!A173</f>
        <v>3.1699999999999964</v>
      </c>
      <c r="B173" s="833">
        <f>+Orçamento_Não_Deson!B173</f>
        <v>95875</v>
      </c>
      <c r="C173" s="2" t="str">
        <f>VLOOKUP($B173,[2]BOLETIM_SEL!$A:$H,2,0)</f>
        <v>SINAPI</v>
      </c>
      <c r="D173" s="315" t="str">
        <f>VLOOKUP($B173,[2]BOLETIM_SEL!$A:$H,4,0)</f>
        <v>Transporte com caminhão basculante de 10 m3, em via urbana pavimentada, DMT até 30,00 km (unidade: m3xkm). AF_07/2020</v>
      </c>
      <c r="E173" s="2">
        <f>+Orçamento_Não_Deson!E173</f>
        <v>0</v>
      </c>
      <c r="F173" s="2" t="str">
        <f>VLOOKUP($B173,[2]BOLETIM_SEL!$A:$H,6,0)</f>
        <v>M3XKM</v>
      </c>
      <c r="G173" s="1407">
        <f>VLOOKUP($B173,[2]BOLETIM_SEL!$A:$H,7,0)</f>
        <v>2.33</v>
      </c>
      <c r="H173" s="1608">
        <f>+Orçamento_Não_Deson!H173</f>
        <v>0</v>
      </c>
      <c r="I173" s="876">
        <f>TRUNC(G173*(1+$J$5),2)</f>
        <v>2.98</v>
      </c>
      <c r="J173" s="1607">
        <f>TRUNC(H173*I173,2)</f>
        <v>0</v>
      </c>
      <c r="K173" s="2069">
        <f ca="1">J173/J$930</f>
        <v>0</v>
      </c>
      <c r="L173" s="1570">
        <f ca="1">J173/J$100</f>
        <v>0</v>
      </c>
      <c r="M173" s="1969">
        <f>IF(H173=0,0,H173/E173)</f>
        <v>0</v>
      </c>
      <c r="N173" s="832"/>
      <c r="O173" s="832"/>
      <c r="Q173" s="832"/>
      <c r="R173" s="832"/>
      <c r="S173" s="832"/>
      <c r="T173" s="832"/>
      <c r="U173" s="832"/>
      <c r="V173" s="832"/>
      <c r="W173" s="832"/>
      <c r="X173" s="832"/>
    </row>
    <row r="174" spans="1:24" s="812" customFormat="1" ht="24.95" customHeight="1" x14ac:dyDescent="0.15">
      <c r="A174" s="2072"/>
      <c r="B174" s="2"/>
      <c r="C174" s="2"/>
      <c r="D174" s="1449" t="s">
        <v>1798</v>
      </c>
      <c r="E174" s="2"/>
      <c r="F174" s="2"/>
      <c r="G174" s="1407"/>
      <c r="H174" s="2"/>
      <c r="I174" s="2"/>
      <c r="J174" s="838" t="str">
        <f ca="1">IF(J175=0,"-","")</f>
        <v/>
      </c>
      <c r="K174" s="2069"/>
      <c r="L174" s="1570"/>
      <c r="M174" s="1967" t="str">
        <f>Orçamento_Não_Deson!M174</f>
        <v>Definir depósito:                                     1, 2, 3 ou 4</v>
      </c>
      <c r="N174" s="832"/>
      <c r="O174" s="832"/>
      <c r="Q174" s="832"/>
      <c r="R174" s="832"/>
      <c r="S174" s="832"/>
      <c r="T174" s="832"/>
      <c r="U174" s="832"/>
      <c r="V174" s="832"/>
      <c r="W174" s="832"/>
      <c r="X174" s="832"/>
    </row>
    <row r="175" spans="1:24" s="812" customFormat="1" ht="39.950000000000003" customHeight="1" x14ac:dyDescent="0.15">
      <c r="A175" s="2072">
        <f ca="1">Orçamento_Não_Deson!A175</f>
        <v>3.1799999999999962</v>
      </c>
      <c r="B175" s="833">
        <f ca="1">Orçamento_Não_Deson!B175</f>
        <v>95876</v>
      </c>
      <c r="C175" s="2" t="str">
        <f ca="1">VLOOKUP($B175,[2]BOLETIM_SEL!$A:$H,2,0)</f>
        <v>SINAPI</v>
      </c>
      <c r="D175" s="315" t="str">
        <f ca="1">VLOOKUP($B175,[2]BOLETIM_SEL!$A:$H,4,0)</f>
        <v>Transporte com caminhão basculante de 14 m3, em via urbana pavimentada, DMT até 30,00 km (unidade: m3xkm). AF_07/2020</v>
      </c>
      <c r="E175" s="2">
        <f>Orçamento_Não_Deson!E175</f>
        <v>8</v>
      </c>
      <c r="F175" s="2" t="str">
        <f ca="1">VLOOKUP($B175,[2]BOLETIM_SEL!$A:$H,6,0)</f>
        <v>M3XKM</v>
      </c>
      <c r="G175" s="1407">
        <f ca="1">VLOOKUP($B175,[2]BOLETIM_SEL!$A:$H,7,0)</f>
        <v>2.04</v>
      </c>
      <c r="H175" s="1608">
        <f ca="1">Orçamento_Não_Deson!H175</f>
        <v>2548</v>
      </c>
      <c r="I175" s="876">
        <f ca="1">TRUNC(G175*(1+$J$5),2)</f>
        <v>2.61</v>
      </c>
      <c r="J175" s="1607">
        <f ca="1">TRUNC(H175*I175,2)</f>
        <v>6650.28</v>
      </c>
      <c r="K175" s="2069">
        <f ca="1">J175/J$930</f>
        <v>1.7601559501326735E-3</v>
      </c>
      <c r="L175" s="1570">
        <f ca="1">J175/J$100</f>
        <v>4.6231360769413171E-2</v>
      </c>
      <c r="M175" s="1969">
        <f ca="1">Orçamento_Não_Deson!M175</f>
        <v>318.5</v>
      </c>
      <c r="N175" s="832"/>
      <c r="O175" s="832"/>
      <c r="Q175" s="832"/>
      <c r="R175" s="832"/>
      <c r="S175" s="832"/>
      <c r="T175" s="832"/>
      <c r="U175" s="832"/>
      <c r="V175" s="832"/>
      <c r="W175" s="832"/>
      <c r="X175" s="832"/>
    </row>
    <row r="176" spans="1:24" s="812" customFormat="1" ht="24.95" hidden="1" customHeight="1" x14ac:dyDescent="0.15">
      <c r="A176" s="2072"/>
      <c r="B176" s="2"/>
      <c r="C176" s="2"/>
      <c r="D176" s="1449" t="s">
        <v>1811</v>
      </c>
      <c r="E176" s="2"/>
      <c r="F176" s="2"/>
      <c r="G176" s="1407"/>
      <c r="H176" s="2"/>
      <c r="I176" s="2"/>
      <c r="J176" s="838" t="str">
        <f ca="1">IF(J177=0,"-","")</f>
        <v>-</v>
      </c>
      <c r="K176" s="2069"/>
      <c r="L176" s="1570"/>
      <c r="M176" s="1967"/>
      <c r="N176" s="832"/>
      <c r="O176" s="832"/>
      <c r="Q176" s="832"/>
      <c r="R176" s="832"/>
      <c r="S176" s="832"/>
      <c r="T176" s="832"/>
      <c r="U176" s="832"/>
      <c r="V176" s="832"/>
      <c r="W176" s="832"/>
      <c r="X176" s="832"/>
    </row>
    <row r="177" spans="1:24" s="812" customFormat="1" ht="39.950000000000003" hidden="1" customHeight="1" x14ac:dyDescent="0.15">
      <c r="A177" s="2072">
        <f ca="1">+Orçamento_Não_Deson!A177</f>
        <v>3.1799999999999962</v>
      </c>
      <c r="B177" s="833">
        <f ca="1">+Orçamento_Não_Deson!B177</f>
        <v>95875</v>
      </c>
      <c r="C177" s="2" t="str">
        <f ca="1">VLOOKUP($B177,[2]BOLETIM_SEL!$A:$H,2,0)</f>
        <v>SINAPI</v>
      </c>
      <c r="D177" s="315" t="str">
        <f ca="1">VLOOKUP($B177,[2]BOLETIM_SEL!$A:$H,4,0)</f>
        <v>Transporte com caminhão basculante de 10 m3, em via urbana pavimentada, DMT até 30,00 km (unidade: m3xkm). AF_07/2020</v>
      </c>
      <c r="E177" s="2">
        <f>+Orçamento_Não_Deson!E177</f>
        <v>7</v>
      </c>
      <c r="F177" s="2" t="str">
        <f ca="1">VLOOKUP($B177,[2]BOLETIM_SEL!$A:$H,6,0)</f>
        <v>M3XKM</v>
      </c>
      <c r="G177" s="1407">
        <f ca="1">VLOOKUP($B177,[2]BOLETIM_SEL!$A:$H,7,0)</f>
        <v>2.33</v>
      </c>
      <c r="H177" s="1608">
        <f ca="1">+Orçamento_Não_Deson!H177</f>
        <v>0</v>
      </c>
      <c r="I177" s="876">
        <f ca="1">TRUNC(G177*(1+$J$5),2)</f>
        <v>2.98</v>
      </c>
      <c r="J177" s="1607">
        <f ca="1">TRUNC(H177*I177,2)</f>
        <v>0</v>
      </c>
      <c r="K177" s="2069">
        <f ca="1">J177/J$930</f>
        <v>0</v>
      </c>
      <c r="L177" s="1570">
        <f ca="1">J177/J$100</f>
        <v>0</v>
      </c>
      <c r="M177" s="1969">
        <f ca="1">+Orçamento_Não_Deson!M177</f>
        <v>0</v>
      </c>
      <c r="N177" s="832"/>
      <c r="O177" s="832"/>
      <c r="Q177" s="832"/>
      <c r="R177" s="832"/>
      <c r="S177" s="832"/>
      <c r="T177" s="832"/>
      <c r="U177" s="832"/>
      <c r="V177" s="832"/>
      <c r="W177" s="832"/>
      <c r="X177" s="832"/>
    </row>
    <row r="178" spans="1:24" s="812" customFormat="1" ht="24.95" hidden="1" customHeight="1" x14ac:dyDescent="0.15">
      <c r="A178" s="2072"/>
      <c r="B178" s="2"/>
      <c r="C178" s="2"/>
      <c r="D178" s="1449" t="s">
        <v>1808</v>
      </c>
      <c r="E178" s="2"/>
      <c r="F178" s="2"/>
      <c r="G178" s="1407"/>
      <c r="H178" s="2"/>
      <c r="I178" s="2"/>
      <c r="J178" s="838" t="str">
        <f>IF(J179=0,"-","")</f>
        <v>-</v>
      </c>
      <c r="K178" s="2069"/>
      <c r="L178" s="1570"/>
      <c r="M178" s="1967"/>
      <c r="N178" s="832"/>
      <c r="O178" s="832"/>
      <c r="Q178" s="832"/>
      <c r="R178" s="832"/>
      <c r="S178" s="832"/>
      <c r="T178" s="832"/>
      <c r="U178" s="832"/>
      <c r="V178" s="832"/>
      <c r="W178" s="832"/>
      <c r="X178" s="832"/>
    </row>
    <row r="179" spans="1:24" s="812" customFormat="1" ht="39.950000000000003" hidden="1" customHeight="1" x14ac:dyDescent="0.15">
      <c r="A179" s="2072">
        <f ca="1">Orçamento_Não_Deson!A179</f>
        <v>3.1799999999999962</v>
      </c>
      <c r="B179" s="833">
        <f>Orçamento_Não_Deson!B179</f>
        <v>95875</v>
      </c>
      <c r="C179" s="2" t="str">
        <f>VLOOKUP($B179,[2]BOLETIM_SEL!$A:$H,2,0)</f>
        <v>SINAPI</v>
      </c>
      <c r="D179" s="315" t="str">
        <f>VLOOKUP($B179,[2]BOLETIM_SEL!$A:$H,4,0)</f>
        <v>Transporte com caminhão basculante de 10 m3, em via urbana pavimentada, DMT até 30,00 km (unidade: m3xkm). AF_07/2020</v>
      </c>
      <c r="E179" s="2">
        <f>Orçamento_Não_Deson!E179</f>
        <v>0</v>
      </c>
      <c r="F179" s="2" t="str">
        <f>VLOOKUP($B179,[2]BOLETIM_SEL!$A:$H,6,0)</f>
        <v>M3XKM</v>
      </c>
      <c r="G179" s="1407">
        <f>VLOOKUP($B179,[2]BOLETIM_SEL!$A:$H,7,0)</f>
        <v>2.33</v>
      </c>
      <c r="H179" s="1608">
        <f>Orçamento_Não_Deson!H179</f>
        <v>0</v>
      </c>
      <c r="I179" s="876">
        <f>TRUNC(G179*(1+$J$5),2)</f>
        <v>2.98</v>
      </c>
      <c r="J179" s="1607">
        <f>TRUNC(H179*I179,2)</f>
        <v>0</v>
      </c>
      <c r="K179" s="2069">
        <f ca="1">J179/J$930</f>
        <v>0</v>
      </c>
      <c r="L179" s="1570">
        <f ca="1">J179/J$100</f>
        <v>0</v>
      </c>
      <c r="M179" s="1969">
        <f>Orçamento_Não_Deson!M179</f>
        <v>0</v>
      </c>
      <c r="N179" s="832"/>
      <c r="O179" s="832"/>
      <c r="Q179" s="832"/>
      <c r="R179" s="832"/>
      <c r="S179" s="832"/>
      <c r="T179" s="832"/>
      <c r="U179" s="832"/>
      <c r="V179" s="832"/>
      <c r="W179" s="832"/>
      <c r="X179" s="832"/>
    </row>
    <row r="180" spans="1:24" s="812" customFormat="1" ht="24.95" hidden="1" customHeight="1" x14ac:dyDescent="0.15">
      <c r="A180" s="2072"/>
      <c r="B180" s="2"/>
      <c r="C180" s="2"/>
      <c r="D180" s="1449" t="s">
        <v>2178</v>
      </c>
      <c r="E180" s="2"/>
      <c r="F180" s="2"/>
      <c r="G180" s="1407"/>
      <c r="H180" s="2"/>
      <c r="I180" s="2"/>
      <c r="J180" s="838" t="str">
        <f>IF(J181=0,"-","")</f>
        <v>-</v>
      </c>
      <c r="K180" s="2069"/>
      <c r="L180" s="1570"/>
      <c r="M180" s="1967"/>
      <c r="N180" s="832"/>
      <c r="O180" s="832"/>
      <c r="Q180" s="832"/>
      <c r="R180" s="832"/>
      <c r="S180" s="832"/>
      <c r="T180" s="832"/>
      <c r="U180" s="832"/>
      <c r="V180" s="832"/>
      <c r="W180" s="832"/>
      <c r="X180" s="832"/>
    </row>
    <row r="181" spans="1:24" s="812" customFormat="1" ht="39.950000000000003" hidden="1" customHeight="1" x14ac:dyDescent="0.15">
      <c r="A181" s="2072">
        <f ca="1">Orçamento_Não_Deson!A181</f>
        <v>3.1799999999999962</v>
      </c>
      <c r="B181" s="833">
        <f>Orçamento_Não_Deson!B181</f>
        <v>95876</v>
      </c>
      <c r="C181" s="2" t="str">
        <f>VLOOKUP($B181,[2]BOLETIM_SEL!$A:$H,2,0)</f>
        <v>SINAPI</v>
      </c>
      <c r="D181" s="315" t="str">
        <f>VLOOKUP($B181,[2]BOLETIM_SEL!$A:$H,4,0)</f>
        <v>Transporte com caminhão basculante de 14 m3, em via urbana pavimentada, DMT até 30,00 km (unidade: m3xkm). AF_07/2020</v>
      </c>
      <c r="E181" s="2">
        <f>Orçamento_Não_Deson!E181</f>
        <v>24</v>
      </c>
      <c r="F181" s="2" t="str">
        <f>VLOOKUP($B181,[2]BOLETIM_SEL!$A:$H,6,0)</f>
        <v>M3XKM</v>
      </c>
      <c r="G181" s="1407">
        <f>VLOOKUP($B181,[2]BOLETIM_SEL!$A:$H,7,0)</f>
        <v>2.04</v>
      </c>
      <c r="H181" s="1608">
        <f>Orçamento_Não_Deson!H181</f>
        <v>0</v>
      </c>
      <c r="I181" s="876">
        <f>TRUNC(G181*(1+$J$5),2)</f>
        <v>2.61</v>
      </c>
      <c r="J181" s="1607">
        <f>TRUNC(H181*I181,2)</f>
        <v>0</v>
      </c>
      <c r="K181" s="2069">
        <f ca="1">J181/J$930</f>
        <v>0</v>
      </c>
      <c r="L181" s="1570">
        <f ca="1">J181/J$100</f>
        <v>0</v>
      </c>
      <c r="M181" s="1969">
        <f>Orçamento_Não_Deson!M181</f>
        <v>0</v>
      </c>
      <c r="N181" s="832"/>
      <c r="O181" s="832"/>
      <c r="Q181" s="832"/>
      <c r="R181" s="832"/>
      <c r="S181" s="832"/>
      <c r="T181" s="832"/>
      <c r="U181" s="832"/>
      <c r="V181" s="832"/>
      <c r="W181" s="832"/>
      <c r="X181" s="832"/>
    </row>
    <row r="182" spans="1:24" s="812" customFormat="1" ht="24.95" customHeight="1" thickBot="1" x14ac:dyDescent="0.2">
      <c r="A182" s="2072"/>
      <c r="B182" s="833"/>
      <c r="C182" s="833"/>
      <c r="D182" s="834"/>
      <c r="E182" s="2"/>
      <c r="F182" s="833"/>
      <c r="G182" s="1814"/>
      <c r="H182" s="833"/>
      <c r="I182" s="876"/>
      <c r="J182" s="838" t="str">
        <f ca="1">IF(J100=0,0,"")</f>
        <v/>
      </c>
      <c r="K182" s="2069"/>
      <c r="L182" s="1570"/>
      <c r="M182" s="1971"/>
      <c r="N182" s="832"/>
      <c r="O182" s="832"/>
      <c r="Q182" s="832"/>
      <c r="R182" s="832"/>
      <c r="S182" s="832"/>
      <c r="T182" s="832"/>
      <c r="U182" s="832"/>
      <c r="V182" s="832"/>
      <c r="W182" s="832"/>
      <c r="X182" s="832"/>
    </row>
    <row r="183" spans="1:24" s="832" customFormat="1" ht="24.95" customHeight="1" thickTop="1" thickBot="1" x14ac:dyDescent="0.2">
      <c r="A183" s="2073">
        <f ca="1">IF(J183&gt;0,INT(A181)+1,IF(J183=0,INT(A181),0))</f>
        <v>4</v>
      </c>
      <c r="B183" s="1626"/>
      <c r="C183" s="1626"/>
      <c r="D183" s="1634" t="s">
        <v>2241</v>
      </c>
      <c r="E183" s="1821"/>
      <c r="F183" s="1628"/>
      <c r="G183" s="1816" t="s">
        <v>646</v>
      </c>
      <c r="H183" s="1628"/>
      <c r="I183" s="1633" t="str">
        <f ca="1">CONCATENATE("SUB-TOTAL ",A183)</f>
        <v>SUB-TOTAL 4</v>
      </c>
      <c r="J183" s="1632">
        <f ca="1">SUM(J184:J242)</f>
        <v>212644.3</v>
      </c>
      <c r="K183" s="2070">
        <f t="shared" ref="K183:K214" ca="1" si="29">J183/J$930</f>
        <v>5.6281409189808139E-2</v>
      </c>
      <c r="L183" s="1605">
        <f t="shared" ref="L183:L250" ca="1" si="30">J183/J$183</f>
        <v>1</v>
      </c>
      <c r="M183" s="1972" t="s">
        <v>909</v>
      </c>
      <c r="N183" s="1960" t="str">
        <f ca="1">IF(SUMPRODUCT(Dren_Quantificacao!D3:AY3,Dren_Quantificacao!D4:AY4)=SUM(H184:H195)+SUM(H208:H216)+SUM(H235:H241),"OK","Erro")</f>
        <v>OK</v>
      </c>
    </row>
    <row r="184" spans="1:24" s="812" customFormat="1" ht="39.950000000000003" customHeight="1" thickTop="1" x14ac:dyDescent="0.15">
      <c r="A184" s="2072">
        <f ca="1">Orçamento_Não_Deson!A184</f>
        <v>4.01</v>
      </c>
      <c r="B184" s="833">
        <f>Orçamento_Não_Deson!B184</f>
        <v>7781</v>
      </c>
      <c r="C184" s="2" t="str">
        <f>VLOOKUP($B184,[2]BOLETIM_SEL!$A:$H,2,0)</f>
        <v>SINAPI</v>
      </c>
      <c r="D184" s="315" t="str">
        <f>VLOOKUP($B184,[2]BOLETIM_SEL!$A:$H,4,0)</f>
        <v>Aquisição de tubo de concreto simples para aguas pluviais, classe PS-1, com encaixe ponta e bolsa, diâmetro nominal de 0,40 m (180 kg/m) - Aquisição</v>
      </c>
      <c r="E184" s="2221" t="str">
        <f>Orçamento_Não_Deson!E184</f>
        <v>BDI insumo</v>
      </c>
      <c r="F184" s="2" t="str">
        <f>VLOOKUP($B184,[2]BOLETIM_SEL!$A:$H,6,0)</f>
        <v xml:space="preserve">M     </v>
      </c>
      <c r="G184" s="1407">
        <f>VLOOKUP($B184,[2]BOLETIM_SEL!$A:$H,7,0)</f>
        <v>70.900000000000006</v>
      </c>
      <c r="H184" s="1608">
        <f>Orçamento_Não_Deson!H184</f>
        <v>216</v>
      </c>
      <c r="I184" s="2222">
        <f t="shared" ref="I184:I195" si="31">TRUNC(G184*(1+$J$6),2)</f>
        <v>81.73</v>
      </c>
      <c r="J184" s="1607">
        <f t="shared" ref="J184:J251" si="32">TRUNC(H184*I184,2)</f>
        <v>17653.68</v>
      </c>
      <c r="K184" s="2069">
        <f t="shared" ca="1" si="29"/>
        <v>4.6724694138800442E-3</v>
      </c>
      <c r="L184" s="1570">
        <f t="shared" ca="1" si="30"/>
        <v>8.3019765871927914E-2</v>
      </c>
      <c r="M184" s="1973"/>
      <c r="N184" s="1811">
        <f ca="1">SUMPRODUCT(Dren_Quantificacao!D3:Z3,Dren_Quantificacao!D4:Z4)</f>
        <v>604.80999999999995</v>
      </c>
      <c r="O184" s="1812"/>
      <c r="Q184" s="832"/>
      <c r="R184" s="832"/>
      <c r="S184" s="832"/>
      <c r="T184" s="832"/>
      <c r="U184" s="832"/>
      <c r="V184" s="832"/>
      <c r="W184" s="832"/>
      <c r="X184" s="832"/>
    </row>
    <row r="185" spans="1:24" s="812" customFormat="1" ht="39.950000000000003" customHeight="1" x14ac:dyDescent="0.15">
      <c r="A185" s="2072">
        <f ca="1">Orçamento_Não_Deson!A185</f>
        <v>4.0199999999999996</v>
      </c>
      <c r="B185" s="833">
        <f>Orçamento_Não_Deson!B185</f>
        <v>7791</v>
      </c>
      <c r="C185" s="2" t="str">
        <f>VLOOKUP($B185,[2]BOLETIM_SEL!$A:$H,2,0)</f>
        <v>SINAPI</v>
      </c>
      <c r="D185" s="315" t="str">
        <f>VLOOKUP($B185,[2]BOLETIM_SEL!$A:$H,4,0)</f>
        <v>Aquisição de tubo de concreto simples para aguas pluviais, classe PS-1, com encaixe ponta e bolsa, diâmetro nominal de 0,60 m (347 kg/m) - Aquisição</v>
      </c>
      <c r="E185" s="2221" t="str">
        <f>Orçamento_Não_Deson!E185</f>
        <v>BDI insumo</v>
      </c>
      <c r="F185" s="2" t="str">
        <f>VLOOKUP($B185,[2]BOLETIM_SEL!$A:$H,6,0)</f>
        <v xml:space="preserve">M     </v>
      </c>
      <c r="G185" s="1407">
        <f>VLOOKUP($B185,[2]BOLETIM_SEL!$A:$H,7,0)</f>
        <v>126.32</v>
      </c>
      <c r="H185" s="1608">
        <f ca="1">Orçamento_Não_Deson!H185</f>
        <v>102.03999999999999</v>
      </c>
      <c r="I185" s="2222">
        <f t="shared" si="31"/>
        <v>145.62</v>
      </c>
      <c r="J185" s="1607">
        <f t="shared" ca="1" si="32"/>
        <v>14859.06</v>
      </c>
      <c r="K185" s="2069">
        <f t="shared" ca="1" si="29"/>
        <v>3.9328062686651392E-3</v>
      </c>
      <c r="L185" s="1570">
        <f t="shared" ca="1" si="30"/>
        <v>6.9877537277039645E-2</v>
      </c>
      <c r="M185" s="1973"/>
      <c r="N185" s="1811">
        <f ca="1">SUM(H184:H195)</f>
        <v>604.80999999999995</v>
      </c>
      <c r="O185" s="1812"/>
      <c r="Q185" s="832"/>
      <c r="R185" s="832"/>
      <c r="S185" s="832"/>
      <c r="T185" s="832"/>
      <c r="U185" s="832"/>
      <c r="V185" s="832"/>
      <c r="W185" s="832"/>
      <c r="X185" s="832"/>
    </row>
    <row r="186" spans="1:24" s="812" customFormat="1" ht="39.950000000000003" hidden="1" customHeight="1" x14ac:dyDescent="0.15">
      <c r="A186" s="2072">
        <f ca="1">+Orçamento_Não_Deson!A186</f>
        <v>4.0199999999999996</v>
      </c>
      <c r="B186" s="833">
        <f>+Orçamento_Não_Deson!B186</f>
        <v>7725</v>
      </c>
      <c r="C186" s="2" t="str">
        <f>VLOOKUP($B186,[2]BOLETIM_SEL!$A:$H,2,0)</f>
        <v>SINAPI</v>
      </c>
      <c r="D186" s="315" t="str">
        <f>VLOOKUP($B186,[2]BOLETIM_SEL!$A:$H,4,0)</f>
        <v>Aquisição de tubo de concreto armado para aguas pluviais, classe PA-1, com encaixe ponta e bolsa, diâmetro nominal de 0,60 m (360 kg/m) - Aquisição</v>
      </c>
      <c r="E186" s="2221" t="str">
        <f>+Orçamento_Não_Deson!E186</f>
        <v>BDI insumo</v>
      </c>
      <c r="F186" s="2" t="str">
        <f>VLOOKUP($B186,[2]BOLETIM_SEL!$A:$H,6,0)</f>
        <v xml:space="preserve">M     </v>
      </c>
      <c r="G186" s="1407">
        <f>VLOOKUP($B186,[2]BOLETIM_SEL!$A:$H,7,0)</f>
        <v>247</v>
      </c>
      <c r="H186" s="1608">
        <f ca="1">+Orçamento_Não_Deson!H186</f>
        <v>0</v>
      </c>
      <c r="I186" s="2222">
        <f t="shared" si="31"/>
        <v>284.74</v>
      </c>
      <c r="J186" s="1607">
        <f t="shared" ca="1" si="32"/>
        <v>0</v>
      </c>
      <c r="K186" s="2069">
        <f t="shared" ca="1" si="29"/>
        <v>0</v>
      </c>
      <c r="L186" s="1570">
        <f t="shared" ca="1" si="30"/>
        <v>0</v>
      </c>
      <c r="M186" s="1973"/>
      <c r="N186" s="1811">
        <f ca="1">SUM(H208:H216)</f>
        <v>0</v>
      </c>
      <c r="O186" s="1811">
        <f ca="1">SUM(H217:H234)</f>
        <v>0</v>
      </c>
      <c r="Q186" s="832"/>
      <c r="R186" s="832"/>
      <c r="S186" s="832"/>
      <c r="T186" s="832"/>
      <c r="U186" s="832"/>
      <c r="V186" s="832"/>
      <c r="W186" s="832"/>
      <c r="X186" s="832"/>
    </row>
    <row r="187" spans="1:24" s="812" customFormat="1" ht="39.950000000000003" customHeight="1" x14ac:dyDescent="0.15">
      <c r="A187" s="2072">
        <f ca="1">Orçamento_Não_Deson!A187</f>
        <v>4.0299999999999994</v>
      </c>
      <c r="B187" s="833">
        <f>Orçamento_Não_Deson!B187</f>
        <v>7750</v>
      </c>
      <c r="C187" s="2" t="str">
        <f>VLOOKUP($B187,[2]BOLETIM_SEL!$A:$H,2,0)</f>
        <v>SINAPI</v>
      </c>
      <c r="D187" s="315" t="str">
        <f>VLOOKUP($B187,[2]BOLETIM_SEL!$A:$H,4,0)</f>
        <v>Tubo de concreto armado para aguas pluviais, classe PA-1, com encaixe ponta e bolsa, diâmetro nominal de 0,80 m (533,00 kg/m) - Aquisição</v>
      </c>
      <c r="E187" s="2221" t="str">
        <f>Orçamento_Não_Deson!E187</f>
        <v>BDI insumo</v>
      </c>
      <c r="F187" s="2" t="str">
        <f>VLOOKUP($B187,[2]BOLETIM_SEL!$A:$H,6,0)</f>
        <v xml:space="preserve">M     </v>
      </c>
      <c r="G187" s="1407">
        <f>VLOOKUP($B187,[2]BOLETIM_SEL!$A:$H,7,0)</f>
        <v>410.97</v>
      </c>
      <c r="H187" s="1608">
        <f ca="1">Orçamento_Não_Deson!H187</f>
        <v>181.3</v>
      </c>
      <c r="I187" s="2222">
        <f t="shared" si="31"/>
        <v>473.76</v>
      </c>
      <c r="J187" s="1607">
        <f t="shared" ca="1" si="32"/>
        <v>85892.68</v>
      </c>
      <c r="K187" s="2069">
        <f t="shared" ca="1" si="29"/>
        <v>2.2733555846496941E-2</v>
      </c>
      <c r="L187" s="1570">
        <f t="shared" ca="1" si="30"/>
        <v>0.40392655716612202</v>
      </c>
      <c r="M187" s="1973"/>
      <c r="N187" s="1811">
        <f ca="1">SUM(H235:H241)</f>
        <v>0</v>
      </c>
      <c r="O187" s="1812"/>
      <c r="Q187" s="832"/>
      <c r="R187" s="832"/>
      <c r="S187" s="832"/>
      <c r="T187" s="832"/>
      <c r="U187" s="832"/>
      <c r="V187" s="832"/>
      <c r="W187" s="832"/>
      <c r="X187" s="832"/>
    </row>
    <row r="188" spans="1:24" s="812" customFormat="1" ht="39.950000000000003" hidden="1" customHeight="1" x14ac:dyDescent="0.15">
      <c r="A188" s="2072">
        <f ca="1">Orçamento_Não_Deson!A188</f>
        <v>4.0299999999999994</v>
      </c>
      <c r="B188" s="833">
        <f>Orçamento_Não_Deson!B188</f>
        <v>7753</v>
      </c>
      <c r="C188" s="2" t="str">
        <f>VLOOKUP($B188,[2]BOLETIM_SEL!$A:$H,2,0)</f>
        <v>SINAPI</v>
      </c>
      <c r="D188" s="315" t="str">
        <f>VLOOKUP($B188,[2]BOLETIM_SEL!$A:$H,4,0)</f>
        <v>Tubo de concreto armado para aguas pluviais, classe PA-1, com encaixe ponta e bolsa, diâmetro nominal de 1,00 m (800,00 kg/m) - Aquisição</v>
      </c>
      <c r="E188" s="2221" t="str">
        <f>Orçamento_Não_Deson!E188</f>
        <v>BDI insumo</v>
      </c>
      <c r="F188" s="2" t="str">
        <f>VLOOKUP($B188,[2]BOLETIM_SEL!$A:$H,6,0)</f>
        <v xml:space="preserve">M     </v>
      </c>
      <c r="G188" s="1407">
        <f>VLOOKUP($B188,[2]BOLETIM_SEL!$A:$H,7,0)</f>
        <v>481.54</v>
      </c>
      <c r="H188" s="1608">
        <f ca="1">Orçamento_Não_Deson!H188</f>
        <v>0</v>
      </c>
      <c r="I188" s="2222">
        <f t="shared" si="31"/>
        <v>555.11</v>
      </c>
      <c r="J188" s="1607">
        <f t="shared" ca="1" si="32"/>
        <v>0</v>
      </c>
      <c r="K188" s="2069">
        <f t="shared" ca="1" si="29"/>
        <v>0</v>
      </c>
      <c r="L188" s="1570">
        <f t="shared" ca="1" si="30"/>
        <v>0</v>
      </c>
      <c r="M188" s="1973"/>
      <c r="N188" s="841"/>
      <c r="O188" s="832"/>
      <c r="Q188" s="832"/>
      <c r="R188" s="832"/>
      <c r="S188" s="832"/>
      <c r="T188" s="832"/>
      <c r="U188" s="832"/>
      <c r="V188" s="832"/>
      <c r="W188" s="832"/>
      <c r="X188" s="832"/>
    </row>
    <row r="189" spans="1:24" s="812" customFormat="1" ht="39.950000000000003" hidden="1" customHeight="1" x14ac:dyDescent="0.15">
      <c r="A189" s="2072">
        <f ca="1">Orçamento_Não_Deson!A189</f>
        <v>4.0299999999999994</v>
      </c>
      <c r="B189" s="833">
        <f>Orçamento_Não_Deson!B189</f>
        <v>7757</v>
      </c>
      <c r="C189" s="2" t="str">
        <f>VLOOKUP($B189,[2]BOLETIM_SEL!$A:$H,2,0)</f>
        <v>SINAPI</v>
      </c>
      <c r="D189" s="315" t="str">
        <f>VLOOKUP($B189,[2]BOLETIM_SEL!$A:$H,4,0)</f>
        <v>Tubo de concreto armado para aguas pluviais, classe PA-1, com encaixe ponta e bolsa, diâmetro nominal de 1,20 m (1.133,00 kg/m) - Aquisição</v>
      </c>
      <c r="E189" s="2221" t="str">
        <f>Orçamento_Não_Deson!E189</f>
        <v>BDI insumo</v>
      </c>
      <c r="F189" s="2" t="str">
        <f>VLOOKUP($B189,[2]BOLETIM_SEL!$A:$H,6,0)</f>
        <v xml:space="preserve">M     </v>
      </c>
      <c r="G189" s="1407">
        <f>VLOOKUP($B189,[2]BOLETIM_SEL!$A:$H,7,0)</f>
        <v>719.2</v>
      </c>
      <c r="H189" s="1608">
        <f ca="1">Orçamento_Não_Deson!H189</f>
        <v>0</v>
      </c>
      <c r="I189" s="2222">
        <f t="shared" si="31"/>
        <v>829.09</v>
      </c>
      <c r="J189" s="1607">
        <f t="shared" ca="1" si="32"/>
        <v>0</v>
      </c>
      <c r="K189" s="2069">
        <f t="shared" ca="1" si="29"/>
        <v>0</v>
      </c>
      <c r="L189" s="1570">
        <f t="shared" ca="1" si="30"/>
        <v>0</v>
      </c>
      <c r="M189" s="1973"/>
      <c r="N189" s="1809"/>
      <c r="O189" s="832"/>
      <c r="Q189" s="832"/>
      <c r="R189" s="832"/>
      <c r="S189" s="832"/>
      <c r="T189" s="832"/>
      <c r="U189" s="832"/>
      <c r="V189" s="832"/>
      <c r="W189" s="832"/>
      <c r="X189" s="832"/>
    </row>
    <row r="190" spans="1:24" s="812" customFormat="1" ht="39.950000000000003" hidden="1" customHeight="1" x14ac:dyDescent="0.15">
      <c r="A190" s="2072">
        <f ca="1">Orçamento_Não_Deson!A190</f>
        <v>4.0299999999999994</v>
      </c>
      <c r="B190" s="833">
        <f>Orçamento_Não_Deson!B190</f>
        <v>7758</v>
      </c>
      <c r="C190" s="2" t="str">
        <f>VLOOKUP($B190,[2]BOLETIM_SEL!$A:$H,2,0)</f>
        <v>SINAPI</v>
      </c>
      <c r="D190" s="315" t="str">
        <f>VLOOKUP($B190,[2]BOLETIM_SEL!$A:$H,4,0)</f>
        <v>Tubo de concreto armado para aguas pluviais, classe PA-1, com encaixe ponta e bolsa, diâmetro nominal de 1,50 m (1.933,00 kg/m) - Aquisição</v>
      </c>
      <c r="E190" s="2221" t="str">
        <f>Orçamento_Não_Deson!E190</f>
        <v>BDI insumo</v>
      </c>
      <c r="F190" s="2" t="str">
        <f>VLOOKUP($B190,[2]BOLETIM_SEL!$A:$H,6,0)</f>
        <v xml:space="preserve">M     </v>
      </c>
      <c r="G190" s="1407">
        <f>VLOOKUP($B190,[2]BOLETIM_SEL!$A:$H,7,0)</f>
        <v>1041.96</v>
      </c>
      <c r="H190" s="1608">
        <f ca="1">Orçamento_Não_Deson!H190</f>
        <v>0</v>
      </c>
      <c r="I190" s="2222">
        <f t="shared" si="31"/>
        <v>1201.17</v>
      </c>
      <c r="J190" s="1607">
        <f t="shared" ca="1" si="32"/>
        <v>0</v>
      </c>
      <c r="K190" s="2069">
        <f t="shared" ca="1" si="29"/>
        <v>0</v>
      </c>
      <c r="L190" s="1570">
        <f t="shared" ca="1" si="30"/>
        <v>0</v>
      </c>
      <c r="M190" s="1973"/>
      <c r="N190" s="832"/>
      <c r="O190" s="832"/>
      <c r="Q190" s="832"/>
      <c r="R190" s="832"/>
      <c r="S190" s="832"/>
      <c r="T190" s="832"/>
      <c r="U190" s="832"/>
      <c r="V190" s="832"/>
      <c r="W190" s="832"/>
      <c r="X190" s="832"/>
    </row>
    <row r="191" spans="1:24" s="812" customFormat="1" ht="39.950000000000003" customHeight="1" x14ac:dyDescent="0.15">
      <c r="A191" s="2072">
        <f ca="1">+Orçamento_Não_Deson!A191</f>
        <v>4.0399999999999991</v>
      </c>
      <c r="B191" s="833">
        <f>+Orçamento_Não_Deson!B191</f>
        <v>7762</v>
      </c>
      <c r="C191" s="2" t="str">
        <f>VLOOKUP($B191,[2]BOLETIM_SEL!$A:$H,2,0)</f>
        <v>SINAPI</v>
      </c>
      <c r="D191" s="315" t="str">
        <f>VLOOKUP($B191,[2]BOLETIM_SEL!$A:$H,4,0)</f>
        <v>Tubo de concreto armado para aguas pluviais, classe PA-2, com encaixe ponta e bolsa, diâmetro nominal de 0,60 m (373,00 kg/m) - Aquisição</v>
      </c>
      <c r="E191" s="2221" t="str">
        <f>+Orçamento_Não_Deson!E191</f>
        <v>BDI insumo</v>
      </c>
      <c r="F191" s="2" t="str">
        <f>VLOOKUP($B191,[2]BOLETIM_SEL!$A:$H,6,0)</f>
        <v xml:space="preserve">M     </v>
      </c>
      <c r="G191" s="1407">
        <f>VLOOKUP($B191,[2]BOLETIM_SEL!$A:$H,7,0)</f>
        <v>214.3</v>
      </c>
      <c r="H191" s="1608">
        <f ca="1">+Orçamento_Não_Deson!H191</f>
        <v>105.47</v>
      </c>
      <c r="I191" s="2222">
        <f t="shared" si="31"/>
        <v>247.04</v>
      </c>
      <c r="J191" s="1607">
        <f t="shared" ca="1" si="32"/>
        <v>26055.3</v>
      </c>
      <c r="K191" s="2069">
        <f t="shared" ca="1" si="29"/>
        <v>6.8961594590741821E-3</v>
      </c>
      <c r="L191" s="1570">
        <f t="shared" ca="1" si="30"/>
        <v>0.12252997141235387</v>
      </c>
      <c r="M191" s="1973"/>
      <c r="N191" s="832"/>
      <c r="O191" s="832"/>
      <c r="Q191" s="832"/>
      <c r="R191" s="832"/>
      <c r="S191" s="832"/>
      <c r="T191" s="832"/>
      <c r="U191" s="832"/>
      <c r="V191" s="832"/>
      <c r="W191" s="832"/>
      <c r="X191" s="832"/>
    </row>
    <row r="192" spans="1:24" s="812" customFormat="1" ht="39.950000000000003" hidden="1" customHeight="1" x14ac:dyDescent="0.15">
      <c r="A192" s="2072">
        <f ca="1">+Orçamento_Não_Deson!A192</f>
        <v>4.0399999999999991</v>
      </c>
      <c r="B192" s="833">
        <f>+Orçamento_Não_Deson!B192</f>
        <v>7763</v>
      </c>
      <c r="C192" s="2" t="str">
        <f>VLOOKUP($B192,[2]BOLETIM_SEL!$A:$H,2,0)</f>
        <v>SINAPI</v>
      </c>
      <c r="D192" s="315" t="str">
        <f>VLOOKUP($B192,[2]BOLETIM_SEL!$A:$H,4,0)</f>
        <v>Tubo de concreto armado para aguas pluviais, classe PA-2, com encaixe ponta e bolsa, diâmetro nominal de 0,80 m (620,00 kg/m) - Aquisição</v>
      </c>
      <c r="E192" s="2221" t="str">
        <f>+Orçamento_Não_Deson!E192</f>
        <v>BDI insumo</v>
      </c>
      <c r="F192" s="2" t="str">
        <f>VLOOKUP($B192,[2]BOLETIM_SEL!$A:$H,6,0)</f>
        <v xml:space="preserve">M     </v>
      </c>
      <c r="G192" s="1407">
        <f>VLOOKUP($B192,[2]BOLETIM_SEL!$A:$H,7,0)</f>
        <v>399.55</v>
      </c>
      <c r="H192" s="1608">
        <f ca="1">+Orçamento_Não_Deson!H192</f>
        <v>0</v>
      </c>
      <c r="I192" s="2222">
        <f t="shared" si="31"/>
        <v>460.6</v>
      </c>
      <c r="J192" s="1607">
        <f t="shared" ca="1" si="32"/>
        <v>0</v>
      </c>
      <c r="K192" s="2069">
        <f t="shared" ca="1" si="29"/>
        <v>0</v>
      </c>
      <c r="L192" s="1570">
        <f t="shared" ca="1" si="30"/>
        <v>0</v>
      </c>
      <c r="M192" s="1973"/>
      <c r="N192" s="832"/>
      <c r="O192" s="832"/>
      <c r="Q192" s="832"/>
      <c r="R192" s="832"/>
      <c r="S192" s="832"/>
      <c r="T192" s="832"/>
      <c r="U192" s="832"/>
      <c r="V192" s="832"/>
      <c r="W192" s="832"/>
      <c r="X192" s="832"/>
    </row>
    <row r="193" spans="1:24" s="812" customFormat="1" ht="39.950000000000003" hidden="1" customHeight="1" x14ac:dyDescent="0.15">
      <c r="A193" s="2072">
        <f ca="1">+Orçamento_Não_Deson!A193</f>
        <v>4.0399999999999991</v>
      </c>
      <c r="B193" s="833">
        <f>+Orçamento_Não_Deson!B193</f>
        <v>7765</v>
      </c>
      <c r="C193" s="2" t="str">
        <f>VLOOKUP($B193,[2]BOLETIM_SEL!$A:$H,2,0)</f>
        <v>SINAPI</v>
      </c>
      <c r="D193" s="315" t="str">
        <f>VLOOKUP($B193,[2]BOLETIM_SEL!$A:$H,4,0)</f>
        <v>Tubo de concreto armado para aguas pluviais, classe PA-2, com encaixe ponta e bolsa, diâmetro nominal de 1,00 m (900,00 kg/m) - Aquisição</v>
      </c>
      <c r="E193" s="2221" t="str">
        <f>+Orçamento_Não_Deson!E193</f>
        <v>BDI insumo</v>
      </c>
      <c r="F193" s="2" t="str">
        <f>VLOOKUP($B193,[2]BOLETIM_SEL!$A:$H,6,0)</f>
        <v xml:space="preserve">M     </v>
      </c>
      <c r="G193" s="1407">
        <f>VLOOKUP($B193,[2]BOLETIM_SEL!$A:$H,7,0)</f>
        <v>529.28</v>
      </c>
      <c r="H193" s="1608">
        <f ca="1">+Orçamento_Não_Deson!H193</f>
        <v>0</v>
      </c>
      <c r="I193" s="2222">
        <f t="shared" si="31"/>
        <v>610.15</v>
      </c>
      <c r="J193" s="1607">
        <f t="shared" ca="1" si="32"/>
        <v>0</v>
      </c>
      <c r="K193" s="2069">
        <f t="shared" ca="1" si="29"/>
        <v>0</v>
      </c>
      <c r="L193" s="1570">
        <f t="shared" ca="1" si="30"/>
        <v>0</v>
      </c>
      <c r="M193" s="1973"/>
      <c r="N193" s="832"/>
      <c r="O193" s="832"/>
      <c r="Q193" s="832"/>
      <c r="R193" s="832"/>
      <c r="S193" s="832"/>
      <c r="T193" s="832"/>
      <c r="U193" s="832"/>
      <c r="V193" s="832"/>
      <c r="W193" s="832"/>
      <c r="X193" s="832"/>
    </row>
    <row r="194" spans="1:24" s="812" customFormat="1" ht="39.950000000000003" hidden="1" customHeight="1" x14ac:dyDescent="0.15">
      <c r="A194" s="2072">
        <f ca="1">+Orçamento_Não_Deson!A194</f>
        <v>4.0399999999999991</v>
      </c>
      <c r="B194" s="833">
        <f>+Orçamento_Não_Deson!B194</f>
        <v>7766</v>
      </c>
      <c r="C194" s="2" t="str">
        <f>VLOOKUP($B194,[2]BOLETIM_SEL!$A:$H,2,0)</f>
        <v>SINAPI</v>
      </c>
      <c r="D194" s="315" t="str">
        <f>VLOOKUP($B194,[2]BOLETIM_SEL!$A:$H,4,0)</f>
        <v>Tubo de concreto armado para aguas pluviais, classe PA-2, com encaixe ponta e bolsa, diâmetro nominal de 1,20 m (1.333,00 kg/m) - Aquisição</v>
      </c>
      <c r="E194" s="2221" t="str">
        <f>+Orçamento_Não_Deson!E194</f>
        <v>BDI insumo</v>
      </c>
      <c r="F194" s="2" t="str">
        <f>VLOOKUP($B194,[2]BOLETIM_SEL!$A:$H,6,0)</f>
        <v xml:space="preserve">M     </v>
      </c>
      <c r="G194" s="1407">
        <f>VLOOKUP($B194,[2]BOLETIM_SEL!$A:$H,7,0)</f>
        <v>776.28</v>
      </c>
      <c r="H194" s="1608">
        <f ca="1">+Orçamento_Não_Deson!H194</f>
        <v>0</v>
      </c>
      <c r="I194" s="2222">
        <f t="shared" si="31"/>
        <v>894.89</v>
      </c>
      <c r="J194" s="1607">
        <f t="shared" ca="1" si="32"/>
        <v>0</v>
      </c>
      <c r="K194" s="2069">
        <f t="shared" ca="1" si="29"/>
        <v>0</v>
      </c>
      <c r="L194" s="1570">
        <f t="shared" ca="1" si="30"/>
        <v>0</v>
      </c>
      <c r="M194" s="1973"/>
      <c r="N194" s="832"/>
      <c r="O194" s="832"/>
      <c r="Q194" s="832"/>
      <c r="R194" s="832"/>
      <c r="S194" s="832"/>
      <c r="T194" s="832"/>
      <c r="U194" s="832"/>
      <c r="V194" s="832"/>
      <c r="W194" s="832"/>
      <c r="X194" s="832"/>
    </row>
    <row r="195" spans="1:24" s="812" customFormat="1" ht="39.950000000000003" hidden="1" customHeight="1" x14ac:dyDescent="0.15">
      <c r="A195" s="2072">
        <f ca="1">+Orçamento_Não_Deson!A195</f>
        <v>4.0399999999999991</v>
      </c>
      <c r="B195" s="833">
        <f>+Orçamento_Não_Deson!B195</f>
        <v>7767</v>
      </c>
      <c r="C195" s="2" t="str">
        <f>VLOOKUP($B195,[2]BOLETIM_SEL!$A:$H,2,0)</f>
        <v>SINAPI</v>
      </c>
      <c r="D195" s="315" t="str">
        <f>VLOOKUP($B195,[2]BOLETIM_SEL!$A:$H,4,0)</f>
        <v>Tubo de concreto armado para aguas pluviais, classe PA-2, com encaixe ponta e bolsa, diâmetro nominal de 1,50 m (2.253,00 kg/m) - Aquisição</v>
      </c>
      <c r="E195" s="2221" t="str">
        <f>+Orçamento_Não_Deson!E195</f>
        <v>BDI insumo</v>
      </c>
      <c r="F195" s="2" t="str">
        <f>VLOOKUP($B195,[2]BOLETIM_SEL!$A:$H,6,0)</f>
        <v xml:space="preserve">M     </v>
      </c>
      <c r="G195" s="1407">
        <f>VLOOKUP($B195,[2]BOLETIM_SEL!$A:$H,7,0)</f>
        <v>1114.6099999999999</v>
      </c>
      <c r="H195" s="1608">
        <f ca="1">+Orçamento_Não_Deson!H195</f>
        <v>0</v>
      </c>
      <c r="I195" s="2222">
        <f t="shared" si="31"/>
        <v>1284.92</v>
      </c>
      <c r="J195" s="1607">
        <f t="shared" ca="1" si="32"/>
        <v>0</v>
      </c>
      <c r="K195" s="2069">
        <f t="shared" ca="1" si="29"/>
        <v>0</v>
      </c>
      <c r="L195" s="1570">
        <f t="shared" ca="1" si="30"/>
        <v>0</v>
      </c>
      <c r="M195" s="1973"/>
      <c r="N195" s="1957" t="s">
        <v>1951</v>
      </c>
      <c r="O195" s="1648" t="s">
        <v>1977</v>
      </c>
      <c r="Q195" s="832"/>
      <c r="R195" s="832"/>
      <c r="S195" s="832"/>
      <c r="T195" s="832"/>
      <c r="U195" s="832"/>
      <c r="V195" s="832"/>
      <c r="W195" s="832"/>
      <c r="X195" s="832"/>
    </row>
    <row r="196" spans="1:24" s="812" customFormat="1" ht="39.950000000000003" customHeight="1" x14ac:dyDescent="0.15">
      <c r="A196" s="2072">
        <f ca="1">Orçamento_Não_Deson!A196</f>
        <v>4.0499999999999989</v>
      </c>
      <c r="B196" s="833">
        <f>Orçamento_Não_Deson!B196</f>
        <v>92821</v>
      </c>
      <c r="C196" s="2" t="str">
        <f>VLOOKUP($B196,[2]BOLETIM_SEL!$A:$H,2,0)</f>
        <v>SINAPI</v>
      </c>
      <c r="D196" s="315" t="str">
        <f>VLOOKUP($B196,[2]BOLETIM_SEL!$A:$H,4,0)</f>
        <v>Assentamento de tubo de concreto para redes coletoras de águas pluviais, diâmetro nominal de 0,40 m, junta rígida em argamassa 1:3 cimento:areia, instalado em local com alto nível de interferências (não inclui fornecimento). AF_12/2015</v>
      </c>
      <c r="E196" s="2">
        <f>Orçamento_Não_Deson!E196</f>
        <v>0</v>
      </c>
      <c r="F196" s="2" t="str">
        <f>VLOOKUP($B196,[2]BOLETIM_SEL!$A:$H,6,0)</f>
        <v>M</v>
      </c>
      <c r="G196" s="1407">
        <f>VLOOKUP($B196,[2]BOLETIM_SEL!$A:$H,7,0)</f>
        <v>61.24</v>
      </c>
      <c r="H196" s="1608">
        <f>Orçamento_Não_Deson!H196</f>
        <v>216</v>
      </c>
      <c r="I196" s="876">
        <f t="shared" ref="I196:I207" si="33">TRUNC(G196*(1+$J$5),2)</f>
        <v>78.489999999999995</v>
      </c>
      <c r="J196" s="1607">
        <f t="shared" si="32"/>
        <v>16953.84</v>
      </c>
      <c r="K196" s="2069">
        <f t="shared" ca="1" si="29"/>
        <v>4.4872399889323948E-3</v>
      </c>
      <c r="L196" s="1570">
        <f t="shared" ca="1" si="30"/>
        <v>7.9728636036799486E-2</v>
      </c>
      <c r="M196" s="1973"/>
      <c r="N196" s="1961" t="str">
        <f>VLOOKUP($B196,[2]BOLETIM_SEL!$A:$H,5,0)</f>
        <v xml:space="preserve">TUBO DE CONCRETO
alta Interferência </v>
      </c>
      <c r="O196" s="1649" t="e">
        <f>H196/N196</f>
        <v>#VALUE!</v>
      </c>
      <c r="Q196" s="832"/>
      <c r="R196" s="832"/>
      <c r="S196" s="832"/>
      <c r="T196" s="832"/>
      <c r="U196" s="832"/>
      <c r="V196" s="832"/>
      <c r="W196" s="832"/>
      <c r="X196" s="832"/>
    </row>
    <row r="197" spans="1:24" s="812" customFormat="1" ht="39.950000000000003" customHeight="1" x14ac:dyDescent="0.15">
      <c r="A197" s="2072">
        <f ca="1">+Orçamento_Não_Deson!A197</f>
        <v>4.0599999999999987</v>
      </c>
      <c r="B197" s="833">
        <f>+Orçamento_Não_Deson!B197</f>
        <v>92824</v>
      </c>
      <c r="C197" s="2" t="str">
        <f>VLOOKUP($B197,[2]BOLETIM_SEL!$A:$H,2,0)</f>
        <v>SINAPI</v>
      </c>
      <c r="D197" s="315" t="str">
        <f>VLOOKUP($B197,[2]BOLETIM_SEL!$A:$H,4,0)</f>
        <v>Assentamento de tubo de concreto para redes coletoras de águas pluviais, diâmetro nominal de 0,60 m, junta rígida em argamassa 1:3 cimento:areia, instalado em local com alto nível de interferências (não inclui fornecimento). AF_12/2015</v>
      </c>
      <c r="E197" s="2">
        <f>+Orçamento_Não_Deson!E197</f>
        <v>0</v>
      </c>
      <c r="F197" s="2" t="str">
        <f>VLOOKUP($B197,[2]BOLETIM_SEL!$A:$H,6,0)</f>
        <v>M</v>
      </c>
      <c r="G197" s="1407">
        <f>VLOOKUP($B197,[2]BOLETIM_SEL!$A:$H,7,0)</f>
        <v>88.83</v>
      </c>
      <c r="H197" s="1608">
        <f ca="1">+Orçamento_Não_Deson!H197</f>
        <v>207.51</v>
      </c>
      <c r="I197" s="876">
        <f t="shared" si="33"/>
        <v>113.85</v>
      </c>
      <c r="J197" s="1607">
        <f ca="1">TRUNC(H197*I197,2)</f>
        <v>23625.01</v>
      </c>
      <c r="K197" s="2069">
        <f t="shared" ca="1" si="29"/>
        <v>6.2529249781127878E-3</v>
      </c>
      <c r="L197" s="1570">
        <f t="shared" ca="1" si="30"/>
        <v>0.11110107348280673</v>
      </c>
      <c r="M197" s="1973"/>
      <c r="N197" s="1961">
        <f>VLOOKUP($B197,[2]BOLETIM_SEL!$A:$H,5,0)</f>
        <v>0</v>
      </c>
      <c r="O197" s="1649" t="e">
        <f t="shared" ref="O197:O201" ca="1" si="34">+H197/N197</f>
        <v>#DIV/0!</v>
      </c>
      <c r="Q197" s="832"/>
      <c r="R197" s="832"/>
      <c r="S197" s="832"/>
      <c r="T197" s="832"/>
      <c r="U197" s="832"/>
      <c r="V197" s="832"/>
      <c r="W197" s="832"/>
      <c r="X197" s="832"/>
    </row>
    <row r="198" spans="1:24" s="812" customFormat="1" ht="39.950000000000003" customHeight="1" x14ac:dyDescent="0.15">
      <c r="A198" s="2072">
        <f ca="1">+Orçamento_Não_Deson!A198</f>
        <v>4.0699999999999985</v>
      </c>
      <c r="B198" s="833">
        <f>+Orçamento_Não_Deson!B198</f>
        <v>92826</v>
      </c>
      <c r="C198" s="2" t="str">
        <f>VLOOKUP($B198,[2]BOLETIM_SEL!$A:$H,2,0)</f>
        <v>SINAPI</v>
      </c>
      <c r="D198" s="315" t="str">
        <f>VLOOKUP($B198,[2]BOLETIM_SEL!$A:$H,4,0)</f>
        <v>Assentamento de tubo de concreto para redes coletoras de águas pluviais, diâmetro nominal de 0,80 m, junta rígida em argamassa 1:3 cimento:areia, instalado em local com alto nível de interferências (não inclui fornecimento). AF_12/2015</v>
      </c>
      <c r="E198" s="2">
        <f>+Orçamento_Não_Deson!E198</f>
        <v>0</v>
      </c>
      <c r="F198" s="2" t="str">
        <f>VLOOKUP($B198,[2]BOLETIM_SEL!$A:$H,6,0)</f>
        <v>M</v>
      </c>
      <c r="G198" s="1407">
        <f>VLOOKUP($B198,[2]BOLETIM_SEL!$A:$H,7,0)</f>
        <v>118.8</v>
      </c>
      <c r="H198" s="1608">
        <f ca="1">+Orçamento_Não_Deson!H198</f>
        <v>181.3</v>
      </c>
      <c r="I198" s="876">
        <f t="shared" si="33"/>
        <v>152.26</v>
      </c>
      <c r="J198" s="1607">
        <f ca="1">TRUNC(H198*I198,2)</f>
        <v>27604.73</v>
      </c>
      <c r="K198" s="2069">
        <f t="shared" ca="1" si="29"/>
        <v>7.3062532346466489E-3</v>
      </c>
      <c r="L198" s="1570">
        <f t="shared" ca="1" si="30"/>
        <v>0.12981645875295036</v>
      </c>
      <c r="M198" s="1973"/>
      <c r="N198" s="1961">
        <f>VLOOKUP($B198,[2]BOLETIM_SEL!$A:$H,5,0)</f>
        <v>0</v>
      </c>
      <c r="O198" s="1649" t="e">
        <f t="shared" ca="1" si="34"/>
        <v>#DIV/0!</v>
      </c>
      <c r="Q198" s="832"/>
      <c r="R198" s="832"/>
      <c r="S198" s="832"/>
      <c r="T198" s="832"/>
      <c r="U198" s="832"/>
      <c r="V198" s="832"/>
      <c r="W198" s="832"/>
      <c r="X198" s="832"/>
    </row>
    <row r="199" spans="1:24" s="812" customFormat="1" ht="39.950000000000003" hidden="1" customHeight="1" x14ac:dyDescent="0.15">
      <c r="A199" s="2072">
        <f ca="1">+Orçamento_Não_Deson!A199</f>
        <v>4.0699999999999985</v>
      </c>
      <c r="B199" s="833">
        <f>+Orçamento_Não_Deson!B199</f>
        <v>92828</v>
      </c>
      <c r="C199" s="2" t="str">
        <f>VLOOKUP($B199,[2]BOLETIM_SEL!$A:$H,2,0)</f>
        <v>SINAPI</v>
      </c>
      <c r="D199" s="315" t="str">
        <f>VLOOKUP($B199,[2]BOLETIM_SEL!$A:$H,4,0)</f>
        <v>Assentamento de tubo de concreto para redes coletoras de águas pluviais, diâmetro nominal de 1,00 m, junta rígida em argamassa 1:3 cimento:areia, instalado em local com alto nível de interferências (não inclui fornecimento). AF_12/2015</v>
      </c>
      <c r="E199" s="2">
        <f>+Orçamento_Não_Deson!E199</f>
        <v>0</v>
      </c>
      <c r="F199" s="2" t="str">
        <f>VLOOKUP($B199,[2]BOLETIM_SEL!$A:$H,6,0)</f>
        <v>M</v>
      </c>
      <c r="G199" s="1407">
        <f>VLOOKUP($B199,[2]BOLETIM_SEL!$A:$H,7,0)</f>
        <v>154.6</v>
      </c>
      <c r="H199" s="1608">
        <f ca="1">+Orçamento_Não_Deson!H199</f>
        <v>0</v>
      </c>
      <c r="I199" s="876">
        <f t="shared" si="33"/>
        <v>198.15</v>
      </c>
      <c r="J199" s="1607">
        <f ca="1">TRUNC(H199*I199,2)</f>
        <v>0</v>
      </c>
      <c r="K199" s="2069">
        <f t="shared" ca="1" si="29"/>
        <v>0</v>
      </c>
      <c r="L199" s="1570">
        <f t="shared" ca="1" si="30"/>
        <v>0</v>
      </c>
      <c r="M199" s="1973"/>
      <c r="N199" s="1961">
        <f>VLOOKUP($B199,[2]BOLETIM_SEL!$A:$H,5,0)</f>
        <v>0</v>
      </c>
      <c r="O199" s="1649" t="e">
        <f t="shared" ca="1" si="34"/>
        <v>#DIV/0!</v>
      </c>
      <c r="Q199" s="832"/>
      <c r="R199" s="832"/>
      <c r="S199" s="832"/>
      <c r="T199" s="832"/>
      <c r="U199" s="832"/>
      <c r="V199" s="832"/>
      <c r="W199" s="832"/>
      <c r="X199" s="832"/>
    </row>
    <row r="200" spans="1:24" s="812" customFormat="1" ht="39.950000000000003" hidden="1" customHeight="1" x14ac:dyDescent="0.15">
      <c r="A200" s="2072">
        <f ca="1">+Orçamento_Não_Deson!A200</f>
        <v>4.0699999999999985</v>
      </c>
      <c r="B200" s="833">
        <f>+Orçamento_Não_Deson!B200</f>
        <v>92830</v>
      </c>
      <c r="C200" s="2" t="str">
        <f>VLOOKUP($B200,[2]BOLETIM_SEL!$A:$H,2,0)</f>
        <v>SINAPI</v>
      </c>
      <c r="D200" s="315" t="str">
        <f>VLOOKUP($B200,[2]BOLETIM_SEL!$A:$H,4,0)</f>
        <v>Assentamento de tubo de concreto para redes coletoras de águas pluviais, diâmetro nominal de 1,20 m, junta rígida em argamassa 1:3 cimento:areia, instalado em local com alto nível de interferências (não inclui fornecimento). AF_12/2015</v>
      </c>
      <c r="E200" s="2">
        <f>+Orçamento_Não_Deson!E200</f>
        <v>0</v>
      </c>
      <c r="F200" s="2" t="str">
        <f>VLOOKUP($B200,[2]BOLETIM_SEL!$A:$H,6,0)</f>
        <v>M</v>
      </c>
      <c r="G200" s="1407">
        <f>VLOOKUP($B200,[2]BOLETIM_SEL!$A:$H,7,0)</f>
        <v>191.78</v>
      </c>
      <c r="H200" s="1608">
        <f ca="1">+Orçamento_Não_Deson!H200</f>
        <v>0</v>
      </c>
      <c r="I200" s="876">
        <f t="shared" si="33"/>
        <v>245.8</v>
      </c>
      <c r="J200" s="1607">
        <f ca="1">TRUNC(H200*I200,2)</f>
        <v>0</v>
      </c>
      <c r="K200" s="2069">
        <f t="shared" ca="1" si="29"/>
        <v>0</v>
      </c>
      <c r="L200" s="1570">
        <f t="shared" ca="1" si="30"/>
        <v>0</v>
      </c>
      <c r="M200" s="1973"/>
      <c r="N200" s="1961">
        <f>VLOOKUP($B200,[2]BOLETIM_SEL!$A:$H,5,0)</f>
        <v>0</v>
      </c>
      <c r="O200" s="1649" t="e">
        <f t="shared" ca="1" si="34"/>
        <v>#DIV/0!</v>
      </c>
      <c r="Q200" s="832"/>
      <c r="R200" s="832"/>
      <c r="S200" s="832"/>
      <c r="T200" s="832"/>
      <c r="U200" s="832"/>
      <c r="V200" s="832"/>
      <c r="W200" s="832"/>
      <c r="X200" s="832"/>
    </row>
    <row r="201" spans="1:24" s="812" customFormat="1" ht="39.950000000000003" hidden="1" customHeight="1" x14ac:dyDescent="0.15">
      <c r="A201" s="2072">
        <f ca="1">+Orçamento_Não_Deson!A201</f>
        <v>4.0699999999999985</v>
      </c>
      <c r="B201" s="833">
        <f>+Orçamento_Não_Deson!B201</f>
        <v>92832</v>
      </c>
      <c r="C201" s="2" t="str">
        <f>VLOOKUP($B201,[2]BOLETIM_SEL!$A:$H,2,0)</f>
        <v>SINAPI</v>
      </c>
      <c r="D201" s="315" t="str">
        <f>VLOOKUP($B201,[2]BOLETIM_SEL!$A:$H,4,0)</f>
        <v>Assentamento de tubo de concreto para redes coletoras de águas pluviais, diâmetro nominal de 1,50 m, junta rígida em argamassa 1:3 cimento:areia, instalado em local com alto nível de interferências (não inclui fornecimento). AF_12/2015</v>
      </c>
      <c r="E201" s="2">
        <f>+Orçamento_Não_Deson!E201</f>
        <v>0</v>
      </c>
      <c r="F201" s="2" t="str">
        <f>VLOOKUP($B201,[2]BOLETIM_SEL!$A:$H,6,0)</f>
        <v>M</v>
      </c>
      <c r="G201" s="1407">
        <f>VLOOKUP($B201,[2]BOLETIM_SEL!$A:$H,7,0)</f>
        <v>254.94</v>
      </c>
      <c r="H201" s="1608">
        <f ca="1">+Orçamento_Não_Deson!H201</f>
        <v>0</v>
      </c>
      <c r="I201" s="876">
        <f t="shared" si="33"/>
        <v>326.75</v>
      </c>
      <c r="J201" s="1607">
        <f ca="1">TRUNC(H201*I201,2)</f>
        <v>0</v>
      </c>
      <c r="K201" s="2069">
        <f t="shared" ca="1" si="29"/>
        <v>0</v>
      </c>
      <c r="L201" s="1570">
        <f t="shared" ca="1" si="30"/>
        <v>0</v>
      </c>
      <c r="M201" s="1973"/>
      <c r="N201" s="1961">
        <f>VLOOKUP($B201,[2]BOLETIM_SEL!$A:$H,5,0)</f>
        <v>0</v>
      </c>
      <c r="O201" s="1649" t="e">
        <f t="shared" ca="1" si="34"/>
        <v>#DIV/0!</v>
      </c>
      <c r="Q201" s="832"/>
      <c r="R201" s="832"/>
      <c r="S201" s="832"/>
      <c r="T201" s="832"/>
      <c r="U201" s="832"/>
      <c r="V201" s="832"/>
      <c r="W201" s="832"/>
      <c r="X201" s="832"/>
    </row>
    <row r="202" spans="1:24" s="812" customFormat="1" ht="39.950000000000003" hidden="1" customHeight="1" x14ac:dyDescent="0.15">
      <c r="A202" s="2072">
        <f ca="1">Orçamento_Não_Deson!A202</f>
        <v>4.0699999999999985</v>
      </c>
      <c r="B202" s="833">
        <f>Orçamento_Não_Deson!B202</f>
        <v>92809</v>
      </c>
      <c r="C202" s="2" t="str">
        <f>VLOOKUP($B202,[2]BOLETIM_SEL!$A:$H,2,0)</f>
        <v>SINAPI</v>
      </c>
      <c r="D202" s="315" t="str">
        <f>VLOOKUP($B202,[2]BOLETIM_SEL!$A:$H,4,0)</f>
        <v>Assentamento de tubo de concreto para redes coletoras de águas pluviais, diâmetro nominal de 0,40 m, junta rígida em argamassa 1:3 cimento:areia, instalado em local com baixo nível de interferências (não inclui fornecimento). AF_12/2015</v>
      </c>
      <c r="E202" s="2">
        <f>Orçamento_Não_Deson!E202</f>
        <v>0</v>
      </c>
      <c r="F202" s="2" t="str">
        <f>VLOOKUP($B202,[2]BOLETIM_SEL!$A:$H,6,0)</f>
        <v>M</v>
      </c>
      <c r="G202" s="1407">
        <f>VLOOKUP($B202,[2]BOLETIM_SEL!$A:$H,7,0)</f>
        <v>51.37</v>
      </c>
      <c r="H202" s="1608">
        <f>Orçamento_Não_Deson!H202</f>
        <v>0</v>
      </c>
      <c r="I202" s="876">
        <f t="shared" si="33"/>
        <v>65.84</v>
      </c>
      <c r="J202" s="1607">
        <f t="shared" si="32"/>
        <v>0</v>
      </c>
      <c r="K202" s="2069">
        <f t="shared" ca="1" si="29"/>
        <v>0</v>
      </c>
      <c r="L202" s="1570">
        <f t="shared" ca="1" si="30"/>
        <v>0</v>
      </c>
      <c r="M202" s="1973"/>
      <c r="N202" s="1961" t="str">
        <f>VLOOKUP($B202,[2]BOLETIM_SEL!$A:$H,5,0)</f>
        <v>TUBO DE CONCRETO
baixa Interferência</v>
      </c>
      <c r="O202" s="1649" t="e">
        <f t="shared" ref="O202:O207" si="35">H202/N202</f>
        <v>#VALUE!</v>
      </c>
      <c r="Q202" s="832"/>
      <c r="R202" s="832"/>
      <c r="S202" s="832"/>
      <c r="T202" s="832"/>
      <c r="U202" s="832"/>
      <c r="V202" s="832"/>
      <c r="W202" s="832"/>
      <c r="X202" s="832"/>
    </row>
    <row r="203" spans="1:24" s="812" customFormat="1" ht="39.950000000000003" hidden="1" customHeight="1" x14ac:dyDescent="0.15">
      <c r="A203" s="2072">
        <f ca="1">Orçamento_Não_Deson!A203</f>
        <v>4.0699999999999985</v>
      </c>
      <c r="B203" s="833">
        <f>Orçamento_Não_Deson!B203</f>
        <v>92811</v>
      </c>
      <c r="C203" s="2" t="str">
        <f>VLOOKUP($B203,[2]BOLETIM_SEL!$A:$H,2,0)</f>
        <v>SINAPI</v>
      </c>
      <c r="D203" s="315" t="str">
        <f>VLOOKUP($B203,[2]BOLETIM_SEL!$A:$H,4,0)</f>
        <v>Assentamento de tubo de concreto para redes coletoras de águas pluviais, diâmetro nominal de 0,60 m, junta rígida em argamassa 1:3 cimento:areia, instalado em local com baixo nível de interferências (não inclui fornecimento). AF_12/2015</v>
      </c>
      <c r="E203" s="2">
        <f>Orçamento_Não_Deson!E203</f>
        <v>0</v>
      </c>
      <c r="F203" s="2" t="str">
        <f>VLOOKUP($B203,[2]BOLETIM_SEL!$A:$H,6,0)</f>
        <v>M</v>
      </c>
      <c r="G203" s="1407">
        <f>VLOOKUP($B203,[2]BOLETIM_SEL!$A:$H,7,0)</f>
        <v>74.510000000000005</v>
      </c>
      <c r="H203" s="1608">
        <f ca="1">Orçamento_Não_Deson!H203</f>
        <v>0</v>
      </c>
      <c r="I203" s="876">
        <f t="shared" si="33"/>
        <v>95.49</v>
      </c>
      <c r="J203" s="1607">
        <f ca="1">TRUNC(H203*I203,2)</f>
        <v>0</v>
      </c>
      <c r="K203" s="2069">
        <f t="shared" ca="1" si="29"/>
        <v>0</v>
      </c>
      <c r="L203" s="1570">
        <f t="shared" ca="1" si="30"/>
        <v>0</v>
      </c>
      <c r="M203" s="1973"/>
      <c r="N203" s="1961">
        <f>VLOOKUP($B203,[2]BOLETIM_SEL!$A:$H,5,0)</f>
        <v>0</v>
      </c>
      <c r="O203" s="1649" t="e">
        <f t="shared" ca="1" si="35"/>
        <v>#DIV/0!</v>
      </c>
      <c r="Q203" s="832"/>
      <c r="R203" s="832"/>
      <c r="S203" s="832"/>
      <c r="T203" s="832"/>
      <c r="U203" s="832"/>
      <c r="V203" s="832"/>
      <c r="W203" s="832"/>
      <c r="X203" s="832"/>
    </row>
    <row r="204" spans="1:24" s="812" customFormat="1" ht="39.950000000000003" hidden="1" customHeight="1" x14ac:dyDescent="0.15">
      <c r="A204" s="2072">
        <f ca="1">Orçamento_Não_Deson!A204</f>
        <v>4.0699999999999985</v>
      </c>
      <c r="B204" s="833">
        <f>Orçamento_Não_Deson!B204</f>
        <v>92813</v>
      </c>
      <c r="C204" s="2" t="str">
        <f>VLOOKUP($B204,[2]BOLETIM_SEL!$A:$H,2,0)</f>
        <v>SINAPI</v>
      </c>
      <c r="D204" s="315" t="str">
        <f>VLOOKUP($B204,[2]BOLETIM_SEL!$A:$H,4,0)</f>
        <v>Assentamento de tubo de concreto para redes coletoras de águas pluviais, diâmetro nominal de 0,80 m, junta rígida em argamassa 1:3 cimento:areia, instalado em local com baixo nível de interferências (não inclui fornecimento). AF_12/2015</v>
      </c>
      <c r="E204" s="2">
        <f>Orçamento_Não_Deson!E204</f>
        <v>0</v>
      </c>
      <c r="F204" s="2" t="str">
        <f>VLOOKUP($B204,[2]BOLETIM_SEL!$A:$H,6,0)</f>
        <v>M</v>
      </c>
      <c r="G204" s="1407">
        <f>VLOOKUP($B204,[2]BOLETIM_SEL!$A:$H,7,0)</f>
        <v>100.16</v>
      </c>
      <c r="H204" s="1608">
        <f ca="1">Orçamento_Não_Deson!H204</f>
        <v>0</v>
      </c>
      <c r="I204" s="876">
        <f t="shared" si="33"/>
        <v>128.37</v>
      </c>
      <c r="J204" s="1607">
        <f ca="1">TRUNC(H204*I204,2)</f>
        <v>0</v>
      </c>
      <c r="K204" s="2069">
        <f t="shared" ca="1" si="29"/>
        <v>0</v>
      </c>
      <c r="L204" s="1570">
        <f t="shared" ca="1" si="30"/>
        <v>0</v>
      </c>
      <c r="M204" s="1973"/>
      <c r="N204" s="1961">
        <f>VLOOKUP($B204,[2]BOLETIM_SEL!$A:$H,5,0)</f>
        <v>0</v>
      </c>
      <c r="O204" s="1649" t="e">
        <f t="shared" ca="1" si="35"/>
        <v>#DIV/0!</v>
      </c>
      <c r="Q204" s="832"/>
      <c r="R204" s="832"/>
      <c r="S204" s="832"/>
      <c r="T204" s="832"/>
      <c r="U204" s="832"/>
      <c r="V204" s="832"/>
      <c r="W204" s="832"/>
      <c r="X204" s="832"/>
    </row>
    <row r="205" spans="1:24" s="812" customFormat="1" ht="39.950000000000003" hidden="1" customHeight="1" x14ac:dyDescent="0.15">
      <c r="A205" s="2072">
        <f ca="1">Orçamento_Não_Deson!A205</f>
        <v>4.0699999999999985</v>
      </c>
      <c r="B205" s="833">
        <f>Orçamento_Não_Deson!B205</f>
        <v>92815</v>
      </c>
      <c r="C205" s="2" t="str">
        <f>VLOOKUP($B205,[2]BOLETIM_SEL!$A:$H,2,0)</f>
        <v>SINAPI</v>
      </c>
      <c r="D205" s="315" t="str">
        <f>VLOOKUP($B205,[2]BOLETIM_SEL!$A:$H,4,0)</f>
        <v>Assentamento de tubo de concreto para redes coletoras de águas pluviais, diâmetro nominal de 1,00 m, junta rígida em argamassa 1:3 cimento:areia, instalado em local com baixo nível de interferências (não inclui fornecimento). AF_12/2015</v>
      </c>
      <c r="E205" s="2">
        <f>Orçamento_Não_Deson!E205</f>
        <v>0</v>
      </c>
      <c r="F205" s="2" t="str">
        <f>VLOOKUP($B205,[2]BOLETIM_SEL!$A:$H,6,0)</f>
        <v>M</v>
      </c>
      <c r="G205" s="1407">
        <f>VLOOKUP($B205,[2]BOLETIM_SEL!$A:$H,7,0)</f>
        <v>131.46</v>
      </c>
      <c r="H205" s="1608">
        <f ca="1">Orçamento_Não_Deson!H205</f>
        <v>0</v>
      </c>
      <c r="I205" s="876">
        <f t="shared" si="33"/>
        <v>168.49</v>
      </c>
      <c r="J205" s="1607">
        <f ca="1">TRUNC(H205*I205,2)</f>
        <v>0</v>
      </c>
      <c r="K205" s="2069">
        <f t="shared" ca="1" si="29"/>
        <v>0</v>
      </c>
      <c r="L205" s="1570">
        <f t="shared" ca="1" si="30"/>
        <v>0</v>
      </c>
      <c r="M205" s="1973"/>
      <c r="N205" s="1961">
        <f>VLOOKUP($B205,[2]BOLETIM_SEL!$A:$H,5,0)</f>
        <v>0</v>
      </c>
      <c r="O205" s="1649" t="e">
        <f t="shared" ca="1" si="35"/>
        <v>#DIV/0!</v>
      </c>
      <c r="Q205" s="832"/>
      <c r="R205" s="832"/>
      <c r="S205" s="832"/>
      <c r="T205" s="832"/>
      <c r="U205" s="832"/>
      <c r="V205" s="832"/>
      <c r="W205" s="832"/>
      <c r="X205" s="832"/>
    </row>
    <row r="206" spans="1:24" s="812" customFormat="1" ht="39.950000000000003" hidden="1" customHeight="1" x14ac:dyDescent="0.15">
      <c r="A206" s="2072">
        <f ca="1">Orçamento_Não_Deson!A206</f>
        <v>4.0699999999999985</v>
      </c>
      <c r="B206" s="833">
        <f>Orçamento_Não_Deson!B206</f>
        <v>92817</v>
      </c>
      <c r="C206" s="2" t="str">
        <f>VLOOKUP($B206,[2]BOLETIM_SEL!$A:$H,2,0)</f>
        <v>SINAPI</v>
      </c>
      <c r="D206" s="315" t="str">
        <f>VLOOKUP($B206,[2]BOLETIM_SEL!$A:$H,4,0)</f>
        <v>Assentamento de tubo de concreto para redes coletoras de águas pluviais, diâmetro nominal de 1,20 m, junta rígida em argamassa 1:3 cimento:areia, instalado em local com baixo nível de interferências (não inclui fornecimento). AF_12/2015</v>
      </c>
      <c r="E206" s="2">
        <f>Orçamento_Não_Deson!E206</f>
        <v>0</v>
      </c>
      <c r="F206" s="2" t="str">
        <f>VLOOKUP($B206,[2]BOLETIM_SEL!$A:$H,6,0)</f>
        <v>M</v>
      </c>
      <c r="G206" s="1407">
        <f>VLOOKUP($B206,[2]BOLETIM_SEL!$A:$H,7,0)</f>
        <v>164.49</v>
      </c>
      <c r="H206" s="1608">
        <f ca="1">Orçamento_Não_Deson!H206</f>
        <v>0</v>
      </c>
      <c r="I206" s="876">
        <f t="shared" si="33"/>
        <v>210.82</v>
      </c>
      <c r="J206" s="1607">
        <f ca="1">TRUNC(H206*I206,2)</f>
        <v>0</v>
      </c>
      <c r="K206" s="2069">
        <f t="shared" ca="1" si="29"/>
        <v>0</v>
      </c>
      <c r="L206" s="1570">
        <f t="shared" ca="1" si="30"/>
        <v>0</v>
      </c>
      <c r="M206" s="1973"/>
      <c r="N206" s="1961">
        <f>VLOOKUP($B206,[2]BOLETIM_SEL!$A:$H,5,0)</f>
        <v>0</v>
      </c>
      <c r="O206" s="1649" t="e">
        <f t="shared" ca="1" si="35"/>
        <v>#DIV/0!</v>
      </c>
      <c r="Q206" s="832"/>
      <c r="R206" s="832"/>
      <c r="S206" s="832"/>
      <c r="T206" s="832"/>
      <c r="U206" s="832"/>
      <c r="V206" s="832"/>
      <c r="W206" s="832"/>
      <c r="X206" s="832"/>
    </row>
    <row r="207" spans="1:24" s="812" customFormat="1" ht="39.950000000000003" hidden="1" customHeight="1" x14ac:dyDescent="0.15">
      <c r="A207" s="2072">
        <f ca="1">Orçamento_Não_Deson!A207</f>
        <v>4.0699999999999985</v>
      </c>
      <c r="B207" s="833">
        <f>Orçamento_Não_Deson!B207</f>
        <v>92819</v>
      </c>
      <c r="C207" s="2" t="str">
        <f>VLOOKUP($B207,[2]BOLETIM_SEL!$A:$H,2,0)</f>
        <v>SINAPI</v>
      </c>
      <c r="D207" s="315" t="str">
        <f>VLOOKUP($B207,[2]BOLETIM_SEL!$A:$H,4,0)</f>
        <v>Assentamento de tubo de concreto para redes coletoras de águas pluviais, diâmetro nominal de 1,50 m, junta rígida em argamassa 1:3 cimento:areia, instalado em local com baixo nível de interferências (não inclui fornecimento). AF_12/2015</v>
      </c>
      <c r="E207" s="2">
        <f>Orçamento_Não_Deson!E207</f>
        <v>0</v>
      </c>
      <c r="F207" s="2" t="str">
        <f>VLOOKUP($B207,[2]BOLETIM_SEL!$A:$H,6,0)</f>
        <v>M</v>
      </c>
      <c r="G207" s="1407">
        <f>VLOOKUP($B207,[2]BOLETIM_SEL!$A:$H,7,0)</f>
        <v>221.41</v>
      </c>
      <c r="H207" s="1608">
        <f ca="1">Orçamento_Não_Deson!H207</f>
        <v>0</v>
      </c>
      <c r="I207" s="876">
        <f t="shared" si="33"/>
        <v>283.77999999999997</v>
      </c>
      <c r="J207" s="1607">
        <f ca="1">TRUNC(H207*I207,2)</f>
        <v>0</v>
      </c>
      <c r="K207" s="2069">
        <f t="shared" ca="1" si="29"/>
        <v>0</v>
      </c>
      <c r="L207" s="1570">
        <f t="shared" ca="1" si="30"/>
        <v>0</v>
      </c>
      <c r="M207" s="1973"/>
      <c r="N207" s="1961">
        <f>VLOOKUP($B207,[2]BOLETIM_SEL!$A:$H,5,0)</f>
        <v>0</v>
      </c>
      <c r="O207" s="1649" t="e">
        <f t="shared" ca="1" si="35"/>
        <v>#DIV/0!</v>
      </c>
      <c r="Q207" s="832"/>
      <c r="R207" s="832"/>
      <c r="S207" s="832"/>
      <c r="T207" s="832"/>
      <c r="U207" s="832"/>
      <c r="V207" s="832"/>
      <c r="W207" s="832"/>
      <c r="X207" s="832"/>
    </row>
    <row r="208" spans="1:24" s="812" customFormat="1" ht="50.1" hidden="1" customHeight="1" x14ac:dyDescent="0.15">
      <c r="A208" s="2072">
        <f ca="1">+Orçamento_Não_Deson!A208</f>
        <v>4.0699999999999985</v>
      </c>
      <c r="B208" s="833" t="str">
        <f>+Orçamento_Não_Deson!B208</f>
        <v>DR/0700</v>
      </c>
      <c r="C208" s="2" t="str">
        <f>VLOOKUP($B208,[2]BOLETIM_SEL!$A:$H,2,0)</f>
        <v>COTAÇÃO - SICRO</v>
      </c>
      <c r="D208" s="315" t="str">
        <f>VLOOKUP($B208,[2]BOLETIM_SEL!$A:$H,4,0)</f>
        <v>Aquisição de tubo PEAD com paredes estruturadas para drenagem de águas pluviais - D = 400 mm (48,00 kg/6 m); DN/DI, em PEAD virgem para rede de drenagem, ponta e bolsa – JEI, parede dupla, interna lisa, conforme norma DNIT 094/2014 (REF. SICRO COD. M0131)</v>
      </c>
      <c r="E208" s="2221" t="str">
        <f>+Orçamento_Não_Deson!E208</f>
        <v>BDI insumo</v>
      </c>
      <c r="F208" s="2" t="str">
        <f>VLOOKUP($B208,[2]BOLETIM_SEL!$A:$H,6,0)</f>
        <v>m</v>
      </c>
      <c r="G208" s="1407">
        <f>VLOOKUP($B208,[2]BOLETIM_SEL!$A:$H,7,0)</f>
        <v>205.90530000000001</v>
      </c>
      <c r="H208" s="1608">
        <f>+Orçamento_Não_Deson!H208</f>
        <v>0</v>
      </c>
      <c r="I208" s="2222">
        <f t="shared" ref="I208:I216" si="36">TRUNC(G208*(1+$J$6),2)</f>
        <v>237.36</v>
      </c>
      <c r="J208" s="1607">
        <f t="shared" si="32"/>
        <v>0</v>
      </c>
      <c r="K208" s="2069">
        <f t="shared" ca="1" si="29"/>
        <v>0</v>
      </c>
      <c r="L208" s="1570">
        <f t="shared" ca="1" si="30"/>
        <v>0</v>
      </c>
      <c r="M208" s="1974" t="str">
        <f>VLOOKUP($B208,[2]BOLETIM_SEL!$A:$H,5,0)</f>
        <v>M0131</v>
      </c>
      <c r="N208" s="832"/>
      <c r="O208" s="832"/>
      <c r="Q208" s="832"/>
      <c r="R208" s="832"/>
      <c r="S208" s="832"/>
      <c r="T208" s="832"/>
      <c r="U208" s="832"/>
      <c r="V208" s="832"/>
      <c r="W208" s="832"/>
      <c r="X208" s="832"/>
    </row>
    <row r="209" spans="1:24" s="812" customFormat="1" ht="50.1" hidden="1" customHeight="1" x14ac:dyDescent="0.15">
      <c r="A209" s="2072">
        <f ca="1">+Orçamento_Não_Deson!A209</f>
        <v>4.0699999999999985</v>
      </c>
      <c r="B209" s="833" t="str">
        <f>+Orçamento_Não_Deson!B209</f>
        <v>DR/0710</v>
      </c>
      <c r="C209" s="2" t="str">
        <f>VLOOKUP($B209,[2]BOLETIM_SEL!$A:$H,2,0)</f>
        <v>COTAÇÃO - SICRO</v>
      </c>
      <c r="D209" s="315" t="str">
        <f>VLOOKUP($B209,[2]BOLETIM_SEL!$A:$H,4,0)</f>
        <v>Aquisição de tubo PEAD com paredes estruturadas para drenagem de águas pluviais - D = 500 mm (68,00 kg/6 m); DN/DI, em PEAD virgem para rede de drenagem, ponta e bolsa – JEI, parede dupla, interna lisa, conforme norma DNIT 094/2014 (REF. SICRO COD. M0133)</v>
      </c>
      <c r="E209" s="2221" t="str">
        <f>+Orçamento_Não_Deson!E209</f>
        <v>BDI insumo</v>
      </c>
      <c r="F209" s="2" t="str">
        <f>VLOOKUP($B209,[2]BOLETIM_SEL!$A:$H,6,0)</f>
        <v>m</v>
      </c>
      <c r="G209" s="1407">
        <f>VLOOKUP($B209,[2]BOLETIM_SEL!$A:$H,7,0)</f>
        <v>338.03089999999997</v>
      </c>
      <c r="H209" s="1608">
        <f ca="1">+Orçamento_Não_Deson!H209</f>
        <v>0</v>
      </c>
      <c r="I209" s="2222">
        <f t="shared" si="36"/>
        <v>389.68</v>
      </c>
      <c r="J209" s="1607">
        <f t="shared" ca="1" si="32"/>
        <v>0</v>
      </c>
      <c r="K209" s="2069">
        <f t="shared" ca="1" si="29"/>
        <v>0</v>
      </c>
      <c r="L209" s="1570">
        <f t="shared" ca="1" si="30"/>
        <v>0</v>
      </c>
      <c r="M209" s="1974" t="str">
        <f>VLOOKUP($B209,[2]BOLETIM_SEL!$A:$H,5,0)</f>
        <v>M0133</v>
      </c>
      <c r="N209" s="832"/>
      <c r="O209" s="832"/>
      <c r="Q209" s="832"/>
      <c r="R209" s="832"/>
      <c r="S209" s="832"/>
      <c r="T209" s="832"/>
      <c r="U209" s="832"/>
      <c r="V209" s="832"/>
      <c r="W209" s="832"/>
      <c r="X209" s="832"/>
    </row>
    <row r="210" spans="1:24" s="812" customFormat="1" ht="50.1" hidden="1" customHeight="1" x14ac:dyDescent="0.15">
      <c r="A210" s="2072">
        <f ca="1">Orçamento_Não_Deson!A210</f>
        <v>4.0699999999999985</v>
      </c>
      <c r="B210" s="833" t="str">
        <f>Orçamento_Não_Deson!B210</f>
        <v>DR/0720</v>
      </c>
      <c r="C210" s="2" t="str">
        <f>VLOOKUP($B210,[2]BOLETIM_SEL!$A:$H,2,0)</f>
        <v>COTAÇÃO - SICRO</v>
      </c>
      <c r="D210" s="315" t="str">
        <f>VLOOKUP($B210,[2]BOLETIM_SEL!$A:$H,4,0)</f>
        <v>Aquisição de tubo PEAD com paredes estruturadas para drenagem de águas pluviais - D = 600 mm (100,00 kg/6 m); DN/DI, em PEAD virgem para rede de drenagem, ponta e bolsa – JEI, parede dupla, interna lisa, conforme norma DNIT 094/2014 (REF. SICRO COD. M0134)</v>
      </c>
      <c r="E210" s="2221" t="str">
        <f>Orçamento_Não_Deson!E210</f>
        <v>BDI insumo</v>
      </c>
      <c r="F210" s="2" t="str">
        <f>VLOOKUP($B210,[2]BOLETIM_SEL!$A:$H,6,0)</f>
        <v>m</v>
      </c>
      <c r="G210" s="1407">
        <f>VLOOKUP($B210,[2]BOLETIM_SEL!$A:$H,7,0)</f>
        <v>493.61329999999998</v>
      </c>
      <c r="H210" s="1608">
        <f ca="1">Orçamento_Não_Deson!H210</f>
        <v>0</v>
      </c>
      <c r="I210" s="2222">
        <f t="shared" si="36"/>
        <v>569.03</v>
      </c>
      <c r="J210" s="1607">
        <f t="shared" ca="1" si="32"/>
        <v>0</v>
      </c>
      <c r="K210" s="2069">
        <f t="shared" ca="1" si="29"/>
        <v>0</v>
      </c>
      <c r="L210" s="1570">
        <f t="shared" ca="1" si="30"/>
        <v>0</v>
      </c>
      <c r="M210" s="1974" t="str">
        <f>VLOOKUP($B210,[2]BOLETIM_SEL!$A:$H,5,0)</f>
        <v>M0134</v>
      </c>
      <c r="N210" s="832"/>
      <c r="O210" s="832"/>
      <c r="Q210" s="832"/>
      <c r="R210" s="832"/>
      <c r="S210" s="832"/>
      <c r="T210" s="832"/>
      <c r="U210" s="832"/>
      <c r="V210" s="832"/>
      <c r="W210" s="832"/>
      <c r="X210" s="832"/>
    </row>
    <row r="211" spans="1:24" s="812" customFormat="1" ht="50.1" hidden="1" customHeight="1" x14ac:dyDescent="0.15">
      <c r="A211" s="2072">
        <f ca="1">Orçamento_Não_Deson!A211</f>
        <v>4.0699999999999985</v>
      </c>
      <c r="B211" s="833" t="str">
        <f>Orçamento_Não_Deson!B211</f>
        <v>DR/0730</v>
      </c>
      <c r="C211" s="2" t="str">
        <f>VLOOKUP($B211,[2]BOLETIM_SEL!$A:$H,2,0)</f>
        <v>COTAÇÃO - SICRO</v>
      </c>
      <c r="D211" s="315" t="str">
        <f>VLOOKUP($B211,[2]BOLETIM_SEL!$A:$H,4,0)</f>
        <v>Aquisição de tubo PEAD com paredes estruturadas para drenagem de águas pluviais - D = 750 mm (142,00 kg/6 m); DN/DI, em PEAD virgem para rede de drenagem, ponta e bolsa – JEI, parede dupla, interna lisa, conforme norma DNIT 094/2014 (REF. SICRO COD. M0135)</v>
      </c>
      <c r="E211" s="2221" t="str">
        <f>Orçamento_Não_Deson!E211</f>
        <v>BDI insumo</v>
      </c>
      <c r="F211" s="2" t="str">
        <f>VLOOKUP($B211,[2]BOLETIM_SEL!$A:$H,6,0)</f>
        <v>m</v>
      </c>
      <c r="G211" s="1407">
        <f>VLOOKUP($B211,[2]BOLETIM_SEL!$A:$H,7,0)</f>
        <v>683.87049999999999</v>
      </c>
      <c r="H211" s="1608">
        <f ca="1">Orçamento_Não_Deson!H211</f>
        <v>0</v>
      </c>
      <c r="I211" s="2222">
        <f t="shared" si="36"/>
        <v>788.36</v>
      </c>
      <c r="J211" s="1607">
        <f t="shared" ca="1" si="32"/>
        <v>0</v>
      </c>
      <c r="K211" s="2069">
        <f t="shared" ca="1" si="29"/>
        <v>0</v>
      </c>
      <c r="L211" s="1570">
        <f t="shared" ca="1" si="30"/>
        <v>0</v>
      </c>
      <c r="M211" s="1974" t="str">
        <f>VLOOKUP($B211,[2]BOLETIM_SEL!$A:$H,5,0)</f>
        <v>M0135</v>
      </c>
      <c r="N211" s="832"/>
      <c r="O211" s="832"/>
      <c r="Q211" s="832"/>
      <c r="R211" s="832"/>
      <c r="S211" s="832"/>
      <c r="T211" s="832"/>
      <c r="U211" s="832"/>
      <c r="V211" s="832"/>
      <c r="W211" s="832"/>
      <c r="X211" s="832"/>
    </row>
    <row r="212" spans="1:24" s="812" customFormat="1" ht="50.1" hidden="1" customHeight="1" x14ac:dyDescent="0.15">
      <c r="A212" s="2072">
        <f ca="1">+Orçamento_Não_Deson!A212</f>
        <v>4.0699999999999985</v>
      </c>
      <c r="B212" s="833" t="str">
        <f>+Orçamento_Não_Deson!B212</f>
        <v>DR/0735</v>
      </c>
      <c r="C212" s="2" t="str">
        <f>VLOOKUP($B212,[2]BOLETIM_SEL!$A:$H,2,0)</f>
        <v>COTAÇÃO - SICRO</v>
      </c>
      <c r="D212" s="315" t="str">
        <f>VLOOKUP($B212,[2]BOLETIM_SEL!$A:$H,4,0)</f>
        <v>Aquisição de tubo PEAD com paredes estruturadas para drenagem de águas pluviais - D = 800 mm (174,00 kg /6 m); DN/DI, em PEAD virgem para rede de drenagem, ponta e bolsa – JEI, parede dupla, interna lisa, conforme norma DNIT 094/2014 (REF. SICRO COD. M0136)</v>
      </c>
      <c r="E212" s="2221" t="str">
        <f>+Orçamento_Não_Deson!E212</f>
        <v>BDI insumo</v>
      </c>
      <c r="F212" s="2" t="str">
        <f>VLOOKUP($B212,[2]BOLETIM_SEL!$A:$H,6,0)</f>
        <v>m</v>
      </c>
      <c r="G212" s="1407">
        <f>VLOOKUP($B212,[2]BOLETIM_SEL!$A:$H,7,0)</f>
        <v>721.16010000000006</v>
      </c>
      <c r="H212" s="1608">
        <f ca="1">+Orçamento_Não_Deson!H212</f>
        <v>0</v>
      </c>
      <c r="I212" s="2222">
        <f t="shared" si="36"/>
        <v>831.35</v>
      </c>
      <c r="J212" s="1607">
        <f t="shared" ca="1" si="32"/>
        <v>0</v>
      </c>
      <c r="K212" s="2069">
        <f t="shared" ca="1" si="29"/>
        <v>0</v>
      </c>
      <c r="L212" s="1570">
        <f t="shared" ca="1" si="30"/>
        <v>0</v>
      </c>
      <c r="M212" s="1974" t="str">
        <f>VLOOKUP($B212,[2]BOLETIM_SEL!$A:$H,5,0)</f>
        <v>M0136</v>
      </c>
      <c r="N212" s="832"/>
      <c r="O212" s="832"/>
      <c r="Q212" s="832"/>
      <c r="R212" s="832"/>
      <c r="S212" s="832"/>
      <c r="T212" s="832"/>
      <c r="U212" s="832"/>
      <c r="V212" s="832"/>
      <c r="W212" s="832"/>
      <c r="X212" s="832"/>
    </row>
    <row r="213" spans="1:24" s="812" customFormat="1" ht="50.1" hidden="1" customHeight="1" x14ac:dyDescent="0.15">
      <c r="A213" s="2072">
        <f ca="1">Orçamento_Não_Deson!A213</f>
        <v>4.0699999999999985</v>
      </c>
      <c r="B213" s="833" t="str">
        <f>Orçamento_Não_Deson!B213</f>
        <v>DR/0740</v>
      </c>
      <c r="C213" s="2" t="str">
        <f>VLOOKUP($B213,[2]BOLETIM_SEL!$A:$H,2,0)</f>
        <v>COTAÇÃO - SICRO</v>
      </c>
      <c r="D213" s="315" t="str">
        <f>VLOOKUP($B213,[2]BOLETIM_SEL!$A:$H,4,0)</f>
        <v>Aquisição de tubo PEAD com paredes estruturadas para drenagem de águas pluviais - D = 900 mm (195,00 kg /6 m); DN/DI, em PEAD virgem para rede de drenagem, ponta e bolsa – JEI, parede dupla, interna lisa, conforme norma DNIT 094/2014 (REF. SICRO COD. M0137)</v>
      </c>
      <c r="E213" s="2221" t="str">
        <f>Orçamento_Não_Deson!E213</f>
        <v>BDI insumo</v>
      </c>
      <c r="F213" s="2" t="str">
        <f>VLOOKUP($B213,[2]BOLETIM_SEL!$A:$H,6,0)</f>
        <v>m</v>
      </c>
      <c r="G213" s="1407">
        <f>VLOOKUP($B213,[2]BOLETIM_SEL!$A:$H,7,0)</f>
        <v>923.12440000000004</v>
      </c>
      <c r="H213" s="1608">
        <f ca="1">Orçamento_Não_Deson!H213</f>
        <v>0</v>
      </c>
      <c r="I213" s="2222">
        <f t="shared" si="36"/>
        <v>1064.17</v>
      </c>
      <c r="J213" s="1607">
        <f t="shared" ca="1" si="32"/>
        <v>0</v>
      </c>
      <c r="K213" s="2069">
        <f t="shared" ca="1" si="29"/>
        <v>0</v>
      </c>
      <c r="L213" s="1570">
        <f t="shared" ca="1" si="30"/>
        <v>0</v>
      </c>
      <c r="M213" s="1974" t="str">
        <f>VLOOKUP($B213,[2]BOLETIM_SEL!$A:$H,5,0)</f>
        <v>M0137</v>
      </c>
      <c r="N213" s="832"/>
      <c r="O213" s="832"/>
      <c r="Q213" s="832"/>
      <c r="R213" s="832"/>
      <c r="S213" s="832"/>
      <c r="T213" s="832"/>
      <c r="U213" s="832"/>
      <c r="V213" s="832"/>
      <c r="W213" s="832"/>
      <c r="X213" s="832"/>
    </row>
    <row r="214" spans="1:24" s="812" customFormat="1" ht="50.1" hidden="1" customHeight="1" x14ac:dyDescent="0.15">
      <c r="A214" s="2072">
        <f ca="1">Orçamento_Não_Deson!A214</f>
        <v>4.0699999999999985</v>
      </c>
      <c r="B214" s="833" t="str">
        <f>Orçamento_Não_Deson!B214</f>
        <v>DR/0750</v>
      </c>
      <c r="C214" s="2" t="str">
        <f>VLOOKUP($B214,[2]BOLETIM_SEL!$A:$H,2,0)</f>
        <v>COTAÇÃO - SICRO</v>
      </c>
      <c r="D214" s="315" t="str">
        <f>VLOOKUP($B214,[2]BOLETIM_SEL!$A:$H,4,0)</f>
        <v>Aquisição de tubo PEAD com paredes estruturadas para drenagem de águas pluviais - D = 1.000 mm (230,00 kg /6 m); DN/DI, em PEAD virgem para rede de drenagem, ponta e bolsa – JEI, parede dupla, interna lisa, conforme norma DNIT 094/2014 (REF. SICRO COD. M0139)</v>
      </c>
      <c r="E214" s="2221" t="str">
        <f>Orçamento_Não_Deson!E214</f>
        <v>BDI insumo</v>
      </c>
      <c r="F214" s="2" t="str">
        <f>VLOOKUP($B214,[2]BOLETIM_SEL!$A:$H,6,0)</f>
        <v>m</v>
      </c>
      <c r="G214" s="1407">
        <f>VLOOKUP($B214,[2]BOLETIM_SEL!$A:$H,7,0)</f>
        <v>1285.0968</v>
      </c>
      <c r="H214" s="1608">
        <f ca="1">Orçamento_Não_Deson!H214</f>
        <v>0</v>
      </c>
      <c r="I214" s="2222">
        <f t="shared" si="36"/>
        <v>1481.45</v>
      </c>
      <c r="J214" s="1607">
        <f t="shared" ca="1" si="32"/>
        <v>0</v>
      </c>
      <c r="K214" s="2069">
        <f t="shared" ca="1" si="29"/>
        <v>0</v>
      </c>
      <c r="L214" s="1570">
        <f t="shared" ca="1" si="30"/>
        <v>0</v>
      </c>
      <c r="M214" s="1974" t="str">
        <f>VLOOKUP($B214,[2]BOLETIM_SEL!$A:$H,5,0)</f>
        <v>M0139</v>
      </c>
      <c r="N214" s="832"/>
      <c r="O214" s="832"/>
      <c r="Q214" s="832"/>
      <c r="R214" s="832"/>
      <c r="S214" s="832"/>
      <c r="T214" s="832"/>
      <c r="U214" s="832"/>
      <c r="V214" s="832"/>
      <c r="W214" s="832"/>
      <c r="X214" s="832"/>
    </row>
    <row r="215" spans="1:24" s="812" customFormat="1" ht="50.1" hidden="1" customHeight="1" x14ac:dyDescent="0.15">
      <c r="A215" s="2072">
        <f ca="1">+Orçamento_Não_Deson!A215</f>
        <v>4.0699999999999985</v>
      </c>
      <c r="B215" s="833" t="str">
        <f>+Orçamento_Não_Deson!B215</f>
        <v>DR/0760</v>
      </c>
      <c r="C215" s="2" t="str">
        <f>VLOOKUP($B215,[2]BOLETIM_SEL!$A:$H,2,0)</f>
        <v>COTAÇÃO - SICRO</v>
      </c>
      <c r="D215" s="315" t="str">
        <f>VLOOKUP($B215,[2]BOLETIM_SEL!$A:$H,4,0)</f>
        <v>Aquisição de tubo PEAD com paredes estruturadas para drenagem de águas pluviais - D = 1.200 mm (293,00 kg /6 m); DN/DI, em PEAD virgem para rede de drenagem, ponta e bolsa – JEI, parede dupla, interna lisa, conforme norma DNIT 094/2014 (REF. SICRO COD. M0142)</v>
      </c>
      <c r="E215" s="2221" t="str">
        <f>+Orçamento_Não_Deson!E215</f>
        <v>BDI insumo</v>
      </c>
      <c r="F215" s="2" t="str">
        <f>VLOOKUP($B215,[2]BOLETIM_SEL!$A:$H,6,0)</f>
        <v>m</v>
      </c>
      <c r="G215" s="1407">
        <f>VLOOKUP($B215,[2]BOLETIM_SEL!$A:$H,7,0)</f>
        <v>1705.635</v>
      </c>
      <c r="H215" s="1608">
        <f ca="1">+Orçamento_Não_Deson!H215</f>
        <v>0</v>
      </c>
      <c r="I215" s="2222">
        <f t="shared" si="36"/>
        <v>1966.25</v>
      </c>
      <c r="J215" s="1607">
        <f t="shared" ca="1" si="32"/>
        <v>0</v>
      </c>
      <c r="K215" s="2069">
        <f t="shared" ref="K215:K242" ca="1" si="37">J215/J$930</f>
        <v>0</v>
      </c>
      <c r="L215" s="1570">
        <f t="shared" ca="1" si="30"/>
        <v>0</v>
      </c>
      <c r="M215" s="1974" t="str">
        <f>VLOOKUP($B215,[2]BOLETIM_SEL!$A:$H,5,0)</f>
        <v>M0142</v>
      </c>
      <c r="N215" s="832"/>
      <c r="O215" s="832"/>
      <c r="Q215" s="832"/>
      <c r="R215" s="832"/>
      <c r="S215" s="832"/>
      <c r="T215" s="832"/>
      <c r="U215" s="832"/>
      <c r="V215" s="832"/>
      <c r="W215" s="832"/>
      <c r="X215" s="832"/>
    </row>
    <row r="216" spans="1:24" s="812" customFormat="1" ht="50.1" hidden="1" customHeight="1" x14ac:dyDescent="0.15">
      <c r="A216" s="2072">
        <f ca="1">Orçamento_Não_Deson!A216</f>
        <v>4.0699999999999985</v>
      </c>
      <c r="B216" s="833" t="str">
        <f>Orçamento_Não_Deson!B216</f>
        <v>DR/0770</v>
      </c>
      <c r="C216" s="2" t="str">
        <f>VLOOKUP($B216,[2]BOLETIM_SEL!$A:$H,2,0)</f>
        <v>COTAÇÃO - SICRO</v>
      </c>
      <c r="D216" s="315" t="str">
        <f>VLOOKUP($B216,[2]BOLETIM_SEL!$A:$H,4,0)</f>
        <v>Aquisição de tubo PEAD com paredes estruturadas para drenagem de águas pluviais - D = 1.500 mm (400,00 kg /6 m); DN/DI, em PEAD virgem para rede de drenagem, ponta e bolsa – JEI, parede dupla, interna lisa, conforme norma DNIT 094/2014 (REF. SICRO COD. M0143)</v>
      </c>
      <c r="E216" s="2221" t="str">
        <f>Orçamento_Não_Deson!E216</f>
        <v>BDI insumo</v>
      </c>
      <c r="F216" s="2" t="str">
        <f>VLOOKUP($B216,[2]BOLETIM_SEL!$A:$H,6,0)</f>
        <v>m</v>
      </c>
      <c r="G216" s="1407">
        <f>VLOOKUP($B216,[2]BOLETIM_SEL!$A:$H,7,0)</f>
        <v>2204.8613999999998</v>
      </c>
      <c r="H216" s="1608">
        <f ca="1">Orçamento_Não_Deson!H216</f>
        <v>0</v>
      </c>
      <c r="I216" s="2222">
        <f t="shared" si="36"/>
        <v>2541.7600000000002</v>
      </c>
      <c r="J216" s="1607">
        <f t="shared" ca="1" si="32"/>
        <v>0</v>
      </c>
      <c r="K216" s="2069">
        <f t="shared" ca="1" si="37"/>
        <v>0</v>
      </c>
      <c r="L216" s="1570">
        <f t="shared" ca="1" si="30"/>
        <v>0</v>
      </c>
      <c r="M216" s="1974" t="str">
        <f>VLOOKUP($B216,[2]BOLETIM_SEL!$A:$H,5,0)</f>
        <v>M0143</v>
      </c>
      <c r="N216" s="1957" t="s">
        <v>1951</v>
      </c>
      <c r="O216" s="1648" t="s">
        <v>1977</v>
      </c>
      <c r="Q216" s="832"/>
      <c r="R216" s="832"/>
      <c r="S216" s="832"/>
      <c r="T216" s="832"/>
      <c r="U216" s="832"/>
      <c r="V216" s="832"/>
      <c r="W216" s="832"/>
      <c r="X216" s="832"/>
    </row>
    <row r="217" spans="1:24" s="812" customFormat="1" ht="50.1" hidden="1" customHeight="1" x14ac:dyDescent="0.15">
      <c r="A217" s="2072">
        <f ca="1">+Orçamento_Não_Deson!A217</f>
        <v>4.0699999999999985</v>
      </c>
      <c r="B217" s="833" t="str">
        <f>+Orçamento_Não_Deson!B217</f>
        <v>DR/0060</v>
      </c>
      <c r="C217" s="2" t="str">
        <f>VLOOKUP($B217,[2]BOLETIM_SEL!$A:$H,2,0)</f>
        <v>COMPOSIÇÃO</v>
      </c>
      <c r="D217" s="315" t="str">
        <f>VLOOKUP($B217,[2]BOLETIM_SEL!$A:$H,4,0)</f>
        <v>Assentamento de tubo de PEAD corrugado com parede estruturada para drenagem de águas pluviais, DN/DI 0,40 m; PEAD virgem para rede de drenagem, com encaixei ponta e bolsa – JEI, conforme norma DNIT 094/2014 (não inclui fornecimento) (REF. SINAPI COD. 90746)</v>
      </c>
      <c r="E217" s="2">
        <f>+Orçamento_Não_Deson!E217</f>
        <v>0</v>
      </c>
      <c r="F217" s="2" t="str">
        <f>VLOOKUP($B217,[2]BOLETIM_SEL!$A:$H,6,0)</f>
        <v>M</v>
      </c>
      <c r="G217" s="1407">
        <f>VLOOKUP($B217,[2]BOLETIM_SEL!$A:$H,7,0)</f>
        <v>2.74</v>
      </c>
      <c r="H217" s="1608">
        <f>+Orçamento_Não_Deson!H217</f>
        <v>0</v>
      </c>
      <c r="I217" s="876">
        <f t="shared" ref="I217:I284" si="38">TRUNC(G217*(1+$J$5),2)</f>
        <v>3.51</v>
      </c>
      <c r="J217" s="1607">
        <f t="shared" si="32"/>
        <v>0</v>
      </c>
      <c r="K217" s="2069">
        <f t="shared" ca="1" si="37"/>
        <v>0</v>
      </c>
      <c r="L217" s="1570">
        <f t="shared" ca="1" si="30"/>
        <v>0</v>
      </c>
      <c r="M217" s="1973"/>
      <c r="N217" s="1961">
        <f>VLOOKUP($B217,[2]BOLETIM_SEL!$A:$H,5,0)</f>
        <v>0</v>
      </c>
      <c r="O217" s="1649" t="e">
        <f t="shared" ref="O217:O241" si="39">+H217/N217</f>
        <v>#DIV/0!</v>
      </c>
      <c r="Q217" s="832"/>
      <c r="R217" s="832"/>
      <c r="S217" s="832"/>
      <c r="T217" s="832"/>
      <c r="U217" s="832"/>
      <c r="V217" s="832"/>
      <c r="W217" s="832"/>
      <c r="X217" s="832"/>
    </row>
    <row r="218" spans="1:24" s="812" customFormat="1" ht="50.1" hidden="1" customHeight="1" x14ac:dyDescent="0.15">
      <c r="A218" s="2072">
        <f ca="1">+Orçamento_Não_Deson!A218</f>
        <v>4.0699999999999985</v>
      </c>
      <c r="B218" s="833" t="str">
        <f>+Orçamento_Não_Deson!B218</f>
        <v>DR/0070</v>
      </c>
      <c r="C218" s="2" t="str">
        <f>VLOOKUP($B218,[2]BOLETIM_SEL!$A:$H,2,0)</f>
        <v>COMPOSIÇÃO</v>
      </c>
      <c r="D218" s="315" t="str">
        <f>VLOOKUP($B218,[2]BOLETIM_SEL!$A:$H,4,0)</f>
        <v>Assentamento de tubo de PEAD corrugado com parede estruturada para drenagem de águas pluviais, DN/DI 0,50 m; PEAD virgem para rede de drenagem, com encaixei ponta e bolsa – JEI, conforme norma DNIT 094/2014 (não inclui fornecimento) (REF. SINAPI COD. 90746 E 90747)</v>
      </c>
      <c r="E218" s="2">
        <f>+Orçamento_Não_Deson!E218</f>
        <v>0</v>
      </c>
      <c r="F218" s="2" t="str">
        <f>VLOOKUP($B218,[2]BOLETIM_SEL!$A:$H,6,0)</f>
        <v>M</v>
      </c>
      <c r="G218" s="1407">
        <f>VLOOKUP($B218,[2]BOLETIM_SEL!$A:$H,7,0)</f>
        <v>4.71</v>
      </c>
      <c r="H218" s="1608">
        <f ca="1">+Orçamento_Não_Deson!H218</f>
        <v>0</v>
      </c>
      <c r="I218" s="876">
        <f t="shared" si="38"/>
        <v>6.03</v>
      </c>
      <c r="J218" s="1607">
        <f t="shared" ca="1" si="32"/>
        <v>0</v>
      </c>
      <c r="K218" s="2069">
        <f t="shared" ca="1" si="37"/>
        <v>0</v>
      </c>
      <c r="L218" s="1570">
        <f t="shared" ca="1" si="30"/>
        <v>0</v>
      </c>
      <c r="M218" s="1973"/>
      <c r="N218" s="1961">
        <f>VLOOKUP($B218,[2]BOLETIM_SEL!$A:$H,5,0)</f>
        <v>0</v>
      </c>
      <c r="O218" s="1649" t="e">
        <f t="shared" ca="1" si="39"/>
        <v>#DIV/0!</v>
      </c>
      <c r="Q218" s="832"/>
      <c r="R218" s="832"/>
      <c r="S218" s="832"/>
      <c r="T218" s="832"/>
      <c r="U218" s="832"/>
      <c r="V218" s="832"/>
      <c r="W218" s="832"/>
      <c r="X218" s="832"/>
    </row>
    <row r="219" spans="1:24" s="812" customFormat="1" ht="50.1" hidden="1" customHeight="1" x14ac:dyDescent="0.15">
      <c r="A219" s="2072">
        <f ca="1">Orçamento_Não_Deson!A219</f>
        <v>4.0699999999999985</v>
      </c>
      <c r="B219" s="833">
        <f>Orçamento_Não_Deson!B219</f>
        <v>90747</v>
      </c>
      <c r="C219" s="2" t="str">
        <f>VLOOKUP($B219,[2]BOLETIM_SEL!$A:$H,2,0)</f>
        <v>SINAPI</v>
      </c>
      <c r="D219" s="315" t="str">
        <f>VLOOKUP($B219,[2]BOLETIM_SEL!$A:$H,4,0)</f>
        <v>Assentamento de tubo de PEAD corrugado com parede estruturada para drenagem de águas pluviais, DN/DI 0,60 m; PEAD virgem para rede de drenagem, com encaixei ponta e bolsa – JEI, conforme norma DNIT 094/2014 (não inclui fornecimento). AF_01/2021</v>
      </c>
      <c r="E219" s="2">
        <f>Orçamento_Não_Deson!E219</f>
        <v>0</v>
      </c>
      <c r="F219" s="2" t="str">
        <f>VLOOKUP($B219,[2]BOLETIM_SEL!$A:$H,6,0)</f>
        <v>M</v>
      </c>
      <c r="G219" s="1407">
        <f>VLOOKUP($B219,[2]BOLETIM_SEL!$A:$H,7,0)</f>
        <v>16.71</v>
      </c>
      <c r="H219" s="1608">
        <f ca="1">Orçamento_Não_Deson!H219</f>
        <v>0</v>
      </c>
      <c r="I219" s="876">
        <f t="shared" si="38"/>
        <v>21.41</v>
      </c>
      <c r="J219" s="1607">
        <f t="shared" ca="1" si="32"/>
        <v>0</v>
      </c>
      <c r="K219" s="2069">
        <f t="shared" ca="1" si="37"/>
        <v>0</v>
      </c>
      <c r="L219" s="1570">
        <f t="shared" ca="1" si="30"/>
        <v>0</v>
      </c>
      <c r="M219" s="1973"/>
      <c r="N219" s="1961">
        <f>VLOOKUP($B219,[2]BOLETIM_SEL!$A:$H,5,0)</f>
        <v>0</v>
      </c>
      <c r="O219" s="1649" t="e">
        <f ca="1">H219/N219</f>
        <v>#DIV/0!</v>
      </c>
      <c r="Q219" s="832"/>
      <c r="R219" s="832"/>
      <c r="S219" s="832"/>
      <c r="T219" s="832"/>
      <c r="U219" s="832"/>
      <c r="V219" s="832"/>
      <c r="W219" s="832"/>
      <c r="X219" s="832"/>
    </row>
    <row r="220" spans="1:24" s="812" customFormat="1" ht="50.1" hidden="1" customHeight="1" x14ac:dyDescent="0.15">
      <c r="A220" s="2072">
        <f ca="1">Orçamento_Não_Deson!A220</f>
        <v>4.0699999999999985</v>
      </c>
      <c r="B220" s="833" t="str">
        <f>Orçamento_Não_Deson!B220</f>
        <v>DR/0080</v>
      </c>
      <c r="C220" s="2" t="str">
        <f>VLOOKUP($B220,[2]BOLETIM_SEL!$A:$H,2,0)</f>
        <v>COMPOSIÇÃO</v>
      </c>
      <c r="D220" s="315" t="str">
        <f>VLOOKUP($B220,[2]BOLETIM_SEL!$A:$H,4,0)</f>
        <v>Assentamento de tubo de PEAD corrugado com parede estruturada para drenagem de águas pluviais, DN/DI 0,75 m; PEAD virgem para rede de drenagem, com encaixei ponta e bolsa – JEI, conforme norma DNIT 094/2014 (não inclui fornecimento) (REF. SINAPI COD. 90746 E 90747)</v>
      </c>
      <c r="E220" s="2">
        <f>Orçamento_Não_Deson!E220</f>
        <v>0</v>
      </c>
      <c r="F220" s="2" t="str">
        <f>VLOOKUP($B220,[2]BOLETIM_SEL!$A:$H,6,0)</f>
        <v>M</v>
      </c>
      <c r="G220" s="1407">
        <f>VLOOKUP($B220,[2]BOLETIM_SEL!$A:$H,7,0)</f>
        <v>27.5</v>
      </c>
      <c r="H220" s="1608">
        <f ca="1">Orçamento_Não_Deson!H220</f>
        <v>0</v>
      </c>
      <c r="I220" s="876">
        <f t="shared" si="38"/>
        <v>35.24</v>
      </c>
      <c r="J220" s="1607">
        <f t="shared" ca="1" si="32"/>
        <v>0</v>
      </c>
      <c r="K220" s="2069">
        <f t="shared" ca="1" si="37"/>
        <v>0</v>
      </c>
      <c r="L220" s="1570">
        <f t="shared" ca="1" si="30"/>
        <v>0</v>
      </c>
      <c r="M220" s="1973"/>
      <c r="N220" s="1961">
        <f>VLOOKUP($B220,[2]BOLETIM_SEL!$A:$H,5,0)</f>
        <v>0</v>
      </c>
      <c r="O220" s="1649" t="e">
        <f ca="1">H220/N220</f>
        <v>#DIV/0!</v>
      </c>
      <c r="Q220" s="832"/>
      <c r="R220" s="832"/>
      <c r="S220" s="832"/>
      <c r="T220" s="832"/>
      <c r="U220" s="832"/>
      <c r="V220" s="832"/>
      <c r="W220" s="832"/>
      <c r="X220" s="832"/>
    </row>
    <row r="221" spans="1:24" s="812" customFormat="1" ht="50.1" hidden="1" customHeight="1" x14ac:dyDescent="0.15">
      <c r="A221" s="2072">
        <f ca="1">+Orçamento_Não_Deson!A221</f>
        <v>4.0699999999999985</v>
      </c>
      <c r="B221" s="833">
        <f>+Orçamento_Não_Deson!B221</f>
        <v>94876</v>
      </c>
      <c r="C221" s="2" t="str">
        <f>VLOOKUP($B221,[2]BOLETIM_SEL!$A:$H,2,0)</f>
        <v>SINAPI</v>
      </c>
      <c r="D221" s="315" t="str">
        <f>VLOOKUP($B221,[2]BOLETIM_SEL!$A:$H,4,0)</f>
        <v>Assentamento de tubo de PEAD corrugado com parede estruturada para drenagem de águas pluviais, DN/DI 0,80 m; PEAD virgem para rede de drenagem, com encaixei ponta e bolsa – JEI, conforme norma DNIT 094/2014 (não inclui fornecimento). AF_01/2021</v>
      </c>
      <c r="E221" s="2">
        <f>+Orçamento_Não_Deson!E221</f>
        <v>0</v>
      </c>
      <c r="F221" s="2" t="str">
        <f>VLOOKUP($B221,[2]BOLETIM_SEL!$A:$H,6,0)</f>
        <v>M</v>
      </c>
      <c r="G221" s="1407">
        <f>VLOOKUP($B221,[2]BOLETIM_SEL!$A:$H,7,0)</f>
        <v>28.52</v>
      </c>
      <c r="H221" s="1608">
        <f ca="1">+Orçamento_Não_Deson!H221</f>
        <v>0</v>
      </c>
      <c r="I221" s="876">
        <f t="shared" si="38"/>
        <v>36.549999999999997</v>
      </c>
      <c r="J221" s="1607">
        <f t="shared" ca="1" si="32"/>
        <v>0</v>
      </c>
      <c r="K221" s="2069">
        <f t="shared" ca="1" si="37"/>
        <v>0</v>
      </c>
      <c r="L221" s="1570">
        <f t="shared" ca="1" si="30"/>
        <v>0</v>
      </c>
      <c r="M221" s="1973"/>
      <c r="N221" s="1961">
        <f>VLOOKUP($B221,[2]BOLETIM_SEL!$A:$H,5,0)</f>
        <v>0</v>
      </c>
      <c r="O221" s="1649" t="e">
        <f t="shared" ca="1" si="39"/>
        <v>#DIV/0!</v>
      </c>
      <c r="Q221" s="832"/>
      <c r="R221" s="832"/>
      <c r="S221" s="832"/>
      <c r="T221" s="832"/>
      <c r="U221" s="832"/>
      <c r="V221" s="832"/>
      <c r="W221" s="832"/>
      <c r="X221" s="832"/>
    </row>
    <row r="222" spans="1:24" s="812" customFormat="1" ht="50.1" hidden="1" customHeight="1" x14ac:dyDescent="0.15">
      <c r="A222" s="2072">
        <f ca="1">Orçamento_Não_Deson!A222</f>
        <v>4.0699999999999985</v>
      </c>
      <c r="B222" s="833">
        <f>Orçamento_Não_Deson!B222</f>
        <v>94878</v>
      </c>
      <c r="C222" s="2" t="str">
        <f>VLOOKUP($B222,[2]BOLETIM_SEL!$A:$H,2,0)</f>
        <v>SINAPI</v>
      </c>
      <c r="D222" s="315" t="str">
        <f>VLOOKUP($B222,[2]BOLETIM_SEL!$A:$H,4,0)</f>
        <v>Assentamento de tubo de PEAD corrugado com parede estruturada para drenagem de águas pluviais, DN/DI 0,90 m; PEAD virgem para rede de drenagem, com encaixei ponta e bolsa – JEI, conforme norma DNIT 094/2014 (não inclui fornecimento). AF_06/2016</v>
      </c>
      <c r="E222" s="2">
        <f>Orçamento_Não_Deson!E222</f>
        <v>0</v>
      </c>
      <c r="F222" s="2" t="str">
        <f>VLOOKUP($B222,[2]BOLETIM_SEL!$A:$H,6,0)</f>
        <v>M</v>
      </c>
      <c r="G222" s="1407">
        <f>VLOOKUP($B222,[2]BOLETIM_SEL!$A:$H,7,0)</f>
        <v>32.92</v>
      </c>
      <c r="H222" s="1608">
        <f ca="1">Orçamento_Não_Deson!H222</f>
        <v>0</v>
      </c>
      <c r="I222" s="876">
        <f t="shared" si="38"/>
        <v>42.19</v>
      </c>
      <c r="J222" s="1607">
        <f t="shared" ca="1" si="32"/>
        <v>0</v>
      </c>
      <c r="K222" s="2069">
        <f t="shared" ca="1" si="37"/>
        <v>0</v>
      </c>
      <c r="L222" s="1570">
        <f t="shared" ca="1" si="30"/>
        <v>0</v>
      </c>
      <c r="M222" s="1973"/>
      <c r="N222" s="1961">
        <f>VLOOKUP($B222,[2]BOLETIM_SEL!$A:$H,5,0)</f>
        <v>0</v>
      </c>
      <c r="O222" s="1649" t="e">
        <f ca="1">H222/N222</f>
        <v>#DIV/0!</v>
      </c>
      <c r="Q222" s="832"/>
      <c r="R222" s="832"/>
      <c r="S222" s="832"/>
      <c r="T222" s="832"/>
      <c r="U222" s="832"/>
      <c r="V222" s="832"/>
      <c r="W222" s="832"/>
      <c r="X222" s="832"/>
    </row>
    <row r="223" spans="1:24" s="812" customFormat="1" ht="50.1" hidden="1" customHeight="1" x14ac:dyDescent="0.15">
      <c r="A223" s="2072">
        <f ca="1">Orçamento_Não_Deson!A223</f>
        <v>4.0699999999999985</v>
      </c>
      <c r="B223" s="833">
        <f>Orçamento_Não_Deson!B223</f>
        <v>94880</v>
      </c>
      <c r="C223" s="2" t="str">
        <f>VLOOKUP($B223,[2]BOLETIM_SEL!$A:$H,2,0)</f>
        <v>SINAPI</v>
      </c>
      <c r="D223" s="315" t="str">
        <f>VLOOKUP($B223,[2]BOLETIM_SEL!$A:$H,4,0)</f>
        <v>Assentamento de tubo de PEAD corrugado com parede estruturada para drenagem de águas pluviais, DN/DI 1,00 m; PEAD virgem para rede de drenagem, com encaixei ponta e bolsa – JEI, conforme norma DNIT 094/2014 (não inclui fornecimento). AF_06/2016</v>
      </c>
      <c r="E223" s="2">
        <f>Orçamento_Não_Deson!E223</f>
        <v>0</v>
      </c>
      <c r="F223" s="2" t="str">
        <f>VLOOKUP($B223,[2]BOLETIM_SEL!$A:$H,6,0)</f>
        <v>M</v>
      </c>
      <c r="G223" s="1407">
        <f>VLOOKUP($B223,[2]BOLETIM_SEL!$A:$H,7,0)</f>
        <v>42.82</v>
      </c>
      <c r="H223" s="1608">
        <f ca="1">Orçamento_Não_Deson!H223</f>
        <v>0</v>
      </c>
      <c r="I223" s="876">
        <f t="shared" si="38"/>
        <v>54.88</v>
      </c>
      <c r="J223" s="1607">
        <f t="shared" ca="1" si="32"/>
        <v>0</v>
      </c>
      <c r="K223" s="2069">
        <f t="shared" ca="1" si="37"/>
        <v>0</v>
      </c>
      <c r="L223" s="1570">
        <f t="shared" ca="1" si="30"/>
        <v>0</v>
      </c>
      <c r="M223" s="1973"/>
      <c r="N223" s="1961">
        <f>VLOOKUP($B223,[2]BOLETIM_SEL!$A:$H,5,0)</f>
        <v>0</v>
      </c>
      <c r="O223" s="1649" t="e">
        <f ca="1">H223/N223</f>
        <v>#DIV/0!</v>
      </c>
      <c r="Q223" s="832"/>
      <c r="R223" s="832"/>
      <c r="S223" s="832"/>
      <c r="T223" s="832"/>
      <c r="U223" s="832"/>
      <c r="V223" s="832"/>
      <c r="W223" s="832"/>
      <c r="X223" s="832"/>
    </row>
    <row r="224" spans="1:24" s="812" customFormat="1" ht="50.1" hidden="1" customHeight="1" x14ac:dyDescent="0.15">
      <c r="A224" s="2072">
        <f ca="1">+Orçamento_Não_Deson!A224</f>
        <v>4.0699999999999985</v>
      </c>
      <c r="B224" s="833">
        <f>+Orçamento_Não_Deson!B224</f>
        <v>94882</v>
      </c>
      <c r="C224" s="2" t="str">
        <f>VLOOKUP($B224,[2]BOLETIM_SEL!$A:$H,2,0)</f>
        <v>SINAPI</v>
      </c>
      <c r="D224" s="315" t="str">
        <f>VLOOKUP($B224,[2]BOLETIM_SEL!$A:$H,4,0)</f>
        <v>Assentamento de tubo de PEAD corrugado com parede estruturada para drenagem de águas pluviais, DN/DI 1,20 m; PEAD virgem para rede de drenagem, com encaixei ponta e bolsa – JEI, conforme norma DNIT 094/2014 (não inclui fornecimento). AF_06/2016</v>
      </c>
      <c r="E224" s="2">
        <f>+Orçamento_Não_Deson!E224</f>
        <v>0</v>
      </c>
      <c r="F224" s="2" t="str">
        <f>VLOOKUP($B224,[2]BOLETIM_SEL!$A:$H,6,0)</f>
        <v>M</v>
      </c>
      <c r="G224" s="1407">
        <f>VLOOKUP($B224,[2]BOLETIM_SEL!$A:$H,7,0)</f>
        <v>49.59</v>
      </c>
      <c r="H224" s="1608">
        <f ca="1">+Orçamento_Não_Deson!H224</f>
        <v>0</v>
      </c>
      <c r="I224" s="876">
        <f t="shared" si="38"/>
        <v>63.55</v>
      </c>
      <c r="J224" s="1607">
        <f t="shared" ca="1" si="32"/>
        <v>0</v>
      </c>
      <c r="K224" s="2069">
        <f t="shared" ca="1" si="37"/>
        <v>0</v>
      </c>
      <c r="L224" s="1570">
        <f t="shared" ca="1" si="30"/>
        <v>0</v>
      </c>
      <c r="M224" s="1973"/>
      <c r="N224" s="1961">
        <f>VLOOKUP($B224,[2]BOLETIM_SEL!$A:$H,5,0)</f>
        <v>0</v>
      </c>
      <c r="O224" s="1649" t="e">
        <f t="shared" ca="1" si="39"/>
        <v>#DIV/0!</v>
      </c>
      <c r="Q224" s="832"/>
      <c r="R224" s="832"/>
      <c r="S224" s="832"/>
      <c r="T224" s="832"/>
      <c r="U224" s="832"/>
      <c r="V224" s="832"/>
      <c r="W224" s="832"/>
      <c r="X224" s="832"/>
    </row>
    <row r="225" spans="1:24" s="812" customFormat="1" ht="50.1" hidden="1" customHeight="1" x14ac:dyDescent="0.15">
      <c r="A225" s="2072">
        <f ca="1">+Orçamento_Não_Deson!A225</f>
        <v>4.0699999999999985</v>
      </c>
      <c r="B225" s="833">
        <f>+Orçamento_Não_Deson!B225</f>
        <v>94884</v>
      </c>
      <c r="C225" s="2" t="str">
        <f>VLOOKUP($B225,[2]BOLETIM_SEL!$A:$H,2,0)</f>
        <v>SINAPI</v>
      </c>
      <c r="D225" s="315" t="str">
        <f>VLOOKUP($B225,[2]BOLETIM_SEL!$A:$H,4,0)</f>
        <v>Assentamento de tubo de PEAD corrugado com parede estruturada para drenagem de águas pluviais, DN/DI 1,50 m; PEAD virgem para rede de drenagem, com encaixei ponta e bolsa – JEI, conforme norma DNIT 094/2014 (não inclui fornecimento). AF_06/2016</v>
      </c>
      <c r="E225" s="2">
        <f>+Orçamento_Não_Deson!E225</f>
        <v>0</v>
      </c>
      <c r="F225" s="2" t="str">
        <f>VLOOKUP($B225,[2]BOLETIM_SEL!$A:$H,6,0)</f>
        <v>M</v>
      </c>
      <c r="G225" s="1407">
        <f>VLOOKUP($B225,[2]BOLETIM_SEL!$A:$H,7,0)</f>
        <v>63.3</v>
      </c>
      <c r="H225" s="1608">
        <f ca="1">+Orçamento_Não_Deson!H225</f>
        <v>0</v>
      </c>
      <c r="I225" s="876">
        <f t="shared" si="38"/>
        <v>81.13</v>
      </c>
      <c r="J225" s="1607">
        <f t="shared" ca="1" si="32"/>
        <v>0</v>
      </c>
      <c r="K225" s="2069">
        <f t="shared" ca="1" si="37"/>
        <v>0</v>
      </c>
      <c r="L225" s="1570">
        <f t="shared" ca="1" si="30"/>
        <v>0</v>
      </c>
      <c r="M225" s="1973"/>
      <c r="N225" s="1961">
        <f>VLOOKUP($B225,[2]BOLETIM_SEL!$A:$H,5,0)</f>
        <v>0</v>
      </c>
      <c r="O225" s="1649" t="e">
        <f t="shared" ca="1" si="39"/>
        <v>#DIV/0!</v>
      </c>
      <c r="Q225" s="832"/>
      <c r="R225" s="832"/>
      <c r="S225" s="832"/>
      <c r="T225" s="832"/>
      <c r="U225" s="832"/>
      <c r="V225" s="832"/>
      <c r="W225" s="832"/>
      <c r="X225" s="832"/>
    </row>
    <row r="226" spans="1:24" s="812" customFormat="1" ht="50.1" hidden="1" customHeight="1" x14ac:dyDescent="0.15">
      <c r="A226" s="2072">
        <f ca="1">+Orçamento_Não_Deson!A226</f>
        <v>4.0699999999999985</v>
      </c>
      <c r="B226" s="833" t="str">
        <f>+Orçamento_Não_Deson!B226</f>
        <v>DR/0060</v>
      </c>
      <c r="C226" s="2" t="str">
        <f>VLOOKUP($B226,[2]BOLETIM_SEL!$A:$H,2,0)</f>
        <v>COMPOSIÇÃO</v>
      </c>
      <c r="D226" s="315" t="str">
        <f>VLOOKUP($B226,[2]BOLETIM_SEL!$A:$H,4,0)</f>
        <v>Assentamento de tubo de PEAD corrugado com parede estruturada para drenagem de águas pluviais, DN/DI 0,40 m; PEAD virgem para rede de drenagem, com encaixei ponta e bolsa – JEI, conforme norma DNIT 094/2014 (não inclui fornecimento) (REF. SINAPI COD. 90746)</v>
      </c>
      <c r="E226" s="2">
        <f>+Orçamento_Não_Deson!E226</f>
        <v>0</v>
      </c>
      <c r="F226" s="2" t="str">
        <f>VLOOKUP($B226,[2]BOLETIM_SEL!$A:$H,6,0)</f>
        <v>M</v>
      </c>
      <c r="G226" s="1407">
        <f>VLOOKUP($B226,[2]BOLETIM_SEL!$A:$H,7,0)</f>
        <v>2.74</v>
      </c>
      <c r="H226" s="1608">
        <f>+Orçamento_Não_Deson!H226</f>
        <v>0</v>
      </c>
      <c r="I226" s="876">
        <f t="shared" si="38"/>
        <v>3.51</v>
      </c>
      <c r="J226" s="1607">
        <f t="shared" si="32"/>
        <v>0</v>
      </c>
      <c r="K226" s="2069">
        <f t="shared" ca="1" si="37"/>
        <v>0</v>
      </c>
      <c r="L226" s="1570">
        <f t="shared" ca="1" si="30"/>
        <v>0</v>
      </c>
      <c r="M226" s="1973"/>
      <c r="N226" s="1961">
        <f>VLOOKUP($B226,[2]BOLETIM_SEL!$A:$H,5,0)</f>
        <v>0</v>
      </c>
      <c r="O226" s="1649" t="e">
        <f t="shared" si="39"/>
        <v>#DIV/0!</v>
      </c>
      <c r="Q226" s="832"/>
      <c r="R226" s="832"/>
      <c r="S226" s="832"/>
      <c r="T226" s="832"/>
      <c r="U226" s="832"/>
      <c r="V226" s="832"/>
      <c r="W226" s="832"/>
      <c r="X226" s="832"/>
    </row>
    <row r="227" spans="1:24" s="812" customFormat="1" ht="50.1" hidden="1" customHeight="1" x14ac:dyDescent="0.15">
      <c r="A227" s="2072">
        <f ca="1">+Orçamento_Não_Deson!A227</f>
        <v>4.0699999999999985</v>
      </c>
      <c r="B227" s="833" t="str">
        <f>+Orçamento_Não_Deson!B227</f>
        <v>DR/0070</v>
      </c>
      <c r="C227" s="2" t="str">
        <f>VLOOKUP($B227,[2]BOLETIM_SEL!$A:$H,2,0)</f>
        <v>COMPOSIÇÃO</v>
      </c>
      <c r="D227" s="315" t="str">
        <f>VLOOKUP($B227,[2]BOLETIM_SEL!$A:$H,4,0)</f>
        <v>Assentamento de tubo de PEAD corrugado com parede estruturada para drenagem de águas pluviais, DN/DI 0,50 m; PEAD virgem para rede de drenagem, com encaixei ponta e bolsa – JEI, conforme norma DNIT 094/2014 (não inclui fornecimento) (REF. SINAPI COD. 90746 E 90747)</v>
      </c>
      <c r="E227" s="2">
        <f>+Orçamento_Não_Deson!E227</f>
        <v>0</v>
      </c>
      <c r="F227" s="2" t="str">
        <f>VLOOKUP($B227,[2]BOLETIM_SEL!$A:$H,6,0)</f>
        <v>M</v>
      </c>
      <c r="G227" s="1407">
        <f>VLOOKUP($B227,[2]BOLETIM_SEL!$A:$H,7,0)</f>
        <v>4.71</v>
      </c>
      <c r="H227" s="1608">
        <f ca="1">+Orçamento_Não_Deson!H227</f>
        <v>0</v>
      </c>
      <c r="I227" s="876">
        <f t="shared" si="38"/>
        <v>6.03</v>
      </c>
      <c r="J227" s="1607">
        <f t="shared" ca="1" si="32"/>
        <v>0</v>
      </c>
      <c r="K227" s="2069">
        <f t="shared" ca="1" si="37"/>
        <v>0</v>
      </c>
      <c r="L227" s="1570">
        <f t="shared" ca="1" si="30"/>
        <v>0</v>
      </c>
      <c r="M227" s="1973"/>
      <c r="N227" s="1961">
        <f>VLOOKUP($B227,[2]BOLETIM_SEL!$A:$H,5,0)</f>
        <v>0</v>
      </c>
      <c r="O227" s="1649" t="e">
        <f t="shared" ca="1" si="39"/>
        <v>#DIV/0!</v>
      </c>
      <c r="Q227" s="832"/>
      <c r="R227" s="832"/>
      <c r="S227" s="832"/>
      <c r="T227" s="832"/>
      <c r="U227" s="832"/>
      <c r="V227" s="832"/>
      <c r="W227" s="832"/>
      <c r="X227" s="832"/>
    </row>
    <row r="228" spans="1:24" s="812" customFormat="1" ht="50.1" hidden="1" customHeight="1" x14ac:dyDescent="0.15">
      <c r="A228" s="2072">
        <f ca="1">+Orçamento_Não_Deson!A228</f>
        <v>4.0699999999999985</v>
      </c>
      <c r="B228" s="833">
        <f>+Orçamento_Não_Deson!B228</f>
        <v>90747</v>
      </c>
      <c r="C228" s="2" t="str">
        <f>VLOOKUP($B228,[2]BOLETIM_SEL!$A:$H,2,0)</f>
        <v>SINAPI</v>
      </c>
      <c r="D228" s="315" t="str">
        <f>VLOOKUP($B228,[2]BOLETIM_SEL!$A:$H,4,0)</f>
        <v>Assentamento de tubo de PEAD corrugado com parede estruturada para drenagem de águas pluviais, DN/DI 0,60 m; PEAD virgem para rede de drenagem, com encaixei ponta e bolsa – JEI, conforme norma DNIT 094/2014 (não inclui fornecimento). AF_01/2021</v>
      </c>
      <c r="E228" s="2">
        <f>+Orçamento_Não_Deson!E228</f>
        <v>0</v>
      </c>
      <c r="F228" s="2" t="str">
        <f>VLOOKUP($B228,[2]BOLETIM_SEL!$A:$H,6,0)</f>
        <v>M</v>
      </c>
      <c r="G228" s="1407">
        <f>VLOOKUP($B228,[2]BOLETIM_SEL!$A:$H,7,0)</f>
        <v>16.71</v>
      </c>
      <c r="H228" s="1608">
        <f ca="1">+Orçamento_Não_Deson!H228</f>
        <v>0</v>
      </c>
      <c r="I228" s="876">
        <f t="shared" si="38"/>
        <v>21.41</v>
      </c>
      <c r="J228" s="1607">
        <f t="shared" ca="1" si="32"/>
        <v>0</v>
      </c>
      <c r="K228" s="2069">
        <f t="shared" ca="1" si="37"/>
        <v>0</v>
      </c>
      <c r="L228" s="1570">
        <f t="shared" ca="1" si="30"/>
        <v>0</v>
      </c>
      <c r="M228" s="1973"/>
      <c r="N228" s="1961">
        <f>VLOOKUP($B228,[2]BOLETIM_SEL!$A:$H,5,0)</f>
        <v>0</v>
      </c>
      <c r="O228" s="1649" t="e">
        <f t="shared" ca="1" si="39"/>
        <v>#DIV/0!</v>
      </c>
      <c r="Q228" s="832"/>
      <c r="R228" s="832"/>
      <c r="S228" s="832"/>
      <c r="T228" s="832"/>
      <c r="U228" s="832"/>
      <c r="V228" s="832"/>
      <c r="W228" s="832"/>
      <c r="X228" s="832"/>
    </row>
    <row r="229" spans="1:24" s="812" customFormat="1" ht="50.1" hidden="1" customHeight="1" x14ac:dyDescent="0.15">
      <c r="A229" s="2072">
        <f ca="1">+Orçamento_Não_Deson!A229</f>
        <v>4.0699999999999985</v>
      </c>
      <c r="B229" s="833">
        <f>+Orçamento_Não_Deson!B229</f>
        <v>94876</v>
      </c>
      <c r="C229" s="2" t="str">
        <f>VLOOKUP($B229,[2]BOLETIM_SEL!$A:$H,2,0)</f>
        <v>SINAPI</v>
      </c>
      <c r="D229" s="315" t="str">
        <f>VLOOKUP($B229,[2]BOLETIM_SEL!$A:$H,4,0)</f>
        <v>Assentamento de tubo de PEAD corrugado com parede estruturada para drenagem de águas pluviais, DN/DI 0,80 m; PEAD virgem para rede de drenagem, com encaixei ponta e bolsa – JEI, conforme norma DNIT 094/2014 (não inclui fornecimento). AF_01/2021</v>
      </c>
      <c r="E229" s="2">
        <f>+Orçamento_Não_Deson!E229</f>
        <v>0</v>
      </c>
      <c r="F229" s="2" t="str">
        <f>VLOOKUP($B229,[2]BOLETIM_SEL!$A:$H,6,0)</f>
        <v>M</v>
      </c>
      <c r="G229" s="1407">
        <f>VLOOKUP($B229,[2]BOLETIM_SEL!$A:$H,7,0)</f>
        <v>28.52</v>
      </c>
      <c r="H229" s="1608">
        <f ca="1">+Orçamento_Não_Deson!H229</f>
        <v>0</v>
      </c>
      <c r="I229" s="876">
        <f t="shared" si="38"/>
        <v>36.549999999999997</v>
      </c>
      <c r="J229" s="1607">
        <f t="shared" ca="1" si="32"/>
        <v>0</v>
      </c>
      <c r="K229" s="2069">
        <f t="shared" ca="1" si="37"/>
        <v>0</v>
      </c>
      <c r="L229" s="1570">
        <f t="shared" ca="1" si="30"/>
        <v>0</v>
      </c>
      <c r="M229" s="1973"/>
      <c r="N229" s="1961">
        <f>VLOOKUP($B229,[2]BOLETIM_SEL!$A:$H,5,0)</f>
        <v>0</v>
      </c>
      <c r="O229" s="1649" t="e">
        <f t="shared" ca="1" si="39"/>
        <v>#DIV/0!</v>
      </c>
      <c r="Q229" s="832"/>
      <c r="R229" s="832"/>
      <c r="S229" s="832"/>
      <c r="T229" s="832"/>
      <c r="U229" s="832"/>
      <c r="V229" s="832"/>
      <c r="W229" s="832"/>
      <c r="X229" s="832"/>
    </row>
    <row r="230" spans="1:24" s="812" customFormat="1" ht="50.1" hidden="1" customHeight="1" x14ac:dyDescent="0.15">
      <c r="A230" s="2072">
        <f ca="1">+Orçamento_Não_Deson!A230</f>
        <v>4.0699999999999985</v>
      </c>
      <c r="B230" s="833" t="str">
        <f>+Orçamento_Não_Deson!B230</f>
        <v>DR/0080</v>
      </c>
      <c r="C230" s="2" t="str">
        <f>VLOOKUP($B230,[2]BOLETIM_SEL!$A:$H,2,0)</f>
        <v>COMPOSIÇÃO</v>
      </c>
      <c r="D230" s="315" t="str">
        <f>VLOOKUP($B230,[2]BOLETIM_SEL!$A:$H,4,0)</f>
        <v>Assentamento de tubo de PEAD corrugado com parede estruturada para drenagem de águas pluviais, DN/DI 0,75 m; PEAD virgem para rede de drenagem, com encaixei ponta e bolsa – JEI, conforme norma DNIT 094/2014 (não inclui fornecimento) (REF. SINAPI COD. 90746 E 90747)</v>
      </c>
      <c r="E230" s="2">
        <f>+Orçamento_Não_Deson!E230</f>
        <v>0</v>
      </c>
      <c r="F230" s="2" t="str">
        <f>VLOOKUP($B230,[2]BOLETIM_SEL!$A:$H,6,0)</f>
        <v>M</v>
      </c>
      <c r="G230" s="1407">
        <f>VLOOKUP($B230,[2]BOLETIM_SEL!$A:$H,7,0)</f>
        <v>27.5</v>
      </c>
      <c r="H230" s="1608">
        <f ca="1">+Orçamento_Não_Deson!H230</f>
        <v>0</v>
      </c>
      <c r="I230" s="876">
        <f t="shared" si="38"/>
        <v>35.24</v>
      </c>
      <c r="J230" s="1607">
        <f t="shared" ca="1" si="32"/>
        <v>0</v>
      </c>
      <c r="K230" s="2069">
        <f t="shared" ca="1" si="37"/>
        <v>0</v>
      </c>
      <c r="L230" s="1570">
        <f t="shared" ca="1" si="30"/>
        <v>0</v>
      </c>
      <c r="M230" s="1973"/>
      <c r="N230" s="1961">
        <f>VLOOKUP($B230,[2]BOLETIM_SEL!$A:$H,5,0)</f>
        <v>0</v>
      </c>
      <c r="O230" s="1649" t="e">
        <f t="shared" ca="1" si="39"/>
        <v>#DIV/0!</v>
      </c>
      <c r="Q230" s="832"/>
      <c r="R230" s="832"/>
      <c r="S230" s="832"/>
      <c r="T230" s="832"/>
      <c r="U230" s="832"/>
      <c r="V230" s="832"/>
      <c r="W230" s="832"/>
      <c r="X230" s="832"/>
    </row>
    <row r="231" spans="1:24" s="812" customFormat="1" ht="50.1" hidden="1" customHeight="1" x14ac:dyDescent="0.15">
      <c r="A231" s="2072">
        <f ca="1">+Orçamento_Não_Deson!A231</f>
        <v>4.0699999999999985</v>
      </c>
      <c r="B231" s="833">
        <f>+Orçamento_Não_Deson!B231</f>
        <v>94878</v>
      </c>
      <c r="C231" s="2" t="str">
        <f>VLOOKUP($B231,[2]BOLETIM_SEL!$A:$H,2,0)</f>
        <v>SINAPI</v>
      </c>
      <c r="D231" s="315" t="str">
        <f>VLOOKUP($B231,[2]BOLETIM_SEL!$A:$H,4,0)</f>
        <v>Assentamento de tubo de PEAD corrugado com parede estruturada para drenagem de águas pluviais, DN/DI 0,90 m; PEAD virgem para rede de drenagem, com encaixei ponta e bolsa – JEI, conforme norma DNIT 094/2014 (não inclui fornecimento). AF_06/2016</v>
      </c>
      <c r="E231" s="2">
        <f>+Orçamento_Não_Deson!E231</f>
        <v>0</v>
      </c>
      <c r="F231" s="2" t="str">
        <f>VLOOKUP($B231,[2]BOLETIM_SEL!$A:$H,6,0)</f>
        <v>M</v>
      </c>
      <c r="G231" s="1407">
        <f>VLOOKUP($B231,[2]BOLETIM_SEL!$A:$H,7,0)</f>
        <v>32.92</v>
      </c>
      <c r="H231" s="1608">
        <f ca="1">+Orçamento_Não_Deson!H231</f>
        <v>0</v>
      </c>
      <c r="I231" s="876">
        <f t="shared" si="38"/>
        <v>42.19</v>
      </c>
      <c r="J231" s="1607">
        <f t="shared" ca="1" si="32"/>
        <v>0</v>
      </c>
      <c r="K231" s="2069">
        <f t="shared" ca="1" si="37"/>
        <v>0</v>
      </c>
      <c r="L231" s="1570">
        <f t="shared" ca="1" si="30"/>
        <v>0</v>
      </c>
      <c r="M231" s="1973"/>
      <c r="N231" s="1961">
        <f>VLOOKUP($B231,[2]BOLETIM_SEL!$A:$H,5,0)</f>
        <v>0</v>
      </c>
      <c r="O231" s="1649" t="e">
        <f t="shared" ca="1" si="39"/>
        <v>#DIV/0!</v>
      </c>
      <c r="Q231" s="832"/>
      <c r="R231" s="832"/>
      <c r="S231" s="832"/>
      <c r="T231" s="832"/>
      <c r="U231" s="832"/>
      <c r="V231" s="832"/>
      <c r="W231" s="832"/>
      <c r="X231" s="832"/>
    </row>
    <row r="232" spans="1:24" s="812" customFormat="1" ht="50.1" hidden="1" customHeight="1" x14ac:dyDescent="0.15">
      <c r="A232" s="2072">
        <f ca="1">+Orçamento_Não_Deson!A232</f>
        <v>4.0699999999999985</v>
      </c>
      <c r="B232" s="833">
        <f>+Orçamento_Não_Deson!B232</f>
        <v>94880</v>
      </c>
      <c r="C232" s="2" t="str">
        <f>VLOOKUP($B232,[2]BOLETIM_SEL!$A:$H,2,0)</f>
        <v>SINAPI</v>
      </c>
      <c r="D232" s="315" t="str">
        <f>VLOOKUP($B232,[2]BOLETIM_SEL!$A:$H,4,0)</f>
        <v>Assentamento de tubo de PEAD corrugado com parede estruturada para drenagem de águas pluviais, DN/DI 1,00 m; PEAD virgem para rede de drenagem, com encaixei ponta e bolsa – JEI, conforme norma DNIT 094/2014 (não inclui fornecimento). AF_06/2016</v>
      </c>
      <c r="E232" s="2">
        <f>+Orçamento_Não_Deson!E232</f>
        <v>0</v>
      </c>
      <c r="F232" s="2" t="str">
        <f>VLOOKUP($B232,[2]BOLETIM_SEL!$A:$H,6,0)</f>
        <v>M</v>
      </c>
      <c r="G232" s="1407">
        <f>VLOOKUP($B232,[2]BOLETIM_SEL!$A:$H,7,0)</f>
        <v>42.82</v>
      </c>
      <c r="H232" s="1608">
        <f ca="1">+Orçamento_Não_Deson!H232</f>
        <v>0</v>
      </c>
      <c r="I232" s="876">
        <f t="shared" si="38"/>
        <v>54.88</v>
      </c>
      <c r="J232" s="1607">
        <f t="shared" ca="1" si="32"/>
        <v>0</v>
      </c>
      <c r="K232" s="2069">
        <f t="shared" ca="1" si="37"/>
        <v>0</v>
      </c>
      <c r="L232" s="1570">
        <f t="shared" ca="1" si="30"/>
        <v>0</v>
      </c>
      <c r="M232" s="1973"/>
      <c r="N232" s="1961">
        <f>VLOOKUP($B232,[2]BOLETIM_SEL!$A:$H,5,0)</f>
        <v>0</v>
      </c>
      <c r="O232" s="1649" t="e">
        <f t="shared" ca="1" si="39"/>
        <v>#DIV/0!</v>
      </c>
      <c r="Q232" s="832"/>
      <c r="R232" s="832"/>
      <c r="S232" s="832"/>
      <c r="T232" s="832"/>
      <c r="U232" s="832"/>
      <c r="V232" s="832"/>
      <c r="W232" s="832"/>
      <c r="X232" s="832"/>
    </row>
    <row r="233" spans="1:24" s="812" customFormat="1" ht="50.1" hidden="1" customHeight="1" x14ac:dyDescent="0.15">
      <c r="A233" s="2072">
        <f ca="1">+Orçamento_Não_Deson!A233</f>
        <v>4.0699999999999985</v>
      </c>
      <c r="B233" s="833">
        <f>+Orçamento_Não_Deson!B233</f>
        <v>94882</v>
      </c>
      <c r="C233" s="2" t="str">
        <f>VLOOKUP($B233,[2]BOLETIM_SEL!$A:$H,2,0)</f>
        <v>SINAPI</v>
      </c>
      <c r="D233" s="315" t="str">
        <f>VLOOKUP($B233,[2]BOLETIM_SEL!$A:$H,4,0)</f>
        <v>Assentamento de tubo de PEAD corrugado com parede estruturada para drenagem de águas pluviais, DN/DI 1,20 m; PEAD virgem para rede de drenagem, com encaixei ponta e bolsa – JEI, conforme norma DNIT 094/2014 (não inclui fornecimento). AF_06/2016</v>
      </c>
      <c r="E233" s="2">
        <f>+Orçamento_Não_Deson!E233</f>
        <v>0</v>
      </c>
      <c r="F233" s="2" t="str">
        <f>VLOOKUP($B233,[2]BOLETIM_SEL!$A:$H,6,0)</f>
        <v>M</v>
      </c>
      <c r="G233" s="1407">
        <f>VLOOKUP($B233,[2]BOLETIM_SEL!$A:$H,7,0)</f>
        <v>49.59</v>
      </c>
      <c r="H233" s="1608">
        <f ca="1">+Orçamento_Não_Deson!H233</f>
        <v>0</v>
      </c>
      <c r="I233" s="876">
        <f t="shared" si="38"/>
        <v>63.55</v>
      </c>
      <c r="J233" s="1607">
        <f t="shared" ca="1" si="32"/>
        <v>0</v>
      </c>
      <c r="K233" s="2069">
        <f t="shared" ca="1" si="37"/>
        <v>0</v>
      </c>
      <c r="L233" s="1570">
        <f t="shared" ca="1" si="30"/>
        <v>0</v>
      </c>
      <c r="M233" s="1973"/>
      <c r="N233" s="1961">
        <f>VLOOKUP($B233,[2]BOLETIM_SEL!$A:$H,5,0)</f>
        <v>0</v>
      </c>
      <c r="O233" s="1649" t="e">
        <f t="shared" ca="1" si="39"/>
        <v>#DIV/0!</v>
      </c>
      <c r="Q233" s="832"/>
      <c r="R233" s="832"/>
      <c r="S233" s="832"/>
      <c r="T233" s="832"/>
      <c r="U233" s="832"/>
      <c r="V233" s="832"/>
      <c r="W233" s="832"/>
      <c r="X233" s="832"/>
    </row>
    <row r="234" spans="1:24" s="812" customFormat="1" ht="50.1" hidden="1" customHeight="1" x14ac:dyDescent="0.15">
      <c r="A234" s="2072">
        <f ca="1">Orçamento_Não_Deson!A234</f>
        <v>4.0699999999999985</v>
      </c>
      <c r="B234" s="833">
        <f>Orçamento_Não_Deson!B234</f>
        <v>94884</v>
      </c>
      <c r="C234" s="2" t="str">
        <f>VLOOKUP($B234,[2]BOLETIM_SEL!$A:$H,2,0)</f>
        <v>SINAPI</v>
      </c>
      <c r="D234" s="315" t="str">
        <f>VLOOKUP($B234,[2]BOLETIM_SEL!$A:$H,4,0)</f>
        <v>Assentamento de tubo de PEAD corrugado com parede estruturada para drenagem de águas pluviais, DN/DI 1,50 m; PEAD virgem para rede de drenagem, com encaixei ponta e bolsa – JEI, conforme norma DNIT 094/2014 (não inclui fornecimento). AF_06/2016</v>
      </c>
      <c r="E234" s="2">
        <f>Orçamento_Não_Deson!E234</f>
        <v>0</v>
      </c>
      <c r="F234" s="2" t="str">
        <f>VLOOKUP($B234,[2]BOLETIM_SEL!$A:$H,6,0)</f>
        <v>M</v>
      </c>
      <c r="G234" s="1407">
        <f>VLOOKUP($B234,[2]BOLETIM_SEL!$A:$H,7,0)</f>
        <v>63.3</v>
      </c>
      <c r="H234" s="1608">
        <f ca="1">Orçamento_Não_Deson!H234</f>
        <v>0</v>
      </c>
      <c r="I234" s="876">
        <f t="shared" si="38"/>
        <v>81.13</v>
      </c>
      <c r="J234" s="1607">
        <f t="shared" ca="1" si="32"/>
        <v>0</v>
      </c>
      <c r="K234" s="2069">
        <f t="shared" ca="1" si="37"/>
        <v>0</v>
      </c>
      <c r="L234" s="1570">
        <f t="shared" ca="1" si="30"/>
        <v>0</v>
      </c>
      <c r="M234" s="1973"/>
      <c r="N234" s="1961">
        <f>VLOOKUP($B234,[2]BOLETIM_SEL!$A:$H,5,0)</f>
        <v>0</v>
      </c>
      <c r="O234" s="1649" t="e">
        <f ca="1">H234/N234</f>
        <v>#DIV/0!</v>
      </c>
      <c r="Q234" s="832"/>
      <c r="R234" s="832"/>
      <c r="S234" s="832"/>
      <c r="T234" s="832"/>
      <c r="U234" s="832"/>
      <c r="V234" s="832"/>
      <c r="W234" s="832"/>
      <c r="X234" s="832"/>
    </row>
    <row r="235" spans="1:24" s="812" customFormat="1" ht="39.950000000000003" hidden="1" customHeight="1" x14ac:dyDescent="0.15">
      <c r="A235" s="2072">
        <f ca="1">+Orçamento_Não_Deson!A235</f>
        <v>4.0699999999999985</v>
      </c>
      <c r="B235" s="833" t="str">
        <f>+Orçamento_Não_Deson!B235</f>
        <v>DR/0091</v>
      </c>
      <c r="C235" s="2" t="str">
        <f>VLOOKUP($B235,[2]BOLETIM_SEL!$A:$H,2,0)</f>
        <v>COMPOSIÇÃO</v>
      </c>
      <c r="D235" s="315" t="str">
        <f>VLOOKUP($B235,[2]BOLETIM_SEL!$A:$H,4,0)</f>
        <v>Galeria celular em aduela pré-moldada em concreto armado, 1,50m x 1,50m (2950kg/m), assentamento e rejuntamento. Exclusive aquisição e transporte.</v>
      </c>
      <c r="E235" s="2">
        <f>+Orçamento_Não_Deson!E235</f>
        <v>0</v>
      </c>
      <c r="F235" s="2" t="str">
        <f>VLOOKUP($B235,[2]BOLETIM_SEL!$A:$H,6,0)</f>
        <v>M</v>
      </c>
      <c r="G235" s="1407">
        <f>VLOOKUP($B235,[2]BOLETIM_SEL!$A:$H,7,0)</f>
        <v>107.35</v>
      </c>
      <c r="H235" s="1608">
        <f ca="1">+Orçamento_Não_Deson!H235</f>
        <v>0</v>
      </c>
      <c r="I235" s="876">
        <f t="shared" si="38"/>
        <v>137.59</v>
      </c>
      <c r="J235" s="1607">
        <f t="shared" ca="1" si="32"/>
        <v>0</v>
      </c>
      <c r="K235" s="2069">
        <f t="shared" ca="1" si="37"/>
        <v>0</v>
      </c>
      <c r="L235" s="1570">
        <f t="shared" ca="1" si="30"/>
        <v>0</v>
      </c>
      <c r="M235" s="1973"/>
      <c r="N235" s="1961">
        <f>VLOOKUP($B235,[2]BOLETIM_SEL!$A:$H,5,0)</f>
        <v>3.32</v>
      </c>
      <c r="O235" s="1649">
        <f t="shared" ca="1" si="39"/>
        <v>0</v>
      </c>
      <c r="Q235" s="832"/>
      <c r="R235" s="832"/>
      <c r="S235" s="832"/>
      <c r="T235" s="832"/>
      <c r="U235" s="832"/>
      <c r="V235" s="832"/>
      <c r="W235" s="832"/>
      <c r="X235" s="832"/>
    </row>
    <row r="236" spans="1:24" s="812" customFormat="1" ht="39.950000000000003" hidden="1" customHeight="1" x14ac:dyDescent="0.15">
      <c r="A236" s="2072">
        <f ca="1">+Orçamento_Não_Deson!A236</f>
        <v>4.0699999999999985</v>
      </c>
      <c r="B236" s="833">
        <f>+Orçamento_Não_Deson!B236</f>
        <v>37476</v>
      </c>
      <c r="C236" s="2" t="str">
        <f>VLOOKUP($B236,[2]BOLETIM_SEL!$A:$H,2,0)</f>
        <v>SINAPI</v>
      </c>
      <c r="D236" s="315" t="str">
        <f>VLOOKUP($B236,[2]BOLETIM_SEL!$A:$H,4,0)</f>
        <v xml:space="preserve">Aduela/ galeria pre-moldada de concreto armado, secao quadrada interna de 1,50 x 1,50 m (l x a), misula de 20 x 20 cm, c = 1,00 m, espessura min = 15 cm, tb-45 e FCK do concreto = 30 MPA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E236" s="2">
        <f>+Orçamento_Não_Deson!E236</f>
        <v>0</v>
      </c>
      <c r="F236" s="2" t="str">
        <f>VLOOKUP($B236,[2]BOLETIM_SEL!$A:$H,6,0)</f>
        <v xml:space="preserve">UN    </v>
      </c>
      <c r="G236" s="1407">
        <f>VLOOKUP($B236,[2]BOLETIM_SEL!$A:$H,7,0)</f>
        <v>4109.74</v>
      </c>
      <c r="H236" s="1608">
        <f ca="1">+Orçamento_Não_Deson!H236</f>
        <v>0</v>
      </c>
      <c r="I236" s="876">
        <f t="shared" ref="I236" si="40">TRUNC(G236*(1+$J$5),2)</f>
        <v>5267.45</v>
      </c>
      <c r="J236" s="1607">
        <f t="shared" ref="J236" ca="1" si="41">TRUNC(H236*I236,2)</f>
        <v>0</v>
      </c>
      <c r="K236" s="2069">
        <f t="shared" ca="1" si="37"/>
        <v>0</v>
      </c>
      <c r="L236" s="1570">
        <f t="shared" ref="L236" ca="1" si="42">J236/J$183</f>
        <v>0</v>
      </c>
      <c r="M236" s="1973"/>
      <c r="N236" s="1961">
        <f>VLOOKUP($B236,[2]BOLETIM_SEL!$A:$H,5,0)</f>
        <v>0</v>
      </c>
      <c r="O236" s="1649" t="e">
        <f t="shared" ref="O236" ca="1" si="43">+H236/N236</f>
        <v>#DIV/0!</v>
      </c>
      <c r="Q236" s="832"/>
      <c r="R236" s="832"/>
      <c r="S236" s="832"/>
      <c r="T236" s="832"/>
      <c r="U236" s="832"/>
      <c r="V236" s="832"/>
      <c r="W236" s="832"/>
      <c r="X236" s="832"/>
    </row>
    <row r="237" spans="1:24" s="812" customFormat="1" ht="39.950000000000003" hidden="1" customHeight="1" x14ac:dyDescent="0.15">
      <c r="A237" s="2072">
        <f ca="1">+Orçamento_Não_Deson!A237</f>
        <v>4.0699999999999985</v>
      </c>
      <c r="B237" s="833" t="str">
        <f>+Orçamento_Não_Deson!B237</f>
        <v>DR/0096</v>
      </c>
      <c r="C237" s="2" t="str">
        <f>VLOOKUP($B237,[2]BOLETIM_SEL!$A:$H,2,0)</f>
        <v>COMPOSIÇÃO</v>
      </c>
      <c r="D237" s="315" t="str">
        <f>VLOOKUP($B237,[2]BOLETIM_SEL!$A:$H,4,0)</f>
        <v>Galeria celular em aduela pré-moldada em concreto armado, 2,00m x 2,00m (4080kg/m), assentamento e rejuntamento. Exclusive aquisição e transporte.</v>
      </c>
      <c r="E237" s="2">
        <f>+Orçamento_Não_Deson!E237</f>
        <v>0</v>
      </c>
      <c r="F237" s="2" t="str">
        <f>VLOOKUP($B237,[2]BOLETIM_SEL!$A:$H,6,0)</f>
        <v>M</v>
      </c>
      <c r="G237" s="1407">
        <f>VLOOKUP($B237,[2]BOLETIM_SEL!$A:$H,7,0)</f>
        <v>142.36000000000001</v>
      </c>
      <c r="H237" s="1608">
        <f ca="1">+Orçamento_Não_Deson!H237</f>
        <v>0</v>
      </c>
      <c r="I237" s="876">
        <f t="shared" si="38"/>
        <v>182.46</v>
      </c>
      <c r="J237" s="1607">
        <f t="shared" ca="1" si="32"/>
        <v>0</v>
      </c>
      <c r="K237" s="2069">
        <f t="shared" ca="1" si="37"/>
        <v>0</v>
      </c>
      <c r="L237" s="1570">
        <f t="shared" ca="1" si="30"/>
        <v>0</v>
      </c>
      <c r="M237" s="1973"/>
      <c r="N237" s="1961">
        <f>VLOOKUP($B237,[2]BOLETIM_SEL!$A:$H,5,0)</f>
        <v>2.85</v>
      </c>
      <c r="O237" s="1649">
        <f t="shared" ca="1" si="39"/>
        <v>0</v>
      </c>
      <c r="Q237" s="832"/>
      <c r="R237" s="832"/>
      <c r="S237" s="832"/>
      <c r="T237" s="832"/>
      <c r="U237" s="832"/>
      <c r="V237" s="832"/>
      <c r="W237" s="832"/>
      <c r="X237" s="832"/>
    </row>
    <row r="238" spans="1:24" s="812" customFormat="1" ht="39.950000000000003" hidden="1" customHeight="1" x14ac:dyDescent="0.15">
      <c r="A238" s="2072">
        <f ca="1">+Orçamento_Não_Deson!A238</f>
        <v>4.0699999999999985</v>
      </c>
      <c r="B238" s="833">
        <f>+Orçamento_Não_Deson!B238</f>
        <v>37478</v>
      </c>
      <c r="C238" s="2" t="str">
        <f>VLOOKUP($B238,[2]BOLETIM_SEL!$A:$H,2,0)</f>
        <v>SINAPI</v>
      </c>
      <c r="D238" s="315" t="str">
        <f>VLOOKUP($B238,[2]BOLETIM_SEL!$A:$H,4,0)</f>
        <v xml:space="preserve">Aduela/ galeria pre-moldada de concreto armado, secao retangular interna de 2,00 x 2,00 m (l x a), misula de 20 x 20 cm, c = 1,00 m, espessura min = 15 cm, tb-45 e FCK do concreto = 30 MPA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E238" s="2">
        <f>+Orçamento_Não_Deson!E238</f>
        <v>0</v>
      </c>
      <c r="F238" s="2" t="str">
        <f>VLOOKUP($B238,[2]BOLETIM_SEL!$A:$H,6,0)</f>
        <v xml:space="preserve">UN    </v>
      </c>
      <c r="G238" s="1407">
        <f>VLOOKUP($B238,[2]BOLETIM_SEL!$A:$H,7,0)</f>
        <v>5147.5600000000004</v>
      </c>
      <c r="H238" s="1608">
        <f ca="1">+Orçamento_Não_Deson!H238</f>
        <v>0</v>
      </c>
      <c r="I238" s="876">
        <f t="shared" ref="I238" si="44">TRUNC(G238*(1+$J$5),2)</f>
        <v>6597.62</v>
      </c>
      <c r="J238" s="1607">
        <f t="shared" ref="J238" ca="1" si="45">TRUNC(H238*I238,2)</f>
        <v>0</v>
      </c>
      <c r="K238" s="2069">
        <f t="shared" ca="1" si="37"/>
        <v>0</v>
      </c>
      <c r="L238" s="1570">
        <f t="shared" ref="L238" ca="1" si="46">J238/J$183</f>
        <v>0</v>
      </c>
      <c r="M238" s="1973"/>
      <c r="N238" s="1961">
        <f>VLOOKUP($B238,[2]BOLETIM_SEL!$A:$H,5,0)</f>
        <v>0</v>
      </c>
      <c r="O238" s="1649" t="e">
        <f t="shared" ref="O238" ca="1" si="47">+H238/N238</f>
        <v>#DIV/0!</v>
      </c>
      <c r="Q238" s="832"/>
      <c r="R238" s="832"/>
      <c r="S238" s="832"/>
      <c r="T238" s="832"/>
      <c r="U238" s="832"/>
      <c r="V238" s="832"/>
      <c r="W238" s="832"/>
      <c r="X238" s="832"/>
    </row>
    <row r="239" spans="1:24" s="812" customFormat="1" ht="39.950000000000003" hidden="1" customHeight="1" x14ac:dyDescent="0.15">
      <c r="A239" s="2072">
        <f ca="1">+Orçamento_Não_Deson!A239</f>
        <v>4.0699999999999985</v>
      </c>
      <c r="B239" s="833" t="str">
        <f>+Orçamento_Não_Deson!B239</f>
        <v>DR/0101</v>
      </c>
      <c r="C239" s="2" t="str">
        <f>VLOOKUP($B239,[2]BOLETIM_SEL!$A:$H,2,0)</f>
        <v>COMPOSIÇÃO</v>
      </c>
      <c r="D239" s="315" t="str">
        <f>VLOOKUP($B239,[2]BOLETIM_SEL!$A:$H,4,0)</f>
        <v>Galeria celular em aduela pré-moldada em concreto armado, 2,50m x 2,50m (5000kg/m), assentamento e rejuntamento. Exclusive aquisição e transporte.</v>
      </c>
      <c r="E239" s="2">
        <f>+Orçamento_Não_Deson!E239</f>
        <v>0</v>
      </c>
      <c r="F239" s="2" t="str">
        <f>VLOOKUP($B239,[2]BOLETIM_SEL!$A:$H,6,0)</f>
        <v>M</v>
      </c>
      <c r="G239" s="1407">
        <f>VLOOKUP($B239,[2]BOLETIM_SEL!$A:$H,7,0)</f>
        <v>214.52</v>
      </c>
      <c r="H239" s="1608">
        <f ca="1">+Orçamento_Não_Deson!H239</f>
        <v>0</v>
      </c>
      <c r="I239" s="876">
        <f t="shared" si="38"/>
        <v>274.95</v>
      </c>
      <c r="J239" s="1607">
        <f t="shared" ca="1" si="32"/>
        <v>0</v>
      </c>
      <c r="K239" s="2069">
        <f t="shared" ca="1" si="37"/>
        <v>0</v>
      </c>
      <c r="L239" s="1570">
        <f t="shared" ca="1" si="30"/>
        <v>0</v>
      </c>
      <c r="M239" s="1973"/>
      <c r="N239" s="1961">
        <f>VLOOKUP($B239,[2]BOLETIM_SEL!$A:$H,5,0)</f>
        <v>2.4900000000000002</v>
      </c>
      <c r="O239" s="1649">
        <f t="shared" ca="1" si="39"/>
        <v>0</v>
      </c>
      <c r="Q239" s="832"/>
      <c r="R239" s="832"/>
      <c r="S239" s="832"/>
      <c r="T239" s="832"/>
      <c r="U239" s="832"/>
      <c r="V239" s="832"/>
      <c r="W239" s="832"/>
      <c r="X239" s="832"/>
    </row>
    <row r="240" spans="1:24" s="812" customFormat="1" ht="39.950000000000003" hidden="1" customHeight="1" x14ac:dyDescent="0.15">
      <c r="A240" s="2072">
        <f ca="1">+Orçamento_Não_Deson!A240</f>
        <v>4.0699999999999985</v>
      </c>
      <c r="B240" s="833">
        <f>+Orçamento_Não_Deson!B240</f>
        <v>37477</v>
      </c>
      <c r="C240" s="2" t="str">
        <f>VLOOKUP($B240,[2]BOLETIM_SEL!$A:$H,2,0)</f>
        <v>SINAPI</v>
      </c>
      <c r="D240" s="315" t="str">
        <f>VLOOKUP($B240,[2]BOLETIM_SEL!$A:$H,4,0)</f>
        <v xml:space="preserve">Aduela/ galeria pre-moldada de concreto armado, secao retangular interna de 2,50 x 2,50 m (l x a), misula de 20 x 20 cm, c = 1,00 m, espessura min = 15 cm, tb-45 e FCK do concreto = 30 MPA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E240" s="2">
        <f>+Orçamento_Não_Deson!E240</f>
        <v>0</v>
      </c>
      <c r="F240" s="2" t="str">
        <f>VLOOKUP($B240,[2]BOLETIM_SEL!$A:$H,6,0)</f>
        <v xml:space="preserve">UN    </v>
      </c>
      <c r="G240" s="1407">
        <f>VLOOKUP($B240,[2]BOLETIM_SEL!$A:$H,7,0)</f>
        <v>6974.11</v>
      </c>
      <c r="H240" s="1608">
        <f ca="1">+Orçamento_Não_Deson!H240</f>
        <v>0</v>
      </c>
      <c r="I240" s="876">
        <f t="shared" ref="I240" si="48">TRUNC(G240*(1+$J$5),2)</f>
        <v>8938.7099999999991</v>
      </c>
      <c r="J240" s="1607">
        <f t="shared" ref="J240" ca="1" si="49">TRUNC(H240*I240,2)</f>
        <v>0</v>
      </c>
      <c r="K240" s="2069">
        <f t="shared" ca="1" si="37"/>
        <v>0</v>
      </c>
      <c r="L240" s="1570">
        <f t="shared" ref="L240" ca="1" si="50">J240/J$183</f>
        <v>0</v>
      </c>
      <c r="M240" s="1973"/>
      <c r="N240" s="1961">
        <f>VLOOKUP($B240,[2]BOLETIM_SEL!$A:$H,5,0)</f>
        <v>0</v>
      </c>
      <c r="O240" s="1649" t="e">
        <f t="shared" ref="O240" ca="1" si="51">+H240/N240</f>
        <v>#DIV/0!</v>
      </c>
      <c r="Q240" s="832"/>
      <c r="R240" s="832"/>
      <c r="S240" s="832"/>
      <c r="T240" s="832"/>
      <c r="U240" s="832"/>
      <c r="V240" s="832"/>
      <c r="W240" s="832"/>
      <c r="X240" s="832"/>
    </row>
    <row r="241" spans="1:24" s="812" customFormat="1" ht="39.950000000000003" hidden="1" customHeight="1" x14ac:dyDescent="0.15">
      <c r="A241" s="2072">
        <f ca="1">+Orçamento_Não_Deson!A241</f>
        <v>4.0699999999999985</v>
      </c>
      <c r="B241" s="833" t="str">
        <f>+Orçamento_Não_Deson!B241</f>
        <v>DR/0106</v>
      </c>
      <c r="C241" s="2" t="str">
        <f>VLOOKUP($B241,[2]BOLETIM_SEL!$A:$H,2,0)</f>
        <v>COMPOSIÇÃO</v>
      </c>
      <c r="D241" s="315" t="str">
        <f>VLOOKUP($B241,[2]BOLETIM_SEL!$A:$H,4,0)</f>
        <v>Galeria celular em aduela pré-moldada em concreto armado, 3,00m x 3,00m (6700kg/m), assentamento e rejuntamento. Exclusive aquisição e transporte.</v>
      </c>
      <c r="E241" s="2">
        <f>+Orçamento_Não_Deson!E241</f>
        <v>0</v>
      </c>
      <c r="F241" s="2" t="str">
        <f>VLOOKUP($B241,[2]BOLETIM_SEL!$A:$H,6,0)</f>
        <v>M</v>
      </c>
      <c r="G241" s="1407">
        <f>VLOOKUP($B241,[2]BOLETIM_SEL!$A:$H,7,0)</f>
        <v>287.25</v>
      </c>
      <c r="H241" s="1608">
        <f ca="1">+Orçamento_Não_Deson!H241</f>
        <v>0</v>
      </c>
      <c r="I241" s="876">
        <f t="shared" si="38"/>
        <v>368.16</v>
      </c>
      <c r="J241" s="1607">
        <f t="shared" ca="1" si="32"/>
        <v>0</v>
      </c>
      <c r="K241" s="2069">
        <f t="shared" ca="1" si="37"/>
        <v>0</v>
      </c>
      <c r="L241" s="1570">
        <f t="shared" ca="1" si="30"/>
        <v>0</v>
      </c>
      <c r="M241" s="1973"/>
      <c r="N241" s="1961">
        <f>VLOOKUP($B241,[2]BOLETIM_SEL!$A:$H,5,0)</f>
        <v>1.99</v>
      </c>
      <c r="O241" s="1649">
        <f t="shared" ca="1" si="39"/>
        <v>0</v>
      </c>
      <c r="Q241" s="832"/>
      <c r="R241" s="832"/>
      <c r="S241" s="832"/>
      <c r="T241" s="832"/>
      <c r="U241" s="832"/>
      <c r="V241" s="832"/>
      <c r="W241" s="832"/>
      <c r="X241" s="832"/>
    </row>
    <row r="242" spans="1:24" s="812" customFormat="1" ht="39.950000000000003" hidden="1" customHeight="1" x14ac:dyDescent="0.15">
      <c r="A242" s="2072">
        <f ca="1">+Orçamento_Não_Deson!A242</f>
        <v>4.0699999999999985</v>
      </c>
      <c r="B242" s="833">
        <f>+Orçamento_Não_Deson!B242</f>
        <v>37479</v>
      </c>
      <c r="C242" s="2" t="str">
        <f>VLOOKUP($B242,[2]BOLETIM_SEL!$A:$H,2,0)</f>
        <v>SINAPI</v>
      </c>
      <c r="D242" s="315" t="str">
        <f>VLOOKUP($B242,[2]BOLETIM_SEL!$A:$H,4,0)</f>
        <v xml:space="preserve">Aduela/ galeria pre-moldada de concreto armado, secao retangular interna de 3,00 x 3,00 m (l x a), misula de 20 x 20 cm, c = 1.00 m, espessura min = 20 cm, tb-45 e FCK do concreto = 30 MPA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E242" s="2">
        <f>+Orçamento_Não_Deson!E242</f>
        <v>0</v>
      </c>
      <c r="F242" s="2" t="str">
        <f>VLOOKUP($B242,[2]BOLETIM_SEL!$A:$H,6,0)</f>
        <v xml:space="preserve">UN    </v>
      </c>
      <c r="G242" s="1407">
        <f>VLOOKUP($B242,[2]BOLETIM_SEL!$A:$H,7,0)</f>
        <v>8271.3799999999992</v>
      </c>
      <c r="H242" s="1608">
        <f ca="1">+Orçamento_Não_Deson!H242</f>
        <v>0</v>
      </c>
      <c r="I242" s="876">
        <f t="shared" ref="I242" si="52">TRUNC(G242*(1+$J$5),2)</f>
        <v>10601.42</v>
      </c>
      <c r="J242" s="1607">
        <f t="shared" ref="J242" ca="1" si="53">TRUNC(H242*I242,2)</f>
        <v>0</v>
      </c>
      <c r="K242" s="2069">
        <f t="shared" ca="1" si="37"/>
        <v>0</v>
      </c>
      <c r="L242" s="1570">
        <f t="shared" ref="L242" ca="1" si="54">J242/J$183</f>
        <v>0</v>
      </c>
      <c r="M242" s="1973"/>
      <c r="N242" s="1961">
        <f>VLOOKUP($B242,[2]BOLETIM_SEL!$A:$H,5,0)</f>
        <v>0</v>
      </c>
      <c r="O242" s="1649" t="e">
        <f t="shared" ref="O242" ca="1" si="55">+H242/N242</f>
        <v>#DIV/0!</v>
      </c>
      <c r="Q242" s="832"/>
      <c r="R242" s="832"/>
      <c r="S242" s="832"/>
      <c r="T242" s="832"/>
      <c r="U242" s="832"/>
      <c r="V242" s="832"/>
      <c r="W242" s="832"/>
      <c r="X242" s="832"/>
    </row>
    <row r="243" spans="1:24" s="812" customFormat="1" ht="24.95" customHeight="1" x14ac:dyDescent="0.15">
      <c r="A243" s="2072"/>
      <c r="B243" s="833"/>
      <c r="C243" s="833"/>
      <c r="D243" s="834"/>
      <c r="E243" s="2"/>
      <c r="F243" s="833"/>
      <c r="G243" s="1814"/>
      <c r="H243" s="833"/>
      <c r="I243" s="876"/>
      <c r="J243" s="838" t="str">
        <f ca="1">IF(J183=0,0,"")</f>
        <v/>
      </c>
      <c r="K243" s="2069"/>
      <c r="L243" s="1570"/>
      <c r="M243" s="1971"/>
      <c r="N243" s="832"/>
      <c r="O243" s="832"/>
      <c r="Q243" s="832"/>
      <c r="R243" s="832"/>
      <c r="S243" s="832"/>
      <c r="T243" s="832"/>
      <c r="U243" s="832"/>
      <c r="V243" s="832"/>
      <c r="W243" s="832"/>
      <c r="X243" s="832"/>
    </row>
    <row r="244" spans="1:24" s="832" customFormat="1" ht="24.95" customHeight="1" x14ac:dyDescent="0.15">
      <c r="A244" s="2073">
        <f ca="1">IF(J244&gt;0,INT(A241)+1,IF(J244=0,INT(A241),0))</f>
        <v>5</v>
      </c>
      <c r="B244" s="1626"/>
      <c r="C244" s="1626"/>
      <c r="D244" s="1627" t="s">
        <v>743</v>
      </c>
      <c r="E244" s="1821"/>
      <c r="F244" s="1628"/>
      <c r="G244" s="1816" t="s">
        <v>646</v>
      </c>
      <c r="H244" s="1628"/>
      <c r="I244" s="1633" t="str">
        <f ca="1">CONCATENATE("SUB-TOTAL ",A244)</f>
        <v>SUB-TOTAL 5</v>
      </c>
      <c r="J244" s="1632">
        <f ca="1">SUM(J245:J292)</f>
        <v>259192.69999999995</v>
      </c>
      <c r="K244" s="2070">
        <f t="shared" ref="K244:K288" ca="1" si="56">J244/J$930</f>
        <v>6.860155860143527E-2</v>
      </c>
      <c r="L244" s="1605">
        <f t="shared" ref="L244" ca="1" si="57">J244/J$183</f>
        <v>1.218902646344153</v>
      </c>
      <c r="M244" s="1967"/>
      <c r="N244" s="1957" t="s">
        <v>1951</v>
      </c>
      <c r="O244" s="1648" t="s">
        <v>1977</v>
      </c>
    </row>
    <row r="245" spans="1:24" s="812" customFormat="1" ht="39.950000000000003" customHeight="1" x14ac:dyDescent="0.15">
      <c r="A245" s="2072">
        <f ca="1">Orçamento_Não_Deson!A245</f>
        <v>5.01</v>
      </c>
      <c r="B245" s="833" t="str">
        <f>Orçamento_Não_Deson!B245</f>
        <v>DR/0135</v>
      </c>
      <c r="C245" s="2" t="str">
        <f>VLOOKUP($B245,[2]BOLETIM_SEL!$A:$H,2,0)</f>
        <v>COMPOSIÇÃO</v>
      </c>
      <c r="D245" s="315" t="str">
        <f>VLOOKUP($B245,[2]BOLETIM_SEL!$A:$H,4,0)</f>
        <v>PV-1 - Poço de Visita, com dimensões internas de 1,98m x 1,98m x 1,50m (bxbxh), em alvenaria de bloco de concreto estrutural FBK 14mpa, conforme projeto tipo. Exclusive pescoço e tampão</v>
      </c>
      <c r="E245" s="2">
        <f>Orçamento_Não_Deson!E245</f>
        <v>0</v>
      </c>
      <c r="F245" s="2" t="str">
        <f>VLOOKUP($B245,[2]BOLETIM_SEL!$A:$H,6,0)</f>
        <v>UN</v>
      </c>
      <c r="G245" s="1407">
        <f>VLOOKUP($B245,[2]BOLETIM_SEL!$A:$H,7,0)</f>
        <v>6413.35</v>
      </c>
      <c r="H245" s="1608">
        <f>Orçamento_Não_Deson!H245</f>
        <v>10</v>
      </c>
      <c r="I245" s="876">
        <f t="shared" si="38"/>
        <v>8219.99</v>
      </c>
      <c r="J245" s="1607">
        <f t="shared" si="32"/>
        <v>82199.899999999994</v>
      </c>
      <c r="K245" s="2069">
        <f t="shared" ca="1" si="56"/>
        <v>2.1756173136365797E-2</v>
      </c>
      <c r="L245" s="1570">
        <f t="shared" ca="1" si="30"/>
        <v>0.3865605614634392</v>
      </c>
      <c r="M245" s="1967"/>
      <c r="N245" s="1962" t="str">
        <f>VLOOKUP($B245,[2]BOLETIM_SEL!$A:$H,3,0)</f>
        <v>DR/145</v>
      </c>
      <c r="O245" s="1649" t="e">
        <f>N245*H245</f>
        <v>#VALUE!</v>
      </c>
      <c r="Q245" s="832"/>
      <c r="R245" s="832"/>
      <c r="S245" s="832"/>
      <c r="T245" s="832"/>
      <c r="U245" s="832"/>
      <c r="V245" s="832"/>
      <c r="W245" s="832"/>
      <c r="X245" s="832"/>
    </row>
    <row r="246" spans="1:24" s="812" customFormat="1" ht="39.950000000000003" hidden="1" customHeight="1" x14ac:dyDescent="0.15">
      <c r="A246" s="2072">
        <f ca="1">Orçamento_Não_Deson!A246</f>
        <v>5.01</v>
      </c>
      <c r="B246" s="833" t="str">
        <f>Orçamento_Não_Deson!B246</f>
        <v>DR/0140</v>
      </c>
      <c r="C246" s="2" t="str">
        <f>VLOOKUP($B246,[2]BOLETIM_SEL!$A:$H,2,0)</f>
        <v>COMPOSIÇÃO</v>
      </c>
      <c r="D246" s="315" t="str">
        <f>VLOOKUP($B246,[2]BOLETIM_SEL!$A:$H,4,0)</f>
        <v>PV-2 - Poço de Visita, com dimensões internas de 1,98m x 2,68m x 2,00m (bxbxh), em alvenaria de bloco de concreto estrutural FBK 14mpa, conforme projeto tipo. Exclusive pescoço e tampão</v>
      </c>
      <c r="E246" s="2">
        <f>Orçamento_Não_Deson!E246</f>
        <v>0</v>
      </c>
      <c r="F246" s="2" t="str">
        <f>VLOOKUP($B246,[2]BOLETIM_SEL!$A:$H,6,0)</f>
        <v>UN</v>
      </c>
      <c r="G246" s="1407">
        <f>VLOOKUP($B246,[2]BOLETIM_SEL!$A:$H,7,0)</f>
        <v>8671.56</v>
      </c>
      <c r="H246" s="1608">
        <f>Orçamento_Não_Deson!H246</f>
        <v>0</v>
      </c>
      <c r="I246" s="876">
        <f t="shared" si="38"/>
        <v>11114.33</v>
      </c>
      <c r="J246" s="1607">
        <f t="shared" si="32"/>
        <v>0</v>
      </c>
      <c r="K246" s="2069">
        <f t="shared" ca="1" si="56"/>
        <v>0</v>
      </c>
      <c r="L246" s="1570">
        <f t="shared" ca="1" si="30"/>
        <v>0</v>
      </c>
      <c r="M246" s="1967"/>
      <c r="N246" s="1962">
        <f>VLOOKUP($B246,[2]BOLETIM_SEL!$A:$H,3,0)</f>
        <v>0</v>
      </c>
      <c r="O246" s="1649">
        <f>N246*H246</f>
        <v>0</v>
      </c>
      <c r="Q246" s="832"/>
      <c r="R246" s="832"/>
      <c r="S246" s="832"/>
      <c r="T246" s="832"/>
      <c r="U246" s="832"/>
      <c r="V246" s="832"/>
      <c r="W246" s="832"/>
      <c r="X246" s="832"/>
    </row>
    <row r="247" spans="1:24" s="812" customFormat="1" ht="39.950000000000003" hidden="1" customHeight="1" x14ac:dyDescent="0.15">
      <c r="A247" s="2072">
        <f ca="1">Orçamento_Não_Deson!A247</f>
        <v>5.01</v>
      </c>
      <c r="B247" s="833" t="str">
        <f>Orçamento_Não_Deson!B247</f>
        <v>DR/0145</v>
      </c>
      <c r="C247" s="2" t="str">
        <f>VLOOKUP($B247,[2]BOLETIM_SEL!$A:$H,2,0)</f>
        <v>COMPOSIÇÃO</v>
      </c>
      <c r="D247" s="315" t="str">
        <f>VLOOKUP($B247,[2]BOLETIM_SEL!$A:$H,4,0)</f>
        <v>PV-3 - Poço de Visita, com dimensões internas de 1,98m x 3,48m x 2,00m (bxbxh), em alvenaria de bloco de concreto estrutural FBK 14mpa, conforme projeto tipo. Exclusive pescoço e tampão</v>
      </c>
      <c r="E247" s="2">
        <f>Orçamento_Não_Deson!E247</f>
        <v>0</v>
      </c>
      <c r="F247" s="2" t="str">
        <f>VLOOKUP($B247,[2]BOLETIM_SEL!$A:$H,6,0)</f>
        <v>UN</v>
      </c>
      <c r="G247" s="1407">
        <f>VLOOKUP($B247,[2]BOLETIM_SEL!$A:$H,7,0)</f>
        <v>10398.6</v>
      </c>
      <c r="H247" s="1608">
        <f>Orçamento_Não_Deson!H247</f>
        <v>0</v>
      </c>
      <c r="I247" s="876">
        <f t="shared" si="38"/>
        <v>13327.88</v>
      </c>
      <c r="J247" s="1607">
        <f t="shared" si="32"/>
        <v>0</v>
      </c>
      <c r="K247" s="2069">
        <f t="shared" ca="1" si="56"/>
        <v>0</v>
      </c>
      <c r="L247" s="1570">
        <f t="shared" ca="1" si="30"/>
        <v>0</v>
      </c>
      <c r="M247" s="1967"/>
      <c r="N247" s="1962">
        <f>VLOOKUP($B247,[2]BOLETIM_SEL!$A:$H,3,0)</f>
        <v>0</v>
      </c>
      <c r="O247" s="1649">
        <f>N247*H247</f>
        <v>0</v>
      </c>
      <c r="Q247" s="832"/>
      <c r="R247" s="832"/>
      <c r="S247" s="832"/>
      <c r="T247" s="832"/>
      <c r="U247" s="832"/>
      <c r="V247" s="832"/>
      <c r="W247" s="832"/>
      <c r="X247" s="832"/>
    </row>
    <row r="248" spans="1:24" s="812" customFormat="1" ht="39.950000000000003" hidden="1" customHeight="1" x14ac:dyDescent="0.15">
      <c r="A248" s="2072">
        <f ca="1">Orçamento_Não_Deson!A248</f>
        <v>5.01</v>
      </c>
      <c r="B248" s="833" t="str">
        <f>Orçamento_Não_Deson!B248</f>
        <v>DR/0150</v>
      </c>
      <c r="C248" s="2" t="str">
        <f>VLOOKUP($B248,[2]BOLETIM_SEL!$A:$H,2,0)</f>
        <v>COMPOSIÇÃO</v>
      </c>
      <c r="D248" s="315" t="str">
        <f>VLOOKUP($B248,[2]BOLETIM_SEL!$A:$H,4,0)</f>
        <v>PV-4 - Poço de Visita, com dimensões internas de 1,98m x 4,98m x 2,00m (bxbxh), em alvenaria de bloco de concreto estrutural FBK 14mpa, conforme projeto tipo. Exclusive pescoço e tampão</v>
      </c>
      <c r="E248" s="2">
        <f>Orçamento_Não_Deson!E248</f>
        <v>0</v>
      </c>
      <c r="F248" s="2" t="str">
        <f>VLOOKUP($B248,[2]BOLETIM_SEL!$A:$H,6,0)</f>
        <v>UN</v>
      </c>
      <c r="G248" s="1407">
        <f>VLOOKUP($B248,[2]BOLETIM_SEL!$A:$H,7,0)</f>
        <v>13636.81</v>
      </c>
      <c r="H248" s="1608">
        <f>Orçamento_Não_Deson!H248</f>
        <v>0</v>
      </c>
      <c r="I248" s="876">
        <f t="shared" si="38"/>
        <v>17478.29</v>
      </c>
      <c r="J248" s="1607">
        <f t="shared" si="32"/>
        <v>0</v>
      </c>
      <c r="K248" s="2069">
        <f t="shared" ca="1" si="56"/>
        <v>0</v>
      </c>
      <c r="L248" s="1570">
        <f t="shared" ca="1" si="30"/>
        <v>0</v>
      </c>
      <c r="M248" s="1967"/>
      <c r="N248" s="1962">
        <f>VLOOKUP($B248,[2]BOLETIM_SEL!$A:$H,3,0)</f>
        <v>0</v>
      </c>
      <c r="O248" s="1649">
        <f>N248*H248</f>
        <v>0</v>
      </c>
      <c r="Q248" s="832"/>
      <c r="R248" s="832"/>
      <c r="S248" s="832"/>
      <c r="T248" s="832"/>
      <c r="U248" s="832"/>
      <c r="V248" s="832"/>
      <c r="W248" s="832"/>
      <c r="X248" s="832"/>
    </row>
    <row r="249" spans="1:24" s="812" customFormat="1" ht="39.950000000000003" hidden="1" customHeight="1" x14ac:dyDescent="0.15">
      <c r="A249" s="2072">
        <f ca="1">+Orçamento_Não_Deson!A249</f>
        <v>5.01</v>
      </c>
      <c r="B249" s="833" t="str">
        <f>+Orçamento_Não_Deson!B249</f>
        <v>DR/0155</v>
      </c>
      <c r="C249" s="2" t="str">
        <f>VLOOKUP($B249,[2]BOLETIM_SEL!$A:$H,2,0)</f>
        <v>COMPOSIÇÃO</v>
      </c>
      <c r="D249" s="315" t="str">
        <f>VLOOKUP($B249,[2]BOLETIM_SEL!$A:$H,4,0)</f>
        <v>PV-5 - Poço de Visita, com dimensões internas de 1,98m x 6,58m x 2,00m (bxbxh), em alvenaria de bloco de concreto estrutural FBK 14mpa, conforme projeto tipo. Exclusive pescoço e tampão</v>
      </c>
      <c r="E249" s="2">
        <f>+Orçamento_Não_Deson!E249</f>
        <v>0</v>
      </c>
      <c r="F249" s="2" t="str">
        <f>VLOOKUP($B249,[2]BOLETIM_SEL!$A:$H,6,0)</f>
        <v>UN</v>
      </c>
      <c r="G249" s="1407">
        <f>VLOOKUP($B249,[2]BOLETIM_SEL!$A:$H,7,0)</f>
        <v>17090.900000000001</v>
      </c>
      <c r="H249" s="1608">
        <f>+Orçamento_Não_Deson!H249</f>
        <v>0</v>
      </c>
      <c r="I249" s="876">
        <f t="shared" si="38"/>
        <v>21905.4</v>
      </c>
      <c r="J249" s="1607">
        <f t="shared" si="32"/>
        <v>0</v>
      </c>
      <c r="K249" s="2069">
        <f t="shared" ca="1" si="56"/>
        <v>0</v>
      </c>
      <c r="L249" s="1570">
        <f t="shared" ca="1" si="30"/>
        <v>0</v>
      </c>
      <c r="M249" s="1967"/>
      <c r="N249" s="1962">
        <f>VLOOKUP($B249,[2]BOLETIM_SEL!$A:$H,3,0)</f>
        <v>0</v>
      </c>
      <c r="O249" s="1649">
        <f t="shared" ref="O249:O268" si="58">+N249*H249</f>
        <v>0</v>
      </c>
      <c r="Q249" s="832"/>
      <c r="R249" s="832"/>
      <c r="S249" s="832"/>
      <c r="T249" s="832"/>
      <c r="U249" s="832"/>
      <c r="V249" s="832"/>
      <c r="W249" s="832"/>
      <c r="X249" s="832"/>
    </row>
    <row r="250" spans="1:24" s="812" customFormat="1" ht="39.950000000000003" hidden="1" customHeight="1" x14ac:dyDescent="0.15">
      <c r="A250" s="2072">
        <f ca="1">+Orçamento_Não_Deson!A250</f>
        <v>5.01</v>
      </c>
      <c r="B250" s="833" t="str">
        <f>+Orçamento_Não_Deson!B250</f>
        <v>DR/0160</v>
      </c>
      <c r="C250" s="2" t="str">
        <f>VLOOKUP($B250,[2]BOLETIM_SEL!$A:$H,2,0)</f>
        <v>COMPOSIÇÃO</v>
      </c>
      <c r="D250" s="315" t="str">
        <f>VLOOKUP($B250,[2]BOLETIM_SEL!$A:$H,4,0)</f>
        <v>PV-6 - Poço de Visita, com dimensões internas de 1,98m x 8,78m x 2,00m (bxbxh), em alvenaria de bloco de concreto estrutural FBK 14mpa, conforme projeto tipo. Exclusive pescoço e tampão</v>
      </c>
      <c r="E250" s="2">
        <f>+Orçamento_Não_Deson!E250</f>
        <v>0</v>
      </c>
      <c r="F250" s="2" t="str">
        <f>VLOOKUP($B250,[2]BOLETIM_SEL!$A:$H,6,0)</f>
        <v>UN</v>
      </c>
      <c r="G250" s="1407">
        <f>VLOOKUP($B250,[2]BOLETIM_SEL!$A:$H,7,0)</f>
        <v>21840.28</v>
      </c>
      <c r="H250" s="1608">
        <f>+Orçamento_Não_Deson!H250</f>
        <v>0</v>
      </c>
      <c r="I250" s="876">
        <f t="shared" si="38"/>
        <v>27992.68</v>
      </c>
      <c r="J250" s="1607">
        <f t="shared" si="32"/>
        <v>0</v>
      </c>
      <c r="K250" s="2069">
        <f t="shared" ca="1" si="56"/>
        <v>0</v>
      </c>
      <c r="L250" s="1570">
        <f t="shared" ca="1" si="30"/>
        <v>0</v>
      </c>
      <c r="M250" s="1967"/>
      <c r="N250" s="1962">
        <f>VLOOKUP($B250,[2]BOLETIM_SEL!$A:$H,3,0)</f>
        <v>0</v>
      </c>
      <c r="O250" s="1649">
        <f t="shared" si="58"/>
        <v>0</v>
      </c>
      <c r="Q250" s="832"/>
      <c r="R250" s="832"/>
      <c r="S250" s="832"/>
      <c r="T250" s="832"/>
      <c r="U250" s="832"/>
      <c r="V250" s="832"/>
      <c r="W250" s="832"/>
      <c r="X250" s="832"/>
    </row>
    <row r="251" spans="1:24" s="812" customFormat="1" ht="39.950000000000003" hidden="1" customHeight="1" x14ac:dyDescent="0.15">
      <c r="A251" s="2072">
        <f ca="1">+Orçamento_Não_Deson!A251</f>
        <v>5.01</v>
      </c>
      <c r="B251" s="833" t="str">
        <f>+Orçamento_Não_Deson!B251</f>
        <v>DR/0165</v>
      </c>
      <c r="C251" s="2" t="str">
        <f>VLOOKUP($B251,[2]BOLETIM_SEL!$A:$H,2,0)</f>
        <v>COMPOSIÇÃO</v>
      </c>
      <c r="D251" s="315" t="str">
        <f>VLOOKUP($B251,[2]BOLETIM_SEL!$A:$H,4,0)</f>
        <v>PV-0 - Poço de Visita Circular, com dimensão interna de Ø 0,80m, em alvenaria de tijolo comum de 1 vez assentada e revestida internamente com argamassa de cimento e areia 1:3, conforme projeto tipo. Exclusive tampão</v>
      </c>
      <c r="E251" s="2">
        <f>+Orçamento_Não_Deson!E251</f>
        <v>0</v>
      </c>
      <c r="F251" s="2" t="str">
        <f>VLOOKUP($B251,[2]BOLETIM_SEL!$A:$H,6,0)</f>
        <v>UN</v>
      </c>
      <c r="G251" s="1407">
        <f>VLOOKUP($B251,[2]BOLETIM_SEL!$A:$H,7,0)</f>
        <v>1742.84</v>
      </c>
      <c r="H251" s="1608">
        <f>+Orçamento_Não_Deson!H251</f>
        <v>0</v>
      </c>
      <c r="I251" s="876">
        <f t="shared" si="38"/>
        <v>2233.79</v>
      </c>
      <c r="J251" s="1607">
        <f t="shared" si="32"/>
        <v>0</v>
      </c>
      <c r="K251" s="2069">
        <f t="shared" ca="1" si="56"/>
        <v>0</v>
      </c>
      <c r="L251" s="1570">
        <f t="shared" ref="L251:L288" ca="1" si="59">J251/J$183</f>
        <v>0</v>
      </c>
      <c r="M251" s="1967"/>
      <c r="N251" s="1961">
        <f>VLOOKUP($B251,[2]BOLETIM_SEL!$A:$H,3,0)</f>
        <v>0</v>
      </c>
      <c r="O251" s="1649">
        <f t="shared" si="58"/>
        <v>0</v>
      </c>
      <c r="Q251" s="832"/>
      <c r="R251" s="832"/>
      <c r="S251" s="832"/>
      <c r="T251" s="832"/>
      <c r="U251" s="832"/>
      <c r="V251" s="832"/>
      <c r="W251" s="832"/>
      <c r="X251" s="832"/>
    </row>
    <row r="252" spans="1:24" s="812" customFormat="1" ht="39.950000000000003" hidden="1" customHeight="1" x14ac:dyDescent="0.15">
      <c r="A252" s="2072">
        <f ca="1">Orçamento_Não_Deson!A252</f>
        <v>5.01</v>
      </c>
      <c r="B252" s="833" t="str">
        <f>Orçamento_Não_Deson!B252</f>
        <v>DR/0170</v>
      </c>
      <c r="C252" s="2" t="str">
        <f>VLOOKUP($B252,[2]BOLETIM_SEL!$A:$H,2,0)</f>
        <v>COMPOSIÇÃO</v>
      </c>
      <c r="D252" s="315" t="str">
        <f>VLOOKUP($B252,[2]BOLETIM_SEL!$A:$H,4,0)</f>
        <v>APV-1 - Acréscimo para Poço de Visita, com dimensões internas de 1,98m x 1,98m, em alvenaria de bloco de concreto estrutural FBK 14mpa, conforme projeto tipo</v>
      </c>
      <c r="E252" s="2">
        <f>Orçamento_Não_Deson!E252</f>
        <v>0</v>
      </c>
      <c r="F252" s="2" t="str">
        <f>VLOOKUP($B252,[2]BOLETIM_SEL!$A:$H,6,0)</f>
        <v>M</v>
      </c>
      <c r="G252" s="1407">
        <f>VLOOKUP($B252,[2]BOLETIM_SEL!$A:$H,7,0)</f>
        <v>1607.96</v>
      </c>
      <c r="H252" s="1608">
        <f ca="1">Orçamento_Não_Deson!H252</f>
        <v>0</v>
      </c>
      <c r="I252" s="876">
        <f t="shared" si="38"/>
        <v>2060.92</v>
      </c>
      <c r="J252" s="1607">
        <f ca="1">TRUNC(H252*I252,2)</f>
        <v>0</v>
      </c>
      <c r="K252" s="2069">
        <f t="shared" ca="1" si="56"/>
        <v>0</v>
      </c>
      <c r="L252" s="1570">
        <f t="shared" ca="1" si="59"/>
        <v>0</v>
      </c>
      <c r="M252" s="1967"/>
      <c r="N252" s="1961">
        <f>VLOOKUP($B252,[2]BOLETIM_SEL!$A:$H,3,0)</f>
        <v>0</v>
      </c>
      <c r="O252" s="1649">
        <f ca="1">N252*H252</f>
        <v>0</v>
      </c>
      <c r="Q252" s="832"/>
      <c r="R252" s="832"/>
      <c r="S252" s="832"/>
      <c r="T252" s="832"/>
      <c r="U252" s="832"/>
      <c r="V252" s="832"/>
      <c r="W252" s="832"/>
      <c r="X252" s="832"/>
    </row>
    <row r="253" spans="1:24" s="812" customFormat="1" ht="39.950000000000003" hidden="1" customHeight="1" x14ac:dyDescent="0.15">
      <c r="A253" s="2072">
        <f ca="1">Orçamento_Não_Deson!A253</f>
        <v>5.01</v>
      </c>
      <c r="B253" s="833" t="str">
        <f>Orçamento_Não_Deson!B253</f>
        <v>DR/0175</v>
      </c>
      <c r="C253" s="2" t="str">
        <f>VLOOKUP($B253,[2]BOLETIM_SEL!$A:$H,2,0)</f>
        <v>COMPOSIÇÃO</v>
      </c>
      <c r="D253" s="315" t="str">
        <f>VLOOKUP($B253,[2]BOLETIM_SEL!$A:$H,4,0)</f>
        <v>APV-2 - Acréscimo para Poço de Visita, com dimensões internas de 1,98m x 2,68m, em alvenaria de bloco de concreto estrutural FBK 14mpa, conforme projeto tipo</v>
      </c>
      <c r="E253" s="2">
        <f>Orçamento_Não_Deson!E253</f>
        <v>0</v>
      </c>
      <c r="F253" s="2" t="str">
        <f>VLOOKUP($B253,[2]BOLETIM_SEL!$A:$H,6,0)</f>
        <v>M</v>
      </c>
      <c r="G253" s="1407">
        <f>VLOOKUP($B253,[2]BOLETIM_SEL!$A:$H,7,0)</f>
        <v>1859.93</v>
      </c>
      <c r="H253" s="1608">
        <f>Orçamento_Não_Deson!H253</f>
        <v>0</v>
      </c>
      <c r="I253" s="876">
        <f t="shared" si="38"/>
        <v>2383.87</v>
      </c>
      <c r="J253" s="1607">
        <f>TRUNC(H253*I253,2)</f>
        <v>0</v>
      </c>
      <c r="K253" s="2069">
        <f t="shared" ca="1" si="56"/>
        <v>0</v>
      </c>
      <c r="L253" s="1570">
        <f t="shared" ca="1" si="59"/>
        <v>0</v>
      </c>
      <c r="M253" s="1967"/>
      <c r="N253" s="1961">
        <f>VLOOKUP($B253,[2]BOLETIM_SEL!$A:$H,3,0)</f>
        <v>0</v>
      </c>
      <c r="O253" s="1649">
        <f>N253*H253</f>
        <v>0</v>
      </c>
      <c r="Q253" s="832"/>
      <c r="R253" s="832"/>
      <c r="S253" s="832"/>
      <c r="T253" s="832"/>
      <c r="U253" s="832"/>
      <c r="V253" s="832"/>
      <c r="W253" s="832"/>
      <c r="X253" s="832"/>
    </row>
    <row r="254" spans="1:24" s="812" customFormat="1" ht="39.950000000000003" hidden="1" customHeight="1" x14ac:dyDescent="0.15">
      <c r="A254" s="2072">
        <f ca="1">+Orçamento_Não_Deson!A254</f>
        <v>5.01</v>
      </c>
      <c r="B254" s="833" t="str">
        <f>+Orçamento_Não_Deson!B254</f>
        <v>DR/0180</v>
      </c>
      <c r="C254" s="2" t="str">
        <f>VLOOKUP($B254,[2]BOLETIM_SEL!$A:$H,2,0)</f>
        <v>COMPOSIÇÃO</v>
      </c>
      <c r="D254" s="315" t="str">
        <f>VLOOKUP($B254,[2]BOLETIM_SEL!$A:$H,4,0)</f>
        <v>APV-3 - Acréscimo para Poço de Visita, com dimensões internas de 1,98m x 3,48m, em alvenaria de bloco de concreto estrutural FBK 14mpa, conforme projeto tipo</v>
      </c>
      <c r="E254" s="2">
        <f>+Orçamento_Não_Deson!E254</f>
        <v>0</v>
      </c>
      <c r="F254" s="2" t="str">
        <f>VLOOKUP($B254,[2]BOLETIM_SEL!$A:$H,6,0)</f>
        <v>M</v>
      </c>
      <c r="G254" s="1407">
        <f>VLOOKUP($B254,[2]BOLETIM_SEL!$A:$H,7,0)</f>
        <v>2147.91</v>
      </c>
      <c r="H254" s="1608">
        <f>+Orçamento_Não_Deson!H254</f>
        <v>0</v>
      </c>
      <c r="I254" s="876">
        <f t="shared" si="38"/>
        <v>2752.97</v>
      </c>
      <c r="J254" s="1607">
        <f t="shared" ref="J254:J312" si="60">TRUNC(H254*I254,2)</f>
        <v>0</v>
      </c>
      <c r="K254" s="2069">
        <f t="shared" ca="1" si="56"/>
        <v>0</v>
      </c>
      <c r="L254" s="1570">
        <f t="shared" ca="1" si="59"/>
        <v>0</v>
      </c>
      <c r="M254" s="1967"/>
      <c r="N254" s="1961">
        <f>VLOOKUP($B254,[2]BOLETIM_SEL!$A:$H,3,0)</f>
        <v>0</v>
      </c>
      <c r="O254" s="1649">
        <f t="shared" si="58"/>
        <v>0</v>
      </c>
      <c r="Q254" s="832"/>
      <c r="R254" s="832"/>
      <c r="S254" s="832"/>
      <c r="T254" s="832"/>
      <c r="U254" s="832"/>
      <c r="V254" s="832"/>
      <c r="W254" s="832"/>
      <c r="X254" s="832"/>
    </row>
    <row r="255" spans="1:24" s="812" customFormat="1" ht="39.950000000000003" hidden="1" customHeight="1" x14ac:dyDescent="0.15">
      <c r="A255" s="2072">
        <f ca="1">Orçamento_Não_Deson!A255</f>
        <v>5.01</v>
      </c>
      <c r="B255" s="833" t="str">
        <f>Orçamento_Não_Deson!B255</f>
        <v>DR/0185</v>
      </c>
      <c r="C255" s="2" t="str">
        <f>VLOOKUP($B255,[2]BOLETIM_SEL!$A:$H,2,0)</f>
        <v>COMPOSIÇÃO</v>
      </c>
      <c r="D255" s="315" t="str">
        <f>VLOOKUP($B255,[2]BOLETIM_SEL!$A:$H,4,0)</f>
        <v>APV-4 - Acréscimo para Poço de Visita, com dimensões internas de 1,98m x 4,98m, em alvenaria de bloco de concreto estrutural FBK 14mpa, conforme projeto tipo</v>
      </c>
      <c r="E255" s="2">
        <f>Orçamento_Não_Deson!E255</f>
        <v>0</v>
      </c>
      <c r="F255" s="2" t="str">
        <f>VLOOKUP($B255,[2]BOLETIM_SEL!$A:$H,6,0)</f>
        <v>M</v>
      </c>
      <c r="G255" s="1407">
        <f>VLOOKUP($B255,[2]BOLETIM_SEL!$A:$H,7,0)</f>
        <v>2687.86</v>
      </c>
      <c r="H255" s="1608">
        <f>Orçamento_Não_Deson!H255</f>
        <v>0</v>
      </c>
      <c r="I255" s="876">
        <f t="shared" si="38"/>
        <v>3445.03</v>
      </c>
      <c r="J255" s="1607">
        <f t="shared" si="60"/>
        <v>0</v>
      </c>
      <c r="K255" s="2069">
        <f t="shared" ca="1" si="56"/>
        <v>0</v>
      </c>
      <c r="L255" s="1570">
        <f t="shared" ca="1" si="59"/>
        <v>0</v>
      </c>
      <c r="M255" s="1967"/>
      <c r="N255" s="1961">
        <f>VLOOKUP($B255,[2]BOLETIM_SEL!$A:$H,3,0)</f>
        <v>0</v>
      </c>
      <c r="O255" s="1649">
        <f>N255*H255</f>
        <v>0</v>
      </c>
      <c r="Q255" s="832"/>
      <c r="R255" s="832"/>
      <c r="S255" s="832"/>
      <c r="T255" s="832"/>
      <c r="U255" s="832"/>
      <c r="V255" s="832"/>
      <c r="W255" s="832"/>
      <c r="X255" s="832"/>
    </row>
    <row r="256" spans="1:24" s="812" customFormat="1" ht="39.950000000000003" hidden="1" customHeight="1" x14ac:dyDescent="0.15">
      <c r="A256" s="2072">
        <f ca="1">+Orçamento_Não_Deson!A256</f>
        <v>5.01</v>
      </c>
      <c r="B256" s="833" t="str">
        <f>+Orçamento_Não_Deson!B256</f>
        <v>DR/0190</v>
      </c>
      <c r="C256" s="2" t="str">
        <f>VLOOKUP($B256,[2]BOLETIM_SEL!$A:$H,2,0)</f>
        <v>COMPOSIÇÃO</v>
      </c>
      <c r="D256" s="315" t="str">
        <f>VLOOKUP($B256,[2]BOLETIM_SEL!$A:$H,4,0)</f>
        <v>APV-5 - Acréscimo para Poço de Visita, com dimensões internas de 1,98m x 6,58m, em alvenaria de bloco de concreto estrutural FBK 14mpa, conforme projeto tipo</v>
      </c>
      <c r="E256" s="2">
        <f>+Orçamento_Não_Deson!E256</f>
        <v>0</v>
      </c>
      <c r="F256" s="2" t="str">
        <f>VLOOKUP($B256,[2]BOLETIM_SEL!$A:$H,6,0)</f>
        <v>M</v>
      </c>
      <c r="G256" s="1407">
        <f>VLOOKUP($B256,[2]BOLETIM_SEL!$A:$H,7,0)</f>
        <v>3263.81</v>
      </c>
      <c r="H256" s="1608">
        <f>+Orçamento_Não_Deson!H256</f>
        <v>0</v>
      </c>
      <c r="I256" s="876">
        <f t="shared" si="38"/>
        <v>4183.22</v>
      </c>
      <c r="J256" s="1607">
        <f t="shared" si="60"/>
        <v>0</v>
      </c>
      <c r="K256" s="2069">
        <f t="shared" ca="1" si="56"/>
        <v>0</v>
      </c>
      <c r="L256" s="1570">
        <f t="shared" ca="1" si="59"/>
        <v>0</v>
      </c>
      <c r="M256" s="1967"/>
      <c r="N256" s="1961">
        <f>VLOOKUP($B256,[2]BOLETIM_SEL!$A:$H,3,0)</f>
        <v>0</v>
      </c>
      <c r="O256" s="1649">
        <f t="shared" si="58"/>
        <v>0</v>
      </c>
      <c r="Q256" s="832"/>
      <c r="R256" s="832"/>
      <c r="S256" s="832"/>
      <c r="T256" s="832"/>
      <c r="U256" s="832"/>
      <c r="V256" s="832"/>
      <c r="W256" s="832"/>
      <c r="X256" s="832"/>
    </row>
    <row r="257" spans="1:24" s="812" customFormat="1" ht="39.950000000000003" hidden="1" customHeight="1" x14ac:dyDescent="0.15">
      <c r="A257" s="2072">
        <f ca="1">+Orçamento_Não_Deson!A257</f>
        <v>5.01</v>
      </c>
      <c r="B257" s="833" t="str">
        <f>+Orçamento_Não_Deson!B257</f>
        <v>DR/0195</v>
      </c>
      <c r="C257" s="2" t="str">
        <f>VLOOKUP($B257,[2]BOLETIM_SEL!$A:$H,2,0)</f>
        <v>COMPOSIÇÃO</v>
      </c>
      <c r="D257" s="315" t="str">
        <f>VLOOKUP($B257,[2]BOLETIM_SEL!$A:$H,4,0)</f>
        <v>APV-6 - Acréscimo para Poço de Visita, com dimensões internas de 1,98m x 8,78m, em alvenaria de bloco de concreto estrutural FBK 14mpa, conforme projeto tipo</v>
      </c>
      <c r="E257" s="2">
        <f>+Orçamento_Não_Deson!E257</f>
        <v>0</v>
      </c>
      <c r="F257" s="2" t="str">
        <f>VLOOKUP($B257,[2]BOLETIM_SEL!$A:$H,6,0)</f>
        <v>M</v>
      </c>
      <c r="G257" s="1407">
        <f>VLOOKUP($B257,[2]BOLETIM_SEL!$A:$H,7,0)</f>
        <v>4055.74</v>
      </c>
      <c r="H257" s="1608">
        <f>+Orçamento_Não_Deson!H257</f>
        <v>0</v>
      </c>
      <c r="I257" s="876">
        <f t="shared" si="38"/>
        <v>5198.24</v>
      </c>
      <c r="J257" s="1607">
        <f t="shared" si="60"/>
        <v>0</v>
      </c>
      <c r="K257" s="2069">
        <f t="shared" ca="1" si="56"/>
        <v>0</v>
      </c>
      <c r="L257" s="1570">
        <f t="shared" ca="1" si="59"/>
        <v>0</v>
      </c>
      <c r="M257" s="1967"/>
      <c r="N257" s="1961">
        <f>VLOOKUP($B257,[2]BOLETIM_SEL!$A:$H,3,0)</f>
        <v>0</v>
      </c>
      <c r="O257" s="1649">
        <f t="shared" si="58"/>
        <v>0</v>
      </c>
      <c r="Q257" s="832"/>
      <c r="R257" s="832"/>
      <c r="S257" s="832"/>
      <c r="T257" s="832"/>
      <c r="U257" s="832"/>
      <c r="V257" s="832"/>
      <c r="W257" s="832"/>
      <c r="X257" s="832"/>
    </row>
    <row r="258" spans="1:24" s="812" customFormat="1" ht="39.950000000000003" customHeight="1" x14ac:dyDescent="0.15">
      <c r="A258" s="2072">
        <f ca="1">+Orçamento_Não_Deson!A258</f>
        <v>5.0199999999999996</v>
      </c>
      <c r="B258" s="833" t="str">
        <f>+Orçamento_Não_Deson!B258</f>
        <v>DR/0200</v>
      </c>
      <c r="C258" s="2" t="str">
        <f>VLOOKUP($B258,[2]BOLETIM_SEL!$A:$H,2,0)</f>
        <v>COMPOSIÇÃO</v>
      </c>
      <c r="D258" s="315" t="str">
        <f>VLOOKUP($B258,[2]BOLETIM_SEL!$A:$H,4,0)</f>
        <v>Antecâmara para poço de visita, com dimensões internas de 1,98m x 1,00m x 1,50m (bxbxh), em alvenaria de bloco de concreto estrutural FBK 14mpa, conforme projeto tipo</v>
      </c>
      <c r="E258" s="2">
        <f>+Orçamento_Não_Deson!E258</f>
        <v>0</v>
      </c>
      <c r="F258" s="2" t="str">
        <f>VLOOKUP($B258,[2]BOLETIM_SEL!$A:$H,6,0)</f>
        <v>UN</v>
      </c>
      <c r="G258" s="1407">
        <f>VLOOKUP($B258,[2]BOLETIM_SEL!$A:$H,7,0)</f>
        <v>2562.67</v>
      </c>
      <c r="H258" s="1608">
        <f ca="1">+Orçamento_Não_Deson!H258</f>
        <v>2</v>
      </c>
      <c r="I258" s="876">
        <f t="shared" si="38"/>
        <v>3284.57</v>
      </c>
      <c r="J258" s="1607">
        <f ca="1">TRUNC(H258*I258,2)</f>
        <v>6569.14</v>
      </c>
      <c r="K258" s="2069">
        <f t="shared" ca="1" si="56"/>
        <v>1.7386803049276951E-3</v>
      </c>
      <c r="L258" s="1570">
        <f t="shared" ca="1" si="59"/>
        <v>3.0892622092386208E-2</v>
      </c>
      <c r="M258" s="1967"/>
      <c r="N258" s="1962">
        <f>VLOOKUP($B258,[2]BOLETIM_SEL!$A:$H,3,0)</f>
        <v>0</v>
      </c>
      <c r="O258" s="1649">
        <f t="shared" ca="1" si="58"/>
        <v>0</v>
      </c>
      <c r="Q258" s="832"/>
      <c r="R258" s="832"/>
      <c r="S258" s="832"/>
      <c r="T258" s="832"/>
      <c r="U258" s="832"/>
      <c r="V258" s="832"/>
      <c r="W258" s="832"/>
      <c r="X258" s="832"/>
    </row>
    <row r="259" spans="1:24" s="812" customFormat="1" ht="39.950000000000003" customHeight="1" x14ac:dyDescent="0.15">
      <c r="A259" s="2072">
        <f ca="1">Orçamento_Não_Deson!A259</f>
        <v>5.0299999999999994</v>
      </c>
      <c r="B259" s="833">
        <f>Orçamento_Não_Deson!B259</f>
        <v>98051</v>
      </c>
      <c r="C259" s="2" t="str">
        <f>VLOOKUP($B259,[2]BOLETIM_SEL!$A:$H,2,0)</f>
        <v>SINAPI</v>
      </c>
      <c r="D259" s="315" t="str">
        <f>VLOOKUP($B259,[2]BOLETIM_SEL!$A:$H,4,0)</f>
        <v>Chaminé circular para poço de visita para esgoto, em alvenaria com tijolos cerâmicos maciços, diâmetro interno = 0,6 m. af_12/2020</v>
      </c>
      <c r="E259" s="2">
        <f>Orçamento_Não_Deson!E259</f>
        <v>0</v>
      </c>
      <c r="F259" s="2" t="str">
        <f>VLOOKUP($B259,[2]BOLETIM_SEL!$A:$H,6,0)</f>
        <v>M</v>
      </c>
      <c r="G259" s="1407">
        <f>VLOOKUP($B259,[2]BOLETIM_SEL!$A:$H,7,0)</f>
        <v>913.22</v>
      </c>
      <c r="H259" s="1608">
        <f ca="1">Orçamento_Não_Deson!H259</f>
        <v>3.04</v>
      </c>
      <c r="I259" s="876">
        <f t="shared" si="38"/>
        <v>1170.47</v>
      </c>
      <c r="J259" s="1607">
        <f ca="1">TRUNC(H259*I259,2)</f>
        <v>3558.22</v>
      </c>
      <c r="K259" s="2069">
        <f t="shared" ca="1" si="56"/>
        <v>9.4176818192332975E-4</v>
      </c>
      <c r="L259" s="1570">
        <f t="shared" ca="1" si="59"/>
        <v>1.6733201877501536E-2</v>
      </c>
      <c r="M259" s="1967"/>
      <c r="N259" s="1961">
        <f>VLOOKUP($B259,[2]BOLETIM_SEL!$A:$H,3,0)</f>
        <v>0</v>
      </c>
      <c r="O259" s="1649">
        <f ca="1">N259*H259</f>
        <v>0</v>
      </c>
      <c r="Q259" s="832"/>
      <c r="R259" s="832"/>
      <c r="S259" s="832"/>
      <c r="T259" s="832"/>
      <c r="U259" s="832"/>
      <c r="V259" s="832"/>
      <c r="W259" s="832"/>
      <c r="X259" s="832"/>
    </row>
    <row r="260" spans="1:24" s="812" customFormat="1" ht="39.950000000000003" customHeight="1" x14ac:dyDescent="0.15">
      <c r="A260" s="2072">
        <f ca="1">Orçamento_Não_Deson!A260</f>
        <v>5.0399999999999991</v>
      </c>
      <c r="B260" s="833" t="str">
        <f>Orçamento_Não_Deson!B260</f>
        <v>DR/0355</v>
      </c>
      <c r="C260" s="2" t="str">
        <f>VLOOKUP($B260,[2]BOLETIM_SEL!$A:$H,2,0)</f>
        <v>COMPOSIÇÃO</v>
      </c>
      <c r="D260" s="315" t="str">
        <f>VLOOKUP($B260,[2]BOLETIM_SEL!$A:$H,4,0)</f>
        <v>Tampão F°F° articulado, classe D400, carga máxima 40 T, redondo tampa 600 mm para rede pluvial/esgoto. Incluindo fornecimento, assentamento e requadro em concreto FCK 20mpa, de 1,00m x 1,00m x 0,20m</v>
      </c>
      <c r="E260" s="2">
        <f>Orçamento_Não_Deson!E260</f>
        <v>0</v>
      </c>
      <c r="F260" s="2" t="str">
        <f>VLOOKUP($B260,[2]BOLETIM_SEL!$A:$H,6,0)</f>
        <v xml:space="preserve">UN </v>
      </c>
      <c r="G260" s="1407">
        <f>VLOOKUP($B260,[2]BOLETIM_SEL!$A:$H,7,0)</f>
        <v>761.89</v>
      </c>
      <c r="H260" s="1608">
        <f ca="1">Orçamento_Não_Deson!H260</f>
        <v>10</v>
      </c>
      <c r="I260" s="876">
        <f t="shared" si="38"/>
        <v>976.51</v>
      </c>
      <c r="J260" s="1607">
        <f ca="1">TRUNC(H260*I260,2)</f>
        <v>9765.1</v>
      </c>
      <c r="K260" s="2069">
        <f t="shared" ca="1" si="56"/>
        <v>2.584567697697025E-3</v>
      </c>
      <c r="L260" s="1570">
        <f t="shared" ca="1" si="59"/>
        <v>4.5922227870674175E-2</v>
      </c>
      <c r="M260" s="1975"/>
      <c r="N260" s="1962">
        <f>VLOOKUP($B260,[2]BOLETIM_SEL!$A:$H,3,0)</f>
        <v>53</v>
      </c>
      <c r="O260" s="1649">
        <f ca="1">N260*H260</f>
        <v>530</v>
      </c>
      <c r="Q260" s="832"/>
      <c r="R260" s="832"/>
      <c r="S260" s="832"/>
      <c r="T260" s="832"/>
      <c r="U260" s="832"/>
      <c r="V260" s="832"/>
      <c r="W260" s="832"/>
      <c r="X260" s="832"/>
    </row>
    <row r="261" spans="1:24" s="812" customFormat="1" ht="39.950000000000003" customHeight="1" x14ac:dyDescent="0.15">
      <c r="A261" s="2072">
        <f ca="1">Orçamento_Não_Deson!A261</f>
        <v>5.0499999999999989</v>
      </c>
      <c r="B261" s="833" t="str">
        <f>Orçamento_Não_Deson!B261</f>
        <v>DR/0205</v>
      </c>
      <c r="C261" s="2" t="str">
        <f>VLOOKUP($B261,[2]BOLETIM_SEL!$A:$H,2,0)</f>
        <v>COMPOSIÇÃO</v>
      </c>
      <c r="D261" s="315" t="str">
        <f>VLOOKUP($B261,[2]BOLETIM_SEL!$A:$H,4,0)</f>
        <v>CP-1 - Caixa de Passagem, com dimensões internas de  1,92m x 1,92m x 1,60m (bxbxh), em alvenaria de bloco de concreto estrutural FBK 8 MPa, conforme projeto tipo</v>
      </c>
      <c r="E261" s="2">
        <f>Orçamento_Não_Deson!E261</f>
        <v>0</v>
      </c>
      <c r="F261" s="2" t="str">
        <f>VLOOKUP($B261,[2]BOLETIM_SEL!$A:$H,6,0)</f>
        <v>UN</v>
      </c>
      <c r="G261" s="1407">
        <f>VLOOKUP($B261,[2]BOLETIM_SEL!$A:$H,7,0)</f>
        <v>6086.26</v>
      </c>
      <c r="H261" s="1608">
        <f>Orçamento_Não_Deson!H261</f>
        <v>2</v>
      </c>
      <c r="I261" s="876">
        <f t="shared" si="38"/>
        <v>7800.75</v>
      </c>
      <c r="J261" s="1607">
        <f t="shared" si="60"/>
        <v>15601.5</v>
      </c>
      <c r="K261" s="2069">
        <f t="shared" ca="1" si="56"/>
        <v>4.1293108043563443E-3</v>
      </c>
      <c r="L261" s="1570">
        <f t="shared" ca="1" si="59"/>
        <v>7.3369001661460015E-2</v>
      </c>
      <c r="M261" s="1967"/>
      <c r="N261" s="1962">
        <f>VLOOKUP($B261,[2]BOLETIM_SEL!$A:$H,3,0)</f>
        <v>0</v>
      </c>
      <c r="O261" s="1649">
        <f>N261*H261</f>
        <v>0</v>
      </c>
      <c r="Q261" s="832"/>
      <c r="R261" s="832"/>
      <c r="S261" s="832"/>
      <c r="T261" s="832"/>
      <c r="U261" s="832"/>
      <c r="V261" s="832"/>
      <c r="W261" s="832"/>
      <c r="X261" s="832"/>
    </row>
    <row r="262" spans="1:24" s="812" customFormat="1" ht="39.950000000000003" hidden="1" customHeight="1" x14ac:dyDescent="0.15">
      <c r="A262" s="2072">
        <f ca="1">+Orçamento_Não_Deson!A262</f>
        <v>5.0499999999999989</v>
      </c>
      <c r="B262" s="833" t="str">
        <f>+Orçamento_Não_Deson!B262</f>
        <v>DR/0210</v>
      </c>
      <c r="C262" s="2" t="str">
        <f>VLOOKUP($B262,[2]BOLETIM_SEL!$A:$H,2,0)</f>
        <v>COMPOSIÇÃO</v>
      </c>
      <c r="D262" s="315" t="str">
        <f>VLOOKUP($B262,[2]BOLETIM_SEL!$A:$H,4,0)</f>
        <v>CP-2 - Caixa de Passagem, com dimensões internas de  1,92m x 2,82m x 2,00m (bxbxh), em alvenaria de bloco de concreto estrutural FBK 8 MPa, conforme projeto tipo</v>
      </c>
      <c r="E262" s="2">
        <f>+Orçamento_Não_Deson!E262</f>
        <v>0</v>
      </c>
      <c r="F262" s="2" t="str">
        <f>VLOOKUP($B262,[2]BOLETIM_SEL!$A:$H,6,0)</f>
        <v>UN</v>
      </c>
      <c r="G262" s="1407">
        <f>VLOOKUP($B262,[2]BOLETIM_SEL!$A:$H,7,0)</f>
        <v>8706.94</v>
      </c>
      <c r="H262" s="1608">
        <f>+Orçamento_Não_Deson!H262</f>
        <v>0</v>
      </c>
      <c r="I262" s="876">
        <f t="shared" si="38"/>
        <v>11159.68</v>
      </c>
      <c r="J262" s="1607">
        <f t="shared" si="60"/>
        <v>0</v>
      </c>
      <c r="K262" s="2069">
        <f t="shared" ca="1" si="56"/>
        <v>0</v>
      </c>
      <c r="L262" s="1570">
        <f t="shared" ca="1" si="59"/>
        <v>0</v>
      </c>
      <c r="M262" s="1967"/>
      <c r="N262" s="1962">
        <f>VLOOKUP($B262,[2]BOLETIM_SEL!$A:$H,3,0)</f>
        <v>0</v>
      </c>
      <c r="O262" s="1649">
        <f t="shared" si="58"/>
        <v>0</v>
      </c>
      <c r="Q262" s="832"/>
      <c r="R262" s="832"/>
      <c r="S262" s="832"/>
      <c r="T262" s="832"/>
      <c r="U262" s="832"/>
      <c r="V262" s="832"/>
      <c r="W262" s="832"/>
      <c r="X262" s="832"/>
    </row>
    <row r="263" spans="1:24" s="812" customFormat="1" ht="39.950000000000003" hidden="1" customHeight="1" x14ac:dyDescent="0.15">
      <c r="A263" s="2072">
        <f ca="1">+Orçamento_Não_Deson!A263</f>
        <v>5.0499999999999989</v>
      </c>
      <c r="B263" s="833" t="str">
        <f>+Orçamento_Não_Deson!B263</f>
        <v>DR/0215</v>
      </c>
      <c r="C263" s="2" t="str">
        <f>VLOOKUP($B263,[2]BOLETIM_SEL!$A:$H,2,0)</f>
        <v>COMPOSIÇÃO</v>
      </c>
      <c r="D263" s="315" t="str">
        <f>VLOOKUP($B263,[2]BOLETIM_SEL!$A:$H,4,0)</f>
        <v>CP-3 - Caixa de Passagem, com dimensões internas de 1,98m x 3,48m x 2,00m (bxbxh), em alvenaria de bloco de concreto estrutural FBK 14mpa, conforme projeto tipo</v>
      </c>
      <c r="E263" s="2">
        <f>+Orçamento_Não_Deson!E263</f>
        <v>0</v>
      </c>
      <c r="F263" s="2" t="str">
        <f>VLOOKUP($B263,[2]BOLETIM_SEL!$A:$H,6,0)</f>
        <v>UN</v>
      </c>
      <c r="G263" s="1407">
        <f>VLOOKUP($B263,[2]BOLETIM_SEL!$A:$H,7,0)</f>
        <v>10241.59</v>
      </c>
      <c r="H263" s="1608">
        <f>+Orçamento_Não_Deson!H263</f>
        <v>0</v>
      </c>
      <c r="I263" s="876">
        <f t="shared" si="38"/>
        <v>13126.64</v>
      </c>
      <c r="J263" s="1607">
        <f t="shared" si="60"/>
        <v>0</v>
      </c>
      <c r="K263" s="2069">
        <f t="shared" ca="1" si="56"/>
        <v>0</v>
      </c>
      <c r="L263" s="1570">
        <f t="shared" ca="1" si="59"/>
        <v>0</v>
      </c>
      <c r="M263" s="1967"/>
      <c r="N263" s="1962">
        <f>VLOOKUP($B263,[2]BOLETIM_SEL!$A:$H,3,0)</f>
        <v>0</v>
      </c>
      <c r="O263" s="1649">
        <f t="shared" si="58"/>
        <v>0</v>
      </c>
      <c r="Q263" s="832"/>
      <c r="R263" s="832"/>
      <c r="S263" s="832"/>
      <c r="T263" s="832"/>
      <c r="U263" s="832"/>
      <c r="V263" s="832"/>
      <c r="W263" s="832"/>
      <c r="X263" s="832"/>
    </row>
    <row r="264" spans="1:24" s="812" customFormat="1" ht="39.950000000000003" hidden="1" customHeight="1" x14ac:dyDescent="0.15">
      <c r="A264" s="2072">
        <f ca="1">Orçamento_Não_Deson!A264</f>
        <v>5.0499999999999989</v>
      </c>
      <c r="B264" s="833" t="str">
        <f>Orçamento_Não_Deson!B264</f>
        <v>DR/0235</v>
      </c>
      <c r="C264" s="2" t="str">
        <f>VLOOKUP($B264,[2]BOLETIM_SEL!$A:$H,2,0)</f>
        <v>COMPOSIÇÃO</v>
      </c>
      <c r="D264" s="315" t="str">
        <f>VLOOKUP($B264,[2]BOLETIM_SEL!$A:$H,4,0)</f>
        <v>CC 1 - Caixa Coletora  2,32x2,32m, com dimensões internas de 2,32m x 2,32m x 1,50m (bxbxh), em alvenaria de bloco de concreto estrutural FBK 14mpa, inclusive grelha (0,60X0,6)m no centro, conforme projeto tipo. Exclusive pescoço.</v>
      </c>
      <c r="E264" s="2">
        <f>Orçamento_Não_Deson!E264</f>
        <v>0</v>
      </c>
      <c r="F264" s="2" t="str">
        <f>VLOOKUP($B264,[2]BOLETIM_SEL!$A:$H,6,0)</f>
        <v>UN</v>
      </c>
      <c r="G264" s="1407">
        <f>VLOOKUP($B264,[2]BOLETIM_SEL!$A:$H,7,0)</f>
        <v>4663.18</v>
      </c>
      <c r="H264" s="1608">
        <f>Orçamento_Não_Deson!H264</f>
        <v>0</v>
      </c>
      <c r="I264" s="876">
        <f t="shared" si="38"/>
        <v>5976.79</v>
      </c>
      <c r="J264" s="1607">
        <f t="shared" si="60"/>
        <v>0</v>
      </c>
      <c r="K264" s="2069">
        <f t="shared" ca="1" si="56"/>
        <v>0</v>
      </c>
      <c r="L264" s="1570">
        <f t="shared" ca="1" si="59"/>
        <v>0</v>
      </c>
      <c r="M264" s="1967"/>
      <c r="N264" s="1962">
        <f>VLOOKUP($B264,[2]BOLETIM_SEL!$A:$H,3,0)</f>
        <v>0</v>
      </c>
      <c r="O264" s="1649">
        <f>N264*H264</f>
        <v>0</v>
      </c>
      <c r="Q264" s="832"/>
      <c r="R264" s="832"/>
      <c r="S264" s="832"/>
      <c r="T264" s="832"/>
      <c r="U264" s="832"/>
      <c r="V264" s="832"/>
      <c r="W264" s="832"/>
      <c r="X264" s="832"/>
    </row>
    <row r="265" spans="1:24" s="812" customFormat="1" ht="39.950000000000003" hidden="1" customHeight="1" x14ac:dyDescent="0.15">
      <c r="A265" s="2072">
        <f ca="1">+Orçamento_Não_Deson!A265</f>
        <v>5.0499999999999989</v>
      </c>
      <c r="B265" s="833" t="str">
        <f>+Orçamento_Não_Deson!B265</f>
        <v>DR/0240</v>
      </c>
      <c r="C265" s="2" t="str">
        <f>VLOOKUP($B265,[2]BOLETIM_SEL!$A:$H,2,0)</f>
        <v>CRIAR COMPOSIÇÃO</v>
      </c>
      <c r="D265" s="315" t="str">
        <f>VLOOKUP($B265,[2]BOLETIM_SEL!$A:$H,4,0)</f>
        <v>CC 2 - Caixa Coletora  1,70 x 1,70m, inclusive grelha, conforme projeto tipo</v>
      </c>
      <c r="E265" s="2">
        <f>+Orçamento_Não_Deson!E265</f>
        <v>0</v>
      </c>
      <c r="F265" s="2" t="str">
        <f>VLOOKUP($B265,[2]BOLETIM_SEL!$A:$H,6,0)</f>
        <v>-</v>
      </c>
      <c r="G265" s="1407"/>
      <c r="H265" s="1608">
        <f>+Orçamento_Não_Deson!H265</f>
        <v>0</v>
      </c>
      <c r="I265" s="876">
        <f t="shared" si="38"/>
        <v>0</v>
      </c>
      <c r="J265" s="1607">
        <f t="shared" si="60"/>
        <v>0</v>
      </c>
      <c r="K265" s="2069">
        <f t="shared" ca="1" si="56"/>
        <v>0</v>
      </c>
      <c r="L265" s="1570">
        <f t="shared" ca="1" si="59"/>
        <v>0</v>
      </c>
      <c r="M265" s="1967"/>
      <c r="N265" s="1962">
        <f>VLOOKUP($B265,[2]BOLETIM_SEL!$A:$H,3,0)</f>
        <v>0</v>
      </c>
      <c r="O265" s="1649">
        <f t="shared" si="58"/>
        <v>0</v>
      </c>
      <c r="Q265" s="832"/>
      <c r="R265" s="832"/>
      <c r="S265" s="832"/>
      <c r="T265" s="832"/>
      <c r="U265" s="832"/>
      <c r="V265" s="832"/>
      <c r="W265" s="832"/>
      <c r="X265" s="832"/>
    </row>
    <row r="266" spans="1:24" s="812" customFormat="1" ht="39.950000000000003" hidden="1" customHeight="1" x14ac:dyDescent="0.15">
      <c r="A266" s="2072">
        <f ca="1">+Orçamento_Não_Deson!A266</f>
        <v>5.0499999999999989</v>
      </c>
      <c r="B266" s="833" t="str">
        <f>+Orçamento_Não_Deson!B266</f>
        <v>DR/0250</v>
      </c>
      <c r="C266" s="2" t="str">
        <f>VLOOKUP($B266,[2]BOLETIM_SEL!$A:$H,2,0)</f>
        <v>COMPOSIÇÃO</v>
      </c>
      <c r="D266" s="315" t="str">
        <f>VLOOKUP($B266,[2]BOLETIM_SEL!$A:$H,4,0)</f>
        <v xml:space="preserve">BLSP - Boca-de-lobo simples com caixa no passeio, em concreto simples FCK 20 mpa, incluindo forma, escavação, laje e tampão em F°F° para passeio 47 x 70cm, conforme projeto </v>
      </c>
      <c r="E266" s="2">
        <f>+Orçamento_Não_Deson!E266</f>
        <v>0</v>
      </c>
      <c r="F266" s="2" t="str">
        <f>VLOOKUP($B266,[2]BOLETIM_SEL!$A:$H,6,0)</f>
        <v>UN</v>
      </c>
      <c r="G266" s="1407">
        <f>VLOOKUP($B266,[2]BOLETIM_SEL!$A:$H,7,0)</f>
        <v>1428.37</v>
      </c>
      <c r="H266" s="1608">
        <f>+Orçamento_Não_Deson!H266</f>
        <v>0</v>
      </c>
      <c r="I266" s="876">
        <f t="shared" si="38"/>
        <v>1830.74</v>
      </c>
      <c r="J266" s="1607">
        <f t="shared" si="60"/>
        <v>0</v>
      </c>
      <c r="K266" s="2069">
        <f t="shared" ca="1" si="56"/>
        <v>0</v>
      </c>
      <c r="L266" s="1570">
        <f t="shared" ca="1" si="59"/>
        <v>0</v>
      </c>
      <c r="M266" s="2495" t="str">
        <f>VLOOKUP($B266,[2]BOLETIM_SEL!$A:$H,5,0)</f>
        <v>BOCA DE LOBO
no passeio</v>
      </c>
      <c r="N266" s="1962">
        <f>VLOOKUP($B266,[2]BOLETIM_SEL!$A:$H,3,0)</f>
        <v>0</v>
      </c>
      <c r="O266" s="1649">
        <f t="shared" si="58"/>
        <v>0</v>
      </c>
      <c r="Q266" s="832"/>
      <c r="R266" s="832"/>
      <c r="S266" s="832"/>
      <c r="T266" s="832"/>
      <c r="U266" s="832"/>
      <c r="V266" s="832"/>
      <c r="W266" s="832"/>
      <c r="X266" s="832"/>
    </row>
    <row r="267" spans="1:24" s="812" customFormat="1" ht="39.950000000000003" hidden="1" customHeight="1" x14ac:dyDescent="0.15">
      <c r="A267" s="2072">
        <f ca="1">+Orçamento_Não_Deson!A267</f>
        <v>5.0499999999999989</v>
      </c>
      <c r="B267" s="833" t="str">
        <f>+Orçamento_Não_Deson!B267</f>
        <v>DR/0255</v>
      </c>
      <c r="C267" s="2" t="str">
        <f>VLOOKUP($B267,[2]BOLETIM_SEL!$A:$H,2,0)</f>
        <v>COMPOSIÇÃO</v>
      </c>
      <c r="D267" s="315" t="str">
        <f>VLOOKUP($B267,[2]BOLETIM_SEL!$A:$H,4,0)</f>
        <v xml:space="preserve">BLDP - Boca-de-lobo dupla com caixa no passeio, em concreto simples FCK 20 mpa, incluindo forma, escavação, laje e tampão em F°F° para passeio 47 x 70cm, conforme projeto </v>
      </c>
      <c r="E267" s="2">
        <f>+Orçamento_Não_Deson!E267</f>
        <v>0</v>
      </c>
      <c r="F267" s="2" t="str">
        <f>VLOOKUP($B267,[2]BOLETIM_SEL!$A:$H,6,0)</f>
        <v>UN</v>
      </c>
      <c r="G267" s="1407">
        <f>VLOOKUP($B267,[2]BOLETIM_SEL!$A:$H,7,0)</f>
        <v>2385.19</v>
      </c>
      <c r="H267" s="1608">
        <f>+Orçamento_Não_Deson!H267</f>
        <v>0</v>
      </c>
      <c r="I267" s="876">
        <f t="shared" si="38"/>
        <v>3057.09</v>
      </c>
      <c r="J267" s="1607">
        <f t="shared" si="60"/>
        <v>0</v>
      </c>
      <c r="K267" s="2069">
        <f t="shared" ca="1" si="56"/>
        <v>0</v>
      </c>
      <c r="L267" s="1570">
        <f t="shared" ca="1" si="59"/>
        <v>0</v>
      </c>
      <c r="M267" s="2495"/>
      <c r="N267" s="1962">
        <f>VLOOKUP($B267,[2]BOLETIM_SEL!$A:$H,3,0)</f>
        <v>0</v>
      </c>
      <c r="O267" s="1649">
        <f t="shared" si="58"/>
        <v>0</v>
      </c>
      <c r="Q267" s="832"/>
      <c r="R267" s="832"/>
      <c r="S267" s="832"/>
      <c r="T267" s="832"/>
      <c r="U267" s="832"/>
      <c r="V267" s="832"/>
      <c r="W267" s="832"/>
      <c r="X267" s="832"/>
    </row>
    <row r="268" spans="1:24" s="812" customFormat="1" ht="39.950000000000003" hidden="1" customHeight="1" x14ac:dyDescent="0.15">
      <c r="A268" s="2072">
        <f ca="1">+Orçamento_Não_Deson!A268</f>
        <v>5.0499999999999989</v>
      </c>
      <c r="B268" s="833" t="str">
        <f>+Orçamento_Não_Deson!B268</f>
        <v>DR/0260</v>
      </c>
      <c r="C268" s="2" t="str">
        <f>VLOOKUP($B268,[2]BOLETIM_SEL!$A:$H,2,0)</f>
        <v>COMPOSIÇÃO</v>
      </c>
      <c r="D268" s="315" t="str">
        <f>VLOOKUP($B268,[2]BOLETIM_SEL!$A:$H,4,0)</f>
        <v xml:space="preserve">BLTP - Boca-de-lobo tripla com caixa no passeio, em concreto simples FCK 20 mpa, incluindo forma, escavação, laje e tampão em F°F° para passeio 47 x 70cm, conforme projeto </v>
      </c>
      <c r="E268" s="2">
        <f>+Orçamento_Não_Deson!E268</f>
        <v>0</v>
      </c>
      <c r="F268" s="2" t="str">
        <f>VLOOKUP($B268,[2]BOLETIM_SEL!$A:$H,6,0)</f>
        <v>UN</v>
      </c>
      <c r="G268" s="1407">
        <f>VLOOKUP($B268,[2]BOLETIM_SEL!$A:$H,7,0)</f>
        <v>3341.39</v>
      </c>
      <c r="H268" s="1608">
        <f>+Orçamento_Não_Deson!H268</f>
        <v>0</v>
      </c>
      <c r="I268" s="876">
        <f t="shared" si="38"/>
        <v>4282.6499999999996</v>
      </c>
      <c r="J268" s="1607">
        <f t="shared" si="60"/>
        <v>0</v>
      </c>
      <c r="K268" s="2069">
        <f t="shared" ca="1" si="56"/>
        <v>0</v>
      </c>
      <c r="L268" s="1570">
        <f t="shared" ca="1" si="59"/>
        <v>0</v>
      </c>
      <c r="M268" s="2495"/>
      <c r="N268" s="1962">
        <f>VLOOKUP($B268,[2]BOLETIM_SEL!$A:$H,3,0)</f>
        <v>0</v>
      </c>
      <c r="O268" s="1649">
        <f t="shared" si="58"/>
        <v>0</v>
      </c>
      <c r="Q268" s="832"/>
      <c r="R268" s="832"/>
      <c r="S268" s="832"/>
      <c r="T268" s="832"/>
      <c r="U268" s="832"/>
      <c r="V268" s="832"/>
      <c r="W268" s="832"/>
      <c r="X268" s="832"/>
    </row>
    <row r="269" spans="1:24" s="812" customFormat="1" ht="39.950000000000003" customHeight="1" x14ac:dyDescent="0.15">
      <c r="A269" s="2072">
        <f ca="1">Orçamento_Não_Deson!A269</f>
        <v>5.0599999999999987</v>
      </c>
      <c r="B269" s="833" t="str">
        <f>Orçamento_Não_Deson!B269</f>
        <v>DR/0265</v>
      </c>
      <c r="C269" s="2" t="str">
        <f>VLOOKUP($B269,[2]BOLETIM_SEL!$A:$H,2,0)</f>
        <v>COMPOSIÇÃO</v>
      </c>
      <c r="D269" s="315" t="str">
        <f>VLOOKUP($B269,[2]BOLETIM_SEL!$A:$H,4,0)</f>
        <v xml:space="preserve">BLSC - Boca-de-lobo simples em concreto simples FCK 20 mpa, incluindo forma, escavação, sarjeta de contorno (chama) em concreto e grelha em F°F° tipo pesada, conforme projeto </v>
      </c>
      <c r="E269" s="2">
        <f>Orçamento_Não_Deson!E269</f>
        <v>0</v>
      </c>
      <c r="F269" s="2" t="str">
        <f>VLOOKUP($B269,[2]BOLETIM_SEL!$A:$H,6,0)</f>
        <v>UN</v>
      </c>
      <c r="G269" s="1407">
        <f>VLOOKUP($B269,[2]BOLETIM_SEL!$A:$H,7,0)</f>
        <v>1696.3</v>
      </c>
      <c r="H269" s="1608">
        <f>Orçamento_Não_Deson!H269</f>
        <v>15</v>
      </c>
      <c r="I269" s="876">
        <f t="shared" si="38"/>
        <v>2174.14</v>
      </c>
      <c r="J269" s="1607">
        <f t="shared" si="60"/>
        <v>32612.1</v>
      </c>
      <c r="K269" s="2069">
        <f t="shared" ca="1" si="56"/>
        <v>8.6315736873217013E-3</v>
      </c>
      <c r="L269" s="1570">
        <f t="shared" ca="1" si="59"/>
        <v>0.15336456232309073</v>
      </c>
      <c r="M269" s="2493" t="str">
        <f>VLOOKUP($B269,[2]BOLETIM_SEL!$A:$H,5,0)</f>
        <v>BOCA DE LOBO
em concreto</v>
      </c>
      <c r="N269" s="1962">
        <f>VLOOKUP($B269,[2]BOLETIM_SEL!$A:$H,3,0)</f>
        <v>0</v>
      </c>
      <c r="O269" s="1649">
        <f>N269*H269</f>
        <v>0</v>
      </c>
      <c r="Q269" s="832"/>
      <c r="R269" s="832"/>
      <c r="S269" s="832"/>
      <c r="T269" s="832"/>
      <c r="U269" s="832"/>
      <c r="V269" s="832"/>
      <c r="W269" s="832"/>
      <c r="X269" s="832"/>
    </row>
    <row r="270" spans="1:24" s="812" customFormat="1" ht="39.950000000000003" hidden="1" customHeight="1" x14ac:dyDescent="0.15">
      <c r="A270" s="2072">
        <f ca="1">Orçamento_Não_Deson!A270</f>
        <v>5.0599999999999987</v>
      </c>
      <c r="B270" s="833" t="str">
        <f>Orçamento_Não_Deson!B270</f>
        <v>DR/0270</v>
      </c>
      <c r="C270" s="2" t="str">
        <f>VLOOKUP($B270,[2]BOLETIM_SEL!$A:$H,2,0)</f>
        <v>COMPOSIÇÃO</v>
      </c>
      <c r="D270" s="315" t="str">
        <f>VLOOKUP($B270,[2]BOLETIM_SEL!$A:$H,4,0)</f>
        <v xml:space="preserve">BLDC - Boca-de-lobo dupla em concreto simples FCK 20 mpa, incluindo forma, escavação, sarjeta de contorno (chama) em concreto e grelhas em F°F° tipo pesada, conforme projeto </v>
      </c>
      <c r="E270" s="2">
        <f>Orçamento_Não_Deson!E270</f>
        <v>0</v>
      </c>
      <c r="F270" s="2" t="str">
        <f>VLOOKUP($B270,[2]BOLETIM_SEL!$A:$H,6,0)</f>
        <v>UN</v>
      </c>
      <c r="G270" s="1407">
        <f>VLOOKUP($B270,[2]BOLETIM_SEL!$A:$H,7,0)</f>
        <v>3181.83</v>
      </c>
      <c r="H270" s="1608">
        <f>Orçamento_Não_Deson!H270</f>
        <v>0</v>
      </c>
      <c r="I270" s="876">
        <f t="shared" si="38"/>
        <v>4078.15</v>
      </c>
      <c r="J270" s="1607">
        <f t="shared" si="60"/>
        <v>0</v>
      </c>
      <c r="K270" s="2069">
        <f t="shared" ca="1" si="56"/>
        <v>0</v>
      </c>
      <c r="L270" s="1570">
        <f t="shared" ca="1" si="59"/>
        <v>0</v>
      </c>
      <c r="M270" s="2493"/>
      <c r="N270" s="1962">
        <f>VLOOKUP($B270,[2]BOLETIM_SEL!$A:$H,3,0)</f>
        <v>0</v>
      </c>
      <c r="O270" s="1649">
        <f>N270*H270</f>
        <v>0</v>
      </c>
      <c r="Q270" s="832"/>
      <c r="R270" s="832"/>
      <c r="S270" s="832"/>
      <c r="T270" s="832"/>
      <c r="U270" s="832"/>
      <c r="V270" s="832"/>
      <c r="W270" s="832"/>
      <c r="X270" s="832"/>
    </row>
    <row r="271" spans="1:24" s="812" customFormat="1" ht="39.950000000000003" customHeight="1" x14ac:dyDescent="0.15">
      <c r="A271" s="2072">
        <f ca="1">Orçamento_Não_Deson!A271</f>
        <v>5.0699999999999985</v>
      </c>
      <c r="B271" s="833" t="str">
        <f>Orçamento_Não_Deson!B271</f>
        <v>DR/0275</v>
      </c>
      <c r="C271" s="2" t="str">
        <f>VLOOKUP($B271,[2]BOLETIM_SEL!$A:$H,2,0)</f>
        <v>COMPOSIÇÃO</v>
      </c>
      <c r="D271" s="315" t="str">
        <f>VLOOKUP($B271,[2]BOLETIM_SEL!$A:$H,4,0)</f>
        <v xml:space="preserve">BLTC - Boca-de-lobo tripla em concreto simples FCK 20 mpa, incluindo forma, escavação, sarjeta de contorno (chama) em concreto e grelhas em F°F° tipo pesada, conforme projeto </v>
      </c>
      <c r="E271" s="2">
        <f>Orçamento_Não_Deson!E271</f>
        <v>0</v>
      </c>
      <c r="F271" s="2" t="str">
        <f>VLOOKUP($B271,[2]BOLETIM_SEL!$A:$H,6,0)</f>
        <v>UN</v>
      </c>
      <c r="G271" s="1407">
        <f>VLOOKUP($B271,[2]BOLETIM_SEL!$A:$H,7,0)</f>
        <v>4667.38</v>
      </c>
      <c r="H271" s="1608">
        <f>Orçamento_Não_Deson!H271</f>
        <v>15</v>
      </c>
      <c r="I271" s="876">
        <f t="shared" si="38"/>
        <v>5982.18</v>
      </c>
      <c r="J271" s="1607">
        <f t="shared" si="60"/>
        <v>89732.7</v>
      </c>
      <c r="K271" s="2069">
        <f t="shared" ca="1" si="56"/>
        <v>2.3749909150662853E-2</v>
      </c>
      <c r="L271" s="1570">
        <f t="shared" ca="1" si="59"/>
        <v>0.42198497678987867</v>
      </c>
      <c r="M271" s="2493"/>
      <c r="N271" s="1962">
        <f>VLOOKUP($B271,[2]BOLETIM_SEL!$A:$H,3,0)</f>
        <v>0</v>
      </c>
      <c r="O271" s="1649">
        <f>N271*H271</f>
        <v>0</v>
      </c>
      <c r="Q271" s="832"/>
      <c r="R271" s="832"/>
      <c r="S271" s="832"/>
      <c r="T271" s="832"/>
      <c r="U271" s="832"/>
      <c r="V271" s="832"/>
      <c r="W271" s="832"/>
      <c r="X271" s="832"/>
    </row>
    <row r="272" spans="1:24" s="812" customFormat="1" ht="39.950000000000003" hidden="1" customHeight="1" x14ac:dyDescent="0.15">
      <c r="A272" s="2072">
        <f ca="1">Orçamento_Não_Deson!A272</f>
        <v>5.0699999999999985</v>
      </c>
      <c r="B272" s="833" t="str">
        <f>Orçamento_Não_Deson!B272</f>
        <v>DR/0305</v>
      </c>
      <c r="C272" s="2" t="str">
        <f>VLOOKUP($B272,[2]BOLETIM_SEL!$A:$H,2,0)</f>
        <v>COMPOSIÇÃO</v>
      </c>
      <c r="D272" s="315" t="str">
        <f>VLOOKUP($B272,[2]BOLETIM_SEL!$A:$H,4,0)</f>
        <v>Boca-de-bueiro simples tubular - BBST  D = 0,40m, em concreto ciclópico com 30% de pedra-de-mão, conforme projeto tipo (0,66m³/un)</v>
      </c>
      <c r="E272" s="2">
        <f>Orçamento_Não_Deson!E272</f>
        <v>0</v>
      </c>
      <c r="F272" s="2" t="str">
        <f>VLOOKUP($B272,[2]BOLETIM_SEL!$A:$H,6,0)</f>
        <v xml:space="preserve">UN </v>
      </c>
      <c r="G272" s="1407">
        <f>VLOOKUP($B272,[2]BOLETIM_SEL!$A:$H,7,0)</f>
        <v>934.06</v>
      </c>
      <c r="H272" s="1608">
        <f>Orçamento_Não_Deson!H272</f>
        <v>0</v>
      </c>
      <c r="I272" s="876">
        <f t="shared" si="38"/>
        <v>1197.18</v>
      </c>
      <c r="J272" s="1607">
        <f t="shared" si="60"/>
        <v>0</v>
      </c>
      <c r="K272" s="2069">
        <f t="shared" ca="1" si="56"/>
        <v>0</v>
      </c>
      <c r="L272" s="1570">
        <f t="shared" ca="1" si="59"/>
        <v>0</v>
      </c>
      <c r="M272" s="1967"/>
      <c r="N272" s="832"/>
      <c r="O272" s="832"/>
      <c r="Q272" s="832"/>
      <c r="R272" s="832"/>
      <c r="S272" s="832"/>
      <c r="T272" s="832"/>
      <c r="U272" s="832"/>
      <c r="V272" s="832"/>
      <c r="W272" s="832"/>
      <c r="X272" s="832"/>
    </row>
    <row r="273" spans="1:24" s="812" customFormat="1" ht="39.950000000000003" hidden="1" customHeight="1" x14ac:dyDescent="0.15">
      <c r="A273" s="2072">
        <f ca="1">Orçamento_Não_Deson!A273</f>
        <v>5.0699999999999985</v>
      </c>
      <c r="B273" s="833" t="str">
        <f>Orçamento_Não_Deson!B273</f>
        <v>DR/0310</v>
      </c>
      <c r="C273" s="2" t="str">
        <f>VLOOKUP($B273,[2]BOLETIM_SEL!$A:$H,2,0)</f>
        <v>COMPOSIÇÃO</v>
      </c>
      <c r="D273" s="315" t="str">
        <f>VLOOKUP($B273,[2]BOLETIM_SEL!$A:$H,4,0)</f>
        <v>Boca-de-bueiro simples tubular - BBST  D = 0,60m, em concreto ciclópico com 30% de pedra-de-mão, conforme projeto tipo (1,24m³/un)</v>
      </c>
      <c r="E273" s="2">
        <f>Orçamento_Não_Deson!E273</f>
        <v>0</v>
      </c>
      <c r="F273" s="2" t="str">
        <f>VLOOKUP($B273,[2]BOLETIM_SEL!$A:$H,6,0)</f>
        <v xml:space="preserve">UN </v>
      </c>
      <c r="G273" s="1407">
        <f>VLOOKUP($B273,[2]BOLETIM_SEL!$A:$H,7,0)</f>
        <v>1538.97</v>
      </c>
      <c r="H273" s="1608">
        <f>Orçamento_Não_Deson!H273</f>
        <v>0</v>
      </c>
      <c r="I273" s="876">
        <f t="shared" si="38"/>
        <v>1972.49</v>
      </c>
      <c r="J273" s="1607">
        <f t="shared" si="60"/>
        <v>0</v>
      </c>
      <c r="K273" s="2069">
        <f t="shared" ca="1" si="56"/>
        <v>0</v>
      </c>
      <c r="L273" s="1570">
        <f t="shared" ca="1" si="59"/>
        <v>0</v>
      </c>
      <c r="M273" s="1967"/>
      <c r="N273" s="832"/>
      <c r="O273" s="832"/>
      <c r="Q273" s="832"/>
      <c r="R273" s="832"/>
      <c r="S273" s="832"/>
      <c r="T273" s="832"/>
      <c r="U273" s="832"/>
      <c r="V273" s="832"/>
      <c r="W273" s="832"/>
      <c r="X273" s="832"/>
    </row>
    <row r="274" spans="1:24" s="812" customFormat="1" ht="39.950000000000003" hidden="1" customHeight="1" x14ac:dyDescent="0.15">
      <c r="A274" s="2072">
        <f ca="1">+Orçamento_Não_Deson!A274</f>
        <v>5.0699999999999985</v>
      </c>
      <c r="B274" s="833" t="str">
        <f>+Orçamento_Não_Deson!B274</f>
        <v>DR/0315</v>
      </c>
      <c r="C274" s="2" t="str">
        <f>VLOOKUP($B274,[2]BOLETIM_SEL!$A:$H,2,0)</f>
        <v>COMPOSIÇÃO</v>
      </c>
      <c r="D274" s="315" t="str">
        <f>VLOOKUP($B274,[2]BOLETIM_SEL!$A:$H,4,0)</f>
        <v>Boca-de-bueiro simples tubular - BBST  D = 0,80m, em concreto ciclópico com 30% de pedra-de-mão, conforme projeto tipo (2,23m³/un)</v>
      </c>
      <c r="E274" s="2">
        <f>+Orçamento_Não_Deson!E274</f>
        <v>0</v>
      </c>
      <c r="F274" s="2" t="str">
        <f>VLOOKUP($B274,[2]BOLETIM_SEL!$A:$H,6,0)</f>
        <v xml:space="preserve">UN </v>
      </c>
      <c r="G274" s="1407">
        <f>VLOOKUP($B274,[2]BOLETIM_SEL!$A:$H,7,0)</f>
        <v>2483.4</v>
      </c>
      <c r="H274" s="1608">
        <f>+Orçamento_Não_Deson!H274</f>
        <v>0</v>
      </c>
      <c r="I274" s="876">
        <f t="shared" si="38"/>
        <v>3182.97</v>
      </c>
      <c r="J274" s="1607">
        <f t="shared" si="60"/>
        <v>0</v>
      </c>
      <c r="K274" s="2069">
        <f t="shared" ca="1" si="56"/>
        <v>0</v>
      </c>
      <c r="L274" s="1570">
        <f t="shared" ca="1" si="59"/>
        <v>0</v>
      </c>
      <c r="M274" s="1967"/>
      <c r="N274" s="832"/>
      <c r="O274" s="832"/>
      <c r="Q274" s="832"/>
      <c r="R274" s="832"/>
      <c r="S274" s="832"/>
      <c r="T274" s="832"/>
      <c r="U274" s="832"/>
      <c r="V274" s="832"/>
      <c r="W274" s="832"/>
      <c r="X274" s="832"/>
    </row>
    <row r="275" spans="1:24" s="812" customFormat="1" ht="39.950000000000003" hidden="1" customHeight="1" x14ac:dyDescent="0.15">
      <c r="A275" s="2072">
        <f ca="1">+Orçamento_Não_Deson!A275</f>
        <v>5.0699999999999985</v>
      </c>
      <c r="B275" s="833" t="str">
        <f>+Orçamento_Não_Deson!B275</f>
        <v>DR/0320</v>
      </c>
      <c r="C275" s="2" t="str">
        <f>VLOOKUP($B275,[2]BOLETIM_SEL!$A:$H,2,0)</f>
        <v>COMPOSIÇÃO</v>
      </c>
      <c r="D275" s="315" t="str">
        <f>VLOOKUP($B275,[2]BOLETIM_SEL!$A:$H,4,0)</f>
        <v>Boca-de-bueiro simples tubular - BBST  D = 1,00m, em concreto ciclópico com 30% de pedra-de-mão, conforme projeto tipo (3,63m³/un)</v>
      </c>
      <c r="E275" s="2">
        <f>+Orçamento_Não_Deson!E275</f>
        <v>0</v>
      </c>
      <c r="F275" s="2" t="str">
        <f>VLOOKUP($B275,[2]BOLETIM_SEL!$A:$H,6,0)</f>
        <v xml:space="preserve">UN </v>
      </c>
      <c r="G275" s="1407">
        <f>VLOOKUP($B275,[2]BOLETIM_SEL!$A:$H,7,0)</f>
        <v>3720.42</v>
      </c>
      <c r="H275" s="1608">
        <f>+Orçamento_Não_Deson!H275</f>
        <v>0</v>
      </c>
      <c r="I275" s="876">
        <f t="shared" si="38"/>
        <v>4768.46</v>
      </c>
      <c r="J275" s="1607">
        <f t="shared" si="60"/>
        <v>0</v>
      </c>
      <c r="K275" s="2069">
        <f t="shared" ca="1" si="56"/>
        <v>0</v>
      </c>
      <c r="L275" s="1570">
        <f t="shared" ca="1" si="59"/>
        <v>0</v>
      </c>
      <c r="M275" s="1967"/>
      <c r="N275" s="832"/>
      <c r="O275" s="832"/>
      <c r="Q275" s="832"/>
      <c r="R275" s="832"/>
      <c r="S275" s="832"/>
      <c r="T275" s="832"/>
      <c r="U275" s="832"/>
      <c r="V275" s="832"/>
      <c r="W275" s="832"/>
      <c r="X275" s="832"/>
    </row>
    <row r="276" spans="1:24" s="812" customFormat="1" ht="39.950000000000003" hidden="1" customHeight="1" x14ac:dyDescent="0.15">
      <c r="A276" s="2072">
        <f ca="1">+Orçamento_Não_Deson!A276</f>
        <v>5.0699999999999985</v>
      </c>
      <c r="B276" s="833" t="str">
        <f>+Orçamento_Não_Deson!B276</f>
        <v>DR/0325</v>
      </c>
      <c r="C276" s="2" t="str">
        <f>VLOOKUP($B276,[2]BOLETIM_SEL!$A:$H,2,0)</f>
        <v>COMPOSIÇÃO</v>
      </c>
      <c r="D276" s="315" t="str">
        <f>VLOOKUP($B276,[2]BOLETIM_SEL!$A:$H,4,0)</f>
        <v>Boca-de-bueiro simples tubular - BBST  D = 1,20m, em concreto ciclópico com 30% de pedra-de-mão, conforme projeto tipo (5,40m³/un)</v>
      </c>
      <c r="E276" s="2">
        <f>+Orçamento_Não_Deson!E276</f>
        <v>0</v>
      </c>
      <c r="F276" s="2" t="str">
        <f>VLOOKUP($B276,[2]BOLETIM_SEL!$A:$H,6,0)</f>
        <v xml:space="preserve">UN </v>
      </c>
      <c r="G276" s="1407">
        <f>VLOOKUP($B276,[2]BOLETIM_SEL!$A:$H,7,0)</f>
        <v>5198.8999999999996</v>
      </c>
      <c r="H276" s="1608">
        <f>+Orçamento_Não_Deson!H276</f>
        <v>0</v>
      </c>
      <c r="I276" s="876">
        <f t="shared" si="38"/>
        <v>6663.43</v>
      </c>
      <c r="J276" s="1607">
        <f t="shared" si="60"/>
        <v>0</v>
      </c>
      <c r="K276" s="2069">
        <f t="shared" ca="1" si="56"/>
        <v>0</v>
      </c>
      <c r="L276" s="1570">
        <f t="shared" ca="1" si="59"/>
        <v>0</v>
      </c>
      <c r="M276" s="1967"/>
      <c r="N276" s="832"/>
      <c r="O276" s="832"/>
      <c r="Q276" s="832"/>
      <c r="R276" s="832"/>
      <c r="S276" s="832"/>
      <c r="T276" s="832"/>
      <c r="U276" s="832"/>
      <c r="V276" s="832"/>
      <c r="W276" s="832"/>
      <c r="X276" s="832"/>
    </row>
    <row r="277" spans="1:24" s="812" customFormat="1" ht="39.950000000000003" hidden="1" customHeight="1" x14ac:dyDescent="0.15">
      <c r="A277" s="2072">
        <f ca="1">Orçamento_Não_Deson!A277</f>
        <v>5.0699999999999985</v>
      </c>
      <c r="B277" s="833" t="str">
        <f>Orçamento_Não_Deson!B277</f>
        <v>DR/0330</v>
      </c>
      <c r="C277" s="2" t="str">
        <f>VLOOKUP($B277,[2]BOLETIM_SEL!$A:$H,2,0)</f>
        <v>COMPOSIÇÃO</v>
      </c>
      <c r="D277" s="315" t="str">
        <f>VLOOKUP($B277,[2]BOLETIM_SEL!$A:$H,4,0)</f>
        <v>Boca-de-bueiro simples tubular - BBST  D = 1,50m, em concreto ciclópico com 30% de pedra-de-mão, conforme projeto tipo (8,95m³/un)</v>
      </c>
      <c r="E277" s="2">
        <f>Orçamento_Não_Deson!E277</f>
        <v>0</v>
      </c>
      <c r="F277" s="2" t="str">
        <f>VLOOKUP($B277,[2]BOLETIM_SEL!$A:$H,6,0)</f>
        <v xml:space="preserve">UN </v>
      </c>
      <c r="G277" s="1407">
        <f>VLOOKUP($B277,[2]BOLETIM_SEL!$A:$H,7,0)</f>
        <v>8010.25</v>
      </c>
      <c r="H277" s="1608">
        <f>Orçamento_Não_Deson!H277</f>
        <v>0</v>
      </c>
      <c r="I277" s="876">
        <f t="shared" si="38"/>
        <v>10266.73</v>
      </c>
      <c r="J277" s="1607">
        <f t="shared" si="60"/>
        <v>0</v>
      </c>
      <c r="K277" s="2069">
        <f t="shared" ca="1" si="56"/>
        <v>0</v>
      </c>
      <c r="L277" s="1570">
        <f t="shared" ca="1" si="59"/>
        <v>0</v>
      </c>
      <c r="M277" s="1967"/>
      <c r="N277" s="832"/>
      <c r="O277" s="832"/>
      <c r="Q277" s="832"/>
      <c r="R277" s="832"/>
      <c r="S277" s="832"/>
      <c r="T277" s="832"/>
      <c r="U277" s="832"/>
      <c r="V277" s="832"/>
      <c r="W277" s="832"/>
      <c r="X277" s="832"/>
    </row>
    <row r="278" spans="1:24" s="812" customFormat="1" ht="39.950000000000003" hidden="1" customHeight="1" x14ac:dyDescent="0.15">
      <c r="A278" s="2072">
        <f ca="1">+Orçamento_Não_Deson!A278</f>
        <v>5.0699999999999985</v>
      </c>
      <c r="B278" s="833" t="str">
        <f>+Orçamento_Não_Deson!B278</f>
        <v>DR/0335</v>
      </c>
      <c r="C278" s="2" t="str">
        <f>VLOOKUP($B278,[2]BOLETIM_SEL!$A:$H,2,0)</f>
        <v>COMPOSIÇÃO</v>
      </c>
      <c r="D278" s="315" t="str">
        <f>VLOOKUP($B278,[2]BOLETIM_SEL!$A:$H,4,0)</f>
        <v>Boca-de-bueiro simples celular - 1,50m x 1,50m, em concreto armado FCK 20 mpa, conforme projeto tipo (REF. SICRO COD. 0705225)</v>
      </c>
      <c r="E278" s="2">
        <f>+Orçamento_Não_Deson!E278</f>
        <v>0</v>
      </c>
      <c r="F278" s="2" t="str">
        <f>VLOOKUP($B278,[2]BOLETIM_SEL!$A:$H,6,0)</f>
        <v xml:space="preserve">UN </v>
      </c>
      <c r="G278" s="1407">
        <f>VLOOKUP($B278,[2]BOLETIM_SEL!$A:$H,7,0)</f>
        <v>16057.3</v>
      </c>
      <c r="H278" s="1608">
        <f>+Orçamento_Não_Deson!H278</f>
        <v>0</v>
      </c>
      <c r="I278" s="876">
        <f t="shared" si="38"/>
        <v>20580.64</v>
      </c>
      <c r="J278" s="1607">
        <f t="shared" si="60"/>
        <v>0</v>
      </c>
      <c r="K278" s="2069">
        <f t="shared" ca="1" si="56"/>
        <v>0</v>
      </c>
      <c r="L278" s="1570">
        <f t="shared" ca="1" si="59"/>
        <v>0</v>
      </c>
      <c r="M278" s="1967"/>
      <c r="N278" s="832"/>
      <c r="O278" s="832"/>
      <c r="Q278" s="832"/>
      <c r="R278" s="832"/>
      <c r="S278" s="832"/>
      <c r="T278" s="832"/>
      <c r="U278" s="832"/>
      <c r="V278" s="832"/>
      <c r="W278" s="832"/>
      <c r="X278" s="832"/>
    </row>
    <row r="279" spans="1:24" s="812" customFormat="1" ht="39.950000000000003" hidden="1" customHeight="1" x14ac:dyDescent="0.15">
      <c r="A279" s="2072">
        <f ca="1">+Orçamento_Não_Deson!A279</f>
        <v>5.0699999999999985</v>
      </c>
      <c r="B279" s="833" t="str">
        <f>+Orçamento_Não_Deson!B279</f>
        <v>DR/0340</v>
      </c>
      <c r="C279" s="2" t="str">
        <f>VLOOKUP($B279,[2]BOLETIM_SEL!$A:$H,2,0)</f>
        <v>COMPOSIÇÃO</v>
      </c>
      <c r="D279" s="315" t="str">
        <f>VLOOKUP($B279,[2]BOLETIM_SEL!$A:$H,4,0)</f>
        <v>Boca-de-bueiro simples celular - 2,00m x 2,00m, em concreto armado FCK 20 mpa, conforme projeto tipo (REF. SICRO COD. 0705233)</v>
      </c>
      <c r="E279" s="2">
        <f>+Orçamento_Não_Deson!E279</f>
        <v>0</v>
      </c>
      <c r="F279" s="2" t="str">
        <f>VLOOKUP($B279,[2]BOLETIM_SEL!$A:$H,6,0)</f>
        <v xml:space="preserve">UN </v>
      </c>
      <c r="G279" s="1407">
        <f>VLOOKUP($B279,[2]BOLETIM_SEL!$A:$H,7,0)</f>
        <v>24636.44</v>
      </c>
      <c r="H279" s="1608">
        <f>+Orçamento_Não_Deson!H279</f>
        <v>0</v>
      </c>
      <c r="I279" s="876">
        <f t="shared" si="38"/>
        <v>31576.52</v>
      </c>
      <c r="J279" s="1607">
        <f t="shared" si="60"/>
        <v>0</v>
      </c>
      <c r="K279" s="2069">
        <f t="shared" ca="1" si="56"/>
        <v>0</v>
      </c>
      <c r="L279" s="1570">
        <f t="shared" ca="1" si="59"/>
        <v>0</v>
      </c>
      <c r="M279" s="1967"/>
      <c r="N279" s="832"/>
      <c r="O279" s="832"/>
      <c r="Q279" s="832"/>
      <c r="R279" s="832"/>
      <c r="S279" s="832"/>
      <c r="T279" s="832"/>
      <c r="U279" s="832"/>
      <c r="V279" s="832"/>
      <c r="W279" s="832"/>
      <c r="X279" s="832"/>
    </row>
    <row r="280" spans="1:24" s="812" customFormat="1" ht="39.950000000000003" hidden="1" customHeight="1" x14ac:dyDescent="0.15">
      <c r="A280" s="2072">
        <f ca="1">+Orçamento_Não_Deson!A280</f>
        <v>5.0699999999999985</v>
      </c>
      <c r="B280" s="833" t="str">
        <f>+Orçamento_Não_Deson!B280</f>
        <v>DR/0345</v>
      </c>
      <c r="C280" s="2" t="str">
        <f>VLOOKUP($B280,[2]BOLETIM_SEL!$A:$H,2,0)</f>
        <v>COMPOSIÇÃO</v>
      </c>
      <c r="D280" s="315" t="str">
        <f>VLOOKUP($B280,[2]BOLETIM_SEL!$A:$H,4,0)</f>
        <v>Boca-de-bueiro simples celular - 2,50m x 2,50m, em concreto armado FCK 20 mpa, conforme projeto tipo (REF. SICRO COD. 0705238)</v>
      </c>
      <c r="E280" s="2">
        <f>+Orçamento_Não_Deson!E280</f>
        <v>0</v>
      </c>
      <c r="F280" s="2" t="str">
        <f>VLOOKUP($B280,[2]BOLETIM_SEL!$A:$H,6,0)</f>
        <v xml:space="preserve">UN </v>
      </c>
      <c r="G280" s="1407">
        <f>VLOOKUP($B280,[2]BOLETIM_SEL!$A:$H,7,0)</f>
        <v>32917.199999999997</v>
      </c>
      <c r="H280" s="1608">
        <f>+Orçamento_Não_Deson!H280</f>
        <v>0</v>
      </c>
      <c r="I280" s="876">
        <f t="shared" si="38"/>
        <v>42189.97</v>
      </c>
      <c r="J280" s="1607">
        <f t="shared" si="60"/>
        <v>0</v>
      </c>
      <c r="K280" s="2069">
        <f t="shared" ca="1" si="56"/>
        <v>0</v>
      </c>
      <c r="L280" s="1570">
        <f t="shared" ca="1" si="59"/>
        <v>0</v>
      </c>
      <c r="M280" s="1967"/>
      <c r="N280" s="832"/>
      <c r="O280" s="832"/>
      <c r="Q280" s="832"/>
      <c r="R280" s="832"/>
      <c r="S280" s="832"/>
      <c r="T280" s="832"/>
      <c r="U280" s="832"/>
      <c r="V280" s="832"/>
      <c r="W280" s="832"/>
      <c r="X280" s="832"/>
    </row>
    <row r="281" spans="1:24" s="812" customFormat="1" ht="39.950000000000003" hidden="1" customHeight="1" x14ac:dyDescent="0.15">
      <c r="A281" s="2072">
        <f ca="1">+Orçamento_Não_Deson!A281</f>
        <v>5.0699999999999985</v>
      </c>
      <c r="B281" s="833" t="str">
        <f>+Orçamento_Não_Deson!B281</f>
        <v>DR/0350</v>
      </c>
      <c r="C281" s="2" t="str">
        <f>VLOOKUP($B281,[2]BOLETIM_SEL!$A:$H,2,0)</f>
        <v>COMPOSIÇÃO</v>
      </c>
      <c r="D281" s="315" t="str">
        <f>VLOOKUP($B281,[2]BOLETIM_SEL!$A:$H,4,0)</f>
        <v>Boca-de-bueiro simples celular - 3,00m x 3,00m, em concreto armado FCK 20 mpa, conforme projeto tipo (REF. SICRO COD. 0705249)</v>
      </c>
      <c r="E281" s="2">
        <f>+Orçamento_Não_Deson!E281</f>
        <v>0</v>
      </c>
      <c r="F281" s="2" t="str">
        <f>VLOOKUP($B281,[2]BOLETIM_SEL!$A:$H,6,0)</f>
        <v xml:space="preserve">UN </v>
      </c>
      <c r="G281" s="1407">
        <f>VLOOKUP($B281,[2]BOLETIM_SEL!$A:$H,7,0)</f>
        <v>45999.17</v>
      </c>
      <c r="H281" s="1608">
        <f>+Orçamento_Não_Deson!H281</f>
        <v>0</v>
      </c>
      <c r="I281" s="876">
        <f t="shared" si="38"/>
        <v>58957.13</v>
      </c>
      <c r="J281" s="1607">
        <f t="shared" si="60"/>
        <v>0</v>
      </c>
      <c r="K281" s="2069">
        <f t="shared" ca="1" si="56"/>
        <v>0</v>
      </c>
      <c r="L281" s="1570">
        <f t="shared" ca="1" si="59"/>
        <v>0</v>
      </c>
      <c r="M281" s="1967"/>
      <c r="N281" s="832"/>
      <c r="O281" s="832"/>
      <c r="Q281" s="832"/>
      <c r="R281" s="832"/>
      <c r="S281" s="832"/>
      <c r="T281" s="832"/>
      <c r="U281" s="832"/>
      <c r="V281" s="832"/>
      <c r="W281" s="832"/>
      <c r="X281" s="832"/>
    </row>
    <row r="282" spans="1:24" s="812" customFormat="1" ht="39.950000000000003" hidden="1" customHeight="1" x14ac:dyDescent="0.15">
      <c r="A282" s="2072">
        <f ca="1">+Orçamento_Não_Deson!A282</f>
        <v>5.0699999999999985</v>
      </c>
      <c r="B282" s="833" t="str">
        <f>+Orçamento_Não_Deson!B282</f>
        <v>DR/0280</v>
      </c>
      <c r="C282" s="2" t="str">
        <f>VLOOKUP($B282,[2]BOLETIM_SEL!$A:$H,2,0)</f>
        <v>COMPOSIÇÃO</v>
      </c>
      <c r="D282" s="315" t="str">
        <f>VLOOKUP($B282,[2]BOLETIM_SEL!$A:$H,4,0)</f>
        <v>Reforma de boca de lobo simples, incluindo demolições, reconstrução da sarjeta de contorno (chama) em concreto simples FCK 20mpa, uma guia chapéu pré-moldada e uma grelha articulada em F°F° tipo pesada, conforme projeto tipo</v>
      </c>
      <c r="E282" s="2">
        <f>+Orçamento_Não_Deson!E282</f>
        <v>0</v>
      </c>
      <c r="F282" s="2" t="str">
        <f>VLOOKUP($B282,[2]BOLETIM_SEL!$A:$H,6,0)</f>
        <v>UN</v>
      </c>
      <c r="G282" s="1407">
        <f>VLOOKUP($B282,[2]BOLETIM_SEL!$A:$H,7,0)</f>
        <v>970.37</v>
      </c>
      <c r="H282" s="1608">
        <f>+Orçamento_Não_Deson!H282</f>
        <v>0</v>
      </c>
      <c r="I282" s="876">
        <f t="shared" si="38"/>
        <v>1243.72</v>
      </c>
      <c r="J282" s="1607">
        <f t="shared" si="60"/>
        <v>0</v>
      </c>
      <c r="K282" s="2069">
        <f t="shared" ca="1" si="56"/>
        <v>0</v>
      </c>
      <c r="L282" s="1570">
        <f t="shared" ca="1" si="59"/>
        <v>0</v>
      </c>
      <c r="M282" s="1967"/>
      <c r="N282" s="832"/>
      <c r="O282" s="832"/>
      <c r="Q282" s="832"/>
      <c r="R282" s="832"/>
      <c r="S282" s="832"/>
      <c r="T282" s="832"/>
      <c r="U282" s="832"/>
      <c r="V282" s="832"/>
      <c r="W282" s="832"/>
      <c r="X282" s="832"/>
    </row>
    <row r="283" spans="1:24" s="812" customFormat="1" ht="39.950000000000003" hidden="1" customHeight="1" x14ac:dyDescent="0.15">
      <c r="A283" s="2072">
        <f ca="1">+Orçamento_Não_Deson!A283</f>
        <v>5.0699999999999985</v>
      </c>
      <c r="B283" s="833" t="str">
        <f>+Orçamento_Não_Deson!B283</f>
        <v>DR/0285</v>
      </c>
      <c r="C283" s="2" t="str">
        <f>VLOOKUP($B283,[2]BOLETIM_SEL!$A:$H,2,0)</f>
        <v>COMPOSIÇÃO</v>
      </c>
      <c r="D283" s="315" t="str">
        <f>VLOOKUP($B283,[2]BOLETIM_SEL!$A:$H,4,0)</f>
        <v>Reforma de boca de lobo dupla, incluindo demolições, reconstrução da sarjeta de contorno (chama) em concreto simples FCK 20mpa, duas guias chapéu pré-moldadas e duas grelhas articuladas em F°F° tipo pesada, conforme projeto tipo</v>
      </c>
      <c r="E283" s="2">
        <f>+Orçamento_Não_Deson!E283</f>
        <v>0</v>
      </c>
      <c r="F283" s="2" t="str">
        <f>VLOOKUP($B283,[2]BOLETIM_SEL!$A:$H,6,0)</f>
        <v>UN</v>
      </c>
      <c r="G283" s="1407">
        <f>VLOOKUP($B283,[2]BOLETIM_SEL!$A:$H,7,0)</f>
        <v>1817.61</v>
      </c>
      <c r="H283" s="1608">
        <f>+Orçamento_Não_Deson!H283</f>
        <v>0</v>
      </c>
      <c r="I283" s="876">
        <f t="shared" si="38"/>
        <v>2329.63</v>
      </c>
      <c r="J283" s="1607">
        <f t="shared" si="60"/>
        <v>0</v>
      </c>
      <c r="K283" s="2069">
        <f t="shared" ca="1" si="56"/>
        <v>0</v>
      </c>
      <c r="L283" s="1570">
        <f t="shared" ca="1" si="59"/>
        <v>0</v>
      </c>
      <c r="M283" s="1967"/>
      <c r="N283" s="832"/>
      <c r="O283" s="832"/>
      <c r="Q283" s="832"/>
      <c r="R283" s="832"/>
      <c r="S283" s="832"/>
      <c r="T283" s="832"/>
      <c r="U283" s="832"/>
      <c r="V283" s="832"/>
      <c r="W283" s="832"/>
      <c r="X283" s="832"/>
    </row>
    <row r="284" spans="1:24" s="812" customFormat="1" ht="39.950000000000003" hidden="1" customHeight="1" x14ac:dyDescent="0.15">
      <c r="A284" s="2072">
        <f ca="1">+Orçamento_Não_Deson!A284</f>
        <v>5.0699999999999985</v>
      </c>
      <c r="B284" s="833" t="str">
        <f>+Orçamento_Não_Deson!B284</f>
        <v>DR/0290</v>
      </c>
      <c r="C284" s="2" t="str">
        <f>VLOOKUP($B284,[2]BOLETIM_SEL!$A:$H,2,0)</f>
        <v>COMPOSIÇÃO</v>
      </c>
      <c r="D284" s="315" t="str">
        <f>VLOOKUP($B284,[2]BOLETIM_SEL!$A:$H,4,0)</f>
        <v>Reforma de boca de lobo simples, incluindo demolições, reconstrução da sarjeta de contorno (chama) em concreto simples FCK 20mpa, uma guia chapéu pré-moldada e uma grelha articulada em F°F° tipo pesada, conforme projeto tipo</v>
      </c>
      <c r="E284" s="2">
        <f>+Orçamento_Não_Deson!E284</f>
        <v>0</v>
      </c>
      <c r="F284" s="2" t="str">
        <f>VLOOKUP($B284,[2]BOLETIM_SEL!$A:$H,6,0)</f>
        <v>UN</v>
      </c>
      <c r="G284" s="1407">
        <f>VLOOKUP($B284,[2]BOLETIM_SEL!$A:$H,7,0)</f>
        <v>2664.76</v>
      </c>
      <c r="H284" s="1608">
        <f>+Orçamento_Não_Deson!H284</f>
        <v>0</v>
      </c>
      <c r="I284" s="876">
        <f t="shared" si="38"/>
        <v>3415.42</v>
      </c>
      <c r="J284" s="1607">
        <f t="shared" si="60"/>
        <v>0</v>
      </c>
      <c r="K284" s="2069">
        <f t="shared" ca="1" si="56"/>
        <v>0</v>
      </c>
      <c r="L284" s="1570">
        <f t="shared" ca="1" si="59"/>
        <v>0</v>
      </c>
      <c r="M284" s="1967"/>
      <c r="N284" s="832"/>
      <c r="O284" s="832"/>
      <c r="Q284" s="832"/>
      <c r="R284" s="832"/>
      <c r="S284" s="832"/>
      <c r="T284" s="832"/>
      <c r="U284" s="832"/>
      <c r="V284" s="832"/>
      <c r="W284" s="832"/>
      <c r="X284" s="832"/>
    </row>
    <row r="285" spans="1:24" s="812" customFormat="1" ht="39.950000000000003" hidden="1" customHeight="1" x14ac:dyDescent="0.15">
      <c r="A285" s="2072">
        <f ca="1">+Orçamento_Não_Deson!A285</f>
        <v>5.0699999999999985</v>
      </c>
      <c r="B285" s="833" t="str">
        <f>+Orçamento_Não_Deson!B285</f>
        <v>DR/0385</v>
      </c>
      <c r="C285" s="2" t="str">
        <f>VLOOKUP($B285,[2]BOLETIM_SEL!$A:$H,2,0)</f>
        <v>COMPOSIÇÃO</v>
      </c>
      <c r="D285" s="315" t="str">
        <f>VLOOKUP($B285,[2]BOLETIM_SEL!$A:$H,4,0)</f>
        <v>Substituição de quadro e grelha articulada em F°F°, classe D400, carga máxima 40 T, 415 x 955 mm para boca de lobo, incluindo demolição e implantação da sarjeta de contorno (chama) em concreto FCK = 20 mpa</v>
      </c>
      <c r="E285" s="2">
        <f>+Orçamento_Não_Deson!E285</f>
        <v>0</v>
      </c>
      <c r="F285" s="2" t="str">
        <f>VLOOKUP($B285,[2]BOLETIM_SEL!$A:$H,6,0)</f>
        <v xml:space="preserve">UN </v>
      </c>
      <c r="G285" s="1407">
        <f>VLOOKUP($B285,[2]BOLETIM_SEL!$A:$H,7,0)</f>
        <v>939.44</v>
      </c>
      <c r="H285" s="1608">
        <f>+Orçamento_Não_Deson!H285</f>
        <v>0</v>
      </c>
      <c r="I285" s="876">
        <f t="shared" ref="I285:I288" si="61">TRUNC(G285*(1+$J$5),2)</f>
        <v>1204.08</v>
      </c>
      <c r="J285" s="1607">
        <f t="shared" si="60"/>
        <v>0</v>
      </c>
      <c r="K285" s="2069">
        <f t="shared" ca="1" si="56"/>
        <v>0</v>
      </c>
      <c r="L285" s="1570">
        <f t="shared" ca="1" si="59"/>
        <v>0</v>
      </c>
      <c r="M285" s="1967"/>
      <c r="N285" s="832"/>
      <c r="O285" s="832"/>
      <c r="Q285" s="832"/>
      <c r="R285" s="832"/>
      <c r="S285" s="832"/>
      <c r="T285" s="832"/>
      <c r="U285" s="832"/>
      <c r="V285" s="832"/>
      <c r="W285" s="832"/>
      <c r="X285" s="832"/>
    </row>
    <row r="286" spans="1:24" s="812" customFormat="1" ht="39.950000000000003" hidden="1" customHeight="1" x14ac:dyDescent="0.15">
      <c r="A286" s="2072">
        <f ca="1">+Orçamento_Não_Deson!A286</f>
        <v>5.0699999999999985</v>
      </c>
      <c r="B286" s="833" t="str">
        <f>+Orçamento_Não_Deson!B286</f>
        <v>DR/0390</v>
      </c>
      <c r="C286" s="2" t="str">
        <f>VLOOKUP($B286,[2]BOLETIM_SEL!$A:$H,2,0)</f>
        <v>COMPOSIÇÃO</v>
      </c>
      <c r="D286" s="315" t="str">
        <f>VLOOKUP($B286,[2]BOLETIM_SEL!$A:$H,4,0)</f>
        <v>Remoção e reassentamento de quadro e grelha articulada em F°F° para boca de lobo, incluindo demolição e implantação da sarjeta de contorno (chama) em concreto FCK = 20 Mpa</v>
      </c>
      <c r="E286" s="2">
        <f>+Orçamento_Não_Deson!E286</f>
        <v>0</v>
      </c>
      <c r="F286" s="2" t="str">
        <f>VLOOKUP($B286,[2]BOLETIM_SEL!$A:$H,6,0)</f>
        <v xml:space="preserve">UN </v>
      </c>
      <c r="G286" s="1407">
        <f>VLOOKUP($B286,[2]BOLETIM_SEL!$A:$H,7,0)</f>
        <v>206.43</v>
      </c>
      <c r="H286" s="1608">
        <f>+Orçamento_Não_Deson!H286</f>
        <v>0</v>
      </c>
      <c r="I286" s="876">
        <f t="shared" si="61"/>
        <v>264.58</v>
      </c>
      <c r="J286" s="1607">
        <f t="shared" si="60"/>
        <v>0</v>
      </c>
      <c r="K286" s="2069">
        <f t="shared" ca="1" si="56"/>
        <v>0</v>
      </c>
      <c r="L286" s="1570">
        <f t="shared" ca="1" si="59"/>
        <v>0</v>
      </c>
      <c r="M286" s="1967"/>
      <c r="N286" s="832"/>
      <c r="O286" s="832"/>
      <c r="Q286" s="832"/>
      <c r="R286" s="832"/>
      <c r="S286" s="832"/>
      <c r="T286" s="832"/>
      <c r="U286" s="832"/>
      <c r="V286" s="832"/>
      <c r="W286" s="832"/>
      <c r="X286" s="832"/>
    </row>
    <row r="287" spans="1:24" s="812" customFormat="1" ht="39.950000000000003" hidden="1" customHeight="1" x14ac:dyDescent="0.15">
      <c r="A287" s="2072">
        <f ca="1">+Orçamento_Não_Deson!A287</f>
        <v>5.0699999999999985</v>
      </c>
      <c r="B287" s="833" t="str">
        <f>+Orçamento_Não_Deson!B287</f>
        <v>DR/0365</v>
      </c>
      <c r="C287" s="2" t="str">
        <f>VLOOKUP($B287,[2]BOLETIM_SEL!$A:$H,2,0)</f>
        <v>COMPOSIÇÃO</v>
      </c>
      <c r="D287" s="315" t="str">
        <f>VLOOKUP($B287,[2]BOLETIM_SEL!$A:$H,4,0)</f>
        <v>Substituição de tampão de PV, incluindo fornecimento de tampão de FºFº articulado, Classe B400, carga máxima 40 T, redondo tampa 600 mm para rede pluvial/esgoto, e requadro em concreto simples FCK 20mpa, de 1,00m x 1,00m x 0,20m</v>
      </c>
      <c r="E287" s="2">
        <f>+Orçamento_Não_Deson!E287</f>
        <v>0</v>
      </c>
      <c r="F287" s="2" t="str">
        <f>VLOOKUP($B287,[2]BOLETIM_SEL!$A:$H,6,0)</f>
        <v xml:space="preserve">UN </v>
      </c>
      <c r="G287" s="1407">
        <f>VLOOKUP($B287,[2]BOLETIM_SEL!$A:$H,7,0)</f>
        <v>827.27</v>
      </c>
      <c r="H287" s="1608">
        <f>+Orçamento_Não_Deson!H287</f>
        <v>0</v>
      </c>
      <c r="I287" s="876">
        <f t="shared" si="61"/>
        <v>1060.31</v>
      </c>
      <c r="J287" s="1607">
        <f t="shared" si="60"/>
        <v>0</v>
      </c>
      <c r="K287" s="2069">
        <f t="shared" ca="1" si="56"/>
        <v>0</v>
      </c>
      <c r="L287" s="1570">
        <f t="shared" ca="1" si="59"/>
        <v>0</v>
      </c>
      <c r="M287" s="1967"/>
      <c r="N287" s="832"/>
      <c r="O287" s="832"/>
      <c r="Q287" s="832"/>
      <c r="R287" s="832"/>
      <c r="S287" s="832"/>
      <c r="T287" s="832"/>
      <c r="U287" s="832"/>
      <c r="V287" s="832"/>
      <c r="W287" s="832"/>
      <c r="X287" s="832"/>
    </row>
    <row r="288" spans="1:24" s="812" customFormat="1" ht="39.950000000000003" hidden="1" customHeight="1" x14ac:dyDescent="0.15">
      <c r="A288" s="2072">
        <f ca="1">+Orçamento_Não_Deson!A288</f>
        <v>5.0699999999999985</v>
      </c>
      <c r="B288" s="833" t="str">
        <f>+Orçamento_Não_Deson!B288</f>
        <v>DR/0370</v>
      </c>
      <c r="C288" s="2" t="str">
        <f>VLOOKUP($B288,[2]BOLETIM_SEL!$A:$H,2,0)</f>
        <v>COMPOSIÇÃO</v>
      </c>
      <c r="D288" s="315" t="str">
        <f>VLOOKUP($B288,[2]BOLETIM_SEL!$A:$H,4,0)</f>
        <v>Remoção e reassentamento de tampão em F°F° para PV, com  reaproveitamento, incluindo recorte, demolição e requadro em concreto simples FCK 20mpa, de 1,00m x 1,00m x 0,20m</v>
      </c>
      <c r="E288" s="2">
        <f>+Orçamento_Não_Deson!E288</f>
        <v>0</v>
      </c>
      <c r="F288" s="2" t="str">
        <f>VLOOKUP($B288,[2]BOLETIM_SEL!$A:$H,6,0)</f>
        <v xml:space="preserve">UN </v>
      </c>
      <c r="G288" s="1407">
        <f>VLOOKUP($B288,[2]BOLETIM_SEL!$A:$H,7,0)</f>
        <v>212.74</v>
      </c>
      <c r="H288" s="1608">
        <f>+Orçamento_Não_Deson!H288</f>
        <v>0</v>
      </c>
      <c r="I288" s="876">
        <f t="shared" si="61"/>
        <v>272.66000000000003</v>
      </c>
      <c r="J288" s="1607">
        <f t="shared" si="60"/>
        <v>0</v>
      </c>
      <c r="K288" s="2069">
        <f t="shared" ca="1" si="56"/>
        <v>0</v>
      </c>
      <c r="L288" s="1570">
        <f t="shared" ca="1" si="59"/>
        <v>0</v>
      </c>
      <c r="M288" s="1967"/>
      <c r="N288" s="832"/>
      <c r="O288" s="832"/>
      <c r="Q288" s="832"/>
      <c r="R288" s="832"/>
      <c r="S288" s="832"/>
      <c r="T288" s="832"/>
      <c r="U288" s="832"/>
      <c r="V288" s="832"/>
      <c r="W288" s="832"/>
      <c r="X288" s="832"/>
    </row>
    <row r="289" spans="1:24" s="812" customFormat="1" ht="24.95" customHeight="1" x14ac:dyDescent="0.15">
      <c r="A289" s="2072"/>
      <c r="B289" s="833"/>
      <c r="C289" s="2"/>
      <c r="D289" s="1449" t="s">
        <v>2178</v>
      </c>
      <c r="E289" s="2"/>
      <c r="F289" s="2"/>
      <c r="G289" s="1814"/>
      <c r="H289" s="2"/>
      <c r="I289" s="2"/>
      <c r="J289" s="838" t="str">
        <f ca="1">IF(J290=0,"-","")</f>
        <v/>
      </c>
      <c r="K289" s="2069"/>
      <c r="L289" s="1570"/>
      <c r="M289" s="1967"/>
      <c r="N289" s="832"/>
      <c r="O289" s="832"/>
      <c r="Q289" s="832"/>
      <c r="R289" s="832"/>
      <c r="S289" s="832"/>
      <c r="T289" s="832"/>
      <c r="U289" s="832"/>
      <c r="V289" s="832"/>
      <c r="W289" s="832"/>
      <c r="X289" s="832"/>
    </row>
    <row r="290" spans="1:24" s="812" customFormat="1" ht="39.950000000000003" customHeight="1" x14ac:dyDescent="0.15">
      <c r="A290" s="2072">
        <f ca="1">Orçamento_Não_Deson!A290</f>
        <v>5.0799999999999983</v>
      </c>
      <c r="B290" s="833">
        <f ca="1">Orçamento_Não_Deson!B290</f>
        <v>95876</v>
      </c>
      <c r="C290" s="2" t="str">
        <f ca="1">VLOOKUP($B290,[2]BOLETIM_SEL!$A:$H,2,0)</f>
        <v>SINAPI</v>
      </c>
      <c r="D290" s="315" t="str">
        <f ca="1">VLOOKUP($B290,[2]BOLETIM_SEL!$A:$H,4,0)</f>
        <v>Transporte com caminhão basculante de 14 m3, em via urbana pavimentada, DMT até 30,00 km (unidade: m3xkm). AF_07/2020</v>
      </c>
      <c r="E290" s="2">
        <f>Orçamento_Não_Deson!E290</f>
        <v>24</v>
      </c>
      <c r="F290" s="2" t="str">
        <f ca="1">VLOOKUP($B290,[2]BOLETIM_SEL!$A:$H,6,0)</f>
        <v>M3XKM</v>
      </c>
      <c r="G290" s="1407">
        <f ca="1">VLOOKUP($B290,[2]BOLETIM_SEL!$A:$H,7,0)</f>
        <v>2.04</v>
      </c>
      <c r="H290" s="1608">
        <f ca="1">Orçamento_Não_Deson!H290</f>
        <v>1348.32</v>
      </c>
      <c r="I290" s="876">
        <f ca="1">TRUNC(G290*(1+$J$5),2)</f>
        <v>2.61</v>
      </c>
      <c r="J290" s="1607">
        <f ca="1">TRUNC(H290*I290,2)</f>
        <v>3519.11</v>
      </c>
      <c r="K290" s="2069">
        <f ca="1">J290/J$930</f>
        <v>9.3141678330407038E-4</v>
      </c>
      <c r="L290" s="1570">
        <f ca="1">J290/J$183</f>
        <v>1.6549279712646896E-2</v>
      </c>
      <c r="M290" s="1967"/>
      <c r="N290" s="832"/>
      <c r="O290" s="832"/>
      <c r="Q290" s="832"/>
      <c r="R290" s="832"/>
      <c r="S290" s="832"/>
      <c r="T290" s="832"/>
      <c r="U290" s="832"/>
      <c r="V290" s="832"/>
      <c r="W290" s="832"/>
      <c r="X290" s="832"/>
    </row>
    <row r="291" spans="1:24" s="812" customFormat="1" ht="24.95" customHeight="1" x14ac:dyDescent="0.15">
      <c r="A291" s="2072"/>
      <c r="B291" s="833"/>
      <c r="C291" s="2"/>
      <c r="D291" s="1449" t="s">
        <v>1823</v>
      </c>
      <c r="E291" s="2"/>
      <c r="F291" s="2"/>
      <c r="G291" s="1814"/>
      <c r="H291" s="2"/>
      <c r="I291" s="2"/>
      <c r="J291" s="838" t="str">
        <f ca="1">IF(J292=0,"-","")</f>
        <v/>
      </c>
      <c r="K291" s="2069"/>
      <c r="L291" s="1570"/>
      <c r="M291" s="1967"/>
      <c r="N291" s="832"/>
      <c r="O291" s="832"/>
      <c r="Q291" s="832"/>
      <c r="R291" s="832"/>
      <c r="S291" s="832"/>
      <c r="T291" s="832"/>
      <c r="U291" s="832"/>
      <c r="V291" s="832"/>
      <c r="W291" s="832"/>
      <c r="X291" s="832"/>
    </row>
    <row r="292" spans="1:24" s="812" customFormat="1" ht="39.950000000000003" customHeight="1" x14ac:dyDescent="0.15">
      <c r="A292" s="2072">
        <f ca="1">Orçamento_Não_Deson!A292</f>
        <v>5.0899999999999981</v>
      </c>
      <c r="B292" s="833">
        <f>Orçamento_Não_Deson!B292</f>
        <v>100952</v>
      </c>
      <c r="C292" s="2" t="str">
        <f>VLOOKUP($B292,[2]BOLETIM_SEL!$A:$H,2,0)</f>
        <v>SINAPI</v>
      </c>
      <c r="D292" s="315" t="str">
        <f>VLOOKUP($B292,[2]BOLETIM_SEL!$A:$H,4,0)</f>
        <v>Transporte com caminhão carroceria com guindauto (munck), momento máximo de carga 11,7 tm, em via urbana pavimentada, DMT até 30,00 km (unidade: txkm). AF_07/2020</v>
      </c>
      <c r="E292" s="2">
        <f>Orçamento_Não_Deson!E292</f>
        <v>22</v>
      </c>
      <c r="F292" s="2" t="str">
        <f>VLOOKUP($B292,[2]BOLETIM_SEL!$A:$H,6,0)</f>
        <v>TXKM</v>
      </c>
      <c r="G292" s="1407">
        <f>VLOOKUP($B292,[2]BOLETIM_SEL!$A:$H,7,0)</f>
        <v>2.64</v>
      </c>
      <c r="H292" s="1608">
        <f ca="1">Orçamento_Não_Deson!H292</f>
        <v>4625.72</v>
      </c>
      <c r="I292" s="876">
        <f>TRUNC(G292*(1+$J$5),2)</f>
        <v>3.38</v>
      </c>
      <c r="J292" s="1607">
        <f ca="1">TRUNC(H292*I292,2)</f>
        <v>15634.93</v>
      </c>
      <c r="K292" s="2069">
        <f ca="1">J292/J$930</f>
        <v>4.1381588548764624E-3</v>
      </c>
      <c r="L292" s="1570">
        <f ca="1">J292/J$183</f>
        <v>7.3526212553075732E-2</v>
      </c>
      <c r="M292" s="1967"/>
      <c r="N292" s="832"/>
      <c r="O292" s="832"/>
      <c r="Q292" s="832"/>
      <c r="R292" s="832"/>
      <c r="S292" s="832"/>
      <c r="T292" s="832"/>
      <c r="U292" s="832"/>
      <c r="V292" s="832"/>
      <c r="W292" s="832"/>
      <c r="X292" s="832"/>
    </row>
    <row r="293" spans="1:24" s="812" customFormat="1" ht="24.95" customHeight="1" x14ac:dyDescent="0.15">
      <c r="A293" s="2072"/>
      <c r="B293" s="833"/>
      <c r="C293" s="833"/>
      <c r="D293" s="834"/>
      <c r="E293" s="2"/>
      <c r="F293" s="833"/>
      <c r="G293" s="1814"/>
      <c r="H293" s="1"/>
      <c r="I293" s="876"/>
      <c r="J293" s="838" t="str">
        <f ca="1">IF(J183=0,0,"")</f>
        <v/>
      </c>
      <c r="K293" s="2069"/>
      <c r="L293" s="1570"/>
      <c r="M293" s="1826"/>
      <c r="N293" s="832"/>
      <c r="O293" s="832"/>
      <c r="Q293" s="832"/>
      <c r="R293" s="832"/>
      <c r="S293" s="832"/>
      <c r="T293" s="832"/>
      <c r="U293" s="832"/>
      <c r="V293" s="832"/>
      <c r="W293" s="832"/>
      <c r="X293" s="832"/>
    </row>
    <row r="294" spans="1:24" s="832" customFormat="1" ht="24.95" hidden="1" customHeight="1" x14ac:dyDescent="0.15">
      <c r="A294" s="2073">
        <f ca="1">IF(J294&gt;0,INT(A292)+1,IF(J294=0,INT(A292),0))</f>
        <v>5</v>
      </c>
      <c r="B294" s="1626"/>
      <c r="C294" s="1626"/>
      <c r="D294" s="1627" t="s">
        <v>744</v>
      </c>
      <c r="E294" s="1821"/>
      <c r="F294" s="1628"/>
      <c r="G294" s="1813" t="s">
        <v>646</v>
      </c>
      <c r="H294" s="1630"/>
      <c r="I294" s="1633" t="str">
        <f ca="1">CONCATENATE("SUB-TOTAL ",A294)</f>
        <v>SUB-TOTAL 5</v>
      </c>
      <c r="J294" s="1632">
        <f>SUM(J295:J312)</f>
        <v>0</v>
      </c>
      <c r="K294" s="2070">
        <f t="shared" ref="K294:K312" ca="1" si="62">J294/J$930</f>
        <v>0</v>
      </c>
      <c r="L294" s="1605" t="e">
        <f>J294/$J$294</f>
        <v>#DIV/0!</v>
      </c>
    </row>
    <row r="295" spans="1:24" s="812" customFormat="1" ht="39.950000000000003" hidden="1" customHeight="1" x14ac:dyDescent="0.15">
      <c r="A295" s="2072">
        <f ca="1">Orçamento_Não_Deson!A295</f>
        <v>5</v>
      </c>
      <c r="B295" s="833">
        <f>Orçamento_Não_Deson!B295</f>
        <v>94962</v>
      </c>
      <c r="C295" s="2" t="str">
        <f>VLOOKUP($B295,[2]BOLETIM_SEL!$A:$H,2,0)</f>
        <v>SINAPI</v>
      </c>
      <c r="D295" s="315" t="str">
        <f>VLOOKUP($B295,[2]BOLETIM_SEL!$A:$H,4,0)</f>
        <v>Concreto magro para lastro, traço 1:4,5:4,5 (cimento/ areia média/ brita 1) - preparo mecânico com betoneira 400 l. AF_07/2016</v>
      </c>
      <c r="E295" s="2">
        <f>Orçamento_Não_Deson!E295</f>
        <v>0</v>
      </c>
      <c r="F295" s="2" t="str">
        <f>VLOOKUP($B295,[2]BOLETIM_SEL!$A:$H,6,0)</f>
        <v>M3</v>
      </c>
      <c r="G295" s="1407">
        <f>VLOOKUP($B295,[2]BOLETIM_SEL!$A:$H,7,0)</f>
        <v>377.26</v>
      </c>
      <c r="H295" s="1608">
        <f>Orçamento_Não_Deson!H295</f>
        <v>0</v>
      </c>
      <c r="I295" s="876">
        <f t="shared" ref="I295:I312" si="63">TRUNC(G295*(1+$J$5),2)</f>
        <v>483.53</v>
      </c>
      <c r="J295" s="1607">
        <f t="shared" si="60"/>
        <v>0</v>
      </c>
      <c r="K295" s="2069">
        <f t="shared" ca="1" si="62"/>
        <v>0</v>
      </c>
      <c r="L295" s="1570" t="e">
        <f t="shared" ref="L295:L312" si="64">J295/$J$294</f>
        <v>#DIV/0!</v>
      </c>
      <c r="M295" s="1967"/>
      <c r="N295" s="832"/>
      <c r="O295" s="832"/>
      <c r="Q295" s="832"/>
      <c r="R295" s="832"/>
      <c r="S295" s="832"/>
      <c r="T295" s="832"/>
      <c r="U295" s="832"/>
      <c r="V295" s="832"/>
      <c r="W295" s="832"/>
      <c r="X295" s="832"/>
    </row>
    <row r="296" spans="1:24" s="812" customFormat="1" ht="30" hidden="1" customHeight="1" x14ac:dyDescent="0.15">
      <c r="A296" s="2072">
        <f ca="1">Orçamento_Não_Deson!A296</f>
        <v>5</v>
      </c>
      <c r="B296" s="833">
        <f>Orçamento_Não_Deson!B296</f>
        <v>103670</v>
      </c>
      <c r="C296" s="2" t="str">
        <f>VLOOKUP($B296,[2]BOLETIM_SEL!$A:$H,2,0)</f>
        <v>SINAPI</v>
      </c>
      <c r="D296" s="315" t="str">
        <f>VLOOKUP($B296,[2]BOLETIM_SEL!$A:$H,4,0)</f>
        <v>Lançamento com uso de baldes, adensamento e acabamento de concreto em estruturas. AF_12/2015</v>
      </c>
      <c r="E296" s="2">
        <f>Orçamento_Não_Deson!E296</f>
        <v>0</v>
      </c>
      <c r="F296" s="2" t="str">
        <f>VLOOKUP($B296,[2]BOLETIM_SEL!$A:$H,6,0)</f>
        <v>M3</v>
      </c>
      <c r="G296" s="1407">
        <f>VLOOKUP($B296,[2]BOLETIM_SEL!$A:$H,7,0)</f>
        <v>240.79</v>
      </c>
      <c r="H296" s="1608">
        <f>Orçamento_Não_Deson!H296</f>
        <v>0</v>
      </c>
      <c r="I296" s="876">
        <f t="shared" si="63"/>
        <v>308.62</v>
      </c>
      <c r="J296" s="1607">
        <f t="shared" si="60"/>
        <v>0</v>
      </c>
      <c r="K296" s="2069">
        <f t="shared" ca="1" si="62"/>
        <v>0</v>
      </c>
      <c r="L296" s="1570" t="e">
        <f t="shared" si="64"/>
        <v>#DIV/0!</v>
      </c>
      <c r="M296" s="1967"/>
      <c r="N296" s="832"/>
      <c r="O296" s="832"/>
      <c r="Q296" s="832"/>
      <c r="R296" s="832"/>
      <c r="S296" s="832"/>
      <c r="T296" s="832"/>
      <c r="U296" s="832"/>
      <c r="V296" s="832"/>
      <c r="W296" s="832"/>
      <c r="X296" s="832"/>
    </row>
    <row r="297" spans="1:24" s="812" customFormat="1" ht="30" hidden="1" customHeight="1" x14ac:dyDescent="0.15">
      <c r="A297" s="2072">
        <f ca="1">+Orçamento_Não_Deson!A297</f>
        <v>5</v>
      </c>
      <c r="B297" s="833">
        <f>+Orçamento_Não_Deson!B297</f>
        <v>94964</v>
      </c>
      <c r="C297" s="2" t="str">
        <f>VLOOKUP($B297,[2]BOLETIM_SEL!$A:$H,2,0)</f>
        <v>SINAPI</v>
      </c>
      <c r="D297" s="315" t="str">
        <f>VLOOKUP($B297,[2]BOLETIM_SEL!$A:$H,4,0)</f>
        <v>Concreto FCK = 20 MPA, traço 1:2,7:3 (cimento/ areia média/ brita 1) - preparo mecânico com betoneira 400 l. AF_07/2016</v>
      </c>
      <c r="E297" s="2">
        <f>+Orçamento_Não_Deson!E297</f>
        <v>0</v>
      </c>
      <c r="F297" s="2" t="str">
        <f>VLOOKUP($B297,[2]BOLETIM_SEL!$A:$H,6,0)</f>
        <v>M3</v>
      </c>
      <c r="G297" s="1407">
        <f>VLOOKUP($B297,[2]BOLETIM_SEL!$A:$H,7,0)</f>
        <v>466.55</v>
      </c>
      <c r="H297" s="1608">
        <f>+Orçamento_Não_Deson!H297</f>
        <v>0</v>
      </c>
      <c r="I297" s="876">
        <f t="shared" si="63"/>
        <v>597.97</v>
      </c>
      <c r="J297" s="1607">
        <f t="shared" si="60"/>
        <v>0</v>
      </c>
      <c r="K297" s="2069">
        <f t="shared" ca="1" si="62"/>
        <v>0</v>
      </c>
      <c r="L297" s="1570" t="e">
        <f t="shared" si="64"/>
        <v>#DIV/0!</v>
      </c>
      <c r="M297" s="1967"/>
      <c r="N297" s="832"/>
      <c r="O297" s="832"/>
      <c r="Q297" s="832"/>
      <c r="R297" s="832"/>
      <c r="S297" s="832"/>
      <c r="T297" s="832"/>
      <c r="U297" s="832"/>
      <c r="V297" s="832"/>
      <c r="W297" s="832"/>
      <c r="X297" s="832"/>
    </row>
    <row r="298" spans="1:24" s="812" customFormat="1" ht="39.950000000000003" hidden="1" customHeight="1" x14ac:dyDescent="0.15">
      <c r="A298" s="2072">
        <f ca="1">Orçamento_Não_Deson!A298</f>
        <v>5</v>
      </c>
      <c r="B298" s="833">
        <f>Orçamento_Não_Deson!B298</f>
        <v>34493</v>
      </c>
      <c r="C298" s="2" t="str">
        <f>VLOOKUP($B298,[2]BOLETIM_SEL!$A:$H,2,0)</f>
        <v>SINAPI</v>
      </c>
      <c r="D298" s="315" t="str">
        <f>VLOOKUP($B298,[2]BOLETIM_SEL!$A:$H,4,0)</f>
        <v>Concreto usinado bombeável, classe de resistência C25, com brita 0,00 e 1, slump = 100 +/- 20 mm, exclui serviço de bombeamento (NBR 8953)</v>
      </c>
      <c r="E298" s="2">
        <f>Orçamento_Não_Deson!E298</f>
        <v>0</v>
      </c>
      <c r="F298" s="2" t="str">
        <f>VLOOKUP($B298,[2]BOLETIM_SEL!$A:$H,6,0)</f>
        <v xml:space="preserve">M3    </v>
      </c>
      <c r="G298" s="1407">
        <f>VLOOKUP($B298,[2]BOLETIM_SEL!$A:$H,7,0)</f>
        <v>560.36</v>
      </c>
      <c r="H298" s="1608">
        <f>Orçamento_Não_Deson!H298</f>
        <v>0</v>
      </c>
      <c r="I298" s="876">
        <f t="shared" si="63"/>
        <v>718.21</v>
      </c>
      <c r="J298" s="1607">
        <f t="shared" si="60"/>
        <v>0</v>
      </c>
      <c r="K298" s="2069">
        <f t="shared" ca="1" si="62"/>
        <v>0</v>
      </c>
      <c r="L298" s="1570" t="e">
        <f t="shared" si="64"/>
        <v>#DIV/0!</v>
      </c>
      <c r="M298" s="1967"/>
      <c r="N298" s="832"/>
      <c r="O298" s="832"/>
      <c r="Q298" s="832"/>
      <c r="R298" s="832"/>
      <c r="S298" s="832"/>
      <c r="T298" s="832"/>
      <c r="U298" s="832"/>
      <c r="V298" s="832"/>
      <c r="W298" s="832"/>
      <c r="X298" s="832"/>
    </row>
    <row r="299" spans="1:24" s="812" customFormat="1" ht="30" hidden="1" customHeight="1" x14ac:dyDescent="0.15">
      <c r="A299" s="2072">
        <f ca="1">Orçamento_Não_Deson!A299</f>
        <v>5</v>
      </c>
      <c r="B299" s="833">
        <f>Orçamento_Não_Deson!B299</f>
        <v>103673</v>
      </c>
      <c r="C299" s="2" t="str">
        <f>VLOOKUP($B299,[2]BOLETIM_SEL!$A:$H,2,0)</f>
        <v>SINAPI</v>
      </c>
      <c r="D299" s="315" t="str">
        <f>VLOOKUP($B299,[2]BOLETIM_SEL!$A:$H,4,0)</f>
        <v>Lançamento com uso de bomba, adensamento e acabamento de concreto em estruturas. AF_12/2015</v>
      </c>
      <c r="E299" s="2">
        <f>Orçamento_Não_Deson!E299</f>
        <v>0</v>
      </c>
      <c r="F299" s="2" t="str">
        <f>VLOOKUP($B299,[2]BOLETIM_SEL!$A:$H,6,0)</f>
        <v>M3</v>
      </c>
      <c r="G299" s="1407">
        <f>VLOOKUP($B299,[2]BOLETIM_SEL!$A:$H,7,0)</f>
        <v>33.86</v>
      </c>
      <c r="H299" s="1608">
        <f>Orçamento_Não_Deson!H299</f>
        <v>0</v>
      </c>
      <c r="I299" s="876">
        <f t="shared" si="63"/>
        <v>43.39</v>
      </c>
      <c r="J299" s="1607">
        <f t="shared" si="60"/>
        <v>0</v>
      </c>
      <c r="K299" s="2069">
        <f t="shared" ca="1" si="62"/>
        <v>0</v>
      </c>
      <c r="L299" s="1570" t="e">
        <f t="shared" si="64"/>
        <v>#DIV/0!</v>
      </c>
      <c r="M299" s="1967"/>
      <c r="N299" s="832"/>
      <c r="O299" s="832"/>
      <c r="Q299" s="832"/>
      <c r="R299" s="832"/>
      <c r="S299" s="832"/>
      <c r="T299" s="832"/>
      <c r="U299" s="832"/>
      <c r="V299" s="832"/>
      <c r="W299" s="832"/>
      <c r="X299" s="832"/>
    </row>
    <row r="300" spans="1:24" s="812" customFormat="1" ht="30" hidden="1" customHeight="1" x14ac:dyDescent="0.15">
      <c r="A300" s="2072">
        <f ca="1">+Orçamento_Não_Deson!A300</f>
        <v>5</v>
      </c>
      <c r="B300" s="833">
        <f>+Orçamento_Não_Deson!B300</f>
        <v>102487</v>
      </c>
      <c r="C300" s="2" t="str">
        <f>VLOOKUP($B300,[2]BOLETIM_SEL!$A:$H,2,0)</f>
        <v>SINAPI</v>
      </c>
      <c r="D300" s="315" t="str">
        <f>VLOOKUP($B300,[2]BOLETIM_SEL!$A:$H,4,0)</f>
        <v>Concreto ciclópico FCK = 15 MPA, 30% pedra de mão em volume real, inclusive lançamento</v>
      </c>
      <c r="E300" s="2">
        <f>+Orçamento_Não_Deson!E300</f>
        <v>0</v>
      </c>
      <c r="F300" s="2" t="str">
        <f>VLOOKUP($B300,[2]BOLETIM_SEL!$A:$H,6,0)</f>
        <v>M3</v>
      </c>
      <c r="G300" s="1407">
        <f>VLOOKUP($B300,[2]BOLETIM_SEL!$A:$H,7,0)</f>
        <v>537.87</v>
      </c>
      <c r="H300" s="1608">
        <f>+Orçamento_Não_Deson!H300</f>
        <v>0</v>
      </c>
      <c r="I300" s="876">
        <f t="shared" si="63"/>
        <v>689.38</v>
      </c>
      <c r="J300" s="1607">
        <f t="shared" si="60"/>
        <v>0</v>
      </c>
      <c r="K300" s="2069">
        <f t="shared" ca="1" si="62"/>
        <v>0</v>
      </c>
      <c r="L300" s="1570" t="e">
        <f t="shared" si="64"/>
        <v>#DIV/0!</v>
      </c>
      <c r="M300" s="1967"/>
      <c r="N300" s="832"/>
      <c r="O300" s="832"/>
      <c r="Q300" s="832"/>
      <c r="R300" s="832"/>
      <c r="S300" s="832"/>
      <c r="T300" s="832"/>
      <c r="U300" s="832"/>
      <c r="V300" s="832"/>
      <c r="W300" s="832"/>
      <c r="X300" s="832"/>
    </row>
    <row r="301" spans="1:24" s="812" customFormat="1" ht="39.950000000000003" hidden="1" customHeight="1" x14ac:dyDescent="0.15">
      <c r="A301" s="2072">
        <f ca="1">Orçamento_Não_Deson!A301</f>
        <v>5</v>
      </c>
      <c r="B301" s="833">
        <f>Orçamento_Não_Deson!B301</f>
        <v>92415</v>
      </c>
      <c r="C301" s="2" t="str">
        <f>VLOOKUP($B301,[2]BOLETIM_SEL!$A:$H,2,0)</f>
        <v>SINAPI</v>
      </c>
      <c r="D301" s="315" t="str">
        <f>VLOOKUP($B301,[2]BOLETIM_SEL!$A:$H,4,0)</f>
        <v>Montagem e desmontagem de fôrma de pilares retangulares e estruturas similares, pé-direito simples, em chapa de madeira compensada resinada, 2 utilizações. AF_09/2020</v>
      </c>
      <c r="E301" s="2">
        <f>Orçamento_Não_Deson!E301</f>
        <v>0</v>
      </c>
      <c r="F301" s="2" t="str">
        <f>VLOOKUP($B301,[2]BOLETIM_SEL!$A:$H,6,0)</f>
        <v>M2</v>
      </c>
      <c r="G301" s="1407">
        <f>VLOOKUP($B301,[2]BOLETIM_SEL!$A:$H,7,0)</f>
        <v>131.25</v>
      </c>
      <c r="H301" s="1608">
        <f>Orçamento_Não_Deson!H301</f>
        <v>0</v>
      </c>
      <c r="I301" s="876">
        <f t="shared" si="63"/>
        <v>168.22</v>
      </c>
      <c r="J301" s="1607">
        <f t="shared" si="60"/>
        <v>0</v>
      </c>
      <c r="K301" s="2069">
        <f t="shared" ca="1" si="62"/>
        <v>0</v>
      </c>
      <c r="L301" s="1570" t="e">
        <f t="shared" si="64"/>
        <v>#DIV/0!</v>
      </c>
      <c r="M301" s="1967"/>
      <c r="N301" s="832"/>
      <c r="O301" s="832"/>
      <c r="Q301" s="832"/>
      <c r="R301" s="832"/>
      <c r="S301" s="832"/>
      <c r="T301" s="832"/>
      <c r="U301" s="832"/>
      <c r="V301" s="832"/>
      <c r="W301" s="832"/>
      <c r="X301" s="832"/>
    </row>
    <row r="302" spans="1:24" s="812" customFormat="1" ht="39.950000000000003" hidden="1" customHeight="1" x14ac:dyDescent="0.15">
      <c r="A302" s="2072">
        <f ca="1">+Orçamento_Não_Deson!A302</f>
        <v>5</v>
      </c>
      <c r="B302" s="833">
        <f>+Orçamento_Não_Deson!B302</f>
        <v>92423</v>
      </c>
      <c r="C302" s="2" t="str">
        <f>VLOOKUP($B302,[2]BOLETIM_SEL!$A:$H,2,0)</f>
        <v>SINAPI</v>
      </c>
      <c r="D302" s="315" t="str">
        <f>VLOOKUP($B302,[2]BOLETIM_SEL!$A:$H,4,0)</f>
        <v>Montagem e desmontagem de fôrma de pilares retangulares e estruturas similares, pé-direito simples, em chapa de madeira compensada resinada, 6 utilizações. AF_09/2020</v>
      </c>
      <c r="E302" s="2">
        <f>+Orçamento_Não_Deson!E302</f>
        <v>0</v>
      </c>
      <c r="F302" s="2" t="str">
        <f>VLOOKUP($B302,[2]BOLETIM_SEL!$A:$H,6,0)</f>
        <v>M2</v>
      </c>
      <c r="G302" s="1407">
        <f>VLOOKUP($B302,[2]BOLETIM_SEL!$A:$H,7,0)</f>
        <v>66.53</v>
      </c>
      <c r="H302" s="1608">
        <f>+Orçamento_Não_Deson!H302</f>
        <v>0</v>
      </c>
      <c r="I302" s="876">
        <f t="shared" si="63"/>
        <v>85.27</v>
      </c>
      <c r="J302" s="1607">
        <f t="shared" si="60"/>
        <v>0</v>
      </c>
      <c r="K302" s="2069">
        <f t="shared" ca="1" si="62"/>
        <v>0</v>
      </c>
      <c r="L302" s="1570" t="e">
        <f t="shared" si="64"/>
        <v>#DIV/0!</v>
      </c>
      <c r="M302" s="1967"/>
      <c r="N302" s="832"/>
      <c r="O302" s="832"/>
      <c r="Q302" s="832"/>
      <c r="R302" s="832"/>
      <c r="S302" s="832"/>
      <c r="T302" s="832"/>
      <c r="U302" s="832"/>
      <c r="V302" s="832"/>
      <c r="W302" s="832"/>
      <c r="X302" s="832"/>
    </row>
    <row r="303" spans="1:24" s="812" customFormat="1" ht="39.950000000000003" hidden="1" customHeight="1" x14ac:dyDescent="0.15">
      <c r="A303" s="2072">
        <f ca="1">+Orçamento_Não_Deson!A303</f>
        <v>5</v>
      </c>
      <c r="B303" s="833">
        <f>+Orçamento_Não_Deson!B303</f>
        <v>92411</v>
      </c>
      <c r="C303" s="2" t="str">
        <f>VLOOKUP($B303,[2]BOLETIM_SEL!$A:$H,2,0)</f>
        <v>SINAPI</v>
      </c>
      <c r="D303" s="315" t="str">
        <f>VLOOKUP($B303,[2]BOLETIM_SEL!$A:$H,4,0)</f>
        <v>Montagem e desmontagem de fôrma de pilares retangulares e estruturas similares, pé-direito simples, em madeira serrada, 2 utilizações. AF_09/2020</v>
      </c>
      <c r="E303" s="2">
        <f>+Orçamento_Não_Deson!E303</f>
        <v>0</v>
      </c>
      <c r="F303" s="2" t="str">
        <f>VLOOKUP($B303,[2]BOLETIM_SEL!$A:$H,6,0)</f>
        <v>M2</v>
      </c>
      <c r="G303" s="1407">
        <f>VLOOKUP($B303,[2]BOLETIM_SEL!$A:$H,7,0)</f>
        <v>131.35</v>
      </c>
      <c r="H303" s="1608">
        <f>+Orçamento_Não_Deson!H303</f>
        <v>0</v>
      </c>
      <c r="I303" s="876">
        <f t="shared" si="63"/>
        <v>168.35</v>
      </c>
      <c r="J303" s="1607">
        <f t="shared" si="60"/>
        <v>0</v>
      </c>
      <c r="K303" s="2069">
        <f t="shared" ca="1" si="62"/>
        <v>0</v>
      </c>
      <c r="L303" s="1570" t="e">
        <f t="shared" si="64"/>
        <v>#DIV/0!</v>
      </c>
      <c r="M303" s="1967"/>
      <c r="N303" s="832"/>
      <c r="O303" s="832"/>
      <c r="Q303" s="832"/>
      <c r="R303" s="832"/>
      <c r="S303" s="832"/>
      <c r="T303" s="832"/>
      <c r="U303" s="832"/>
      <c r="V303" s="832"/>
      <c r="W303" s="832"/>
      <c r="X303" s="832"/>
    </row>
    <row r="304" spans="1:24" s="812" customFormat="1" ht="39.950000000000003" hidden="1" customHeight="1" x14ac:dyDescent="0.15">
      <c r="A304" s="2072">
        <f ca="1">+Orçamento_Não_Deson!A304</f>
        <v>5</v>
      </c>
      <c r="B304" s="833">
        <f>+Orçamento_Não_Deson!B304</f>
        <v>92413</v>
      </c>
      <c r="C304" s="2" t="str">
        <f>VLOOKUP($B304,[2]BOLETIM_SEL!$A:$H,2,0)</f>
        <v>SINAPI</v>
      </c>
      <c r="D304" s="315" t="str">
        <f>VLOOKUP($B304,[2]BOLETIM_SEL!$A:$H,4,0)</f>
        <v>Montagem e desmontagem de fôrma de pilares retangulares e estruturas similares, pé-direito simples, em madeira serrada, 4 utilizações. AF_09/2020</v>
      </c>
      <c r="E304" s="2">
        <f>+Orçamento_Não_Deson!E304</f>
        <v>0</v>
      </c>
      <c r="F304" s="2" t="str">
        <f>VLOOKUP($B304,[2]BOLETIM_SEL!$A:$H,6,0)</f>
        <v>M2</v>
      </c>
      <c r="G304" s="1407">
        <f>VLOOKUP($B304,[2]BOLETIM_SEL!$A:$H,7,0)</f>
        <v>85.37</v>
      </c>
      <c r="H304" s="1608">
        <f>+Orçamento_Não_Deson!H304</f>
        <v>0</v>
      </c>
      <c r="I304" s="876">
        <f t="shared" si="63"/>
        <v>109.41</v>
      </c>
      <c r="J304" s="1607">
        <f t="shared" si="60"/>
        <v>0</v>
      </c>
      <c r="K304" s="2069">
        <f t="shared" ca="1" si="62"/>
        <v>0</v>
      </c>
      <c r="L304" s="1570" t="e">
        <f t="shared" si="64"/>
        <v>#DIV/0!</v>
      </c>
      <c r="M304" s="1967"/>
      <c r="N304" s="832"/>
      <c r="O304" s="832"/>
      <c r="Q304" s="832"/>
      <c r="R304" s="832"/>
      <c r="S304" s="832"/>
      <c r="T304" s="832"/>
      <c r="U304" s="832"/>
      <c r="V304" s="832"/>
      <c r="W304" s="832"/>
      <c r="X304" s="832"/>
    </row>
    <row r="305" spans="1:24" s="812" customFormat="1" ht="30" hidden="1" customHeight="1" x14ac:dyDescent="0.15">
      <c r="A305" s="2072">
        <f ca="1">+Orçamento_Não_Deson!A305</f>
        <v>5</v>
      </c>
      <c r="B305" s="833">
        <f>+Orçamento_Não_Deson!B305</f>
        <v>96543</v>
      </c>
      <c r="C305" s="2" t="str">
        <f>VLOOKUP($B305,[2]BOLETIM_SEL!$A:$H,2,0)</f>
        <v>SINAPI</v>
      </c>
      <c r="D305" s="315" t="str">
        <f>VLOOKUP($B305,[2]BOLETIM_SEL!$A:$H,4,0)</f>
        <v>Armação de bloco, viga baldrame e sapata utilizando aço CA-60 de 5 mm - montagem. AF_06/2017</v>
      </c>
      <c r="E305" s="2">
        <f>+Orçamento_Não_Deson!E305</f>
        <v>0</v>
      </c>
      <c r="F305" s="2" t="str">
        <f>VLOOKUP($B305,[2]BOLETIM_SEL!$A:$H,6,0)</f>
        <v>KG</v>
      </c>
      <c r="G305" s="1407">
        <f>VLOOKUP($B305,[2]BOLETIM_SEL!$A:$H,7,0)</f>
        <v>16.38</v>
      </c>
      <c r="H305" s="1608">
        <f>+Orçamento_Não_Deson!H305</f>
        <v>0</v>
      </c>
      <c r="I305" s="876">
        <f t="shared" si="63"/>
        <v>20.99</v>
      </c>
      <c r="J305" s="1607">
        <f t="shared" si="60"/>
        <v>0</v>
      </c>
      <c r="K305" s="2069">
        <f t="shared" ca="1" si="62"/>
        <v>0</v>
      </c>
      <c r="L305" s="1570" t="e">
        <f t="shared" si="64"/>
        <v>#DIV/0!</v>
      </c>
      <c r="M305" s="1967"/>
      <c r="N305" s="832"/>
      <c r="O305" s="832"/>
      <c r="Q305" s="832"/>
      <c r="R305" s="832"/>
      <c r="S305" s="832"/>
      <c r="T305" s="832"/>
      <c r="U305" s="832"/>
      <c r="V305" s="832"/>
      <c r="W305" s="832"/>
      <c r="X305" s="832"/>
    </row>
    <row r="306" spans="1:24" s="812" customFormat="1" ht="30" hidden="1" customHeight="1" x14ac:dyDescent="0.15">
      <c r="A306" s="2072">
        <f ca="1">Orçamento_Não_Deson!A306</f>
        <v>5</v>
      </c>
      <c r="B306" s="833">
        <f>Orçamento_Não_Deson!B306</f>
        <v>100342</v>
      </c>
      <c r="C306" s="2" t="str">
        <f>VLOOKUP($B306,[2]BOLETIM_SEL!$A:$H,2,0)</f>
        <v>SINAPI</v>
      </c>
      <c r="D306" s="315" t="str">
        <f>VLOOKUP($B306,[2]BOLETIM_SEL!$A:$H,4,0)</f>
        <v>Armação de cortina de contenção em concreto armado, com aço CA-50 de 6,3 mm - montagem. AF_07/2019</v>
      </c>
      <c r="E306" s="2">
        <f>Orçamento_Não_Deson!E306</f>
        <v>0</v>
      </c>
      <c r="F306" s="2" t="str">
        <f>VLOOKUP($B306,[2]BOLETIM_SEL!$A:$H,6,0)</f>
        <v>KG</v>
      </c>
      <c r="G306" s="1407">
        <f>VLOOKUP($B306,[2]BOLETIM_SEL!$A:$H,7,0)</f>
        <v>13.77</v>
      </c>
      <c r="H306" s="1608">
        <f>Orçamento_Não_Deson!H306</f>
        <v>0</v>
      </c>
      <c r="I306" s="876">
        <f t="shared" si="63"/>
        <v>17.64</v>
      </c>
      <c r="J306" s="1607">
        <f t="shared" si="60"/>
        <v>0</v>
      </c>
      <c r="K306" s="2069">
        <f t="shared" ca="1" si="62"/>
        <v>0</v>
      </c>
      <c r="L306" s="1570" t="e">
        <f t="shared" si="64"/>
        <v>#DIV/0!</v>
      </c>
      <c r="M306" s="1967"/>
      <c r="N306" s="832"/>
      <c r="O306" s="832"/>
      <c r="Q306" s="832"/>
      <c r="R306" s="832"/>
      <c r="S306" s="832"/>
      <c r="T306" s="832"/>
      <c r="U306" s="832"/>
      <c r="V306" s="832"/>
      <c r="W306" s="832"/>
      <c r="X306" s="832"/>
    </row>
    <row r="307" spans="1:24" s="812" customFormat="1" ht="30" hidden="1" customHeight="1" x14ac:dyDescent="0.15">
      <c r="A307" s="2072">
        <f ca="1">+Orçamento_Não_Deson!A307</f>
        <v>5</v>
      </c>
      <c r="B307" s="833">
        <f>+Orçamento_Não_Deson!B307</f>
        <v>100343</v>
      </c>
      <c r="C307" s="2" t="str">
        <f>VLOOKUP($B307,[2]BOLETIM_SEL!$A:$H,2,0)</f>
        <v>SINAPI</v>
      </c>
      <c r="D307" s="315" t="str">
        <f>VLOOKUP($B307,[2]BOLETIM_SEL!$A:$H,4,0)</f>
        <v>Armação de cortina de contenção em concreto armado, com aço CA-50 de 8 mm - montagem. AF_07/2019</v>
      </c>
      <c r="E307" s="2">
        <f>+Orçamento_Não_Deson!E307</f>
        <v>0</v>
      </c>
      <c r="F307" s="2" t="str">
        <f>VLOOKUP($B307,[2]BOLETIM_SEL!$A:$H,6,0)</f>
        <v>KG</v>
      </c>
      <c r="G307" s="1407">
        <f>VLOOKUP($B307,[2]BOLETIM_SEL!$A:$H,7,0)</f>
        <v>13.09</v>
      </c>
      <c r="H307" s="1608">
        <f>+Orçamento_Não_Deson!H307</f>
        <v>0</v>
      </c>
      <c r="I307" s="876">
        <f t="shared" si="63"/>
        <v>16.77</v>
      </c>
      <c r="J307" s="1607">
        <f t="shared" si="60"/>
        <v>0</v>
      </c>
      <c r="K307" s="2069">
        <f t="shared" ca="1" si="62"/>
        <v>0</v>
      </c>
      <c r="L307" s="1570" t="e">
        <f t="shared" si="64"/>
        <v>#DIV/0!</v>
      </c>
      <c r="M307" s="1967"/>
      <c r="N307" s="832"/>
      <c r="O307" s="832"/>
      <c r="Q307" s="832"/>
      <c r="R307" s="832"/>
      <c r="S307" s="832"/>
      <c r="T307" s="832"/>
      <c r="U307" s="832"/>
      <c r="V307" s="832"/>
      <c r="W307" s="832"/>
      <c r="X307" s="832"/>
    </row>
    <row r="308" spans="1:24" s="812" customFormat="1" ht="30" hidden="1" customHeight="1" x14ac:dyDescent="0.15">
      <c r="A308" s="2072">
        <f ca="1">+Orçamento_Não_Deson!A308</f>
        <v>5</v>
      </c>
      <c r="B308" s="833">
        <f>+Orçamento_Não_Deson!B308</f>
        <v>100344</v>
      </c>
      <c r="C308" s="2" t="str">
        <f>VLOOKUP($B308,[2]BOLETIM_SEL!$A:$H,2,0)</f>
        <v>SINAPI</v>
      </c>
      <c r="D308" s="315" t="str">
        <f>VLOOKUP($B308,[2]BOLETIM_SEL!$A:$H,4,0)</f>
        <v>Armação de cortina de contenção em concreto armado, com aço CA-50 de 10 mm - montagem. AF_07/2019</v>
      </c>
      <c r="E308" s="2">
        <f>+Orçamento_Não_Deson!E308</f>
        <v>0</v>
      </c>
      <c r="F308" s="2" t="str">
        <f>VLOOKUP($B308,[2]BOLETIM_SEL!$A:$H,6,0)</f>
        <v>KG</v>
      </c>
      <c r="G308" s="1407">
        <f>VLOOKUP($B308,[2]BOLETIM_SEL!$A:$H,7,0)</f>
        <v>11.78</v>
      </c>
      <c r="H308" s="1608">
        <f>+Orçamento_Não_Deson!H308</f>
        <v>0</v>
      </c>
      <c r="I308" s="876">
        <f t="shared" si="63"/>
        <v>15.09</v>
      </c>
      <c r="J308" s="1607">
        <f t="shared" si="60"/>
        <v>0</v>
      </c>
      <c r="K308" s="2069">
        <f t="shared" ca="1" si="62"/>
        <v>0</v>
      </c>
      <c r="L308" s="1570" t="e">
        <f t="shared" si="64"/>
        <v>#DIV/0!</v>
      </c>
      <c r="M308" s="1967"/>
      <c r="N308" s="832"/>
      <c r="O308" s="832"/>
      <c r="Q308" s="832"/>
      <c r="R308" s="832"/>
      <c r="S308" s="832"/>
      <c r="T308" s="832"/>
      <c r="U308" s="832"/>
      <c r="V308" s="832"/>
      <c r="W308" s="832"/>
      <c r="X308" s="832"/>
    </row>
    <row r="309" spans="1:24" s="812" customFormat="1" ht="30" hidden="1" customHeight="1" x14ac:dyDescent="0.15">
      <c r="A309" s="2072">
        <f ca="1">+Orçamento_Não_Deson!A309</f>
        <v>5</v>
      </c>
      <c r="B309" s="833">
        <f>+Orçamento_Não_Deson!B309</f>
        <v>100345</v>
      </c>
      <c r="C309" s="2" t="str">
        <f>VLOOKUP($B309,[2]BOLETIM_SEL!$A:$H,2,0)</f>
        <v>SINAPI</v>
      </c>
      <c r="D309" s="315" t="str">
        <f>VLOOKUP($B309,[2]BOLETIM_SEL!$A:$H,4,0)</f>
        <v>Armação de cortina de contenção em concreto armado, com aço CA-50 de 12,5 mm - montagem. AF_07/2019</v>
      </c>
      <c r="E309" s="2">
        <f>+Orçamento_Não_Deson!E309</f>
        <v>0</v>
      </c>
      <c r="F309" s="2" t="str">
        <f>VLOOKUP($B309,[2]BOLETIM_SEL!$A:$H,6,0)</f>
        <v>KG</v>
      </c>
      <c r="G309" s="1407">
        <f>VLOOKUP($B309,[2]BOLETIM_SEL!$A:$H,7,0)</f>
        <v>9.99</v>
      </c>
      <c r="H309" s="1608">
        <f>+Orçamento_Não_Deson!H309</f>
        <v>0</v>
      </c>
      <c r="I309" s="876">
        <f t="shared" si="63"/>
        <v>12.8</v>
      </c>
      <c r="J309" s="1607">
        <f t="shared" si="60"/>
        <v>0</v>
      </c>
      <c r="K309" s="2069">
        <f t="shared" ca="1" si="62"/>
        <v>0</v>
      </c>
      <c r="L309" s="1570" t="e">
        <f t="shared" si="64"/>
        <v>#DIV/0!</v>
      </c>
      <c r="M309" s="1967"/>
      <c r="N309" s="832"/>
      <c r="O309" s="832"/>
      <c r="Q309" s="832"/>
      <c r="R309" s="832"/>
      <c r="S309" s="832"/>
      <c r="T309" s="832"/>
      <c r="U309" s="832"/>
      <c r="V309" s="832"/>
      <c r="W309" s="832"/>
      <c r="X309" s="832"/>
    </row>
    <row r="310" spans="1:24" s="812" customFormat="1" ht="39.950000000000003" hidden="1" customHeight="1" x14ac:dyDescent="0.15">
      <c r="A310" s="2072">
        <f ca="1">+Orçamento_Não_Deson!A310</f>
        <v>5</v>
      </c>
      <c r="B310" s="833">
        <f>+Orçamento_Não_Deson!B310</f>
        <v>91593</v>
      </c>
      <c r="C310" s="2" t="str">
        <f>VLOOKUP($B310,[2]BOLETIM_SEL!$A:$H,2,0)</f>
        <v>SINAPI</v>
      </c>
      <c r="D310" s="315" t="str">
        <f>VLOOKUP($B310,[2]BOLETIM_SEL!$A:$H,4,0)</f>
        <v>Armação do sistema de paredes de concreto, executada em paredes de edificações de múltiplos pavimentos, tela Q-138. AF_06/2019</v>
      </c>
      <c r="E310" s="2">
        <f>+Orçamento_Não_Deson!E310</f>
        <v>0</v>
      </c>
      <c r="F310" s="2" t="str">
        <f>VLOOKUP($B310,[2]BOLETIM_SEL!$A:$H,6,0)</f>
        <v>KG</v>
      </c>
      <c r="G310" s="1407">
        <f>VLOOKUP($B310,[2]BOLETIM_SEL!$A:$H,7,0)</f>
        <v>9.67</v>
      </c>
      <c r="H310" s="1608">
        <f>+Orçamento_Não_Deson!H310</f>
        <v>0</v>
      </c>
      <c r="I310" s="876">
        <f t="shared" si="63"/>
        <v>12.39</v>
      </c>
      <c r="J310" s="1607">
        <f t="shared" si="60"/>
        <v>0</v>
      </c>
      <c r="K310" s="2069">
        <f t="shared" ca="1" si="62"/>
        <v>0</v>
      </c>
      <c r="L310" s="1570" t="e">
        <f t="shared" si="64"/>
        <v>#DIV/0!</v>
      </c>
      <c r="M310" s="1967"/>
      <c r="N310" s="832"/>
      <c r="O310" s="832"/>
      <c r="Q310" s="832"/>
      <c r="R310" s="832"/>
      <c r="S310" s="832"/>
      <c r="T310" s="832"/>
      <c r="U310" s="832"/>
      <c r="V310" s="832"/>
      <c r="W310" s="832"/>
      <c r="X310" s="832"/>
    </row>
    <row r="311" spans="1:24" s="812" customFormat="1" ht="39.950000000000003" hidden="1" customHeight="1" x14ac:dyDescent="0.15">
      <c r="A311" s="2072">
        <f ca="1">+Orçamento_Não_Deson!A311</f>
        <v>5</v>
      </c>
      <c r="B311" s="833">
        <f>+Orçamento_Não_Deson!B311</f>
        <v>91594</v>
      </c>
      <c r="C311" s="2" t="str">
        <f>VLOOKUP($B311,[2]BOLETIM_SEL!$A:$H,2,0)</f>
        <v>SINAPI</v>
      </c>
      <c r="D311" s="315" t="str">
        <f>VLOOKUP($B311,[2]BOLETIM_SEL!$A:$H,4,0)</f>
        <v>Armação em tela soldada nervurada Q-92 (15x15cm) #4,2x4,2mm (1,48kg/m²), aço CA-60, para estrutura, fornecimento e aplicação</v>
      </c>
      <c r="E311" s="2">
        <f>+Orçamento_Não_Deson!E311</f>
        <v>0</v>
      </c>
      <c r="F311" s="2" t="str">
        <f>VLOOKUP($B311,[2]BOLETIM_SEL!$A:$H,6,0)</f>
        <v>KG</v>
      </c>
      <c r="G311" s="1407">
        <f>VLOOKUP($B311,[2]BOLETIM_SEL!$A:$H,7,0)</f>
        <v>10.029999999999999</v>
      </c>
      <c r="H311" s="1608">
        <f>+Orçamento_Não_Deson!H311</f>
        <v>0</v>
      </c>
      <c r="I311" s="876">
        <f t="shared" si="63"/>
        <v>12.85</v>
      </c>
      <c r="J311" s="1607">
        <f t="shared" si="60"/>
        <v>0</v>
      </c>
      <c r="K311" s="2069">
        <f t="shared" ca="1" si="62"/>
        <v>0</v>
      </c>
      <c r="L311" s="1570" t="e">
        <f t="shared" si="64"/>
        <v>#DIV/0!</v>
      </c>
      <c r="M311" s="1967"/>
      <c r="N311" s="832"/>
      <c r="O311" s="832"/>
      <c r="Q311" s="832"/>
      <c r="R311" s="832"/>
      <c r="S311" s="832"/>
      <c r="T311" s="832"/>
      <c r="U311" s="832"/>
      <c r="V311" s="832"/>
      <c r="W311" s="832"/>
      <c r="X311" s="832"/>
    </row>
    <row r="312" spans="1:24" s="812" customFormat="1" ht="39.950000000000003" hidden="1" customHeight="1" x14ac:dyDescent="0.15">
      <c r="A312" s="2072">
        <f ca="1">Orçamento_Não_Deson!A312</f>
        <v>5</v>
      </c>
      <c r="B312" s="833">
        <f>Orçamento_Não_Deson!B312</f>
        <v>101792</v>
      </c>
      <c r="C312" s="2" t="str">
        <f>VLOOKUP($B312,[2]BOLETIM_SEL!$A:$H,2,0)</f>
        <v>SINAPI</v>
      </c>
      <c r="D312" s="315" t="str">
        <f>VLOOKUP($B312,[2]BOLETIM_SEL!$A:$H,4,0)</f>
        <v>Escoramento de fôrmas de laje em madeira não aparelhada, pé-direito simples, incluso travamento, 4 utilizações. AF_09/2020</v>
      </c>
      <c r="E312" s="2">
        <f>Orçamento_Não_Deson!E312</f>
        <v>0</v>
      </c>
      <c r="F312" s="2" t="str">
        <f>VLOOKUP($B312,[2]BOLETIM_SEL!$A:$H,6,0)</f>
        <v>M3</v>
      </c>
      <c r="G312" s="1407">
        <f>VLOOKUP($B312,[2]BOLETIM_SEL!$A:$H,7,0)</f>
        <v>15.33</v>
      </c>
      <c r="H312" s="1608">
        <f>Orçamento_Não_Deson!H312</f>
        <v>0</v>
      </c>
      <c r="I312" s="876">
        <f t="shared" si="63"/>
        <v>19.64</v>
      </c>
      <c r="J312" s="1607">
        <f t="shared" si="60"/>
        <v>0</v>
      </c>
      <c r="K312" s="2069">
        <f t="shared" ca="1" si="62"/>
        <v>0</v>
      </c>
      <c r="L312" s="1570" t="e">
        <f t="shared" si="64"/>
        <v>#DIV/0!</v>
      </c>
      <c r="M312" s="1967"/>
      <c r="N312" s="832"/>
      <c r="O312" s="832"/>
      <c r="Q312" s="832"/>
      <c r="R312" s="832"/>
      <c r="S312" s="832"/>
      <c r="T312" s="832"/>
      <c r="U312" s="832"/>
      <c r="V312" s="832"/>
      <c r="W312" s="832"/>
      <c r="X312" s="832"/>
    </row>
    <row r="313" spans="1:24" s="812" customFormat="1" ht="24.95" hidden="1" customHeight="1" x14ac:dyDescent="0.15">
      <c r="A313" s="2072"/>
      <c r="B313" s="833"/>
      <c r="C313" s="833"/>
      <c r="D313" s="834"/>
      <c r="E313" s="2"/>
      <c r="F313" s="833"/>
      <c r="G313" s="1814"/>
      <c r="H313" s="1"/>
      <c r="I313" s="876"/>
      <c r="J313" s="838">
        <f>IF(J294=0,0,"")</f>
        <v>0</v>
      </c>
      <c r="K313" s="2069"/>
      <c r="L313" s="1570"/>
      <c r="M313" s="1826"/>
      <c r="N313" s="832"/>
      <c r="O313" s="832"/>
      <c r="Q313" s="832"/>
      <c r="R313" s="832"/>
      <c r="S313" s="832"/>
      <c r="T313" s="832"/>
      <c r="U313" s="832"/>
      <c r="V313" s="832"/>
      <c r="W313" s="832"/>
      <c r="X313" s="832"/>
    </row>
    <row r="314" spans="1:24" s="832" customFormat="1" ht="24.95" hidden="1" customHeight="1" x14ac:dyDescent="0.15">
      <c r="A314" s="2073">
        <f ca="1">IF(J314&gt;0,INT(A312)+1,IF(J314=0,INT(A312),0))</f>
        <v>5</v>
      </c>
      <c r="B314" s="1626"/>
      <c r="C314" s="1626"/>
      <c r="D314" s="1634" t="s">
        <v>2095</v>
      </c>
      <c r="E314" s="1821"/>
      <c r="F314" s="1628"/>
      <c r="G314" s="1828" t="s">
        <v>2108</v>
      </c>
      <c r="H314" s="1630"/>
      <c r="I314" s="1633" t="str">
        <f ca="1">CONCATENATE("SUB-TOTAL ",A314)</f>
        <v>SUB-TOTAL 5</v>
      </c>
      <c r="J314" s="1632">
        <f>SUM(J315:J411)</f>
        <v>0</v>
      </c>
      <c r="K314" s="2070">
        <f ca="1">J314/J$930</f>
        <v>0</v>
      </c>
      <c r="L314" s="1570" t="e">
        <f>J314/$J$314</f>
        <v>#DIV/0!</v>
      </c>
    </row>
    <row r="315" spans="1:24" s="812" customFormat="1" ht="24.95" hidden="1" customHeight="1" x14ac:dyDescent="0.15">
      <c r="A315" s="2072"/>
      <c r="B315" s="833"/>
      <c r="C315" s="2"/>
      <c r="D315" s="1449" t="s">
        <v>35</v>
      </c>
      <c r="E315" s="2"/>
      <c r="F315" s="2"/>
      <c r="G315" s="1814"/>
      <c r="H315" s="2"/>
      <c r="I315" s="2"/>
      <c r="J315" s="838" t="str">
        <f>IF(J316=0,"-","")</f>
        <v>-</v>
      </c>
      <c r="K315" s="2069"/>
      <c r="L315" s="1570"/>
      <c r="M315" s="1967"/>
      <c r="N315" s="832"/>
      <c r="O315" s="832"/>
      <c r="Q315" s="832"/>
      <c r="R315" s="832"/>
      <c r="S315" s="832"/>
      <c r="T315" s="832"/>
      <c r="U315" s="832"/>
      <c r="V315" s="832"/>
      <c r="W315" s="832"/>
      <c r="X315" s="832"/>
    </row>
    <row r="316" spans="1:24" s="812" customFormat="1" ht="39.950000000000003" hidden="1" customHeight="1" x14ac:dyDescent="0.15">
      <c r="A316" s="2072">
        <f ca="1">+Orçamento_Não_Deson!A316</f>
        <v>5</v>
      </c>
      <c r="B316" s="833">
        <f>+Orçamento_Não_Deson!B316</f>
        <v>98525</v>
      </c>
      <c r="C316" s="2" t="str">
        <f>VLOOKUP($B316,[2]BOLETIM_SEL!$A:$H,2,0)</f>
        <v>SINAPI</v>
      </c>
      <c r="D316" s="315" t="str">
        <f>VLOOKUP($B316,[2]BOLETIM_SEL!$A:$H,4,0)</f>
        <v>Limpeza mecanizada de camada vegetal, vegetação e pequenas árvores (diâmetro nominal de tronco menor que 0,20 m), com trator de esteiras. AF_05/2018</v>
      </c>
      <c r="E316" s="2">
        <f>+Orçamento_Não_Deson!E316</f>
        <v>0</v>
      </c>
      <c r="F316" s="2" t="str">
        <f>VLOOKUP($B316,[2]BOLETIM_SEL!$A:$H,6,0)</f>
        <v>M2</v>
      </c>
      <c r="G316" s="1407">
        <f>VLOOKUP($B316,[2]BOLETIM_SEL!$A:$H,7,0)</f>
        <v>0.35</v>
      </c>
      <c r="H316" s="1608">
        <f>+Orçamento_Não_Deson!H316</f>
        <v>0</v>
      </c>
      <c r="I316" s="876">
        <f t="shared" ref="I316:I321" si="65">TRUNC(G316*(1+$J$5),2)</f>
        <v>0.44</v>
      </c>
      <c r="J316" s="1607">
        <f t="shared" ref="J316:J321" si="66">TRUNC(H316*I316,2)</f>
        <v>0</v>
      </c>
      <c r="K316" s="2069">
        <f t="shared" ref="K316:K321" ca="1" si="67">J316/J$930</f>
        <v>0</v>
      </c>
      <c r="L316" s="1570" t="e">
        <f>J316/$J$314</f>
        <v>#DIV/0!</v>
      </c>
      <c r="M316" s="1967"/>
      <c r="N316" s="832"/>
      <c r="O316" s="832"/>
    </row>
    <row r="317" spans="1:24" s="812" customFormat="1" ht="39.950000000000003" hidden="1" customHeight="1" x14ac:dyDescent="0.15">
      <c r="A317" s="2072">
        <f ca="1">+Orçamento_Não_Deson!A317</f>
        <v>5</v>
      </c>
      <c r="B317" s="833" t="str">
        <f>+Orçamento_Não_Deson!B317</f>
        <v>SC/0068</v>
      </c>
      <c r="C317" s="2" t="str">
        <f>VLOOKUP($B317,[2]BOLETIM_SEL!$A:$H,2,0)</f>
        <v>COMPOSIÇÃO</v>
      </c>
      <c r="D317" s="315" t="str">
        <f>VLOOKUP($B317,[2]BOLETIM_SEL!$A:$H,4,0)</f>
        <v>Revestimento de pátio com pedra britada com espessura de 5 cm com regularização do terreno com motoniveladora. Exclusive transporte. (REF SINAPI COD 100575)</v>
      </c>
      <c r="E317" s="2">
        <f>+Orçamento_Não_Deson!E317</f>
        <v>0</v>
      </c>
      <c r="F317" s="2" t="str">
        <f>VLOOKUP($B317,[2]BOLETIM_SEL!$A:$H,6,0)</f>
        <v>M2</v>
      </c>
      <c r="G317" s="1407">
        <f>VLOOKUP($B317,[2]BOLETIM_SEL!$A:$H,7,0)</f>
        <v>5.44</v>
      </c>
      <c r="H317" s="1608">
        <f>+Orçamento_Não_Deson!H317</f>
        <v>0</v>
      </c>
      <c r="I317" s="876">
        <f t="shared" si="65"/>
        <v>6.97</v>
      </c>
      <c r="J317" s="1607">
        <f t="shared" si="66"/>
        <v>0</v>
      </c>
      <c r="K317" s="2069">
        <f t="shared" ca="1" si="67"/>
        <v>0</v>
      </c>
      <c r="L317" s="1570" t="e">
        <f t="shared" ref="L317:L321" si="68">J317/$J$314</f>
        <v>#DIV/0!</v>
      </c>
      <c r="M317" s="1967"/>
      <c r="N317" s="832"/>
      <c r="O317" s="832"/>
      <c r="P317" s="832"/>
      <c r="Q317" s="832"/>
      <c r="R317" s="832"/>
      <c r="S317" s="832"/>
      <c r="T317" s="832"/>
      <c r="U317" s="832"/>
      <c r="V317" s="832"/>
      <c r="W317" s="832"/>
      <c r="X317" s="832"/>
    </row>
    <row r="318" spans="1:24" s="812" customFormat="1" ht="50.1" hidden="1" customHeight="1" x14ac:dyDescent="0.15">
      <c r="A318" s="2072">
        <f ca="1">+Orçamento_Não_Deson!A318</f>
        <v>5</v>
      </c>
      <c r="B318" s="833" t="str">
        <f>+Orçamento_Não_Deson!B318</f>
        <v>SP/0020</v>
      </c>
      <c r="C318" s="2" t="str">
        <f>VLOOKUP($B318,[2]BOLETIM_SEL!$A:$H,2,0)</f>
        <v>COMPOSIÇÃO</v>
      </c>
      <c r="D318" s="315" t="str">
        <f>VLOOKUP($B318,[2]BOLETIM_SEL!$A:$H,4,0)</f>
        <v>Segurança de trânsito - sinalização de advertência de obra com placa (fundo laranja) sobre cavalete, conforme ABNT - NBR-7678 Segurança na execução de obras e serviços de construção Ministério do Trabalho e da Previdência Social - NB-26 - Sinalização De Segurança CONTRAN - Manual De Noções De Normas De Trânsito</v>
      </c>
      <c r="E318" s="2">
        <f>+Orçamento_Não_Deson!E318</f>
        <v>0</v>
      </c>
      <c r="F318" s="2" t="str">
        <f>VLOOKUP($B318,[2]BOLETIM_SEL!$A:$H,6,0)</f>
        <v>M2</v>
      </c>
      <c r="G318" s="1407">
        <f>VLOOKUP($B318,[2]BOLETIM_SEL!$A:$H,7,0)</f>
        <v>135.69999999999999</v>
      </c>
      <c r="H318" s="1608">
        <f>+Orçamento_Não_Deson!H318</f>
        <v>0</v>
      </c>
      <c r="I318" s="876">
        <f t="shared" si="65"/>
        <v>173.92</v>
      </c>
      <c r="J318" s="1607">
        <f t="shared" si="66"/>
        <v>0</v>
      </c>
      <c r="K318" s="2069">
        <f t="shared" ca="1" si="67"/>
        <v>0</v>
      </c>
      <c r="L318" s="1570" t="e">
        <f t="shared" si="68"/>
        <v>#DIV/0!</v>
      </c>
      <c r="M318" s="1967"/>
      <c r="N318" s="832"/>
      <c r="O318" s="832"/>
      <c r="P318" s="832"/>
      <c r="Q318" s="832"/>
      <c r="R318" s="832"/>
      <c r="S318" s="832"/>
      <c r="X318" s="815"/>
    </row>
    <row r="319" spans="1:24" s="812" customFormat="1" ht="50.1" hidden="1" customHeight="1" x14ac:dyDescent="0.15">
      <c r="A319" s="2072">
        <f ca="1">+Orçamento_Não_Deson!A319</f>
        <v>5</v>
      </c>
      <c r="B319" s="833" t="str">
        <f>+Orçamento_Não_Deson!B319</f>
        <v>SP/0030</v>
      </c>
      <c r="C319" s="2" t="str">
        <f>VLOOKUP($B319,[2]BOLETIM_SEL!$A:$H,2,0)</f>
        <v>COMPOSIÇÃO</v>
      </c>
      <c r="D319" s="315" t="str">
        <f>VLOOKUP($B319,[2]BOLETIM_SEL!$A:$H,4,0)</f>
        <v>Segurança de trânsito - isolamento de obra com tela cerquite plática laranja conforme ABNT - NBR-7678 Segurança na execução de obras e serviços de construção Ministério do Trabalho e da Previdência Social - NB-26 - Sinalização De Segurança CONTRAN - Manual De Noções De Normas De Trânsito</v>
      </c>
      <c r="E319" s="2">
        <f>+Orçamento_Não_Deson!E319</f>
        <v>0</v>
      </c>
      <c r="F319" s="2" t="str">
        <f>VLOOKUP($B319,[2]BOLETIM_SEL!$A:$H,6,0)</f>
        <v>M</v>
      </c>
      <c r="G319" s="1407">
        <f>VLOOKUP($B319,[2]BOLETIM_SEL!$A:$H,7,0)</f>
        <v>9.85</v>
      </c>
      <c r="H319" s="1608">
        <f>+Orçamento_Não_Deson!H319</f>
        <v>0</v>
      </c>
      <c r="I319" s="876">
        <f t="shared" si="65"/>
        <v>12.62</v>
      </c>
      <c r="J319" s="1607">
        <f t="shared" si="66"/>
        <v>0</v>
      </c>
      <c r="K319" s="2069">
        <f t="shared" ca="1" si="67"/>
        <v>0</v>
      </c>
      <c r="L319" s="1570" t="e">
        <f t="shared" si="68"/>
        <v>#DIV/0!</v>
      </c>
      <c r="M319" s="1967"/>
      <c r="N319" s="832"/>
      <c r="O319" s="832"/>
      <c r="X319" s="832"/>
    </row>
    <row r="320" spans="1:24" s="812" customFormat="1" ht="30" hidden="1" customHeight="1" x14ac:dyDescent="0.15">
      <c r="A320" s="2072">
        <f ca="1">+Orçamento_Não_Deson!A320</f>
        <v>5</v>
      </c>
      <c r="B320" s="833">
        <f>+Orçamento_Não_Deson!B320</f>
        <v>13244</v>
      </c>
      <c r="C320" s="2" t="str">
        <f>VLOOKUP($B320,[2]BOLETIM_SEL!$A:$H,2,0)</f>
        <v>SINAPI</v>
      </c>
      <c r="D320" s="315" t="str">
        <f>VLOOKUP($B320,[2]BOLETIM_SEL!$A:$H,4,0)</f>
        <v>Segurança de trânsito - cone de sinalização em pvc rígido com faixa refletiva, h = 70 / 76 cm</v>
      </c>
      <c r="E320" s="2">
        <f>+Orçamento_Não_Deson!E320</f>
        <v>0</v>
      </c>
      <c r="F320" s="2" t="str">
        <f>VLOOKUP($B320,[2]BOLETIM_SEL!$A:$H,6,0)</f>
        <v xml:space="preserve">UN    </v>
      </c>
      <c r="G320" s="1407">
        <f>VLOOKUP($B320,[2]BOLETIM_SEL!$A:$H,7,0)</f>
        <v>51.9</v>
      </c>
      <c r="H320" s="1608">
        <f>+Orçamento_Não_Deson!H320</f>
        <v>0</v>
      </c>
      <c r="I320" s="876">
        <f t="shared" si="65"/>
        <v>66.52</v>
      </c>
      <c r="J320" s="1607">
        <f t="shared" si="66"/>
        <v>0</v>
      </c>
      <c r="K320" s="2069">
        <f t="shared" ca="1" si="67"/>
        <v>0</v>
      </c>
      <c r="L320" s="1570" t="e">
        <f t="shared" si="68"/>
        <v>#DIV/0!</v>
      </c>
      <c r="M320" s="1967"/>
      <c r="N320" s="832"/>
      <c r="O320" s="832"/>
      <c r="X320" s="832"/>
    </row>
    <row r="321" spans="1:24" s="812" customFormat="1" ht="39.950000000000003" hidden="1" customHeight="1" x14ac:dyDescent="0.15">
      <c r="A321" s="2072">
        <f ca="1">+Orçamento_Não_Deson!A321</f>
        <v>5</v>
      </c>
      <c r="B321" s="833">
        <f>+Orçamento_Não_Deson!B321</f>
        <v>100978</v>
      </c>
      <c r="C321" s="2" t="str">
        <f>VLOOKUP($B321,[2]BOLETIM_SEL!$A:$H,2,0)</f>
        <v>SINAPI</v>
      </c>
      <c r="D321" s="315" t="str">
        <f>VLOOKUP($B321,[2]BOLETIM_SEL!$A:$H,4,0)</f>
        <v>Carga, manobra e descarga de solos e materiais granulares em caminhão basculante 10 m3 - carga com escavadeira hidráulica (capacidade da caçamba: 1,20 m3 / potência: 155 HP) e descarga livre (unidade: m3). AF_07/2020</v>
      </c>
      <c r="E321" s="2">
        <f>+Orçamento_Não_Deson!E321</f>
        <v>0</v>
      </c>
      <c r="F321" s="2" t="str">
        <f>VLOOKUP($B321,[2]BOLETIM_SEL!$A:$H,6,0)</f>
        <v>M3</v>
      </c>
      <c r="G321" s="1407">
        <f>VLOOKUP($B321,[2]BOLETIM_SEL!$A:$H,7,0)</f>
        <v>6.56</v>
      </c>
      <c r="H321" s="1608">
        <f>+Orçamento_Não_Deson!H321</f>
        <v>0</v>
      </c>
      <c r="I321" s="876">
        <f t="shared" si="65"/>
        <v>8.4</v>
      </c>
      <c r="J321" s="1607">
        <f t="shared" si="66"/>
        <v>0</v>
      </c>
      <c r="K321" s="2069">
        <f t="shared" ca="1" si="67"/>
        <v>0</v>
      </c>
      <c r="L321" s="1570" t="e">
        <f t="shared" si="68"/>
        <v>#DIV/0!</v>
      </c>
      <c r="M321" s="1968" t="str">
        <f>+Orçamento_Não_Deson!M321</f>
        <v>ESCAVADEIRA</v>
      </c>
      <c r="N321" s="832"/>
      <c r="O321" s="832"/>
      <c r="P321" s="832"/>
      <c r="Q321" s="832"/>
      <c r="R321" s="832"/>
      <c r="S321" s="832"/>
      <c r="T321" s="832"/>
      <c r="U321" s="832"/>
      <c r="V321" s="832"/>
      <c r="W321" s="832"/>
      <c r="X321" s="832"/>
    </row>
    <row r="322" spans="1:24" s="812" customFormat="1" ht="24.95" hidden="1" customHeight="1" x14ac:dyDescent="0.15">
      <c r="A322" s="2072"/>
      <c r="B322" s="833"/>
      <c r="C322" s="2"/>
      <c r="D322" s="1449" t="s">
        <v>2098</v>
      </c>
      <c r="E322" s="2"/>
      <c r="F322" s="2"/>
      <c r="G322" s="1814"/>
      <c r="H322" s="2"/>
      <c r="I322" s="2"/>
      <c r="J322" s="838" t="str">
        <f>IF(J323=0,"-","")</f>
        <v>-</v>
      </c>
      <c r="K322" s="2069"/>
      <c r="L322" s="1570"/>
      <c r="M322" s="1967"/>
      <c r="N322" s="1957" t="s">
        <v>1951</v>
      </c>
      <c r="O322" s="1648" t="s">
        <v>1977</v>
      </c>
      <c r="Q322" s="832"/>
      <c r="R322" s="832"/>
      <c r="S322" s="832"/>
      <c r="T322" s="832"/>
      <c r="U322" s="832"/>
      <c r="V322" s="832"/>
      <c r="W322" s="832"/>
      <c r="X322" s="832"/>
    </row>
    <row r="323" spans="1:24" s="812" customFormat="1" ht="50.1" hidden="1" customHeight="1" x14ac:dyDescent="0.15">
      <c r="A323" s="2072">
        <f ca="1">Orçamento_Não_Deson!A323</f>
        <v>5</v>
      </c>
      <c r="B323" s="833">
        <f>Orçamento_Não_Deson!B323</f>
        <v>101266</v>
      </c>
      <c r="C323" s="2" t="str">
        <f>VLOOKUP($B323,[2]BOLETIM_SEL!$A:$H,2,0)</f>
        <v>SINAPI</v>
      </c>
      <c r="D323" s="315" t="str">
        <f>VLOOKUP($B323,[2]BOLETIM_SEL!$A:$H,4,0)</f>
        <v>Escavação vertical a céu aberto, em obras de infraestrutura, incluindo carga, descarga e transporte, em solo de 1a categoria com escavadeira hidráulica (caçamba: 0,80 m3 / 111 HP), frota de 3 caminhões basculantes de 10 m3, DMT até 1 km e velocidade média 14 km/h. AF_05/2020</v>
      </c>
      <c r="E323" s="2">
        <f>Orçamento_Não_Deson!E323</f>
        <v>0</v>
      </c>
      <c r="F323" s="2" t="str">
        <f>VLOOKUP($B323,[2]BOLETIM_SEL!$A:$H,6,0)</f>
        <v>M3</v>
      </c>
      <c r="G323" s="1407">
        <f>VLOOKUP($B323,[2]BOLETIM_SEL!$A:$H,7,0)</f>
        <v>10.74</v>
      </c>
      <c r="H323" s="1608">
        <f>Orçamento_Não_Deson!H323</f>
        <v>0</v>
      </c>
      <c r="I323" s="876">
        <f t="shared" ref="I323:I342" si="69">TRUNC(G323*(1+$J$5),2)</f>
        <v>13.76</v>
      </c>
      <c r="J323" s="1607">
        <f t="shared" ref="J323:J342" si="70">TRUNC(H323*I323,2)</f>
        <v>0</v>
      </c>
      <c r="K323" s="2069">
        <f t="shared" ref="K323:K344" ca="1" si="71">J323/J$930</f>
        <v>0</v>
      </c>
      <c r="L323" s="1570" t="e">
        <f t="shared" ref="L323:L342" si="72">J323/$J$314</f>
        <v>#DIV/0!</v>
      </c>
      <c r="M323" s="1967"/>
      <c r="N323" s="1961">
        <f>VLOOKUP($B323,[2]BOLETIM_SEL!$A:$H,3,0)</f>
        <v>74.63</v>
      </c>
      <c r="O323" s="1649">
        <f>H323/N323</f>
        <v>0</v>
      </c>
      <c r="P323" s="4"/>
      <c r="X323" s="832"/>
    </row>
    <row r="324" spans="1:24" s="812" customFormat="1" ht="39.950000000000003" hidden="1" customHeight="1" x14ac:dyDescent="0.15">
      <c r="A324" s="2072">
        <f ca="1">+Orçamento_Não_Deson!A324</f>
        <v>5</v>
      </c>
      <c r="B324" s="833" t="str">
        <f>+Orçamento_Não_Deson!B324</f>
        <v>DR/0020</v>
      </c>
      <c r="C324" s="2" t="str">
        <f>VLOOKUP($B324,[2]BOLETIM_SEL!$A:$H,2,0)</f>
        <v>COMPOSIÇÃO</v>
      </c>
      <c r="D324" s="315" t="str">
        <f>VLOOKUP($B324,[2]BOLETIM_SEL!$A:$H,4,0)</f>
        <v>Escavação de vala em rocha - 3a categoria, com uso de explosivos e perfuração mecânica, em locais com alto nível de interferência. Inclusive carga</v>
      </c>
      <c r="E324" s="2">
        <f>+Orçamento_Não_Deson!E324</f>
        <v>0</v>
      </c>
      <c r="F324" s="2" t="str">
        <f>VLOOKUP($B324,[2]BOLETIM_SEL!$A:$H,6,0)</f>
        <v>M3</v>
      </c>
      <c r="G324" s="1407">
        <f>VLOOKUP($B324,[2]BOLETIM_SEL!$A:$H,7,0)</f>
        <v>471.16</v>
      </c>
      <c r="H324" s="1608">
        <f>+Orçamento_Não_Deson!H324</f>
        <v>0</v>
      </c>
      <c r="I324" s="876">
        <f t="shared" si="69"/>
        <v>603.88</v>
      </c>
      <c r="J324" s="1607">
        <f t="shared" si="70"/>
        <v>0</v>
      </c>
      <c r="K324" s="2069">
        <f t="shared" ca="1" si="71"/>
        <v>0</v>
      </c>
      <c r="L324" s="1570" t="e">
        <f t="shared" si="72"/>
        <v>#DIV/0!</v>
      </c>
      <c r="M324" s="1967"/>
      <c r="N324" s="1961">
        <f>VLOOKUP($B324,[2]BOLETIM_SEL!$A:$H,3,0)</f>
        <v>3</v>
      </c>
      <c r="O324" s="1649">
        <f t="shared" ref="O324" si="73">+H324/N324</f>
        <v>0</v>
      </c>
      <c r="P324" s="832"/>
      <c r="Q324" s="832"/>
      <c r="R324" s="832"/>
      <c r="S324" s="832"/>
      <c r="T324" s="832"/>
      <c r="U324" s="832"/>
      <c r="V324" s="832"/>
      <c r="W324" s="832"/>
      <c r="X324" s="832"/>
    </row>
    <row r="325" spans="1:24" s="812" customFormat="1" ht="39.950000000000003" hidden="1" customHeight="1" x14ac:dyDescent="0.15">
      <c r="A325" s="2072">
        <f ca="1">+Orçamento_Não_Deson!A325</f>
        <v>5</v>
      </c>
      <c r="B325" s="833" t="str">
        <f>+Orçamento_Não_Deson!B325</f>
        <v>DR/0007</v>
      </c>
      <c r="C325" s="2" t="str">
        <f>VLOOKUP($B325,[2]BOLETIM_SEL!$A:$H,2,0)</f>
        <v>COMPOSIÇÃO</v>
      </c>
      <c r="D325" s="315" t="str">
        <f>VLOOKUP($B325,[2]BOLETIM_SEL!$A:$H,4,0)</f>
        <v>Escavação mecânica para acerto de taludes em material de 1a categoria,com escavadeira hidráulica (REF. SINAPI. COD. 83336)</v>
      </c>
      <c r="E325" s="2">
        <f>+Orçamento_Não_Deson!E325</f>
        <v>0</v>
      </c>
      <c r="F325" s="2" t="str">
        <f>VLOOKUP($B325,[2]BOLETIM_SEL!$A:$H,6,0)</f>
        <v>M3</v>
      </c>
      <c r="G325" s="1407">
        <f>VLOOKUP($B325,[2]BOLETIM_SEL!$A:$H,7,0)</f>
        <v>6</v>
      </c>
      <c r="H325" s="1608">
        <f>+Orçamento_Não_Deson!H325</f>
        <v>0</v>
      </c>
      <c r="I325" s="876">
        <f t="shared" si="69"/>
        <v>7.69</v>
      </c>
      <c r="J325" s="1607">
        <f t="shared" si="70"/>
        <v>0</v>
      </c>
      <c r="K325" s="2069">
        <f t="shared" ca="1" si="71"/>
        <v>0</v>
      </c>
      <c r="L325" s="1570" t="e">
        <f t="shared" si="72"/>
        <v>#DIV/0!</v>
      </c>
      <c r="M325" s="1967"/>
      <c r="O325" s="832"/>
      <c r="P325" s="832"/>
      <c r="Q325" s="832"/>
      <c r="R325" s="832"/>
      <c r="S325" s="832"/>
      <c r="T325" s="832"/>
      <c r="U325" s="832"/>
      <c r="V325" s="832"/>
      <c r="W325" s="832"/>
      <c r="X325" s="832"/>
    </row>
    <row r="326" spans="1:24" s="812" customFormat="1" ht="30" hidden="1" customHeight="1" x14ac:dyDescent="0.15">
      <c r="A326" s="2072">
        <f ca="1">Orçamento_Não_Deson!A326</f>
        <v>5</v>
      </c>
      <c r="B326" s="833">
        <f>Orçamento_Não_Deson!B326</f>
        <v>100575</v>
      </c>
      <c r="C326" s="2" t="str">
        <f>VLOOKUP($B326,[2]BOLETIM_SEL!$A:$H,2,0)</f>
        <v>SINAPI</v>
      </c>
      <c r="D326" s="315" t="str">
        <f>VLOOKUP($B326,[2]BOLETIM_SEL!$A:$H,4,0)</f>
        <v>Regularização de superfícies com motoniveladora. AF_11/2019</v>
      </c>
      <c r="E326" s="2">
        <f>Orçamento_Não_Deson!E326</f>
        <v>0</v>
      </c>
      <c r="F326" s="2" t="str">
        <f>VLOOKUP($B326,[2]BOLETIM_SEL!$A:$H,6,0)</f>
        <v>M2</v>
      </c>
      <c r="G326" s="1407">
        <f>VLOOKUP($B326,[2]BOLETIM_SEL!$A:$H,7,0)</f>
        <v>0.12</v>
      </c>
      <c r="H326" s="1608">
        <f>Orçamento_Não_Deson!H326</f>
        <v>0</v>
      </c>
      <c r="I326" s="876">
        <f t="shared" si="69"/>
        <v>0.15</v>
      </c>
      <c r="J326" s="1607">
        <f t="shared" si="70"/>
        <v>0</v>
      </c>
      <c r="K326" s="2069">
        <f t="shared" ca="1" si="71"/>
        <v>0</v>
      </c>
      <c r="L326" s="1570" t="e">
        <f t="shared" si="72"/>
        <v>#DIV/0!</v>
      </c>
      <c r="M326" s="1967"/>
      <c r="O326" s="832"/>
      <c r="P326" s="832"/>
      <c r="Q326" s="832"/>
      <c r="R326" s="832"/>
      <c r="S326" s="832"/>
      <c r="T326" s="832"/>
      <c r="U326" s="832"/>
      <c r="V326" s="832"/>
      <c r="W326" s="832"/>
      <c r="X326" s="832"/>
    </row>
    <row r="327" spans="1:24" s="812" customFormat="1" ht="30" hidden="1" customHeight="1" x14ac:dyDescent="0.15">
      <c r="A327" s="2072">
        <f ca="1">+Orçamento_Não_Deson!A327</f>
        <v>5</v>
      </c>
      <c r="B327" s="833">
        <f>+Orçamento_Não_Deson!B327</f>
        <v>101617</v>
      </c>
      <c r="C327" s="2" t="str">
        <f>VLOOKUP($B327,[2]BOLETIM_SEL!$A:$H,2,0)</f>
        <v>SINAPI</v>
      </c>
      <c r="D327" s="315" t="str">
        <f>VLOOKUP($B327,[2]BOLETIM_SEL!$A:$H,4,0)</f>
        <v>Preparo de fundo de vala com largura maior ou igual a 1,50 m e menor que 2,50 m (acerto do solo natural). AF_08/2020</v>
      </c>
      <c r="E327" s="2">
        <f>+Orçamento_Não_Deson!E327</f>
        <v>0</v>
      </c>
      <c r="F327" s="2" t="str">
        <f>VLOOKUP($B327,[2]BOLETIM_SEL!$A:$H,6,0)</f>
        <v>M2</v>
      </c>
      <c r="G327" s="1407">
        <f>VLOOKUP($B327,[2]BOLETIM_SEL!$A:$H,7,0)</f>
        <v>2.52</v>
      </c>
      <c r="H327" s="1608">
        <f>+Orçamento_Não_Deson!H327</f>
        <v>0</v>
      </c>
      <c r="I327" s="876">
        <f t="shared" si="69"/>
        <v>3.22</v>
      </c>
      <c r="J327" s="1607">
        <f t="shared" si="70"/>
        <v>0</v>
      </c>
      <c r="K327" s="2069">
        <f t="shared" ca="1" si="71"/>
        <v>0</v>
      </c>
      <c r="L327" s="1570" t="e">
        <f t="shared" si="72"/>
        <v>#DIV/0!</v>
      </c>
      <c r="M327" s="1967"/>
      <c r="O327" s="832"/>
      <c r="P327" s="832"/>
      <c r="Q327" s="832"/>
      <c r="R327" s="832"/>
      <c r="S327" s="832"/>
      <c r="T327" s="832"/>
      <c r="U327" s="832"/>
      <c r="V327" s="832"/>
      <c r="W327" s="832"/>
      <c r="X327" s="832"/>
    </row>
    <row r="328" spans="1:24" s="812" customFormat="1" ht="39.950000000000003" hidden="1" customHeight="1" x14ac:dyDescent="0.15">
      <c r="A328" s="2072">
        <f ca="1">+Orçamento_Não_Deson!A328</f>
        <v>5</v>
      </c>
      <c r="B328" s="833">
        <f>+Orçamento_Não_Deson!B328</f>
        <v>101624</v>
      </c>
      <c r="C328" s="2" t="str">
        <f>VLOOKUP($B328,[2]BOLETIM_SEL!$A:$H,2,0)</f>
        <v>SINAPI</v>
      </c>
      <c r="D328" s="315" t="str">
        <f>VLOOKUP($B328,[2]BOLETIM_SEL!$A:$H,4,0)</f>
        <v>Preparo de fundo de vala com largura maior ou igual a 1,50 m e menor que 2,50 m, com camada de brita, lançamento mecanizado. AF_08/2020</v>
      </c>
      <c r="E328" s="2">
        <f>+Orçamento_Não_Deson!E328</f>
        <v>0</v>
      </c>
      <c r="F328" s="2" t="str">
        <f>VLOOKUP($B328,[2]BOLETIM_SEL!$A:$H,6,0)</f>
        <v>M3</v>
      </c>
      <c r="G328" s="1407">
        <f>VLOOKUP($B328,[2]BOLETIM_SEL!$A:$H,7,0)</f>
        <v>197.04</v>
      </c>
      <c r="H328" s="1608">
        <f>+Orçamento_Não_Deson!H328</f>
        <v>0</v>
      </c>
      <c r="I328" s="876">
        <f t="shared" si="69"/>
        <v>252.54</v>
      </c>
      <c r="J328" s="1607">
        <f t="shared" si="70"/>
        <v>0</v>
      </c>
      <c r="K328" s="2069">
        <f t="shared" ca="1" si="71"/>
        <v>0</v>
      </c>
      <c r="L328" s="1570" t="e">
        <f t="shared" si="72"/>
        <v>#DIV/0!</v>
      </c>
      <c r="M328" s="1967"/>
      <c r="O328" s="832"/>
      <c r="P328" s="832"/>
      <c r="Q328" s="832"/>
      <c r="R328" s="832"/>
      <c r="S328" s="832"/>
      <c r="T328" s="832"/>
      <c r="U328" s="832"/>
      <c r="V328" s="832"/>
      <c r="W328" s="832"/>
      <c r="X328" s="832"/>
    </row>
    <row r="329" spans="1:24" s="812" customFormat="1" ht="39.950000000000003" hidden="1" customHeight="1" x14ac:dyDescent="0.15">
      <c r="A329" s="2072">
        <f ca="1">+Orçamento_Não_Deson!A329</f>
        <v>5</v>
      </c>
      <c r="B329" s="833" t="str">
        <f>+Orçamento_Não_Deson!B329</f>
        <v>DR/0032</v>
      </c>
      <c r="C329" s="2" t="str">
        <f>VLOOKUP($B329,[2]BOLETIM_SEL!$A:$H,2,0)</f>
        <v>COMPOSIÇÃO</v>
      </c>
      <c r="D329" s="315" t="str">
        <f>VLOOKUP($B329,[2]BOLETIM_SEL!$A:$H,4,0)</f>
        <v>Lastro ou enrocamento de pedra-de-mão ou rachão lançado, fornecimento e apiloamento. Exclusive transporte, ref SINAPI 73697, data 01/2020 e SINAPI 92744.</v>
      </c>
      <c r="E329" s="2">
        <f>+Orçamento_Não_Deson!E329</f>
        <v>0</v>
      </c>
      <c r="F329" s="2" t="str">
        <f>VLOOKUP($B329,[2]BOLETIM_SEL!$A:$H,6,0)</f>
        <v>M3</v>
      </c>
      <c r="G329" s="1407">
        <f>VLOOKUP($B329,[2]BOLETIM_SEL!$A:$H,7,0)</f>
        <v>253.46</v>
      </c>
      <c r="H329" s="1608">
        <f>+Orçamento_Não_Deson!H329</f>
        <v>0</v>
      </c>
      <c r="I329" s="876">
        <f t="shared" si="69"/>
        <v>324.85000000000002</v>
      </c>
      <c r="J329" s="1607">
        <f t="shared" si="70"/>
        <v>0</v>
      </c>
      <c r="K329" s="2069">
        <f t="shared" ca="1" si="71"/>
        <v>0</v>
      </c>
      <c r="L329" s="1570" t="e">
        <f t="shared" si="72"/>
        <v>#DIV/0!</v>
      </c>
      <c r="M329" s="1967"/>
      <c r="O329" s="832"/>
      <c r="P329" s="832"/>
      <c r="Q329" s="832"/>
      <c r="R329" s="832"/>
      <c r="S329" s="832"/>
      <c r="T329" s="832"/>
      <c r="U329" s="832"/>
      <c r="V329" s="832"/>
      <c r="W329" s="832"/>
      <c r="X329" s="832"/>
    </row>
    <row r="330" spans="1:24" s="812" customFormat="1" ht="50.1" hidden="1" customHeight="1" x14ac:dyDescent="0.15">
      <c r="A330" s="2072">
        <f ca="1">Orçamento_Não_Deson!A330</f>
        <v>5</v>
      </c>
      <c r="B330" s="833">
        <f>Orçamento_Não_Deson!B330</f>
        <v>93367</v>
      </c>
      <c r="C330" s="2" t="str">
        <f>VLOOKUP($B330,[2]BOLETIM_SEL!$A:$H,2,0)</f>
        <v>SINAPI</v>
      </c>
      <c r="D330" s="315" t="str">
        <f>VLOOKUP($B330,[2]BOLETIM_SEL!$A:$H,4,0)</f>
        <v>Reaterro mecanizado de vala com escavadeira hidráulica (capacidade da caçamba: 0,80 m3 / potência: 111 HP), largura de 1,50 a 2,50 m, profundidade até 1,50 m, com solo (sem substituição) de 1a categoria em locais com baixo nível de interferência. AF_04/2016</v>
      </c>
      <c r="E330" s="2">
        <f>Orçamento_Não_Deson!E330</f>
        <v>0</v>
      </c>
      <c r="F330" s="2" t="str">
        <f>VLOOKUP($B330,[2]BOLETIM_SEL!$A:$H,6,0)</f>
        <v>M3</v>
      </c>
      <c r="G330" s="1407">
        <f>VLOOKUP($B330,[2]BOLETIM_SEL!$A:$H,7,0)</f>
        <v>21.52</v>
      </c>
      <c r="H330" s="1608">
        <f>Orçamento_Não_Deson!H330</f>
        <v>0</v>
      </c>
      <c r="I330" s="876">
        <f t="shared" si="69"/>
        <v>27.58</v>
      </c>
      <c r="J330" s="1607">
        <f t="shared" si="70"/>
        <v>0</v>
      </c>
      <c r="K330" s="2069">
        <f t="shared" ca="1" si="71"/>
        <v>0</v>
      </c>
      <c r="L330" s="1570" t="e">
        <f t="shared" si="72"/>
        <v>#DIV/0!</v>
      </c>
      <c r="M330" s="1967"/>
      <c r="O330" s="832"/>
      <c r="P330" s="832"/>
      <c r="Q330" s="832"/>
      <c r="R330" s="832"/>
      <c r="S330" s="832"/>
      <c r="T330" s="832"/>
      <c r="U330" s="832"/>
      <c r="V330" s="832"/>
      <c r="W330" s="832"/>
      <c r="X330" s="832"/>
    </row>
    <row r="331" spans="1:24" s="812" customFormat="1" ht="50.1" hidden="1" customHeight="1" x14ac:dyDescent="0.15">
      <c r="A331" s="2072">
        <f ca="1">+Orçamento_Não_Deson!A331</f>
        <v>5</v>
      </c>
      <c r="B331" s="833">
        <f>+Orçamento_Não_Deson!B331</f>
        <v>93369</v>
      </c>
      <c r="C331" s="2" t="str">
        <f>VLOOKUP($B331,[2]BOLETIM_SEL!$A:$H,2,0)</f>
        <v>SINAPI</v>
      </c>
      <c r="D331" s="315" t="str">
        <f>VLOOKUP($B331,[2]BOLETIM_SEL!$A:$H,4,0)</f>
        <v>Reaterro mecanizado de vala com escavadeira hidráulica (capacidade da caçamba: 0,80 m3 / potência: 111 HP), largura de 1,50 a 2,50 m, profundidade de 1,50 a 3,00 m, com solo (sem substituição) de 1a categoria em locais com baixo nível de interferência. AF_04/2016</v>
      </c>
      <c r="E331" s="2">
        <f>+Orçamento_Não_Deson!E331</f>
        <v>0</v>
      </c>
      <c r="F331" s="2" t="str">
        <f>VLOOKUP($B331,[2]BOLETIM_SEL!$A:$H,6,0)</f>
        <v>M3</v>
      </c>
      <c r="G331" s="1407">
        <f>VLOOKUP($B331,[2]BOLETIM_SEL!$A:$H,7,0)</f>
        <v>15.37</v>
      </c>
      <c r="H331" s="1608">
        <f>+Orçamento_Não_Deson!H331</f>
        <v>0</v>
      </c>
      <c r="I331" s="876">
        <f t="shared" si="69"/>
        <v>19.690000000000001</v>
      </c>
      <c r="J331" s="1607">
        <f t="shared" si="70"/>
        <v>0</v>
      </c>
      <c r="K331" s="2069">
        <f t="shared" ca="1" si="71"/>
        <v>0</v>
      </c>
      <c r="L331" s="1570" t="e">
        <f t="shared" si="72"/>
        <v>#DIV/0!</v>
      </c>
      <c r="M331" s="1967"/>
      <c r="O331" s="832"/>
      <c r="P331" s="832"/>
      <c r="Q331" s="832"/>
      <c r="R331" s="832"/>
      <c r="S331" s="832"/>
      <c r="T331" s="832"/>
      <c r="U331" s="832"/>
      <c r="V331" s="832"/>
      <c r="W331" s="832"/>
      <c r="X331" s="832"/>
    </row>
    <row r="332" spans="1:24" s="812" customFormat="1" ht="50.1" hidden="1" customHeight="1" x14ac:dyDescent="0.15">
      <c r="A332" s="2072">
        <f ca="1">+Orçamento_Não_Deson!A332</f>
        <v>5</v>
      </c>
      <c r="B332" s="833">
        <f>+Orçamento_Não_Deson!B332</f>
        <v>104732</v>
      </c>
      <c r="C332" s="2" t="str">
        <f>VLOOKUP($B332,[2]BOLETIM_SEL!$A:$H,2,0)</f>
        <v>SINAPI</v>
      </c>
      <c r="D332" s="315" t="str">
        <f>VLOOKUP($B332,[2]BOLETIM_SEL!$A:$H,4,0)</f>
        <v>Reaterro mecanizado de vala com escavadeira hidráulica (capacidade da caçamba: 0,8 M³/potência: 111 HP), largura de 1,5 a 2,5 m, profundidade de 3,0 a 6,0 m, com solo (sem substituição) de 1ª categoria, com placa vibratória. AF_08/2023</v>
      </c>
      <c r="E332" s="2">
        <f>+Orçamento_Não_Deson!E332</f>
        <v>0</v>
      </c>
      <c r="F332" s="2" t="str">
        <f>VLOOKUP($B332,[2]BOLETIM_SEL!$A:$H,6,0)</f>
        <v>M3</v>
      </c>
      <c r="G332" s="1407">
        <f>VLOOKUP($B332,[2]BOLETIM_SEL!$A:$H,7,0)</f>
        <v>9.3000000000000007</v>
      </c>
      <c r="H332" s="1608">
        <f>+Orçamento_Não_Deson!H332</f>
        <v>0</v>
      </c>
      <c r="I332" s="876">
        <f t="shared" si="69"/>
        <v>11.91</v>
      </c>
      <c r="J332" s="1607">
        <f t="shared" si="70"/>
        <v>0</v>
      </c>
      <c r="K332" s="2069">
        <f t="shared" ca="1" si="71"/>
        <v>0</v>
      </c>
      <c r="L332" s="1570" t="e">
        <f t="shared" si="72"/>
        <v>#DIV/0!</v>
      </c>
      <c r="M332" s="1967"/>
      <c r="O332" s="832"/>
      <c r="P332" s="832"/>
      <c r="Q332" s="832"/>
      <c r="R332" s="832"/>
      <c r="S332" s="832"/>
      <c r="T332" s="832"/>
      <c r="U332" s="832"/>
      <c r="V332" s="832"/>
      <c r="W332" s="832"/>
      <c r="X332" s="832"/>
    </row>
    <row r="333" spans="1:24" s="812" customFormat="1" ht="50.1" hidden="1" customHeight="1" x14ac:dyDescent="0.15">
      <c r="A333" s="2072">
        <f ca="1">+Orçamento_Não_Deson!A333</f>
        <v>5</v>
      </c>
      <c r="B333" s="833">
        <f>+Orçamento_Não_Deson!B333</f>
        <v>93373</v>
      </c>
      <c r="C333" s="2" t="str">
        <f>VLOOKUP($B333,[2]BOLETIM_SEL!$A:$H,2,0)</f>
        <v>SINAPI</v>
      </c>
      <c r="D333" s="315" t="str">
        <f>VLOOKUP($B333,[2]BOLETIM_SEL!$A:$H,4,0)</f>
        <v>Reaterro mecanizado de vala com escavadeira hidráulica (capacidade da caçamba: 0,80 m3 / potência: 111 HP), largura de 1,50 a 2,50 m, profundidade de 4,50 a 6,00 m, com solo (sem substituição) de 1a categoria em locais com baixo nível de interferência. AF_04/2016</v>
      </c>
      <c r="E333" s="2">
        <f>+Orçamento_Não_Deson!E333</f>
        <v>0</v>
      </c>
      <c r="F333" s="2" t="str">
        <f>VLOOKUP($B333,[2]BOLETIM_SEL!$A:$H,6,0)</f>
        <v>M3</v>
      </c>
      <c r="G333" s="1407">
        <f>VLOOKUP($B333,[2]BOLETIM_SEL!$A:$H,7,0)</f>
        <v>12.58</v>
      </c>
      <c r="H333" s="1608">
        <f>+Orçamento_Não_Deson!H333</f>
        <v>0</v>
      </c>
      <c r="I333" s="876">
        <f t="shared" si="69"/>
        <v>16.12</v>
      </c>
      <c r="J333" s="1607">
        <f t="shared" si="70"/>
        <v>0</v>
      </c>
      <c r="K333" s="2069">
        <f t="shared" ca="1" si="71"/>
        <v>0</v>
      </c>
      <c r="L333" s="1570" t="e">
        <f t="shared" si="72"/>
        <v>#DIV/0!</v>
      </c>
      <c r="M333" s="1967"/>
      <c r="O333" s="832"/>
      <c r="P333" s="832"/>
      <c r="Q333" s="832"/>
      <c r="R333" s="832"/>
      <c r="S333" s="832"/>
      <c r="T333" s="832"/>
      <c r="U333" s="832"/>
      <c r="V333" s="832"/>
      <c r="W333" s="832"/>
      <c r="X333" s="832"/>
    </row>
    <row r="334" spans="1:24" s="812" customFormat="1" ht="39.950000000000003" hidden="1" customHeight="1" x14ac:dyDescent="0.15">
      <c r="A334" s="2072">
        <f ca="1">+Orçamento_Não_Deson!A334</f>
        <v>5</v>
      </c>
      <c r="B334" s="833">
        <f>+Orçamento_Não_Deson!B334</f>
        <v>96385</v>
      </c>
      <c r="C334" s="2" t="str">
        <f>VLOOKUP($B334,[2]BOLETIM_SEL!$A:$H,2,0)</f>
        <v>SINAPI</v>
      </c>
      <c r="D334" s="315" t="str">
        <f>VLOOKUP($B334,[2]BOLETIM_SEL!$A:$H,4,0)</f>
        <v>Execução e compactação de aterro com solo predominantemente argiloso - exclusive solo, escavação, carga e transporte. AF_11/2019</v>
      </c>
      <c r="E334" s="2">
        <f>+Orçamento_Não_Deson!E334</f>
        <v>0</v>
      </c>
      <c r="F334" s="2" t="str">
        <f>VLOOKUP($B334,[2]BOLETIM_SEL!$A:$H,6,0)</f>
        <v>M3</v>
      </c>
      <c r="G334" s="1407">
        <f>VLOOKUP($B334,[2]BOLETIM_SEL!$A:$H,7,0)</f>
        <v>10.88</v>
      </c>
      <c r="H334" s="1608">
        <f>+Orçamento_Não_Deson!H334</f>
        <v>0</v>
      </c>
      <c r="I334" s="876">
        <f t="shared" si="69"/>
        <v>13.94</v>
      </c>
      <c r="J334" s="1607">
        <f t="shared" si="70"/>
        <v>0</v>
      </c>
      <c r="K334" s="2069">
        <f t="shared" ca="1" si="71"/>
        <v>0</v>
      </c>
      <c r="L334" s="1570" t="e">
        <f t="shared" si="72"/>
        <v>#DIV/0!</v>
      </c>
      <c r="M334" s="1968" t="str">
        <f>+Orçamento_Não_Deson!M334</f>
        <v>argiloso</v>
      </c>
      <c r="N334" s="832"/>
      <c r="O334" s="832"/>
      <c r="Q334" s="832"/>
      <c r="R334" s="832"/>
      <c r="S334" s="832"/>
      <c r="T334" s="832"/>
      <c r="U334" s="832"/>
      <c r="V334" s="832"/>
      <c r="W334" s="832"/>
      <c r="X334" s="832"/>
    </row>
    <row r="335" spans="1:24" s="812" customFormat="1" ht="50.1" hidden="1" customHeight="1" x14ac:dyDescent="0.15">
      <c r="A335" s="2072">
        <f ca="1">+Orçamento_Não_Deson!A335</f>
        <v>5</v>
      </c>
      <c r="B335" s="833">
        <f>+Orçamento_Não_Deson!B335</f>
        <v>101230</v>
      </c>
      <c r="C335" s="2" t="str">
        <f>VLOOKUP($B335,[2]BOLETIM_SEL!$A:$H,2,0)</f>
        <v>SINAPI</v>
      </c>
      <c r="D335" s="315" t="str">
        <f>VLOOKUP($B335,[2]BOLETIM_SEL!$A:$H,4,0)</f>
        <v>Escavação vertical a céu aberto, em obras de infraestrutura, incluindo carga, descarga e transporte, em solo de 1a categoria com escavadeira hidráulica (caçamba: 0,80 m3 / 111 HP), frota de 3 caminhões basculantes de 14 m3, DMT até 1 km e velocidade média 14 km/h. AF_05/2020</v>
      </c>
      <c r="E335" s="2">
        <f>+Orçamento_Não_Deson!E335</f>
        <v>0</v>
      </c>
      <c r="F335" s="2" t="str">
        <f>VLOOKUP($B335,[2]BOLETIM_SEL!$A:$H,6,0)</f>
        <v>M3</v>
      </c>
      <c r="G335" s="1407">
        <f>VLOOKUP($B335,[2]BOLETIM_SEL!$A:$H,7,0)</f>
        <v>10.59</v>
      </c>
      <c r="H335" s="1608">
        <f>+Orçamento_Não_Deson!H335</f>
        <v>0</v>
      </c>
      <c r="I335" s="876">
        <f t="shared" si="69"/>
        <v>13.57</v>
      </c>
      <c r="J335" s="1607">
        <f t="shared" si="70"/>
        <v>0</v>
      </c>
      <c r="K335" s="2069">
        <f t="shared" ca="1" si="71"/>
        <v>0</v>
      </c>
      <c r="L335" s="1570" t="e">
        <f t="shared" si="72"/>
        <v>#DIV/0!</v>
      </c>
      <c r="M335" s="1967"/>
      <c r="N335" s="832"/>
      <c r="O335" s="832"/>
      <c r="Q335" s="832"/>
      <c r="R335" s="832"/>
      <c r="S335" s="832"/>
      <c r="T335" s="832"/>
      <c r="U335" s="832"/>
      <c r="V335" s="832"/>
      <c r="W335" s="832"/>
      <c r="X335" s="832"/>
    </row>
    <row r="336" spans="1:24" s="812" customFormat="1" ht="39.950000000000003" hidden="1" customHeight="1" x14ac:dyDescent="0.15">
      <c r="A336" s="2072">
        <f ca="1">+Orçamento_Não_Deson!A336</f>
        <v>5</v>
      </c>
      <c r="B336" s="833">
        <f>+Orçamento_Não_Deson!B336</f>
        <v>6079</v>
      </c>
      <c r="C336" s="2" t="str">
        <f>VLOOKUP($B336,[2]BOLETIM_SEL!$A:$H,2,0)</f>
        <v>COTAÇÃO - SINAPI</v>
      </c>
      <c r="D336" s="315" t="str">
        <f>VLOOKUP($B336,[2]BOLETIM_SEL!$A:$H,4,0)</f>
        <v>Argila, argila vermelha ou argila arenosa (retirada na jazida, sem transporte)</v>
      </c>
      <c r="E336" s="2">
        <f>+Orçamento_Não_Deson!E336</f>
        <v>0</v>
      </c>
      <c r="F336" s="2" t="str">
        <f>VLOOKUP($B336,[2]BOLETIM_SEL!$A:$H,6,0)</f>
        <v xml:space="preserve">M3    </v>
      </c>
      <c r="G336" s="1407">
        <f>VLOOKUP($B336,[2]BOLETIM_SEL!$A:$H,7,0)</f>
        <v>36.51</v>
      </c>
      <c r="H336" s="1608">
        <f>+Orçamento_Não_Deson!H336</f>
        <v>0</v>
      </c>
      <c r="I336" s="876">
        <f t="shared" si="69"/>
        <v>46.79</v>
      </c>
      <c r="J336" s="1607">
        <f t="shared" si="70"/>
        <v>0</v>
      </c>
      <c r="K336" s="2069">
        <f t="shared" ca="1" si="71"/>
        <v>0</v>
      </c>
      <c r="L336" s="1570" t="e">
        <f t="shared" si="72"/>
        <v>#DIV/0!</v>
      </c>
      <c r="M336" s="1968" t="str">
        <f>+Orçamento_Não_Deson!M336</f>
        <v>LOCAL</v>
      </c>
      <c r="N336" s="832"/>
      <c r="O336" s="832"/>
      <c r="Q336" s="832"/>
      <c r="R336" s="832"/>
      <c r="S336" s="832"/>
      <c r="T336" s="832"/>
      <c r="U336" s="832"/>
      <c r="V336" s="832"/>
      <c r="W336" s="832"/>
      <c r="X336" s="832"/>
    </row>
    <row r="337" spans="1:24" s="812" customFormat="1" ht="30" hidden="1" customHeight="1" x14ac:dyDescent="0.15">
      <c r="A337" s="2072">
        <f ca="1">+Orçamento_Não_Deson!A337</f>
        <v>5</v>
      </c>
      <c r="B337" s="833">
        <f>+Orçamento_Não_Deson!B337</f>
        <v>100574</v>
      </c>
      <c r="C337" s="2" t="str">
        <f>VLOOKUP($B337,[2]BOLETIM_SEL!$A:$H,2,0)</f>
        <v>SINAPI</v>
      </c>
      <c r="D337" s="315" t="str">
        <f>VLOOKUP($B337,[2]BOLETIM_SEL!$A:$H,4,0)</f>
        <v>Espalhamento de material com trator de esteiras. AF_11/2019</v>
      </c>
      <c r="E337" s="2">
        <f>+Orçamento_Não_Deson!E337</f>
        <v>0</v>
      </c>
      <c r="F337" s="2" t="str">
        <f>VLOOKUP($B337,[2]BOLETIM_SEL!$A:$H,6,0)</f>
        <v>M3</v>
      </c>
      <c r="G337" s="1407">
        <f>VLOOKUP($B337,[2]BOLETIM_SEL!$A:$H,7,0)</f>
        <v>1.32</v>
      </c>
      <c r="H337" s="1608">
        <f>+Orçamento_Não_Deson!H337</f>
        <v>0</v>
      </c>
      <c r="I337" s="876">
        <f t="shared" si="69"/>
        <v>1.69</v>
      </c>
      <c r="J337" s="1607">
        <f t="shared" si="70"/>
        <v>0</v>
      </c>
      <c r="K337" s="2069">
        <f t="shared" ca="1" si="71"/>
        <v>0</v>
      </c>
      <c r="L337" s="1570" t="e">
        <f t="shared" si="72"/>
        <v>#DIV/0!</v>
      </c>
      <c r="M337" s="1967"/>
      <c r="O337" s="832"/>
      <c r="P337" s="832"/>
      <c r="Q337" s="832"/>
      <c r="R337" s="832"/>
      <c r="S337" s="832"/>
      <c r="T337" s="832"/>
      <c r="U337" s="832"/>
      <c r="V337" s="832"/>
      <c r="W337" s="832"/>
      <c r="X337" s="832"/>
    </row>
    <row r="338" spans="1:24" s="812" customFormat="1" ht="30" hidden="1" customHeight="1" x14ac:dyDescent="0.15">
      <c r="A338" s="2072">
        <f ca="1">+Orçamento_Não_Deson!A338</f>
        <v>5</v>
      </c>
      <c r="B338" s="833">
        <f>+Orçamento_Não_Deson!B338</f>
        <v>93358</v>
      </c>
      <c r="C338" s="2" t="str">
        <f>VLOOKUP($B338,[2]BOLETIM_SEL!$A:$H,2,0)</f>
        <v>SINAPI</v>
      </c>
      <c r="D338" s="315" t="str">
        <f>VLOOKUP($B338,[2]BOLETIM_SEL!$A:$H,4,0)</f>
        <v>Escavação manual de vala com profundidade menor ou igual a 1,30 m. AF_03/2016</v>
      </c>
      <c r="E338" s="2">
        <f>+Orçamento_Não_Deson!E338</f>
        <v>0</v>
      </c>
      <c r="F338" s="2" t="str">
        <f>VLOOKUP($B338,[2]BOLETIM_SEL!$A:$H,6,0)</f>
        <v>M3</v>
      </c>
      <c r="G338" s="1407">
        <f>VLOOKUP($B338,[2]BOLETIM_SEL!$A:$H,7,0)</f>
        <v>70.17</v>
      </c>
      <c r="H338" s="1608">
        <f>+Orçamento_Não_Deson!H338</f>
        <v>0</v>
      </c>
      <c r="I338" s="876">
        <f t="shared" si="69"/>
        <v>89.93</v>
      </c>
      <c r="J338" s="1607">
        <f t="shared" si="70"/>
        <v>0</v>
      </c>
      <c r="K338" s="2069">
        <f t="shared" ca="1" si="71"/>
        <v>0</v>
      </c>
      <c r="L338" s="1570" t="e">
        <f t="shared" si="72"/>
        <v>#DIV/0!</v>
      </c>
      <c r="M338" s="1967"/>
      <c r="O338" s="832"/>
      <c r="P338" s="832"/>
      <c r="Q338" s="832"/>
      <c r="R338" s="832"/>
      <c r="S338" s="832"/>
      <c r="T338" s="832"/>
      <c r="U338" s="832"/>
      <c r="V338" s="832"/>
      <c r="W338" s="832"/>
      <c r="X338" s="832"/>
    </row>
    <row r="339" spans="1:24" s="812" customFormat="1" ht="50.1" hidden="1" customHeight="1" x14ac:dyDescent="0.15">
      <c r="A339" s="2072">
        <f ca="1">+Orçamento_Não_Deson!A339</f>
        <v>5</v>
      </c>
      <c r="B339" s="833">
        <f>+Orçamento_Não_Deson!B339</f>
        <v>90105</v>
      </c>
      <c r="C339" s="2" t="str">
        <f>VLOOKUP($B339,[2]BOLETIM_SEL!$A:$H,2,0)</f>
        <v>SINAPI</v>
      </c>
      <c r="D339" s="315" t="str">
        <f>VLOOKUP($B339,[2]BOLETIM_SEL!$A:$H,4,0)</f>
        <v>Escavação mecanizada de vala com profundidade até 1,50 m (média entre montante e jusante / uma composição por trecho) com retroescavadeira (capacidade da caçamba: 0,26 m3 / potência: 88 HP), largura menor que 0,80 m, em solo de 1a categoria, locais com baixo nível de interferência. AF_01/2015</v>
      </c>
      <c r="E339" s="2">
        <f>+Orçamento_Não_Deson!E339</f>
        <v>0</v>
      </c>
      <c r="F339" s="2" t="str">
        <f>VLOOKUP($B339,[2]BOLETIM_SEL!$A:$H,6,0)</f>
        <v>M3</v>
      </c>
      <c r="G339" s="1407">
        <f>VLOOKUP($B339,[2]BOLETIM_SEL!$A:$H,7,0)</f>
        <v>8.1300000000000008</v>
      </c>
      <c r="H339" s="1608">
        <f>+Orçamento_Não_Deson!H339</f>
        <v>0</v>
      </c>
      <c r="I339" s="876">
        <f t="shared" si="69"/>
        <v>10.42</v>
      </c>
      <c r="J339" s="1607">
        <f t="shared" si="70"/>
        <v>0</v>
      </c>
      <c r="K339" s="2069">
        <f t="shared" ca="1" si="71"/>
        <v>0</v>
      </c>
      <c r="L339" s="1570" t="e">
        <f t="shared" si="72"/>
        <v>#DIV/0!</v>
      </c>
      <c r="M339" s="1967"/>
      <c r="O339" s="832"/>
      <c r="P339" s="832"/>
      <c r="Q339" s="832"/>
      <c r="R339" s="832"/>
      <c r="S339" s="832"/>
      <c r="T339" s="832"/>
      <c r="U339" s="832"/>
      <c r="V339" s="832"/>
      <c r="W339" s="832"/>
      <c r="X339" s="832"/>
    </row>
    <row r="340" spans="1:24" s="812" customFormat="1" ht="39.950000000000003" hidden="1" customHeight="1" x14ac:dyDescent="0.15">
      <c r="A340" s="2072">
        <f ca="1">+Orçamento_Não_Deson!A340</f>
        <v>5</v>
      </c>
      <c r="B340" s="833">
        <f>+Orçamento_Não_Deson!B340</f>
        <v>102712</v>
      </c>
      <c r="C340" s="2" t="str">
        <f>VLOOKUP($B340,[2]BOLETIM_SEL!$A:$H,2,0)</f>
        <v>SINAPI</v>
      </c>
      <c r="D340" s="315" t="str">
        <f>VLOOKUP($B340,[2]BOLETIM_SEL!$A:$H,4,0)</f>
        <v>Geotêxtil não tecido 100% poliéster, resistência a tração de 9 kn/m (RT - 9), instalado em dreno - fornecimento e instalação. AF_07/2021</v>
      </c>
      <c r="E340" s="2">
        <f>+Orçamento_Não_Deson!E340</f>
        <v>0</v>
      </c>
      <c r="F340" s="2" t="str">
        <f>VLOOKUP($B340,[2]BOLETIM_SEL!$A:$H,6,0)</f>
        <v>M2</v>
      </c>
      <c r="G340" s="1407">
        <f>VLOOKUP($B340,[2]BOLETIM_SEL!$A:$H,7,0)</f>
        <v>13.72</v>
      </c>
      <c r="H340" s="1608">
        <f>+Orçamento_Não_Deson!H340</f>
        <v>0</v>
      </c>
      <c r="I340" s="876">
        <f t="shared" si="69"/>
        <v>17.579999999999998</v>
      </c>
      <c r="J340" s="1607">
        <f t="shared" si="70"/>
        <v>0</v>
      </c>
      <c r="K340" s="2069">
        <f t="shared" ca="1" si="71"/>
        <v>0</v>
      </c>
      <c r="L340" s="1570" t="e">
        <f t="shared" si="72"/>
        <v>#DIV/0!</v>
      </c>
      <c r="M340" s="1967"/>
      <c r="N340" s="832"/>
      <c r="O340" s="832"/>
      <c r="Q340" s="832"/>
      <c r="R340" s="832"/>
      <c r="S340" s="832"/>
      <c r="T340" s="832"/>
      <c r="U340" s="832"/>
      <c r="V340" s="832"/>
      <c r="W340" s="832"/>
      <c r="X340" s="832"/>
    </row>
    <row r="341" spans="1:24" s="812" customFormat="1" ht="30" hidden="1" customHeight="1" x14ac:dyDescent="0.15">
      <c r="A341" s="2072">
        <f ca="1">+Orçamento_Não_Deson!A341</f>
        <v>5</v>
      </c>
      <c r="B341" s="833" t="str">
        <f>+Orçamento_Não_Deson!B341</f>
        <v>LF/0007</v>
      </c>
      <c r="C341" s="2" t="str">
        <f>VLOOKUP($B341,[2]BOLETIM_SEL!$A:$H,2,0)</f>
        <v>COMPOSIÇÃO</v>
      </c>
      <c r="D341" s="315" t="str">
        <f>VLOOKUP($B341,[2]BOLETIM_SEL!$A:$H,4,0)</f>
        <v>Brita n. 2 para dreno, lançamento manual, em local com nível baixo de interferência. Fornecimento, exclusive transporte</v>
      </c>
      <c r="E341" s="2">
        <f>+Orçamento_Não_Deson!E341</f>
        <v>0</v>
      </c>
      <c r="F341" s="2" t="str">
        <f>VLOOKUP($B341,[2]BOLETIM_SEL!$A:$H,6,0)</f>
        <v>M3</v>
      </c>
      <c r="G341" s="1407">
        <f>VLOOKUP($B341,[2]BOLETIM_SEL!$A:$H,7,0)</f>
        <v>183.24</v>
      </c>
      <c r="H341" s="1608">
        <f>+Orçamento_Não_Deson!H341</f>
        <v>0</v>
      </c>
      <c r="I341" s="876">
        <f t="shared" si="69"/>
        <v>234.85</v>
      </c>
      <c r="J341" s="1607">
        <f t="shared" si="70"/>
        <v>0</v>
      </c>
      <c r="K341" s="2069">
        <f t="shared" ca="1" si="71"/>
        <v>0</v>
      </c>
      <c r="L341" s="1570" t="e">
        <f t="shared" si="72"/>
        <v>#DIV/0!</v>
      </c>
      <c r="M341" s="1967"/>
      <c r="N341" s="832"/>
      <c r="O341" s="832"/>
      <c r="Q341" s="832"/>
      <c r="R341" s="832"/>
      <c r="S341" s="832"/>
      <c r="T341" s="832"/>
      <c r="U341" s="832"/>
      <c r="V341" s="832"/>
      <c r="W341" s="832"/>
      <c r="X341" s="832"/>
    </row>
    <row r="342" spans="1:24" s="812" customFormat="1" ht="39.950000000000003" hidden="1" customHeight="1" x14ac:dyDescent="0.15">
      <c r="A342" s="2072">
        <f ca="1">+Orçamento_Não_Deson!A342</f>
        <v>5</v>
      </c>
      <c r="B342" s="833" t="str">
        <f>+Orçamento_Não_Deson!B342</f>
        <v>LF/0040</v>
      </c>
      <c r="C342" s="2" t="str">
        <f>VLOOKUP($B342,[2]BOLETIM_SEL!$A:$H,2,0)</f>
        <v>COMPOSIÇÃO</v>
      </c>
      <c r="D342" s="315" t="str">
        <f>VLOOKUP($B342,[2]BOLETIM_SEL!$A:$H,4,0)</f>
        <v>Tubo dreno, corrugado, espiralado, flexível, perfurado, em polietileno de alta densidade (PEAD), DN 100 mm para drenagem – fornecimento e assentamento em vala</v>
      </c>
      <c r="E342" s="2">
        <f>+Orçamento_Não_Deson!E342</f>
        <v>0</v>
      </c>
      <c r="F342" s="2" t="str">
        <f>VLOOKUP($B342,[2]BOLETIM_SEL!$A:$H,6,0)</f>
        <v>M</v>
      </c>
      <c r="G342" s="1407">
        <f>VLOOKUP($B342,[2]BOLETIM_SEL!$A:$H,7,0)</f>
        <v>30.69</v>
      </c>
      <c r="H342" s="1608">
        <f>+Orçamento_Não_Deson!H342</f>
        <v>0</v>
      </c>
      <c r="I342" s="876">
        <f t="shared" si="69"/>
        <v>39.33</v>
      </c>
      <c r="J342" s="1607">
        <f t="shared" si="70"/>
        <v>0</v>
      </c>
      <c r="K342" s="2069">
        <f t="shared" ca="1" si="71"/>
        <v>0</v>
      </c>
      <c r="L342" s="1570" t="e">
        <f t="shared" si="72"/>
        <v>#DIV/0!</v>
      </c>
      <c r="M342" s="1967"/>
      <c r="N342" s="1963"/>
      <c r="O342" s="1645"/>
      <c r="Q342" s="832"/>
      <c r="R342" s="832"/>
      <c r="S342" s="832"/>
      <c r="T342" s="832"/>
      <c r="U342" s="832"/>
      <c r="V342" s="832"/>
      <c r="W342" s="832"/>
      <c r="X342" s="832"/>
    </row>
    <row r="343" spans="1:24" s="812" customFormat="1" ht="39.950000000000003" hidden="1" customHeight="1" x14ac:dyDescent="0.15">
      <c r="A343" s="2072">
        <f ca="1">+Orçamento_Não_Deson!A343</f>
        <v>5</v>
      </c>
      <c r="B343" s="833" t="str">
        <f>+Orçamento_Não_Deson!B343</f>
        <v>DR/0296</v>
      </c>
      <c r="C343" s="2" t="str">
        <f>VLOOKUP($B343,[2]BOLETIM_SEL!$A:$H,2,0)</f>
        <v>COMPOSIÇÃO</v>
      </c>
      <c r="D343" s="315" t="str">
        <f>VLOOKUP($B343,[2]BOLETIM_SEL!$A:$H,4,0)</f>
        <v>Meia cana em concreto simples, D = 0,60m (174kg/m), PB, Classe P-1, fornecimento, assentamento e rejuntamento, ref SINAPI 73882/005, data: 01/2020</v>
      </c>
      <c r="E343" s="2">
        <f>+Orçamento_Não_Deson!E343</f>
        <v>0</v>
      </c>
      <c r="F343" s="2" t="str">
        <f>VLOOKUP($B343,[2]BOLETIM_SEL!$A:$H,6,0)</f>
        <v>M</v>
      </c>
      <c r="G343" s="1407">
        <f>VLOOKUP($B343,[2]BOLETIM_SEL!$A:$H,7,0)</f>
        <v>121.02</v>
      </c>
      <c r="H343" s="1608">
        <f>+Orçamento_Não_Deson!H343</f>
        <v>0</v>
      </c>
      <c r="I343" s="876">
        <f t="shared" ref="I343:I344" si="74">TRUNC(G343*(1+$J$5),2)</f>
        <v>155.11000000000001</v>
      </c>
      <c r="J343" s="1607">
        <f t="shared" ref="J343:J344" si="75">TRUNC(H343*I343,2)</f>
        <v>0</v>
      </c>
      <c r="K343" s="2069">
        <f t="shared" ca="1" si="71"/>
        <v>0</v>
      </c>
      <c r="L343" s="1570" t="e">
        <f t="shared" ref="L343:L344" si="76">J343/$J$314</f>
        <v>#DIV/0!</v>
      </c>
      <c r="M343" s="1967"/>
      <c r="N343" s="1963"/>
      <c r="O343" s="1645"/>
      <c r="Q343" s="832"/>
      <c r="R343" s="832"/>
      <c r="S343" s="832"/>
      <c r="T343" s="832"/>
      <c r="U343" s="832"/>
      <c r="V343" s="832"/>
      <c r="W343" s="832"/>
      <c r="X343" s="832"/>
    </row>
    <row r="344" spans="1:24" s="812" customFormat="1" ht="39.950000000000003" hidden="1" customHeight="1" x14ac:dyDescent="0.15">
      <c r="A344" s="2072">
        <f ca="1">+Orçamento_Não_Deson!A344</f>
        <v>5</v>
      </c>
      <c r="B344" s="833" t="str">
        <f>+Orçamento_Não_Deson!B344</f>
        <v>DR/0300</v>
      </c>
      <c r="C344" s="2" t="str">
        <f>VLOOKUP($B344,[2]BOLETIM_SEL!$A:$H,2,0)</f>
        <v>COMPOSIÇÃO</v>
      </c>
      <c r="D344" s="315" t="str">
        <f>VLOOKUP($B344,[2]BOLETIM_SEL!$A:$H,4,0)</f>
        <v>Valeta de concreto com concreto moldado in loco, acabamento convencional, armado, com seção trapezoidal 1,00m x 0,30m (b x h), espessura 6cm, com junta seca de dilatação a cada 3m</v>
      </c>
      <c r="E344" s="2">
        <f>+Orçamento_Não_Deson!E344</f>
        <v>0</v>
      </c>
      <c r="F344" s="2" t="str">
        <f>VLOOKUP($B344,[2]BOLETIM_SEL!$A:$H,6,0)</f>
        <v>M</v>
      </c>
      <c r="G344" s="1407">
        <f>VLOOKUP($B344,[2]BOLETIM_SEL!$A:$H,7,0)</f>
        <v>126.05</v>
      </c>
      <c r="H344" s="1608">
        <f>+Orçamento_Não_Deson!H344</f>
        <v>0</v>
      </c>
      <c r="I344" s="876">
        <f t="shared" si="74"/>
        <v>161.55000000000001</v>
      </c>
      <c r="J344" s="1607">
        <f t="shared" si="75"/>
        <v>0</v>
      </c>
      <c r="K344" s="2069">
        <f t="shared" ca="1" si="71"/>
        <v>0</v>
      </c>
      <c r="L344" s="1570" t="e">
        <f t="shared" si="76"/>
        <v>#DIV/0!</v>
      </c>
      <c r="M344" s="1967"/>
      <c r="N344" s="1963"/>
      <c r="O344" s="1645"/>
      <c r="Q344" s="832"/>
      <c r="R344" s="832"/>
      <c r="S344" s="832"/>
      <c r="T344" s="832"/>
      <c r="U344" s="832"/>
      <c r="V344" s="832"/>
      <c r="W344" s="832"/>
      <c r="X344" s="832"/>
    </row>
    <row r="345" spans="1:24" s="812" customFormat="1" ht="24.95" hidden="1" customHeight="1" x14ac:dyDescent="0.15">
      <c r="A345" s="2072"/>
      <c r="B345" s="833"/>
      <c r="C345" s="2"/>
      <c r="D345" s="1449" t="s">
        <v>2100</v>
      </c>
      <c r="E345" s="2"/>
      <c r="F345" s="2"/>
      <c r="G345" s="1814"/>
      <c r="H345" s="2"/>
      <c r="I345" s="2"/>
      <c r="J345" s="838" t="str">
        <f>IF(J346=0,"-","")</f>
        <v>-</v>
      </c>
      <c r="K345" s="2069"/>
      <c r="L345" s="1570"/>
      <c r="M345" s="1967"/>
      <c r="N345" s="832"/>
      <c r="O345" s="832"/>
      <c r="Q345" s="832"/>
      <c r="R345" s="832"/>
      <c r="S345" s="832"/>
      <c r="T345" s="832"/>
      <c r="U345" s="832"/>
      <c r="V345" s="832"/>
      <c r="W345" s="832"/>
      <c r="X345" s="832"/>
    </row>
    <row r="346" spans="1:24" s="812" customFormat="1" ht="39.950000000000003" hidden="1" customHeight="1" x14ac:dyDescent="0.15">
      <c r="A346" s="2072">
        <f ca="1">+Orçamento_Não_Deson!A346</f>
        <v>5</v>
      </c>
      <c r="B346" s="833">
        <f>+Orçamento_Não_Deson!B346</f>
        <v>94962</v>
      </c>
      <c r="C346" s="2" t="str">
        <f>VLOOKUP($B346,[2]BOLETIM_SEL!$A:$H,2,0)</f>
        <v>SINAPI</v>
      </c>
      <c r="D346" s="315" t="str">
        <f>VLOOKUP($B346,[2]BOLETIM_SEL!$A:$H,4,0)</f>
        <v>Concreto magro para lastro, traço 1:4,5:4,5 (cimento/ areia média/ brita 1) - preparo mecânico com betoneira 400 l. AF_07/2016</v>
      </c>
      <c r="E346" s="2">
        <f>+Orçamento_Não_Deson!E346</f>
        <v>0</v>
      </c>
      <c r="F346" s="2" t="str">
        <f>VLOOKUP($B346,[2]BOLETIM_SEL!$A:$H,6,0)</f>
        <v>M3</v>
      </c>
      <c r="G346" s="1407">
        <f>VLOOKUP($B346,[2]BOLETIM_SEL!$A:$H,7,0)</f>
        <v>377.26</v>
      </c>
      <c r="H346" s="1608">
        <f>+Orçamento_Não_Deson!H346</f>
        <v>0</v>
      </c>
      <c r="I346" s="876">
        <f t="shared" ref="I346:I385" si="77">TRUNC(G346*(1+$J$5),2)</f>
        <v>483.53</v>
      </c>
      <c r="J346" s="1607">
        <f t="shared" ref="J346:J385" si="78">TRUNC(H346*I346,2)</f>
        <v>0</v>
      </c>
      <c r="K346" s="2069">
        <f t="shared" ref="K346:K385" ca="1" si="79">J346/J$930</f>
        <v>0</v>
      </c>
      <c r="L346" s="1570" t="e">
        <f t="shared" ref="L346:L385" si="80">J346/$J$314</f>
        <v>#DIV/0!</v>
      </c>
      <c r="M346" s="1967"/>
      <c r="N346" s="832"/>
      <c r="O346" s="832"/>
      <c r="Q346" s="832"/>
      <c r="R346" s="832"/>
      <c r="S346" s="832"/>
      <c r="T346" s="832"/>
      <c r="U346" s="832"/>
      <c r="V346" s="832"/>
      <c r="W346" s="832"/>
      <c r="X346" s="832"/>
    </row>
    <row r="347" spans="1:24" s="812" customFormat="1" ht="30" hidden="1" customHeight="1" x14ac:dyDescent="0.15">
      <c r="A347" s="2072">
        <f ca="1">+Orçamento_Não_Deson!A347</f>
        <v>5</v>
      </c>
      <c r="B347" s="833">
        <f>+Orçamento_Não_Deson!B347</f>
        <v>94964</v>
      </c>
      <c r="C347" s="2" t="str">
        <f>VLOOKUP($B347,[2]BOLETIM_SEL!$A:$H,2,0)</f>
        <v>SINAPI</v>
      </c>
      <c r="D347" s="315" t="str">
        <f>VLOOKUP($B347,[2]BOLETIM_SEL!$A:$H,4,0)</f>
        <v>Concreto FCK = 20 MPA, traço 1:2,7:3 (cimento/ areia média/ brita 1) - preparo mecânico com betoneira 400 l. AF_07/2016</v>
      </c>
      <c r="E347" s="2">
        <f>+Orçamento_Não_Deson!E347</f>
        <v>0</v>
      </c>
      <c r="F347" s="2" t="str">
        <f>VLOOKUP($B347,[2]BOLETIM_SEL!$A:$H,6,0)</f>
        <v>M3</v>
      </c>
      <c r="G347" s="1407">
        <f>VLOOKUP($B347,[2]BOLETIM_SEL!$A:$H,7,0)</f>
        <v>466.55</v>
      </c>
      <c r="H347" s="1608">
        <f>+Orçamento_Não_Deson!H347</f>
        <v>0</v>
      </c>
      <c r="I347" s="876">
        <f t="shared" si="77"/>
        <v>597.97</v>
      </c>
      <c r="J347" s="1607">
        <f t="shared" si="78"/>
        <v>0</v>
      </c>
      <c r="K347" s="2069">
        <f t="shared" ca="1" si="79"/>
        <v>0</v>
      </c>
      <c r="L347" s="1570" t="e">
        <f t="shared" si="80"/>
        <v>#DIV/0!</v>
      </c>
      <c r="M347" s="1968" t="str">
        <f>+Orçamento_Não_Deson!M347</f>
        <v>betoneira</v>
      </c>
      <c r="N347" s="832"/>
      <c r="O347" s="832"/>
      <c r="Q347" s="832"/>
      <c r="R347" s="832"/>
      <c r="S347" s="832"/>
      <c r="T347" s="832"/>
      <c r="U347" s="832"/>
      <c r="V347" s="832"/>
      <c r="W347" s="832"/>
      <c r="X347" s="832"/>
    </row>
    <row r="348" spans="1:24" s="812" customFormat="1" ht="30" hidden="1" customHeight="1" x14ac:dyDescent="0.15">
      <c r="A348" s="2072">
        <f ca="1">+Orçamento_Não_Deson!A348</f>
        <v>5</v>
      </c>
      <c r="B348" s="833">
        <f>+Orçamento_Não_Deson!B348</f>
        <v>94965</v>
      </c>
      <c r="C348" s="2" t="str">
        <f>VLOOKUP($B348,[2]BOLETIM_SEL!$A:$H,2,0)</f>
        <v>SINAPI</v>
      </c>
      <c r="D348" s="315" t="str">
        <f>VLOOKUP($B348,[2]BOLETIM_SEL!$A:$H,4,0)</f>
        <v>Concreto FCK = 25 MPA, traço 1:2,3:2,7 (cimento/ areia média/ brita 1) - preparo mecânico com betoneira 400 l. AF_07/2016</v>
      </c>
      <c r="E348" s="2">
        <f>+Orçamento_Não_Deson!E348</f>
        <v>0</v>
      </c>
      <c r="F348" s="2" t="str">
        <f>VLOOKUP($B348,[2]BOLETIM_SEL!$A:$H,6,0)</f>
        <v>M3</v>
      </c>
      <c r="G348" s="1407">
        <f>VLOOKUP($B348,[2]BOLETIM_SEL!$A:$H,7,0)</f>
        <v>489.06</v>
      </c>
      <c r="H348" s="1608">
        <f>+Orçamento_Não_Deson!H348</f>
        <v>0</v>
      </c>
      <c r="I348" s="876">
        <f t="shared" si="77"/>
        <v>626.82000000000005</v>
      </c>
      <c r="J348" s="1607">
        <f t="shared" si="78"/>
        <v>0</v>
      </c>
      <c r="K348" s="2069">
        <f t="shared" ca="1" si="79"/>
        <v>0</v>
      </c>
      <c r="L348" s="1570" t="e">
        <f t="shared" si="80"/>
        <v>#DIV/0!</v>
      </c>
      <c r="M348" s="1968" t="str">
        <f>+Orçamento_Não_Deson!M348</f>
        <v>USINADO</v>
      </c>
      <c r="N348" s="832"/>
      <c r="O348" s="832"/>
      <c r="Q348" s="832"/>
      <c r="R348" s="832"/>
      <c r="S348" s="832"/>
      <c r="T348" s="832"/>
      <c r="U348" s="832"/>
      <c r="V348" s="832"/>
      <c r="W348" s="832"/>
      <c r="X348" s="832"/>
    </row>
    <row r="349" spans="1:24" s="812" customFormat="1" ht="30" hidden="1" customHeight="1" x14ac:dyDescent="0.15">
      <c r="A349" s="2072">
        <f ca="1">+Orçamento_Não_Deson!A349</f>
        <v>5</v>
      </c>
      <c r="B349" s="833">
        <f>+Orçamento_Não_Deson!B349</f>
        <v>94966</v>
      </c>
      <c r="C349" s="2" t="str">
        <f>VLOOKUP($B349,[2]BOLETIM_SEL!$A:$H,2,0)</f>
        <v>SINAPI</v>
      </c>
      <c r="D349" s="315" t="str">
        <f>VLOOKUP($B349,[2]BOLETIM_SEL!$A:$H,4,0)</f>
        <v>Concreto FCK = 30 MPA, traço 1:2,1:2,5 (cimento/ areia média/ brita 1) - preparo mecânico com betoneira 400 l. AF_07/2016</v>
      </c>
      <c r="E349" s="2">
        <f>+Orçamento_Não_Deson!E349</f>
        <v>0</v>
      </c>
      <c r="F349" s="2" t="str">
        <f>VLOOKUP($B349,[2]BOLETIM_SEL!$A:$H,6,0)</f>
        <v>M3</v>
      </c>
      <c r="G349" s="1407">
        <f>VLOOKUP($B349,[2]BOLETIM_SEL!$A:$H,7,0)</f>
        <v>507.66</v>
      </c>
      <c r="H349" s="1608">
        <f>+Orçamento_Não_Deson!H349</f>
        <v>0</v>
      </c>
      <c r="I349" s="876">
        <f t="shared" si="77"/>
        <v>650.66</v>
      </c>
      <c r="J349" s="1607">
        <f t="shared" si="78"/>
        <v>0</v>
      </c>
      <c r="K349" s="2069">
        <f t="shared" ca="1" si="79"/>
        <v>0</v>
      </c>
      <c r="L349" s="1570" t="e">
        <f t="shared" si="80"/>
        <v>#DIV/0!</v>
      </c>
      <c r="M349" s="1968" t="str">
        <f>+Orçamento_Não_Deson!M349</f>
        <v>USINADO</v>
      </c>
      <c r="N349" s="832"/>
      <c r="O349" s="832"/>
      <c r="Q349" s="832"/>
      <c r="R349" s="832"/>
      <c r="S349" s="832"/>
      <c r="T349" s="832"/>
      <c r="U349" s="832"/>
      <c r="V349" s="832"/>
      <c r="W349" s="832"/>
      <c r="X349" s="832"/>
    </row>
    <row r="350" spans="1:24" s="812" customFormat="1" ht="39.950000000000003" hidden="1" customHeight="1" x14ac:dyDescent="0.15">
      <c r="A350" s="2072">
        <f ca="1">+Orçamento_Não_Deson!A350</f>
        <v>5</v>
      </c>
      <c r="B350" s="833">
        <f>+Orçamento_Não_Deson!B350</f>
        <v>34495</v>
      </c>
      <c r="C350" s="2" t="str">
        <f>VLOOKUP($B350,[2]BOLETIM_SEL!$A:$H,2,0)</f>
        <v>SINAPI</v>
      </c>
      <c r="D350" s="315" t="str">
        <f>VLOOKUP($B350,[2]BOLETIM_SEL!$A:$H,4,0)</f>
        <v>Concreto usinado bombeável, classe de resistência C35, com brita 0,00 e 1, slump = 100 +/- 20 mm, exclui serviço de bombeamento (NBR 8953)</v>
      </c>
      <c r="E350" s="2">
        <f>+Orçamento_Não_Deson!E350</f>
        <v>0</v>
      </c>
      <c r="F350" s="2" t="str">
        <f>VLOOKUP($B350,[2]BOLETIM_SEL!$A:$H,6,0)</f>
        <v xml:space="preserve">M3    </v>
      </c>
      <c r="G350" s="1407">
        <f>VLOOKUP($B350,[2]BOLETIM_SEL!$A:$H,7,0)</f>
        <v>597.71</v>
      </c>
      <c r="H350" s="1608">
        <f>+Orçamento_Não_Deson!H350</f>
        <v>0</v>
      </c>
      <c r="I350" s="876">
        <f t="shared" si="77"/>
        <v>766.08</v>
      </c>
      <c r="J350" s="1607">
        <f t="shared" si="78"/>
        <v>0</v>
      </c>
      <c r="K350" s="2069">
        <f t="shared" ca="1" si="79"/>
        <v>0</v>
      </c>
      <c r="L350" s="1570" t="e">
        <f t="shared" si="80"/>
        <v>#DIV/0!</v>
      </c>
      <c r="M350" s="1967"/>
      <c r="N350" s="832"/>
      <c r="O350" s="832"/>
      <c r="Q350" s="832"/>
      <c r="R350" s="832"/>
      <c r="S350" s="832"/>
      <c r="T350" s="832"/>
      <c r="U350" s="832"/>
      <c r="V350" s="832"/>
      <c r="W350" s="832"/>
      <c r="X350" s="832"/>
    </row>
    <row r="351" spans="1:24" s="812" customFormat="1" ht="30" hidden="1" customHeight="1" x14ac:dyDescent="0.15">
      <c r="A351" s="2072">
        <f ca="1">+Orçamento_Não_Deson!A351</f>
        <v>5</v>
      </c>
      <c r="B351" s="833">
        <f>+Orçamento_Não_Deson!B351</f>
        <v>103670</v>
      </c>
      <c r="C351" s="2" t="str">
        <f>VLOOKUP($B351,[2]BOLETIM_SEL!$A:$H,2,0)</f>
        <v>SINAPI</v>
      </c>
      <c r="D351" s="315" t="str">
        <f>VLOOKUP($B351,[2]BOLETIM_SEL!$A:$H,4,0)</f>
        <v>Lançamento com uso de baldes, adensamento e acabamento de concreto em estruturas. AF_12/2015</v>
      </c>
      <c r="E351" s="2">
        <f>+Orçamento_Não_Deson!E351</f>
        <v>0</v>
      </c>
      <c r="F351" s="2" t="str">
        <f>VLOOKUP($B351,[2]BOLETIM_SEL!$A:$H,6,0)</f>
        <v>M3</v>
      </c>
      <c r="G351" s="1407">
        <f>VLOOKUP($B351,[2]BOLETIM_SEL!$A:$H,7,0)</f>
        <v>240.79</v>
      </c>
      <c r="H351" s="1608">
        <f>+Orçamento_Não_Deson!H351</f>
        <v>0</v>
      </c>
      <c r="I351" s="876">
        <f t="shared" ref="I351:I352" si="81">TRUNC(G351*(1+$J$5),2)</f>
        <v>308.62</v>
      </c>
      <c r="J351" s="1607">
        <f t="shared" ref="J351:J352" si="82">TRUNC(H351*I351,2)</f>
        <v>0</v>
      </c>
      <c r="K351" s="2069">
        <f t="shared" ca="1" si="79"/>
        <v>0</v>
      </c>
      <c r="L351" s="1570" t="e">
        <f t="shared" ref="L351:L352" si="83">J351/$J$314</f>
        <v>#DIV/0!</v>
      </c>
      <c r="M351" s="1967"/>
      <c r="N351" s="832"/>
      <c r="O351" s="832"/>
      <c r="Q351" s="832"/>
      <c r="R351" s="832"/>
      <c r="S351" s="832"/>
      <c r="T351" s="832"/>
      <c r="U351" s="832"/>
      <c r="V351" s="832"/>
      <c r="W351" s="832"/>
      <c r="X351" s="832"/>
    </row>
    <row r="352" spans="1:24" s="812" customFormat="1" ht="30" hidden="1" customHeight="1" x14ac:dyDescent="0.15">
      <c r="A352" s="2072">
        <f ca="1">+Orçamento_Não_Deson!A352</f>
        <v>5</v>
      </c>
      <c r="B352" s="833">
        <f>+Orçamento_Não_Deson!B352</f>
        <v>103673</v>
      </c>
      <c r="C352" s="2" t="str">
        <f>VLOOKUP($B352,[2]BOLETIM_SEL!$A:$H,2,0)</f>
        <v>SINAPI</v>
      </c>
      <c r="D352" s="315" t="str">
        <f>VLOOKUP($B352,[2]BOLETIM_SEL!$A:$H,4,0)</f>
        <v>Lançamento com uso de bomba, adensamento e acabamento de concreto em estruturas. AF_12/2015</v>
      </c>
      <c r="E352" s="2">
        <f>+Orçamento_Não_Deson!E352</f>
        <v>0</v>
      </c>
      <c r="F352" s="2" t="str">
        <f>VLOOKUP($B352,[2]BOLETIM_SEL!$A:$H,6,0)</f>
        <v>M3</v>
      </c>
      <c r="G352" s="1407">
        <f>VLOOKUP($B352,[2]BOLETIM_SEL!$A:$H,7,0)</f>
        <v>33.86</v>
      </c>
      <c r="H352" s="1608">
        <f>+Orçamento_Não_Deson!H352</f>
        <v>0</v>
      </c>
      <c r="I352" s="876">
        <f t="shared" si="81"/>
        <v>43.39</v>
      </c>
      <c r="J352" s="1607">
        <f t="shared" si="82"/>
        <v>0</v>
      </c>
      <c r="K352" s="2069">
        <f t="shared" ca="1" si="79"/>
        <v>0</v>
      </c>
      <c r="L352" s="1570" t="e">
        <f t="shared" si="83"/>
        <v>#DIV/0!</v>
      </c>
      <c r="M352" s="1967"/>
      <c r="N352" s="832"/>
      <c r="O352" s="832"/>
      <c r="Q352" s="832"/>
      <c r="R352" s="832"/>
      <c r="S352" s="832"/>
      <c r="T352" s="832"/>
      <c r="U352" s="832"/>
      <c r="V352" s="832"/>
      <c r="W352" s="832"/>
      <c r="X352" s="832"/>
    </row>
    <row r="353" spans="1:24" s="812" customFormat="1" ht="30" hidden="1" customHeight="1" x14ac:dyDescent="0.15">
      <c r="A353" s="2072">
        <f ca="1">+Orçamento_Não_Deson!A353</f>
        <v>5</v>
      </c>
      <c r="B353" s="833">
        <f>+Orçamento_Não_Deson!B353</f>
        <v>102487</v>
      </c>
      <c r="C353" s="2" t="str">
        <f>VLOOKUP($B353,[2]BOLETIM_SEL!$A:$H,2,0)</f>
        <v>SINAPI</v>
      </c>
      <c r="D353" s="315" t="str">
        <f>VLOOKUP($B353,[2]BOLETIM_SEL!$A:$H,4,0)</f>
        <v>Concreto ciclópico FCK = 15 MPA, 30% pedra de mão em volume real, inclusive lançamento</v>
      </c>
      <c r="E353" s="2">
        <f>+Orçamento_Não_Deson!E353</f>
        <v>0</v>
      </c>
      <c r="F353" s="2" t="str">
        <f>VLOOKUP($B353,[2]BOLETIM_SEL!$A:$H,6,0)</f>
        <v>M3</v>
      </c>
      <c r="G353" s="1407">
        <f>VLOOKUP($B353,[2]BOLETIM_SEL!$A:$H,7,0)</f>
        <v>537.87</v>
      </c>
      <c r="H353" s="1608">
        <f>+Orçamento_Não_Deson!H353</f>
        <v>0</v>
      </c>
      <c r="I353" s="876">
        <f t="shared" si="77"/>
        <v>689.38</v>
      </c>
      <c r="J353" s="1607">
        <f t="shared" si="78"/>
        <v>0</v>
      </c>
      <c r="K353" s="2069">
        <f t="shared" ca="1" si="79"/>
        <v>0</v>
      </c>
      <c r="L353" s="1570" t="e">
        <f t="shared" si="80"/>
        <v>#DIV/0!</v>
      </c>
      <c r="M353" s="1967"/>
      <c r="N353" s="832"/>
      <c r="O353" s="832"/>
      <c r="Q353" s="832"/>
      <c r="R353" s="832"/>
      <c r="S353" s="832"/>
      <c r="T353" s="832"/>
      <c r="U353" s="832"/>
      <c r="V353" s="832"/>
      <c r="W353" s="832"/>
      <c r="X353" s="832"/>
    </row>
    <row r="354" spans="1:24" s="812" customFormat="1" ht="39.950000000000003" hidden="1" customHeight="1" x14ac:dyDescent="0.15">
      <c r="A354" s="2072">
        <f ca="1">+Orçamento_Não_Deson!A354</f>
        <v>5</v>
      </c>
      <c r="B354" s="833">
        <f>+Orçamento_Não_Deson!B354</f>
        <v>93959</v>
      </c>
      <c r="C354" s="2" t="str">
        <f>VLOOKUP($B354,[2]BOLETIM_SEL!$A:$H,2,0)</f>
        <v>SINAPI</v>
      </c>
      <c r="D354" s="315" t="str">
        <f>VLOOKUP($B354,[2]BOLETIM_SEL!$A:$H,4,0)</f>
        <v>Execução de grampo para solo grampeado com comprimento maior que 6 m e menor ou igual a 8 m, diâmetro nominal de 10 cm, perfuração com equipamento manual e armadura com diâmetro nominal de 20 mm. AF_05/2016</v>
      </c>
      <c r="E354" s="2">
        <f>+Orçamento_Não_Deson!E354</f>
        <v>0</v>
      </c>
      <c r="F354" s="2" t="str">
        <f>VLOOKUP($B354,[2]BOLETIM_SEL!$A:$H,6,0)</f>
        <v>M</v>
      </c>
      <c r="G354" s="1407">
        <f>VLOOKUP($B354,[2]BOLETIM_SEL!$A:$H,7,0)</f>
        <v>212.46</v>
      </c>
      <c r="H354" s="1608">
        <f>+Orçamento_Não_Deson!H354</f>
        <v>0</v>
      </c>
      <c r="I354" s="876">
        <f t="shared" si="77"/>
        <v>272.3</v>
      </c>
      <c r="J354" s="1607">
        <f t="shared" si="78"/>
        <v>0</v>
      </c>
      <c r="K354" s="2069">
        <f t="shared" ca="1" si="79"/>
        <v>0</v>
      </c>
      <c r="L354" s="1570" t="e">
        <f t="shared" si="80"/>
        <v>#DIV/0!</v>
      </c>
      <c r="M354" s="1967"/>
      <c r="N354" s="832"/>
      <c r="O354" s="832"/>
      <c r="Q354" s="832"/>
      <c r="R354" s="832"/>
      <c r="S354" s="832"/>
      <c r="T354" s="832"/>
      <c r="U354" s="832"/>
      <c r="V354" s="832"/>
      <c r="W354" s="832"/>
      <c r="X354" s="832"/>
    </row>
    <row r="355" spans="1:24" s="812" customFormat="1" ht="39.950000000000003" hidden="1" customHeight="1" x14ac:dyDescent="0.15">
      <c r="A355" s="2072">
        <f ca="1">+Orçamento_Não_Deson!A355</f>
        <v>5</v>
      </c>
      <c r="B355" s="833">
        <f>+Orçamento_Não_Deson!B355</f>
        <v>93960</v>
      </c>
      <c r="C355" s="2" t="str">
        <f>VLOOKUP($B355,[2]BOLETIM_SEL!$A:$H,2,0)</f>
        <v>SINAPI</v>
      </c>
      <c r="D355" s="315" t="str">
        <f>VLOOKUP($B355,[2]BOLETIM_SEL!$A:$H,4,0)</f>
        <v>Execução de grampo para solo grampeado com comprimento maior que 8 m e menor ou igual a 10 m, diâmetro nominal de 10 cm, perfuração com equipamento manual e armadura com diâmetro nominal de 20 mm. AF_05/2016</v>
      </c>
      <c r="E355" s="2">
        <f>+Orçamento_Não_Deson!E355</f>
        <v>0</v>
      </c>
      <c r="F355" s="2" t="str">
        <f>VLOOKUP($B355,[2]BOLETIM_SEL!$A:$H,6,0)</f>
        <v>M</v>
      </c>
      <c r="G355" s="1407">
        <f>VLOOKUP($B355,[2]BOLETIM_SEL!$A:$H,7,0)</f>
        <v>205.82</v>
      </c>
      <c r="H355" s="1608">
        <f>+Orçamento_Não_Deson!H355</f>
        <v>0</v>
      </c>
      <c r="I355" s="876">
        <f t="shared" si="77"/>
        <v>263.79000000000002</v>
      </c>
      <c r="J355" s="1607">
        <f t="shared" si="78"/>
        <v>0</v>
      </c>
      <c r="K355" s="2069">
        <f t="shared" ca="1" si="79"/>
        <v>0</v>
      </c>
      <c r="L355" s="1570" t="e">
        <f t="shared" si="80"/>
        <v>#DIV/0!</v>
      </c>
      <c r="M355" s="1967"/>
      <c r="N355" s="832"/>
      <c r="O355" s="832"/>
      <c r="Q355" s="832"/>
      <c r="R355" s="832"/>
      <c r="S355" s="832"/>
      <c r="T355" s="832"/>
      <c r="U355" s="832"/>
      <c r="V355" s="832"/>
      <c r="W355" s="832"/>
      <c r="X355" s="832"/>
    </row>
    <row r="356" spans="1:24" s="812" customFormat="1" ht="39.950000000000003" hidden="1" customHeight="1" x14ac:dyDescent="0.15">
      <c r="A356" s="2072">
        <f ca="1">+Orçamento_Não_Deson!A356</f>
        <v>5</v>
      </c>
      <c r="B356" s="833">
        <f>+Orçamento_Não_Deson!B356</f>
        <v>91074</v>
      </c>
      <c r="C356" s="2" t="str">
        <f>VLOOKUP($B356,[2]BOLETIM_SEL!$A:$H,2,0)</f>
        <v>SINAPI</v>
      </c>
      <c r="D356" s="315" t="str">
        <f>VLOOKUP($B356,[2]BOLETIM_SEL!$A:$H,4,0)</f>
        <v>Execução de revestimento de concreto projetado com espessura de 10 cm, armado com tela, inclinação menor que 90°, aplicação contínua, utilizando equipamento de projeção com 3 m³/h de capacidade. AF_01/2016</v>
      </c>
      <c r="E356" s="2">
        <f>+Orçamento_Não_Deson!E356</f>
        <v>0</v>
      </c>
      <c r="F356" s="2" t="str">
        <f>VLOOKUP($B356,[2]BOLETIM_SEL!$A:$H,6,0)</f>
        <v>M2</v>
      </c>
      <c r="G356" s="1407">
        <f>VLOOKUP($B356,[2]BOLETIM_SEL!$A:$H,7,0)</f>
        <v>141.22</v>
      </c>
      <c r="H356" s="1608">
        <f>+Orçamento_Não_Deson!H356</f>
        <v>0</v>
      </c>
      <c r="I356" s="876">
        <f t="shared" si="77"/>
        <v>181</v>
      </c>
      <c r="J356" s="1607">
        <f t="shared" si="78"/>
        <v>0</v>
      </c>
      <c r="K356" s="2069">
        <f t="shared" ca="1" si="79"/>
        <v>0</v>
      </c>
      <c r="L356" s="1570" t="e">
        <f t="shared" si="80"/>
        <v>#DIV/0!</v>
      </c>
      <c r="M356" s="1967"/>
      <c r="N356" s="832"/>
      <c r="O356" s="832"/>
      <c r="Q356" s="832"/>
      <c r="R356" s="832"/>
      <c r="S356" s="832"/>
      <c r="T356" s="832"/>
      <c r="U356" s="832"/>
      <c r="V356" s="832"/>
      <c r="W356" s="832"/>
      <c r="X356" s="832"/>
    </row>
    <row r="357" spans="1:24" s="812" customFormat="1" ht="39.950000000000003" hidden="1" customHeight="1" x14ac:dyDescent="0.15">
      <c r="A357" s="2072">
        <f ca="1">+Orçamento_Não_Deson!A357</f>
        <v>5</v>
      </c>
      <c r="B357" s="833">
        <f>+Orçamento_Não_Deson!B357</f>
        <v>91099</v>
      </c>
      <c r="C357" s="2" t="str">
        <f>VLOOKUP($B357,[2]BOLETIM_SEL!$A:$H,2,0)</f>
        <v>SINAPI</v>
      </c>
      <c r="D357" s="315" t="str">
        <f>VLOOKUP($B357,[2]BOLETIM_SEL!$A:$H,4,0)</f>
        <v>Execução de revestimento de concreto projetado com espessura de 10 cm, armado com fibras de aço, inclinação menor que 90°, aplicação descontínua, utilizando equipamento de projeção com 3 m³/h de capacidade. AF_01/2016</v>
      </c>
      <c r="E357" s="2">
        <f>+Orçamento_Não_Deson!E357</f>
        <v>0</v>
      </c>
      <c r="F357" s="2" t="str">
        <f>VLOOKUP($B357,[2]BOLETIM_SEL!$A:$H,6,0)</f>
        <v>M2</v>
      </c>
      <c r="G357" s="1407">
        <f>VLOOKUP($B357,[2]BOLETIM_SEL!$A:$H,7,0)</f>
        <v>178.01</v>
      </c>
      <c r="H357" s="1608">
        <f>+Orçamento_Não_Deson!H357</f>
        <v>0</v>
      </c>
      <c r="I357" s="876">
        <f t="shared" si="77"/>
        <v>228.15</v>
      </c>
      <c r="J357" s="1607">
        <f t="shared" si="78"/>
        <v>0</v>
      </c>
      <c r="K357" s="2069">
        <f t="shared" ca="1" si="79"/>
        <v>0</v>
      </c>
      <c r="L357" s="1570" t="e">
        <f t="shared" si="80"/>
        <v>#DIV/0!</v>
      </c>
      <c r="M357" s="1967"/>
      <c r="N357" s="832"/>
      <c r="O357" s="832"/>
      <c r="Q357" s="832"/>
      <c r="R357" s="832"/>
      <c r="S357" s="832"/>
      <c r="T357" s="832"/>
      <c r="U357" s="832"/>
      <c r="V357" s="832"/>
      <c r="W357" s="832"/>
      <c r="X357" s="832"/>
    </row>
    <row r="358" spans="1:24" s="812" customFormat="1" ht="39.950000000000003" hidden="1" customHeight="1" x14ac:dyDescent="0.15">
      <c r="A358" s="2072">
        <f ca="1">+Orçamento_Não_Deson!A358</f>
        <v>5</v>
      </c>
      <c r="B358" s="833">
        <f>+Orçamento_Não_Deson!B358</f>
        <v>92415</v>
      </c>
      <c r="C358" s="2" t="str">
        <f>VLOOKUP($B358,[2]BOLETIM_SEL!$A:$H,2,0)</f>
        <v>SINAPI</v>
      </c>
      <c r="D358" s="315" t="str">
        <f>VLOOKUP($B358,[2]BOLETIM_SEL!$A:$H,4,0)</f>
        <v>Montagem e desmontagem de fôrma de pilares retangulares e estruturas similares, pé-direito simples, em chapa de madeira compensada resinada, 2 utilizações. AF_09/2020</v>
      </c>
      <c r="E358" s="2">
        <f>+Orçamento_Não_Deson!E358</f>
        <v>0</v>
      </c>
      <c r="F358" s="2" t="str">
        <f>VLOOKUP($B358,[2]BOLETIM_SEL!$A:$H,6,0)</f>
        <v>M2</v>
      </c>
      <c r="G358" s="1407">
        <f>VLOOKUP($B358,[2]BOLETIM_SEL!$A:$H,7,0)</f>
        <v>131.25</v>
      </c>
      <c r="H358" s="1608">
        <f>+Orçamento_Não_Deson!H358</f>
        <v>0</v>
      </c>
      <c r="I358" s="876">
        <f t="shared" si="77"/>
        <v>168.22</v>
      </c>
      <c r="J358" s="1607">
        <f t="shared" si="78"/>
        <v>0</v>
      </c>
      <c r="K358" s="2069">
        <f t="shared" ca="1" si="79"/>
        <v>0</v>
      </c>
      <c r="L358" s="1570" t="e">
        <f t="shared" si="80"/>
        <v>#DIV/0!</v>
      </c>
      <c r="M358" s="1967"/>
      <c r="N358" s="832"/>
      <c r="O358" s="832"/>
      <c r="Q358" s="832"/>
      <c r="R358" s="832"/>
      <c r="S358" s="832"/>
      <c r="T358" s="832"/>
      <c r="U358" s="832"/>
      <c r="V358" s="832"/>
      <c r="W358" s="832"/>
      <c r="X358" s="832"/>
    </row>
    <row r="359" spans="1:24" s="812" customFormat="1" ht="39.950000000000003" hidden="1" customHeight="1" x14ac:dyDescent="0.15">
      <c r="A359" s="2072">
        <f ca="1">+Orçamento_Não_Deson!A359</f>
        <v>5</v>
      </c>
      <c r="B359" s="833">
        <f>+Orçamento_Não_Deson!B359</f>
        <v>92423</v>
      </c>
      <c r="C359" s="2" t="str">
        <f>VLOOKUP($B359,[2]BOLETIM_SEL!$A:$H,2,0)</f>
        <v>SINAPI</v>
      </c>
      <c r="D359" s="315" t="str">
        <f>VLOOKUP($B359,[2]BOLETIM_SEL!$A:$H,4,0)</f>
        <v>Montagem e desmontagem de fôrma de pilares retangulares e estruturas similares, pé-direito simples, em chapa de madeira compensada resinada, 6 utilizações. AF_09/2020</v>
      </c>
      <c r="E359" s="2">
        <f>+Orçamento_Não_Deson!E359</f>
        <v>0</v>
      </c>
      <c r="F359" s="2" t="str">
        <f>VLOOKUP($B359,[2]BOLETIM_SEL!$A:$H,6,0)</f>
        <v>M2</v>
      </c>
      <c r="G359" s="1407">
        <f>VLOOKUP($B359,[2]BOLETIM_SEL!$A:$H,7,0)</f>
        <v>66.53</v>
      </c>
      <c r="H359" s="1608">
        <f>+Orçamento_Não_Deson!H359</f>
        <v>0</v>
      </c>
      <c r="I359" s="876">
        <f t="shared" si="77"/>
        <v>85.27</v>
      </c>
      <c r="J359" s="1607">
        <f t="shared" si="78"/>
        <v>0</v>
      </c>
      <c r="K359" s="2069">
        <f t="shared" ca="1" si="79"/>
        <v>0</v>
      </c>
      <c r="L359" s="1570" t="e">
        <f t="shared" si="80"/>
        <v>#DIV/0!</v>
      </c>
      <c r="M359" s="1967"/>
      <c r="N359" s="832"/>
      <c r="O359" s="832"/>
      <c r="Q359" s="832"/>
      <c r="R359" s="832"/>
      <c r="S359" s="832"/>
      <c r="T359" s="832"/>
      <c r="U359" s="832"/>
      <c r="V359" s="832"/>
      <c r="W359" s="832"/>
      <c r="X359" s="832"/>
    </row>
    <row r="360" spans="1:24" s="812" customFormat="1" ht="39.950000000000003" hidden="1" customHeight="1" x14ac:dyDescent="0.15">
      <c r="A360" s="2072">
        <f ca="1">+Orçamento_Não_Deson!A360</f>
        <v>5</v>
      </c>
      <c r="B360" s="833">
        <f>+Orçamento_Não_Deson!B360</f>
        <v>92413</v>
      </c>
      <c r="C360" s="2" t="str">
        <f>VLOOKUP($B360,[2]BOLETIM_SEL!$A:$H,2,0)</f>
        <v>SINAPI</v>
      </c>
      <c r="D360" s="315" t="str">
        <f>VLOOKUP($B360,[2]BOLETIM_SEL!$A:$H,4,0)</f>
        <v>Montagem e desmontagem de fôrma de pilares retangulares e estruturas similares, pé-direito simples, em madeira serrada, 4 utilizações. AF_09/2020</v>
      </c>
      <c r="E360" s="2">
        <f>+Orçamento_Não_Deson!E360</f>
        <v>0</v>
      </c>
      <c r="F360" s="2" t="str">
        <f>VLOOKUP($B360,[2]BOLETIM_SEL!$A:$H,6,0)</f>
        <v>M2</v>
      </c>
      <c r="G360" s="1407">
        <f>VLOOKUP($B360,[2]BOLETIM_SEL!$A:$H,7,0)</f>
        <v>85.37</v>
      </c>
      <c r="H360" s="1608">
        <f>+Orçamento_Não_Deson!H360</f>
        <v>0</v>
      </c>
      <c r="I360" s="876">
        <f t="shared" si="77"/>
        <v>109.41</v>
      </c>
      <c r="J360" s="1607">
        <f t="shared" si="78"/>
        <v>0</v>
      </c>
      <c r="K360" s="2069">
        <f t="shared" ca="1" si="79"/>
        <v>0</v>
      </c>
      <c r="L360" s="1570" t="e">
        <f t="shared" si="80"/>
        <v>#DIV/0!</v>
      </c>
      <c r="M360" s="1967"/>
      <c r="N360" s="832"/>
      <c r="O360" s="832"/>
      <c r="Q360" s="832"/>
      <c r="R360" s="832"/>
      <c r="S360" s="832"/>
      <c r="T360" s="832"/>
      <c r="U360" s="832"/>
      <c r="V360" s="832"/>
      <c r="W360" s="832"/>
      <c r="X360" s="832"/>
    </row>
    <row r="361" spans="1:24" s="812" customFormat="1" ht="39.950000000000003" hidden="1" customHeight="1" x14ac:dyDescent="0.15">
      <c r="A361" s="2072">
        <f ca="1">+Orçamento_Não_Deson!A361</f>
        <v>5</v>
      </c>
      <c r="B361" s="833">
        <f>+Orçamento_Não_Deson!B361</f>
        <v>101792</v>
      </c>
      <c r="C361" s="2" t="str">
        <f>VLOOKUP($B361,[2]BOLETIM_SEL!$A:$H,2,0)</f>
        <v>SINAPI</v>
      </c>
      <c r="D361" s="315" t="str">
        <f>VLOOKUP($B361,[2]BOLETIM_SEL!$A:$H,4,0)</f>
        <v>Escoramento de fôrmas de laje em madeira não aparelhada, pé-direito simples, incluso travamento, 4 utilizações. AF_09/2020</v>
      </c>
      <c r="E361" s="2">
        <f>+Orçamento_Não_Deson!E361</f>
        <v>0</v>
      </c>
      <c r="F361" s="2" t="str">
        <f>VLOOKUP($B361,[2]BOLETIM_SEL!$A:$H,6,0)</f>
        <v>M3</v>
      </c>
      <c r="G361" s="1407">
        <f>VLOOKUP($B361,[2]BOLETIM_SEL!$A:$H,7,0)</f>
        <v>15.33</v>
      </c>
      <c r="H361" s="1608">
        <f>+Orçamento_Não_Deson!H361</f>
        <v>0</v>
      </c>
      <c r="I361" s="876">
        <f t="shared" si="77"/>
        <v>19.64</v>
      </c>
      <c r="J361" s="1607">
        <f t="shared" si="78"/>
        <v>0</v>
      </c>
      <c r="K361" s="2069">
        <f t="shared" ca="1" si="79"/>
        <v>0</v>
      </c>
      <c r="L361" s="1570" t="e">
        <f t="shared" si="80"/>
        <v>#DIV/0!</v>
      </c>
      <c r="M361" s="1967"/>
      <c r="N361" s="832"/>
      <c r="O361" s="832"/>
      <c r="Q361" s="832"/>
      <c r="R361" s="832"/>
      <c r="S361" s="832"/>
      <c r="T361" s="832"/>
      <c r="U361" s="832"/>
      <c r="V361" s="832"/>
      <c r="W361" s="832"/>
      <c r="X361" s="832"/>
    </row>
    <row r="362" spans="1:24" s="812" customFormat="1" ht="30" hidden="1" customHeight="1" x14ac:dyDescent="0.15">
      <c r="A362" s="2072">
        <f ca="1">+Orçamento_Não_Deson!A362</f>
        <v>5</v>
      </c>
      <c r="B362" s="833">
        <f>+Orçamento_Não_Deson!B362</f>
        <v>96543</v>
      </c>
      <c r="C362" s="2" t="str">
        <f>VLOOKUP($B362,[2]BOLETIM_SEL!$A:$H,2,0)</f>
        <v>SINAPI</v>
      </c>
      <c r="D362" s="315" t="str">
        <f>VLOOKUP($B362,[2]BOLETIM_SEL!$A:$H,4,0)</f>
        <v>Armação de bloco, viga baldrame e sapata utilizando aço CA-60 de 5 mm - montagem. AF_06/2017</v>
      </c>
      <c r="E362" s="2">
        <f>+Orçamento_Não_Deson!E362</f>
        <v>0</v>
      </c>
      <c r="F362" s="2" t="str">
        <f>VLOOKUP($B362,[2]BOLETIM_SEL!$A:$H,6,0)</f>
        <v>KG</v>
      </c>
      <c r="G362" s="1407">
        <f>VLOOKUP($B362,[2]BOLETIM_SEL!$A:$H,7,0)</f>
        <v>16.38</v>
      </c>
      <c r="H362" s="1608">
        <f>+Orçamento_Não_Deson!H362</f>
        <v>0</v>
      </c>
      <c r="I362" s="876">
        <f t="shared" si="77"/>
        <v>20.99</v>
      </c>
      <c r="J362" s="1607">
        <f t="shared" si="78"/>
        <v>0</v>
      </c>
      <c r="K362" s="2069">
        <f t="shared" ca="1" si="79"/>
        <v>0</v>
      </c>
      <c r="L362" s="1570" t="e">
        <f t="shared" si="80"/>
        <v>#DIV/0!</v>
      </c>
      <c r="M362" s="1967"/>
      <c r="N362" s="832"/>
      <c r="O362" s="832"/>
      <c r="Q362" s="832"/>
      <c r="R362" s="832"/>
      <c r="S362" s="832"/>
      <c r="T362" s="832"/>
      <c r="U362" s="832"/>
      <c r="V362" s="832"/>
      <c r="W362" s="832"/>
      <c r="X362" s="832"/>
    </row>
    <row r="363" spans="1:24" s="812" customFormat="1" ht="30" hidden="1" customHeight="1" x14ac:dyDescent="0.15">
      <c r="A363" s="2072">
        <f ca="1">+Orçamento_Não_Deson!A363</f>
        <v>5</v>
      </c>
      <c r="B363" s="833">
        <f>+Orçamento_Não_Deson!B363</f>
        <v>100342</v>
      </c>
      <c r="C363" s="2" t="str">
        <f>VLOOKUP($B363,[2]BOLETIM_SEL!$A:$H,2,0)</f>
        <v>SINAPI</v>
      </c>
      <c r="D363" s="315" t="str">
        <f>VLOOKUP($B363,[2]BOLETIM_SEL!$A:$H,4,0)</f>
        <v>Armação de cortina de contenção em concreto armado, com aço CA-50 de 6,3 mm - montagem. AF_07/2019</v>
      </c>
      <c r="E363" s="2">
        <f>+Orçamento_Não_Deson!E363</f>
        <v>0</v>
      </c>
      <c r="F363" s="2" t="str">
        <f>VLOOKUP($B363,[2]BOLETIM_SEL!$A:$H,6,0)</f>
        <v>KG</v>
      </c>
      <c r="G363" s="1407">
        <f>VLOOKUP($B363,[2]BOLETIM_SEL!$A:$H,7,0)</f>
        <v>13.77</v>
      </c>
      <c r="H363" s="1608">
        <f>+Orçamento_Não_Deson!H363</f>
        <v>0</v>
      </c>
      <c r="I363" s="876">
        <f t="shared" si="77"/>
        <v>17.64</v>
      </c>
      <c r="J363" s="1607">
        <f t="shared" si="78"/>
        <v>0</v>
      </c>
      <c r="K363" s="2069">
        <f t="shared" ca="1" si="79"/>
        <v>0</v>
      </c>
      <c r="L363" s="1570" t="e">
        <f t="shared" si="80"/>
        <v>#DIV/0!</v>
      </c>
      <c r="M363" s="1967"/>
      <c r="N363" s="832"/>
      <c r="O363" s="832"/>
      <c r="Q363" s="832"/>
      <c r="R363" s="832"/>
      <c r="S363" s="832"/>
      <c r="T363" s="832"/>
      <c r="U363" s="832"/>
      <c r="V363" s="832"/>
      <c r="W363" s="832"/>
      <c r="X363" s="832"/>
    </row>
    <row r="364" spans="1:24" s="812" customFormat="1" ht="30" hidden="1" customHeight="1" x14ac:dyDescent="0.15">
      <c r="A364" s="2072">
        <f ca="1">+Orçamento_Não_Deson!A364</f>
        <v>5</v>
      </c>
      <c r="B364" s="833">
        <f>+Orçamento_Não_Deson!B364</f>
        <v>100343</v>
      </c>
      <c r="C364" s="2" t="str">
        <f>VLOOKUP($B364,[2]BOLETIM_SEL!$A:$H,2,0)</f>
        <v>SINAPI</v>
      </c>
      <c r="D364" s="315" t="str">
        <f>VLOOKUP($B364,[2]BOLETIM_SEL!$A:$H,4,0)</f>
        <v>Armação de cortina de contenção em concreto armado, com aço CA-50 de 8 mm - montagem. AF_07/2019</v>
      </c>
      <c r="E364" s="2">
        <f>+Orçamento_Não_Deson!E364</f>
        <v>0</v>
      </c>
      <c r="F364" s="2" t="str">
        <f>VLOOKUP($B364,[2]BOLETIM_SEL!$A:$H,6,0)</f>
        <v>KG</v>
      </c>
      <c r="G364" s="1407">
        <f>VLOOKUP($B364,[2]BOLETIM_SEL!$A:$H,7,0)</f>
        <v>13.09</v>
      </c>
      <c r="H364" s="1608">
        <f>+Orçamento_Não_Deson!H364</f>
        <v>0</v>
      </c>
      <c r="I364" s="876">
        <f t="shared" si="77"/>
        <v>16.77</v>
      </c>
      <c r="J364" s="1607">
        <f t="shared" si="78"/>
        <v>0</v>
      </c>
      <c r="K364" s="2069">
        <f t="shared" ca="1" si="79"/>
        <v>0</v>
      </c>
      <c r="L364" s="1570" t="e">
        <f t="shared" si="80"/>
        <v>#DIV/0!</v>
      </c>
      <c r="M364" s="1967"/>
      <c r="N364" s="832"/>
      <c r="O364" s="832"/>
      <c r="Q364" s="832"/>
      <c r="R364" s="832"/>
      <c r="S364" s="832"/>
      <c r="T364" s="832"/>
      <c r="U364" s="832"/>
      <c r="V364" s="832"/>
      <c r="W364" s="832"/>
      <c r="X364" s="832"/>
    </row>
    <row r="365" spans="1:24" s="812" customFormat="1" ht="30" hidden="1" customHeight="1" x14ac:dyDescent="0.15">
      <c r="A365" s="2072">
        <f ca="1">+Orçamento_Não_Deson!A365</f>
        <v>5</v>
      </c>
      <c r="B365" s="833">
        <f>+Orçamento_Não_Deson!B365</f>
        <v>100344</v>
      </c>
      <c r="C365" s="2" t="str">
        <f>VLOOKUP($B365,[2]BOLETIM_SEL!$A:$H,2,0)</f>
        <v>SINAPI</v>
      </c>
      <c r="D365" s="315" t="str">
        <f>VLOOKUP($B365,[2]BOLETIM_SEL!$A:$H,4,0)</f>
        <v>Armação de cortina de contenção em concreto armado, com aço CA-50 de 10 mm - montagem. AF_07/2019</v>
      </c>
      <c r="E365" s="2">
        <f>+Orçamento_Não_Deson!E365</f>
        <v>0</v>
      </c>
      <c r="F365" s="2" t="str">
        <f>VLOOKUP($B365,[2]BOLETIM_SEL!$A:$H,6,0)</f>
        <v>KG</v>
      </c>
      <c r="G365" s="1407">
        <f>VLOOKUP($B365,[2]BOLETIM_SEL!$A:$H,7,0)</f>
        <v>11.78</v>
      </c>
      <c r="H365" s="1608">
        <f>+Orçamento_Não_Deson!H365</f>
        <v>0</v>
      </c>
      <c r="I365" s="876">
        <f t="shared" si="77"/>
        <v>15.09</v>
      </c>
      <c r="J365" s="1607">
        <f t="shared" si="78"/>
        <v>0</v>
      </c>
      <c r="K365" s="2069">
        <f t="shared" ca="1" si="79"/>
        <v>0</v>
      </c>
      <c r="L365" s="1570" t="e">
        <f t="shared" si="80"/>
        <v>#DIV/0!</v>
      </c>
      <c r="M365" s="1967"/>
      <c r="N365" s="832"/>
      <c r="O365" s="832"/>
      <c r="Q365" s="832"/>
      <c r="R365" s="832"/>
      <c r="S365" s="832"/>
      <c r="T365" s="832"/>
      <c r="U365" s="832"/>
      <c r="V365" s="832"/>
      <c r="W365" s="832"/>
      <c r="X365" s="832"/>
    </row>
    <row r="366" spans="1:24" s="812" customFormat="1" ht="30" hidden="1" customHeight="1" x14ac:dyDescent="0.15">
      <c r="A366" s="2072">
        <f ca="1">+Orçamento_Não_Deson!A366</f>
        <v>5</v>
      </c>
      <c r="B366" s="833">
        <f>+Orçamento_Não_Deson!B366</f>
        <v>100345</v>
      </c>
      <c r="C366" s="2" t="str">
        <f>VLOOKUP($B366,[2]BOLETIM_SEL!$A:$H,2,0)</f>
        <v>SINAPI</v>
      </c>
      <c r="D366" s="315" t="str">
        <f>VLOOKUP($B366,[2]BOLETIM_SEL!$A:$H,4,0)</f>
        <v>Armação de cortina de contenção em concreto armado, com aço CA-50 de 12,5 mm - montagem. AF_07/2019</v>
      </c>
      <c r="E366" s="2">
        <f>+Orçamento_Não_Deson!E366</f>
        <v>0</v>
      </c>
      <c r="F366" s="2" t="str">
        <f>VLOOKUP($B366,[2]BOLETIM_SEL!$A:$H,6,0)</f>
        <v>KG</v>
      </c>
      <c r="G366" s="1407">
        <f>VLOOKUP($B366,[2]BOLETIM_SEL!$A:$H,7,0)</f>
        <v>9.99</v>
      </c>
      <c r="H366" s="1608">
        <f>+Orçamento_Não_Deson!H366</f>
        <v>0</v>
      </c>
      <c r="I366" s="876">
        <f t="shared" si="77"/>
        <v>12.8</v>
      </c>
      <c r="J366" s="1607">
        <f t="shared" si="78"/>
        <v>0</v>
      </c>
      <c r="K366" s="2069">
        <f t="shared" ca="1" si="79"/>
        <v>0</v>
      </c>
      <c r="L366" s="1570" t="e">
        <f t="shared" si="80"/>
        <v>#DIV/0!</v>
      </c>
      <c r="M366" s="1967"/>
      <c r="N366" s="832"/>
      <c r="O366" s="832"/>
      <c r="Q366" s="832"/>
      <c r="R366" s="832"/>
      <c r="S366" s="832"/>
      <c r="T366" s="832"/>
      <c r="U366" s="832"/>
      <c r="V366" s="832"/>
      <c r="W366" s="832"/>
      <c r="X366" s="832"/>
    </row>
    <row r="367" spans="1:24" s="812" customFormat="1" ht="39.950000000000003" hidden="1" customHeight="1" x14ac:dyDescent="0.15">
      <c r="A367" s="2072">
        <f ca="1">+Orçamento_Não_Deson!A367</f>
        <v>5</v>
      </c>
      <c r="B367" s="833">
        <f>+Orçamento_Não_Deson!B367</f>
        <v>92922</v>
      </c>
      <c r="C367" s="2" t="str">
        <f>VLOOKUP($B367,[2]BOLETIM_SEL!$A:$H,2,0)</f>
        <v>SINAPI</v>
      </c>
      <c r="D367" s="315" t="str">
        <f>VLOOKUP($B367,[2]BOLETIM_SEL!$A:$H,4,0)</f>
        <v>Armação de estruturas de concreto armado, exceto vigas, pilares, lajes e fundações, utilizando aço CA-50 de 16,0 mm - montagem. AF_12/2015</v>
      </c>
      <c r="E367" s="2">
        <f>+Orçamento_Não_Deson!E367</f>
        <v>0</v>
      </c>
      <c r="F367" s="2" t="str">
        <f>VLOOKUP($B367,[2]BOLETIM_SEL!$A:$H,6,0)</f>
        <v>KG</v>
      </c>
      <c r="G367" s="1407">
        <f>VLOOKUP($B367,[2]BOLETIM_SEL!$A:$H,7,0)</f>
        <v>9.66</v>
      </c>
      <c r="H367" s="1608">
        <f>+Orçamento_Não_Deson!H367</f>
        <v>0</v>
      </c>
      <c r="I367" s="876">
        <f t="shared" si="77"/>
        <v>12.38</v>
      </c>
      <c r="J367" s="1607">
        <f t="shared" si="78"/>
        <v>0</v>
      </c>
      <c r="K367" s="2069">
        <f t="shared" ca="1" si="79"/>
        <v>0</v>
      </c>
      <c r="L367" s="1570" t="e">
        <f t="shared" si="80"/>
        <v>#DIV/0!</v>
      </c>
      <c r="M367" s="1967"/>
      <c r="N367" s="832"/>
      <c r="O367" s="832"/>
      <c r="Q367" s="832"/>
      <c r="R367" s="832"/>
      <c r="S367" s="832"/>
      <c r="T367" s="832"/>
      <c r="U367" s="832"/>
      <c r="V367" s="832"/>
      <c r="W367" s="832"/>
      <c r="X367" s="832"/>
    </row>
    <row r="368" spans="1:24" s="812" customFormat="1" ht="39.950000000000003" hidden="1" customHeight="1" x14ac:dyDescent="0.15">
      <c r="A368" s="2072">
        <f ca="1">+Orçamento_Não_Deson!A368</f>
        <v>5</v>
      </c>
      <c r="B368" s="833">
        <f>+Orçamento_Não_Deson!B368</f>
        <v>92923</v>
      </c>
      <c r="C368" s="2" t="str">
        <f>VLOOKUP($B368,[2]BOLETIM_SEL!$A:$H,2,0)</f>
        <v>SINAPI</v>
      </c>
      <c r="D368" s="315" t="str">
        <f>VLOOKUP($B368,[2]BOLETIM_SEL!$A:$H,4,0)</f>
        <v>Armação de estruturas de concreto armado, exceto vigas, pilares, lajes e fundações, utilizando aço CA-50 de 20,0 mm - montagem. AF_12/2015</v>
      </c>
      <c r="E368" s="2">
        <f>+Orçamento_Não_Deson!E368</f>
        <v>0</v>
      </c>
      <c r="F368" s="2" t="str">
        <f>VLOOKUP($B368,[2]BOLETIM_SEL!$A:$H,6,0)</f>
        <v>KG</v>
      </c>
      <c r="G368" s="1407">
        <f>VLOOKUP($B368,[2]BOLETIM_SEL!$A:$H,7,0)</f>
        <v>10.93</v>
      </c>
      <c r="H368" s="1608">
        <f>+Orçamento_Não_Deson!H368</f>
        <v>0</v>
      </c>
      <c r="I368" s="876">
        <f t="shared" si="77"/>
        <v>14</v>
      </c>
      <c r="J368" s="1607">
        <f t="shared" si="78"/>
        <v>0</v>
      </c>
      <c r="K368" s="2069">
        <f t="shared" ca="1" si="79"/>
        <v>0</v>
      </c>
      <c r="L368" s="1570" t="e">
        <f t="shared" si="80"/>
        <v>#DIV/0!</v>
      </c>
      <c r="M368" s="1967"/>
      <c r="N368" s="832"/>
      <c r="O368" s="832"/>
      <c r="Q368" s="832"/>
      <c r="R368" s="832"/>
      <c r="S368" s="832"/>
      <c r="T368" s="832"/>
      <c r="U368" s="832"/>
      <c r="V368" s="832"/>
      <c r="W368" s="832"/>
      <c r="X368" s="832"/>
    </row>
    <row r="369" spans="1:24" s="812" customFormat="1" ht="39.950000000000003" hidden="1" customHeight="1" x14ac:dyDescent="0.15">
      <c r="A369" s="2072">
        <f ca="1">+Orçamento_Não_Deson!A369</f>
        <v>5</v>
      </c>
      <c r="B369" s="833">
        <f>+Orçamento_Não_Deson!B369</f>
        <v>92924</v>
      </c>
      <c r="C369" s="2" t="str">
        <f>VLOOKUP($B369,[2]BOLETIM_SEL!$A:$H,2,0)</f>
        <v>SINAPI</v>
      </c>
      <c r="D369" s="315" t="str">
        <f>VLOOKUP($B369,[2]BOLETIM_SEL!$A:$H,4,0)</f>
        <v>Armação de estruturas de concreto armado, exceto vigas, pilares, lajes e fundações, utilizando aço CA-50 de 25,0 mm - montagem. AF_12/2015</v>
      </c>
      <c r="E369" s="2">
        <f>+Orçamento_Não_Deson!E369</f>
        <v>0</v>
      </c>
      <c r="F369" s="2" t="str">
        <f>VLOOKUP($B369,[2]BOLETIM_SEL!$A:$H,6,0)</f>
        <v>KG</v>
      </c>
      <c r="G369" s="1407">
        <f>VLOOKUP($B369,[2]BOLETIM_SEL!$A:$H,7,0)</f>
        <v>10.78</v>
      </c>
      <c r="H369" s="1608">
        <f>+Orçamento_Não_Deson!H369</f>
        <v>0</v>
      </c>
      <c r="I369" s="876">
        <f t="shared" si="77"/>
        <v>13.81</v>
      </c>
      <c r="J369" s="1607">
        <f t="shared" si="78"/>
        <v>0</v>
      </c>
      <c r="K369" s="2069">
        <f t="shared" ca="1" si="79"/>
        <v>0</v>
      </c>
      <c r="L369" s="1570" t="e">
        <f t="shared" si="80"/>
        <v>#DIV/0!</v>
      </c>
      <c r="M369" s="1967"/>
      <c r="N369" s="832"/>
      <c r="O369" s="832"/>
      <c r="Q369" s="832"/>
      <c r="R369" s="832"/>
      <c r="S369" s="832"/>
      <c r="T369" s="832"/>
      <c r="U369" s="832"/>
      <c r="V369" s="832"/>
      <c r="W369" s="832"/>
      <c r="X369" s="832"/>
    </row>
    <row r="370" spans="1:24" s="812" customFormat="1" ht="39.950000000000003" hidden="1" customHeight="1" x14ac:dyDescent="0.15">
      <c r="A370" s="2072">
        <f ca="1">+Orçamento_Não_Deson!A370</f>
        <v>5</v>
      </c>
      <c r="B370" s="833">
        <f>+Orçamento_Não_Deson!B370</f>
        <v>91593</v>
      </c>
      <c r="C370" s="2" t="str">
        <f>VLOOKUP($B370,[2]BOLETIM_SEL!$A:$H,2,0)</f>
        <v>SINAPI</v>
      </c>
      <c r="D370" s="315" t="str">
        <f>VLOOKUP($B370,[2]BOLETIM_SEL!$A:$H,4,0)</f>
        <v>Armação do sistema de paredes de concreto, executada em paredes de edificações de múltiplos pavimentos, tela Q-138. AF_06/2019</v>
      </c>
      <c r="E370" s="2">
        <f>+Orçamento_Não_Deson!E370</f>
        <v>0</v>
      </c>
      <c r="F370" s="2" t="str">
        <f>VLOOKUP($B370,[2]BOLETIM_SEL!$A:$H,6,0)</f>
        <v>KG</v>
      </c>
      <c r="G370" s="1407">
        <f>VLOOKUP($B370,[2]BOLETIM_SEL!$A:$H,7,0)</f>
        <v>9.67</v>
      </c>
      <c r="H370" s="1608">
        <f>+Orçamento_Não_Deson!H370</f>
        <v>0</v>
      </c>
      <c r="I370" s="876">
        <f t="shared" si="77"/>
        <v>12.39</v>
      </c>
      <c r="J370" s="1607">
        <f t="shared" si="78"/>
        <v>0</v>
      </c>
      <c r="K370" s="2069">
        <f t="shared" ca="1" si="79"/>
        <v>0</v>
      </c>
      <c r="L370" s="1570" t="e">
        <f t="shared" si="80"/>
        <v>#DIV/0!</v>
      </c>
      <c r="M370" s="1967"/>
      <c r="N370" s="832"/>
      <c r="O370" s="832"/>
      <c r="Q370" s="832"/>
      <c r="R370" s="832"/>
      <c r="S370" s="832"/>
      <c r="T370" s="832"/>
      <c r="U370" s="832"/>
      <c r="V370" s="832"/>
      <c r="W370" s="832"/>
      <c r="X370" s="832"/>
    </row>
    <row r="371" spans="1:24" s="812" customFormat="1" ht="39.950000000000003" hidden="1" customHeight="1" x14ac:dyDescent="0.15">
      <c r="A371" s="2072">
        <f ca="1">+Orçamento_Não_Deson!A371</f>
        <v>5</v>
      </c>
      <c r="B371" s="833">
        <f>+Orçamento_Não_Deson!B371</f>
        <v>91594</v>
      </c>
      <c r="C371" s="2" t="str">
        <f>VLOOKUP($B371,[2]BOLETIM_SEL!$A:$H,2,0)</f>
        <v>SINAPI</v>
      </c>
      <c r="D371" s="315" t="str">
        <f>VLOOKUP($B371,[2]BOLETIM_SEL!$A:$H,4,0)</f>
        <v>Armação em tela soldada nervurada Q-92 (15x15cm) #4,2x4,2mm (1,48kg/m²), aço CA-60, para estrutura, fornecimento e aplicação</v>
      </c>
      <c r="E371" s="2">
        <f>+Orçamento_Não_Deson!E371</f>
        <v>0</v>
      </c>
      <c r="F371" s="2" t="str">
        <f>VLOOKUP($B371,[2]BOLETIM_SEL!$A:$H,6,0)</f>
        <v>KG</v>
      </c>
      <c r="G371" s="1407">
        <f>VLOOKUP($B371,[2]BOLETIM_SEL!$A:$H,7,0)</f>
        <v>10.029999999999999</v>
      </c>
      <c r="H371" s="1608">
        <f>+Orçamento_Não_Deson!H371</f>
        <v>0</v>
      </c>
      <c r="I371" s="876">
        <f t="shared" si="77"/>
        <v>12.85</v>
      </c>
      <c r="J371" s="1607">
        <f t="shared" si="78"/>
        <v>0</v>
      </c>
      <c r="K371" s="2069">
        <f t="shared" ca="1" si="79"/>
        <v>0</v>
      </c>
      <c r="L371" s="1570" t="e">
        <f t="shared" si="80"/>
        <v>#DIV/0!</v>
      </c>
      <c r="M371" s="1967"/>
      <c r="N371" s="832"/>
      <c r="O371" s="832"/>
      <c r="Q371" s="832"/>
      <c r="R371" s="832"/>
      <c r="S371" s="832"/>
      <c r="T371" s="832"/>
      <c r="U371" s="832"/>
      <c r="V371" s="832"/>
      <c r="W371" s="832"/>
      <c r="X371" s="832"/>
    </row>
    <row r="372" spans="1:24" s="812" customFormat="1" ht="50.1" hidden="1" customHeight="1" x14ac:dyDescent="0.15">
      <c r="A372" s="2072">
        <f ca="1">Orçamento_Não_Deson!A372</f>
        <v>5</v>
      </c>
      <c r="B372" s="833" t="str">
        <f>Orçamento_Não_Deson!B372</f>
        <v>EC/0020</v>
      </c>
      <c r="C372" s="2" t="str">
        <f>VLOOKUP($B372,[2]BOLETIM_SEL!$A:$H,2,0)</f>
        <v>COMPOSIÇÃO</v>
      </c>
      <c r="D372" s="315" t="str">
        <f>VLOOKUP($B372,[2]BOLETIM_SEL!$A:$H,4,0)</f>
        <v>Muro de gabião, enchimento com pedra de mão tipo rachão, de gravidade, com gaiolas (ZN/AL+PVC # 8x10cm Ø2.4mm) de comprimento igual a 2 metros, altura do muro de até 4 metros, geotêxtil RT10 - fornecimento e execução. Exclusive transporte  (REF. SINAPI COD. 92743)</v>
      </c>
      <c r="E372" s="2">
        <f>Orçamento_Não_Deson!E372</f>
        <v>0</v>
      </c>
      <c r="F372" s="2" t="str">
        <f>VLOOKUP($B372,[2]BOLETIM_SEL!$A:$H,6,0)</f>
        <v>M3</v>
      </c>
      <c r="G372" s="1407">
        <f>VLOOKUP($B372,[2]BOLETIM_SEL!$A:$H,7,0)</f>
        <v>698.76</v>
      </c>
      <c r="H372" s="1608">
        <f>Orçamento_Não_Deson!H372</f>
        <v>0</v>
      </c>
      <c r="I372" s="876">
        <f t="shared" si="77"/>
        <v>895.6</v>
      </c>
      <c r="J372" s="1607">
        <f t="shared" si="78"/>
        <v>0</v>
      </c>
      <c r="K372" s="2069">
        <f t="shared" ca="1" si="79"/>
        <v>0</v>
      </c>
      <c r="L372" s="1570" t="e">
        <f t="shared" si="80"/>
        <v>#DIV/0!</v>
      </c>
      <c r="M372" s="1967"/>
      <c r="N372" s="832"/>
      <c r="O372" s="832"/>
      <c r="Q372" s="832"/>
      <c r="R372" s="832"/>
      <c r="S372" s="832"/>
      <c r="T372" s="832"/>
      <c r="U372" s="832"/>
      <c r="V372" s="832"/>
      <c r="W372" s="832"/>
      <c r="X372" s="832"/>
    </row>
    <row r="373" spans="1:24" s="812" customFormat="1" ht="50.1" hidden="1" customHeight="1" x14ac:dyDescent="0.15">
      <c r="A373" s="2072">
        <f ca="1">+Orçamento_Não_Deson!A373</f>
        <v>5</v>
      </c>
      <c r="B373" s="833" t="str">
        <f>+Orçamento_Não_Deson!B373</f>
        <v>EC/0025</v>
      </c>
      <c r="C373" s="2" t="str">
        <f>VLOOKUP($B373,[2]BOLETIM_SEL!$A:$H,2,0)</f>
        <v>COMPOSIÇÃO</v>
      </c>
      <c r="D373" s="315" t="str">
        <f>VLOOKUP($B373,[2]BOLETIM_SEL!$A:$H,4,0)</f>
        <v>Muro de gabião, enchimento com pedra de mão tipo rachão, de gravidade, com gaiolas (ZN/AL+PVC # 8x10cm Ø2.4mm) de comprimento igual a 2 metros, altura do muro acima de 4 metros e até 6 metros, geotêxtil RT10 - fornecimento e execução. Exclusive transporte  (REF. SINAPI COD. 92745)</v>
      </c>
      <c r="E373" s="2">
        <f>+Orçamento_Não_Deson!E373</f>
        <v>0</v>
      </c>
      <c r="F373" s="2" t="str">
        <f>VLOOKUP($B373,[2]BOLETIM_SEL!$A:$H,6,0)</f>
        <v>M3</v>
      </c>
      <c r="G373" s="1407">
        <f>VLOOKUP($B373,[2]BOLETIM_SEL!$A:$H,7,0)</f>
        <v>815.81</v>
      </c>
      <c r="H373" s="1608">
        <f>+Orçamento_Não_Deson!H373</f>
        <v>0</v>
      </c>
      <c r="I373" s="876">
        <f t="shared" si="77"/>
        <v>1045.6199999999999</v>
      </c>
      <c r="J373" s="1607">
        <f t="shared" si="78"/>
        <v>0</v>
      </c>
      <c r="K373" s="2069">
        <f t="shared" ca="1" si="79"/>
        <v>0</v>
      </c>
      <c r="L373" s="1570" t="e">
        <f t="shared" si="80"/>
        <v>#DIV/0!</v>
      </c>
      <c r="M373" s="1967"/>
      <c r="N373" s="832"/>
      <c r="O373" s="832"/>
      <c r="Q373" s="832"/>
      <c r="R373" s="832"/>
      <c r="S373" s="832"/>
      <c r="T373" s="832"/>
      <c r="U373" s="832"/>
      <c r="V373" s="832"/>
      <c r="W373" s="832"/>
      <c r="X373" s="832"/>
    </row>
    <row r="374" spans="1:24" s="812" customFormat="1" ht="50.1" hidden="1" customHeight="1" x14ac:dyDescent="0.15">
      <c r="A374" s="2072">
        <f ca="1">+Orçamento_Não_Deson!A374</f>
        <v>5</v>
      </c>
      <c r="B374" s="833" t="str">
        <f>+Orçamento_Não_Deson!B374</f>
        <v>EC/0030</v>
      </c>
      <c r="C374" s="2" t="str">
        <f>VLOOKUP($B374,[2]BOLETIM_SEL!$A:$H,2,0)</f>
        <v>COMPOSIÇÃO</v>
      </c>
      <c r="D374" s="315" t="str">
        <f>VLOOKUP($B374,[2]BOLETIM_SEL!$A:$H,4,0)</f>
        <v>Muro de gabião, enchimento com pedra de mão tipo rachão, de gravidade, com gaiolas (ZN/AL+PVC # 8x10cm Ø2.4mm) de comprimento igual a 2 metros, altura do muro acima de 6 metros e até 10 metros, geotêxtil RT10 - fornecimento e execução. Exclusive transporte  (REF. SINAPI COD. 92747)</v>
      </c>
      <c r="E374" s="2">
        <f>+Orçamento_Não_Deson!E374</f>
        <v>0</v>
      </c>
      <c r="F374" s="2" t="str">
        <f>VLOOKUP($B374,[2]BOLETIM_SEL!$A:$H,6,0)</f>
        <v>M3</v>
      </c>
      <c r="G374" s="1407">
        <f>VLOOKUP($B374,[2]BOLETIM_SEL!$A:$H,7,0)</f>
        <v>881.57</v>
      </c>
      <c r="H374" s="1608">
        <f>+Orçamento_Não_Deson!H374</f>
        <v>0</v>
      </c>
      <c r="I374" s="876">
        <f t="shared" si="77"/>
        <v>1129.9000000000001</v>
      </c>
      <c r="J374" s="1607">
        <f t="shared" si="78"/>
        <v>0</v>
      </c>
      <c r="K374" s="2069">
        <f t="shared" ca="1" si="79"/>
        <v>0</v>
      </c>
      <c r="L374" s="1570" t="e">
        <f t="shared" si="80"/>
        <v>#DIV/0!</v>
      </c>
      <c r="M374" s="1967"/>
      <c r="N374" s="832"/>
      <c r="O374" s="832"/>
      <c r="Q374" s="832"/>
      <c r="R374" s="832"/>
      <c r="S374" s="832"/>
      <c r="T374" s="832"/>
      <c r="U374" s="832"/>
      <c r="V374" s="832"/>
      <c r="W374" s="832"/>
      <c r="X374" s="832"/>
    </row>
    <row r="375" spans="1:24" s="812" customFormat="1" ht="39.950000000000003" hidden="1" customHeight="1" x14ac:dyDescent="0.15">
      <c r="A375" s="2072">
        <f ca="1">+Orçamento_Não_Deson!A375</f>
        <v>5</v>
      </c>
      <c r="B375" s="833">
        <f>+Orçamento_Não_Deson!B375</f>
        <v>92749</v>
      </c>
      <c r="C375" s="2" t="str">
        <f>VLOOKUP($B375,[2]BOLETIM_SEL!$A:$H,2,0)</f>
        <v>SINAPI</v>
      </c>
      <c r="D375" s="315" t="str">
        <f>VLOOKUP($B375,[2]BOLETIM_SEL!$A:$H,4,0)</f>
        <v>Muro de gabião, enchimento com pedra de mão tipo rachão, com solo reforçado, para muros com altura menor ou igual a 4 m fornecimento e execução. AF_12/2015</v>
      </c>
      <c r="E375" s="2">
        <f>+Orçamento_Não_Deson!E375</f>
        <v>0</v>
      </c>
      <c r="F375" s="2" t="str">
        <f>VLOOKUP($B375,[2]BOLETIM_SEL!$A:$H,6,0)</f>
        <v>M3</v>
      </c>
      <c r="G375" s="1407">
        <f>VLOOKUP($B375,[2]BOLETIM_SEL!$A:$H,7,0)</f>
        <v>799.58</v>
      </c>
      <c r="H375" s="1608">
        <f>+Orçamento_Não_Deson!H375</f>
        <v>0</v>
      </c>
      <c r="I375" s="876">
        <f t="shared" si="77"/>
        <v>1024.82</v>
      </c>
      <c r="J375" s="1607">
        <f t="shared" si="78"/>
        <v>0</v>
      </c>
      <c r="K375" s="2069">
        <f t="shared" ca="1" si="79"/>
        <v>0</v>
      </c>
      <c r="L375" s="1570" t="e">
        <f t="shared" si="80"/>
        <v>#DIV/0!</v>
      </c>
      <c r="M375" s="1967"/>
      <c r="N375" s="832"/>
      <c r="O375" s="832"/>
      <c r="Q375" s="832"/>
      <c r="R375" s="832"/>
      <c r="S375" s="832"/>
      <c r="T375" s="832"/>
      <c r="U375" s="832"/>
      <c r="V375" s="832"/>
      <c r="W375" s="832"/>
      <c r="X375" s="832"/>
    </row>
    <row r="376" spans="1:24" s="812" customFormat="1" ht="50.1" hidden="1" customHeight="1" x14ac:dyDescent="0.15">
      <c r="A376" s="2072">
        <f ca="1">+Orçamento_Não_Deson!A376</f>
        <v>5</v>
      </c>
      <c r="B376" s="833" t="str">
        <f>+Orçamento_Não_Deson!B376</f>
        <v>EC-0033</v>
      </c>
      <c r="C376" s="2" t="str">
        <f>VLOOKUP($B376,[2]BOLETIM_SEL!$A:$H,2,0)</f>
        <v>COMPOSIÇÃO</v>
      </c>
      <c r="D376" s="315" t="str">
        <f>VLOOKUP($B376,[2]BOLETIM_SEL!$A:$H,4,0)</f>
        <v>Muro de gabião, enchimento com pedra de mão tipo rachão, para solo reforçado com gaiolas com painel de ancoragem de 4 m (ZN/AL+PVC # 8x10cm Ø2.7mm) e geotêxtil RT10, altura do muro acima de 4 e até 12 metros - fornecimento e execução. Exclusive transporte. REF SINAPI CÓD 92750, DATA 05/2020</v>
      </c>
      <c r="E376" s="2">
        <f>+Orçamento_Não_Deson!E376</f>
        <v>0</v>
      </c>
      <c r="F376" s="2" t="str">
        <f>VLOOKUP($B376,[2]BOLETIM_SEL!$A:$H,6,0)</f>
        <v>M3</v>
      </c>
      <c r="G376" s="1407">
        <f>VLOOKUP($B376,[2]BOLETIM_SEL!$A:$H,7,0)</f>
        <v>848.84</v>
      </c>
      <c r="H376" s="1608">
        <f>+Orçamento_Não_Deson!H376</f>
        <v>0</v>
      </c>
      <c r="I376" s="876">
        <f t="shared" si="77"/>
        <v>1087.95</v>
      </c>
      <c r="J376" s="1607">
        <f t="shared" si="78"/>
        <v>0</v>
      </c>
      <c r="K376" s="2069">
        <f t="shared" ca="1" si="79"/>
        <v>0</v>
      </c>
      <c r="L376" s="1570" t="e">
        <f t="shared" si="80"/>
        <v>#DIV/0!</v>
      </c>
      <c r="M376" s="1967"/>
      <c r="N376" s="832"/>
      <c r="O376" s="832"/>
      <c r="Q376" s="832"/>
      <c r="R376" s="832"/>
      <c r="S376" s="832"/>
      <c r="T376" s="832"/>
      <c r="U376" s="832"/>
      <c r="V376" s="832"/>
      <c r="W376" s="832"/>
      <c r="X376" s="832"/>
    </row>
    <row r="377" spans="1:24" s="812" customFormat="1" ht="39.950000000000003" hidden="1" customHeight="1" x14ac:dyDescent="0.15">
      <c r="A377" s="2072">
        <f ca="1">+Orçamento_Não_Deson!A377</f>
        <v>5</v>
      </c>
      <c r="B377" s="833">
        <f>+Orçamento_Não_Deson!B377</f>
        <v>92750</v>
      </c>
      <c r="C377" s="2" t="str">
        <f>VLOOKUP($B377,[2]BOLETIM_SEL!$A:$H,2,0)</f>
        <v>SINAPI</v>
      </c>
      <c r="D377" s="315" t="str">
        <f>VLOOKUP($B377,[2]BOLETIM_SEL!$A:$H,4,0)</f>
        <v>Muro de gabião, enchimento com pedra de mão tipo rachão, com solo reforçado, para muros com altura maior que 4 m e menor ou igual a 12 m fornecimento e execução. AF_12/2015</v>
      </c>
      <c r="E377" s="2">
        <f>+Orçamento_Não_Deson!E377</f>
        <v>0</v>
      </c>
      <c r="F377" s="2" t="str">
        <f>VLOOKUP($B377,[2]BOLETIM_SEL!$A:$H,6,0)</f>
        <v>M3</v>
      </c>
      <c r="G377" s="1407">
        <f>VLOOKUP($B377,[2]BOLETIM_SEL!$A:$H,7,0)</f>
        <v>1325.03</v>
      </c>
      <c r="H377" s="1608">
        <f>+Orçamento_Não_Deson!H377</f>
        <v>0</v>
      </c>
      <c r="I377" s="876">
        <f t="shared" si="77"/>
        <v>1698.29</v>
      </c>
      <c r="J377" s="1607">
        <f t="shared" si="78"/>
        <v>0</v>
      </c>
      <c r="K377" s="2069">
        <f t="shared" ca="1" si="79"/>
        <v>0</v>
      </c>
      <c r="L377" s="1570" t="e">
        <f t="shared" si="80"/>
        <v>#DIV/0!</v>
      </c>
      <c r="M377" s="1967"/>
      <c r="N377" s="832"/>
      <c r="O377" s="832"/>
      <c r="Q377" s="832"/>
      <c r="R377" s="832"/>
      <c r="S377" s="832"/>
      <c r="T377" s="832"/>
      <c r="U377" s="832"/>
      <c r="V377" s="832"/>
      <c r="W377" s="832"/>
      <c r="X377" s="832"/>
    </row>
    <row r="378" spans="1:24" s="812" customFormat="1" ht="50.1" hidden="1" customHeight="1" x14ac:dyDescent="0.15">
      <c r="A378" s="2072">
        <f ca="1">+Orçamento_Não_Deson!A378</f>
        <v>5</v>
      </c>
      <c r="B378" s="833" t="str">
        <f>+Orçamento_Não_Deson!B378</f>
        <v>EC/0035</v>
      </c>
      <c r="C378" s="2" t="str">
        <f>VLOOKUP($B378,[2]BOLETIM_SEL!$A:$H,2,0)</f>
        <v>COMPOSIÇÃO</v>
      </c>
      <c r="D378" s="315" t="str">
        <f>VLOOKUP($B378,[2]BOLETIM_SEL!$A:$H,4,0)</f>
        <v>Muro de gabião, enchimento com pedra de mão tipo rachão, para solo reforçado com gaiolas com painel de ancoragem de 5 m (ZN/AL+PVC # 8x10cm Ø2.7mm), altura do muro acima de 4 e até 12 metros, geotêxtil RT10 - fornecimento e execução. Exclusive transporte.REF SINAPI CÓD 92750</v>
      </c>
      <c r="E378" s="2">
        <f>+Orçamento_Não_Deson!E378</f>
        <v>0</v>
      </c>
      <c r="F378" s="2" t="str">
        <f>VLOOKUP($B378,[2]BOLETIM_SEL!$A:$H,6,0)</f>
        <v>M3</v>
      </c>
      <c r="G378" s="1407">
        <f>VLOOKUP($B378,[2]BOLETIM_SEL!$A:$H,7,0)</f>
        <v>1088.6300000000001</v>
      </c>
      <c r="H378" s="1608">
        <f>+Orçamento_Não_Deson!H378</f>
        <v>0</v>
      </c>
      <c r="I378" s="876">
        <f t="shared" si="77"/>
        <v>1395.29</v>
      </c>
      <c r="J378" s="1607">
        <f t="shared" si="78"/>
        <v>0</v>
      </c>
      <c r="K378" s="2069">
        <f t="shared" ca="1" si="79"/>
        <v>0</v>
      </c>
      <c r="L378" s="1570" t="e">
        <f t="shared" si="80"/>
        <v>#DIV/0!</v>
      </c>
      <c r="M378" s="1967"/>
      <c r="N378" s="832"/>
      <c r="O378" s="832"/>
      <c r="Q378" s="832"/>
      <c r="R378" s="832"/>
      <c r="S378" s="832"/>
      <c r="T378" s="832"/>
      <c r="U378" s="832"/>
      <c r="V378" s="832"/>
      <c r="W378" s="832"/>
      <c r="X378" s="832"/>
    </row>
    <row r="379" spans="1:24" s="812" customFormat="1" ht="50.1" hidden="1" customHeight="1" x14ac:dyDescent="0.15">
      <c r="A379" s="2072">
        <f ca="1">+Orçamento_Não_Deson!A379</f>
        <v>5</v>
      </c>
      <c r="B379" s="833" t="str">
        <f>+Orçamento_Não_Deson!B379</f>
        <v>EC/0040</v>
      </c>
      <c r="C379" s="2" t="str">
        <f>VLOOKUP($B379,[2]BOLETIM_SEL!$A:$H,2,0)</f>
        <v>COMPOSIÇÃO</v>
      </c>
      <c r="D379" s="315" t="str">
        <f>VLOOKUP($B379,[2]BOLETIM_SEL!$A:$H,4,0)</f>
        <v>Muro de gabião, enchimento com pedra de mão tipo rachão, para solo reforçado com gaiolas com painel de ancoragem de 6 m (ZN/AL+PVC # 8x10cm Ø2.7mm), altura do muro acima de 4 e até 12 metros, geotêxtil RT10 - fornecimento e execução. Exclusive transporte. REF SINAPI 92750</v>
      </c>
      <c r="E379" s="2">
        <f>+Orçamento_Não_Deson!E379</f>
        <v>0</v>
      </c>
      <c r="F379" s="2" t="str">
        <f>VLOOKUP($B379,[2]BOLETIM_SEL!$A:$H,6,0)</f>
        <v>M3</v>
      </c>
      <c r="G379" s="1407">
        <f>VLOOKUP($B379,[2]BOLETIM_SEL!$A:$H,7,0)</f>
        <v>1153.97</v>
      </c>
      <c r="H379" s="1608">
        <f>+Orçamento_Não_Deson!H379</f>
        <v>0</v>
      </c>
      <c r="I379" s="876">
        <f t="shared" si="77"/>
        <v>1479.04</v>
      </c>
      <c r="J379" s="1607">
        <f t="shared" si="78"/>
        <v>0</v>
      </c>
      <c r="K379" s="2069">
        <f t="shared" ca="1" si="79"/>
        <v>0</v>
      </c>
      <c r="L379" s="1570" t="e">
        <f t="shared" si="80"/>
        <v>#DIV/0!</v>
      </c>
      <c r="M379" s="1967"/>
      <c r="N379" s="832"/>
      <c r="O379" s="832"/>
      <c r="Q379" s="832"/>
      <c r="R379" s="832"/>
      <c r="S379" s="832"/>
      <c r="T379" s="832"/>
      <c r="U379" s="832"/>
      <c r="V379" s="832"/>
      <c r="W379" s="832"/>
      <c r="X379" s="832"/>
    </row>
    <row r="380" spans="1:24" s="812" customFormat="1" ht="39.950000000000003" hidden="1" customHeight="1" x14ac:dyDescent="0.15">
      <c r="A380" s="2072">
        <f ca="1">+Orçamento_Não_Deson!A380</f>
        <v>5</v>
      </c>
      <c r="B380" s="833">
        <f>+Orçamento_Não_Deson!B380</f>
        <v>92755</v>
      </c>
      <c r="C380" s="2" t="str">
        <f>VLOOKUP($B380,[2]BOLETIM_SEL!$A:$H,2,0)</f>
        <v>SINAPI</v>
      </c>
      <c r="D380" s="315" t="str">
        <f>VLOOKUP($B380,[2]BOLETIM_SEL!$A:$H,4,0)</f>
        <v>Proteção superficial de canal em gabião tipo colchão, altura de 17 centímetros, enchimento com pedra de mão tipo rachão - fornecimento e execução. AF_12/2015</v>
      </c>
      <c r="E380" s="2">
        <f>+Orçamento_Não_Deson!E380</f>
        <v>0</v>
      </c>
      <c r="F380" s="2" t="str">
        <f>VLOOKUP($B380,[2]BOLETIM_SEL!$A:$H,6,0)</f>
        <v>M2</v>
      </c>
      <c r="G380" s="1407">
        <f>VLOOKUP($B380,[2]BOLETIM_SEL!$A:$H,7,0)</f>
        <v>207.42</v>
      </c>
      <c r="H380" s="1608">
        <f>+Orçamento_Não_Deson!H380</f>
        <v>0</v>
      </c>
      <c r="I380" s="876">
        <f t="shared" si="77"/>
        <v>265.85000000000002</v>
      </c>
      <c r="J380" s="1607">
        <f t="shared" si="78"/>
        <v>0</v>
      </c>
      <c r="K380" s="2069">
        <f t="shared" ca="1" si="79"/>
        <v>0</v>
      </c>
      <c r="L380" s="1570" t="e">
        <f t="shared" si="80"/>
        <v>#DIV/0!</v>
      </c>
      <c r="M380" s="1967"/>
      <c r="N380" s="832"/>
      <c r="O380" s="832"/>
      <c r="Q380" s="832"/>
      <c r="R380" s="832"/>
      <c r="S380" s="832"/>
      <c r="T380" s="832"/>
      <c r="U380" s="832"/>
      <c r="V380" s="832"/>
      <c r="W380" s="832"/>
      <c r="X380" s="832"/>
    </row>
    <row r="381" spans="1:24" s="812" customFormat="1" ht="39.950000000000003" hidden="1" customHeight="1" x14ac:dyDescent="0.15">
      <c r="A381" s="2072">
        <f ca="1">+Orçamento_Não_Deson!A381</f>
        <v>5</v>
      </c>
      <c r="B381" s="833">
        <f>+Orçamento_Não_Deson!B381</f>
        <v>92756</v>
      </c>
      <c r="C381" s="2" t="str">
        <f>VLOOKUP($B381,[2]BOLETIM_SEL!$A:$H,2,0)</f>
        <v>SINAPI</v>
      </c>
      <c r="D381" s="315" t="str">
        <f>VLOOKUP($B381,[2]BOLETIM_SEL!$A:$H,4,0)</f>
        <v>Proteção superficial de canal em gabião tipo colchão, altura de 23 centímetros, enchimento com pedra de mão tipo rachão - fornecimento e execução. AF_12/2015</v>
      </c>
      <c r="E381" s="2">
        <f>+Orçamento_Não_Deson!E381</f>
        <v>0</v>
      </c>
      <c r="F381" s="2" t="str">
        <f>VLOOKUP($B381,[2]BOLETIM_SEL!$A:$H,6,0)</f>
        <v>M2</v>
      </c>
      <c r="G381" s="1407">
        <f>VLOOKUP($B381,[2]BOLETIM_SEL!$A:$H,7,0)</f>
        <v>236.7</v>
      </c>
      <c r="H381" s="1608">
        <f>+Orçamento_Não_Deson!H381</f>
        <v>0</v>
      </c>
      <c r="I381" s="876">
        <f t="shared" si="77"/>
        <v>303.37</v>
      </c>
      <c r="J381" s="1607">
        <f t="shared" si="78"/>
        <v>0</v>
      </c>
      <c r="K381" s="2069">
        <f t="shared" ca="1" si="79"/>
        <v>0</v>
      </c>
      <c r="L381" s="1570" t="e">
        <f t="shared" si="80"/>
        <v>#DIV/0!</v>
      </c>
      <c r="M381" s="1967"/>
      <c r="O381" s="832"/>
      <c r="P381" s="832"/>
      <c r="Q381" s="832"/>
      <c r="R381" s="832"/>
      <c r="S381" s="832"/>
      <c r="T381" s="832"/>
      <c r="U381" s="832"/>
      <c r="V381" s="832"/>
      <c r="W381" s="832"/>
      <c r="X381" s="832"/>
    </row>
    <row r="382" spans="1:24" s="812" customFormat="1" ht="39.950000000000003" hidden="1" customHeight="1" x14ac:dyDescent="0.15">
      <c r="A382" s="2072">
        <f ca="1">+Orçamento_Não_Deson!A382</f>
        <v>5</v>
      </c>
      <c r="B382" s="833">
        <f>+Orçamento_Não_Deson!B382</f>
        <v>92757</v>
      </c>
      <c r="C382" s="2" t="str">
        <f>VLOOKUP($B382,[2]BOLETIM_SEL!$A:$H,2,0)</f>
        <v>SINAPI</v>
      </c>
      <c r="D382" s="315" t="str">
        <f>VLOOKUP($B382,[2]BOLETIM_SEL!$A:$H,4,0)</f>
        <v>Proteção superficial de canal em gabião tipo colchão, altura de 30 centímetros, enchimento com pedra de mão tipo rachão - fornecimento e execução. AF_12/2015</v>
      </c>
      <c r="E382" s="2">
        <f>+Orçamento_Não_Deson!E382</f>
        <v>0</v>
      </c>
      <c r="F382" s="2" t="str">
        <f>VLOOKUP($B382,[2]BOLETIM_SEL!$A:$H,6,0)</f>
        <v>M2</v>
      </c>
      <c r="G382" s="1407">
        <f>VLOOKUP($B382,[2]BOLETIM_SEL!$A:$H,7,0)</f>
        <v>272.08999999999997</v>
      </c>
      <c r="H382" s="1608">
        <f>+Orçamento_Não_Deson!H382</f>
        <v>0</v>
      </c>
      <c r="I382" s="876">
        <f t="shared" si="77"/>
        <v>348.73</v>
      </c>
      <c r="J382" s="1607">
        <f t="shared" si="78"/>
        <v>0</v>
      </c>
      <c r="K382" s="2069">
        <f t="shared" ca="1" si="79"/>
        <v>0</v>
      </c>
      <c r="L382" s="1570" t="e">
        <f t="shared" si="80"/>
        <v>#DIV/0!</v>
      </c>
      <c r="M382" s="1967"/>
      <c r="O382" s="832"/>
      <c r="P382" s="832"/>
      <c r="Q382" s="832"/>
      <c r="R382" s="832"/>
      <c r="S382" s="832"/>
      <c r="T382" s="832"/>
      <c r="U382" s="832"/>
      <c r="V382" s="832"/>
      <c r="W382" s="832"/>
      <c r="X382" s="832"/>
    </row>
    <row r="383" spans="1:24" s="812" customFormat="1" ht="39.950000000000003" hidden="1" customHeight="1" x14ac:dyDescent="0.15">
      <c r="A383" s="2072">
        <f ca="1">+Orçamento_Não_Deson!A383</f>
        <v>5</v>
      </c>
      <c r="B383" s="833">
        <f>+Orçamento_Não_Deson!B383</f>
        <v>92758</v>
      </c>
      <c r="C383" s="2" t="str">
        <f>VLOOKUP($B383,[2]BOLETIM_SEL!$A:$H,2,0)</f>
        <v>SINAPI</v>
      </c>
      <c r="D383" s="315" t="str">
        <f>VLOOKUP($B383,[2]BOLETIM_SEL!$A:$H,4,0)</f>
        <v>Proteção superficial de canal em gabião tipo saco (ZN/AL+PVC # 8x10cm Ø2,4mm), diâmetro de 65 centímetros, enchimento manual com pedra de mão tipo rachão - fornecimento e execução. Exclusive transporte AF_12/2015</v>
      </c>
      <c r="E383" s="2">
        <f>+Orçamento_Não_Deson!E383</f>
        <v>0</v>
      </c>
      <c r="F383" s="2" t="str">
        <f>VLOOKUP($B383,[2]BOLETIM_SEL!$A:$H,6,0)</f>
        <v>M3</v>
      </c>
      <c r="G383" s="1407">
        <f>VLOOKUP($B383,[2]BOLETIM_SEL!$A:$H,7,0)</f>
        <v>605.64</v>
      </c>
      <c r="H383" s="1608">
        <f>+Orçamento_Não_Deson!H383</f>
        <v>0</v>
      </c>
      <c r="I383" s="876">
        <f t="shared" si="77"/>
        <v>776.24</v>
      </c>
      <c r="J383" s="1607">
        <f t="shared" si="78"/>
        <v>0</v>
      </c>
      <c r="K383" s="2069">
        <f t="shared" ca="1" si="79"/>
        <v>0</v>
      </c>
      <c r="L383" s="1570" t="e">
        <f t="shared" si="80"/>
        <v>#DIV/0!</v>
      </c>
      <c r="M383" s="1967"/>
      <c r="O383" s="832"/>
      <c r="P383" s="832"/>
      <c r="Q383" s="832"/>
      <c r="R383" s="832"/>
      <c r="S383" s="832"/>
      <c r="T383" s="832"/>
      <c r="U383" s="832"/>
      <c r="V383" s="832"/>
      <c r="W383" s="832"/>
      <c r="X383" s="832"/>
    </row>
    <row r="384" spans="1:24" s="812" customFormat="1" ht="39.950000000000003" hidden="1" customHeight="1" x14ac:dyDescent="0.15">
      <c r="A384" s="2072">
        <f ca="1">+Orçamento_Não_Deson!A384</f>
        <v>5</v>
      </c>
      <c r="B384" s="833" t="str">
        <f>+Orçamento_Não_Deson!B384</f>
        <v>SC/0100</v>
      </c>
      <c r="C384" s="2" t="str">
        <f>VLOOKUP($B384,[2]BOLETIM_SEL!$A:$H,2,0)</f>
        <v>COMPOSIÇÃO</v>
      </c>
      <c r="D384" s="315" t="str">
        <f>VLOOKUP($B384,[2]BOLETIM_SEL!$A:$H,4,0)</f>
        <v>Tubo aço galvanizado com costura para guarda-corpo, classe leve, DN 40 mm (1 1/2"),  DIN 2440 / NBR 5580 classe leve, espessura 3,00 mm, *3,48* kg/m</v>
      </c>
      <c r="E384" s="2">
        <f>+Orçamento_Não_Deson!E384</f>
        <v>0</v>
      </c>
      <c r="F384" s="2" t="str">
        <f>VLOOKUP($B384,[2]BOLETIM_SEL!$A:$H,6,0)</f>
        <v>M</v>
      </c>
      <c r="G384" s="1407">
        <f>VLOOKUP($B384,[2]BOLETIM_SEL!$A:$H,7,0)</f>
        <v>54.93</v>
      </c>
      <c r="H384" s="1608">
        <f>+Orçamento_Não_Deson!H384</f>
        <v>0</v>
      </c>
      <c r="I384" s="876">
        <f t="shared" si="77"/>
        <v>70.400000000000006</v>
      </c>
      <c r="J384" s="1607">
        <f t="shared" si="78"/>
        <v>0</v>
      </c>
      <c r="K384" s="2069">
        <f t="shared" ca="1" si="79"/>
        <v>0</v>
      </c>
      <c r="L384" s="1570" t="e">
        <f t="shared" si="80"/>
        <v>#DIV/0!</v>
      </c>
      <c r="M384" s="1967"/>
      <c r="O384" s="832"/>
      <c r="P384" s="832"/>
      <c r="Q384" s="832"/>
      <c r="R384" s="832"/>
      <c r="S384" s="832"/>
      <c r="T384" s="832"/>
      <c r="U384" s="832"/>
      <c r="V384" s="832"/>
      <c r="W384" s="832"/>
      <c r="X384" s="832"/>
    </row>
    <row r="385" spans="1:24" s="812" customFormat="1" ht="39.950000000000003" hidden="1" customHeight="1" x14ac:dyDescent="0.15">
      <c r="A385" s="2072">
        <f ca="1">+Orçamento_Não_Deson!A385</f>
        <v>5</v>
      </c>
      <c r="B385" s="833" t="str">
        <f>+Orçamento_Não_Deson!B385</f>
        <v>SC/0105</v>
      </c>
      <c r="C385" s="2" t="str">
        <f>VLOOKUP($B385,[2]BOLETIM_SEL!$A:$H,2,0)</f>
        <v>COMPOSIÇÃO</v>
      </c>
      <c r="D385" s="315" t="str">
        <f>VLOOKUP($B385,[2]BOLETIM_SEL!$A:$H,4,0)</f>
        <v>Tubo aço galvanizado com costura para guarda-corpo, classe leve, DN 50 mm (2"),  DIN 2440 / NBR 5580 classe leve, espessura 3,00 mm, *4,40* kg/m</v>
      </c>
      <c r="E385" s="2">
        <f>+Orçamento_Não_Deson!E385</f>
        <v>0</v>
      </c>
      <c r="F385" s="2" t="str">
        <f>VLOOKUP($B385,[2]BOLETIM_SEL!$A:$H,6,0)</f>
        <v>M</v>
      </c>
      <c r="G385" s="1407">
        <f>VLOOKUP($B385,[2]BOLETIM_SEL!$A:$H,7,0)</f>
        <v>71.7</v>
      </c>
      <c r="H385" s="1608">
        <f>+Orçamento_Não_Deson!H385</f>
        <v>0</v>
      </c>
      <c r="I385" s="876">
        <f t="shared" si="77"/>
        <v>91.89</v>
      </c>
      <c r="J385" s="1607">
        <f t="shared" si="78"/>
        <v>0</v>
      </c>
      <c r="K385" s="2069">
        <f t="shared" ca="1" si="79"/>
        <v>0</v>
      </c>
      <c r="L385" s="1570" t="e">
        <f t="shared" si="80"/>
        <v>#DIV/0!</v>
      </c>
      <c r="M385" s="1967"/>
      <c r="O385" s="832"/>
      <c r="P385" s="832"/>
      <c r="Q385" s="832"/>
      <c r="R385" s="832"/>
      <c r="S385" s="832"/>
      <c r="T385" s="832"/>
      <c r="U385" s="832"/>
      <c r="V385" s="832"/>
      <c r="W385" s="832"/>
      <c r="X385" s="832"/>
    </row>
    <row r="386" spans="1:24" s="812" customFormat="1" ht="24.95" hidden="1" customHeight="1" x14ac:dyDescent="0.15">
      <c r="A386" s="2072"/>
      <c r="B386" s="833"/>
      <c r="C386" s="2"/>
      <c r="D386" s="1449" t="s">
        <v>2107</v>
      </c>
      <c r="E386" s="2"/>
      <c r="F386" s="2"/>
      <c r="G386" s="1407"/>
      <c r="H386" s="2"/>
      <c r="I386" s="2"/>
      <c r="J386" s="838" t="str">
        <f>IF(J387=0,"-","")</f>
        <v>-</v>
      </c>
      <c r="K386" s="2069"/>
      <c r="L386" s="1570"/>
      <c r="M386" s="1967"/>
      <c r="O386" s="832"/>
      <c r="P386" s="832"/>
      <c r="Q386" s="832"/>
      <c r="R386" s="832"/>
      <c r="S386" s="832"/>
      <c r="T386" s="832"/>
      <c r="U386" s="832"/>
      <c r="V386" s="832"/>
      <c r="W386" s="832"/>
      <c r="X386" s="832"/>
    </row>
    <row r="387" spans="1:24" s="812" customFormat="1" ht="39.950000000000003" hidden="1" customHeight="1" x14ac:dyDescent="0.15">
      <c r="A387" s="2072">
        <f ca="1">+Orçamento_Não_Deson!A387</f>
        <v>5</v>
      </c>
      <c r="B387" s="833" t="str">
        <f>+Orçamento_Não_Deson!B387</f>
        <v>SC/0115</v>
      </c>
      <c r="C387" s="2" t="str">
        <f>VLOOKUP($B387,[2]BOLETIM_SEL!$A:$H,2,0)</f>
        <v>COMPOSIÇÃO</v>
      </c>
      <c r="D387" s="315" t="str">
        <f>VLOOKUP($B387,[2]BOLETIM_SEL!$A:$H,4,0)</f>
        <v>Alambrado com tela de aço galvanizado, fio 14, malha 1½" , três fios de arame liso, poste curvo de concreto com altura livre de 1,80m, mureta de concreto com altura de 30cm, conforme projeto. REF SINAPI 98522</v>
      </c>
      <c r="E387" s="2">
        <f>+Orçamento_Não_Deson!E387</f>
        <v>0</v>
      </c>
      <c r="F387" s="2" t="str">
        <f>VLOOKUP($B387,[2]BOLETIM_SEL!$A:$H,6,0)</f>
        <v>M</v>
      </c>
      <c r="G387" s="1407">
        <f>VLOOKUP($B387,[2]BOLETIM_SEL!$A:$H,7,0)</f>
        <v>250.12</v>
      </c>
      <c r="H387" s="1608">
        <f>+Orçamento_Não_Deson!H387</f>
        <v>0</v>
      </c>
      <c r="I387" s="876">
        <f t="shared" ref="I387:I399" si="84">TRUNC(G387*(1+$J$5),2)</f>
        <v>320.57</v>
      </c>
      <c r="J387" s="1607">
        <f t="shared" ref="J387:J399" si="85">TRUNC(H387*I387,2)</f>
        <v>0</v>
      </c>
      <c r="K387" s="2069">
        <f t="shared" ref="K387:K399" ca="1" si="86">J387/J$930</f>
        <v>0</v>
      </c>
      <c r="L387" s="1570" t="e">
        <f t="shared" ref="L387:L401" si="87">J387/$J$314</f>
        <v>#DIV/0!</v>
      </c>
      <c r="M387" s="1668"/>
      <c r="N387" s="832"/>
      <c r="O387" s="832"/>
      <c r="Q387" s="832"/>
      <c r="R387" s="832"/>
      <c r="S387" s="832"/>
      <c r="T387" s="832"/>
      <c r="U387" s="832"/>
      <c r="V387" s="832"/>
      <c r="W387" s="832"/>
      <c r="X387" s="832"/>
    </row>
    <row r="388" spans="1:24" s="812" customFormat="1" ht="39.950000000000003" hidden="1" customHeight="1" x14ac:dyDescent="0.15">
      <c r="A388" s="2072">
        <f ca="1">+Orçamento_Não_Deson!A388</f>
        <v>5</v>
      </c>
      <c r="B388" s="833">
        <f>+Orçamento_Não_Deson!B388</f>
        <v>101199</v>
      </c>
      <c r="C388" s="2" t="str">
        <f>VLOOKUP($B388,[2]BOLETIM_SEL!$A:$H,2,0)</f>
        <v>SINAPI</v>
      </c>
      <c r="D388" s="315" t="str">
        <f>VLOOKUP($B388,[2]BOLETIM_SEL!$A:$H,4,0)</f>
        <v>Cerca com mourões de concreto, seção "t" ponta inclinada, 10x10cm, espaçamento de 2,5m, cravados 0,5m, com 11 fios de arame misto - fornecimento e instalação. AF_05/2020</v>
      </c>
      <c r="E388" s="2">
        <f>+Orçamento_Não_Deson!E388</f>
        <v>0</v>
      </c>
      <c r="F388" s="2" t="str">
        <f>VLOOKUP($B388,[2]BOLETIM_SEL!$A:$H,6,0)</f>
        <v>M</v>
      </c>
      <c r="G388" s="1407">
        <f>VLOOKUP($B388,[2]BOLETIM_SEL!$A:$H,7,0)</f>
        <v>80.19</v>
      </c>
      <c r="H388" s="1608">
        <f>+Orçamento_Não_Deson!H388</f>
        <v>0</v>
      </c>
      <c r="I388" s="876">
        <f t="shared" si="84"/>
        <v>102.77</v>
      </c>
      <c r="J388" s="1607">
        <f t="shared" si="85"/>
        <v>0</v>
      </c>
      <c r="K388" s="2069">
        <f t="shared" ca="1" si="86"/>
        <v>0</v>
      </c>
      <c r="L388" s="1570" t="e">
        <f t="shared" si="87"/>
        <v>#DIV/0!</v>
      </c>
      <c r="M388" s="1668"/>
      <c r="N388" s="832"/>
      <c r="O388" s="832"/>
      <c r="Q388" s="832"/>
      <c r="R388" s="832"/>
      <c r="S388" s="832"/>
      <c r="T388" s="832"/>
      <c r="U388" s="832"/>
      <c r="V388" s="832"/>
      <c r="W388" s="832"/>
      <c r="X388" s="832"/>
    </row>
    <row r="389" spans="1:24" s="812" customFormat="1" ht="39.950000000000003" hidden="1" customHeight="1" x14ac:dyDescent="0.15">
      <c r="A389" s="2072">
        <f ca="1">+Orçamento_Não_Deson!A389</f>
        <v>5</v>
      </c>
      <c r="B389" s="833" t="str">
        <f>+Orçamento_Não_Deson!B389</f>
        <v>SC/0120</v>
      </c>
      <c r="C389" s="2" t="str">
        <f>VLOOKUP($B389,[2]BOLETIM_SEL!$A:$H,2,0)</f>
        <v>COMPOSIÇÃO</v>
      </c>
      <c r="D389" s="315" t="str">
        <f>VLOOKUP($B389,[2]BOLETIM_SEL!$A:$H,4,0)</f>
        <v>Portão para veículos em tela arame galvanizado n.12 malha 2" e moldura em tubos de aco com duas folhas de abrir, incluso ferragens (REF. SINAPI COD. 74238/2 - Descontinuado)</v>
      </c>
      <c r="E389" s="2">
        <f>+Orçamento_Não_Deson!E389</f>
        <v>0</v>
      </c>
      <c r="F389" s="2" t="str">
        <f>VLOOKUP($B389,[2]BOLETIM_SEL!$A:$H,6,0)</f>
        <v>M2</v>
      </c>
      <c r="G389" s="1407">
        <f>VLOOKUP($B389,[2]BOLETIM_SEL!$A:$H,7,0)</f>
        <v>944.99</v>
      </c>
      <c r="H389" s="1608">
        <f>+Orçamento_Não_Deson!H389</f>
        <v>0</v>
      </c>
      <c r="I389" s="876">
        <f t="shared" si="84"/>
        <v>1211.19</v>
      </c>
      <c r="J389" s="1607">
        <f t="shared" si="85"/>
        <v>0</v>
      </c>
      <c r="K389" s="2069">
        <f t="shared" ca="1" si="86"/>
        <v>0</v>
      </c>
      <c r="L389" s="1570" t="e">
        <f t="shared" si="87"/>
        <v>#DIV/0!</v>
      </c>
      <c r="M389" s="1668"/>
      <c r="N389" s="832"/>
      <c r="O389" s="832"/>
      <c r="Q389" s="832"/>
      <c r="R389" s="832"/>
      <c r="S389" s="832"/>
      <c r="T389" s="832"/>
      <c r="U389" s="832"/>
      <c r="V389" s="832"/>
      <c r="W389" s="832"/>
      <c r="X389" s="832"/>
    </row>
    <row r="390" spans="1:24" s="812" customFormat="1" ht="30" hidden="1" customHeight="1" x14ac:dyDescent="0.15">
      <c r="A390" s="2072">
        <f ca="1">+Orçamento_Não_Deson!A390</f>
        <v>5</v>
      </c>
      <c r="B390" s="833">
        <f>+Orçamento_Não_Deson!B390</f>
        <v>98504</v>
      </c>
      <c r="C390" s="2" t="str">
        <f>VLOOKUP($B390,[2]BOLETIM_SEL!$A:$H,2,0)</f>
        <v>SINAPI</v>
      </c>
      <c r="D390" s="315" t="str">
        <f>VLOOKUP($B390,[2]BOLETIM_SEL!$A:$H,4,0)</f>
        <v>Plantio de grama em placas. AF_05/2018</v>
      </c>
      <c r="E390" s="2">
        <f>+Orçamento_Não_Deson!E390</f>
        <v>0</v>
      </c>
      <c r="F390" s="2" t="str">
        <f>VLOOKUP($B390,[2]BOLETIM_SEL!$A:$H,6,0)</f>
        <v>M2</v>
      </c>
      <c r="G390" s="1407">
        <f>VLOOKUP($B390,[2]BOLETIM_SEL!$A:$H,7,0)</f>
        <v>9.68</v>
      </c>
      <c r="H390" s="1608">
        <f>+Orçamento_Não_Deson!H390</f>
        <v>0</v>
      </c>
      <c r="I390" s="876">
        <f t="shared" si="84"/>
        <v>12.4</v>
      </c>
      <c r="J390" s="1607">
        <f t="shared" si="85"/>
        <v>0</v>
      </c>
      <c r="K390" s="2069">
        <f t="shared" ca="1" si="86"/>
        <v>0</v>
      </c>
      <c r="L390" s="1570" t="e">
        <f t="shared" si="87"/>
        <v>#DIV/0!</v>
      </c>
      <c r="M390" s="1968" t="str">
        <f>+Orçamento_Não_Deson!M390</f>
        <v>BATATAIS</v>
      </c>
      <c r="N390" s="832"/>
      <c r="O390" s="832"/>
      <c r="Q390" s="832"/>
      <c r="R390" s="832"/>
      <c r="S390" s="832"/>
      <c r="T390" s="832"/>
      <c r="U390" s="832"/>
      <c r="V390" s="832"/>
      <c r="W390" s="832"/>
      <c r="X390" s="832"/>
    </row>
    <row r="391" spans="1:24" s="812" customFormat="1" ht="30" hidden="1" customHeight="1" x14ac:dyDescent="0.15">
      <c r="A391" s="2072">
        <f ca="1">+Orçamento_Não_Deson!A391</f>
        <v>5</v>
      </c>
      <c r="B391" s="833" t="str">
        <f>+Orçamento_Não_Deson!B391</f>
        <v>SC/0250</v>
      </c>
      <c r="C391" s="2" t="str">
        <f>VLOOKUP($B391,[2]BOLETIM_SEL!$A:$H,2,0)</f>
        <v>COMPOSIÇÃO</v>
      </c>
      <c r="D391" s="315" t="str">
        <f>VLOOKUP($B391,[2]BOLETIM_SEL!$A:$H,4,0)</f>
        <v>Hidrossemeadura. Ref SICRO CÓD  4413905, DB 04-2021</v>
      </c>
      <c r="E391" s="2">
        <f>+Orçamento_Não_Deson!E391</f>
        <v>0</v>
      </c>
      <c r="F391" s="2" t="str">
        <f>VLOOKUP($B391,[2]BOLETIM_SEL!$A:$H,6,0)</f>
        <v>M2</v>
      </c>
      <c r="G391" s="1407">
        <f>VLOOKUP($B391,[2]BOLETIM_SEL!$A:$H,7,0)</f>
        <v>6.59</v>
      </c>
      <c r="H391" s="1608">
        <f>+Orçamento_Não_Deson!H391</f>
        <v>0</v>
      </c>
      <c r="I391" s="876">
        <f t="shared" ref="I391" si="88">TRUNC(G391*(1+$J$5),2)</f>
        <v>8.44</v>
      </c>
      <c r="J391" s="1607">
        <f t="shared" ref="J391" si="89">TRUNC(H391*I391,2)</f>
        <v>0</v>
      </c>
      <c r="K391" s="2069">
        <f t="shared" ca="1" si="86"/>
        <v>0</v>
      </c>
      <c r="L391" s="1570" t="e">
        <f t="shared" ref="L391" si="90">J391/$J$314</f>
        <v>#DIV/0!</v>
      </c>
      <c r="M391" s="1968">
        <f>+Orçamento_Não_Deson!M391</f>
        <v>0</v>
      </c>
      <c r="N391" s="832"/>
      <c r="O391" s="832"/>
      <c r="Q391" s="832"/>
      <c r="R391" s="832"/>
      <c r="S391" s="832"/>
      <c r="T391" s="832"/>
      <c r="U391" s="832"/>
      <c r="V391" s="832"/>
      <c r="W391" s="832"/>
      <c r="X391" s="832"/>
    </row>
    <row r="392" spans="1:24" s="812" customFormat="1" ht="30" hidden="1" customHeight="1" x14ac:dyDescent="0.15">
      <c r="A392" s="2072">
        <f ca="1">+Orçamento_Não_Deson!A392</f>
        <v>5</v>
      </c>
      <c r="B392" s="833">
        <f>+Orçamento_Não_Deson!B392</f>
        <v>98510</v>
      </c>
      <c r="C392" s="2" t="str">
        <f>VLOOKUP($B392,[2]BOLETIM_SEL!$A:$H,2,0)</f>
        <v>SINAPI</v>
      </c>
      <c r="D392" s="315" t="str">
        <f>VLOOKUP($B392,[2]BOLETIM_SEL!$A:$H,4,0)</f>
        <v>Plantio de árvore ornamental com altura de muda menor ou igual a 2,00 m. AF_05/2018</v>
      </c>
      <c r="E392" s="2">
        <f>+Orçamento_Não_Deson!E392</f>
        <v>0</v>
      </c>
      <c r="F392" s="2" t="str">
        <f>VLOOKUP($B392,[2]BOLETIM_SEL!$A:$H,6,0)</f>
        <v>UN</v>
      </c>
      <c r="G392" s="1407">
        <f>VLOOKUP($B392,[2]BOLETIM_SEL!$A:$H,7,0)</f>
        <v>67.41</v>
      </c>
      <c r="H392" s="1608">
        <f>+Orçamento_Não_Deson!H392</f>
        <v>0</v>
      </c>
      <c r="I392" s="876">
        <f t="shared" si="84"/>
        <v>86.39</v>
      </c>
      <c r="J392" s="1607">
        <f t="shared" si="85"/>
        <v>0</v>
      </c>
      <c r="K392" s="2069">
        <f t="shared" ca="1" si="86"/>
        <v>0</v>
      </c>
      <c r="L392" s="1570" t="e">
        <f t="shared" si="87"/>
        <v>#DIV/0!</v>
      </c>
      <c r="M392" s="1968" t="str">
        <f>+Orçamento_Não_Deson!M392</f>
        <v>MENOR</v>
      </c>
      <c r="N392" s="832"/>
      <c r="O392" s="832"/>
      <c r="Q392" s="832"/>
      <c r="R392" s="832"/>
      <c r="S392" s="832"/>
      <c r="T392" s="832"/>
      <c r="U392" s="832"/>
      <c r="V392" s="832"/>
      <c r="W392" s="832"/>
      <c r="X392" s="832"/>
    </row>
    <row r="393" spans="1:24" s="812" customFormat="1" ht="30" hidden="1" customHeight="1" x14ac:dyDescent="0.15">
      <c r="A393" s="2072">
        <f ca="1">+Orçamento_Não_Deson!A393</f>
        <v>5</v>
      </c>
      <c r="B393" s="833">
        <f>+Orçamento_Não_Deson!B393</f>
        <v>98516</v>
      </c>
      <c r="C393" s="2" t="str">
        <f>VLOOKUP($B393,[2]BOLETIM_SEL!$A:$H,2,0)</f>
        <v>SINAPI</v>
      </c>
      <c r="D393" s="315" t="str">
        <f>VLOOKUP($B393,[2]BOLETIM_SEL!$A:$H,4,0)</f>
        <v>Plantio de palmeira com altura de muda menor ou igual a 2,00 m. AF_05/2018</v>
      </c>
      <c r="E393" s="2">
        <f>+Orçamento_Não_Deson!E393</f>
        <v>0</v>
      </c>
      <c r="F393" s="2" t="str">
        <f>VLOOKUP($B393,[2]BOLETIM_SEL!$A:$H,6,0)</f>
        <v>UN</v>
      </c>
      <c r="G393" s="1407">
        <f>VLOOKUP($B393,[2]BOLETIM_SEL!$A:$H,7,0)</f>
        <v>334.66</v>
      </c>
      <c r="H393" s="1608">
        <f>+Orçamento_Não_Deson!H393</f>
        <v>0</v>
      </c>
      <c r="I393" s="876">
        <f t="shared" si="84"/>
        <v>428.93</v>
      </c>
      <c r="J393" s="1607">
        <f t="shared" si="85"/>
        <v>0</v>
      </c>
      <c r="K393" s="2069">
        <f t="shared" ca="1" si="86"/>
        <v>0</v>
      </c>
      <c r="L393" s="1570" t="e">
        <f t="shared" si="87"/>
        <v>#DIV/0!</v>
      </c>
      <c r="M393" s="1967"/>
      <c r="N393" s="832"/>
      <c r="O393" s="832"/>
      <c r="Q393" s="832"/>
      <c r="R393" s="832"/>
      <c r="S393" s="832"/>
      <c r="T393" s="832"/>
      <c r="U393" s="832"/>
      <c r="V393" s="832"/>
      <c r="W393" s="832"/>
      <c r="X393" s="832"/>
    </row>
    <row r="394" spans="1:24" s="812" customFormat="1" ht="39.950000000000003" hidden="1" customHeight="1" x14ac:dyDescent="0.15">
      <c r="A394" s="2072">
        <f ca="1">+Orçamento_Não_Deson!A394</f>
        <v>5</v>
      </c>
      <c r="B394" s="833" t="str">
        <f>+Orçamento_Não_Deson!B394</f>
        <v>SC/0075</v>
      </c>
      <c r="C394" s="2" t="str">
        <f>VLOOKUP($B394,[2]BOLETIM_SEL!$A:$H,2,0)</f>
        <v>COMPOSIÇÃO</v>
      </c>
      <c r="D394" s="315" t="str">
        <f>VLOOKUP($B394,[2]BOLETIM_SEL!$A:$H,4,0)</f>
        <v>Piso tátil de alerta ou direcional com lajota cimentícia  25x25x2cm, nas cores da NBR 16537, assentado com argamassa de cimento e areia 1:3</v>
      </c>
      <c r="E394" s="2">
        <f>+Orçamento_Não_Deson!E394</f>
        <v>0</v>
      </c>
      <c r="F394" s="2" t="str">
        <f>VLOOKUP($B394,[2]BOLETIM_SEL!$A:$H,6,0)</f>
        <v>M</v>
      </c>
      <c r="G394" s="1407">
        <f>VLOOKUP($B394,[2]BOLETIM_SEL!$A:$H,7,0)</f>
        <v>36.520000000000003</v>
      </c>
      <c r="H394" s="1608">
        <f>+Orçamento_Não_Deson!H394</f>
        <v>0</v>
      </c>
      <c r="I394" s="876">
        <f t="shared" si="84"/>
        <v>46.8</v>
      </c>
      <c r="J394" s="1607">
        <f t="shared" si="85"/>
        <v>0</v>
      </c>
      <c r="K394" s="2069">
        <f t="shared" ca="1" si="86"/>
        <v>0</v>
      </c>
      <c r="L394" s="1570" t="e">
        <f t="shared" si="87"/>
        <v>#DIV/0!</v>
      </c>
      <c r="M394" s="1967"/>
      <c r="N394" s="832"/>
      <c r="O394" s="832"/>
      <c r="Q394" s="832"/>
      <c r="R394" s="832"/>
      <c r="S394" s="832"/>
      <c r="T394" s="832"/>
      <c r="U394" s="832"/>
      <c r="V394" s="832"/>
      <c r="W394" s="832"/>
      <c r="X394" s="832"/>
    </row>
    <row r="395" spans="1:24" s="812" customFormat="1" ht="39.950000000000003" hidden="1" customHeight="1" x14ac:dyDescent="0.15">
      <c r="A395" s="2072">
        <f ca="1">+Orçamento_Não_Deson!A395</f>
        <v>5</v>
      </c>
      <c r="B395" s="833">
        <f>+Orçamento_Não_Deson!B395</f>
        <v>94962</v>
      </c>
      <c r="C395" s="2" t="str">
        <f>VLOOKUP($B395,[2]BOLETIM_SEL!$A:$H,2,0)</f>
        <v>SINAPI</v>
      </c>
      <c r="D395" s="315" t="str">
        <f>VLOOKUP($B395,[2]BOLETIM_SEL!$A:$H,4,0)</f>
        <v>Concreto magro para lastro, traço 1:4,5:4,5 (cimento/ areia média/ brita 1) - preparo mecânico com betoneira 400 l. AF_07/2016</v>
      </c>
      <c r="E395" s="2">
        <f>+Orçamento_Não_Deson!E395</f>
        <v>0</v>
      </c>
      <c r="F395" s="2" t="str">
        <f>VLOOKUP($B395,[2]BOLETIM_SEL!$A:$H,6,0)</f>
        <v>M3</v>
      </c>
      <c r="G395" s="1407">
        <f>VLOOKUP($B395,[2]BOLETIM_SEL!$A:$H,7,0)</f>
        <v>377.26</v>
      </c>
      <c r="H395" s="1608">
        <f>+Orçamento_Não_Deson!H395</f>
        <v>0</v>
      </c>
      <c r="I395" s="876">
        <f t="shared" si="84"/>
        <v>483.53</v>
      </c>
      <c r="J395" s="1607">
        <f t="shared" si="85"/>
        <v>0</v>
      </c>
      <c r="K395" s="2069">
        <f t="shared" ca="1" si="86"/>
        <v>0</v>
      </c>
      <c r="L395" s="1570" t="e">
        <f t="shared" si="87"/>
        <v>#DIV/0!</v>
      </c>
      <c r="M395" s="1967"/>
      <c r="N395" s="832"/>
      <c r="O395" s="832"/>
      <c r="Q395" s="832"/>
      <c r="R395" s="832"/>
      <c r="S395" s="832"/>
      <c r="T395" s="832"/>
      <c r="U395" s="832"/>
      <c r="V395" s="832"/>
      <c r="W395" s="832"/>
      <c r="X395" s="832"/>
    </row>
    <row r="396" spans="1:24" s="812" customFormat="1" ht="39.950000000000003" hidden="1" customHeight="1" x14ac:dyDescent="0.15">
      <c r="A396" s="2072">
        <f ca="1">+Orçamento_Não_Deson!A396</f>
        <v>5</v>
      </c>
      <c r="B396" s="833">
        <f>+Orçamento_Não_Deson!B396</f>
        <v>94991</v>
      </c>
      <c r="C396" s="2" t="str">
        <f>VLOOKUP($B396,[2]BOLETIM_SEL!$A:$H,2,0)</f>
        <v>SINAPI</v>
      </c>
      <c r="D396" s="315" t="str">
        <f>VLOOKUP($B396,[2]BOLETIM_SEL!$A:$H,4,0)</f>
        <v>Execução de passeio (calçada) ou piso de concreto com concreto moldado in loco, usinado, acabamento convencional, não armado. AF_07/2016</v>
      </c>
      <c r="E396" s="2">
        <f>+Orçamento_Não_Deson!E396</f>
        <v>0</v>
      </c>
      <c r="F396" s="2" t="str">
        <f>VLOOKUP($B396,[2]BOLETIM_SEL!$A:$H,6,0)</f>
        <v>M3</v>
      </c>
      <c r="G396" s="1407">
        <f>VLOOKUP($B396,[2]BOLETIM_SEL!$A:$H,7,0)</f>
        <v>767.43</v>
      </c>
      <c r="H396" s="1608">
        <f>+Orçamento_Não_Deson!H396</f>
        <v>0</v>
      </c>
      <c r="I396" s="876">
        <f t="shared" si="84"/>
        <v>983.61</v>
      </c>
      <c r="J396" s="1607">
        <f t="shared" si="85"/>
        <v>0</v>
      </c>
      <c r="K396" s="2069">
        <f t="shared" ca="1" si="86"/>
        <v>0</v>
      </c>
      <c r="L396" s="1570" t="e">
        <f t="shared" si="87"/>
        <v>#DIV/0!</v>
      </c>
      <c r="M396" s="1968" t="str">
        <f>+Orçamento_Não_Deson!M396</f>
        <v>USINADO</v>
      </c>
      <c r="N396" s="832"/>
      <c r="O396" s="841"/>
      <c r="Q396" s="841"/>
      <c r="R396" s="841"/>
      <c r="S396" s="841"/>
      <c r="T396" s="841"/>
      <c r="U396" s="841"/>
      <c r="V396" s="841"/>
      <c r="W396" s="841"/>
      <c r="X396" s="832"/>
    </row>
    <row r="397" spans="1:24" s="812" customFormat="1" ht="39.950000000000003" hidden="1" customHeight="1" x14ac:dyDescent="0.15">
      <c r="A397" s="2072">
        <f ca="1">+Orçamento_Não_Deson!A397</f>
        <v>5</v>
      </c>
      <c r="B397" s="833">
        <f>+Orçamento_Não_Deson!B397</f>
        <v>94994</v>
      </c>
      <c r="C397" s="2" t="str">
        <f>VLOOKUP($B397,[2]BOLETIM_SEL!$A:$H,2,0)</f>
        <v>SINAPI</v>
      </c>
      <c r="D397" s="315" t="str">
        <f>VLOOKUP($B397,[2]BOLETIM_SEL!$A:$H,4,0)</f>
        <v>Execução de passeio (calçada) ou piso de concreto com concreto moldado in loco, feito em obra, acabamento convencional, espessura 8 cm, armado. AF_07/2016</v>
      </c>
      <c r="E397" s="2">
        <f>+Orçamento_Não_Deson!E397</f>
        <v>0</v>
      </c>
      <c r="F397" s="2" t="str">
        <f>VLOOKUP($B397,[2]BOLETIM_SEL!$A:$H,6,0)</f>
        <v>M2</v>
      </c>
      <c r="G397" s="1407">
        <f>VLOOKUP($B397,[2]BOLETIM_SEL!$A:$H,7,0)</f>
        <v>88.52</v>
      </c>
      <c r="H397" s="1608">
        <f>+Orçamento_Não_Deson!H397</f>
        <v>0</v>
      </c>
      <c r="I397" s="876">
        <f t="shared" si="84"/>
        <v>113.45</v>
      </c>
      <c r="J397" s="1607">
        <f t="shared" si="85"/>
        <v>0</v>
      </c>
      <c r="K397" s="2069">
        <f t="shared" ca="1" si="86"/>
        <v>0</v>
      </c>
      <c r="L397" s="1570" t="e">
        <f t="shared" si="87"/>
        <v>#DIV/0!</v>
      </c>
      <c r="M397" s="1968" t="str">
        <f>+Orçamento_Não_Deson!M397</f>
        <v>BETONEIRA</v>
      </c>
      <c r="N397" s="832"/>
      <c r="O397" s="841"/>
      <c r="Q397" s="841"/>
      <c r="R397" s="841"/>
      <c r="S397" s="841"/>
      <c r="T397" s="841"/>
      <c r="U397" s="841"/>
      <c r="V397" s="841"/>
      <c r="W397" s="841"/>
      <c r="X397" s="832"/>
    </row>
    <row r="398" spans="1:24" s="812" customFormat="1" ht="39.950000000000003" hidden="1" customHeight="1" x14ac:dyDescent="0.15">
      <c r="A398" s="2072">
        <f ca="1">+Orçamento_Não_Deson!A398</f>
        <v>5</v>
      </c>
      <c r="B398" s="833">
        <f>+Orçamento_Não_Deson!B398</f>
        <v>100324</v>
      </c>
      <c r="C398" s="2" t="str">
        <f>VLOOKUP($B398,[2]BOLETIM_SEL!$A:$H,2,0)</f>
        <v>SINAPI</v>
      </c>
      <c r="D398" s="315" t="str">
        <f>VLOOKUP($B398,[2]BOLETIM_SEL!$A:$H,4,0)</f>
        <v>Lastro com material granular (pedra britada n.1 e pedra britada n.2), aplicado em pisos ou radiers, espessura de *10 cm*. AF_07/2019</v>
      </c>
      <c r="E398" s="2">
        <f>+Orçamento_Não_Deson!E398</f>
        <v>0</v>
      </c>
      <c r="F398" s="2" t="str">
        <f>VLOOKUP($B398,[2]BOLETIM_SEL!$A:$H,6,0)</f>
        <v>M3</v>
      </c>
      <c r="G398" s="1407">
        <f>VLOOKUP($B398,[2]BOLETIM_SEL!$A:$H,7,0)</f>
        <v>147.47</v>
      </c>
      <c r="H398" s="1608">
        <f>+Orçamento_Não_Deson!H398</f>
        <v>0</v>
      </c>
      <c r="I398" s="876">
        <f t="shared" si="84"/>
        <v>189.01</v>
      </c>
      <c r="J398" s="1607">
        <f t="shared" si="85"/>
        <v>0</v>
      </c>
      <c r="K398" s="2069">
        <f t="shared" ca="1" si="86"/>
        <v>0</v>
      </c>
      <c r="L398" s="1570" t="e">
        <f t="shared" si="87"/>
        <v>#DIV/0!</v>
      </c>
      <c r="M398" s="1968" t="str">
        <f>+Orçamento_Não_Deson!M398</f>
        <v>BETONEIRA</v>
      </c>
      <c r="N398" s="832"/>
      <c r="O398" s="841"/>
      <c r="Q398" s="841"/>
      <c r="R398" s="841"/>
      <c r="S398" s="841"/>
      <c r="T398" s="841"/>
      <c r="U398" s="841"/>
      <c r="V398" s="841"/>
      <c r="W398" s="841"/>
      <c r="X398" s="832"/>
    </row>
    <row r="399" spans="1:24" s="812" customFormat="1" ht="30" hidden="1" customHeight="1" x14ac:dyDescent="0.15">
      <c r="A399" s="2072">
        <f ca="1">+Orçamento_Não_Deson!A399</f>
        <v>5</v>
      </c>
      <c r="B399" s="833">
        <f>+Orçamento_Não_Deson!B399</f>
        <v>92396</v>
      </c>
      <c r="C399" s="2" t="str">
        <f>VLOOKUP($B399,[2]BOLETIM_SEL!$A:$H,2,0)</f>
        <v>SINAPI</v>
      </c>
      <c r="D399" s="315" t="str">
        <f>VLOOKUP($B399,[2]BOLETIM_SEL!$A:$H,4,0)</f>
        <v>Execução de passeio em piso intertravado, com bloco retangular cor natural de 20 x 10 cm, espessura 6 cm. AF_12/2015</v>
      </c>
      <c r="E399" s="2">
        <f>+Orçamento_Não_Deson!E399</f>
        <v>0</v>
      </c>
      <c r="F399" s="2" t="str">
        <f>VLOOKUP($B399,[2]BOLETIM_SEL!$A:$H,6,0)</f>
        <v>M2</v>
      </c>
      <c r="G399" s="1407">
        <f>VLOOKUP($B399,[2]BOLETIM_SEL!$A:$H,7,0)</f>
        <v>71.31</v>
      </c>
      <c r="H399" s="1608">
        <f>+Orçamento_Não_Deson!H399</f>
        <v>0</v>
      </c>
      <c r="I399" s="876">
        <f t="shared" si="84"/>
        <v>91.39</v>
      </c>
      <c r="J399" s="1607">
        <f t="shared" si="85"/>
        <v>0</v>
      </c>
      <c r="K399" s="2069">
        <f t="shared" ca="1" si="86"/>
        <v>0</v>
      </c>
      <c r="L399" s="1570" t="e">
        <f t="shared" si="87"/>
        <v>#DIV/0!</v>
      </c>
      <c r="M399" s="1968" t="str">
        <f>+Orçamento_Não_Deson!M399</f>
        <v>RETANGULAR</v>
      </c>
      <c r="N399" s="832"/>
      <c r="O399" s="841"/>
      <c r="Q399" s="841"/>
      <c r="R399" s="841"/>
      <c r="S399" s="841"/>
      <c r="T399" s="841"/>
      <c r="U399" s="841"/>
      <c r="V399" s="841"/>
      <c r="W399" s="841"/>
      <c r="X399" s="832"/>
    </row>
    <row r="400" spans="1:24" s="812" customFormat="1" ht="24.95" hidden="1" customHeight="1" x14ac:dyDescent="0.15">
      <c r="A400" s="2072"/>
      <c r="B400" s="833"/>
      <c r="C400" s="2"/>
      <c r="D400" s="1449" t="s">
        <v>1801</v>
      </c>
      <c r="E400" s="2"/>
      <c r="F400" s="2"/>
      <c r="G400" s="1407"/>
      <c r="H400" s="2"/>
      <c r="I400" s="2"/>
      <c r="J400" s="838" t="str">
        <f>IF(J401=0,"-","")</f>
        <v>-</v>
      </c>
      <c r="K400" s="2069"/>
      <c r="L400" s="1570"/>
      <c r="M400" s="1967" t="str">
        <f>+Orçamento_Não_Deson!M400</f>
        <v>Depósito de expurgo SEM reciclagem: 1</v>
      </c>
      <c r="O400" s="832"/>
      <c r="P400" s="832"/>
      <c r="Q400" s="832"/>
      <c r="R400" s="832"/>
      <c r="S400" s="832"/>
      <c r="T400" s="832"/>
      <c r="U400" s="832"/>
      <c r="V400" s="832"/>
      <c r="W400" s="832"/>
      <c r="X400" s="832"/>
    </row>
    <row r="401" spans="1:24" s="812" customFormat="1" ht="39.950000000000003" hidden="1" customHeight="1" x14ac:dyDescent="0.15">
      <c r="A401" s="2072">
        <f ca="1">+Orçamento_Não_Deson!A401</f>
        <v>5</v>
      </c>
      <c r="B401" s="833">
        <f>+Orçamento_Não_Deson!B401</f>
        <v>95876</v>
      </c>
      <c r="C401" s="2" t="str">
        <f>VLOOKUP($B401,[2]BOLETIM_SEL!$A:$H,2,0)</f>
        <v>SINAPI</v>
      </c>
      <c r="D401" s="315" t="str">
        <f>VLOOKUP($B401,[2]BOLETIM_SEL!$A:$H,4,0)</f>
        <v>Transporte com caminhão basculante de 14 m3, em via urbana pavimentada, DMT até 30,00 km (unidade: m3xkm). AF_07/2020</v>
      </c>
      <c r="E401" s="2">
        <f>+Orçamento_Não_Deson!E401</f>
        <v>8</v>
      </c>
      <c r="F401" s="2" t="str">
        <f>VLOOKUP($B401,[2]BOLETIM_SEL!$A:$H,6,0)</f>
        <v>M3XKM</v>
      </c>
      <c r="G401" s="1407">
        <f>VLOOKUP($B401,[2]BOLETIM_SEL!$A:$H,7,0)</f>
        <v>2.04</v>
      </c>
      <c r="H401" s="1608">
        <f>+Orçamento_Não_Deson!H401</f>
        <v>0</v>
      </c>
      <c r="I401" s="876">
        <f>TRUNC(G401*(1+$J$5),2)</f>
        <v>2.61</v>
      </c>
      <c r="J401" s="1607">
        <f>TRUNC(H401*I401,2)</f>
        <v>0</v>
      </c>
      <c r="K401" s="2069">
        <f ca="1">J401/J$930</f>
        <v>0</v>
      </c>
      <c r="L401" s="1570" t="e">
        <f t="shared" si="87"/>
        <v>#DIV/0!</v>
      </c>
      <c r="M401" s="1969">
        <f>+Orçamento_Não_Deson!M401</f>
        <v>2000</v>
      </c>
      <c r="O401" s="1414"/>
      <c r="P401" s="832"/>
      <c r="Q401" s="832"/>
      <c r="R401" s="832"/>
      <c r="S401" s="832"/>
      <c r="T401" s="832"/>
      <c r="U401" s="832"/>
      <c r="V401" s="832"/>
      <c r="W401" s="832"/>
      <c r="X401" s="832"/>
    </row>
    <row r="402" spans="1:24" s="812" customFormat="1" ht="24.95" hidden="1" customHeight="1" x14ac:dyDescent="0.15">
      <c r="A402" s="2072"/>
      <c r="B402" s="2"/>
      <c r="C402" s="2"/>
      <c r="D402" s="1449" t="s">
        <v>1798</v>
      </c>
      <c r="E402" s="2"/>
      <c r="F402" s="2"/>
      <c r="G402" s="1407"/>
      <c r="H402" s="2"/>
      <c r="I402" s="2"/>
      <c r="J402" s="838" t="str">
        <f>IF(J403=0,"-","")</f>
        <v>-</v>
      </c>
      <c r="K402" s="2069"/>
      <c r="L402" s="1570"/>
      <c r="M402" s="1967" t="str">
        <f>+Orçamento_Não_Deson!M402</f>
        <v>Definir depósito:                                     1, 2, 3 ou 4</v>
      </c>
      <c r="N402" s="832"/>
      <c r="O402" s="832"/>
      <c r="Q402" s="832"/>
      <c r="R402" s="832"/>
      <c r="S402" s="832"/>
      <c r="T402" s="832"/>
      <c r="U402" s="832"/>
      <c r="V402" s="832"/>
      <c r="W402" s="832"/>
      <c r="X402" s="832"/>
    </row>
    <row r="403" spans="1:24" s="812" customFormat="1" ht="39.950000000000003" hidden="1" customHeight="1" x14ac:dyDescent="0.15">
      <c r="A403" s="2072">
        <f ca="1">+Orçamento_Não_Deson!A403</f>
        <v>5</v>
      </c>
      <c r="B403" s="833">
        <f>+Orçamento_Não_Deson!B403</f>
        <v>95875</v>
      </c>
      <c r="C403" s="2" t="str">
        <f>VLOOKUP($B403,[2]BOLETIM_SEL!$A:$H,2,0)</f>
        <v>SINAPI</v>
      </c>
      <c r="D403" s="315" t="str">
        <f>VLOOKUP($B403,[2]BOLETIM_SEL!$A:$H,4,0)</f>
        <v>Transporte com caminhão basculante de 10 m3, em via urbana pavimentada, DMT até 30,00 km (unidade: m3xkm). AF_07/2020</v>
      </c>
      <c r="E403" s="2">
        <f>+Orçamento_Não_Deson!E403</f>
        <v>8</v>
      </c>
      <c r="F403" s="2" t="str">
        <f>VLOOKUP($B403,[2]BOLETIM_SEL!$A:$H,6,0)</f>
        <v>M3XKM</v>
      </c>
      <c r="G403" s="1407">
        <f>VLOOKUP($B403,[2]BOLETIM_SEL!$A:$H,7,0)</f>
        <v>2.33</v>
      </c>
      <c r="H403" s="1608">
        <f>+Orçamento_Não_Deson!H403</f>
        <v>0</v>
      </c>
      <c r="I403" s="876">
        <f>TRUNC(G403*(1+$J$5),2)</f>
        <v>2.98</v>
      </c>
      <c r="J403" s="1607">
        <f>TRUNC(H403*I403,2)</f>
        <v>0</v>
      </c>
      <c r="K403" s="2069">
        <f ca="1">J403/J$930</f>
        <v>0</v>
      </c>
      <c r="L403" s="1570" t="e">
        <f t="shared" ref="L403" si="91">J403/$J$314</f>
        <v>#DIV/0!</v>
      </c>
      <c r="M403" s="1968" t="str">
        <f>+Orçamento_Não_Deson!M403</f>
        <v>pav</v>
      </c>
      <c r="N403" s="832"/>
      <c r="O403" s="832"/>
      <c r="Q403" s="832"/>
      <c r="R403" s="832"/>
      <c r="S403" s="832"/>
      <c r="T403" s="832"/>
      <c r="U403" s="832"/>
      <c r="V403" s="832"/>
      <c r="W403" s="832"/>
      <c r="X403" s="832"/>
    </row>
    <row r="404" spans="1:24" s="812" customFormat="1" ht="24.95" hidden="1" customHeight="1" x14ac:dyDescent="0.15">
      <c r="A404" s="2072"/>
      <c r="B404" s="833"/>
      <c r="C404" s="2"/>
      <c r="D404" s="1449" t="s">
        <v>1797</v>
      </c>
      <c r="E404" s="2"/>
      <c r="F404" s="2"/>
      <c r="G404" s="1407"/>
      <c r="H404" s="2"/>
      <c r="I404" s="2"/>
      <c r="J404" s="838" t="str">
        <f>IF(J405=0,"-","")</f>
        <v>-</v>
      </c>
      <c r="K404" s="2069"/>
      <c r="L404" s="1570"/>
      <c r="M404" s="1967" t="str">
        <f>+Orçamento_Não_Deson!M404</f>
        <v>Definir depósito reciclável: 2, 3 ou 4</v>
      </c>
      <c r="N404" s="832"/>
      <c r="O404" s="832"/>
      <c r="Q404" s="832"/>
      <c r="R404" s="832"/>
      <c r="S404" s="832"/>
      <c r="T404" s="832"/>
      <c r="U404" s="832"/>
      <c r="V404" s="832"/>
      <c r="W404" s="832"/>
      <c r="X404" s="832"/>
    </row>
    <row r="405" spans="1:24" s="812" customFormat="1" ht="39.950000000000003" hidden="1" customHeight="1" x14ac:dyDescent="0.15">
      <c r="A405" s="2072">
        <f ca="1">+Orçamento_Não_Deson!A405</f>
        <v>5</v>
      </c>
      <c r="B405" s="833">
        <f>+Orçamento_Não_Deson!B405</f>
        <v>95875</v>
      </c>
      <c r="C405" s="2" t="str">
        <f>VLOOKUP($B405,[2]BOLETIM_SEL!$A:$H,2,0)</f>
        <v>SINAPI</v>
      </c>
      <c r="D405" s="315" t="str">
        <f>VLOOKUP($B405,[2]BOLETIM_SEL!$A:$H,4,0)</f>
        <v>Transporte com caminhão basculante de 10 m3, em via urbana pavimentada, DMT até 30,00 km (unidade: m3xkm). AF_07/2020</v>
      </c>
      <c r="E405" s="2">
        <f>+Orçamento_Não_Deson!E405</f>
        <v>0</v>
      </c>
      <c r="F405" s="2" t="str">
        <f>VLOOKUP($B405,[2]BOLETIM_SEL!$A:$H,6,0)</f>
        <v>M3XKM</v>
      </c>
      <c r="G405" s="1407">
        <f>VLOOKUP($B405,[2]BOLETIM_SEL!$A:$H,7,0)</f>
        <v>2.33</v>
      </c>
      <c r="H405" s="1608">
        <f>+Orçamento_Não_Deson!H405</f>
        <v>0</v>
      </c>
      <c r="I405" s="876">
        <f>TRUNC(G405*(1+$J$5),2)</f>
        <v>2.98</v>
      </c>
      <c r="J405" s="1607">
        <f>TRUNC(H405*I405,2)</f>
        <v>0</v>
      </c>
      <c r="K405" s="2069">
        <f ca="1">J405/J$930</f>
        <v>0</v>
      </c>
      <c r="L405" s="1570" t="e">
        <f t="shared" ref="L405" si="92">J405/$J$314</f>
        <v>#DIV/0!</v>
      </c>
      <c r="M405" s="1969">
        <f>+Orçamento_Não_Deson!M405</f>
        <v>0</v>
      </c>
      <c r="N405" s="832"/>
      <c r="O405" s="832"/>
      <c r="Q405" s="832"/>
      <c r="R405" s="832"/>
      <c r="S405" s="832"/>
      <c r="T405" s="832"/>
      <c r="U405" s="832"/>
      <c r="V405" s="832"/>
      <c r="W405" s="832"/>
      <c r="X405" s="832"/>
    </row>
    <row r="406" spans="1:24" s="812" customFormat="1" ht="24.95" hidden="1" customHeight="1" x14ac:dyDescent="0.15">
      <c r="A406" s="2072"/>
      <c r="B406" s="833"/>
      <c r="C406" s="2"/>
      <c r="D406" s="1449" t="s">
        <v>2122</v>
      </c>
      <c r="E406" s="2"/>
      <c r="F406" s="2"/>
      <c r="G406" s="1407"/>
      <c r="H406" s="2"/>
      <c r="I406" s="2"/>
      <c r="J406" s="838" t="str">
        <f>IF(J407=0,"-","")</f>
        <v>-</v>
      </c>
      <c r="K406" s="2069"/>
      <c r="L406" s="1570"/>
      <c r="M406" s="1967"/>
      <c r="N406" s="832"/>
      <c r="O406" s="832"/>
      <c r="Q406" s="832"/>
      <c r="R406" s="832"/>
      <c r="S406" s="832"/>
      <c r="T406" s="832"/>
      <c r="U406" s="832"/>
      <c r="V406" s="832"/>
      <c r="W406" s="832"/>
      <c r="X406" s="832"/>
    </row>
    <row r="407" spans="1:24" s="812" customFormat="1" ht="30" hidden="1" customHeight="1" x14ac:dyDescent="0.15">
      <c r="A407" s="2072">
        <f ca="1">+Orçamento_Não_Deson!A407</f>
        <v>5</v>
      </c>
      <c r="B407" s="833">
        <f>+Orçamento_Não_Deson!B407</f>
        <v>100939</v>
      </c>
      <c r="C407" s="2" t="str">
        <f>VLOOKUP($B407,[2]BOLETIM_SEL!$A:$H,2,0)</f>
        <v>SINAPI</v>
      </c>
      <c r="D407" s="315" t="str">
        <f>VLOOKUP($B407,[2]BOLETIM_SEL!$A:$H,4,0)</f>
        <v>Transporte com caminhão basculante de 14 m3, em via interna (dentro do canteiro - unidade:m3xkm). AF_07/2020</v>
      </c>
      <c r="E407" s="2">
        <f>+Orçamento_Não_Deson!E407</f>
        <v>1</v>
      </c>
      <c r="F407" s="2" t="str">
        <f>VLOOKUP($B407,[2]BOLETIM_SEL!$A:$H,6,0)</f>
        <v>M3XKM</v>
      </c>
      <c r="G407" s="1407">
        <f>VLOOKUP($B407,[2]BOLETIM_SEL!$A:$H,7,0)</f>
        <v>6.22</v>
      </c>
      <c r="H407" s="1608">
        <f>+Orçamento_Não_Deson!H407</f>
        <v>0</v>
      </c>
      <c r="I407" s="876">
        <f t="shared" ref="I407" si="93">TRUNC(G407*(1+$J$5),2)</f>
        <v>7.97</v>
      </c>
      <c r="J407" s="1607">
        <f t="shared" ref="J407" si="94">TRUNC(H407*I407,2)</f>
        <v>0</v>
      </c>
      <c r="K407" s="2069">
        <f ca="1">J407/J$930</f>
        <v>0</v>
      </c>
      <c r="L407" s="1570" t="e">
        <f t="shared" ref="L407" si="95">J407/$J$314</f>
        <v>#DIV/0!</v>
      </c>
      <c r="M407" s="1969">
        <f>+Orçamento_Não_Deson!M407</f>
        <v>0</v>
      </c>
      <c r="N407" s="832"/>
      <c r="O407" s="832"/>
      <c r="Q407" s="832"/>
      <c r="R407" s="832"/>
      <c r="S407" s="832"/>
      <c r="T407" s="832"/>
      <c r="U407" s="832"/>
      <c r="V407" s="832"/>
      <c r="W407" s="832"/>
      <c r="X407" s="832"/>
    </row>
    <row r="408" spans="1:24" s="812" customFormat="1" ht="24.95" hidden="1" customHeight="1" x14ac:dyDescent="0.15">
      <c r="A408" s="2072"/>
      <c r="B408" s="833"/>
      <c r="C408" s="2"/>
      <c r="D408" s="1449" t="s">
        <v>1811</v>
      </c>
      <c r="E408" s="2"/>
      <c r="F408" s="2"/>
      <c r="G408" s="1407"/>
      <c r="H408" s="2"/>
      <c r="I408" s="2"/>
      <c r="J408" s="838" t="str">
        <f>IF(J409=0,"-","")</f>
        <v>-</v>
      </c>
      <c r="K408" s="2069"/>
      <c r="L408" s="1570"/>
      <c r="M408" s="1967"/>
      <c r="N408" s="832"/>
      <c r="O408" s="832"/>
      <c r="Q408" s="832"/>
      <c r="R408" s="832"/>
      <c r="S408" s="832"/>
      <c r="T408" s="832"/>
      <c r="U408" s="832"/>
      <c r="V408" s="832"/>
      <c r="W408" s="832"/>
      <c r="X408" s="832"/>
    </row>
    <row r="409" spans="1:24" s="812" customFormat="1" ht="39.950000000000003" hidden="1" customHeight="1" x14ac:dyDescent="0.15">
      <c r="A409" s="2072">
        <f ca="1">+Orçamento_Não_Deson!A409</f>
        <v>5</v>
      </c>
      <c r="B409" s="833">
        <f>+Orçamento_Não_Deson!B409</f>
        <v>95875</v>
      </c>
      <c r="C409" s="2" t="str">
        <f>VLOOKUP($B409,[2]BOLETIM_SEL!$A:$H,2,0)</f>
        <v>SINAPI</v>
      </c>
      <c r="D409" s="315" t="str">
        <f>VLOOKUP($B409,[2]BOLETIM_SEL!$A:$H,4,0)</f>
        <v>Transporte com caminhão basculante de 10 m3, em via urbana pavimentada, DMT até 30,00 km (unidade: m3xkm). AF_07/2020</v>
      </c>
      <c r="E409" s="2">
        <f>+Orçamento_Não_Deson!E409</f>
        <v>7</v>
      </c>
      <c r="F409" s="2" t="str">
        <f>VLOOKUP($B409,[2]BOLETIM_SEL!$A:$H,6,0)</f>
        <v>M3XKM</v>
      </c>
      <c r="G409" s="1407">
        <f>VLOOKUP($B409,[2]BOLETIM_SEL!$A:$H,7,0)</f>
        <v>2.33</v>
      </c>
      <c r="H409" s="1608">
        <f>+Orçamento_Não_Deson!H409</f>
        <v>0</v>
      </c>
      <c r="I409" s="876">
        <f>TRUNC(G409*(1+$J$5),2)</f>
        <v>2.98</v>
      </c>
      <c r="J409" s="1607">
        <f>TRUNC(H409*I409,2)</f>
        <v>0</v>
      </c>
      <c r="K409" s="2069">
        <f ca="1">J409/J$930</f>
        <v>0</v>
      </c>
      <c r="L409" s="1570" t="e">
        <f t="shared" ref="L409" si="96">J409/$J$314</f>
        <v>#DIV/0!</v>
      </c>
      <c r="M409" s="1969">
        <f>+Orçamento_Não_Deson!M409</f>
        <v>0</v>
      </c>
      <c r="N409" s="832"/>
      <c r="O409" s="832"/>
      <c r="Q409" s="832"/>
      <c r="R409" s="832"/>
      <c r="S409" s="832"/>
      <c r="T409" s="832"/>
      <c r="U409" s="832"/>
      <c r="V409" s="832"/>
      <c r="W409" s="832"/>
      <c r="X409" s="832"/>
    </row>
    <row r="410" spans="1:24" s="812" customFormat="1" ht="24.95" hidden="1" customHeight="1" x14ac:dyDescent="0.15">
      <c r="A410" s="2072"/>
      <c r="B410" s="2"/>
      <c r="C410" s="2"/>
      <c r="D410" s="1449" t="s">
        <v>2178</v>
      </c>
      <c r="E410" s="2"/>
      <c r="F410" s="2"/>
      <c r="G410" s="1407"/>
      <c r="H410" s="2"/>
      <c r="I410" s="2"/>
      <c r="J410" s="838" t="str">
        <f>IF(J411=0,"-","")</f>
        <v>-</v>
      </c>
      <c r="K410" s="2069"/>
      <c r="L410" s="1570"/>
      <c r="M410" s="1967"/>
      <c r="N410" s="832"/>
      <c r="O410" s="832"/>
      <c r="Q410" s="832"/>
      <c r="R410" s="832"/>
      <c r="S410" s="832"/>
      <c r="T410" s="832"/>
      <c r="U410" s="832"/>
      <c r="V410" s="832"/>
      <c r="W410" s="832"/>
      <c r="X410" s="832"/>
    </row>
    <row r="411" spans="1:24" s="812" customFormat="1" ht="39.950000000000003" hidden="1" customHeight="1" x14ac:dyDescent="0.15">
      <c r="A411" s="2072">
        <f ca="1">+Orçamento_Não_Deson!A411</f>
        <v>5</v>
      </c>
      <c r="B411" s="833">
        <f>+Orçamento_Não_Deson!B411</f>
        <v>95875</v>
      </c>
      <c r="C411" s="2" t="str">
        <f>VLOOKUP($B411,[2]BOLETIM_SEL!$A:$H,2,0)</f>
        <v>SINAPI</v>
      </c>
      <c r="D411" s="315" t="str">
        <f>VLOOKUP($B411,[2]BOLETIM_SEL!$A:$H,4,0)</f>
        <v>Transporte com caminhão basculante de 10 m3, em via urbana pavimentada, DMT até 30,00 km (unidade: m3xkm). AF_07/2020</v>
      </c>
      <c r="E411" s="2">
        <f>+Orçamento_Não_Deson!E411</f>
        <v>24</v>
      </c>
      <c r="F411" s="2" t="str">
        <f>VLOOKUP($B411,[2]BOLETIM_SEL!$A:$H,6,0)</f>
        <v>M3XKM</v>
      </c>
      <c r="G411" s="1407">
        <f>VLOOKUP($B411,[2]BOLETIM_SEL!$A:$H,7,0)</f>
        <v>2.33</v>
      </c>
      <c r="H411" s="1608">
        <f>+Orçamento_Não_Deson!H411</f>
        <v>0</v>
      </c>
      <c r="I411" s="876">
        <f>TRUNC(G411*(1+$J$5),2)</f>
        <v>2.98</v>
      </c>
      <c r="J411" s="1607">
        <f>TRUNC(H411*I411,2)</f>
        <v>0</v>
      </c>
      <c r="K411" s="2069">
        <f ca="1">J411/J$930</f>
        <v>0</v>
      </c>
      <c r="L411" s="1570" t="e">
        <f t="shared" ref="L411" si="97">J411/$J$314</f>
        <v>#DIV/0!</v>
      </c>
      <c r="M411" s="1969">
        <f>+Orçamento_Não_Deson!M411</f>
        <v>0</v>
      </c>
      <c r="N411" s="832"/>
      <c r="O411" s="832"/>
      <c r="Q411" s="832"/>
      <c r="R411" s="832"/>
      <c r="S411" s="832"/>
      <c r="T411" s="832"/>
      <c r="U411" s="832"/>
      <c r="V411" s="832"/>
      <c r="W411" s="832"/>
      <c r="X411" s="832"/>
    </row>
    <row r="412" spans="1:24" s="812" customFormat="1" ht="24.95" hidden="1" customHeight="1" x14ac:dyDescent="0.15">
      <c r="A412" s="2072"/>
      <c r="B412" s="833"/>
      <c r="C412" s="833"/>
      <c r="D412" s="834"/>
      <c r="E412" s="2"/>
      <c r="F412" s="833"/>
      <c r="G412" s="1814"/>
      <c r="H412" s="1"/>
      <c r="I412" s="876"/>
      <c r="J412" s="838">
        <f>IF(J314=0,0,"")</f>
        <v>0</v>
      </c>
      <c r="K412" s="2069"/>
      <c r="L412" s="1570"/>
      <c r="M412" s="1826"/>
      <c r="N412" s="832"/>
      <c r="O412" s="832"/>
      <c r="Q412" s="832"/>
      <c r="R412" s="832"/>
      <c r="S412" s="832"/>
      <c r="T412" s="832"/>
      <c r="U412" s="832"/>
      <c r="V412" s="832"/>
      <c r="W412" s="832"/>
      <c r="X412" s="832"/>
    </row>
    <row r="413" spans="1:24" s="832" customFormat="1" ht="24.95" hidden="1" customHeight="1" x14ac:dyDescent="0.15">
      <c r="A413" s="2073">
        <f ca="1">IF(J413&gt;0,INT(A314)+1,IF(J413=0,INT(A314),0))</f>
        <v>5</v>
      </c>
      <c r="B413" s="1626"/>
      <c r="C413" s="1626"/>
      <c r="D413" s="1627" t="s">
        <v>39</v>
      </c>
      <c r="E413" s="1821"/>
      <c r="F413" s="1628"/>
      <c r="G413" s="1813" t="s">
        <v>652</v>
      </c>
      <c r="H413" s="1630"/>
      <c r="I413" s="1633" t="str">
        <f ca="1">CONCATENATE("SUB-TOTAL ",A413)</f>
        <v>SUB-TOTAL 5</v>
      </c>
      <c r="J413" s="1632">
        <f>SUM(J414:J446)</f>
        <v>0</v>
      </c>
      <c r="K413" s="2070">
        <f t="shared" ref="K413:K438" ca="1" si="98">J413/J$930</f>
        <v>0</v>
      </c>
      <c r="L413" s="1605" t="e">
        <f>J413/$J$413</f>
        <v>#DIV/0!</v>
      </c>
      <c r="N413" s="1957" t="s">
        <v>1951</v>
      </c>
      <c r="O413" s="1648" t="s">
        <v>1977</v>
      </c>
    </row>
    <row r="414" spans="1:24" s="812" customFormat="1" ht="39.950000000000003" hidden="1" customHeight="1" x14ac:dyDescent="0.15">
      <c r="A414" s="2072">
        <f ca="1">+Orçamento_Não_Deson!A414</f>
        <v>5</v>
      </c>
      <c r="B414" s="833" t="str">
        <f>+Orçamento_Não_Deson!B414</f>
        <v>LF/0015</v>
      </c>
      <c r="C414" s="2" t="str">
        <f>VLOOKUP($B414,[2]BOLETIM_SEL!$A:$H,2,0)</f>
        <v>COMPOSIÇÃO</v>
      </c>
      <c r="D414" s="315" t="str">
        <f>VLOOKUP($B414,[2]BOLETIM_SEL!$A:$H,4,0)</f>
        <v>Dreno longitudinal de pavimento, Tipo GH040, altura 0,40 m, com brita (20x20cm), geocomposto drenante e tubo PEAD corrugado perfurado DN 100 mm, inclusive escavação e reaterro (REF. SICRO COD. 2004509)</v>
      </c>
      <c r="E414" s="2">
        <f>+Orçamento_Não_Deson!E414</f>
        <v>0</v>
      </c>
      <c r="F414" s="2" t="str">
        <f>VLOOKUP($B414,[2]BOLETIM_SEL!$A:$H,6,0)</f>
        <v>M</v>
      </c>
      <c r="G414" s="1407">
        <f>VLOOKUP($B414,[2]BOLETIM_SEL!$A:$H,7,0)</f>
        <v>35.31</v>
      </c>
      <c r="H414" s="1608">
        <f>+Orçamento_Não_Deson!H414</f>
        <v>0</v>
      </c>
      <c r="I414" s="876">
        <f t="shared" ref="I414:I429" si="99">+TRUNC(G414*(1+$J$5),2)</f>
        <v>45.25</v>
      </c>
      <c r="J414" s="1607">
        <f>TRUNC(H414*I414,2)</f>
        <v>0</v>
      </c>
      <c r="K414" s="2069">
        <f t="shared" ca="1" si="98"/>
        <v>0</v>
      </c>
      <c r="L414" s="1570" t="e">
        <f>J414/$J$413</f>
        <v>#DIV/0!</v>
      </c>
      <c r="M414" s="1967"/>
      <c r="N414" s="1961">
        <f>VLOOKUP($B414,[2]BOLETIM_SEL!$A:$H,3,0)</f>
        <v>173</v>
      </c>
      <c r="O414" s="1645">
        <f>+H414/N414</f>
        <v>0</v>
      </c>
      <c r="Q414" s="832"/>
      <c r="R414" s="832"/>
      <c r="S414" s="832"/>
      <c r="T414" s="832"/>
      <c r="U414" s="832"/>
      <c r="V414" s="832"/>
      <c r="W414" s="832"/>
      <c r="X414" s="832"/>
    </row>
    <row r="415" spans="1:24" s="812" customFormat="1" ht="39.950000000000003" hidden="1" customHeight="1" x14ac:dyDescent="0.15">
      <c r="A415" s="2072">
        <f ca="1">+Orçamento_Não_Deson!A415</f>
        <v>5</v>
      </c>
      <c r="B415" s="833" t="str">
        <f>+Orçamento_Não_Deson!B415</f>
        <v>LF/0020</v>
      </c>
      <c r="C415" s="2" t="str">
        <f>VLOOKUP($B415,[2]BOLETIM_SEL!$A:$H,2,0)</f>
        <v>COMPOSIÇÃO</v>
      </c>
      <c r="D415" s="315" t="str">
        <f>VLOOKUP($B415,[2]BOLETIM_SEL!$A:$H,4,0)</f>
        <v>Dreno longitudinal de pavimento, Tipo GH100, altura 1,00 m, com brita (20x20cm), geocomposto drenante e tubo PEAD corrugado perfurado DN 100 mm, inclusive escavação e reaterro (REF. SICRO COD. 2004511)</v>
      </c>
      <c r="E415" s="2">
        <f>+Orçamento_Não_Deson!E415</f>
        <v>0</v>
      </c>
      <c r="F415" s="2" t="str">
        <f>VLOOKUP($B415,[2]BOLETIM_SEL!$A:$H,6,0)</f>
        <v>M</v>
      </c>
      <c r="G415" s="1407">
        <f>VLOOKUP($B415,[2]BOLETIM_SEL!$A:$H,7,0)</f>
        <v>60.69</v>
      </c>
      <c r="H415" s="1608">
        <f>+Orçamento_Não_Deson!H415</f>
        <v>0</v>
      </c>
      <c r="I415" s="876">
        <f t="shared" si="99"/>
        <v>77.78</v>
      </c>
      <c r="J415" s="1607">
        <f t="shared" ref="J415:J438" si="100">TRUNC(H415*I415,2)</f>
        <v>0</v>
      </c>
      <c r="K415" s="2069">
        <f t="shared" ca="1" si="98"/>
        <v>0</v>
      </c>
      <c r="L415" s="1570" t="e">
        <f t="shared" ref="L415:L438" si="101">J415/$J$413</f>
        <v>#DIV/0!</v>
      </c>
      <c r="M415" s="1967"/>
      <c r="N415" s="1961">
        <f>VLOOKUP($B415,[2]BOLETIM_SEL!$A:$H,3,0)</f>
        <v>132</v>
      </c>
      <c r="O415" s="1645">
        <f>+H415/N415</f>
        <v>0</v>
      </c>
      <c r="Q415" s="832"/>
      <c r="R415" s="832"/>
      <c r="S415" s="832"/>
      <c r="T415" s="832"/>
      <c r="U415" s="832"/>
      <c r="V415" s="832"/>
      <c r="W415" s="832"/>
      <c r="X415" s="832"/>
    </row>
    <row r="416" spans="1:24" s="812" customFormat="1" ht="39.950000000000003" hidden="1" customHeight="1" x14ac:dyDescent="0.15">
      <c r="A416" s="2072">
        <f ca="1">+Orçamento_Não_Deson!A416</f>
        <v>5</v>
      </c>
      <c r="B416" s="833" t="str">
        <f>+Orçamento_Não_Deson!B416</f>
        <v>LF/0025</v>
      </c>
      <c r="C416" s="2" t="str">
        <f>VLOOKUP($B416,[2]BOLETIM_SEL!$A:$H,2,0)</f>
        <v>COMPOSIÇÃO</v>
      </c>
      <c r="D416" s="315" t="str">
        <f>VLOOKUP($B416,[2]BOLETIM_SEL!$A:$H,4,0)</f>
        <v>Dreno longitudinal de pavimento, Tipo GH150, altura 1,50 m, com brita (20x20cm), geocomposto drenante e tubo PEAD corrugado perfurado DN 100 mm, inclusive escavação e reaterro (REF. SICRO COD. 2004512)</v>
      </c>
      <c r="E416" s="2">
        <f>+Orçamento_Não_Deson!E416</f>
        <v>0</v>
      </c>
      <c r="F416" s="2" t="str">
        <f>VLOOKUP($B416,[2]BOLETIM_SEL!$A:$H,6,0)</f>
        <v>M</v>
      </c>
      <c r="G416" s="1407">
        <f>VLOOKUP($B416,[2]BOLETIM_SEL!$A:$H,7,0)</f>
        <v>81.8</v>
      </c>
      <c r="H416" s="1608">
        <f>+Orçamento_Não_Deson!H416</f>
        <v>0</v>
      </c>
      <c r="I416" s="876">
        <f t="shared" si="99"/>
        <v>104.84</v>
      </c>
      <c r="J416" s="1607">
        <f t="shared" si="100"/>
        <v>0</v>
      </c>
      <c r="K416" s="2069">
        <f t="shared" ca="1" si="98"/>
        <v>0</v>
      </c>
      <c r="L416" s="1570" t="e">
        <f t="shared" si="101"/>
        <v>#DIV/0!</v>
      </c>
      <c r="M416" s="1967"/>
      <c r="N416" s="1961">
        <f>VLOOKUP($B416,[2]BOLETIM_SEL!$A:$H,3,0)</f>
        <v>113</v>
      </c>
      <c r="O416" s="1645">
        <f>+H416/N416</f>
        <v>0</v>
      </c>
      <c r="Q416" s="832"/>
      <c r="R416" s="832"/>
      <c r="S416" s="832"/>
      <c r="T416" s="832"/>
      <c r="U416" s="832"/>
      <c r="V416" s="832"/>
      <c r="W416" s="832"/>
      <c r="X416" s="832"/>
    </row>
    <row r="417" spans="1:24" s="812" customFormat="1" ht="39.950000000000003" hidden="1" customHeight="1" x14ac:dyDescent="0.15">
      <c r="A417" s="2072">
        <f ca="1">+Orçamento_Não_Deson!A417</f>
        <v>5</v>
      </c>
      <c r="B417" s="833" t="str">
        <f>+Orçamento_Não_Deson!B417</f>
        <v>LF/0030</v>
      </c>
      <c r="C417" s="2" t="str">
        <f>VLOOKUP($B417,[2]BOLETIM_SEL!$A:$H,2,0)</f>
        <v>COMPOSIÇÃO</v>
      </c>
      <c r="D417" s="315" t="str">
        <f>VLOOKUP($B417,[2]BOLETIM_SEL!$A:$H,4,0)</f>
        <v>Dreno francês de lençol freático, Tipo FH100, com tubo PEAD Ø 100mm e brita (50x50cm), incluindo escavação (h=100cm), reaterro e geotextil RT-09. Exclusive transporte e bota-fora</v>
      </c>
      <c r="E417" s="2">
        <f>+Orçamento_Não_Deson!E417</f>
        <v>0</v>
      </c>
      <c r="F417" s="2" t="str">
        <f>VLOOKUP($B417,[2]BOLETIM_SEL!$A:$H,6,0)</f>
        <v>M</v>
      </c>
      <c r="G417" s="1407">
        <f>VLOOKUP($B417,[2]BOLETIM_SEL!$A:$H,7,0)</f>
        <v>99.96</v>
      </c>
      <c r="H417" s="1608">
        <f>+Orçamento_Não_Deson!H417</f>
        <v>0</v>
      </c>
      <c r="I417" s="876">
        <f t="shared" si="99"/>
        <v>128.11000000000001</v>
      </c>
      <c r="J417" s="1607">
        <f t="shared" si="100"/>
        <v>0</v>
      </c>
      <c r="K417" s="2069">
        <f t="shared" ca="1" si="98"/>
        <v>0</v>
      </c>
      <c r="L417" s="1570" t="e">
        <f t="shared" si="101"/>
        <v>#DIV/0!</v>
      </c>
      <c r="M417" s="1967"/>
      <c r="N417" s="1961">
        <f>VLOOKUP($B417,[2]BOLETIM_SEL!$A:$H,3,0)</f>
        <v>29.98</v>
      </c>
      <c r="O417" s="1645">
        <f>+H417/N417</f>
        <v>0</v>
      </c>
      <c r="Q417" s="832"/>
      <c r="R417" s="832"/>
      <c r="S417" s="832"/>
      <c r="T417" s="832"/>
      <c r="U417" s="832"/>
      <c r="V417" s="832"/>
      <c r="W417" s="832"/>
      <c r="X417" s="832"/>
    </row>
    <row r="418" spans="1:24" s="812" customFormat="1" ht="39.950000000000003" hidden="1" customHeight="1" x14ac:dyDescent="0.15">
      <c r="A418" s="2072">
        <f ca="1">+Orçamento_Não_Deson!A418</f>
        <v>5</v>
      </c>
      <c r="B418" s="833" t="str">
        <f>+Orçamento_Não_Deson!B418</f>
        <v>LF/0035</v>
      </c>
      <c r="C418" s="2" t="str">
        <f>VLOOKUP($B418,[2]BOLETIM_SEL!$A:$H,2,0)</f>
        <v>COMPOSIÇÃO</v>
      </c>
      <c r="D418" s="315" t="str">
        <f>VLOOKUP($B418,[2]BOLETIM_SEL!$A:$H,4,0)</f>
        <v>Dreno francês de lençol freático, Tipo FH150, com tubo PEAD Ø 150mm e brita (50x100cm), incluindo escavação (h=150cm), reaterro e geotextil RT-09. Exclusive transporte e bota-fora</v>
      </c>
      <c r="E418" s="2">
        <f>+Orçamento_Não_Deson!E418</f>
        <v>0</v>
      </c>
      <c r="F418" s="2" t="str">
        <f>VLOOKUP($B418,[2]BOLETIM_SEL!$A:$H,6,0)</f>
        <v>M</v>
      </c>
      <c r="G418" s="1407">
        <f>VLOOKUP($B418,[2]BOLETIM_SEL!$A:$H,7,0)</f>
        <v>177.85</v>
      </c>
      <c r="H418" s="1608">
        <f>+Orçamento_Não_Deson!H418</f>
        <v>0</v>
      </c>
      <c r="I418" s="876">
        <f t="shared" si="99"/>
        <v>227.95</v>
      </c>
      <c r="J418" s="1607">
        <f t="shared" si="100"/>
        <v>0</v>
      </c>
      <c r="K418" s="2069">
        <f t="shared" ca="1" si="98"/>
        <v>0</v>
      </c>
      <c r="L418" s="1570" t="e">
        <f t="shared" si="101"/>
        <v>#DIV/0!</v>
      </c>
      <c r="M418" s="1967"/>
      <c r="N418" s="1961">
        <f>VLOOKUP($B418,[2]BOLETIM_SEL!$A:$H,3,0)</f>
        <v>19.989999999999998</v>
      </c>
      <c r="O418" s="1645">
        <f>+H418/N418</f>
        <v>0</v>
      </c>
      <c r="Q418" s="832"/>
      <c r="R418" s="832"/>
      <c r="S418" s="832"/>
      <c r="T418" s="832"/>
      <c r="U418" s="832"/>
      <c r="V418" s="832"/>
      <c r="W418" s="832"/>
      <c r="X418" s="832"/>
    </row>
    <row r="419" spans="1:24" s="812" customFormat="1" ht="39.950000000000003" hidden="1" customHeight="1" x14ac:dyDescent="0.15">
      <c r="A419" s="2072">
        <f ca="1">+Orçamento_Não_Deson!A419</f>
        <v>5</v>
      </c>
      <c r="B419" s="833" t="str">
        <f>+Orçamento_Não_Deson!B419</f>
        <v>LF/0040</v>
      </c>
      <c r="C419" s="2" t="str">
        <f>VLOOKUP($B419,[2]BOLETIM_SEL!$A:$H,2,0)</f>
        <v>COMPOSIÇÃO</v>
      </c>
      <c r="D419" s="315" t="str">
        <f>VLOOKUP($B419,[2]BOLETIM_SEL!$A:$H,4,0)</f>
        <v>Tubo dreno, corrugado, espiralado, flexível, perfurado, em polietileno de alta densidade (PEAD), DN 100 mm para drenagem – fornecimento e assentamento em vala</v>
      </c>
      <c r="E419" s="2">
        <f>+Orçamento_Não_Deson!E419</f>
        <v>0</v>
      </c>
      <c r="F419" s="2" t="str">
        <f>VLOOKUP($B419,[2]BOLETIM_SEL!$A:$H,6,0)</f>
        <v>M</v>
      </c>
      <c r="G419" s="1407">
        <f>VLOOKUP($B419,[2]BOLETIM_SEL!$A:$H,7,0)</f>
        <v>30.69</v>
      </c>
      <c r="H419" s="1608">
        <f>+Orçamento_Não_Deson!H419</f>
        <v>0</v>
      </c>
      <c r="I419" s="876">
        <f t="shared" si="99"/>
        <v>39.33</v>
      </c>
      <c r="J419" s="1607">
        <f t="shared" si="100"/>
        <v>0</v>
      </c>
      <c r="K419" s="2069">
        <f t="shared" ca="1" si="98"/>
        <v>0</v>
      </c>
      <c r="L419" s="1570" t="e">
        <f t="shared" si="101"/>
        <v>#DIV/0!</v>
      </c>
      <c r="M419" s="1967"/>
      <c r="N419" s="1963"/>
      <c r="O419" s="1645"/>
      <c r="Q419" s="832"/>
      <c r="R419" s="832"/>
      <c r="S419" s="832"/>
      <c r="T419" s="832"/>
      <c r="U419" s="832"/>
      <c r="V419" s="832"/>
      <c r="W419" s="832"/>
      <c r="X419" s="832"/>
    </row>
    <row r="420" spans="1:24" s="812" customFormat="1" ht="39.950000000000003" hidden="1" customHeight="1" x14ac:dyDescent="0.15">
      <c r="A420" s="2072">
        <f ca="1">+Orçamento_Não_Deson!A420</f>
        <v>5</v>
      </c>
      <c r="B420" s="833" t="str">
        <f>+Orçamento_Não_Deson!B420</f>
        <v>LF/0045</v>
      </c>
      <c r="C420" s="2" t="str">
        <f>VLOOKUP($B420,[2]BOLETIM_SEL!$A:$H,2,0)</f>
        <v>COMPOSIÇÃO</v>
      </c>
      <c r="D420" s="315" t="str">
        <f>VLOOKUP($B420,[2]BOLETIM_SEL!$A:$H,4,0)</f>
        <v>Tubo dreno, corrugado, espiralado, flexível, perfurado, em polietileno de alta densidade (PEAD), DN 150 mm para drenagem – fornecimento e assentamento em vala</v>
      </c>
      <c r="E420" s="2">
        <f>+Orçamento_Não_Deson!E420</f>
        <v>0</v>
      </c>
      <c r="F420" s="2" t="str">
        <f>VLOOKUP($B420,[2]BOLETIM_SEL!$A:$H,6,0)</f>
        <v>M</v>
      </c>
      <c r="G420" s="1407">
        <f>VLOOKUP($B420,[2]BOLETIM_SEL!$A:$H,7,0)</f>
        <v>43.31</v>
      </c>
      <c r="H420" s="1608">
        <f>+Orçamento_Não_Deson!H420</f>
        <v>0</v>
      </c>
      <c r="I420" s="876">
        <f t="shared" si="99"/>
        <v>55.51</v>
      </c>
      <c r="J420" s="1607">
        <f t="shared" si="100"/>
        <v>0</v>
      </c>
      <c r="K420" s="2069">
        <f t="shared" ca="1" si="98"/>
        <v>0</v>
      </c>
      <c r="L420" s="1570" t="e">
        <f t="shared" si="101"/>
        <v>#DIV/0!</v>
      </c>
      <c r="M420" s="1967"/>
      <c r="N420" s="1963"/>
      <c r="O420" s="1645"/>
      <c r="Q420" s="832"/>
      <c r="R420" s="832"/>
      <c r="S420" s="832"/>
      <c r="T420" s="832"/>
      <c r="U420" s="832"/>
      <c r="V420" s="832"/>
      <c r="W420" s="832"/>
      <c r="X420" s="832"/>
    </row>
    <row r="421" spans="1:24" s="812" customFormat="1" ht="39.950000000000003" hidden="1" customHeight="1" x14ac:dyDescent="0.15">
      <c r="A421" s="2072">
        <f ca="1">+Orçamento_Não_Deson!A421</f>
        <v>5</v>
      </c>
      <c r="B421" s="833" t="str">
        <f>+Orçamento_Não_Deson!B421</f>
        <v>DR/0020</v>
      </c>
      <c r="C421" s="2" t="str">
        <f>VLOOKUP($B421,[2]BOLETIM_SEL!$A:$H,2,0)</f>
        <v>COMPOSIÇÃO</v>
      </c>
      <c r="D421" s="315" t="str">
        <f>VLOOKUP($B421,[2]BOLETIM_SEL!$A:$H,4,0)</f>
        <v>Escavação de vala em rocha - 3a categoria, com uso de explosivos e perfuração mecânica, em locais com alto nível de interferência. Inclusive carga</v>
      </c>
      <c r="E421" s="2">
        <f>+Orçamento_Não_Deson!E421</f>
        <v>0</v>
      </c>
      <c r="F421" s="2" t="str">
        <f>VLOOKUP($B421,[2]BOLETIM_SEL!$A:$H,6,0)</f>
        <v>M3</v>
      </c>
      <c r="G421" s="1407">
        <f>VLOOKUP($B421,[2]BOLETIM_SEL!$A:$H,7,0)</f>
        <v>471.16</v>
      </c>
      <c r="H421" s="1608">
        <f>+Orçamento_Não_Deson!H421</f>
        <v>0</v>
      </c>
      <c r="I421" s="876">
        <f t="shared" si="99"/>
        <v>603.88</v>
      </c>
      <c r="J421" s="1607">
        <f t="shared" si="100"/>
        <v>0</v>
      </c>
      <c r="K421" s="2069">
        <f t="shared" ca="1" si="98"/>
        <v>0</v>
      </c>
      <c r="L421" s="1570" t="e">
        <f t="shared" si="101"/>
        <v>#DIV/0!</v>
      </c>
      <c r="M421" s="1967"/>
      <c r="N421" s="1958">
        <f>VLOOKUP($B421,[2]BOLETIM_SEL!$A:$H,3,0)</f>
        <v>3</v>
      </c>
      <c r="O421" s="1645">
        <f>+H421/N421</f>
        <v>0</v>
      </c>
      <c r="Q421" s="832"/>
      <c r="R421" s="832"/>
      <c r="S421" s="832"/>
      <c r="T421" s="832"/>
      <c r="U421" s="832"/>
      <c r="V421" s="832"/>
      <c r="W421" s="832"/>
      <c r="X421" s="832"/>
    </row>
    <row r="422" spans="1:24" s="812" customFormat="1" ht="50.1" hidden="1" customHeight="1" x14ac:dyDescent="0.15">
      <c r="A422" s="2072">
        <f ca="1">+Orçamento_Não_Deson!A422</f>
        <v>5</v>
      </c>
      <c r="B422" s="833">
        <f>+Orçamento_Não_Deson!B422</f>
        <v>90099</v>
      </c>
      <c r="C422" s="2" t="str">
        <f>VLOOKUP($B422,[2]BOLETIM_SEL!$A:$H,2,0)</f>
        <v>SINAPI</v>
      </c>
      <c r="D422" s="315" t="str">
        <f>VLOOKUP($B422,[2]BOLETIM_SEL!$A:$H,4,0)</f>
        <v>Escavação mecanizada de vala com profundidade até 1,50 m (média entre montante e jusante / uma composição por trecho), com retroescavadeira (capacidade da caçamba: 0,26 m3 / potência: 88 HP), largura menor que 0,80 m, em solo de 1a categoria, em locais com alto nível de interferência. AF_01/2015</v>
      </c>
      <c r="E422" s="2">
        <f>+Orçamento_Não_Deson!E422</f>
        <v>0</v>
      </c>
      <c r="F422" s="2" t="str">
        <f>VLOOKUP($B422,[2]BOLETIM_SEL!$A:$H,6,0)</f>
        <v>M3</v>
      </c>
      <c r="G422" s="1407">
        <f>VLOOKUP($B422,[2]BOLETIM_SEL!$A:$H,7,0)</f>
        <v>14.75</v>
      </c>
      <c r="H422" s="1608">
        <f>+Orçamento_Não_Deson!H422</f>
        <v>0</v>
      </c>
      <c r="I422" s="876">
        <f t="shared" si="99"/>
        <v>18.899999999999999</v>
      </c>
      <c r="J422" s="1607">
        <f t="shared" si="100"/>
        <v>0</v>
      </c>
      <c r="K422" s="2069">
        <f t="shared" ca="1" si="98"/>
        <v>0</v>
      </c>
      <c r="L422" s="1570" t="e">
        <f t="shared" si="101"/>
        <v>#DIV/0!</v>
      </c>
      <c r="M422" s="1967" t="str">
        <f>VLOOKUP($B422,[2]BOLETIM_SEL!$A:$H,5,0)</f>
        <v>H &lt; 1,50
alta Interferência</v>
      </c>
      <c r="N422" s="1958">
        <f>VLOOKUP($B422,[2]BOLETIM_SEL!$A:$H,3,0)</f>
        <v>7.62</v>
      </c>
      <c r="O422" s="1645">
        <f>+H422/N422</f>
        <v>0</v>
      </c>
      <c r="Q422" s="832"/>
      <c r="R422" s="832"/>
      <c r="S422" s="832"/>
      <c r="T422" s="832"/>
      <c r="U422" s="832"/>
      <c r="V422" s="832"/>
      <c r="W422" s="832"/>
      <c r="X422" s="832"/>
    </row>
    <row r="423" spans="1:24" s="812" customFormat="1" ht="30" hidden="1" customHeight="1" x14ac:dyDescent="0.15">
      <c r="A423" s="2072">
        <f ca="1">+Orçamento_Não_Deson!A423</f>
        <v>5</v>
      </c>
      <c r="B423" s="833" t="str">
        <f>+Orçamento_Não_Deson!B423</f>
        <v>LF/0005</v>
      </c>
      <c r="C423" s="2" t="str">
        <f>VLOOKUP($B423,[2]BOLETIM_SEL!$A:$H,2,0)</f>
        <v>COMPOSIÇÃO</v>
      </c>
      <c r="D423" s="315" t="str">
        <f>VLOOKUP($B423,[2]BOLETIM_SEL!$A:$H,4,0)</f>
        <v>Escavação mecânica de vala para drenagem com mimiescavadeira em material de 1a categoria (REF. SINAPI COD. 96525)</v>
      </c>
      <c r="E423" s="2">
        <f>+Orçamento_Não_Deson!E423</f>
        <v>0</v>
      </c>
      <c r="F423" s="2" t="str">
        <f>VLOOKUP($B423,[2]BOLETIM_SEL!$A:$H,6,0)</f>
        <v>M3</v>
      </c>
      <c r="G423" s="1407">
        <f>VLOOKUP($B423,[2]BOLETIM_SEL!$A:$H,7,0)</f>
        <v>42.29</v>
      </c>
      <c r="H423" s="1608">
        <f>+Orçamento_Não_Deson!H423</f>
        <v>0</v>
      </c>
      <c r="I423" s="876">
        <f t="shared" si="99"/>
        <v>54.2</v>
      </c>
      <c r="J423" s="1607">
        <f t="shared" si="100"/>
        <v>0</v>
      </c>
      <c r="K423" s="2069">
        <f t="shared" ca="1" si="98"/>
        <v>0</v>
      </c>
      <c r="L423" s="1570" t="e">
        <f t="shared" si="101"/>
        <v>#DIV/0!</v>
      </c>
      <c r="M423" s="1967"/>
      <c r="N423" s="1958">
        <f>VLOOKUP($B423,[2]BOLETIM_SEL!$A:$H,3,0)</f>
        <v>2.33</v>
      </c>
      <c r="O423" s="1645">
        <f>+H423/N423</f>
        <v>0</v>
      </c>
      <c r="Q423" s="832"/>
      <c r="R423" s="832"/>
      <c r="S423" s="832"/>
      <c r="T423" s="832"/>
      <c r="U423" s="832"/>
      <c r="V423" s="832"/>
      <c r="W423" s="832"/>
      <c r="X423" s="832"/>
    </row>
    <row r="424" spans="1:24" s="812" customFormat="1" ht="30" hidden="1" customHeight="1" x14ac:dyDescent="0.15">
      <c r="A424" s="2072">
        <f ca="1">+Orçamento_Não_Deson!A424</f>
        <v>5</v>
      </c>
      <c r="B424" s="833">
        <f>+Orçamento_Não_Deson!B424</f>
        <v>93382</v>
      </c>
      <c r="C424" s="2" t="str">
        <f>VLOOKUP($B424,[2]BOLETIM_SEL!$A:$H,2,0)</f>
        <v>SINAPI</v>
      </c>
      <c r="D424" s="315" t="str">
        <f>VLOOKUP($B424,[2]BOLETIM_SEL!$A:$H,4,0)</f>
        <v>Reaterro manual de valas com compactação mecanizada. AF_04/2016</v>
      </c>
      <c r="E424" s="2">
        <f>+Orçamento_Não_Deson!E424</f>
        <v>0</v>
      </c>
      <c r="F424" s="2" t="str">
        <f>VLOOKUP($B424,[2]BOLETIM_SEL!$A:$H,6,0)</f>
        <v>M3</v>
      </c>
      <c r="G424" s="1407">
        <f>VLOOKUP($B424,[2]BOLETIM_SEL!$A:$H,7,0)</f>
        <v>21.71</v>
      </c>
      <c r="H424" s="1608">
        <f>+Orçamento_Não_Deson!H424</f>
        <v>0</v>
      </c>
      <c r="I424" s="876">
        <f t="shared" si="99"/>
        <v>27.82</v>
      </c>
      <c r="J424" s="1607">
        <f t="shared" si="100"/>
        <v>0</v>
      </c>
      <c r="K424" s="2069">
        <f t="shared" ca="1" si="98"/>
        <v>0</v>
      </c>
      <c r="L424" s="1570" t="e">
        <f t="shared" si="101"/>
        <v>#DIV/0!</v>
      </c>
      <c r="M424" s="1967"/>
      <c r="N424" s="832"/>
      <c r="O424" s="832"/>
      <c r="Q424" s="832"/>
      <c r="R424" s="832"/>
      <c r="S424" s="832"/>
      <c r="T424" s="832"/>
      <c r="U424" s="832"/>
      <c r="V424" s="832"/>
      <c r="W424" s="832"/>
      <c r="X424" s="832"/>
    </row>
    <row r="425" spans="1:24" s="812" customFormat="1" ht="30" hidden="1" customHeight="1" x14ac:dyDescent="0.15">
      <c r="A425" s="2072">
        <f ca="1">+Orçamento_Não_Deson!A425</f>
        <v>5</v>
      </c>
      <c r="B425" s="833">
        <f>+Orçamento_Não_Deson!B425</f>
        <v>101570</v>
      </c>
      <c r="C425" s="2" t="str">
        <f>VLOOKUP($B425,[2]BOLETIM_SEL!$A:$H,2,0)</f>
        <v>SINAPI</v>
      </c>
      <c r="D425" s="315" t="str">
        <f>VLOOKUP($B425,[2]BOLETIM_SEL!$A:$H,4,0)</f>
        <v>Escoramento de vala, tipo pontaleteamento, com profundidade de 0,00 a 1,50 m, largura menor que 1,50 m. AF_08/2020</v>
      </c>
      <c r="E425" s="2">
        <f>+Orçamento_Não_Deson!E425</f>
        <v>0</v>
      </c>
      <c r="F425" s="2" t="str">
        <f>VLOOKUP($B425,[2]BOLETIM_SEL!$A:$H,6,0)</f>
        <v>M2</v>
      </c>
      <c r="G425" s="1407">
        <f>VLOOKUP($B425,[2]BOLETIM_SEL!$A:$H,7,0)</f>
        <v>21.06</v>
      </c>
      <c r="H425" s="1608">
        <f>+Orçamento_Não_Deson!H425</f>
        <v>0</v>
      </c>
      <c r="I425" s="876">
        <f t="shared" si="99"/>
        <v>26.99</v>
      </c>
      <c r="J425" s="1607">
        <f t="shared" si="100"/>
        <v>0</v>
      </c>
      <c r="K425" s="2069">
        <f t="shared" ca="1" si="98"/>
        <v>0</v>
      </c>
      <c r="L425" s="1570" t="e">
        <f t="shared" si="101"/>
        <v>#DIV/0!</v>
      </c>
      <c r="M425" s="1967" t="str">
        <f>VLOOKUP($B425,[2]BOLETIM_SEL!$A:$H,5,0)</f>
        <v>PONTALETEAMENTO</v>
      </c>
      <c r="N425" s="832"/>
      <c r="O425" s="832"/>
      <c r="Q425" s="832"/>
      <c r="R425" s="832"/>
      <c r="S425" s="832"/>
      <c r="T425" s="832"/>
      <c r="U425" s="832"/>
      <c r="V425" s="832"/>
      <c r="W425" s="832"/>
      <c r="X425" s="832"/>
    </row>
    <row r="426" spans="1:24" s="812" customFormat="1" ht="39.950000000000003" hidden="1" customHeight="1" x14ac:dyDescent="0.15">
      <c r="A426" s="2072">
        <f ca="1">+Orçamento_Não_Deson!A426</f>
        <v>5</v>
      </c>
      <c r="B426" s="833">
        <f>+Orçamento_Não_Deson!B426</f>
        <v>102712</v>
      </c>
      <c r="C426" s="2" t="str">
        <f>VLOOKUP($B426,[2]BOLETIM_SEL!$A:$H,2,0)</f>
        <v>SINAPI</v>
      </c>
      <c r="D426" s="315" t="str">
        <f>VLOOKUP($B426,[2]BOLETIM_SEL!$A:$H,4,0)</f>
        <v>Geotêxtil não tecido 100% poliéster, resistência a tração de 9 kn/m (RT - 9), instalado em dreno - fornecimento e instalação. AF_07/2021</v>
      </c>
      <c r="E426" s="2">
        <f>+Orçamento_Não_Deson!E426</f>
        <v>0</v>
      </c>
      <c r="F426" s="2" t="str">
        <f>VLOOKUP($B426,[2]BOLETIM_SEL!$A:$H,6,0)</f>
        <v>M2</v>
      </c>
      <c r="G426" s="1407">
        <f>VLOOKUP($B426,[2]BOLETIM_SEL!$A:$H,7,0)</f>
        <v>13.72</v>
      </c>
      <c r="H426" s="1608">
        <f>+Orçamento_Não_Deson!H426</f>
        <v>0</v>
      </c>
      <c r="I426" s="876">
        <f t="shared" si="99"/>
        <v>17.579999999999998</v>
      </c>
      <c r="J426" s="1607">
        <f t="shared" si="100"/>
        <v>0</v>
      </c>
      <c r="K426" s="2069">
        <f t="shared" ca="1" si="98"/>
        <v>0</v>
      </c>
      <c r="L426" s="1570" t="e">
        <f t="shared" si="101"/>
        <v>#DIV/0!</v>
      </c>
      <c r="M426" s="1967"/>
      <c r="N426" s="832"/>
      <c r="O426" s="832"/>
      <c r="Q426" s="832"/>
      <c r="R426" s="832"/>
      <c r="S426" s="832"/>
      <c r="T426" s="832"/>
      <c r="U426" s="832"/>
      <c r="V426" s="832"/>
      <c r="W426" s="832"/>
      <c r="X426" s="832"/>
    </row>
    <row r="427" spans="1:24" s="812" customFormat="1" ht="30" hidden="1" customHeight="1" x14ac:dyDescent="0.15">
      <c r="A427" s="2072">
        <f ca="1">+Orçamento_Não_Deson!A427</f>
        <v>5</v>
      </c>
      <c r="B427" s="833" t="str">
        <f>+Orçamento_Não_Deson!B427</f>
        <v>LF/0007</v>
      </c>
      <c r="C427" s="2" t="str">
        <f>VLOOKUP($B427,[2]BOLETIM_SEL!$A:$H,2,0)</f>
        <v>COMPOSIÇÃO</v>
      </c>
      <c r="D427" s="315" t="str">
        <f>VLOOKUP($B427,[2]BOLETIM_SEL!$A:$H,4,0)</f>
        <v>Brita n. 2 para dreno, lançamento manual, em local com nível baixo de interferência. Fornecimento, exclusive transporte</v>
      </c>
      <c r="E427" s="2">
        <f>+Orçamento_Não_Deson!E427</f>
        <v>0</v>
      </c>
      <c r="F427" s="2" t="str">
        <f>VLOOKUP($B427,[2]BOLETIM_SEL!$A:$H,6,0)</f>
        <v>M3</v>
      </c>
      <c r="G427" s="1407">
        <f>VLOOKUP($B427,[2]BOLETIM_SEL!$A:$H,7,0)</f>
        <v>183.24</v>
      </c>
      <c r="H427" s="1608">
        <f>+Orçamento_Não_Deson!H427</f>
        <v>0</v>
      </c>
      <c r="I427" s="876">
        <f t="shared" si="99"/>
        <v>234.85</v>
      </c>
      <c r="J427" s="1607">
        <f t="shared" si="100"/>
        <v>0</v>
      </c>
      <c r="K427" s="2069">
        <f t="shared" ca="1" si="98"/>
        <v>0</v>
      </c>
      <c r="L427" s="1570" t="e">
        <f t="shared" si="101"/>
        <v>#DIV/0!</v>
      </c>
      <c r="M427" s="1967"/>
      <c r="N427" s="832"/>
      <c r="O427" s="832"/>
      <c r="Q427" s="832"/>
      <c r="R427" s="832"/>
      <c r="S427" s="832"/>
      <c r="T427" s="832"/>
      <c r="U427" s="832"/>
      <c r="V427" s="832"/>
      <c r="W427" s="832"/>
      <c r="X427" s="832"/>
    </row>
    <row r="428" spans="1:24" s="812" customFormat="1" ht="50.1" hidden="1" customHeight="1" x14ac:dyDescent="0.15">
      <c r="A428" s="2072">
        <f ca="1">+Orçamento_Não_Deson!A428</f>
        <v>5</v>
      </c>
      <c r="B428" s="833">
        <f>+Orçamento_Não_Deson!B428</f>
        <v>104733</v>
      </c>
      <c r="C428" s="2" t="str">
        <f>VLOOKUP($B428,[2]BOLETIM_SEL!$A:$H,2,0)</f>
        <v>SINAPI</v>
      </c>
      <c r="D428" s="315" t="str">
        <f>VLOOKUP($B428,[2]BOLETIM_SEL!$A:$H,4,0)</f>
        <v>Reaterro mecanizado de vala com retroescavadeira (capacidade   da   caçamba   da retro: 0,26 M³/potência: 88 HP), largura até 0,8 m, profundidade até 1,5 m, com solo (sem substituição) de 1ª categoria, com placa vibratória. AF_08/2023</v>
      </c>
      <c r="E428" s="2">
        <f>+Orçamento_Não_Deson!E428</f>
        <v>0</v>
      </c>
      <c r="F428" s="2" t="str">
        <f>VLOOKUP($B428,[2]BOLETIM_SEL!$A:$H,6,0)</f>
        <v>M3</v>
      </c>
      <c r="G428" s="1407">
        <f>VLOOKUP($B428,[2]BOLETIM_SEL!$A:$H,7,0)</f>
        <v>17.62</v>
      </c>
      <c r="H428" s="1608">
        <f>+Orçamento_Não_Deson!H428</f>
        <v>0</v>
      </c>
      <c r="I428" s="876">
        <f t="shared" si="99"/>
        <v>22.58</v>
      </c>
      <c r="J428" s="1607">
        <f t="shared" si="100"/>
        <v>0</v>
      </c>
      <c r="K428" s="2069">
        <f t="shared" ca="1" si="98"/>
        <v>0</v>
      </c>
      <c r="L428" s="1570" t="e">
        <f t="shared" si="101"/>
        <v>#DIV/0!</v>
      </c>
      <c r="M428" s="1967" t="str">
        <f>VLOOKUP($B428,[2]BOLETIM_SEL!$A:$H,5,0)</f>
        <v>H &lt; 1,50
alta Interferência</v>
      </c>
      <c r="N428" s="832"/>
      <c r="O428" s="832"/>
      <c r="Q428" s="832"/>
      <c r="R428" s="832"/>
      <c r="S428" s="832"/>
      <c r="T428" s="832"/>
      <c r="U428" s="832"/>
      <c r="V428" s="832"/>
      <c r="W428" s="832"/>
      <c r="X428" s="832"/>
    </row>
    <row r="429" spans="1:24" s="812" customFormat="1" ht="50.1" hidden="1" customHeight="1" x14ac:dyDescent="0.15">
      <c r="A429" s="2072">
        <f ca="1">+Orçamento_Não_Deson!A429</f>
        <v>5</v>
      </c>
      <c r="B429" s="833">
        <f>+Orçamento_Não_Deson!B429</f>
        <v>101230</v>
      </c>
      <c r="C429" s="2" t="str">
        <f>VLOOKUP($B429,[2]BOLETIM_SEL!$A:$H,2,0)</f>
        <v>SINAPI</v>
      </c>
      <c r="D429" s="315" t="str">
        <f>VLOOKUP($B429,[2]BOLETIM_SEL!$A:$H,4,0)</f>
        <v>Escavação vertical a céu aberto, em obras de infraestrutura, incluindo carga, descarga e transporte, em solo de 1a categoria com escavadeira hidráulica (caçamba: 0,80 m3 / 111 HP), frota de 3 caminhões basculantes de 14 m3, DMT até 1 km e velocidade média 14 km/h. AF_05/2020</v>
      </c>
      <c r="E429" s="2">
        <f>+Orçamento_Não_Deson!E429</f>
        <v>0</v>
      </c>
      <c r="F429" s="2" t="str">
        <f>VLOOKUP($B429,[2]BOLETIM_SEL!$A:$H,6,0)</f>
        <v>M3</v>
      </c>
      <c r="G429" s="1407">
        <f>VLOOKUP($B429,[2]BOLETIM_SEL!$A:$H,7,0)</f>
        <v>10.59</v>
      </c>
      <c r="H429" s="1608">
        <f>+Orçamento_Não_Deson!H429</f>
        <v>0</v>
      </c>
      <c r="I429" s="876">
        <f t="shared" si="99"/>
        <v>13.57</v>
      </c>
      <c r="J429" s="1607">
        <f t="shared" si="100"/>
        <v>0</v>
      </c>
      <c r="K429" s="2069">
        <f t="shared" ca="1" si="98"/>
        <v>0</v>
      </c>
      <c r="L429" s="1570" t="e">
        <f t="shared" si="101"/>
        <v>#DIV/0!</v>
      </c>
      <c r="M429" s="1967"/>
      <c r="N429" s="832"/>
      <c r="O429" s="832"/>
      <c r="Q429" s="832"/>
      <c r="R429" s="832"/>
      <c r="S429" s="832"/>
      <c r="T429" s="832"/>
      <c r="U429" s="832"/>
      <c r="V429" s="832"/>
      <c r="W429" s="832"/>
      <c r="X429" s="832"/>
    </row>
    <row r="430" spans="1:24" s="812" customFormat="1" ht="39.950000000000003" hidden="1" customHeight="1" x14ac:dyDescent="0.15">
      <c r="A430" s="2072">
        <f ca="1">+Orçamento_Não_Deson!A430</f>
        <v>5</v>
      </c>
      <c r="B430" s="833">
        <f>+Orçamento_Não_Deson!B430</f>
        <v>6079</v>
      </c>
      <c r="C430" s="2" t="str">
        <f>VLOOKUP($B430,[2]BOLETIM_SEL!$A:$H,2,0)</f>
        <v>COTAÇÃO - SINAPI</v>
      </c>
      <c r="D430" s="315" t="str">
        <f>VLOOKUP($B430,[2]BOLETIM_SEL!$A:$H,4,0)</f>
        <v>Argila, argila vermelha ou argila arenosa (retirada na jazida, sem transporte)</v>
      </c>
      <c r="E430" s="2221" t="str">
        <f>+Orçamento_Não_Deson!E430</f>
        <v>BDI insumo</v>
      </c>
      <c r="F430" s="2" t="str">
        <f>VLOOKUP($B430,[2]BOLETIM_SEL!$A:$H,6,0)</f>
        <v xml:space="preserve">M3    </v>
      </c>
      <c r="G430" s="1407">
        <f>VLOOKUP($B430,[2]BOLETIM_SEL!$A:$H,7,0)</f>
        <v>36.51</v>
      </c>
      <c r="H430" s="1608">
        <f>+Orçamento_Não_Deson!H430</f>
        <v>0</v>
      </c>
      <c r="I430" s="2222">
        <f>TRUNC(G430*(1+$J$6),2)</f>
        <v>42.08</v>
      </c>
      <c r="J430" s="1607">
        <f t="shared" si="100"/>
        <v>0</v>
      </c>
      <c r="K430" s="2069">
        <f t="shared" ca="1" si="98"/>
        <v>0</v>
      </c>
      <c r="L430" s="1570" t="e">
        <f t="shared" si="101"/>
        <v>#DIV/0!</v>
      </c>
      <c r="M430" s="1968" t="str">
        <f>+Orçamento_Não_Deson!M430</f>
        <v>COMERCIAL</v>
      </c>
      <c r="N430" s="832"/>
      <c r="O430" s="832"/>
      <c r="Q430" s="832"/>
      <c r="R430" s="832"/>
      <c r="S430" s="832"/>
      <c r="T430" s="832"/>
      <c r="U430" s="832"/>
      <c r="V430" s="832"/>
      <c r="W430" s="832"/>
      <c r="X430" s="832"/>
    </row>
    <row r="431" spans="1:24" s="812" customFormat="1" ht="30" hidden="1" customHeight="1" x14ac:dyDescent="0.15">
      <c r="A431" s="2072">
        <f ca="1">+Orçamento_Não_Deson!A431</f>
        <v>5</v>
      </c>
      <c r="B431" s="833" t="str">
        <f>+Orçamento_Não_Deson!B431</f>
        <v>DR/0050</v>
      </c>
      <c r="C431" s="2" t="str">
        <f>VLOOKUP($B431,[2]BOLETIM_SEL!$A:$H,2,0)</f>
        <v>COMPOSIÇÃO</v>
      </c>
      <c r="D431" s="315" t="str">
        <f>VLOOKUP($B431,[2]BOLETIM_SEL!$A:$H,4,0)</f>
        <v>Esgotamento de água com bomba submersa (REF. SICRO COD. 2003864)</v>
      </c>
      <c r="E431" s="2">
        <f>+Orçamento_Não_Deson!E431</f>
        <v>0</v>
      </c>
      <c r="F431" s="2" t="str">
        <f>VLOOKUP($B431,[2]BOLETIM_SEL!$A:$H,6,0)</f>
        <v>H</v>
      </c>
      <c r="G431" s="1407">
        <f>VLOOKUP($B431,[2]BOLETIM_SEL!$A:$H,7,0)</f>
        <v>22.01</v>
      </c>
      <c r="H431" s="1608">
        <f>+Orçamento_Não_Deson!H431</f>
        <v>0</v>
      </c>
      <c r="I431" s="876">
        <f t="shared" ref="I431:I446" si="102">+TRUNC(G431*(1+$J$5),2)</f>
        <v>28.21</v>
      </c>
      <c r="J431" s="1607">
        <f t="shared" si="100"/>
        <v>0</v>
      </c>
      <c r="K431" s="2069">
        <f t="shared" ca="1" si="98"/>
        <v>0</v>
      </c>
      <c r="L431" s="1570" t="e">
        <f t="shared" si="101"/>
        <v>#DIV/0!</v>
      </c>
      <c r="M431" s="1967"/>
      <c r="N431" s="832"/>
      <c r="O431" s="832"/>
      <c r="Q431" s="832"/>
      <c r="R431" s="832"/>
      <c r="S431" s="832"/>
      <c r="T431" s="832"/>
      <c r="U431" s="832"/>
      <c r="V431" s="832"/>
      <c r="W431" s="832"/>
      <c r="X431" s="832"/>
    </row>
    <row r="432" spans="1:24" s="812" customFormat="1" ht="39.950000000000003" hidden="1" customHeight="1" x14ac:dyDescent="0.15">
      <c r="A432" s="2072">
        <f ca="1">+Orçamento_Não_Deson!A432</f>
        <v>5</v>
      </c>
      <c r="B432" s="833" t="str">
        <f>+Orçamento_Não_Deson!B432</f>
        <v>DR/0032</v>
      </c>
      <c r="C432" s="2" t="str">
        <f>VLOOKUP($B432,[2]BOLETIM_SEL!$A:$H,2,0)</f>
        <v>COMPOSIÇÃO</v>
      </c>
      <c r="D432" s="315" t="str">
        <f>VLOOKUP($B432,[2]BOLETIM_SEL!$A:$H,4,0)</f>
        <v>Lastro ou enrocamento de pedra-de-mão ou rachão lançado, fornecimento e apiloamento. Exclusive transporte, ref SINAPI 73697, data 01/2020 e SINAPI 92744.</v>
      </c>
      <c r="E432" s="2">
        <f>+Orçamento_Não_Deson!E432</f>
        <v>0</v>
      </c>
      <c r="F432" s="2" t="str">
        <f>VLOOKUP($B432,[2]BOLETIM_SEL!$A:$H,6,0)</f>
        <v>M3</v>
      </c>
      <c r="G432" s="1407">
        <f>VLOOKUP($B432,[2]BOLETIM_SEL!$A:$H,7,0)</f>
        <v>253.46</v>
      </c>
      <c r="H432" s="1608">
        <f>+Orçamento_Não_Deson!H432</f>
        <v>0</v>
      </c>
      <c r="I432" s="876">
        <f t="shared" si="102"/>
        <v>324.85000000000002</v>
      </c>
      <c r="J432" s="1607">
        <f t="shared" si="100"/>
        <v>0</v>
      </c>
      <c r="K432" s="2069">
        <f t="shared" ca="1" si="98"/>
        <v>0</v>
      </c>
      <c r="L432" s="1570" t="e">
        <f t="shared" si="101"/>
        <v>#DIV/0!</v>
      </c>
      <c r="M432" s="1967"/>
      <c r="N432" s="832"/>
      <c r="O432" s="832"/>
      <c r="Q432" s="832"/>
      <c r="R432" s="832"/>
      <c r="S432" s="832"/>
      <c r="T432" s="832"/>
      <c r="U432" s="832"/>
      <c r="V432" s="832"/>
      <c r="W432" s="832"/>
      <c r="X432" s="832"/>
    </row>
    <row r="433" spans="1:24" s="812" customFormat="1" ht="39.950000000000003" hidden="1" customHeight="1" x14ac:dyDescent="0.15">
      <c r="A433" s="2072">
        <f ca="1">+Orçamento_Não_Deson!A433</f>
        <v>5</v>
      </c>
      <c r="B433" s="833" t="str">
        <f>+Orçamento_Não_Deson!B433</f>
        <v>DR/0165</v>
      </c>
      <c r="C433" s="2" t="str">
        <f>VLOOKUP($B433,[2]BOLETIM_SEL!$A:$H,2,0)</f>
        <v>COMPOSIÇÃO</v>
      </c>
      <c r="D433" s="315" t="str">
        <f>VLOOKUP($B433,[2]BOLETIM_SEL!$A:$H,4,0)</f>
        <v>PV-0 - Poço de Visita Circular, com dimensão interna de Ø 0,80m, em alvenaria de tijolo comum de 1 vez assentada e revestida internamente com argamassa de cimento e areia 1:3, conforme projeto tipo. Exclusive tampão</v>
      </c>
      <c r="E433" s="2">
        <f>+Orçamento_Não_Deson!E433</f>
        <v>0</v>
      </c>
      <c r="F433" s="2" t="str">
        <f>VLOOKUP($B433,[2]BOLETIM_SEL!$A:$H,6,0)</f>
        <v>UN</v>
      </c>
      <c r="G433" s="1407">
        <f>VLOOKUP($B433,[2]BOLETIM_SEL!$A:$H,7,0)</f>
        <v>1742.84</v>
      </c>
      <c r="H433" s="1608">
        <f>+Orçamento_Não_Deson!H433</f>
        <v>0</v>
      </c>
      <c r="I433" s="876">
        <f t="shared" si="102"/>
        <v>2233.79</v>
      </c>
      <c r="J433" s="1607">
        <f t="shared" si="100"/>
        <v>0</v>
      </c>
      <c r="K433" s="2069">
        <f t="shared" ca="1" si="98"/>
        <v>0</v>
      </c>
      <c r="L433" s="1570" t="e">
        <f t="shared" si="101"/>
        <v>#DIV/0!</v>
      </c>
      <c r="M433" s="1967"/>
      <c r="N433" s="832"/>
      <c r="O433" s="832"/>
      <c r="Q433" s="832"/>
      <c r="R433" s="832"/>
      <c r="S433" s="832"/>
      <c r="T433" s="832"/>
      <c r="U433" s="832"/>
      <c r="V433" s="832"/>
      <c r="W433" s="832"/>
      <c r="X433" s="832"/>
    </row>
    <row r="434" spans="1:24" s="812" customFormat="1" ht="30" hidden="1" customHeight="1" x14ac:dyDescent="0.15">
      <c r="A434" s="2072">
        <f ca="1">+Orçamento_Não_Deson!A434</f>
        <v>5</v>
      </c>
      <c r="B434" s="833">
        <f>+Orçamento_Não_Deson!B434</f>
        <v>94963</v>
      </c>
      <c r="C434" s="2" t="str">
        <f>VLOOKUP($B434,[2]BOLETIM_SEL!$A:$H,2,0)</f>
        <v>SINAPI</v>
      </c>
      <c r="D434" s="315" t="str">
        <f>VLOOKUP($B434,[2]BOLETIM_SEL!$A:$H,4,0)</f>
        <v>Concreto FCK = 15 MPA, traço 1:3,4:3,5 (cimento/ areia média/ brita 1) - preparo mecânico com betoneira 400 l. AF_07/2016</v>
      </c>
      <c r="E434" s="2">
        <f>+Orçamento_Não_Deson!E434</f>
        <v>0</v>
      </c>
      <c r="F434" s="2" t="str">
        <f>VLOOKUP($B434,[2]BOLETIM_SEL!$A:$H,6,0)</f>
        <v>M3</v>
      </c>
      <c r="G434" s="1407">
        <f>VLOOKUP($B434,[2]BOLETIM_SEL!$A:$H,7,0)</f>
        <v>423.66</v>
      </c>
      <c r="H434" s="1608">
        <f>+Orçamento_Não_Deson!H434</f>
        <v>0</v>
      </c>
      <c r="I434" s="876">
        <f t="shared" si="102"/>
        <v>543</v>
      </c>
      <c r="J434" s="1607">
        <f t="shared" si="100"/>
        <v>0</v>
      </c>
      <c r="K434" s="2069">
        <f t="shared" ca="1" si="98"/>
        <v>0</v>
      </c>
      <c r="L434" s="1570" t="e">
        <f t="shared" si="101"/>
        <v>#DIV/0!</v>
      </c>
      <c r="M434" s="1967"/>
      <c r="N434" s="832"/>
      <c r="O434" s="832"/>
      <c r="Q434" s="832"/>
      <c r="R434" s="832"/>
      <c r="S434" s="832"/>
      <c r="T434" s="832"/>
      <c r="U434" s="832"/>
      <c r="V434" s="832"/>
      <c r="W434" s="832"/>
      <c r="X434" s="832"/>
    </row>
    <row r="435" spans="1:24" s="812" customFormat="1" ht="30" hidden="1" customHeight="1" x14ac:dyDescent="0.15">
      <c r="A435" s="2072">
        <f ca="1">+Orçamento_Não_Deson!A435</f>
        <v>5</v>
      </c>
      <c r="B435" s="833">
        <f>+Orçamento_Não_Deson!B435</f>
        <v>103670</v>
      </c>
      <c r="C435" s="2" t="str">
        <f>VLOOKUP($B435,[2]BOLETIM_SEL!$A:$H,2,0)</f>
        <v>SINAPI</v>
      </c>
      <c r="D435" s="315" t="str">
        <f>VLOOKUP($B435,[2]BOLETIM_SEL!$A:$H,4,0)</f>
        <v>Lançamento com uso de baldes, adensamento e acabamento de concreto em estruturas. AF_12/2015</v>
      </c>
      <c r="E435" s="2">
        <f>+Orçamento_Não_Deson!E435</f>
        <v>0</v>
      </c>
      <c r="F435" s="2" t="str">
        <f>VLOOKUP($B435,[2]BOLETIM_SEL!$A:$H,6,0)</f>
        <v>M3</v>
      </c>
      <c r="G435" s="1407">
        <f>VLOOKUP($B435,[2]BOLETIM_SEL!$A:$H,7,0)</f>
        <v>240.79</v>
      </c>
      <c r="H435" s="1608">
        <f>+Orçamento_Não_Deson!H435</f>
        <v>0</v>
      </c>
      <c r="I435" s="876">
        <f t="shared" si="102"/>
        <v>308.62</v>
      </c>
      <c r="J435" s="1607">
        <f t="shared" si="100"/>
        <v>0</v>
      </c>
      <c r="K435" s="2069">
        <f t="shared" ca="1" si="98"/>
        <v>0</v>
      </c>
      <c r="L435" s="1570" t="e">
        <f t="shared" si="101"/>
        <v>#DIV/0!</v>
      </c>
      <c r="M435" s="1967"/>
      <c r="N435" s="832"/>
      <c r="O435" s="832"/>
      <c r="Q435" s="832"/>
      <c r="R435" s="832"/>
      <c r="S435" s="832"/>
      <c r="T435" s="832"/>
      <c r="U435" s="832"/>
      <c r="V435" s="832"/>
      <c r="W435" s="832"/>
      <c r="X435" s="832"/>
    </row>
    <row r="436" spans="1:24" s="812" customFormat="1" ht="39.950000000000003" hidden="1" customHeight="1" x14ac:dyDescent="0.15">
      <c r="A436" s="2072">
        <f ca="1">+Orçamento_Não_Deson!A436</f>
        <v>5</v>
      </c>
      <c r="B436" s="833" t="str">
        <f>+Orçamento_Não_Deson!B436</f>
        <v>EC/0044</v>
      </c>
      <c r="C436" s="2" t="str">
        <f>VLOOKUP($B436,[2]BOLETIM_SEL!$A:$H,2,0)</f>
        <v>COMPOSIÇÃO</v>
      </c>
      <c r="D436" s="315" t="str">
        <f>VLOOKUP($B436,[2]BOLETIM_SEL!$A:$H,4,0)</f>
        <v>Alvenaria em tijolo cerâmico maciço 5x10x20cm 1 vez (espessura 20cm), assentado com argamassa de betoneira, traço 1:2:8 (cimento, cal e areia), REF SINAPI 72131, DATA 04/2020</v>
      </c>
      <c r="E436" s="2">
        <f>+Orçamento_Não_Deson!E436</f>
        <v>0</v>
      </c>
      <c r="F436" s="2" t="str">
        <f>VLOOKUP($B436,[2]BOLETIM_SEL!$A:$H,6,0)</f>
        <v>M2</v>
      </c>
      <c r="G436" s="1407">
        <f>VLOOKUP($B436,[2]BOLETIM_SEL!$A:$H,7,0)</f>
        <v>199.02</v>
      </c>
      <c r="H436" s="1608">
        <f>+Orçamento_Não_Deson!H436</f>
        <v>0</v>
      </c>
      <c r="I436" s="876">
        <f t="shared" si="102"/>
        <v>255.08</v>
      </c>
      <c r="J436" s="1607">
        <f t="shared" si="100"/>
        <v>0</v>
      </c>
      <c r="K436" s="2069">
        <f t="shared" ca="1" si="98"/>
        <v>0</v>
      </c>
      <c r="L436" s="1570" t="e">
        <f t="shared" si="101"/>
        <v>#DIV/0!</v>
      </c>
      <c r="M436" s="1967"/>
      <c r="N436" s="832"/>
      <c r="O436" s="832"/>
      <c r="Q436" s="832"/>
      <c r="R436" s="832"/>
      <c r="S436" s="832"/>
      <c r="T436" s="832"/>
      <c r="U436" s="832"/>
      <c r="V436" s="832"/>
      <c r="W436" s="832"/>
      <c r="X436" s="832"/>
    </row>
    <row r="437" spans="1:24" s="812" customFormat="1" ht="39.950000000000003" hidden="1" customHeight="1" x14ac:dyDescent="0.15">
      <c r="A437" s="2072">
        <f ca="1">+Orçamento_Não_Deson!A437</f>
        <v>5</v>
      </c>
      <c r="B437" s="833">
        <f>+Orçamento_Não_Deson!B437</f>
        <v>87878</v>
      </c>
      <c r="C437" s="2" t="str">
        <f>VLOOKUP($B437,[2]BOLETIM_SEL!$A:$H,2,0)</f>
        <v>SINAPI</v>
      </c>
      <c r="D437" s="315" t="str">
        <f>VLOOKUP($B437,[2]BOLETIM_SEL!$A:$H,4,0)</f>
        <v>Chapisco aplicado em alvenarias e estruturas de concreto internas, com colher de pedreiro. Argamassa traço 1:3 com preparo manual. AF_06/2014</v>
      </c>
      <c r="E437" s="2">
        <f>+Orçamento_Não_Deson!E437</f>
        <v>0</v>
      </c>
      <c r="F437" s="2" t="str">
        <f>VLOOKUP($B437,[2]BOLETIM_SEL!$A:$H,6,0)</f>
        <v>M2</v>
      </c>
      <c r="G437" s="1407">
        <f>VLOOKUP($B437,[2]BOLETIM_SEL!$A:$H,7,0)</f>
        <v>4.24</v>
      </c>
      <c r="H437" s="1608">
        <f>+Orçamento_Não_Deson!H437</f>
        <v>0</v>
      </c>
      <c r="I437" s="876">
        <f t="shared" si="102"/>
        <v>5.43</v>
      </c>
      <c r="J437" s="1607">
        <f t="shared" si="100"/>
        <v>0</v>
      </c>
      <c r="K437" s="2069">
        <f t="shared" ca="1" si="98"/>
        <v>0</v>
      </c>
      <c r="L437" s="1570" t="e">
        <f t="shared" si="101"/>
        <v>#DIV/0!</v>
      </c>
      <c r="M437" s="1967"/>
      <c r="N437" s="832"/>
      <c r="O437" s="832"/>
      <c r="Q437" s="832"/>
      <c r="R437" s="832"/>
      <c r="S437" s="832"/>
      <c r="T437" s="832"/>
      <c r="U437" s="832"/>
      <c r="V437" s="832"/>
      <c r="W437" s="832"/>
      <c r="X437" s="832"/>
    </row>
    <row r="438" spans="1:24" s="812" customFormat="1" ht="39.950000000000003" hidden="1" customHeight="1" x14ac:dyDescent="0.15">
      <c r="A438" s="2072">
        <f ca="1">+Orçamento_Não_Deson!A438</f>
        <v>5</v>
      </c>
      <c r="B438" s="833">
        <f>+Orçamento_Não_Deson!B438</f>
        <v>87313</v>
      </c>
      <c r="C438" s="2" t="str">
        <f>VLOOKUP($B438,[2]BOLETIM_SEL!$A:$H,2,0)</f>
        <v>SINAPI</v>
      </c>
      <c r="D438" s="315" t="str">
        <f>VLOOKUP($B438,[2]BOLETIM_SEL!$A:$H,4,0)</f>
        <v>Argamassa traço 1:3 (em volume de cimento e areia grossa úmida) para chapisco convencional, preparo mecânico com betoneira 400 l. AF_08/2019</v>
      </c>
      <c r="E438" s="2">
        <f>+Orçamento_Não_Deson!E438</f>
        <v>0</v>
      </c>
      <c r="F438" s="2" t="str">
        <f>VLOOKUP($B438,[2]BOLETIM_SEL!$A:$H,6,0)</f>
        <v>M3</v>
      </c>
      <c r="G438" s="1407">
        <f>VLOOKUP($B438,[2]BOLETIM_SEL!$A:$H,7,0)</f>
        <v>516.94000000000005</v>
      </c>
      <c r="H438" s="1608">
        <f>+Orçamento_Não_Deson!H438</f>
        <v>0</v>
      </c>
      <c r="I438" s="876">
        <f t="shared" si="102"/>
        <v>662.56</v>
      </c>
      <c r="J438" s="1607">
        <f t="shared" si="100"/>
        <v>0</v>
      </c>
      <c r="K438" s="2069">
        <f t="shared" ca="1" si="98"/>
        <v>0</v>
      </c>
      <c r="L438" s="1570" t="e">
        <f t="shared" si="101"/>
        <v>#DIV/0!</v>
      </c>
      <c r="M438" s="1967"/>
      <c r="N438" s="832"/>
      <c r="O438" s="832"/>
      <c r="Q438" s="832"/>
      <c r="R438" s="832"/>
      <c r="S438" s="832"/>
      <c r="T438" s="832"/>
      <c r="U438" s="832"/>
      <c r="V438" s="832"/>
      <c r="W438" s="832"/>
      <c r="X438" s="832"/>
    </row>
    <row r="439" spans="1:24" s="812" customFormat="1" ht="24.95" hidden="1" customHeight="1" x14ac:dyDescent="0.15">
      <c r="A439" s="2072"/>
      <c r="B439" s="833"/>
      <c r="C439" s="2"/>
      <c r="D439" s="1449" t="s">
        <v>1797</v>
      </c>
      <c r="E439" s="2"/>
      <c r="F439" s="2"/>
      <c r="G439" s="1407"/>
      <c r="H439" s="2"/>
      <c r="I439" s="2"/>
      <c r="J439" s="838" t="str">
        <f>IF(J440=0,"-","")</f>
        <v>-</v>
      </c>
      <c r="K439" s="2069"/>
      <c r="L439" s="1570"/>
      <c r="M439" s="1967" t="str">
        <f>+Orçamento_Não_Deson!M439</f>
        <v>Definir depósito reciclável: 2, 3 ou 4</v>
      </c>
      <c r="N439" s="832"/>
      <c r="O439" s="832"/>
      <c r="Q439" s="832"/>
      <c r="R439" s="832"/>
      <c r="S439" s="832"/>
      <c r="T439" s="832"/>
      <c r="U439" s="832"/>
      <c r="V439" s="832"/>
      <c r="W439" s="832"/>
      <c r="X439" s="832"/>
    </row>
    <row r="440" spans="1:24" s="812" customFormat="1" ht="39.950000000000003" hidden="1" customHeight="1" x14ac:dyDescent="0.15">
      <c r="A440" s="2072">
        <f ca="1">+Orçamento_Não_Deson!A440</f>
        <v>5</v>
      </c>
      <c r="B440" s="833">
        <f>+Orçamento_Não_Deson!B440</f>
        <v>95875</v>
      </c>
      <c r="C440" s="2" t="str">
        <f>VLOOKUP($B440,[2]BOLETIM_SEL!$A:$H,2,0)</f>
        <v>SINAPI</v>
      </c>
      <c r="D440" s="315" t="str">
        <f>VLOOKUP($B440,[2]BOLETIM_SEL!$A:$H,4,0)</f>
        <v>Transporte com caminhão basculante de 10 m3, em via urbana pavimentada, DMT até 30,00 km (unidade: m3xkm). AF_07/2020</v>
      </c>
      <c r="E440" s="2">
        <f>+Orçamento_Não_Deson!E440</f>
        <v>0</v>
      </c>
      <c r="F440" s="2" t="str">
        <f>VLOOKUP($B440,[2]BOLETIM_SEL!$A:$H,6,0)</f>
        <v>M3XKM</v>
      </c>
      <c r="G440" s="1407">
        <f>VLOOKUP($B440,[2]BOLETIM_SEL!$A:$H,7,0)</f>
        <v>2.33</v>
      </c>
      <c r="H440" s="1608">
        <f>+Orçamento_Não_Deson!H440</f>
        <v>0</v>
      </c>
      <c r="I440" s="876">
        <f t="shared" si="102"/>
        <v>2.98</v>
      </c>
      <c r="J440" s="1607">
        <f>TRUNC(H440*I440,2)</f>
        <v>0</v>
      </c>
      <c r="K440" s="2069">
        <f ca="1">J440/J$930</f>
        <v>0</v>
      </c>
      <c r="L440" s="1570" t="e">
        <f>J440/$J$413</f>
        <v>#DIV/0!</v>
      </c>
      <c r="M440" s="1969">
        <f>+Orçamento_Não_Deson!M440</f>
        <v>0</v>
      </c>
      <c r="N440" s="832"/>
      <c r="O440" s="832"/>
      <c r="Q440" s="832"/>
      <c r="R440" s="832"/>
      <c r="S440" s="832"/>
      <c r="T440" s="832"/>
      <c r="U440" s="832"/>
      <c r="V440" s="832"/>
      <c r="W440" s="832"/>
      <c r="X440" s="832"/>
    </row>
    <row r="441" spans="1:24" s="812" customFormat="1" ht="24.95" hidden="1" customHeight="1" x14ac:dyDescent="0.15">
      <c r="A441" s="2072"/>
      <c r="B441" s="833"/>
      <c r="C441" s="2"/>
      <c r="D441" s="1449" t="s">
        <v>1798</v>
      </c>
      <c r="E441" s="2"/>
      <c r="F441" s="2"/>
      <c r="G441" s="1407"/>
      <c r="H441" s="2"/>
      <c r="I441" s="2"/>
      <c r="J441" s="838" t="str">
        <f>IF(J442=0,"-","")</f>
        <v>-</v>
      </c>
      <c r="K441" s="2069"/>
      <c r="L441" s="1570"/>
      <c r="M441" s="1967" t="str">
        <f>+Orçamento_Não_Deson!M441</f>
        <v>Definir depósito:                                   1,  2, 3 ou 4</v>
      </c>
      <c r="N441" s="832"/>
      <c r="O441" s="832"/>
      <c r="Q441" s="832"/>
      <c r="R441" s="832"/>
      <c r="S441" s="832"/>
      <c r="T441" s="832"/>
      <c r="U441" s="832"/>
      <c r="V441" s="832"/>
      <c r="W441" s="832"/>
      <c r="X441" s="832"/>
    </row>
    <row r="442" spans="1:24" s="812" customFormat="1" ht="39.950000000000003" hidden="1" customHeight="1" x14ac:dyDescent="0.15">
      <c r="A442" s="2072">
        <f ca="1">+Orçamento_Não_Deson!A442</f>
        <v>5</v>
      </c>
      <c r="B442" s="833">
        <f>+Orçamento_Não_Deson!B442</f>
        <v>95875</v>
      </c>
      <c r="C442" s="2" t="str">
        <f>VLOOKUP($B442,[2]BOLETIM_SEL!$A:$H,2,0)</f>
        <v>SINAPI</v>
      </c>
      <c r="D442" s="315" t="str">
        <f>VLOOKUP($B442,[2]BOLETIM_SEL!$A:$H,4,0)</f>
        <v>Transporte com caminhão basculante de 10 m3, em via urbana pavimentada, DMT até 30,00 km (unidade: m3xkm). AF_07/2020</v>
      </c>
      <c r="E442" s="2">
        <f>+Orçamento_Não_Deson!E442</f>
        <v>8</v>
      </c>
      <c r="F442" s="2" t="str">
        <f>VLOOKUP($B442,[2]BOLETIM_SEL!$A:$H,6,0)</f>
        <v>M3XKM</v>
      </c>
      <c r="G442" s="1407">
        <f>VLOOKUP($B442,[2]BOLETIM_SEL!$A:$H,7,0)</f>
        <v>2.33</v>
      </c>
      <c r="H442" s="1608">
        <f>+Orçamento_Não_Deson!H442</f>
        <v>0</v>
      </c>
      <c r="I442" s="876">
        <f t="shared" si="102"/>
        <v>2.98</v>
      </c>
      <c r="J442" s="1607">
        <f>TRUNC(H442*I442,2)</f>
        <v>0</v>
      </c>
      <c r="K442" s="2069">
        <f ca="1">J442/J$930</f>
        <v>0</v>
      </c>
      <c r="L442" s="1570" t="e">
        <f>J442/$J$413</f>
        <v>#DIV/0!</v>
      </c>
      <c r="M442" s="1969">
        <f>+Orçamento_Não_Deson!M442</f>
        <v>0</v>
      </c>
      <c r="N442" s="832"/>
      <c r="O442" s="832"/>
      <c r="Q442" s="832"/>
      <c r="R442" s="832"/>
      <c r="S442" s="832"/>
      <c r="T442" s="832"/>
      <c r="U442" s="832"/>
      <c r="V442" s="832"/>
      <c r="W442" s="832"/>
      <c r="X442" s="832"/>
    </row>
    <row r="443" spans="1:24" s="812" customFormat="1" ht="24.95" hidden="1" customHeight="1" x14ac:dyDescent="0.15">
      <c r="A443" s="2072"/>
      <c r="B443" s="833"/>
      <c r="C443" s="2"/>
      <c r="D443" s="1449" t="s">
        <v>1811</v>
      </c>
      <c r="E443" s="2"/>
      <c r="F443" s="2"/>
      <c r="G443" s="1407"/>
      <c r="H443" s="2"/>
      <c r="I443" s="2"/>
      <c r="J443" s="838" t="str">
        <f>IF(J444=0,"-","")</f>
        <v>-</v>
      </c>
      <c r="K443" s="2069"/>
      <c r="L443" s="1570"/>
      <c r="M443" s="1967"/>
      <c r="N443" s="832"/>
      <c r="O443" s="832"/>
      <c r="Q443" s="832"/>
      <c r="R443" s="832"/>
      <c r="S443" s="832"/>
      <c r="T443" s="832"/>
      <c r="U443" s="832"/>
      <c r="V443" s="832"/>
      <c r="W443" s="832"/>
      <c r="X443" s="832"/>
    </row>
    <row r="444" spans="1:24" s="812" customFormat="1" ht="39.950000000000003" hidden="1" customHeight="1" x14ac:dyDescent="0.15">
      <c r="A444" s="2072">
        <f ca="1">+Orçamento_Não_Deson!A444</f>
        <v>5</v>
      </c>
      <c r="B444" s="833">
        <f>+Orçamento_Não_Deson!B444</f>
        <v>95875</v>
      </c>
      <c r="C444" s="2" t="str">
        <f>VLOOKUP($B444,[2]BOLETIM_SEL!$A:$H,2,0)</f>
        <v>SINAPI</v>
      </c>
      <c r="D444" s="315" t="str">
        <f>VLOOKUP($B444,[2]BOLETIM_SEL!$A:$H,4,0)</f>
        <v>Transporte com caminhão basculante de 10 m3, em via urbana pavimentada, DMT até 30,00 km (unidade: m3xkm). AF_07/2020</v>
      </c>
      <c r="E444" s="2">
        <f>+Orçamento_Não_Deson!E444</f>
        <v>7</v>
      </c>
      <c r="F444" s="2" t="str">
        <f>VLOOKUP($B444,[2]BOLETIM_SEL!$A:$H,6,0)</f>
        <v>M3XKM</v>
      </c>
      <c r="G444" s="1407">
        <f>VLOOKUP($B444,[2]BOLETIM_SEL!$A:$H,7,0)</f>
        <v>2.33</v>
      </c>
      <c r="H444" s="1608">
        <f>+Orçamento_Não_Deson!H444</f>
        <v>0</v>
      </c>
      <c r="I444" s="876">
        <f t="shared" si="102"/>
        <v>2.98</v>
      </c>
      <c r="J444" s="1607">
        <f>TRUNC(H444*I444,2)</f>
        <v>0</v>
      </c>
      <c r="K444" s="2069">
        <f ca="1">J444/J$930</f>
        <v>0</v>
      </c>
      <c r="L444" s="1570" t="e">
        <f>J444/$J$413</f>
        <v>#DIV/0!</v>
      </c>
      <c r="M444" s="1969">
        <f>+Orçamento_Não_Deson!M444</f>
        <v>0</v>
      </c>
      <c r="N444" s="832"/>
      <c r="O444" s="832"/>
      <c r="Q444" s="832"/>
      <c r="R444" s="832"/>
      <c r="S444" s="832"/>
      <c r="T444" s="832"/>
      <c r="U444" s="832"/>
      <c r="V444" s="832"/>
      <c r="W444" s="832"/>
      <c r="X444" s="832"/>
    </row>
    <row r="445" spans="1:24" s="812" customFormat="1" ht="24.95" hidden="1" customHeight="1" x14ac:dyDescent="0.15">
      <c r="A445" s="2072"/>
      <c r="B445" s="833"/>
      <c r="C445" s="2"/>
      <c r="D445" s="1449" t="s">
        <v>2178</v>
      </c>
      <c r="E445" s="2"/>
      <c r="F445" s="2"/>
      <c r="G445" s="1407"/>
      <c r="H445" s="2"/>
      <c r="I445" s="2"/>
      <c r="J445" s="838" t="str">
        <f>IF(J446=0,"-","")</f>
        <v>-</v>
      </c>
      <c r="K445" s="2069"/>
      <c r="L445" s="1570"/>
      <c r="M445" s="1967"/>
      <c r="N445" s="832"/>
      <c r="O445" s="832"/>
      <c r="Q445" s="832"/>
      <c r="R445" s="832"/>
      <c r="S445" s="832"/>
      <c r="T445" s="832"/>
      <c r="U445" s="832"/>
      <c r="V445" s="832"/>
      <c r="W445" s="832"/>
      <c r="X445" s="832"/>
    </row>
    <row r="446" spans="1:24" s="812" customFormat="1" ht="39.950000000000003" hidden="1" customHeight="1" x14ac:dyDescent="0.15">
      <c r="A446" s="2072">
        <f ca="1">+Orçamento_Não_Deson!A446</f>
        <v>5</v>
      </c>
      <c r="B446" s="833">
        <f>+Orçamento_Não_Deson!B446</f>
        <v>95875</v>
      </c>
      <c r="C446" s="2" t="str">
        <f>VLOOKUP($B446,[2]BOLETIM_SEL!$A:$H,2,0)</f>
        <v>SINAPI</v>
      </c>
      <c r="D446" s="315" t="str">
        <f>VLOOKUP($B446,[2]BOLETIM_SEL!$A:$H,4,0)</f>
        <v>Transporte com caminhão basculante de 10 m3, em via urbana pavimentada, DMT até 30,00 km (unidade: m3xkm). AF_07/2020</v>
      </c>
      <c r="E446" s="2">
        <f>+Orçamento_Não_Deson!E446</f>
        <v>24</v>
      </c>
      <c r="F446" s="2" t="str">
        <f>VLOOKUP($B446,[2]BOLETIM_SEL!$A:$H,6,0)</f>
        <v>M3XKM</v>
      </c>
      <c r="G446" s="1407">
        <f>VLOOKUP($B446,[2]BOLETIM_SEL!$A:$H,7,0)</f>
        <v>2.33</v>
      </c>
      <c r="H446" s="1608">
        <f>+Orçamento_Não_Deson!H446</f>
        <v>0</v>
      </c>
      <c r="I446" s="876">
        <f t="shared" si="102"/>
        <v>2.98</v>
      </c>
      <c r="J446" s="1607">
        <f>TRUNC(H446*I446,2)</f>
        <v>0</v>
      </c>
      <c r="K446" s="2069">
        <f ca="1">J446/J$930</f>
        <v>0</v>
      </c>
      <c r="L446" s="1570" t="e">
        <f>J446/$J$413</f>
        <v>#DIV/0!</v>
      </c>
      <c r="M446" s="1969">
        <f>+Orçamento_Não_Deson!M446</f>
        <v>0</v>
      </c>
      <c r="N446" s="832"/>
      <c r="O446" s="832"/>
      <c r="Q446" s="832"/>
      <c r="R446" s="832"/>
      <c r="S446" s="832"/>
      <c r="T446" s="832"/>
      <c r="U446" s="832"/>
      <c r="V446" s="832"/>
      <c r="W446" s="832"/>
      <c r="X446" s="832"/>
    </row>
    <row r="447" spans="1:24" s="812" customFormat="1" ht="24.95" hidden="1" customHeight="1" x14ac:dyDescent="0.15">
      <c r="A447" s="2072"/>
      <c r="B447" s="833"/>
      <c r="C447" s="833"/>
      <c r="D447" s="834"/>
      <c r="E447" s="2"/>
      <c r="F447" s="833"/>
      <c r="G447" s="1814"/>
      <c r="H447" s="1"/>
      <c r="I447" s="876"/>
      <c r="J447" s="838">
        <f>IF(J413=0,0,"")</f>
        <v>0</v>
      </c>
      <c r="K447" s="2069"/>
      <c r="L447" s="1570"/>
      <c r="M447" s="1826"/>
      <c r="N447" s="832"/>
      <c r="O447" s="832"/>
      <c r="Q447" s="832"/>
      <c r="R447" s="832"/>
      <c r="S447" s="832"/>
      <c r="T447" s="832"/>
      <c r="U447" s="832"/>
      <c r="V447" s="832"/>
      <c r="W447" s="832"/>
      <c r="X447" s="832"/>
    </row>
    <row r="448" spans="1:24" s="832" customFormat="1" ht="24.95" customHeight="1" x14ac:dyDescent="0.15">
      <c r="A448" s="2073">
        <f ca="1">IF(J448&gt;0,INT(A446)+1,IF(J448=0,INT(A446),0))</f>
        <v>6</v>
      </c>
      <c r="B448" s="1626"/>
      <c r="C448" s="1626"/>
      <c r="D448" s="1627" t="s">
        <v>745</v>
      </c>
      <c r="E448" s="1821"/>
      <c r="F448" s="1628"/>
      <c r="G448" s="1813" t="s">
        <v>647</v>
      </c>
      <c r="H448" s="1630"/>
      <c r="I448" s="1633" t="str">
        <f ca="1">CONCATENATE("SUB-TOTAL ",A448)</f>
        <v>SUB-TOTAL 6</v>
      </c>
      <c r="J448" s="1632">
        <f>SUM(J449:J504)</f>
        <v>640.39999999999986</v>
      </c>
      <c r="K448" s="2070">
        <f t="shared" ref="K448:K466" ca="1" si="103">J448/J$930</f>
        <v>1.6949720469889448E-4</v>
      </c>
      <c r="L448" s="1605">
        <f t="shared" ref="L448:L466" si="104">J448/$J$448</f>
        <v>1</v>
      </c>
    </row>
    <row r="449" spans="1:24" s="812" customFormat="1" ht="50.1" customHeight="1" x14ac:dyDescent="0.15">
      <c r="A449" s="2072">
        <f ca="1">+Orçamento_Não_Deson!A449</f>
        <v>6.01</v>
      </c>
      <c r="B449" s="833">
        <f>+Orçamento_Não_Deson!B449</f>
        <v>90105</v>
      </c>
      <c r="C449" s="2" t="str">
        <f>VLOOKUP($B449,[2]BOLETIM_SEL!$A:$H,2,0)</f>
        <v>SINAPI</v>
      </c>
      <c r="D449" s="315" t="str">
        <f>VLOOKUP($B449,[2]BOLETIM_SEL!$A:$H,4,0)</f>
        <v>Escavação mecanizada de vala com profundidade até 1,50 m (média entre montante e jusante / uma composição por trecho) com retroescavadeira (capacidade da caçamba: 0,26 m3 / potência: 88 HP), largura menor que 0,80 m, em solo de 1a categoria, locais com baixo nível de interferência. AF_01/2015</v>
      </c>
      <c r="E449" s="2">
        <f>+Orçamento_Não_Deson!E449</f>
        <v>0</v>
      </c>
      <c r="F449" s="2" t="str">
        <f>VLOOKUP($B449,[2]BOLETIM_SEL!$A:$H,6,0)</f>
        <v>M3</v>
      </c>
      <c r="G449" s="1407">
        <f>VLOOKUP($B449,[2]BOLETIM_SEL!$A:$H,7,0)</f>
        <v>8.1300000000000008</v>
      </c>
      <c r="H449" s="1608">
        <f>+Orçamento_Não_Deson!H449</f>
        <v>1.01</v>
      </c>
      <c r="I449" s="876">
        <f>TRUNC(G449*(1+$J$5),2)</f>
        <v>10.42</v>
      </c>
      <c r="J449" s="1607">
        <f t="shared" ref="J449:J466" si="105">TRUNC(H449*I449,2)</f>
        <v>10.52</v>
      </c>
      <c r="K449" s="2069">
        <f t="shared" ca="1" si="103"/>
        <v>2.7843700709437387E-6</v>
      </c>
      <c r="L449" s="1570">
        <f t="shared" si="104"/>
        <v>1.6427232979387887E-2</v>
      </c>
      <c r="M449" s="1967"/>
      <c r="N449" s="832"/>
      <c r="O449" s="832"/>
      <c r="Q449" s="832"/>
      <c r="R449" s="832"/>
      <c r="S449" s="832"/>
      <c r="T449" s="832"/>
      <c r="U449" s="832"/>
      <c r="V449" s="832"/>
      <c r="W449" s="832"/>
      <c r="X449" s="832"/>
    </row>
    <row r="450" spans="1:24" s="812" customFormat="1" ht="50.1" hidden="1" customHeight="1" x14ac:dyDescent="0.15">
      <c r="A450" s="2072">
        <f ca="1">+Orçamento_Não_Deson!A450</f>
        <v>6.01</v>
      </c>
      <c r="B450" s="833">
        <f>+Orçamento_Não_Deson!B450</f>
        <v>101230</v>
      </c>
      <c r="C450" s="2" t="str">
        <f>VLOOKUP($B450,[2]BOLETIM_SEL!$A:$H,2,0)</f>
        <v>SINAPI</v>
      </c>
      <c r="D450" s="315" t="str">
        <f>VLOOKUP($B450,[2]BOLETIM_SEL!$A:$H,4,0)</f>
        <v>Escavação vertical a céu aberto, em obras de infraestrutura, incluindo carga, descarga e transporte, em solo de 1a categoria com escavadeira hidráulica (caçamba: 0,80 m3 / 111 HP), frota de 3 caminhões basculantes de 14 m3, DMT até 1 km e velocidade média 14 km/h. AF_05/2020</v>
      </c>
      <c r="E450" s="2">
        <f>+Orçamento_Não_Deson!E450</f>
        <v>0</v>
      </c>
      <c r="F450" s="2" t="str">
        <f>VLOOKUP($B450,[2]BOLETIM_SEL!$A:$H,6,0)</f>
        <v>M3</v>
      </c>
      <c r="G450" s="1407">
        <f>VLOOKUP($B450,[2]BOLETIM_SEL!$A:$H,7,0)</f>
        <v>10.59</v>
      </c>
      <c r="H450" s="1608">
        <f>+Orçamento_Não_Deson!H450</f>
        <v>0</v>
      </c>
      <c r="I450" s="876">
        <f>TRUNC(G450*(1+$J$5),2)</f>
        <v>13.57</v>
      </c>
      <c r="J450" s="1607">
        <f t="shared" si="105"/>
        <v>0</v>
      </c>
      <c r="K450" s="2069">
        <f t="shared" ca="1" si="103"/>
        <v>0</v>
      </c>
      <c r="L450" s="1570">
        <f t="shared" si="104"/>
        <v>0</v>
      </c>
      <c r="M450" s="1967"/>
      <c r="N450" s="832"/>
      <c r="O450" s="832"/>
      <c r="Q450" s="832"/>
      <c r="R450" s="832"/>
      <c r="S450" s="832"/>
      <c r="T450" s="832"/>
      <c r="U450" s="832"/>
      <c r="V450" s="832"/>
      <c r="W450" s="832"/>
      <c r="X450" s="832"/>
    </row>
    <row r="451" spans="1:24" s="812" customFormat="1" ht="39.950000000000003" hidden="1" customHeight="1" x14ac:dyDescent="0.15">
      <c r="A451" s="2072">
        <f ca="1">+Orçamento_Não_Deson!A451</f>
        <v>6.01</v>
      </c>
      <c r="B451" s="833">
        <f>+Orçamento_Não_Deson!B451</f>
        <v>6079</v>
      </c>
      <c r="C451" s="2" t="str">
        <f>VLOOKUP($B451,[2]BOLETIM_SEL!$A:$H,2,0)</f>
        <v>COTAÇÃO - SINAPI</v>
      </c>
      <c r="D451" s="315" t="str">
        <f>VLOOKUP($B451,[2]BOLETIM_SEL!$A:$H,4,0)</f>
        <v>Argila, argila vermelha ou argila arenosa (retirada na jazida, sem transporte)</v>
      </c>
      <c r="E451" s="2221" t="str">
        <f>+Orçamento_Não_Deson!E451</f>
        <v>BDI insumo</v>
      </c>
      <c r="F451" s="2" t="str">
        <f>VLOOKUP($B451,[2]BOLETIM_SEL!$A:$H,6,0)</f>
        <v xml:space="preserve">M3    </v>
      </c>
      <c r="G451" s="1407">
        <f>VLOOKUP($B451,[2]BOLETIM_SEL!$A:$H,7,0)</f>
        <v>36.51</v>
      </c>
      <c r="H451" s="1608">
        <f>+Orçamento_Não_Deson!H451</f>
        <v>0</v>
      </c>
      <c r="I451" s="2222">
        <f>TRUNC(G451*(1+$J$6),2)</f>
        <v>42.08</v>
      </c>
      <c r="J451" s="1607">
        <f t="shared" si="105"/>
        <v>0</v>
      </c>
      <c r="K451" s="2069">
        <f t="shared" ca="1" si="103"/>
        <v>0</v>
      </c>
      <c r="L451" s="1570">
        <f t="shared" si="104"/>
        <v>0</v>
      </c>
      <c r="M451" s="1968" t="str">
        <f>+Orçamento_Não_Deson!M451</f>
        <v>COMERCIAL</v>
      </c>
      <c r="N451" s="832"/>
      <c r="O451" s="832"/>
      <c r="Q451" s="832"/>
      <c r="R451" s="832"/>
      <c r="S451" s="832"/>
      <c r="T451" s="832"/>
      <c r="U451" s="832"/>
      <c r="V451" s="832"/>
      <c r="W451" s="832"/>
      <c r="X451" s="832"/>
    </row>
    <row r="452" spans="1:24" s="812" customFormat="1" ht="39.950000000000003" hidden="1" customHeight="1" x14ac:dyDescent="0.15">
      <c r="A452" s="2072">
        <f ca="1">+Orçamento_Não_Deson!A452</f>
        <v>6.01</v>
      </c>
      <c r="B452" s="833">
        <f>+Orçamento_Não_Deson!B452</f>
        <v>4721</v>
      </c>
      <c r="C452" s="2" t="str">
        <f>VLOOKUP($B452,[2]BOLETIM_SEL!$A:$H,2,0)</f>
        <v>COTAÇÃO - SINAPI</v>
      </c>
      <c r="D452" s="315" t="str">
        <f>VLOOKUP($B452,[2]BOLETIM_SEL!$A:$H,4,0)</f>
        <v>Pedra britada n. 1 (9,5 A 19 mm) posto pedreira/fornecedor, sem frete</v>
      </c>
      <c r="E452" s="2221" t="str">
        <f>+Orçamento_Não_Deson!E452</f>
        <v>BDI insumo</v>
      </c>
      <c r="F452" s="2" t="str">
        <f>VLOOKUP($B452,[2]BOLETIM_SEL!$A:$H,6,0)</f>
        <v xml:space="preserve">M3    </v>
      </c>
      <c r="G452" s="1407">
        <f>VLOOKUP($B452,[2]BOLETIM_SEL!$A:$H,7,0)</f>
        <v>104.45</v>
      </c>
      <c r="H452" s="1608">
        <f>+Orçamento_Não_Deson!H452</f>
        <v>0</v>
      </c>
      <c r="I452" s="2222">
        <f>TRUNC(G452*(1+$J$6),2)</f>
        <v>120.4</v>
      </c>
      <c r="J452" s="1607">
        <f t="shared" si="105"/>
        <v>0</v>
      </c>
      <c r="K452" s="2069">
        <f t="shared" ca="1" si="103"/>
        <v>0</v>
      </c>
      <c r="L452" s="1570">
        <f t="shared" si="104"/>
        <v>0</v>
      </c>
      <c r="M452" s="1967"/>
      <c r="N452" s="832"/>
      <c r="O452" s="832"/>
      <c r="Q452" s="832"/>
      <c r="R452" s="832"/>
      <c r="S452" s="832"/>
      <c r="T452" s="832"/>
      <c r="U452" s="832"/>
      <c r="V452" s="832"/>
      <c r="W452" s="832"/>
      <c r="X452" s="832"/>
    </row>
    <row r="453" spans="1:24" s="812" customFormat="1" ht="39.950000000000003" hidden="1" customHeight="1" x14ac:dyDescent="0.15">
      <c r="A453" s="2072">
        <f ca="1">+Orçamento_Não_Deson!A453</f>
        <v>6.01</v>
      </c>
      <c r="B453" s="833">
        <f>+Orçamento_Não_Deson!B453</f>
        <v>4743</v>
      </c>
      <c r="C453" s="2" t="str">
        <f>VLOOKUP($B453,[2]BOLETIM_SEL!$A:$H,2,0)</f>
        <v>COTAÇÃO - SINAPI</v>
      </c>
      <c r="D453" s="315" t="str">
        <f>VLOOKUP($B453,[2]BOLETIM_SEL!$A:$H,4,0)</f>
        <v>Cascalho de cava</v>
      </c>
      <c r="E453" s="2221" t="str">
        <f>+Orçamento_Não_Deson!E453</f>
        <v>BDI insumo</v>
      </c>
      <c r="F453" s="2" t="str">
        <f>VLOOKUP($B453,[2]BOLETIM_SEL!$A:$H,6,0)</f>
        <v xml:space="preserve">M3    </v>
      </c>
      <c r="G453" s="1407">
        <f>VLOOKUP($B453,[2]BOLETIM_SEL!$A:$H,7,0)</f>
        <v>60.9</v>
      </c>
      <c r="H453" s="1608">
        <f>+Orçamento_Não_Deson!H453</f>
        <v>0</v>
      </c>
      <c r="I453" s="2222">
        <f>TRUNC(G453*(1+$J$6),2)</f>
        <v>70.2</v>
      </c>
      <c r="J453" s="1607">
        <f t="shared" si="105"/>
        <v>0</v>
      </c>
      <c r="K453" s="2069">
        <f t="shared" ca="1" si="103"/>
        <v>0</v>
      </c>
      <c r="L453" s="1570">
        <f t="shared" si="104"/>
        <v>0</v>
      </c>
      <c r="M453" s="1968" t="str">
        <f>+Orçamento_Não_Deson!M453</f>
        <v>COMERCIAL</v>
      </c>
      <c r="N453" s="832"/>
      <c r="O453" s="832"/>
      <c r="Q453" s="832"/>
      <c r="R453" s="832"/>
      <c r="S453" s="832"/>
      <c r="T453" s="832"/>
      <c r="U453" s="832"/>
      <c r="V453" s="832"/>
      <c r="W453" s="832"/>
      <c r="X453" s="832"/>
    </row>
    <row r="454" spans="1:24" s="812" customFormat="1" ht="39.950000000000003" customHeight="1" x14ac:dyDescent="0.15">
      <c r="A454" s="2072">
        <f ca="1">+Orçamento_Não_Deson!A454</f>
        <v>6.02</v>
      </c>
      <c r="B454" s="833">
        <f>+Orçamento_Não_Deson!B454</f>
        <v>4748</v>
      </c>
      <c r="C454" s="2" t="str">
        <f>VLOOKUP($B454,[2]BOLETIM_SEL!$A:$H,2,0)</f>
        <v>COTAÇÃO - SINAPI</v>
      </c>
      <c r="D454" s="315" t="str">
        <f>VLOOKUP($B454,[2]BOLETIM_SEL!$A:$H,4,0)</f>
        <v>Pedra britada ou bica corrida, não classificada (posto pedreira/fornecedor, sem frete)</v>
      </c>
      <c r="E454" s="2221" t="str">
        <f>+Orçamento_Não_Deson!E454</f>
        <v>BDI insumo</v>
      </c>
      <c r="F454" s="2" t="str">
        <f>VLOOKUP($B454,[2]BOLETIM_SEL!$A:$H,6,0)</f>
        <v xml:space="preserve">M3    </v>
      </c>
      <c r="G454" s="1407">
        <f>VLOOKUP($B454,[2]BOLETIM_SEL!$A:$H,7,0)</f>
        <v>96.47</v>
      </c>
      <c r="H454" s="1608">
        <f>+Orçamento_Não_Deson!H454</f>
        <v>1.1599999999999999</v>
      </c>
      <c r="I454" s="2100">
        <f>TRUNC(G454*(1+$J$6),2)</f>
        <v>111.21</v>
      </c>
      <c r="J454" s="1607">
        <f t="shared" si="105"/>
        <v>129</v>
      </c>
      <c r="K454" s="2069">
        <f t="shared" ca="1" si="103"/>
        <v>3.4142940984005917E-5</v>
      </c>
      <c r="L454" s="1570">
        <f t="shared" si="104"/>
        <v>0.20143660212367276</v>
      </c>
      <c r="M454" s="1967"/>
      <c r="N454" s="832"/>
      <c r="O454" s="832"/>
      <c r="Q454" s="832"/>
      <c r="R454" s="832"/>
      <c r="S454" s="832"/>
      <c r="T454" s="832"/>
      <c r="U454" s="832"/>
      <c r="V454" s="832"/>
      <c r="W454" s="832"/>
      <c r="X454" s="832"/>
    </row>
    <row r="455" spans="1:24" s="812" customFormat="1" ht="39.950000000000003" hidden="1" customHeight="1" x14ac:dyDescent="0.15">
      <c r="A455" s="2072">
        <f ca="1">+Orçamento_Não_Deson!A455</f>
        <v>6.02</v>
      </c>
      <c r="B455" s="833">
        <f>+Orçamento_Não_Deson!B455</f>
        <v>4729</v>
      </c>
      <c r="C455" s="2" t="str">
        <f>VLOOKUP($B455,[2]BOLETIM_SEL!$A:$H,2,0)</f>
        <v>COTAÇÃO - SINAPI</v>
      </c>
      <c r="D455" s="315" t="str">
        <f>VLOOKUP($B455,[2]BOLETIM_SEL!$A:$H,4,0)</f>
        <v>Pedra britada graduada, classificada (posto pedreira/fornecedor, sem frete)</v>
      </c>
      <c r="E455" s="2221" t="str">
        <f>+Orçamento_Não_Deson!E455</f>
        <v>BDI insumo</v>
      </c>
      <c r="F455" s="2" t="str">
        <f>VLOOKUP($B455,[2]BOLETIM_SEL!$A:$H,6,0)</f>
        <v xml:space="preserve">M3    </v>
      </c>
      <c r="G455" s="1407">
        <f>VLOOKUP($B455,[2]BOLETIM_SEL!$A:$H,7,0)</f>
        <v>105.24</v>
      </c>
      <c r="H455" s="1608">
        <f>+Orçamento_Não_Deson!H455</f>
        <v>0</v>
      </c>
      <c r="I455" s="2222">
        <f>TRUNC(G455*(1+$J$6),2)</f>
        <v>121.32</v>
      </c>
      <c r="J455" s="1607">
        <f t="shared" si="105"/>
        <v>0</v>
      </c>
      <c r="K455" s="2069">
        <f t="shared" ca="1" si="103"/>
        <v>0</v>
      </c>
      <c r="L455" s="1570">
        <f t="shared" si="104"/>
        <v>0</v>
      </c>
      <c r="M455" s="1967"/>
      <c r="N455" s="832"/>
      <c r="O455" s="832"/>
      <c r="Q455" s="832"/>
      <c r="R455" s="832"/>
      <c r="S455" s="832"/>
      <c r="T455" s="832"/>
      <c r="U455" s="832"/>
      <c r="V455" s="832"/>
      <c r="W455" s="832"/>
      <c r="X455" s="832"/>
    </row>
    <row r="456" spans="1:24" s="812" customFormat="1" ht="39.950000000000003" hidden="1" customHeight="1" x14ac:dyDescent="0.15">
      <c r="A456" s="2072">
        <f ca="1">+Orçamento_Não_Deson!A456</f>
        <v>6.02</v>
      </c>
      <c r="B456" s="833">
        <f>+Orçamento_Não_Deson!B456</f>
        <v>101767</v>
      </c>
      <c r="C456" s="2" t="str">
        <f>VLOOKUP($B456,[2]BOLETIM_SEL!$A:$H,2,0)</f>
        <v>SINAPI</v>
      </c>
      <c r="D456" s="315" t="str">
        <f>VLOOKUP($B456,[2]BOLETIM_SEL!$A:$H,4,0)</f>
        <v>Execução e compactação de base e ou sub base para pavimentação de solos estabilizados granulometricamente com mistura de solos em pista - exclusive solo, escavação, carga e transporte. AF_11/2019</v>
      </c>
      <c r="E456" s="2">
        <f>+Orçamento_Não_Deson!E456</f>
        <v>0</v>
      </c>
      <c r="F456" s="2" t="str">
        <f>VLOOKUP($B456,[2]BOLETIM_SEL!$A:$H,6,0)</f>
        <v>M3</v>
      </c>
      <c r="G456" s="1407">
        <f>VLOOKUP($B456,[2]BOLETIM_SEL!$A:$H,7,0)</f>
        <v>26.16</v>
      </c>
      <c r="H456" s="1608">
        <f>+Orçamento_Não_Deson!H456</f>
        <v>0</v>
      </c>
      <c r="I456" s="876">
        <f t="shared" ref="I456:I466" si="106">TRUNC(G456*(1+$J$5),2)</f>
        <v>33.520000000000003</v>
      </c>
      <c r="J456" s="1607">
        <f t="shared" si="105"/>
        <v>0</v>
      </c>
      <c r="K456" s="2069">
        <f t="shared" ca="1" si="103"/>
        <v>0</v>
      </c>
      <c r="L456" s="1570">
        <f t="shared" si="104"/>
        <v>0</v>
      </c>
      <c r="M456" s="1967"/>
      <c r="N456" s="832"/>
      <c r="O456" s="832"/>
      <c r="Q456" s="832"/>
      <c r="R456" s="832"/>
      <c r="S456" s="832"/>
      <c r="T456" s="832"/>
      <c r="U456" s="832"/>
      <c r="V456" s="832"/>
      <c r="W456" s="832"/>
      <c r="X456" s="832"/>
    </row>
    <row r="457" spans="1:24" s="812" customFormat="1" ht="39.950000000000003" hidden="1" customHeight="1" x14ac:dyDescent="0.15">
      <c r="A457" s="2072">
        <f ca="1">+Orçamento_Não_Deson!A457</f>
        <v>6.02</v>
      </c>
      <c r="B457" s="833" t="str">
        <f>+Orçamento_Não_Deson!B457</f>
        <v>PA/0021</v>
      </c>
      <c r="C457" s="2" t="str">
        <f>VLOOKUP($B457,[2]BOLETIM_SEL!$A:$H,2,0)</f>
        <v>COMPOSIÇÃO</v>
      </c>
      <c r="D457" s="315" t="str">
        <f>VLOOKUP($B457,[2]BOLETIM_SEL!$A:$H,4,0)</f>
        <v>Execução e compactação de base e ou sub-base, estabilizado granulometricamente, sem mistura, com material de jazida. Exclusive fornecimento e transporte (REF. SINAPI COD. 4011219)</v>
      </c>
      <c r="E457" s="2">
        <f>+Orçamento_Não_Deson!E457</f>
        <v>0</v>
      </c>
      <c r="F457" s="2" t="str">
        <f>VLOOKUP($B457,[2]BOLETIM_SEL!$A:$H,6,0)</f>
        <v>M3</v>
      </c>
      <c r="G457" s="1407">
        <f>VLOOKUP($B457,[2]BOLETIM_SEL!$A:$H,7,0)</f>
        <v>18.510000000000002</v>
      </c>
      <c r="H457" s="1608">
        <f>+Orçamento_Não_Deson!H457</f>
        <v>0</v>
      </c>
      <c r="I457" s="876">
        <f t="shared" si="106"/>
        <v>23.72</v>
      </c>
      <c r="J457" s="1607">
        <f t="shared" si="105"/>
        <v>0</v>
      </c>
      <c r="K457" s="2069">
        <f t="shared" ca="1" si="103"/>
        <v>0</v>
      </c>
      <c r="L457" s="1570">
        <f t="shared" si="104"/>
        <v>0</v>
      </c>
      <c r="M457" s="1967"/>
      <c r="N457" s="832"/>
      <c r="O457" s="832"/>
      <c r="Q457" s="832"/>
      <c r="R457" s="832"/>
      <c r="S457" s="832"/>
      <c r="T457" s="832"/>
      <c r="U457" s="832"/>
      <c r="V457" s="832"/>
      <c r="W457" s="832"/>
      <c r="X457" s="832"/>
    </row>
    <row r="458" spans="1:24" s="812" customFormat="1" ht="30" hidden="1" customHeight="1" x14ac:dyDescent="0.15">
      <c r="A458" s="2072">
        <f ca="1">+Orçamento_Não_Deson!A458</f>
        <v>6.02</v>
      </c>
      <c r="B458" s="833" t="str">
        <f>+Orçamento_Não_Deson!B458</f>
        <v>PA/0018</v>
      </c>
      <c r="C458" s="2" t="str">
        <f>VLOOKUP($B458,[2]BOLETIM_SEL!$A:$H,2,0)</f>
        <v>COMPOSIÇÃO</v>
      </c>
      <c r="D458" s="315" t="str">
        <f>VLOOKUP($B458,[2]BOLETIM_SEL!$A:$H,4,0)</f>
        <v>Usinagem de brita graduada simples, exclusive fornecimento de materiais (REF. SINAPI COD. 96393, DB 05-2021)</v>
      </c>
      <c r="E458" s="2">
        <f>+Orçamento_Não_Deson!E458</f>
        <v>0</v>
      </c>
      <c r="F458" s="2" t="str">
        <f>VLOOKUP($B458,[2]BOLETIM_SEL!$A:$H,6,0)</f>
        <v>M3</v>
      </c>
      <c r="G458" s="1407">
        <f>VLOOKUP($B458,[2]BOLETIM_SEL!$A:$H,7,0)</f>
        <v>6.09</v>
      </c>
      <c r="H458" s="1608">
        <f>+Orçamento_Não_Deson!H458</f>
        <v>0</v>
      </c>
      <c r="I458" s="876">
        <f t="shared" ref="I458" si="107">TRUNC(G458*(1+$J$5),2)</f>
        <v>7.8</v>
      </c>
      <c r="J458" s="1607">
        <f t="shared" ref="J458" si="108">TRUNC(H458*I458,2)</f>
        <v>0</v>
      </c>
      <c r="K458" s="2069">
        <f t="shared" ca="1" si="103"/>
        <v>0</v>
      </c>
      <c r="L458" s="1570">
        <f t="shared" ref="L458" si="109">J458/$J$448</f>
        <v>0</v>
      </c>
      <c r="M458" s="1967"/>
      <c r="N458" s="832"/>
      <c r="O458" s="832"/>
      <c r="Q458" s="832"/>
      <c r="R458" s="832"/>
      <c r="S458" s="832"/>
      <c r="T458" s="832"/>
      <c r="U458" s="832"/>
      <c r="V458" s="832"/>
      <c r="W458" s="832"/>
      <c r="X458" s="832"/>
    </row>
    <row r="459" spans="1:24" s="812" customFormat="1" ht="39.950000000000003" customHeight="1" x14ac:dyDescent="0.15">
      <c r="A459" s="2072">
        <f ca="1">+Orçamento_Não_Deson!A459</f>
        <v>6.0299999999999994</v>
      </c>
      <c r="B459" s="833" t="str">
        <f>+Orçamento_Não_Deson!B459</f>
        <v>PA/0020</v>
      </c>
      <c r="C459" s="2" t="str">
        <f>VLOOKUP($B459,[2]BOLETIM_SEL!$A:$H,2,0)</f>
        <v>COMPOSIÇÃO</v>
      </c>
      <c r="D459" s="315" t="str">
        <f>VLOOKUP($B459,[2]BOLETIM_SEL!$A:$H,4,0)</f>
        <v>Execução e compactação de base e ou sub-base com material produto de britagem. Exclusive fornecimento e transporte de materiais (REF. SINAPI COD. 96396)</v>
      </c>
      <c r="E459" s="2">
        <f>+Orçamento_Não_Deson!E459</f>
        <v>0</v>
      </c>
      <c r="F459" s="2" t="str">
        <f>VLOOKUP($B459,[2]BOLETIM_SEL!$A:$H,6,0)</f>
        <v>M3</v>
      </c>
      <c r="G459" s="1407">
        <f>VLOOKUP($B459,[2]BOLETIM_SEL!$A:$H,7,0)</f>
        <v>13</v>
      </c>
      <c r="H459" s="1608">
        <f>+Orçamento_Não_Deson!H459</f>
        <v>0.84</v>
      </c>
      <c r="I459" s="876">
        <f t="shared" si="106"/>
        <v>16.66</v>
      </c>
      <c r="J459" s="1607">
        <f t="shared" si="105"/>
        <v>13.99</v>
      </c>
      <c r="K459" s="2069">
        <f t="shared" ca="1" si="103"/>
        <v>3.7027887160173863E-6</v>
      </c>
      <c r="L459" s="1570">
        <f t="shared" si="104"/>
        <v>2.1845721424109937E-2</v>
      </c>
      <c r="M459" s="1967"/>
      <c r="N459" s="832"/>
      <c r="O459" s="832"/>
      <c r="Q459" s="832"/>
      <c r="R459" s="832"/>
      <c r="S459" s="832"/>
      <c r="T459" s="832"/>
      <c r="U459" s="832"/>
      <c r="V459" s="832"/>
      <c r="W459" s="832"/>
      <c r="X459" s="832"/>
    </row>
    <row r="460" spans="1:24" s="812" customFormat="1" ht="30" customHeight="1" x14ac:dyDescent="0.15">
      <c r="A460" s="2072">
        <f ca="1">+Orçamento_Não_Deson!A460</f>
        <v>6.0399999999999991</v>
      </c>
      <c r="B460" s="833" t="str">
        <f>+Orçamento_Não_Deson!B460</f>
        <v>PA/0025</v>
      </c>
      <c r="C460" s="2" t="str">
        <f>VLOOKUP($B460,[2]BOLETIM_SEL!$A:$H,2,0)</f>
        <v>COMPOSIÇÃO</v>
      </c>
      <c r="D460" s="315" t="str">
        <f>VLOOKUP($B460,[2]BOLETIM_SEL!$A:$H,4,0)</f>
        <v>Imprimação da base, execução e fornecimento de emulsão asfáltica EAI (REF. SINAPI COD. 102470)</v>
      </c>
      <c r="E460" s="2">
        <f>+Orçamento_Não_Deson!E460</f>
        <v>0</v>
      </c>
      <c r="F460" s="2" t="str">
        <f>VLOOKUP($B460,[2]BOLETIM_SEL!$A:$H,6,0)</f>
        <v>M2</v>
      </c>
      <c r="G460" s="1407">
        <f>VLOOKUP($B460,[2]BOLETIM_SEL!$A:$H,7,0)</f>
        <v>5.18</v>
      </c>
      <c r="H460" s="1608">
        <f>+Orçamento_Não_Deson!H460</f>
        <v>5.6</v>
      </c>
      <c r="I460" s="876">
        <f t="shared" si="106"/>
        <v>6.63</v>
      </c>
      <c r="J460" s="1607">
        <f t="shared" si="105"/>
        <v>37.119999999999997</v>
      </c>
      <c r="K460" s="2069">
        <f t="shared" ca="1" si="103"/>
        <v>9.8246974366379824E-6</v>
      </c>
      <c r="L460" s="1570">
        <f t="shared" si="104"/>
        <v>5.7963772642098697E-2</v>
      </c>
      <c r="M460" s="1968" t="str">
        <f>+Orçamento_Não_Deson!M460</f>
        <v>EAI</v>
      </c>
      <c r="N460" s="832"/>
      <c r="O460" s="832"/>
      <c r="Q460" s="832"/>
      <c r="R460" s="832"/>
      <c r="S460" s="832"/>
      <c r="T460" s="832"/>
      <c r="U460" s="832"/>
      <c r="V460" s="832"/>
      <c r="W460" s="832"/>
      <c r="X460" s="832"/>
    </row>
    <row r="461" spans="1:24" s="812" customFormat="1" ht="30" hidden="1" customHeight="1" x14ac:dyDescent="0.15">
      <c r="A461" s="2072">
        <f ca="1">+Orçamento_Não_Deson!A461</f>
        <v>6.0399999999999991</v>
      </c>
      <c r="B461" s="833" t="str">
        <f>+Orçamento_Não_Deson!B461</f>
        <v>PA/0150</v>
      </c>
      <c r="C461" s="2" t="str">
        <f>VLOOKUP($B461,[2]BOLETIM_SEL!$A:$H,2,0)</f>
        <v>COMPOSIÇÃO</v>
      </c>
      <c r="D461" s="315" t="str">
        <f>VLOOKUP($B461,[2]BOLETIM_SEL!$A:$H,4,0)</f>
        <v>PAVIMENTO COM TRATAMENTO SUPERFICIAL DUPLO, COM EMULSÃO ASFÁLTICA RR-2C (REF. SINAPI COD. 03.PAVI.TSUP.005/01-104389 DB 09-21)</v>
      </c>
      <c r="E461" s="2">
        <f>+Orçamento_Não_Deson!E461</f>
        <v>0</v>
      </c>
      <c r="F461" s="2" t="str">
        <f>VLOOKUP($B461,[2]BOLETIM_SEL!$A:$H,6,0)</f>
        <v>M2</v>
      </c>
      <c r="G461" s="1407">
        <f>VLOOKUP($B461,[2]BOLETIM_SEL!$A:$H,7,0)</f>
        <v>15.86</v>
      </c>
      <c r="H461" s="1608">
        <f>+Orçamento_Não_Deson!H461</f>
        <v>0</v>
      </c>
      <c r="I461" s="876">
        <f t="shared" si="106"/>
        <v>20.32</v>
      </c>
      <c r="J461" s="1607">
        <f t="shared" si="105"/>
        <v>0</v>
      </c>
      <c r="K461" s="2069">
        <f t="shared" ca="1" si="103"/>
        <v>0</v>
      </c>
      <c r="L461" s="1570">
        <f t="shared" si="104"/>
        <v>0</v>
      </c>
      <c r="M461" s="1967"/>
      <c r="N461" s="832"/>
      <c r="O461" s="832"/>
      <c r="Q461" s="832"/>
      <c r="R461" s="832"/>
      <c r="S461" s="832"/>
      <c r="T461" s="832"/>
      <c r="U461" s="832"/>
      <c r="V461" s="832"/>
      <c r="W461" s="832"/>
      <c r="X461" s="832"/>
    </row>
    <row r="462" spans="1:24" s="812" customFormat="1" ht="39.950000000000003" customHeight="1" x14ac:dyDescent="0.15">
      <c r="A462" s="2072">
        <f ca="1">+Orçamento_Não_Deson!A462</f>
        <v>6.0499999999999989</v>
      </c>
      <c r="B462" s="833" t="str">
        <f>+Orçamento_Não_Deson!B462</f>
        <v>RE/0050</v>
      </c>
      <c r="C462" s="2" t="str">
        <f>VLOOKUP($B462,[2]BOLETIM_SEL!$A:$H,2,0)</f>
        <v>COMPOSIÇÃO</v>
      </c>
      <c r="D462" s="315" t="str">
        <f>VLOOKUP($B462,[2]BOLETIM_SEL!$A:$H,4,0)</f>
        <v>CBUQ (usina comercial) - aplicação manual em fechamento de vala e remendos. Incluindo fornecimento dos materiais e compactação com rolo tandem compacto. Exclusive transporte. Ref BP 09.05.0500 RIO SCO</v>
      </c>
      <c r="E462" s="2">
        <f>+Orçamento_Não_Deson!E462</f>
        <v>0</v>
      </c>
      <c r="F462" s="2" t="str">
        <f>VLOOKUP($B462,[2]BOLETIM_SEL!$A:$H,6,0)</f>
        <v>M3</v>
      </c>
      <c r="G462" s="1407">
        <f>VLOOKUP($B462,[2]BOLETIM_SEL!$A:$H,7,0)</f>
        <v>1542.19</v>
      </c>
      <c r="H462" s="1608">
        <f>+Orçamento_Não_Deson!H462</f>
        <v>0.17</v>
      </c>
      <c r="I462" s="876">
        <f t="shared" si="106"/>
        <v>1976.62</v>
      </c>
      <c r="J462" s="1607">
        <f t="shared" si="105"/>
        <v>336.02</v>
      </c>
      <c r="K462" s="2069">
        <f t="shared" ca="1" si="103"/>
        <v>8.8935744414307514E-5</v>
      </c>
      <c r="L462" s="1570">
        <f t="shared" si="104"/>
        <v>0.52470331043098073</v>
      </c>
      <c r="M462" s="1968" t="str">
        <f>+Orçamento_Não_Deson!M462</f>
        <v>COMERCIAL</v>
      </c>
      <c r="N462" s="832"/>
      <c r="O462" s="832"/>
      <c r="Q462" s="832"/>
      <c r="R462" s="832"/>
      <c r="S462" s="832"/>
      <c r="T462" s="832"/>
      <c r="U462" s="832"/>
      <c r="V462" s="832"/>
      <c r="W462" s="832"/>
      <c r="X462" s="832"/>
    </row>
    <row r="463" spans="1:24" s="812" customFormat="1" ht="39.950000000000003" hidden="1" customHeight="1" x14ac:dyDescent="0.15">
      <c r="A463" s="2072">
        <f ca="1">+Orçamento_Não_Deson!A463</f>
        <v>6.0499999999999989</v>
      </c>
      <c r="B463" s="833" t="str">
        <f>+Orçamento_Não_Deson!B463</f>
        <v>RE/0055</v>
      </c>
      <c r="C463" s="2" t="str">
        <f>VLOOKUP($B463,[2]BOLETIM_SEL!$A:$H,2,0)</f>
        <v>COMPOSIÇÃO</v>
      </c>
      <c r="D463" s="315" t="str">
        <f>VLOOKUP($B463,[2]BOLETIM_SEL!$A:$H,4,0)</f>
        <v>CBUQ (usina comercial) - aplicação com motoniveladora (reperfilamento). Incluindo fornecimento de materiais. Exclusive transporte</v>
      </c>
      <c r="E463" s="2">
        <f>+Orçamento_Não_Deson!E463</f>
        <v>0</v>
      </c>
      <c r="F463" s="2" t="str">
        <f>VLOOKUP($B463,[2]BOLETIM_SEL!$A:$H,6,0)</f>
        <v>M3</v>
      </c>
      <c r="G463" s="1407">
        <f>VLOOKUP($B463,[2]BOLETIM_SEL!$A:$H,7,0)</f>
        <v>1570.13</v>
      </c>
      <c r="H463" s="1608">
        <f>+Orçamento_Não_Deson!H463</f>
        <v>0</v>
      </c>
      <c r="I463" s="876">
        <f t="shared" si="106"/>
        <v>2012.43</v>
      </c>
      <c r="J463" s="1607">
        <f t="shared" si="105"/>
        <v>0</v>
      </c>
      <c r="K463" s="2069">
        <f t="shared" ca="1" si="103"/>
        <v>0</v>
      </c>
      <c r="L463" s="1570">
        <f t="shared" si="104"/>
        <v>0</v>
      </c>
      <c r="M463" s="1968" t="str">
        <f>+Orçamento_Não_Deson!M463</f>
        <v>COMERCIAL</v>
      </c>
      <c r="N463" s="832"/>
      <c r="O463" s="832"/>
      <c r="Q463" s="832"/>
      <c r="R463" s="832"/>
      <c r="S463" s="832"/>
      <c r="T463" s="832"/>
      <c r="U463" s="832"/>
      <c r="V463" s="832"/>
      <c r="W463" s="832"/>
      <c r="X463" s="832"/>
    </row>
    <row r="464" spans="1:24" s="812" customFormat="1" ht="50.1" hidden="1" customHeight="1" x14ac:dyDescent="0.15">
      <c r="A464" s="2072">
        <f ca="1">+Orçamento_Não_Deson!A464</f>
        <v>6.0499999999999989</v>
      </c>
      <c r="B464" s="833" t="str">
        <f>+Orçamento_Não_Deson!B464</f>
        <v>RE/0040</v>
      </c>
      <c r="C464" s="2" t="str">
        <f>VLOOKUP($B464,[2]BOLETIM_SEL!$A:$H,2,0)</f>
        <v>COMPOSIÇÃO</v>
      </c>
      <c r="D464" s="315" t="str">
        <f>VLOOKUP($B464,[2]BOLETIM_SEL!$A:$H,4,0)</f>
        <v>Execução de pré-misturado a frio - PMF, faixa C (semidenso), com emulsão asfáltica RL-1C, aplicação manual em fechamento de vala e remendos. Incluindo fornecimento dos materiais, usinagem e compactação com rolo tandem compacto. Exclusive transporte</v>
      </c>
      <c r="E464" s="2">
        <f>+Orçamento_Não_Deson!E464</f>
        <v>0</v>
      </c>
      <c r="F464" s="2" t="str">
        <f>VLOOKUP($B464,[2]BOLETIM_SEL!$A:$H,6,0)</f>
        <v>M3</v>
      </c>
      <c r="G464" s="1407">
        <f>VLOOKUP($B464,[2]BOLETIM_SEL!$A:$H,7,0)</f>
        <v>1037.18</v>
      </c>
      <c r="H464" s="1608">
        <f>+Orçamento_Não_Deson!H464</f>
        <v>0</v>
      </c>
      <c r="I464" s="876">
        <f t="shared" si="106"/>
        <v>1329.35</v>
      </c>
      <c r="J464" s="1607">
        <f t="shared" si="105"/>
        <v>0</v>
      </c>
      <c r="K464" s="2069">
        <f t="shared" ca="1" si="103"/>
        <v>0</v>
      </c>
      <c r="L464" s="1570">
        <f t="shared" si="104"/>
        <v>0</v>
      </c>
      <c r="M464" s="1967"/>
      <c r="N464" s="832"/>
      <c r="O464" s="832"/>
      <c r="Q464" s="832"/>
      <c r="R464" s="832"/>
      <c r="S464" s="832"/>
      <c r="T464" s="832"/>
      <c r="U464" s="832"/>
      <c r="V464" s="832"/>
      <c r="W464" s="832"/>
      <c r="X464" s="832"/>
    </row>
    <row r="465" spans="1:24" s="812" customFormat="1" ht="39.950000000000003" hidden="1" customHeight="1" x14ac:dyDescent="0.15">
      <c r="A465" s="2072">
        <f ca="1">+Orçamento_Não_Deson!A465</f>
        <v>6.0499999999999989</v>
      </c>
      <c r="B465" s="833" t="str">
        <f>+Orçamento_Não_Deson!B465</f>
        <v>RE/0045</v>
      </c>
      <c r="C465" s="2" t="str">
        <f>VLOOKUP($B465,[2]BOLETIM_SEL!$A:$H,2,0)</f>
        <v>COMPOSIÇÃO</v>
      </c>
      <c r="D465" s="315" t="str">
        <f>VLOOKUP($B465,[2]BOLETIM_SEL!$A:$H,4,0)</f>
        <v>Execução de pré-misturado a frio - PMF, faixa C (semidenso), com emulsão asfáltica RL-1C, aplicação com motoniveladora (reperfilamento). Incluindo fornecimento de materiais. Exclusive transporte</v>
      </c>
      <c r="E465" s="2">
        <f>+Orçamento_Não_Deson!E465</f>
        <v>0</v>
      </c>
      <c r="F465" s="2" t="str">
        <f>VLOOKUP($B465,[2]BOLETIM_SEL!$A:$H,6,0)</f>
        <v>M3</v>
      </c>
      <c r="G465" s="1407">
        <f>VLOOKUP($B465,[2]BOLETIM_SEL!$A:$H,7,0)</f>
        <v>1063.08</v>
      </c>
      <c r="H465" s="1608">
        <f>+Orçamento_Não_Deson!H465</f>
        <v>0</v>
      </c>
      <c r="I465" s="876">
        <f t="shared" si="106"/>
        <v>1362.54</v>
      </c>
      <c r="J465" s="1607">
        <f t="shared" si="105"/>
        <v>0</v>
      </c>
      <c r="K465" s="2069">
        <f t="shared" ca="1" si="103"/>
        <v>0</v>
      </c>
      <c r="L465" s="1570">
        <f t="shared" si="104"/>
        <v>0</v>
      </c>
      <c r="M465" s="1967"/>
      <c r="N465" s="832"/>
      <c r="O465" s="832"/>
      <c r="Q465" s="832"/>
      <c r="R465" s="832"/>
      <c r="S465" s="832"/>
      <c r="T465" s="832"/>
      <c r="U465" s="832"/>
      <c r="V465" s="832"/>
      <c r="W465" s="832"/>
      <c r="X465" s="832"/>
    </row>
    <row r="466" spans="1:24" s="812" customFormat="1" ht="39.950000000000003" hidden="1" customHeight="1" x14ac:dyDescent="0.15">
      <c r="A466" s="2072">
        <f ca="1">+Orçamento_Não_Deson!A466</f>
        <v>6.0499999999999989</v>
      </c>
      <c r="B466" s="833">
        <f>+Orçamento_Não_Deson!B466</f>
        <v>100978</v>
      </c>
      <c r="C466" s="2" t="str">
        <f>VLOOKUP($B466,[2]BOLETIM_SEL!$A:$H,2,0)</f>
        <v>SINAPI</v>
      </c>
      <c r="D466" s="315" t="str">
        <f>VLOOKUP($B466,[2]BOLETIM_SEL!$A:$H,4,0)</f>
        <v>Carga, manobra e descarga de solos e materiais granulares em caminhão basculante 10 m3 - carga com escavadeira hidráulica (capacidade da caçamba: 1,20 m3 / potência: 155 HP) e descarga livre (unidade: m3). AF_07/2020</v>
      </c>
      <c r="E466" s="2">
        <f>+Orçamento_Não_Deson!E466</f>
        <v>0</v>
      </c>
      <c r="F466" s="2" t="str">
        <f>VLOOKUP($B466,[2]BOLETIM_SEL!$A:$H,6,0)</f>
        <v>M3</v>
      </c>
      <c r="G466" s="1407">
        <f>VLOOKUP($B466,[2]BOLETIM_SEL!$A:$H,7,0)</f>
        <v>6.56</v>
      </c>
      <c r="H466" s="1608">
        <f>+Orçamento_Não_Deson!H466</f>
        <v>0</v>
      </c>
      <c r="I466" s="876">
        <f t="shared" si="106"/>
        <v>8.4</v>
      </c>
      <c r="J466" s="1607">
        <f t="shared" si="105"/>
        <v>0</v>
      </c>
      <c r="K466" s="2069">
        <f t="shared" ca="1" si="103"/>
        <v>0</v>
      </c>
      <c r="L466" s="1570">
        <f t="shared" si="104"/>
        <v>0</v>
      </c>
      <c r="M466" s="1968" t="str">
        <f>+Orçamento_Não_Deson!M466</f>
        <v>ESCAVADEIRA</v>
      </c>
      <c r="N466" s="832"/>
      <c r="O466" s="832"/>
      <c r="Q466" s="832"/>
      <c r="R466" s="832"/>
      <c r="S466" s="832"/>
      <c r="T466" s="832"/>
      <c r="U466" s="832"/>
      <c r="V466" s="832"/>
      <c r="W466" s="832"/>
      <c r="X466" s="832"/>
    </row>
    <row r="467" spans="1:24" s="812" customFormat="1" ht="24.95" customHeight="1" x14ac:dyDescent="0.15">
      <c r="A467" s="2072"/>
      <c r="B467" s="833"/>
      <c r="C467" s="2"/>
      <c r="D467" s="1449" t="s">
        <v>1798</v>
      </c>
      <c r="E467" s="2"/>
      <c r="F467" s="2"/>
      <c r="G467" s="1407"/>
      <c r="H467" s="2"/>
      <c r="I467" s="2"/>
      <c r="J467" s="838" t="str">
        <f>IF(J468=0,"-","")</f>
        <v/>
      </c>
      <c r="K467" s="2069"/>
      <c r="L467" s="1570"/>
      <c r="M467" s="1967" t="str">
        <f>+Orçamento_Não_Deson!M467</f>
        <v>Definir depósito:                                   1,  2, 3 ou 4</v>
      </c>
      <c r="N467" s="832"/>
      <c r="O467" s="832"/>
      <c r="Q467" s="832"/>
      <c r="R467" s="832"/>
      <c r="S467" s="832"/>
      <c r="T467" s="832"/>
      <c r="U467" s="832"/>
      <c r="V467" s="832"/>
      <c r="W467" s="832"/>
      <c r="X467" s="832"/>
    </row>
    <row r="468" spans="1:24" s="812" customFormat="1" ht="39.950000000000003" customHeight="1" x14ac:dyDescent="0.15">
      <c r="A468" s="2072">
        <f ca="1">+Orçamento_Não_Deson!A468</f>
        <v>6.0599999999999987</v>
      </c>
      <c r="B468" s="833">
        <f>+Orçamento_Não_Deson!B468</f>
        <v>95876</v>
      </c>
      <c r="C468" s="2" t="str">
        <f>VLOOKUP($B468,[2]BOLETIM_SEL!$A:$H,2,0)</f>
        <v>SINAPI</v>
      </c>
      <c r="D468" s="315" t="str">
        <f>VLOOKUP($B468,[2]BOLETIM_SEL!$A:$H,4,0)</f>
        <v>Transporte com caminhão basculante de 14 m3, em via urbana pavimentada, DMT até 30,00 km (unidade: m3xkm). AF_07/2020</v>
      </c>
      <c r="E468" s="2">
        <f>+Orçamento_Não_Deson!E468</f>
        <v>8</v>
      </c>
      <c r="F468" s="2" t="str">
        <f>VLOOKUP($B468,[2]BOLETIM_SEL!$A:$H,6,0)</f>
        <v>M3XKM</v>
      </c>
      <c r="G468" s="1407">
        <f>VLOOKUP($B468,[2]BOLETIM_SEL!$A:$H,7,0)</f>
        <v>2.04</v>
      </c>
      <c r="H468" s="1608">
        <f>+Orçamento_Não_Deson!H468</f>
        <v>10.08</v>
      </c>
      <c r="I468" s="876">
        <f>TRUNC(G468*(1+$J$5),2)</f>
        <v>2.61</v>
      </c>
      <c r="J468" s="1607">
        <f>TRUNC(H468*I468,2)</f>
        <v>26.3</v>
      </c>
      <c r="K468" s="2069">
        <f ca="1">J468/J$930</f>
        <v>6.9609251773593468E-6</v>
      </c>
      <c r="L468" s="1570">
        <f>J468/$J$448</f>
        <v>4.1068082448469719E-2</v>
      </c>
      <c r="M468" s="1969">
        <f>+Orçamento_Não_Deson!M468</f>
        <v>1.26</v>
      </c>
      <c r="N468" s="832"/>
      <c r="O468" s="832"/>
      <c r="Q468" s="832"/>
      <c r="R468" s="832"/>
      <c r="S468" s="832"/>
      <c r="T468" s="832"/>
      <c r="U468" s="832"/>
      <c r="V468" s="832"/>
      <c r="W468" s="832"/>
      <c r="X468" s="832"/>
    </row>
    <row r="469" spans="1:24" s="812" customFormat="1" ht="24.95" hidden="1" customHeight="1" x14ac:dyDescent="0.15">
      <c r="A469" s="2074"/>
      <c r="B469" s="833"/>
      <c r="C469" s="2"/>
      <c r="D469" s="1449" t="s">
        <v>1939</v>
      </c>
      <c r="E469" s="2"/>
      <c r="F469" s="2"/>
      <c r="G469" s="1407"/>
      <c r="H469" s="2"/>
      <c r="I469" s="2"/>
      <c r="J469" s="838" t="str">
        <f>IF(J472=0,"-","")</f>
        <v>-</v>
      </c>
      <c r="K469" s="2069"/>
      <c r="L469" s="1570"/>
      <c r="M469" s="1967"/>
      <c r="N469" s="832"/>
      <c r="O469" s="832"/>
      <c r="Q469" s="832"/>
      <c r="R469" s="832"/>
      <c r="S469" s="832"/>
      <c r="T469" s="832"/>
      <c r="U469" s="832"/>
      <c r="V469" s="832"/>
      <c r="W469" s="832"/>
      <c r="X469" s="832"/>
    </row>
    <row r="470" spans="1:24" s="812" customFormat="1" ht="39.950000000000003" hidden="1" customHeight="1" x14ac:dyDescent="0.15">
      <c r="A470" s="2072">
        <f ca="1">+Orçamento_Não_Deson!A470</f>
        <v>6.0599999999999987</v>
      </c>
      <c r="B470" s="833">
        <f>+Orçamento_Não_Deson!B470</f>
        <v>95875</v>
      </c>
      <c r="C470" s="2" t="str">
        <f>VLOOKUP($B470,[2]BOLETIM_SEL!$A:$H,2,0)</f>
        <v>SINAPI</v>
      </c>
      <c r="D470" s="315" t="str">
        <f>VLOOKUP($B470,[2]BOLETIM_SEL!$A:$H,4,0)</f>
        <v>Transporte com caminhão basculante de 10 m3, em via urbana pavimentada, DMT até 30,00 km (unidade: m3xkm). AF_07/2020</v>
      </c>
      <c r="E470" s="2">
        <f>+Orçamento_Não_Deson!E470</f>
        <v>7</v>
      </c>
      <c r="F470" s="2" t="str">
        <f>VLOOKUP($B470,[2]BOLETIM_SEL!$A:$H,6,0)</f>
        <v>M3XKM</v>
      </c>
      <c r="G470" s="1407">
        <f>VLOOKUP($B470,[2]BOLETIM_SEL!$A:$H,7,0)</f>
        <v>2.33</v>
      </c>
      <c r="H470" s="1608">
        <f>+Orçamento_Não_Deson!H470</f>
        <v>0</v>
      </c>
      <c r="I470" s="876">
        <f>TRUNC(G470*(1+$J$5),2)</f>
        <v>2.98</v>
      </c>
      <c r="J470" s="1607">
        <f>TRUNC(H470*I470,2)</f>
        <v>0</v>
      </c>
      <c r="K470" s="2069">
        <f ca="1">J470/J$930</f>
        <v>0</v>
      </c>
      <c r="L470" s="1570">
        <f>J470/$J$448</f>
        <v>0</v>
      </c>
      <c r="M470" s="1969">
        <f>+Orçamento_Não_Deson!M470</f>
        <v>0</v>
      </c>
      <c r="N470" s="832"/>
      <c r="O470" s="832"/>
      <c r="Q470" s="832"/>
      <c r="R470" s="832"/>
      <c r="S470" s="832"/>
      <c r="T470" s="832"/>
      <c r="U470" s="832"/>
      <c r="V470" s="832"/>
      <c r="W470" s="832"/>
      <c r="X470" s="832"/>
    </row>
    <row r="471" spans="1:24" s="812" customFormat="1" ht="24.95" hidden="1" customHeight="1" x14ac:dyDescent="0.15">
      <c r="A471" s="2074"/>
      <c r="B471" s="833"/>
      <c r="C471" s="2"/>
      <c r="D471" s="1449" t="s">
        <v>1894</v>
      </c>
      <c r="E471" s="2"/>
      <c r="F471" s="835"/>
      <c r="G471" s="1407"/>
      <c r="H471" s="2"/>
      <c r="I471" s="835"/>
      <c r="J471" s="838" t="str">
        <f>IF(J470=0,"-","")</f>
        <v>-</v>
      </c>
      <c r="K471" s="2069"/>
      <c r="L471" s="1570"/>
      <c r="M471" s="1967"/>
      <c r="N471" s="832"/>
      <c r="O471" s="832"/>
      <c r="Q471" s="832"/>
      <c r="R471" s="832"/>
      <c r="S471" s="832"/>
      <c r="T471" s="832"/>
      <c r="U471" s="832"/>
      <c r="V471" s="832"/>
      <c r="W471" s="832"/>
      <c r="X471" s="832"/>
    </row>
    <row r="472" spans="1:24" s="812" customFormat="1" ht="30" hidden="1" customHeight="1" x14ac:dyDescent="0.15">
      <c r="A472" s="2072">
        <f ca="1">+Orçamento_Não_Deson!A472</f>
        <v>6.0599999999999987</v>
      </c>
      <c r="B472" s="833">
        <f>+Orçamento_Não_Deson!B472</f>
        <v>100938</v>
      </c>
      <c r="C472" s="2" t="str">
        <f>VLOOKUP($B472,[2]BOLETIM_SEL!$A:$H,2,0)</f>
        <v>SINAPI</v>
      </c>
      <c r="D472" s="315" t="str">
        <f>VLOOKUP($B472,[2]BOLETIM_SEL!$A:$H,4,0)</f>
        <v>Transporte com caminhão basculante de 10 m3, em via interna (dentro do canteiro - unidade: m3xkm). AF_07/2020</v>
      </c>
      <c r="E472" s="2">
        <f>+Orçamento_Não_Deson!E472</f>
        <v>1</v>
      </c>
      <c r="F472" s="2" t="str">
        <f>VLOOKUP($B472,[2]BOLETIM_SEL!$A:$H,6,0)</f>
        <v>M3XKM</v>
      </c>
      <c r="G472" s="1407">
        <f>VLOOKUP($B472,[2]BOLETIM_SEL!$A:$H,7,0)</f>
        <v>7.02</v>
      </c>
      <c r="H472" s="1608">
        <f>+Orçamento_Não_Deson!H472</f>
        <v>0</v>
      </c>
      <c r="I472" s="876">
        <f>TRUNC(G472*(1+$J$5),2)</f>
        <v>8.99</v>
      </c>
      <c r="J472" s="1607">
        <f>TRUNC(H472*I472,2)</f>
        <v>0</v>
      </c>
      <c r="K472" s="2069">
        <f ca="1">J472/J$930</f>
        <v>0</v>
      </c>
      <c r="L472" s="1570">
        <f>J472/$J$448</f>
        <v>0</v>
      </c>
      <c r="M472" s="1967"/>
      <c r="N472" s="832"/>
      <c r="O472" s="832"/>
      <c r="Q472" s="832"/>
      <c r="R472" s="832"/>
      <c r="S472" s="832"/>
      <c r="T472" s="832"/>
      <c r="U472" s="832"/>
      <c r="V472" s="832"/>
      <c r="W472" s="832"/>
      <c r="X472" s="832"/>
    </row>
    <row r="473" spans="1:24" s="812" customFormat="1" ht="24.95" hidden="1" customHeight="1" x14ac:dyDescent="0.15">
      <c r="A473" s="2074"/>
      <c r="B473" s="833"/>
      <c r="C473" s="2"/>
      <c r="D473" s="1449" t="s">
        <v>1890</v>
      </c>
      <c r="E473" s="2"/>
      <c r="F473" s="2"/>
      <c r="G473" s="1407"/>
      <c r="H473" s="2"/>
      <c r="I473" s="2"/>
      <c r="J473" s="838" t="str">
        <f>IF(J474=0,"-","")</f>
        <v>-</v>
      </c>
      <c r="K473" s="2069"/>
      <c r="L473" s="1570"/>
      <c r="M473" s="1967"/>
      <c r="N473" s="832"/>
      <c r="O473" s="832"/>
      <c r="Q473" s="832"/>
      <c r="R473" s="832"/>
      <c r="S473" s="832"/>
      <c r="T473" s="832"/>
      <c r="U473" s="832"/>
      <c r="V473" s="832"/>
      <c r="W473" s="832"/>
      <c r="X473" s="832"/>
    </row>
    <row r="474" spans="1:24" s="812" customFormat="1" ht="39.950000000000003" hidden="1" customHeight="1" x14ac:dyDescent="0.15">
      <c r="A474" s="2072">
        <f ca="1">+Orçamento_Não_Deson!A474</f>
        <v>6.0599999999999987</v>
      </c>
      <c r="B474" s="833">
        <f>+Orçamento_Não_Deson!B474</f>
        <v>95875</v>
      </c>
      <c r="C474" s="2" t="str">
        <f>VLOOKUP($B474,[2]BOLETIM_SEL!$A:$H,2,0)</f>
        <v>SINAPI</v>
      </c>
      <c r="D474" s="315" t="str">
        <f>VLOOKUP($B474,[2]BOLETIM_SEL!$A:$H,4,0)</f>
        <v>Transporte com caminhão basculante de 10 m3, em via urbana pavimentada, DMT até 30,00 km (unidade: m3xkm). AF_07/2020</v>
      </c>
      <c r="E474" s="2">
        <f>+Orçamento_Não_Deson!E474</f>
        <v>0</v>
      </c>
      <c r="F474" s="2" t="str">
        <f>VLOOKUP($B474,[2]BOLETIM_SEL!$A:$H,6,0)</f>
        <v>M3XKM</v>
      </c>
      <c r="G474" s="1407">
        <f>VLOOKUP($B474,[2]BOLETIM_SEL!$A:$H,7,0)</f>
        <v>2.33</v>
      </c>
      <c r="H474" s="1608">
        <f>+Orçamento_Não_Deson!H474</f>
        <v>0</v>
      </c>
      <c r="I474" s="876">
        <f>TRUNC(G474*(1+$J$5),2)</f>
        <v>2.98</v>
      </c>
      <c r="J474" s="1607">
        <f>TRUNC(H474*I474,2)</f>
        <v>0</v>
      </c>
      <c r="K474" s="2069">
        <f ca="1">J474/J$930</f>
        <v>0</v>
      </c>
      <c r="L474" s="1570">
        <f>J474/$J$448</f>
        <v>0</v>
      </c>
      <c r="M474" s="1969">
        <f>+Orçamento_Não_Deson!M474</f>
        <v>0</v>
      </c>
      <c r="N474" s="832"/>
      <c r="O474" s="832"/>
      <c r="Q474" s="832"/>
      <c r="R474" s="832"/>
      <c r="S474" s="832"/>
      <c r="T474" s="832"/>
      <c r="U474" s="832"/>
      <c r="V474" s="832"/>
      <c r="W474" s="832"/>
      <c r="X474" s="832"/>
    </row>
    <row r="475" spans="1:24" s="812" customFormat="1" ht="24.95" hidden="1" customHeight="1" x14ac:dyDescent="0.15">
      <c r="A475" s="2074"/>
      <c r="B475" s="833"/>
      <c r="C475" s="2"/>
      <c r="D475" s="1449" t="s">
        <v>1895</v>
      </c>
      <c r="E475" s="2"/>
      <c r="F475" s="2"/>
      <c r="G475" s="1407"/>
      <c r="H475" s="2"/>
      <c r="I475" s="2"/>
      <c r="J475" s="838" t="str">
        <f>IF(J476=0,"-","")</f>
        <v>-</v>
      </c>
      <c r="K475" s="2069"/>
      <c r="L475" s="1570"/>
      <c r="M475" s="1967"/>
      <c r="N475" s="832"/>
      <c r="O475" s="832"/>
      <c r="Q475" s="832"/>
      <c r="R475" s="832"/>
      <c r="S475" s="832"/>
      <c r="T475" s="832"/>
      <c r="U475" s="832"/>
      <c r="V475" s="832"/>
      <c r="W475" s="832"/>
      <c r="X475" s="832"/>
    </row>
    <row r="476" spans="1:24" s="812" customFormat="1" ht="39.950000000000003" hidden="1" customHeight="1" x14ac:dyDescent="0.15">
      <c r="A476" s="2072">
        <f ca="1">+Orçamento_Não_Deson!A476</f>
        <v>6.0599999999999987</v>
      </c>
      <c r="B476" s="833">
        <f>+Orçamento_Não_Deson!B476</f>
        <v>95875</v>
      </c>
      <c r="C476" s="2" t="str">
        <f>VLOOKUP($B476,[2]BOLETIM_SEL!$A:$H,2,0)</f>
        <v>SINAPI</v>
      </c>
      <c r="D476" s="315" t="str">
        <f>VLOOKUP($B476,[2]BOLETIM_SEL!$A:$H,4,0)</f>
        <v>Transporte com caminhão basculante de 10 m3, em via urbana pavimentada, DMT até 30,00 km (unidade: m3xkm). AF_07/2020</v>
      </c>
      <c r="E476" s="2">
        <f>+Orçamento_Não_Deson!E476</f>
        <v>24</v>
      </c>
      <c r="F476" s="2" t="str">
        <f>VLOOKUP($B476,[2]BOLETIM_SEL!$A:$H,6,0)</f>
        <v>M3XKM</v>
      </c>
      <c r="G476" s="1407">
        <f>VLOOKUP($B476,[2]BOLETIM_SEL!$A:$H,7,0)</f>
        <v>2.33</v>
      </c>
      <c r="H476" s="1608">
        <f>+Orçamento_Não_Deson!H476</f>
        <v>0</v>
      </c>
      <c r="I476" s="876">
        <f>TRUNC(G476*(1+$J$5),2)</f>
        <v>2.98</v>
      </c>
      <c r="J476" s="1607">
        <f>TRUNC(H476*I476,2)</f>
        <v>0</v>
      </c>
      <c r="K476" s="2069">
        <f ca="1">J476/J$930</f>
        <v>0</v>
      </c>
      <c r="L476" s="1570">
        <f>J476/$J$448</f>
        <v>0</v>
      </c>
      <c r="M476" s="1969">
        <f>+Orçamento_Não_Deson!M476</f>
        <v>0</v>
      </c>
      <c r="N476" s="832"/>
      <c r="O476" s="832"/>
      <c r="Q476" s="832"/>
      <c r="R476" s="832"/>
      <c r="S476" s="832"/>
      <c r="T476" s="832"/>
      <c r="U476" s="832"/>
      <c r="V476" s="832"/>
      <c r="W476" s="832"/>
      <c r="X476" s="832"/>
    </row>
    <row r="477" spans="1:24" s="812" customFormat="1" ht="24.95" customHeight="1" x14ac:dyDescent="0.15">
      <c r="A477" s="2074"/>
      <c r="B477" s="833"/>
      <c r="C477" s="2"/>
      <c r="D477" s="1449" t="s">
        <v>1891</v>
      </c>
      <c r="E477" s="2"/>
      <c r="F477" s="2"/>
      <c r="G477" s="1407"/>
      <c r="H477" s="2"/>
      <c r="I477" s="2"/>
      <c r="J477" s="838" t="str">
        <f>IF(J478=0,"-","")</f>
        <v/>
      </c>
      <c r="K477" s="2069"/>
      <c r="L477" s="1570"/>
      <c r="M477" s="1967"/>
      <c r="N477" s="832"/>
      <c r="O477" s="832"/>
      <c r="Q477" s="832"/>
      <c r="R477" s="832"/>
      <c r="S477" s="832"/>
      <c r="T477" s="832"/>
      <c r="U477" s="832"/>
      <c r="V477" s="832"/>
      <c r="W477" s="832"/>
      <c r="X477" s="832"/>
    </row>
    <row r="478" spans="1:24" s="812" customFormat="1" ht="39.950000000000003" customHeight="1" x14ac:dyDescent="0.15">
      <c r="A478" s="2072">
        <f ca="1">+Orçamento_Não_Deson!A478</f>
        <v>6.0699999999999985</v>
      </c>
      <c r="B478" s="833">
        <f>+Orçamento_Não_Deson!B478</f>
        <v>95876</v>
      </c>
      <c r="C478" s="2" t="str">
        <f>VLOOKUP($B478,[2]BOLETIM_SEL!$A:$H,2,0)</f>
        <v>SINAPI</v>
      </c>
      <c r="D478" s="315" t="str">
        <f>VLOOKUP($B478,[2]BOLETIM_SEL!$A:$H,4,0)</f>
        <v>Transporte com caminhão basculante de 14 m3, em via urbana pavimentada, DMT até 30,00 km (unidade: m3xkm). AF_07/2020</v>
      </c>
      <c r="E478" s="2">
        <f>+Orçamento_Não_Deson!E478</f>
        <v>24</v>
      </c>
      <c r="F478" s="2" t="str">
        <f>VLOOKUP($B478,[2]BOLETIM_SEL!$A:$H,6,0)</f>
        <v>M3XKM</v>
      </c>
      <c r="G478" s="1407">
        <f>VLOOKUP($B478,[2]BOLETIM_SEL!$A:$H,7,0)</f>
        <v>2.04</v>
      </c>
      <c r="H478" s="1608">
        <f>+Orçamento_Não_Deson!H478</f>
        <v>27.84</v>
      </c>
      <c r="I478" s="876">
        <f>TRUNC(G478*(1+$J$5),2)</f>
        <v>2.61</v>
      </c>
      <c r="J478" s="1607">
        <f>TRUNC(H478*I478,2)</f>
        <v>72.66</v>
      </c>
      <c r="K478" s="2069">
        <f ca="1">J478/J$930</f>
        <v>1.923121001471217E-5</v>
      </c>
      <c r="L478" s="1570">
        <f>J478/$J$448</f>
        <v>0.11346033728919427</v>
      </c>
      <c r="M478" s="1969">
        <f>+Orçamento_Não_Deson!M478</f>
        <v>1.1599999999999999</v>
      </c>
      <c r="N478" s="832"/>
      <c r="O478" s="832"/>
      <c r="Q478" s="832"/>
      <c r="R478" s="832"/>
      <c r="S478" s="832"/>
      <c r="T478" s="832"/>
      <c r="U478" s="832"/>
      <c r="V478" s="832"/>
      <c r="W478" s="832"/>
      <c r="X478" s="832"/>
    </row>
    <row r="479" spans="1:24" s="812" customFormat="1" ht="24.95" hidden="1" customHeight="1" x14ac:dyDescent="0.15">
      <c r="A479" s="2072"/>
      <c r="B479" s="833"/>
      <c r="C479" s="2"/>
      <c r="D479" s="1449" t="s">
        <v>1892</v>
      </c>
      <c r="E479" s="2"/>
      <c r="F479" s="2"/>
      <c r="G479" s="1407"/>
      <c r="H479" s="2"/>
      <c r="I479" s="2"/>
      <c r="J479" s="838" t="str">
        <f>IF(J480=0,"-","")</f>
        <v>-</v>
      </c>
      <c r="K479" s="2069"/>
      <c r="L479" s="1570"/>
      <c r="M479" s="1967"/>
      <c r="N479" s="832"/>
      <c r="O479" s="832"/>
      <c r="Q479" s="832"/>
      <c r="R479" s="832"/>
      <c r="S479" s="832"/>
      <c r="T479" s="832"/>
      <c r="U479" s="832"/>
      <c r="V479" s="832"/>
      <c r="W479" s="832"/>
      <c r="X479" s="832"/>
    </row>
    <row r="480" spans="1:24" s="812" customFormat="1" ht="39.950000000000003" hidden="1" customHeight="1" x14ac:dyDescent="0.15">
      <c r="A480" s="2072">
        <f ca="1">+Orçamento_Não_Deson!A480</f>
        <v>6.0699999999999985</v>
      </c>
      <c r="B480" s="833">
        <f>+Orçamento_Não_Deson!B480</f>
        <v>95875</v>
      </c>
      <c r="C480" s="2" t="str">
        <f>VLOOKUP($B480,[2]BOLETIM_SEL!$A:$H,2,0)</f>
        <v>SINAPI</v>
      </c>
      <c r="D480" s="315" t="str">
        <f>VLOOKUP($B480,[2]BOLETIM_SEL!$A:$H,4,0)</f>
        <v>Transporte com caminhão basculante de 10 m3, em via urbana pavimentada, DMT até 30,00 km (unidade: m3xkm). AF_07/2020</v>
      </c>
      <c r="E480" s="2">
        <f>+Orçamento_Não_Deson!E480</f>
        <v>24</v>
      </c>
      <c r="F480" s="2" t="str">
        <f>VLOOKUP($B480,[2]BOLETIM_SEL!$A:$H,6,0)</f>
        <v>M3XKM</v>
      </c>
      <c r="G480" s="1407">
        <f>VLOOKUP($B480,[2]BOLETIM_SEL!$A:$H,7,0)</f>
        <v>2.33</v>
      </c>
      <c r="H480" s="1608">
        <f>+Orçamento_Não_Deson!H480</f>
        <v>0</v>
      </c>
      <c r="I480" s="876">
        <f>TRUNC(G480*(1+$J$5),2)</f>
        <v>2.98</v>
      </c>
      <c r="J480" s="1607">
        <f>TRUNC(H480*I480,2)</f>
        <v>0</v>
      </c>
      <c r="K480" s="2069">
        <f ca="1">J480/J$930</f>
        <v>0</v>
      </c>
      <c r="L480" s="1570">
        <f>J480/$J$448</f>
        <v>0</v>
      </c>
      <c r="M480" s="1969">
        <f>+Orçamento_Não_Deson!M480</f>
        <v>0</v>
      </c>
      <c r="N480" s="832"/>
      <c r="O480" s="832"/>
      <c r="Q480" s="832"/>
      <c r="R480" s="832"/>
      <c r="S480" s="832"/>
      <c r="T480" s="832"/>
      <c r="U480" s="832"/>
      <c r="V480" s="832"/>
      <c r="W480" s="832"/>
      <c r="X480" s="832"/>
    </row>
    <row r="481" spans="1:24" s="812" customFormat="1" ht="24.95" hidden="1" customHeight="1" x14ac:dyDescent="0.15">
      <c r="A481" s="2072"/>
      <c r="B481" s="833"/>
      <c r="C481" s="2"/>
      <c r="D481" s="1449" t="s">
        <v>1898</v>
      </c>
      <c r="E481" s="2"/>
      <c r="F481" s="2"/>
      <c r="G481" s="1407"/>
      <c r="H481" s="2"/>
      <c r="I481" s="2"/>
      <c r="J481" s="838" t="str">
        <f>IF(J482=0,"-","")</f>
        <v>-</v>
      </c>
      <c r="K481" s="2069"/>
      <c r="L481" s="1570"/>
      <c r="M481" s="1967"/>
      <c r="N481" s="832"/>
      <c r="O481" s="832"/>
      <c r="Q481" s="832"/>
      <c r="R481" s="832"/>
      <c r="S481" s="832"/>
      <c r="T481" s="832"/>
      <c r="U481" s="832"/>
      <c r="V481" s="832"/>
      <c r="W481" s="832"/>
      <c r="X481" s="832"/>
    </row>
    <row r="482" spans="1:24" s="812" customFormat="1" ht="39.950000000000003" hidden="1" customHeight="1" x14ac:dyDescent="0.15">
      <c r="A482" s="2072">
        <f ca="1">+Orçamento_Não_Deson!A482</f>
        <v>6.0699999999999985</v>
      </c>
      <c r="B482" s="833">
        <f>+Orçamento_Não_Deson!B482</f>
        <v>95875</v>
      </c>
      <c r="C482" s="2" t="str">
        <f>VLOOKUP($B482,[2]BOLETIM_SEL!$A:$H,2,0)</f>
        <v>SINAPI</v>
      </c>
      <c r="D482" s="315" t="str">
        <f>VLOOKUP($B482,[2]BOLETIM_SEL!$A:$H,4,0)</f>
        <v>Transporte com caminhão basculante de 10 m3, em via urbana pavimentada, DMT até 30,00 km (unidade: m3xkm). AF_07/2020</v>
      </c>
      <c r="E482" s="2">
        <f>+Orçamento_Não_Deson!E482</f>
        <v>24</v>
      </c>
      <c r="F482" s="2" t="str">
        <f>VLOOKUP($B482,[2]BOLETIM_SEL!$A:$H,6,0)</f>
        <v>M3XKM</v>
      </c>
      <c r="G482" s="1407">
        <f>VLOOKUP($B482,[2]BOLETIM_SEL!$A:$H,7,0)</f>
        <v>2.33</v>
      </c>
      <c r="H482" s="1608">
        <f>+Orçamento_Não_Deson!H482</f>
        <v>0</v>
      </c>
      <c r="I482" s="876">
        <f>TRUNC(G482*(1+$J$5),2)</f>
        <v>2.98</v>
      </c>
      <c r="J482" s="1607">
        <f>TRUNC(H482*I482,2)</f>
        <v>0</v>
      </c>
      <c r="K482" s="2069">
        <f ca="1">J482/J$930</f>
        <v>0</v>
      </c>
      <c r="L482" s="1570">
        <f>J482/$J$448</f>
        <v>0</v>
      </c>
      <c r="M482" s="1969">
        <f>+Orçamento_Não_Deson!M482</f>
        <v>0</v>
      </c>
      <c r="N482" s="832"/>
      <c r="O482" s="832"/>
      <c r="Q482" s="832"/>
      <c r="R482" s="832"/>
      <c r="S482" s="832"/>
      <c r="T482" s="832"/>
      <c r="U482" s="832"/>
      <c r="V482" s="832"/>
      <c r="W482" s="832"/>
      <c r="X482" s="832"/>
    </row>
    <row r="483" spans="1:24" s="812" customFormat="1" ht="24.95" hidden="1" customHeight="1" x14ac:dyDescent="0.15">
      <c r="A483" s="2072"/>
      <c r="B483" s="833"/>
      <c r="C483" s="2"/>
      <c r="D483" s="1449" t="s">
        <v>1897</v>
      </c>
      <c r="E483" s="2"/>
      <c r="F483" s="2"/>
      <c r="G483" s="1407"/>
      <c r="H483" s="2"/>
      <c r="I483" s="2"/>
      <c r="J483" s="838" t="str">
        <f>IF(J484=0,"-","")</f>
        <v>-</v>
      </c>
      <c r="K483" s="2069"/>
      <c r="L483" s="1570"/>
      <c r="M483" s="1967"/>
      <c r="N483" s="832"/>
      <c r="O483" s="832"/>
      <c r="Q483" s="832"/>
      <c r="R483" s="832"/>
      <c r="S483" s="832"/>
      <c r="T483" s="832"/>
      <c r="U483" s="832"/>
      <c r="V483" s="832"/>
      <c r="W483" s="832"/>
      <c r="X483" s="832"/>
    </row>
    <row r="484" spans="1:24" s="812" customFormat="1" ht="39.950000000000003" hidden="1" customHeight="1" x14ac:dyDescent="0.15">
      <c r="A484" s="2072">
        <f ca="1">+Orçamento_Não_Deson!A484</f>
        <v>6.0699999999999985</v>
      </c>
      <c r="B484" s="833">
        <f>+Orçamento_Não_Deson!B484</f>
        <v>95875</v>
      </c>
      <c r="C484" s="2" t="str">
        <f>VLOOKUP($B484,[2]BOLETIM_SEL!$A:$H,2,0)</f>
        <v>SINAPI</v>
      </c>
      <c r="D484" s="315" t="str">
        <f>VLOOKUP($B484,[2]BOLETIM_SEL!$A:$H,4,0)</f>
        <v>Transporte com caminhão basculante de 10 m3, em via urbana pavimentada, DMT até 30,00 km (unidade: m3xkm). AF_07/2020</v>
      </c>
      <c r="E484" s="2">
        <f>+Orçamento_Não_Deson!E484</f>
        <v>0</v>
      </c>
      <c r="F484" s="2" t="str">
        <f>VLOOKUP($B484,[2]BOLETIM_SEL!$A:$H,6,0)</f>
        <v>M3XKM</v>
      </c>
      <c r="G484" s="1407">
        <f>VLOOKUP($B484,[2]BOLETIM_SEL!$A:$H,7,0)</f>
        <v>2.33</v>
      </c>
      <c r="H484" s="1608">
        <f>+Orçamento_Não_Deson!H484</f>
        <v>0</v>
      </c>
      <c r="I484" s="876">
        <f>TRUNC(G484*(1+$J$5),2)</f>
        <v>2.98</v>
      </c>
      <c r="J484" s="1607">
        <f>TRUNC(H484*I484,2)</f>
        <v>0</v>
      </c>
      <c r="K484" s="2069">
        <f ca="1">J484/J$930</f>
        <v>0</v>
      </c>
      <c r="L484" s="1570">
        <f>J484/$J$448</f>
        <v>0</v>
      </c>
      <c r="M484" s="1969">
        <f>+Orçamento_Não_Deson!M484</f>
        <v>0</v>
      </c>
      <c r="N484" s="832"/>
      <c r="O484" s="832"/>
      <c r="Q484" s="832"/>
      <c r="R484" s="832"/>
      <c r="S484" s="832"/>
      <c r="T484" s="832"/>
      <c r="U484" s="832"/>
      <c r="V484" s="832"/>
      <c r="W484" s="832"/>
      <c r="X484" s="832"/>
    </row>
    <row r="485" spans="1:24" s="812" customFormat="1" ht="24.95" hidden="1" customHeight="1" x14ac:dyDescent="0.15">
      <c r="A485" s="2072"/>
      <c r="B485" s="833"/>
      <c r="C485" s="2"/>
      <c r="D485" s="1449" t="s">
        <v>1896</v>
      </c>
      <c r="E485" s="2"/>
      <c r="F485" s="2"/>
      <c r="G485" s="1407"/>
      <c r="H485" s="2"/>
      <c r="I485" s="2"/>
      <c r="J485" s="838" t="str">
        <f>IF(J486=0,"-","")</f>
        <v>-</v>
      </c>
      <c r="K485" s="2069"/>
      <c r="L485" s="1570"/>
      <c r="M485" s="1967"/>
      <c r="N485" s="832"/>
      <c r="O485" s="832"/>
      <c r="Q485" s="832"/>
      <c r="R485" s="832"/>
      <c r="S485" s="832"/>
      <c r="T485" s="832"/>
      <c r="U485" s="832"/>
      <c r="V485" s="832"/>
      <c r="W485" s="832"/>
      <c r="X485" s="832"/>
    </row>
    <row r="486" spans="1:24" s="812" customFormat="1" ht="39.950000000000003" hidden="1" customHeight="1" x14ac:dyDescent="0.15">
      <c r="A486" s="2072">
        <f ca="1">+Orçamento_Não_Deson!A486</f>
        <v>6.0699999999999985</v>
      </c>
      <c r="B486" s="833">
        <f>+Orçamento_Não_Deson!B486</f>
        <v>95875</v>
      </c>
      <c r="C486" s="2" t="str">
        <f>VLOOKUP($B486,[2]BOLETIM_SEL!$A:$H,2,0)</f>
        <v>SINAPI</v>
      </c>
      <c r="D486" s="315" t="str">
        <f>VLOOKUP($B486,[2]BOLETIM_SEL!$A:$H,4,0)</f>
        <v>Transporte com caminhão basculante de 10 m3, em via urbana pavimentada, DMT até 30,00 km (unidade: m3xkm). AF_07/2020</v>
      </c>
      <c r="E486" s="2">
        <f>+Orçamento_Não_Deson!E486</f>
        <v>0</v>
      </c>
      <c r="F486" s="2" t="str">
        <f>VLOOKUP($B486,[2]BOLETIM_SEL!$A:$H,6,0)</f>
        <v>M3XKM</v>
      </c>
      <c r="G486" s="1407">
        <f>VLOOKUP($B486,[2]BOLETIM_SEL!$A:$H,7,0)</f>
        <v>2.33</v>
      </c>
      <c r="H486" s="1608">
        <f>+Orçamento_Não_Deson!H486</f>
        <v>0</v>
      </c>
      <c r="I486" s="876">
        <f>TRUNC(G486*(1+$J$5),2)</f>
        <v>2.98</v>
      </c>
      <c r="J486" s="1607">
        <f>TRUNC(H486*I486,2)</f>
        <v>0</v>
      </c>
      <c r="K486" s="2069">
        <f ca="1">J486/J$930</f>
        <v>0</v>
      </c>
      <c r="L486" s="1570">
        <f>J486/$J$448</f>
        <v>0</v>
      </c>
      <c r="M486" s="1969">
        <f>+Orçamento_Não_Deson!M486</f>
        <v>0</v>
      </c>
      <c r="N486" s="832"/>
      <c r="O486" s="832"/>
      <c r="Q486" s="832"/>
      <c r="R486" s="832"/>
      <c r="S486" s="832"/>
      <c r="T486" s="832"/>
      <c r="U486" s="832"/>
      <c r="V486" s="832"/>
      <c r="W486" s="832"/>
      <c r="X486" s="832"/>
    </row>
    <row r="487" spans="1:24" s="812" customFormat="1" ht="24.95" hidden="1" customHeight="1" x14ac:dyDescent="0.15">
      <c r="A487" s="2072"/>
      <c r="B487" s="833"/>
      <c r="C487" s="2"/>
      <c r="D487" s="1449" t="s">
        <v>1836</v>
      </c>
      <c r="E487" s="2"/>
      <c r="F487" s="2"/>
      <c r="G487" s="1407"/>
      <c r="H487" s="2"/>
      <c r="I487" s="2"/>
      <c r="J487" s="838" t="str">
        <f>IF(J488=0,"-","")</f>
        <v>-</v>
      </c>
      <c r="K487" s="2069"/>
      <c r="L487" s="1570"/>
      <c r="M487" s="1967"/>
      <c r="N487" s="832"/>
      <c r="O487" s="832"/>
      <c r="Q487" s="832"/>
      <c r="R487" s="832"/>
      <c r="S487" s="832"/>
      <c r="T487" s="832"/>
      <c r="U487" s="832"/>
      <c r="V487" s="832"/>
      <c r="W487" s="832"/>
      <c r="X487" s="832"/>
    </row>
    <row r="488" spans="1:24" s="812" customFormat="1" ht="39.950000000000003" hidden="1" customHeight="1" x14ac:dyDescent="0.15">
      <c r="A488" s="2072">
        <f ca="1">+Orçamento_Não_Deson!A488</f>
        <v>6.0699999999999985</v>
      </c>
      <c r="B488" s="833">
        <f>+Orçamento_Não_Deson!B488</f>
        <v>95875</v>
      </c>
      <c r="C488" s="2" t="str">
        <f>VLOOKUP($B488,[2]BOLETIM_SEL!$A:$H,2,0)</f>
        <v>SINAPI</v>
      </c>
      <c r="D488" s="315" t="str">
        <f>VLOOKUP($B488,[2]BOLETIM_SEL!$A:$H,4,0)</f>
        <v>Transporte com caminhão basculante de 10 m3, em via urbana pavimentada, DMT até 30,00 km (unidade: m3xkm). AF_07/2020</v>
      </c>
      <c r="E488" s="2">
        <f>+Orçamento_Não_Deson!E488</f>
        <v>0</v>
      </c>
      <c r="F488" s="2" t="str">
        <f>VLOOKUP($B488,[2]BOLETIM_SEL!$A:$H,6,0)</f>
        <v>M3XKM</v>
      </c>
      <c r="G488" s="1407">
        <f>VLOOKUP($B488,[2]BOLETIM_SEL!$A:$H,7,0)</f>
        <v>2.33</v>
      </c>
      <c r="H488" s="1608">
        <f>+Orçamento_Não_Deson!H488</f>
        <v>0</v>
      </c>
      <c r="I488" s="876">
        <f>TRUNC(G488*(1+$J$5),2)</f>
        <v>2.98</v>
      </c>
      <c r="J488" s="1607">
        <f>TRUNC(H488*I488,2)</f>
        <v>0</v>
      </c>
      <c r="K488" s="2069">
        <f ca="1">J488/J$930</f>
        <v>0</v>
      </c>
      <c r="L488" s="1570">
        <f>J488/$J$448</f>
        <v>0</v>
      </c>
      <c r="M488" s="1969">
        <f>+Orçamento_Não_Deson!M488</f>
        <v>0</v>
      </c>
      <c r="N488" s="832"/>
      <c r="O488" s="832"/>
      <c r="Q488" s="832"/>
      <c r="R488" s="832"/>
      <c r="S488" s="832"/>
      <c r="T488" s="832"/>
      <c r="U488" s="832"/>
      <c r="V488" s="832"/>
      <c r="W488" s="832"/>
      <c r="X488" s="832"/>
    </row>
    <row r="489" spans="1:24" s="812" customFormat="1" ht="24.95" hidden="1" customHeight="1" x14ac:dyDescent="0.15">
      <c r="A489" s="2072"/>
      <c r="B489" s="833"/>
      <c r="C489" s="2"/>
      <c r="D489" s="1449" t="s">
        <v>1759</v>
      </c>
      <c r="E489" s="2"/>
      <c r="F489" s="2"/>
      <c r="G489" s="1407"/>
      <c r="H489" s="2"/>
      <c r="I489" s="2"/>
      <c r="J489" s="838" t="str">
        <f>IF(J490=0,"-","")</f>
        <v>-</v>
      </c>
      <c r="K489" s="2069"/>
      <c r="L489" s="1570"/>
      <c r="M489" s="1967"/>
      <c r="N489" s="832"/>
      <c r="O489" s="832"/>
      <c r="Q489" s="832"/>
      <c r="R489" s="832"/>
      <c r="S489" s="832"/>
      <c r="T489" s="832"/>
      <c r="U489" s="832"/>
      <c r="V489" s="832"/>
      <c r="W489" s="832"/>
      <c r="X489" s="832"/>
    </row>
    <row r="490" spans="1:24" s="812" customFormat="1" ht="39.950000000000003" hidden="1" customHeight="1" x14ac:dyDescent="0.15">
      <c r="A490" s="2072">
        <f ca="1">+Orçamento_Não_Deson!A490</f>
        <v>6.0699999999999985</v>
      </c>
      <c r="B490" s="833">
        <f>+Orçamento_Não_Deson!B490</f>
        <v>95875</v>
      </c>
      <c r="C490" s="2" t="str">
        <f>VLOOKUP($B490,[2]BOLETIM_SEL!$A:$H,2,0)</f>
        <v>SINAPI</v>
      </c>
      <c r="D490" s="315" t="str">
        <f>VLOOKUP($B490,[2]BOLETIM_SEL!$A:$H,4,0)</f>
        <v>Transporte com caminhão basculante de 10 m3, em via urbana pavimentada, DMT até 30,00 km (unidade: m3xkm). AF_07/2020</v>
      </c>
      <c r="E490" s="2">
        <f>+Orçamento_Não_Deson!E490</f>
        <v>0</v>
      </c>
      <c r="F490" s="2" t="str">
        <f>VLOOKUP($B490,[2]BOLETIM_SEL!$A:$H,6,0)</f>
        <v>M3XKM</v>
      </c>
      <c r="G490" s="1407">
        <f>VLOOKUP($B490,[2]BOLETIM_SEL!$A:$H,7,0)</f>
        <v>2.33</v>
      </c>
      <c r="H490" s="1608">
        <f>+Orçamento_Não_Deson!H490</f>
        <v>0</v>
      </c>
      <c r="I490" s="876">
        <f>TRUNC(G490*(1+$J$5),2)</f>
        <v>2.98</v>
      </c>
      <c r="J490" s="1607">
        <f>TRUNC(H490*I490,2)</f>
        <v>0</v>
      </c>
      <c r="K490" s="2069">
        <f ca="1">J490/J$930</f>
        <v>0</v>
      </c>
      <c r="L490" s="1570">
        <f>J490/$J$448</f>
        <v>0</v>
      </c>
      <c r="M490" s="1969">
        <f>+Orçamento_Não_Deson!M490</f>
        <v>0</v>
      </c>
      <c r="N490" s="832"/>
      <c r="O490" s="832"/>
      <c r="Q490" s="832"/>
      <c r="R490" s="832"/>
      <c r="S490" s="832"/>
      <c r="T490" s="832"/>
      <c r="U490" s="832"/>
      <c r="V490" s="832"/>
      <c r="W490" s="832"/>
      <c r="X490" s="832"/>
    </row>
    <row r="491" spans="1:24" s="812" customFormat="1" ht="24.95" hidden="1" customHeight="1" x14ac:dyDescent="0.15">
      <c r="A491" s="2072"/>
      <c r="B491" s="833"/>
      <c r="C491" s="2"/>
      <c r="D491" s="1449" t="s">
        <v>1760</v>
      </c>
      <c r="E491" s="2"/>
      <c r="F491" s="2"/>
      <c r="G491" s="1407"/>
      <c r="H491" s="2"/>
      <c r="I491" s="2"/>
      <c r="J491" s="838" t="str">
        <f>IF(J492=0,"-","")</f>
        <v>-</v>
      </c>
      <c r="K491" s="2069"/>
      <c r="L491" s="1570"/>
      <c r="M491" s="1967"/>
      <c r="N491" s="832"/>
      <c r="O491" s="832"/>
      <c r="Q491" s="832"/>
      <c r="R491" s="832"/>
      <c r="S491" s="832"/>
      <c r="T491" s="832"/>
      <c r="U491" s="832"/>
      <c r="V491" s="832"/>
      <c r="W491" s="832"/>
      <c r="X491" s="832"/>
    </row>
    <row r="492" spans="1:24" s="812" customFormat="1" ht="39.950000000000003" hidden="1" customHeight="1" x14ac:dyDescent="0.15">
      <c r="A492" s="2072">
        <f ca="1">+Orçamento_Não_Deson!A492</f>
        <v>6.0699999999999985</v>
      </c>
      <c r="B492" s="833">
        <f>+Orçamento_Não_Deson!B492</f>
        <v>95875</v>
      </c>
      <c r="C492" s="2" t="str">
        <f>VLOOKUP($B492,[2]BOLETIM_SEL!$A:$H,2,0)</f>
        <v>SINAPI</v>
      </c>
      <c r="D492" s="315" t="str">
        <f>VLOOKUP($B492,[2]BOLETIM_SEL!$A:$H,4,0)</f>
        <v>Transporte com caminhão basculante de 10 m3, em via urbana pavimentada, DMT até 30,00 km (unidade: m3xkm). AF_07/2020</v>
      </c>
      <c r="E492" s="2">
        <f>+Orçamento_Não_Deson!E492</f>
        <v>0</v>
      </c>
      <c r="F492" s="2" t="str">
        <f>VLOOKUP($B492,[2]BOLETIM_SEL!$A:$H,6,0)</f>
        <v>M3XKM</v>
      </c>
      <c r="G492" s="1407">
        <f>VLOOKUP($B492,[2]BOLETIM_SEL!$A:$H,7,0)</f>
        <v>2.33</v>
      </c>
      <c r="H492" s="1608">
        <f>+Orçamento_Não_Deson!H492</f>
        <v>0</v>
      </c>
      <c r="I492" s="876">
        <f>TRUNC(G492*(1+$J$5),2)</f>
        <v>2.98</v>
      </c>
      <c r="J492" s="1607">
        <f>TRUNC(H492*I492,2)</f>
        <v>0</v>
      </c>
      <c r="K492" s="2069">
        <f ca="1">J492/J$930</f>
        <v>0</v>
      </c>
      <c r="L492" s="1570">
        <f>J492/$J$448</f>
        <v>0</v>
      </c>
      <c r="M492" s="1969">
        <f>+Orçamento_Não_Deson!M492</f>
        <v>0</v>
      </c>
      <c r="N492" s="832"/>
      <c r="O492" s="832"/>
      <c r="Q492" s="832"/>
      <c r="R492" s="832"/>
      <c r="S492" s="832"/>
      <c r="T492" s="832"/>
      <c r="U492" s="832"/>
      <c r="V492" s="832"/>
      <c r="W492" s="832"/>
      <c r="X492" s="832"/>
    </row>
    <row r="493" spans="1:24" s="812" customFormat="1" ht="24.95" hidden="1" customHeight="1" x14ac:dyDescent="0.15">
      <c r="A493" s="2072"/>
      <c r="B493" s="833"/>
      <c r="C493" s="2"/>
      <c r="D493" s="1449" t="s">
        <v>1757</v>
      </c>
      <c r="E493" s="2"/>
      <c r="F493" s="2"/>
      <c r="G493" s="1407"/>
      <c r="H493" s="2"/>
      <c r="I493" s="2"/>
      <c r="J493" s="838" t="str">
        <f>IF(J494=0,"-","")</f>
        <v>-</v>
      </c>
      <c r="K493" s="2069"/>
      <c r="L493" s="1570"/>
      <c r="M493" s="1967"/>
      <c r="N493" s="832"/>
      <c r="O493" s="832"/>
      <c r="Q493" s="832"/>
      <c r="R493" s="832"/>
      <c r="S493" s="832"/>
      <c r="T493" s="832"/>
      <c r="U493" s="832"/>
      <c r="V493" s="832"/>
      <c r="W493" s="832"/>
      <c r="X493" s="832"/>
    </row>
    <row r="494" spans="1:24" s="812" customFormat="1" ht="39.950000000000003" hidden="1" customHeight="1" x14ac:dyDescent="0.15">
      <c r="A494" s="2072">
        <f ca="1">+Orçamento_Não_Deson!A494</f>
        <v>6.0699999999999985</v>
      </c>
      <c r="B494" s="833">
        <f>+Orçamento_Não_Deson!B494</f>
        <v>95875</v>
      </c>
      <c r="C494" s="2" t="str">
        <f>VLOOKUP($B494,[2]BOLETIM_SEL!$A:$H,2,0)</f>
        <v>SINAPI</v>
      </c>
      <c r="D494" s="315" t="str">
        <f>VLOOKUP($B494,[2]BOLETIM_SEL!$A:$H,4,0)</f>
        <v>Transporte com caminhão basculante de 10 m3, em via urbana pavimentada, DMT até 30,00 km (unidade: m3xkm). AF_07/2020</v>
      </c>
      <c r="E494" s="2">
        <f>+Orçamento_Não_Deson!E494</f>
        <v>0</v>
      </c>
      <c r="F494" s="2" t="str">
        <f>VLOOKUP($B494,[2]BOLETIM_SEL!$A:$H,6,0)</f>
        <v>M3XKM</v>
      </c>
      <c r="G494" s="1407">
        <f>VLOOKUP($B494,[2]BOLETIM_SEL!$A:$H,7,0)</f>
        <v>2.33</v>
      </c>
      <c r="H494" s="1608">
        <f>+Orçamento_Não_Deson!H494</f>
        <v>0</v>
      </c>
      <c r="I494" s="876">
        <f>TRUNC(G494*(1+$J$5),2)</f>
        <v>2.98</v>
      </c>
      <c r="J494" s="1607">
        <f>TRUNC(H494*I494,2)</f>
        <v>0</v>
      </c>
      <c r="K494" s="2069">
        <f ca="1">J494/J$930</f>
        <v>0</v>
      </c>
      <c r="L494" s="1570">
        <f>J494/$J$448</f>
        <v>0</v>
      </c>
      <c r="M494" s="1969">
        <f>+Orçamento_Não_Deson!M494</f>
        <v>0</v>
      </c>
      <c r="N494" s="832"/>
      <c r="O494" s="832"/>
      <c r="Q494" s="832"/>
      <c r="R494" s="832"/>
      <c r="S494" s="832"/>
      <c r="T494" s="832"/>
      <c r="U494" s="832"/>
      <c r="V494" s="832"/>
      <c r="W494" s="832"/>
      <c r="X494" s="832"/>
    </row>
    <row r="495" spans="1:24" s="812" customFormat="1" ht="24.95" customHeight="1" x14ac:dyDescent="0.15">
      <c r="A495" s="2072"/>
      <c r="B495" s="833"/>
      <c r="C495" s="2"/>
      <c r="D495" s="1449" t="s">
        <v>1758</v>
      </c>
      <c r="E495" s="2"/>
      <c r="F495" s="2"/>
      <c r="G495" s="1407"/>
      <c r="H495" s="2"/>
      <c r="I495" s="2"/>
      <c r="J495" s="838" t="str">
        <f>IF(J496=0,"-","")</f>
        <v/>
      </c>
      <c r="K495" s="2069"/>
      <c r="L495" s="1570"/>
      <c r="M495" s="1967"/>
      <c r="N495" s="832"/>
      <c r="O495" s="832"/>
      <c r="Q495" s="832"/>
      <c r="R495" s="832"/>
      <c r="S495" s="832"/>
      <c r="T495" s="832"/>
      <c r="U495" s="832"/>
      <c r="V495" s="832"/>
      <c r="W495" s="832"/>
      <c r="X495" s="832"/>
    </row>
    <row r="496" spans="1:24" s="812" customFormat="1" ht="39.950000000000003" customHeight="1" x14ac:dyDescent="0.15">
      <c r="A496" s="2072">
        <f ca="1">+Orçamento_Não_Deson!A496</f>
        <v>6.0799999999999983</v>
      </c>
      <c r="B496" s="833">
        <f>+Orçamento_Não_Deson!B496</f>
        <v>95879</v>
      </c>
      <c r="C496" s="2" t="str">
        <f>VLOOKUP($B496,[2]BOLETIM_SEL!$A:$H,2,0)</f>
        <v>SINAPI</v>
      </c>
      <c r="D496" s="315" t="str">
        <f>VLOOKUP($B496,[2]BOLETIM_SEL!$A:$H,4,0)</f>
        <v>Transporte com caminhão basculante de 14 m3, em via urbana pavimentada, DMT até 30,00 km (unidade: txkm). AF_07/2020</v>
      </c>
      <c r="E496" s="2">
        <f>+Orçamento_Não_Deson!E496</f>
        <v>19</v>
      </c>
      <c r="F496" s="2" t="str">
        <f>VLOOKUP($B496,[2]BOLETIM_SEL!$A:$H,6,0)</f>
        <v>TXKM</v>
      </c>
      <c r="G496" s="1407">
        <f>VLOOKUP($B496,[2]BOLETIM_SEL!$A:$H,7,0)</f>
        <v>1.38</v>
      </c>
      <c r="H496" s="1608">
        <f>+Orçamento_Não_Deson!H496</f>
        <v>8.17</v>
      </c>
      <c r="I496" s="876">
        <f>TRUNC(G496*(1+$J$5),2)</f>
        <v>1.76</v>
      </c>
      <c r="J496" s="1607">
        <f>TRUNC(H496*I496,2)</f>
        <v>14.37</v>
      </c>
      <c r="K496" s="2069">
        <f ca="1">J496/J$930</f>
        <v>3.8033648212415895E-6</v>
      </c>
      <c r="L496" s="1570">
        <f>J496/$J$448</f>
        <v>2.2439100562148661E-2</v>
      </c>
      <c r="M496" s="1976">
        <f>+Orçamento_Não_Deson!M496</f>
        <v>0.43</v>
      </c>
      <c r="N496" s="832"/>
      <c r="O496" s="832"/>
      <c r="Q496" s="832"/>
      <c r="R496" s="832"/>
      <c r="S496" s="832"/>
      <c r="T496" s="832"/>
      <c r="U496" s="832"/>
      <c r="V496" s="832"/>
      <c r="W496" s="832"/>
      <c r="X496" s="832"/>
    </row>
    <row r="497" spans="1:24" s="812" customFormat="1" ht="24.95" hidden="1" customHeight="1" x14ac:dyDescent="0.15">
      <c r="A497" s="2072"/>
      <c r="B497" s="833"/>
      <c r="C497" s="2"/>
      <c r="D497" s="1449" t="s">
        <v>1755</v>
      </c>
      <c r="E497" s="2"/>
      <c r="F497" s="2"/>
      <c r="G497" s="1407"/>
      <c r="H497" s="2"/>
      <c r="I497" s="2"/>
      <c r="J497" s="838" t="str">
        <f>IF(J498=0,"-","")</f>
        <v>-</v>
      </c>
      <c r="K497" s="2069"/>
      <c r="L497" s="1570"/>
      <c r="M497" s="1967"/>
      <c r="N497" s="832"/>
      <c r="O497" s="832"/>
      <c r="Q497" s="832"/>
      <c r="R497" s="832"/>
      <c r="S497" s="832"/>
      <c r="T497" s="832"/>
      <c r="U497" s="832"/>
      <c r="V497" s="832"/>
      <c r="W497" s="832"/>
      <c r="X497" s="832"/>
    </row>
    <row r="498" spans="1:24" s="812" customFormat="1" ht="39.950000000000003" hidden="1" customHeight="1" x14ac:dyDescent="0.15">
      <c r="A498" s="2072">
        <f ca="1">+Orçamento_Não_Deson!A498</f>
        <v>6.0799999999999983</v>
      </c>
      <c r="B498" s="833">
        <f>+Orçamento_Não_Deson!B498</f>
        <v>102332</v>
      </c>
      <c r="C498" s="2" t="str">
        <f>VLOOKUP($B498,[2]BOLETIM_SEL!$A:$H,2,0)</f>
        <v>SINAPI</v>
      </c>
      <c r="D498" s="315" t="str">
        <f>VLOOKUP($B498,[2]BOLETIM_SEL!$A:$H,4,0)</f>
        <v>Transporte com caminhão tanque de transporte de material asfáltico de 20.000 l, em via urbana pavimentada, DMT até 30,00 km (unidade: txkm). AF_07/2020</v>
      </c>
      <c r="E498" s="2">
        <f>+Orçamento_Não_Deson!E498</f>
        <v>19</v>
      </c>
      <c r="F498" s="2" t="str">
        <f>VLOOKUP($B498,[2]BOLETIM_SEL!$A:$H,6,0)</f>
        <v>TXKM</v>
      </c>
      <c r="G498" s="1407">
        <f>VLOOKUP($B498,[2]BOLETIM_SEL!$A:$H,7,0)</f>
        <v>1.74</v>
      </c>
      <c r="H498" s="1608">
        <f>+Orçamento_Não_Deson!H498</f>
        <v>0</v>
      </c>
      <c r="I498" s="876">
        <f>TRUNC(G498*(1+$J$5),2)</f>
        <v>2.23</v>
      </c>
      <c r="J498" s="1607">
        <f>TRUNC(H498*I498,2)</f>
        <v>0</v>
      </c>
      <c r="K498" s="2069">
        <f ca="1">J498/J$930</f>
        <v>0</v>
      </c>
      <c r="L498" s="1570">
        <f>J498/$J$448</f>
        <v>0</v>
      </c>
      <c r="M498" s="1976">
        <f>+Orçamento_Não_Deson!M498</f>
        <v>0</v>
      </c>
      <c r="N498" s="832"/>
      <c r="O498" s="832"/>
      <c r="Q498" s="832"/>
      <c r="R498" s="832"/>
      <c r="S498" s="832"/>
      <c r="T498" s="832"/>
      <c r="U498" s="832"/>
      <c r="V498" s="832"/>
      <c r="W498" s="832"/>
      <c r="X498" s="832"/>
    </row>
    <row r="499" spans="1:24" s="812" customFormat="1" ht="24.95" customHeight="1" x14ac:dyDescent="0.15">
      <c r="A499" s="2072"/>
      <c r="B499" s="833"/>
      <c r="C499" s="2"/>
      <c r="D499" s="1449" t="s">
        <v>1754</v>
      </c>
      <c r="E499" s="2"/>
      <c r="F499" s="2"/>
      <c r="G499" s="1407"/>
      <c r="H499" s="2"/>
      <c r="I499" s="2"/>
      <c r="J499" s="838" t="str">
        <f>IF(J500=0,"-","")</f>
        <v/>
      </c>
      <c r="K499" s="2069"/>
      <c r="L499" s="1570"/>
      <c r="M499" s="1967"/>
      <c r="N499" s="832"/>
      <c r="O499" s="832"/>
      <c r="Q499" s="832"/>
      <c r="R499" s="832"/>
      <c r="S499" s="832"/>
      <c r="T499" s="832"/>
      <c r="U499" s="832"/>
      <c r="V499" s="832"/>
      <c r="W499" s="832"/>
      <c r="X499" s="832"/>
    </row>
    <row r="500" spans="1:24" s="812" customFormat="1" ht="39.950000000000003" customHeight="1" x14ac:dyDescent="0.15">
      <c r="A500" s="2072">
        <f ca="1">+Orçamento_Não_Deson!A500</f>
        <v>6.0899999999999981</v>
      </c>
      <c r="B500" s="833">
        <f>+Orçamento_Não_Deson!B500</f>
        <v>102332</v>
      </c>
      <c r="C500" s="2" t="str">
        <f>VLOOKUP($B500,[2]BOLETIM_SEL!$A:$H,2,0)</f>
        <v>SINAPI</v>
      </c>
      <c r="D500" s="315" t="str">
        <f>VLOOKUP($B500,[2]BOLETIM_SEL!$A:$H,4,0)</f>
        <v>Transporte com caminhão tanque de transporte de material asfáltico de 20.000 l, em via urbana pavimentada, DMT até 30,00 km (unidade: txkm). AF_07/2020</v>
      </c>
      <c r="E500" s="2">
        <f>+Orçamento_Não_Deson!E500</f>
        <v>19</v>
      </c>
      <c r="F500" s="2" t="str">
        <f>VLOOKUP($B500,[2]BOLETIM_SEL!$A:$H,6,0)</f>
        <v>TXKM</v>
      </c>
      <c r="G500" s="1407">
        <f>VLOOKUP($B500,[2]BOLETIM_SEL!$A:$H,7,0)</f>
        <v>1.74</v>
      </c>
      <c r="H500" s="1608">
        <f>+Orçamento_Não_Deson!H500</f>
        <v>0.19</v>
      </c>
      <c r="I500" s="876">
        <f>TRUNC(G500*(1+$J$5),2)</f>
        <v>2.23</v>
      </c>
      <c r="J500" s="1607">
        <f>TRUNC(H500*I500,2)</f>
        <v>0.42</v>
      </c>
      <c r="K500" s="2069">
        <f ca="1">J500/J$930</f>
        <v>1.1116306366885649E-7</v>
      </c>
      <c r="L500" s="1570">
        <f>J500/$J$448</f>
        <v>6.5584009993753913E-4</v>
      </c>
      <c r="M500" s="1976">
        <f>+Orçamento_Não_Deson!M500</f>
        <v>0.01</v>
      </c>
      <c r="N500" s="832"/>
      <c r="O500" s="832"/>
      <c r="Q500" s="832"/>
      <c r="R500" s="832"/>
      <c r="S500" s="832"/>
      <c r="T500" s="832"/>
      <c r="U500" s="832"/>
      <c r="V500" s="832"/>
      <c r="W500" s="832"/>
      <c r="X500" s="832"/>
    </row>
    <row r="501" spans="1:24" s="812" customFormat="1" ht="24.95" hidden="1" customHeight="1" x14ac:dyDescent="0.15">
      <c r="A501" s="2072"/>
      <c r="B501" s="833"/>
      <c r="C501" s="2"/>
      <c r="D501" s="1449" t="s">
        <v>1789</v>
      </c>
      <c r="E501" s="2"/>
      <c r="F501" s="2"/>
      <c r="G501" s="1407"/>
      <c r="H501" s="2"/>
      <c r="I501" s="2"/>
      <c r="J501" s="838" t="str">
        <f>IF(J502=0,"-","")</f>
        <v>-</v>
      </c>
      <c r="K501" s="2069"/>
      <c r="L501" s="1570"/>
      <c r="M501" s="1967"/>
      <c r="N501" s="832"/>
      <c r="O501" s="832"/>
      <c r="Q501" s="832"/>
      <c r="R501" s="832"/>
      <c r="S501" s="832"/>
      <c r="T501" s="832"/>
      <c r="U501" s="832"/>
      <c r="V501" s="832"/>
      <c r="W501" s="832"/>
      <c r="X501" s="832"/>
    </row>
    <row r="502" spans="1:24" s="812" customFormat="1" ht="39.950000000000003" hidden="1" customHeight="1" x14ac:dyDescent="0.15">
      <c r="A502" s="2072">
        <f ca="1">+Orçamento_Não_Deson!A502</f>
        <v>6.0899999999999981</v>
      </c>
      <c r="B502" s="833">
        <f>+Orçamento_Não_Deson!B502</f>
        <v>102332</v>
      </c>
      <c r="C502" s="2" t="str">
        <f>VLOOKUP($B502,[2]BOLETIM_SEL!$A:$H,2,0)</f>
        <v>SINAPI</v>
      </c>
      <c r="D502" s="315" t="str">
        <f>VLOOKUP($B502,[2]BOLETIM_SEL!$A:$H,4,0)</f>
        <v>Transporte com caminhão tanque de transporte de material asfáltico de 20.000 l, em via urbana pavimentada, DMT até 30,00 km (unidade: txkm). AF_07/2020</v>
      </c>
      <c r="E502" s="2">
        <f>+Orçamento_Não_Deson!E502</f>
        <v>0</v>
      </c>
      <c r="F502" s="2" t="str">
        <f>VLOOKUP($B502,[2]BOLETIM_SEL!$A:$H,6,0)</f>
        <v>TXKM</v>
      </c>
      <c r="G502" s="1407">
        <f>VLOOKUP($B502,[2]BOLETIM_SEL!$A:$H,7,0)</f>
        <v>1.74</v>
      </c>
      <c r="H502" s="1608">
        <f>+Orçamento_Não_Deson!H502</f>
        <v>0</v>
      </c>
      <c r="I502" s="876">
        <f>TRUNC(G502*(1+$J$5),2)</f>
        <v>2.23</v>
      </c>
      <c r="J502" s="1607">
        <f>TRUNC(H502*I502,2)</f>
        <v>0</v>
      </c>
      <c r="K502" s="2069">
        <f ca="1">J502/J$930</f>
        <v>0</v>
      </c>
      <c r="L502" s="1570">
        <f>J502/$J$448</f>
        <v>0</v>
      </c>
      <c r="M502" s="1976">
        <f>+Orçamento_Não_Deson!M502</f>
        <v>0</v>
      </c>
      <c r="N502" s="832"/>
      <c r="O502" s="832"/>
      <c r="Q502" s="832"/>
      <c r="R502" s="832"/>
      <c r="S502" s="832"/>
      <c r="T502" s="832"/>
      <c r="U502" s="832"/>
      <c r="V502" s="832"/>
      <c r="W502" s="832"/>
      <c r="X502" s="832"/>
    </row>
    <row r="503" spans="1:24" s="812" customFormat="1" ht="24.95" hidden="1" customHeight="1" x14ac:dyDescent="0.15">
      <c r="A503" s="2072"/>
      <c r="B503" s="833"/>
      <c r="C503" s="2"/>
      <c r="D503" s="1449" t="s">
        <v>1756</v>
      </c>
      <c r="E503" s="2"/>
      <c r="F503" s="2"/>
      <c r="G503" s="1407"/>
      <c r="H503" s="2"/>
      <c r="I503" s="2"/>
      <c r="J503" s="838" t="str">
        <f>IF(J504=0,"-","")</f>
        <v>-</v>
      </c>
      <c r="K503" s="2069"/>
      <c r="L503" s="1570"/>
      <c r="M503" s="1967"/>
      <c r="N503" s="832"/>
      <c r="O503" s="832"/>
      <c r="Q503" s="832"/>
      <c r="R503" s="832"/>
      <c r="S503" s="832"/>
      <c r="T503" s="832"/>
      <c r="U503" s="832"/>
      <c r="V503" s="832"/>
      <c r="W503" s="832"/>
      <c r="X503" s="832"/>
    </row>
    <row r="504" spans="1:24" s="812" customFormat="1" ht="39.950000000000003" hidden="1" customHeight="1" x14ac:dyDescent="0.15">
      <c r="A504" s="2072">
        <f ca="1">+Orçamento_Não_Deson!A504</f>
        <v>6.0899999999999981</v>
      </c>
      <c r="B504" s="833">
        <f>+Orçamento_Não_Deson!B504</f>
        <v>102333</v>
      </c>
      <c r="C504" s="2" t="str">
        <f>VLOOKUP($B504,[2]BOLETIM_SEL!$A:$H,2,0)</f>
        <v>SINAPI</v>
      </c>
      <c r="D504" s="315" t="str">
        <f>VLOOKUP($B504,[2]BOLETIM_SEL!$A:$H,4,0)</f>
        <v>Transporte com caminhão tanque de transporte de material asfáltico de 20.000 l, em via urbana pavimentada, adicional para DMT excedente a 30,00 km (unidade: txkm). AF_07/2020</v>
      </c>
      <c r="E504" s="2">
        <f>+Orçamento_Não_Deson!E504</f>
        <v>0</v>
      </c>
      <c r="F504" s="2" t="str">
        <f>VLOOKUP($B504,[2]BOLETIM_SEL!$A:$H,6,0)</f>
        <v>TXKM</v>
      </c>
      <c r="G504" s="1407">
        <f>VLOOKUP($B504,[2]BOLETIM_SEL!$A:$H,7,0)</f>
        <v>0.7</v>
      </c>
      <c r="H504" s="1608">
        <f>+Orçamento_Não_Deson!H504</f>
        <v>0</v>
      </c>
      <c r="I504" s="876">
        <f>TRUNC(G504*(1+$J$5),2)</f>
        <v>0.89</v>
      </c>
      <c r="J504" s="1607">
        <f>TRUNC(H504*I504,2)</f>
        <v>0</v>
      </c>
      <c r="K504" s="2069">
        <f ca="1">J504/J$930</f>
        <v>0</v>
      </c>
      <c r="L504" s="1570">
        <f>J504/$J$448</f>
        <v>0</v>
      </c>
      <c r="M504" s="1976">
        <f>+Orçamento_Não_Deson!M504</f>
        <v>0</v>
      </c>
      <c r="N504" s="832"/>
      <c r="O504" s="832"/>
      <c r="Q504" s="832"/>
      <c r="R504" s="832"/>
      <c r="S504" s="832"/>
      <c r="T504" s="832"/>
      <c r="U504" s="832"/>
      <c r="V504" s="832"/>
      <c r="W504" s="832"/>
      <c r="X504" s="832"/>
    </row>
    <row r="505" spans="1:24" s="812" customFormat="1" ht="24.95" customHeight="1" x14ac:dyDescent="0.15">
      <c r="A505" s="2072"/>
      <c r="B505" s="833"/>
      <c r="C505" s="833"/>
      <c r="D505" s="834"/>
      <c r="E505" s="2"/>
      <c r="F505" s="833"/>
      <c r="G505" s="1814"/>
      <c r="H505" s="1"/>
      <c r="I505" s="876"/>
      <c r="J505" s="838" t="str">
        <f>IF(J448=0,0,"")</f>
        <v/>
      </c>
      <c r="K505" s="2069"/>
      <c r="L505" s="1570"/>
      <c r="M505" s="1826"/>
      <c r="N505" s="832"/>
      <c r="O505" s="832"/>
      <c r="Q505" s="832"/>
      <c r="R505" s="832"/>
      <c r="S505" s="832"/>
      <c r="T505" s="832"/>
      <c r="U505" s="832"/>
      <c r="V505" s="832"/>
      <c r="W505" s="832"/>
      <c r="X505" s="832"/>
    </row>
    <row r="506" spans="1:24" s="832" customFormat="1" ht="24.95" hidden="1" customHeight="1" x14ac:dyDescent="0.15">
      <c r="A506" s="2073">
        <f ca="1">IF(J506&gt;0,INT(A504)+1,IF(J506=0,INT(A504),0))</f>
        <v>6</v>
      </c>
      <c r="B506" s="1626"/>
      <c r="C506" s="1626"/>
      <c r="D506" s="1634" t="s">
        <v>1007</v>
      </c>
      <c r="E506" s="1821"/>
      <c r="F506" s="1628"/>
      <c r="G506" s="1813" t="s">
        <v>648</v>
      </c>
      <c r="H506" s="1630"/>
      <c r="I506" s="1633" t="str">
        <f ca="1">CONCATENATE("SUB-TOTAL ",A506)</f>
        <v>SUB-TOTAL 6</v>
      </c>
      <c r="J506" s="1632">
        <f>SUM(J507:J580)</f>
        <v>0</v>
      </c>
      <c r="K506" s="2070">
        <f t="shared" ref="K506:K542" ca="1" si="110">J506/J$930</f>
        <v>0</v>
      </c>
      <c r="L506" s="1605" t="e">
        <f>J506/$J$506</f>
        <v>#DIV/0!</v>
      </c>
    </row>
    <row r="507" spans="1:24" s="812" customFormat="1" ht="39.950000000000003" hidden="1" customHeight="1" x14ac:dyDescent="0.15">
      <c r="A507" s="2072">
        <f ca="1">+Orçamento_Não_Deson!A507</f>
        <v>6</v>
      </c>
      <c r="B507" s="833" t="str">
        <f>+Orçamento_Não_Deson!B507</f>
        <v>RE/0010</v>
      </c>
      <c r="C507" s="2" t="str">
        <f>VLOOKUP($B507,[2]BOLETIM_SEL!$A:$H,2,0)</f>
        <v>COMPOSIÇÃO</v>
      </c>
      <c r="D507" s="315" t="str">
        <f>VLOOKUP($B507,[2]BOLETIM_SEL!$A:$H,4,0)</f>
        <v>Correção de defeitos por fresagem descontínua, com emprego de fresadora e minicarregadeira (REF. SICRO COD. 4915705, data 01/2020)</v>
      </c>
      <c r="E507" s="2">
        <f>+Orçamento_Não_Deson!E507</f>
        <v>0</v>
      </c>
      <c r="F507" s="2" t="str">
        <f>VLOOKUP($B507,[2]BOLETIM_SEL!$A:$H,6,0)</f>
        <v>M3</v>
      </c>
      <c r="G507" s="1407">
        <f>VLOOKUP($B507,[2]BOLETIM_SEL!$A:$H,7,0)</f>
        <v>316.47000000000003</v>
      </c>
      <c r="H507" s="1608">
        <f>+Orçamento_Não_Deson!H507</f>
        <v>0</v>
      </c>
      <c r="I507" s="876">
        <f t="shared" ref="I507:I526" si="111">TRUNC(G507*(1+$J$5),2)</f>
        <v>405.61</v>
      </c>
      <c r="J507" s="1607">
        <f t="shared" ref="J507:J576" si="112">TRUNC(H507*I507,2)</f>
        <v>0</v>
      </c>
      <c r="K507" s="2069">
        <f t="shared" ca="1" si="110"/>
        <v>0</v>
      </c>
      <c r="L507" s="1570" t="e">
        <f t="shared" ref="L507:L574" si="113">J507/$J$506</f>
        <v>#DIV/0!</v>
      </c>
      <c r="M507" s="1967"/>
      <c r="N507" s="832"/>
      <c r="O507" s="832"/>
      <c r="Q507" s="832"/>
      <c r="R507" s="832"/>
      <c r="S507" s="832"/>
      <c r="T507" s="832"/>
      <c r="U507" s="832"/>
      <c r="V507" s="832"/>
      <c r="W507" s="832"/>
      <c r="X507" s="832"/>
    </row>
    <row r="508" spans="1:24" s="812" customFormat="1" ht="39.950000000000003" hidden="1" customHeight="1" x14ac:dyDescent="0.15">
      <c r="A508" s="2072">
        <f ca="1">+Orçamento_Não_Deson!A508</f>
        <v>6</v>
      </c>
      <c r="B508" s="833" t="str">
        <f>+Orçamento_Não_Deson!B508</f>
        <v>RE/0015</v>
      </c>
      <c r="C508" s="2" t="str">
        <f>VLOOKUP($B508,[2]BOLETIM_SEL!$A:$H,2,0)</f>
        <v>COMPOSIÇÃO</v>
      </c>
      <c r="D508" s="315" t="str">
        <f>VLOOKUP($B508,[2]BOLETIM_SEL!$A:$H,4,0)</f>
        <v>Remendo superfcial (tapa buraco), com requadramento mecânico, escavação, compactação da mistura betuminosa e carga do entulho. Exclusive materiais e bota-fora (REF. SICRO COD. 4915757)</v>
      </c>
      <c r="E508" s="2">
        <f>+Orçamento_Não_Deson!E508</f>
        <v>0</v>
      </c>
      <c r="F508" s="2" t="str">
        <f>VLOOKUP($B508,[2]BOLETIM_SEL!$A:$H,6,0)</f>
        <v>M3</v>
      </c>
      <c r="G508" s="1407">
        <f>VLOOKUP($B508,[2]BOLETIM_SEL!$A:$H,7,0)</f>
        <v>199.99</v>
      </c>
      <c r="H508" s="1608">
        <f>+Orçamento_Não_Deson!H508</f>
        <v>0</v>
      </c>
      <c r="I508" s="876">
        <f t="shared" si="111"/>
        <v>256.32</v>
      </c>
      <c r="J508" s="1607">
        <f t="shared" si="112"/>
        <v>0</v>
      </c>
      <c r="K508" s="2069">
        <f t="shared" ca="1" si="110"/>
        <v>0</v>
      </c>
      <c r="L508" s="1570" t="e">
        <f t="shared" si="113"/>
        <v>#DIV/0!</v>
      </c>
      <c r="M508" s="1967"/>
      <c r="N508" s="832"/>
      <c r="O508" s="832"/>
      <c r="Q508" s="832"/>
      <c r="R508" s="832"/>
      <c r="S508" s="832"/>
      <c r="T508" s="832"/>
      <c r="U508" s="832"/>
      <c r="V508" s="832"/>
      <c r="W508" s="832"/>
      <c r="X508" s="832"/>
    </row>
    <row r="509" spans="1:24" s="812" customFormat="1" ht="39.950000000000003" hidden="1" customHeight="1" x14ac:dyDescent="0.15">
      <c r="A509" s="2072">
        <f ca="1">+Orçamento_Não_Deson!A509</f>
        <v>6</v>
      </c>
      <c r="B509" s="833" t="str">
        <f>+Orçamento_Não_Deson!B509</f>
        <v>RE/0020</v>
      </c>
      <c r="C509" s="2" t="str">
        <f>VLOOKUP($B509,[2]BOLETIM_SEL!$A:$H,2,0)</f>
        <v>COMPOSIÇÃO</v>
      </c>
      <c r="D509" s="315" t="str">
        <f>VLOOKUP($B509,[2]BOLETIM_SEL!$A:$H,4,0)</f>
        <v>Remendo profundo, com requadramento mecânico, escavação, compactação do material de base e da mistura betuminosa e carga do entulho. Exclusive materiais e bota-fora (REF. SICRO COD. 4915746)</v>
      </c>
      <c r="E509" s="2">
        <f>+Orçamento_Não_Deson!E509</f>
        <v>0</v>
      </c>
      <c r="F509" s="2" t="str">
        <f>VLOOKUP($B509,[2]BOLETIM_SEL!$A:$H,6,0)</f>
        <v>M3</v>
      </c>
      <c r="G509" s="1407">
        <f>VLOOKUP($B509,[2]BOLETIM_SEL!$A:$H,7,0)</f>
        <v>116.4</v>
      </c>
      <c r="H509" s="1608">
        <f>+Orçamento_Não_Deson!H509</f>
        <v>0</v>
      </c>
      <c r="I509" s="876">
        <f t="shared" si="111"/>
        <v>149.18</v>
      </c>
      <c r="J509" s="1607">
        <f t="shared" si="112"/>
        <v>0</v>
      </c>
      <c r="K509" s="2069">
        <f t="shared" ca="1" si="110"/>
        <v>0</v>
      </c>
      <c r="L509" s="1570" t="e">
        <f t="shared" si="113"/>
        <v>#DIV/0!</v>
      </c>
      <c r="M509" s="1967"/>
      <c r="N509" s="832"/>
      <c r="O509" s="832"/>
      <c r="Q509" s="832"/>
      <c r="R509" s="832"/>
      <c r="S509" s="832"/>
      <c r="T509" s="832"/>
      <c r="U509" s="832"/>
      <c r="V509" s="832"/>
      <c r="W509" s="832"/>
      <c r="X509" s="832"/>
    </row>
    <row r="510" spans="1:24" s="812" customFormat="1" ht="50.1" hidden="1" customHeight="1" x14ac:dyDescent="0.15">
      <c r="A510" s="2072">
        <f ca="1">+Orçamento_Não_Deson!A510</f>
        <v>6</v>
      </c>
      <c r="B510" s="833">
        <f>+Orçamento_Não_Deson!B510</f>
        <v>90105</v>
      </c>
      <c r="C510" s="2" t="str">
        <f>VLOOKUP($B510,[2]BOLETIM_SEL!$A:$H,2,0)</f>
        <v>SINAPI</v>
      </c>
      <c r="D510" s="315" t="str">
        <f>VLOOKUP($B510,[2]BOLETIM_SEL!$A:$H,4,0)</f>
        <v>Escavação mecanizada de vala com profundidade até 1,50 m (média entre montante e jusante / uma composição por trecho) com retroescavadeira (capacidade da caçamba: 0,26 m3 / potência: 88 HP), largura menor que 0,80 m, em solo de 1a categoria, locais com baixo nível de interferência. AF_01/2015</v>
      </c>
      <c r="E510" s="2">
        <f>+Orçamento_Não_Deson!E510</f>
        <v>0</v>
      </c>
      <c r="F510" s="2" t="str">
        <f>VLOOKUP($B510,[2]BOLETIM_SEL!$A:$H,6,0)</f>
        <v>M3</v>
      </c>
      <c r="G510" s="1407">
        <f>VLOOKUP($B510,[2]BOLETIM_SEL!$A:$H,7,0)</f>
        <v>8.1300000000000008</v>
      </c>
      <c r="H510" s="1608">
        <f>+Orçamento_Não_Deson!H510</f>
        <v>0</v>
      </c>
      <c r="I510" s="876">
        <f t="shared" si="111"/>
        <v>10.42</v>
      </c>
      <c r="J510" s="1607">
        <f t="shared" si="112"/>
        <v>0</v>
      </c>
      <c r="K510" s="2069">
        <f t="shared" ca="1" si="110"/>
        <v>0</v>
      </c>
      <c r="L510" s="1570" t="e">
        <f t="shared" si="113"/>
        <v>#DIV/0!</v>
      </c>
      <c r="M510" s="1967"/>
      <c r="N510" s="832"/>
      <c r="O510" s="832"/>
      <c r="Q510" s="832"/>
      <c r="R510" s="832"/>
      <c r="S510" s="832"/>
      <c r="T510" s="832"/>
      <c r="U510" s="832"/>
      <c r="V510" s="832"/>
      <c r="W510" s="832"/>
      <c r="X510" s="832"/>
    </row>
    <row r="511" spans="1:24" s="812" customFormat="1" ht="39.950000000000003" hidden="1" customHeight="1" x14ac:dyDescent="0.15">
      <c r="A511" s="2072">
        <f ca="1">+Orçamento_Não_Deson!A511</f>
        <v>6</v>
      </c>
      <c r="B511" s="833" t="str">
        <f>+Orçamento_Não_Deson!B511</f>
        <v>PA/0010</v>
      </c>
      <c r="C511" s="2" t="str">
        <f>VLOOKUP($B511,[2]BOLETIM_SEL!$A:$H,2,0)</f>
        <v>COMPOSIÇÃO</v>
      </c>
      <c r="D511" s="315" t="str">
        <f>VLOOKUP($B511,[2]BOLETIM_SEL!$A:$H,4,0)</f>
        <v>Colchão de rachão e/ou pedra-de-mão, com camada final de pedra brita. Fornecimento e execução. Exclusive transporte da pedra</v>
      </c>
      <c r="E511" s="2">
        <f>+Orçamento_Não_Deson!E511</f>
        <v>0</v>
      </c>
      <c r="F511" s="2" t="str">
        <f>VLOOKUP($B511,[2]BOLETIM_SEL!$A:$H,6,0)</f>
        <v>M3</v>
      </c>
      <c r="G511" s="1407">
        <f>VLOOKUP($B511,[2]BOLETIM_SEL!$A:$H,7,0)</f>
        <v>147.65</v>
      </c>
      <c r="H511" s="1608">
        <f>+Orçamento_Não_Deson!H511</f>
        <v>0</v>
      </c>
      <c r="I511" s="876">
        <f t="shared" si="111"/>
        <v>189.24</v>
      </c>
      <c r="J511" s="1607">
        <f t="shared" si="112"/>
        <v>0</v>
      </c>
      <c r="K511" s="2069">
        <f t="shared" ca="1" si="110"/>
        <v>0</v>
      </c>
      <c r="L511" s="1570" t="e">
        <f t="shared" si="113"/>
        <v>#DIV/0!</v>
      </c>
      <c r="M511" s="1967"/>
      <c r="N511" s="832"/>
      <c r="O511" s="832"/>
      <c r="Q511" s="832"/>
      <c r="R511" s="832"/>
      <c r="S511" s="832"/>
      <c r="T511" s="832"/>
      <c r="U511" s="832"/>
      <c r="V511" s="832"/>
      <c r="W511" s="832"/>
      <c r="X511" s="832"/>
    </row>
    <row r="512" spans="1:24" s="812" customFormat="1" ht="39.950000000000003" hidden="1" customHeight="1" x14ac:dyDescent="0.15">
      <c r="A512" s="2072">
        <f ca="1">+Orçamento_Não_Deson!A512</f>
        <v>6</v>
      </c>
      <c r="B512" s="833" t="str">
        <f>+Orçamento_Não_Deson!B512</f>
        <v>DR/0032</v>
      </c>
      <c r="C512" s="2" t="str">
        <f>VLOOKUP($B512,[2]BOLETIM_SEL!$A:$H,2,0)</f>
        <v>COMPOSIÇÃO</v>
      </c>
      <c r="D512" s="315" t="str">
        <f>VLOOKUP($B512,[2]BOLETIM_SEL!$A:$H,4,0)</f>
        <v>Lastro ou enrocamento de pedra-de-mão ou rachão lançado, fornecimento e apiloamento. Exclusive transporte, ref SINAPI 73697, data 01/2020 e SINAPI 92744.</v>
      </c>
      <c r="E512" s="2">
        <f>+Orçamento_Não_Deson!E512</f>
        <v>0</v>
      </c>
      <c r="F512" s="2" t="str">
        <f>VLOOKUP($B512,[2]BOLETIM_SEL!$A:$H,6,0)</f>
        <v>M3</v>
      </c>
      <c r="G512" s="1407">
        <f>VLOOKUP($B512,[2]BOLETIM_SEL!$A:$H,7,0)</f>
        <v>253.46</v>
      </c>
      <c r="H512" s="1608">
        <f>+Orçamento_Não_Deson!H512</f>
        <v>0</v>
      </c>
      <c r="I512" s="876">
        <f t="shared" si="111"/>
        <v>324.85000000000002</v>
      </c>
      <c r="J512" s="1607">
        <f t="shared" si="112"/>
        <v>0</v>
      </c>
      <c r="K512" s="2069">
        <f t="shared" ca="1" si="110"/>
        <v>0</v>
      </c>
      <c r="L512" s="1570" t="e">
        <f t="shared" si="113"/>
        <v>#DIV/0!</v>
      </c>
      <c r="M512" s="1967"/>
      <c r="N512" s="832"/>
      <c r="O512" s="832"/>
      <c r="Q512" s="832"/>
      <c r="R512" s="832"/>
      <c r="S512" s="832"/>
      <c r="T512" s="832"/>
      <c r="U512" s="832"/>
      <c r="V512" s="832"/>
      <c r="W512" s="832"/>
      <c r="X512" s="832"/>
    </row>
    <row r="513" spans="1:24" s="812" customFormat="1" ht="50.1" hidden="1" customHeight="1" x14ac:dyDescent="0.15">
      <c r="A513" s="2072">
        <f ca="1">+Orçamento_Não_Deson!A513</f>
        <v>6</v>
      </c>
      <c r="B513" s="833">
        <f>+Orçamento_Não_Deson!B513</f>
        <v>101230</v>
      </c>
      <c r="C513" s="2" t="str">
        <f>VLOOKUP($B513,[2]BOLETIM_SEL!$A:$H,2,0)</f>
        <v>SINAPI</v>
      </c>
      <c r="D513" s="315" t="str">
        <f>VLOOKUP($B513,[2]BOLETIM_SEL!$A:$H,4,0)</f>
        <v>Escavação vertical a céu aberto, em obras de infraestrutura, incluindo carga, descarga e transporte, em solo de 1a categoria com escavadeira hidráulica (caçamba: 0,80 m3 / 111 HP), frota de 3 caminhões basculantes de 14 m3, DMT até 1 km e velocidade média 14 km/h. AF_05/2020</v>
      </c>
      <c r="E513" s="2">
        <f>+Orçamento_Não_Deson!E513</f>
        <v>0</v>
      </c>
      <c r="F513" s="2" t="str">
        <f>VLOOKUP($B513,[2]BOLETIM_SEL!$A:$H,6,0)</f>
        <v>M3</v>
      </c>
      <c r="G513" s="1407">
        <f>VLOOKUP($B513,[2]BOLETIM_SEL!$A:$H,7,0)</f>
        <v>10.59</v>
      </c>
      <c r="H513" s="1608">
        <f>+Orçamento_Não_Deson!H513</f>
        <v>0</v>
      </c>
      <c r="I513" s="876">
        <f t="shared" si="111"/>
        <v>13.57</v>
      </c>
      <c r="J513" s="1607">
        <f t="shared" si="112"/>
        <v>0</v>
      </c>
      <c r="K513" s="2069">
        <f t="shared" ca="1" si="110"/>
        <v>0</v>
      </c>
      <c r="L513" s="1570" t="e">
        <f t="shared" si="113"/>
        <v>#DIV/0!</v>
      </c>
      <c r="M513" s="1967"/>
      <c r="N513" s="832"/>
      <c r="O513" s="832"/>
      <c r="Q513" s="832"/>
      <c r="R513" s="832"/>
      <c r="S513" s="832"/>
      <c r="T513" s="832"/>
      <c r="U513" s="832"/>
      <c r="V513" s="832"/>
      <c r="W513" s="832"/>
      <c r="X513" s="832"/>
    </row>
    <row r="514" spans="1:24" s="812" customFormat="1" ht="39.950000000000003" hidden="1" customHeight="1" x14ac:dyDescent="0.15">
      <c r="A514" s="2072">
        <f ca="1">+Orçamento_Não_Deson!A514</f>
        <v>6</v>
      </c>
      <c r="B514" s="833">
        <f>+Orçamento_Não_Deson!B514</f>
        <v>6079</v>
      </c>
      <c r="C514" s="2" t="str">
        <f>VLOOKUP($B514,[2]BOLETIM_SEL!$A:$H,2,0)</f>
        <v>COTAÇÃO - SINAPI</v>
      </c>
      <c r="D514" s="315" t="str">
        <f>VLOOKUP($B514,[2]BOLETIM_SEL!$A:$H,4,0)</f>
        <v>Argila, argila vermelha ou argila arenosa (retirada na jazida, sem transporte)</v>
      </c>
      <c r="E514" s="2">
        <f>+Orçamento_Não_Deson!E514</f>
        <v>0</v>
      </c>
      <c r="F514" s="2" t="str">
        <f>VLOOKUP($B514,[2]BOLETIM_SEL!$A:$H,6,0)</f>
        <v xml:space="preserve">M3    </v>
      </c>
      <c r="G514" s="1407">
        <f>VLOOKUP($B514,[2]BOLETIM_SEL!$A:$H,7,0)</f>
        <v>36.51</v>
      </c>
      <c r="H514" s="1608">
        <f>+Orçamento_Não_Deson!H514</f>
        <v>0</v>
      </c>
      <c r="I514" s="876">
        <f t="shared" si="111"/>
        <v>46.79</v>
      </c>
      <c r="J514" s="1607">
        <f t="shared" si="112"/>
        <v>0</v>
      </c>
      <c r="K514" s="2069">
        <f t="shared" ca="1" si="110"/>
        <v>0</v>
      </c>
      <c r="L514" s="1570" t="e">
        <f t="shared" si="113"/>
        <v>#DIV/0!</v>
      </c>
      <c r="M514" s="1968" t="str">
        <f>+Orçamento_Não_Deson!M514</f>
        <v>COMERCIAL</v>
      </c>
      <c r="N514" s="832"/>
      <c r="O514" s="832"/>
      <c r="Q514" s="832"/>
      <c r="R514" s="832"/>
      <c r="S514" s="832"/>
      <c r="T514" s="832"/>
      <c r="U514" s="832"/>
      <c r="V514" s="832"/>
      <c r="W514" s="832"/>
      <c r="X514" s="832"/>
    </row>
    <row r="515" spans="1:24" s="812" customFormat="1" ht="39.950000000000003" hidden="1" customHeight="1" x14ac:dyDescent="0.15">
      <c r="A515" s="2072">
        <f ca="1">+Orçamento_Não_Deson!A515</f>
        <v>6</v>
      </c>
      <c r="B515" s="833">
        <f>+Orçamento_Não_Deson!B515</f>
        <v>96386</v>
      </c>
      <c r="C515" s="2" t="str">
        <f>VLOOKUP($B515,[2]BOLETIM_SEL!$A:$H,2,0)</f>
        <v>SINAPI</v>
      </c>
      <c r="D515" s="315" t="str">
        <f>VLOOKUP($B515,[2]BOLETIM_SEL!$A:$H,4,0)</f>
        <v>Execução e compactação de aterro com solo predominantemente arenoso - exclusive solo, escavação, carga e transporte. AF_11/2019</v>
      </c>
      <c r="E515" s="2">
        <f>+Orçamento_Não_Deson!E515</f>
        <v>0</v>
      </c>
      <c r="F515" s="2" t="str">
        <f>VLOOKUP($B515,[2]BOLETIM_SEL!$A:$H,6,0)</f>
        <v>M3</v>
      </c>
      <c r="G515" s="1407">
        <f>VLOOKUP($B515,[2]BOLETIM_SEL!$A:$H,7,0)</f>
        <v>8.2200000000000006</v>
      </c>
      <c r="H515" s="1608">
        <f>+Orçamento_Não_Deson!H515</f>
        <v>0</v>
      </c>
      <c r="I515" s="876">
        <f t="shared" si="111"/>
        <v>10.53</v>
      </c>
      <c r="J515" s="1607">
        <f t="shared" si="112"/>
        <v>0</v>
      </c>
      <c r="K515" s="2069">
        <f t="shared" ca="1" si="110"/>
        <v>0</v>
      </c>
      <c r="L515" s="1570" t="e">
        <f t="shared" si="113"/>
        <v>#DIV/0!</v>
      </c>
      <c r="M515" s="1968" t="str">
        <f>+Orçamento_Não_Deson!M515</f>
        <v>ARENOSO</v>
      </c>
      <c r="N515" s="832"/>
      <c r="O515" s="832"/>
      <c r="Q515" s="832"/>
      <c r="R515" s="832"/>
      <c r="S515" s="832"/>
      <c r="T515" s="832"/>
      <c r="U515" s="832"/>
      <c r="V515" s="832"/>
      <c r="W515" s="832"/>
      <c r="X515" s="832"/>
    </row>
    <row r="516" spans="1:24" s="812" customFormat="1" ht="30" hidden="1" customHeight="1" x14ac:dyDescent="0.15">
      <c r="A516" s="2072">
        <f ca="1">+Orçamento_Não_Deson!A516</f>
        <v>6</v>
      </c>
      <c r="B516" s="833">
        <f>+Orçamento_Não_Deson!B516</f>
        <v>94319</v>
      </c>
      <c r="C516" s="2" t="str">
        <f>VLOOKUP($B516,[2]BOLETIM_SEL!$A:$H,2,0)</f>
        <v>SINAPI</v>
      </c>
      <c r="D516" s="315" t="str">
        <f>VLOOKUP($B516,[2]BOLETIM_SEL!$A:$H,4,0)</f>
        <v>Aterro manual de valas com solo argilo-arenoso e compactação mecanizada. AF_05/2016</v>
      </c>
      <c r="E516" s="2">
        <f>+Orçamento_Não_Deson!E516</f>
        <v>0</v>
      </c>
      <c r="F516" s="2" t="str">
        <f>VLOOKUP($B516,[2]BOLETIM_SEL!$A:$H,6,0)</f>
        <v>M3</v>
      </c>
      <c r="G516" s="1407">
        <f>VLOOKUP($B516,[2]BOLETIM_SEL!$A:$H,7,0)</f>
        <v>72.41</v>
      </c>
      <c r="H516" s="1608">
        <f>+Orçamento_Não_Deson!H516</f>
        <v>0</v>
      </c>
      <c r="I516" s="876">
        <f t="shared" si="111"/>
        <v>92.8</v>
      </c>
      <c r="J516" s="1607">
        <f t="shared" si="112"/>
        <v>0</v>
      </c>
      <c r="K516" s="2069">
        <f t="shared" ca="1" si="110"/>
        <v>0</v>
      </c>
      <c r="L516" s="1570" t="e">
        <f t="shared" si="113"/>
        <v>#DIV/0!</v>
      </c>
      <c r="M516" s="1967"/>
      <c r="N516" s="832"/>
      <c r="O516" s="832"/>
      <c r="Q516" s="832"/>
      <c r="R516" s="832"/>
      <c r="S516" s="832"/>
      <c r="T516" s="832"/>
      <c r="U516" s="832"/>
      <c r="V516" s="832"/>
      <c r="W516" s="832"/>
      <c r="X516" s="832"/>
    </row>
    <row r="517" spans="1:24" s="812" customFormat="1" ht="39.950000000000003" hidden="1" customHeight="1" x14ac:dyDescent="0.15">
      <c r="A517" s="2072">
        <f ca="1">+Orçamento_Não_Deson!A517</f>
        <v>6</v>
      </c>
      <c r="B517" s="833" t="str">
        <f>+Orçamento_Não_Deson!B517</f>
        <v>RE/0025</v>
      </c>
      <c r="C517" s="2" t="str">
        <f>VLOOKUP($B517,[2]BOLETIM_SEL!$A:$H,2,0)</f>
        <v>COMPOSIÇÃO</v>
      </c>
      <c r="D517" s="315" t="str">
        <f>VLOOKUP($B517,[2]BOLETIM_SEL!$A:$H,4,0)</f>
        <v>Remoção mecanizada de revestimento betuminoso, com motoniveladora. Exclusive carga e bota-fora (REF. SICRO COD. 4915667)</v>
      </c>
      <c r="E517" s="2">
        <f>+Orçamento_Não_Deson!E517</f>
        <v>0</v>
      </c>
      <c r="F517" s="2" t="str">
        <f>VLOOKUP($B517,[2]BOLETIM_SEL!$A:$H,6,0)</f>
        <v>M3</v>
      </c>
      <c r="G517" s="1407">
        <f>VLOOKUP($B517,[2]BOLETIM_SEL!$A:$H,7,0)</f>
        <v>15.27</v>
      </c>
      <c r="H517" s="1608">
        <f>+Orçamento_Não_Deson!H517</f>
        <v>0</v>
      </c>
      <c r="I517" s="876">
        <f t="shared" si="111"/>
        <v>19.57</v>
      </c>
      <c r="J517" s="1607">
        <f t="shared" si="112"/>
        <v>0</v>
      </c>
      <c r="K517" s="2069">
        <f t="shared" ca="1" si="110"/>
        <v>0</v>
      </c>
      <c r="L517" s="1570" t="e">
        <f t="shared" si="113"/>
        <v>#DIV/0!</v>
      </c>
      <c r="M517" s="1967"/>
      <c r="N517" s="832"/>
      <c r="O517" s="832"/>
      <c r="Q517" s="832"/>
      <c r="R517" s="832"/>
      <c r="S517" s="832"/>
      <c r="T517" s="832"/>
      <c r="U517" s="832"/>
      <c r="V517" s="832"/>
      <c r="W517" s="832"/>
      <c r="X517" s="832"/>
    </row>
    <row r="518" spans="1:24" s="812" customFormat="1" ht="39.950000000000003" hidden="1" customHeight="1" x14ac:dyDescent="0.15">
      <c r="A518" s="2072">
        <f ca="1">+Orçamento_Não_Deson!A518</f>
        <v>6</v>
      </c>
      <c r="B518" s="833" t="str">
        <f>+Orçamento_Não_Deson!B518</f>
        <v>RE/0030</v>
      </c>
      <c r="C518" s="2" t="str">
        <f>VLOOKUP($B518,[2]BOLETIM_SEL!$A:$H,2,0)</f>
        <v>COMPOSIÇÃO</v>
      </c>
      <c r="D518" s="315" t="str">
        <f>VLOOKUP($B518,[2]BOLETIM_SEL!$A:$H,4,0)</f>
        <v>Remoção mecanizada de camada granular do pavimento, com mototoniveladora. Exclusive carga e bota-fora (REF. SICRO COD. 4915669)</v>
      </c>
      <c r="E518" s="2">
        <f>+Orçamento_Não_Deson!E518</f>
        <v>0</v>
      </c>
      <c r="F518" s="2" t="str">
        <f>VLOOKUP($B518,[2]BOLETIM_SEL!$A:$H,6,0)</f>
        <v>M3</v>
      </c>
      <c r="G518" s="1407">
        <f>VLOOKUP($B518,[2]BOLETIM_SEL!$A:$H,7,0)</f>
        <v>14.87</v>
      </c>
      <c r="H518" s="1608">
        <f>+Orçamento_Não_Deson!H518</f>
        <v>0</v>
      </c>
      <c r="I518" s="876">
        <f t="shared" si="111"/>
        <v>19.05</v>
      </c>
      <c r="J518" s="1607">
        <f t="shared" si="112"/>
        <v>0</v>
      </c>
      <c r="K518" s="2069">
        <f t="shared" ca="1" si="110"/>
        <v>0</v>
      </c>
      <c r="L518" s="1570" t="e">
        <f t="shared" si="113"/>
        <v>#DIV/0!</v>
      </c>
      <c r="M518" s="1967"/>
      <c r="N518" s="832"/>
      <c r="O518" s="832"/>
      <c r="Q518" s="832"/>
      <c r="R518" s="832"/>
      <c r="S518" s="832"/>
      <c r="T518" s="832"/>
      <c r="U518" s="832"/>
      <c r="V518" s="832"/>
      <c r="W518" s="832"/>
      <c r="X518" s="832"/>
    </row>
    <row r="519" spans="1:24" s="812" customFormat="1" ht="30" hidden="1" customHeight="1" x14ac:dyDescent="0.15">
      <c r="A519" s="2072">
        <f ca="1">+Orçamento_Não_Deson!A519</f>
        <v>6</v>
      </c>
      <c r="B519" s="833" t="str">
        <f>+Orçamento_Não_Deson!B519</f>
        <v>RE/0035</v>
      </c>
      <c r="C519" s="2" t="str">
        <f>VLOOKUP($B519,[2]BOLETIM_SEL!$A:$H,2,0)</f>
        <v>COMPOSIÇÃO</v>
      </c>
      <c r="D519" s="315" t="str">
        <f>VLOOKUP($B519,[2]BOLETIM_SEL!$A:$H,4,0)</f>
        <v>Recomposição manual de base para pavimentação - execução. Exclusive fornecimento de material e transporte</v>
      </c>
      <c r="E519" s="2">
        <f>+Orçamento_Não_Deson!E519</f>
        <v>0</v>
      </c>
      <c r="F519" s="2" t="str">
        <f>VLOOKUP($B519,[2]BOLETIM_SEL!$A:$H,6,0)</f>
        <v>M3</v>
      </c>
      <c r="G519" s="1407">
        <f>VLOOKUP($B519,[2]BOLETIM_SEL!$A:$H,7,0)</f>
        <v>34.46</v>
      </c>
      <c r="H519" s="1608">
        <f>+Orçamento_Não_Deson!H519</f>
        <v>0</v>
      </c>
      <c r="I519" s="876">
        <f t="shared" si="111"/>
        <v>44.16</v>
      </c>
      <c r="J519" s="1607">
        <f t="shared" si="112"/>
        <v>0</v>
      </c>
      <c r="K519" s="2069">
        <f t="shared" ca="1" si="110"/>
        <v>0</v>
      </c>
      <c r="L519" s="1570" t="e">
        <f t="shared" si="113"/>
        <v>#DIV/0!</v>
      </c>
      <c r="M519" s="1967"/>
      <c r="N519" s="832"/>
      <c r="O519" s="832"/>
      <c r="Q519" s="832"/>
      <c r="R519" s="832"/>
      <c r="S519" s="832"/>
      <c r="T519" s="832"/>
      <c r="U519" s="832"/>
      <c r="V519" s="832"/>
      <c r="W519" s="832"/>
      <c r="X519" s="832"/>
    </row>
    <row r="520" spans="1:24" s="812" customFormat="1" ht="39.950000000000003" hidden="1" customHeight="1" x14ac:dyDescent="0.15">
      <c r="A520" s="2072">
        <f ca="1">+Orçamento_Não_Deson!A520</f>
        <v>6</v>
      </c>
      <c r="B520" s="833">
        <f>+Orçamento_Não_Deson!B520</f>
        <v>100565</v>
      </c>
      <c r="C520" s="2" t="str">
        <f>VLOOKUP($B520,[2]BOLETIM_SEL!$A:$H,2,0)</f>
        <v>SINAPI</v>
      </c>
      <c r="D520" s="315" t="str">
        <f>VLOOKUP($B520,[2]BOLETIM_SEL!$A:$H,4,0)</f>
        <v>Execução e compactação de base e ou sub-base para pavimentação de solo (predominantemente arenoso) brita - 50/50 - exclusive solo, escavação, carga e transporte. AF_11/2019</v>
      </c>
      <c r="E520" s="2">
        <f>+Orçamento_Não_Deson!E520</f>
        <v>0</v>
      </c>
      <c r="F520" s="2" t="str">
        <f>VLOOKUP($B520,[2]BOLETIM_SEL!$A:$H,6,0)</f>
        <v>M3</v>
      </c>
      <c r="G520" s="1407">
        <f>VLOOKUP($B520,[2]BOLETIM_SEL!$A:$H,7,0)</f>
        <v>93.5</v>
      </c>
      <c r="H520" s="1608">
        <f>+Orçamento_Não_Deson!H520</f>
        <v>0</v>
      </c>
      <c r="I520" s="876">
        <f t="shared" si="111"/>
        <v>119.83</v>
      </c>
      <c r="J520" s="1607">
        <f t="shared" si="112"/>
        <v>0</v>
      </c>
      <c r="K520" s="2069">
        <f t="shared" ca="1" si="110"/>
        <v>0</v>
      </c>
      <c r="L520" s="1570" t="e">
        <f t="shared" si="113"/>
        <v>#DIV/0!</v>
      </c>
      <c r="M520" s="1967"/>
      <c r="N520" s="832"/>
      <c r="O520" s="832"/>
      <c r="Q520" s="832"/>
      <c r="R520" s="832"/>
      <c r="S520" s="832"/>
      <c r="T520" s="832"/>
      <c r="U520" s="832"/>
      <c r="V520" s="832"/>
      <c r="W520" s="832"/>
      <c r="X520" s="832"/>
    </row>
    <row r="521" spans="1:24" s="812" customFormat="1" ht="39.950000000000003" hidden="1" customHeight="1" x14ac:dyDescent="0.15">
      <c r="A521" s="2072">
        <f ca="1">+Orçamento_Não_Deson!A521</f>
        <v>6</v>
      </c>
      <c r="B521" s="833" t="str">
        <f>+Orçamento_Não_Deson!B521</f>
        <v>PA/0021</v>
      </c>
      <c r="C521" s="2" t="str">
        <f>VLOOKUP($B521,[2]BOLETIM_SEL!$A:$H,2,0)</f>
        <v>COMPOSIÇÃO</v>
      </c>
      <c r="D521" s="315" t="str">
        <f>VLOOKUP($B521,[2]BOLETIM_SEL!$A:$H,4,0)</f>
        <v>Execução e compactação de base e ou sub-base, estabilizado granulometricamente, sem mistura, com material de jazida. Exclusive fornecimento e transporte (REF. SINAPI COD. 4011219)</v>
      </c>
      <c r="E521" s="2">
        <f>+Orçamento_Não_Deson!E521</f>
        <v>0</v>
      </c>
      <c r="F521" s="2" t="str">
        <f>VLOOKUP($B521,[2]BOLETIM_SEL!$A:$H,6,0)</f>
        <v>M3</v>
      </c>
      <c r="G521" s="1407">
        <f>VLOOKUP($B521,[2]BOLETIM_SEL!$A:$H,7,0)</f>
        <v>18.510000000000002</v>
      </c>
      <c r="H521" s="1608">
        <f>+Orçamento_Não_Deson!H521</f>
        <v>0</v>
      </c>
      <c r="I521" s="876">
        <f t="shared" si="111"/>
        <v>23.72</v>
      </c>
      <c r="J521" s="1607">
        <f t="shared" si="112"/>
        <v>0</v>
      </c>
      <c r="K521" s="2069">
        <f t="shared" ca="1" si="110"/>
        <v>0</v>
      </c>
      <c r="L521" s="1570" t="e">
        <f t="shared" si="113"/>
        <v>#DIV/0!</v>
      </c>
      <c r="M521" s="1967"/>
      <c r="N521" s="832"/>
      <c r="O521" s="832"/>
      <c r="Q521" s="832"/>
      <c r="R521" s="832"/>
      <c r="S521" s="832"/>
      <c r="T521" s="832"/>
      <c r="U521" s="832"/>
      <c r="V521" s="832"/>
      <c r="W521" s="832"/>
      <c r="X521" s="832"/>
    </row>
    <row r="522" spans="1:24" s="812" customFormat="1" ht="39.950000000000003" hidden="1" customHeight="1" x14ac:dyDescent="0.15">
      <c r="A522" s="2072">
        <f ca="1">+Orçamento_Não_Deson!A522</f>
        <v>6</v>
      </c>
      <c r="B522" s="833" t="str">
        <f>+Orçamento_Não_Deson!B522</f>
        <v>PA/0020</v>
      </c>
      <c r="C522" s="2" t="str">
        <f>VLOOKUP($B522,[2]BOLETIM_SEL!$A:$H,2,0)</f>
        <v>COMPOSIÇÃO</v>
      </c>
      <c r="D522" s="315" t="str">
        <f>VLOOKUP($B522,[2]BOLETIM_SEL!$A:$H,4,0)</f>
        <v>Execução e compactação de base e ou sub-base com material produto de britagem. Exclusive fornecimento e transporte de materiais (REF. SINAPI COD. 96396)</v>
      </c>
      <c r="E522" s="2">
        <f>+Orçamento_Não_Deson!E522</f>
        <v>0</v>
      </c>
      <c r="F522" s="2" t="str">
        <f>VLOOKUP($B522,[2]BOLETIM_SEL!$A:$H,6,0)</f>
        <v>M3</v>
      </c>
      <c r="G522" s="1407">
        <f>VLOOKUP($B522,[2]BOLETIM_SEL!$A:$H,7,0)</f>
        <v>13</v>
      </c>
      <c r="H522" s="1608">
        <f>+Orçamento_Não_Deson!H522</f>
        <v>0</v>
      </c>
      <c r="I522" s="876">
        <f t="shared" si="111"/>
        <v>16.66</v>
      </c>
      <c r="J522" s="1607">
        <f t="shared" si="112"/>
        <v>0</v>
      </c>
      <c r="K522" s="2069">
        <f t="shared" ca="1" si="110"/>
        <v>0</v>
      </c>
      <c r="L522" s="1570" t="e">
        <f t="shared" si="113"/>
        <v>#DIV/0!</v>
      </c>
      <c r="M522" s="1967"/>
      <c r="N522" s="832"/>
      <c r="O522" s="832"/>
      <c r="Q522" s="832"/>
      <c r="R522" s="832"/>
      <c r="S522" s="832"/>
      <c r="T522" s="832"/>
      <c r="U522" s="832"/>
      <c r="V522" s="832"/>
      <c r="W522" s="832"/>
      <c r="X522" s="832"/>
    </row>
    <row r="523" spans="1:24" s="812" customFormat="1" ht="30" hidden="1" customHeight="1" x14ac:dyDescent="0.15">
      <c r="A523" s="2072">
        <f ca="1">+Orçamento_Não_Deson!A523</f>
        <v>6</v>
      </c>
      <c r="B523" s="833" t="str">
        <f>+Orçamento_Não_Deson!B523</f>
        <v>RE/0060</v>
      </c>
      <c r="C523" s="2" t="str">
        <f>VLOOKUP($B523,[2]BOLETIM_SEL!$A:$H,2,0)</f>
        <v>COMPOSIÇÃO</v>
      </c>
      <c r="D523" s="315" t="str">
        <f>VLOOKUP($B523,[2]BOLETIM_SEL!$A:$H,4,0)</f>
        <v>Reciclagem simples com incorporação do revestimento asfáltico à base (REF. SICRO COD. 4011481)</v>
      </c>
      <c r="E523" s="2">
        <f>+Orçamento_Não_Deson!E523</f>
        <v>0</v>
      </c>
      <c r="F523" s="2" t="str">
        <f>VLOOKUP($B523,[2]BOLETIM_SEL!$A:$H,6,0)</f>
        <v>M3</v>
      </c>
      <c r="G523" s="1407">
        <f>VLOOKUP($B523,[2]BOLETIM_SEL!$A:$H,7,0)</f>
        <v>39.56</v>
      </c>
      <c r="H523" s="1608">
        <f>+Orçamento_Não_Deson!H523</f>
        <v>0</v>
      </c>
      <c r="I523" s="876">
        <f t="shared" si="111"/>
        <v>50.7</v>
      </c>
      <c r="J523" s="1607">
        <f t="shared" si="112"/>
        <v>0</v>
      </c>
      <c r="K523" s="2069">
        <f t="shared" ca="1" si="110"/>
        <v>0</v>
      </c>
      <c r="L523" s="1570" t="e">
        <f t="shared" si="113"/>
        <v>#DIV/0!</v>
      </c>
      <c r="M523" s="1967"/>
      <c r="N523" s="832"/>
      <c r="O523" s="832"/>
      <c r="Q523" s="832"/>
      <c r="R523" s="832"/>
      <c r="S523" s="832"/>
      <c r="T523" s="832"/>
      <c r="U523" s="832"/>
      <c r="V523" s="832"/>
      <c r="W523" s="832"/>
      <c r="X523" s="832"/>
    </row>
    <row r="524" spans="1:24" s="812" customFormat="1" ht="39.950000000000003" hidden="1" customHeight="1" x14ac:dyDescent="0.15">
      <c r="A524" s="2072">
        <f ca="1">+Orçamento_Não_Deson!A524</f>
        <v>6</v>
      </c>
      <c r="B524" s="833" t="str">
        <f>+Orçamento_Não_Deson!B524</f>
        <v>RE/0065</v>
      </c>
      <c r="C524" s="2" t="str">
        <f>VLOOKUP($B524,[2]BOLETIM_SEL!$A:$H,2,0)</f>
        <v>COMPOSIÇÃO</v>
      </c>
      <c r="D524" s="315" t="str">
        <f>VLOOKUP($B524,[2]BOLETIM_SEL!$A:$H,4,0)</f>
        <v>Reciclagem com adição de cimento e incorporação do revestimento asfáltico à base. Exclusive fornecimento de cimento (REF. SICRO COD. 4011482)</v>
      </c>
      <c r="E524" s="2">
        <f>+Orçamento_Não_Deson!E524</f>
        <v>0</v>
      </c>
      <c r="F524" s="2" t="str">
        <f>VLOOKUP($B524,[2]BOLETIM_SEL!$A:$H,6,0)</f>
        <v>M3</v>
      </c>
      <c r="G524" s="1407">
        <f>VLOOKUP($B524,[2]BOLETIM_SEL!$A:$H,7,0)</f>
        <v>41.19</v>
      </c>
      <c r="H524" s="1608">
        <f>+Orçamento_Não_Deson!H524</f>
        <v>0</v>
      </c>
      <c r="I524" s="876">
        <f t="shared" si="111"/>
        <v>52.79</v>
      </c>
      <c r="J524" s="1607">
        <f t="shared" si="112"/>
        <v>0</v>
      </c>
      <c r="K524" s="2069">
        <f t="shared" ca="1" si="110"/>
        <v>0</v>
      </c>
      <c r="L524" s="1570" t="e">
        <f t="shared" si="113"/>
        <v>#DIV/0!</v>
      </c>
      <c r="M524" s="1967"/>
      <c r="N524" s="832"/>
      <c r="O524" s="832"/>
      <c r="Q524" s="832"/>
      <c r="R524" s="832"/>
      <c r="S524" s="832"/>
      <c r="T524" s="832"/>
      <c r="U524" s="832"/>
      <c r="V524" s="832"/>
      <c r="W524" s="832"/>
      <c r="X524" s="832"/>
    </row>
    <row r="525" spans="1:24" s="812" customFormat="1" ht="39.950000000000003" hidden="1" customHeight="1" x14ac:dyDescent="0.15">
      <c r="A525" s="2072">
        <f ca="1">+Orçamento_Não_Deson!A525</f>
        <v>6</v>
      </c>
      <c r="B525" s="833" t="str">
        <f>+Orçamento_Não_Deson!B525</f>
        <v>RE/0070</v>
      </c>
      <c r="C525" s="2" t="str">
        <f>VLOOKUP($B525,[2]BOLETIM_SEL!$A:$H,2,0)</f>
        <v>COMPOSIÇÃO</v>
      </c>
      <c r="D525" s="315" t="str">
        <f>VLOOKUP($B525,[2]BOLETIM_SEL!$A:$H,4,0)</f>
        <v>Reciclagem com adição de brita e incorporação do revestimento asfáltico à base. Exclusive fornecimento de brita (REF. SICRO COD. 4011484)</v>
      </c>
      <c r="E525" s="2">
        <f>+Orçamento_Não_Deson!E525</f>
        <v>0</v>
      </c>
      <c r="F525" s="2" t="str">
        <f>VLOOKUP($B525,[2]BOLETIM_SEL!$A:$H,6,0)</f>
        <v>M3</v>
      </c>
      <c r="G525" s="1407">
        <f>VLOOKUP($B525,[2]BOLETIM_SEL!$A:$H,7,0)</f>
        <v>42.37</v>
      </c>
      <c r="H525" s="1608">
        <f>+Orçamento_Não_Deson!H525</f>
        <v>0</v>
      </c>
      <c r="I525" s="876">
        <f t="shared" si="111"/>
        <v>54.3</v>
      </c>
      <c r="J525" s="1607">
        <f t="shared" si="112"/>
        <v>0</v>
      </c>
      <c r="K525" s="2069">
        <f t="shared" ca="1" si="110"/>
        <v>0</v>
      </c>
      <c r="L525" s="1570" t="e">
        <f t="shared" si="113"/>
        <v>#DIV/0!</v>
      </c>
      <c r="M525" s="1967"/>
      <c r="N525" s="832"/>
      <c r="O525" s="832"/>
      <c r="Q525" s="832"/>
      <c r="R525" s="832"/>
      <c r="S525" s="832"/>
      <c r="T525" s="832"/>
      <c r="U525" s="832"/>
      <c r="V525" s="832"/>
      <c r="W525" s="832"/>
      <c r="X525" s="832"/>
    </row>
    <row r="526" spans="1:24" s="812" customFormat="1" ht="30" hidden="1" customHeight="1" x14ac:dyDescent="0.15">
      <c r="A526" s="2072">
        <f ca="1">+Orçamento_Não_Deson!A526</f>
        <v>6</v>
      </c>
      <c r="B526" s="833">
        <f>+Orçamento_Não_Deson!B526</f>
        <v>96001</v>
      </c>
      <c r="C526" s="2" t="str">
        <f>VLOOKUP($B526,[2]BOLETIM_SEL!$A:$H,2,0)</f>
        <v>SINAPI</v>
      </c>
      <c r="D526" s="315" t="str">
        <f>VLOOKUP($B526,[2]BOLETIM_SEL!$A:$H,4,0)</f>
        <v>Fresagem de pavimento asfáltico (profundidade até 5,0 cm) - exclusive transporte. AF_11/2019</v>
      </c>
      <c r="E526" s="2">
        <f>+Orçamento_Não_Deson!E526</f>
        <v>0</v>
      </c>
      <c r="F526" s="2" t="str">
        <f>VLOOKUP($B526,[2]BOLETIM_SEL!$A:$H,6,0)</f>
        <v>M2</v>
      </c>
      <c r="G526" s="1407">
        <f>VLOOKUP($B526,[2]BOLETIM_SEL!$A:$H,7,0)</f>
        <v>7.6</v>
      </c>
      <c r="H526" s="1608">
        <f>+Orçamento_Não_Deson!H526</f>
        <v>0</v>
      </c>
      <c r="I526" s="876">
        <f t="shared" si="111"/>
        <v>9.74</v>
      </c>
      <c r="J526" s="1607">
        <f t="shared" si="112"/>
        <v>0</v>
      </c>
      <c r="K526" s="2069">
        <f t="shared" ca="1" si="110"/>
        <v>0</v>
      </c>
      <c r="L526" s="1570" t="e">
        <f t="shared" si="113"/>
        <v>#DIV/0!</v>
      </c>
      <c r="M526" s="1967"/>
      <c r="N526" s="832"/>
      <c r="O526" s="832"/>
      <c r="Q526" s="832"/>
      <c r="R526" s="832"/>
      <c r="S526" s="832"/>
      <c r="T526" s="832"/>
      <c r="U526" s="832"/>
      <c r="V526" s="832"/>
      <c r="W526" s="832"/>
      <c r="X526" s="832"/>
    </row>
    <row r="527" spans="1:24" s="812" customFormat="1" ht="39.950000000000003" hidden="1" customHeight="1" x14ac:dyDescent="0.15">
      <c r="A527" s="2072">
        <f ca="1">+Orçamento_Não_Deson!A527</f>
        <v>6</v>
      </c>
      <c r="B527" s="833">
        <f>+Orçamento_Não_Deson!B527</f>
        <v>4743</v>
      </c>
      <c r="C527" s="2" t="str">
        <f>VLOOKUP($B527,[2]BOLETIM_SEL!$A:$H,2,0)</f>
        <v>COTAÇÃO - SINAPI</v>
      </c>
      <c r="D527" s="315" t="str">
        <f>VLOOKUP($B527,[2]BOLETIM_SEL!$A:$H,4,0)</f>
        <v>Cascalho de cava</v>
      </c>
      <c r="E527" s="2221" t="str">
        <f>+Orçamento_Não_Deson!E527</f>
        <v>BDI insumo</v>
      </c>
      <c r="F527" s="2" t="str">
        <f>VLOOKUP($B527,[2]BOLETIM_SEL!$A:$H,6,0)</f>
        <v xml:space="preserve">M3    </v>
      </c>
      <c r="G527" s="1407">
        <f>VLOOKUP($B527,[2]BOLETIM_SEL!$A:$H,7,0)</f>
        <v>60.9</v>
      </c>
      <c r="H527" s="1608">
        <f>+Orçamento_Não_Deson!H527</f>
        <v>0</v>
      </c>
      <c r="I527" s="2222">
        <f>TRUNC(G527*(1+$J$6),2)</f>
        <v>70.2</v>
      </c>
      <c r="J527" s="1607">
        <f t="shared" si="112"/>
        <v>0</v>
      </c>
      <c r="K527" s="2069">
        <f t="shared" ca="1" si="110"/>
        <v>0</v>
      </c>
      <c r="L527" s="1570" t="e">
        <f t="shared" si="113"/>
        <v>#DIV/0!</v>
      </c>
      <c r="M527" s="1967"/>
      <c r="N527" s="832"/>
      <c r="O527" s="832"/>
      <c r="Q527" s="832"/>
      <c r="R527" s="832"/>
      <c r="S527" s="832"/>
      <c r="T527" s="832"/>
      <c r="U527" s="832"/>
      <c r="V527" s="832"/>
      <c r="W527" s="832"/>
      <c r="X527" s="832"/>
    </row>
    <row r="528" spans="1:24" s="812" customFormat="1" ht="39.950000000000003" hidden="1" customHeight="1" x14ac:dyDescent="0.15">
      <c r="A528" s="2072">
        <f ca="1">+Orçamento_Não_Deson!A528</f>
        <v>6</v>
      </c>
      <c r="B528" s="833">
        <f>+Orçamento_Não_Deson!B528</f>
        <v>4748</v>
      </c>
      <c r="C528" s="2" t="str">
        <f>VLOOKUP($B528,[2]BOLETIM_SEL!$A:$H,2,0)</f>
        <v>COTAÇÃO - SINAPI</v>
      </c>
      <c r="D528" s="315" t="str">
        <f>VLOOKUP($B528,[2]BOLETIM_SEL!$A:$H,4,0)</f>
        <v>Pedra britada ou bica corrida, não classificada (posto pedreira/fornecedor, sem frete)</v>
      </c>
      <c r="E528" s="2221" t="str">
        <f>+Orçamento_Não_Deson!E528</f>
        <v>BDI insumo</v>
      </c>
      <c r="F528" s="2" t="str">
        <f>VLOOKUP($B528,[2]BOLETIM_SEL!$A:$H,6,0)</f>
        <v xml:space="preserve">M3    </v>
      </c>
      <c r="G528" s="1407">
        <f>VLOOKUP($B528,[2]BOLETIM_SEL!$A:$H,7,0)</f>
        <v>96.47</v>
      </c>
      <c r="H528" s="1608">
        <f>+Orçamento_Não_Deson!H528</f>
        <v>0</v>
      </c>
      <c r="I528" s="2222">
        <f>TRUNC(G528*(1+$J$6),2)</f>
        <v>111.21</v>
      </c>
      <c r="J528" s="1607">
        <f t="shared" si="112"/>
        <v>0</v>
      </c>
      <c r="K528" s="2069">
        <f t="shared" ca="1" si="110"/>
        <v>0</v>
      </c>
      <c r="L528" s="1570" t="e">
        <f t="shared" si="113"/>
        <v>#DIV/0!</v>
      </c>
      <c r="M528" s="1967"/>
      <c r="N528" s="832"/>
      <c r="O528" s="832"/>
      <c r="Q528" s="832"/>
      <c r="R528" s="832"/>
      <c r="S528" s="832"/>
      <c r="T528" s="832"/>
      <c r="U528" s="832"/>
      <c r="V528" s="832"/>
      <c r="W528" s="832"/>
      <c r="X528" s="832"/>
    </row>
    <row r="529" spans="1:24" s="812" customFormat="1" ht="39.950000000000003" hidden="1" customHeight="1" x14ac:dyDescent="0.15">
      <c r="A529" s="2072">
        <f ca="1">+Orçamento_Não_Deson!A529</f>
        <v>6</v>
      </c>
      <c r="B529" s="833">
        <f>+Orçamento_Não_Deson!B529</f>
        <v>4729</v>
      </c>
      <c r="C529" s="2" t="str">
        <f>VLOOKUP($B529,[2]BOLETIM_SEL!$A:$H,2,0)</f>
        <v>COTAÇÃO - SINAPI</v>
      </c>
      <c r="D529" s="315" t="str">
        <f>VLOOKUP($B529,[2]BOLETIM_SEL!$A:$H,4,0)</f>
        <v>Pedra britada graduada, classificada (posto pedreira/fornecedor, sem frete)</v>
      </c>
      <c r="E529" s="2221" t="str">
        <f>+Orçamento_Não_Deson!E529</f>
        <v>BDI insumo</v>
      </c>
      <c r="F529" s="2" t="str">
        <f>VLOOKUP($B529,[2]BOLETIM_SEL!$A:$H,6,0)</f>
        <v xml:space="preserve">M3    </v>
      </c>
      <c r="G529" s="1407">
        <f>VLOOKUP($B529,[2]BOLETIM_SEL!$A:$H,7,0)</f>
        <v>105.24</v>
      </c>
      <c r="H529" s="1608">
        <f>+Orçamento_Não_Deson!H529</f>
        <v>0</v>
      </c>
      <c r="I529" s="2222">
        <f>TRUNC(G529*(1+$J$6),2)</f>
        <v>121.32</v>
      </c>
      <c r="J529" s="1607">
        <f t="shared" si="112"/>
        <v>0</v>
      </c>
      <c r="K529" s="2069">
        <f t="shared" ca="1" si="110"/>
        <v>0</v>
      </c>
      <c r="L529" s="1570" t="e">
        <f t="shared" si="113"/>
        <v>#DIV/0!</v>
      </c>
      <c r="M529" s="1967"/>
      <c r="N529" s="832"/>
      <c r="O529" s="832"/>
      <c r="Q529" s="832"/>
      <c r="R529" s="832"/>
      <c r="S529" s="832"/>
      <c r="T529" s="832"/>
      <c r="U529" s="832"/>
      <c r="V529" s="832"/>
      <c r="W529" s="832"/>
      <c r="X529" s="832"/>
    </row>
    <row r="530" spans="1:24" s="812" customFormat="1" ht="39.950000000000003" hidden="1" customHeight="1" x14ac:dyDescent="0.15">
      <c r="A530" s="2072">
        <f ca="1">+Orçamento_Não_Deson!A530</f>
        <v>6</v>
      </c>
      <c r="B530" s="833">
        <f>+Orçamento_Não_Deson!B530</f>
        <v>4721</v>
      </c>
      <c r="C530" s="2" t="str">
        <f>VLOOKUP($B530,[2]BOLETIM_SEL!$A:$H,2,0)</f>
        <v>COTAÇÃO - SINAPI</v>
      </c>
      <c r="D530" s="315" t="str">
        <f>VLOOKUP($B530,[2]BOLETIM_SEL!$A:$H,4,0)</f>
        <v>Pedra britada n. 1 (9,5 A 19 mm) posto pedreira/fornecedor, sem frete</v>
      </c>
      <c r="E530" s="2221" t="str">
        <f>+Orçamento_Não_Deson!E530</f>
        <v>BDI insumo</v>
      </c>
      <c r="F530" s="2" t="str">
        <f>VLOOKUP($B530,[2]BOLETIM_SEL!$A:$H,6,0)</f>
        <v xml:space="preserve">M3    </v>
      </c>
      <c r="G530" s="1407">
        <f>VLOOKUP($B530,[2]BOLETIM_SEL!$A:$H,7,0)</f>
        <v>104.45</v>
      </c>
      <c r="H530" s="1608">
        <f>+Orçamento_Não_Deson!H530</f>
        <v>0</v>
      </c>
      <c r="I530" s="2222">
        <f>TRUNC(G530*(1+$J$6),2)</f>
        <v>120.4</v>
      </c>
      <c r="J530" s="1607">
        <f t="shared" si="112"/>
        <v>0</v>
      </c>
      <c r="K530" s="2069">
        <f t="shared" ca="1" si="110"/>
        <v>0</v>
      </c>
      <c r="L530" s="1570" t="e">
        <f t="shared" si="113"/>
        <v>#DIV/0!</v>
      </c>
      <c r="M530" s="1967"/>
      <c r="N530" s="832"/>
      <c r="O530" s="832"/>
      <c r="Q530" s="832"/>
      <c r="R530" s="832"/>
      <c r="S530" s="832"/>
      <c r="T530" s="832"/>
      <c r="U530" s="832"/>
      <c r="V530" s="832"/>
      <c r="W530" s="832"/>
      <c r="X530" s="832"/>
    </row>
    <row r="531" spans="1:24" s="812" customFormat="1" ht="39.950000000000003" hidden="1" customHeight="1" x14ac:dyDescent="0.15">
      <c r="A531" s="2072">
        <f ca="1">+Orçamento_Não_Deson!A531</f>
        <v>6</v>
      </c>
      <c r="B531" s="833">
        <f>+Orçamento_Não_Deson!B531</f>
        <v>1379</v>
      </c>
      <c r="C531" s="2" t="str">
        <f>VLOOKUP($B531,[2]BOLETIM_SEL!$A:$H,2,0)</f>
        <v>COTAÇÃO - SINAPI</v>
      </c>
      <c r="D531" s="315" t="str">
        <f>VLOOKUP($B531,[2]BOLETIM_SEL!$A:$H,4,0)</f>
        <v>Cimento portland composto CP II-32</v>
      </c>
      <c r="E531" s="2221" t="str">
        <f>+Orçamento_Não_Deson!E531</f>
        <v>BDI insumo</v>
      </c>
      <c r="F531" s="2" t="str">
        <f>VLOOKUP($B531,[2]BOLETIM_SEL!$A:$H,6,0)</f>
        <v xml:space="preserve">KG    </v>
      </c>
      <c r="G531" s="1407">
        <f>VLOOKUP($B531,[2]BOLETIM_SEL!$A:$H,7,0)</f>
        <v>0.8</v>
      </c>
      <c r="H531" s="1608">
        <f>+Orçamento_Não_Deson!H531</f>
        <v>0</v>
      </c>
      <c r="I531" s="2222">
        <f>TRUNC(G531*(1+$J$6),2)</f>
        <v>0.92</v>
      </c>
      <c r="J531" s="1607">
        <f t="shared" si="112"/>
        <v>0</v>
      </c>
      <c r="K531" s="2069">
        <f t="shared" ca="1" si="110"/>
        <v>0</v>
      </c>
      <c r="L531" s="1570" t="e">
        <f t="shared" si="113"/>
        <v>#DIV/0!</v>
      </c>
      <c r="M531" s="1967"/>
      <c r="N531" s="832"/>
      <c r="O531" s="832"/>
      <c r="Q531" s="832"/>
      <c r="R531" s="832"/>
      <c r="S531" s="832"/>
      <c r="T531" s="832"/>
      <c r="U531" s="832"/>
      <c r="V531" s="832"/>
      <c r="W531" s="832"/>
      <c r="X531" s="832"/>
    </row>
    <row r="532" spans="1:24" s="812" customFormat="1" ht="30" hidden="1" customHeight="1" x14ac:dyDescent="0.15">
      <c r="A532" s="2072">
        <f ca="1">+Orçamento_Não_Deson!A532</f>
        <v>6</v>
      </c>
      <c r="B532" s="833" t="str">
        <f>+Orçamento_Não_Deson!B532</f>
        <v>PA/0025</v>
      </c>
      <c r="C532" s="2" t="str">
        <f>VLOOKUP($B532,[2]BOLETIM_SEL!$A:$H,2,0)</f>
        <v>COMPOSIÇÃO</v>
      </c>
      <c r="D532" s="315" t="str">
        <f>VLOOKUP($B532,[2]BOLETIM_SEL!$A:$H,4,0)</f>
        <v>Imprimação da base, execução e fornecimento de emulsão asfáltica EAI (REF. SINAPI COD. 102470)</v>
      </c>
      <c r="E532" s="2">
        <f>+Orçamento_Não_Deson!E532</f>
        <v>0</v>
      </c>
      <c r="F532" s="2" t="str">
        <f>VLOOKUP($B532,[2]BOLETIM_SEL!$A:$H,6,0)</f>
        <v>M2</v>
      </c>
      <c r="G532" s="1407">
        <f>VLOOKUP($B532,[2]BOLETIM_SEL!$A:$H,7,0)</f>
        <v>5.18</v>
      </c>
      <c r="H532" s="1608">
        <f>+Orçamento_Não_Deson!H532</f>
        <v>0</v>
      </c>
      <c r="I532" s="876">
        <f t="shared" ref="I532:I542" si="114">TRUNC(G532*(1+$J$5),2)</f>
        <v>6.63</v>
      </c>
      <c r="J532" s="1607">
        <f t="shared" si="112"/>
        <v>0</v>
      </c>
      <c r="K532" s="2069">
        <f t="shared" ca="1" si="110"/>
        <v>0</v>
      </c>
      <c r="L532" s="1570" t="e">
        <f t="shared" si="113"/>
        <v>#DIV/0!</v>
      </c>
      <c r="M532" s="1968" t="str">
        <f>+Orçamento_Não_Deson!M532</f>
        <v>EAI</v>
      </c>
      <c r="N532" s="832"/>
      <c r="O532" s="832"/>
      <c r="Q532" s="832"/>
      <c r="R532" s="832"/>
      <c r="S532" s="832"/>
      <c r="T532" s="832"/>
      <c r="U532" s="832"/>
      <c r="V532" s="832"/>
      <c r="W532" s="832"/>
      <c r="X532" s="832"/>
    </row>
    <row r="533" spans="1:24" s="812" customFormat="1" ht="30" hidden="1" customHeight="1" x14ac:dyDescent="0.15">
      <c r="A533" s="2072">
        <f ca="1">+Orçamento_Não_Deson!A533</f>
        <v>6</v>
      </c>
      <c r="B533" s="833" t="str">
        <f>+Orçamento_Não_Deson!B533</f>
        <v>PA/0023</v>
      </c>
      <c r="C533" s="2" t="str">
        <f>VLOOKUP($B533,[2]BOLETIM_SEL!$A:$H,2,0)</f>
        <v>COMPOSIÇÃO</v>
      </c>
      <c r="D533" s="315" t="str">
        <f>VLOOKUP($B533,[2]BOLETIM_SEL!$A:$H,4,0)</f>
        <v>Pintura de ligação, execução e fornecimento de emulsão asfáltica RR-1C (ref SINAPI cód 104375)</v>
      </c>
      <c r="E533" s="2">
        <f>+Orçamento_Não_Deson!E533</f>
        <v>0</v>
      </c>
      <c r="F533" s="2" t="str">
        <f>VLOOKUP($B533,[2]BOLETIM_SEL!$A:$H,6,0)</f>
        <v>M2</v>
      </c>
      <c r="G533" s="1407">
        <f>VLOOKUP($B533,[2]BOLETIM_SEL!$A:$H,7,0)</f>
        <v>2.4700000000000002</v>
      </c>
      <c r="H533" s="1608">
        <f>+Orçamento_Não_Deson!H533</f>
        <v>0</v>
      </c>
      <c r="I533" s="876">
        <f t="shared" si="114"/>
        <v>3.16</v>
      </c>
      <c r="J533" s="1607">
        <f t="shared" si="112"/>
        <v>0</v>
      </c>
      <c r="K533" s="2069">
        <f t="shared" ca="1" si="110"/>
        <v>0</v>
      </c>
      <c r="L533" s="1570" t="e">
        <f t="shared" si="113"/>
        <v>#DIV/0!</v>
      </c>
      <c r="M533" s="1967"/>
      <c r="N533" s="832"/>
      <c r="O533" s="832"/>
      <c r="Q533" s="832"/>
      <c r="R533" s="832"/>
      <c r="S533" s="832"/>
      <c r="T533" s="832"/>
      <c r="U533" s="832"/>
      <c r="V533" s="832"/>
      <c r="W533" s="832"/>
      <c r="X533" s="832"/>
    </row>
    <row r="534" spans="1:24" s="812" customFormat="1" ht="39.950000000000003" hidden="1" customHeight="1" x14ac:dyDescent="0.15">
      <c r="A534" s="2072">
        <f ca="1">+Orçamento_Não_Deson!A534</f>
        <v>6</v>
      </c>
      <c r="B534" s="833" t="str">
        <f>+Orçamento_Não_Deson!B534</f>
        <v>RE/0050</v>
      </c>
      <c r="C534" s="2" t="str">
        <f>VLOOKUP($B534,[2]BOLETIM_SEL!$A:$H,2,0)</f>
        <v>COMPOSIÇÃO</v>
      </c>
      <c r="D534" s="315" t="str">
        <f>VLOOKUP($B534,[2]BOLETIM_SEL!$A:$H,4,0)</f>
        <v>CBUQ (usina comercial) - aplicação manual em fechamento de vala e remendos. Incluindo fornecimento dos materiais e compactação com rolo tandem compacto. Exclusive transporte. Ref BP 09.05.0500 RIO SCO</v>
      </c>
      <c r="E534" s="2">
        <f>+Orçamento_Não_Deson!E534</f>
        <v>0</v>
      </c>
      <c r="F534" s="2" t="str">
        <f>VLOOKUP($B534,[2]BOLETIM_SEL!$A:$H,6,0)</f>
        <v>M3</v>
      </c>
      <c r="G534" s="1407">
        <f>VLOOKUP($B534,[2]BOLETIM_SEL!$A:$H,7,0)</f>
        <v>1542.19</v>
      </c>
      <c r="H534" s="1608">
        <f>+Orçamento_Não_Deson!H534</f>
        <v>0</v>
      </c>
      <c r="I534" s="876">
        <f t="shared" si="114"/>
        <v>1976.62</v>
      </c>
      <c r="J534" s="1607">
        <f t="shared" si="112"/>
        <v>0</v>
      </c>
      <c r="K534" s="2069">
        <f t="shared" ca="1" si="110"/>
        <v>0</v>
      </c>
      <c r="L534" s="1570" t="e">
        <f t="shared" si="113"/>
        <v>#DIV/0!</v>
      </c>
      <c r="M534" s="1968" t="str">
        <f>+Orçamento_Não_Deson!M534</f>
        <v>COMERCIAL</v>
      </c>
      <c r="N534" s="832"/>
      <c r="O534" s="832"/>
      <c r="Q534" s="832"/>
      <c r="R534" s="832"/>
      <c r="S534" s="832"/>
      <c r="T534" s="832"/>
      <c r="U534" s="832"/>
      <c r="V534" s="832"/>
      <c r="W534" s="832"/>
      <c r="X534" s="832"/>
    </row>
    <row r="535" spans="1:24" s="812" customFormat="1" ht="39.950000000000003" hidden="1" customHeight="1" x14ac:dyDescent="0.15">
      <c r="A535" s="2072">
        <f ca="1">+Orçamento_Não_Deson!A535</f>
        <v>6</v>
      </c>
      <c r="B535" s="833" t="str">
        <f>+Orçamento_Não_Deson!B535</f>
        <v>RE/0055</v>
      </c>
      <c r="C535" s="2" t="str">
        <f>VLOOKUP($B535,[2]BOLETIM_SEL!$A:$H,2,0)</f>
        <v>COMPOSIÇÃO</v>
      </c>
      <c r="D535" s="315" t="str">
        <f>VLOOKUP($B535,[2]BOLETIM_SEL!$A:$H,4,0)</f>
        <v>CBUQ (usina comercial) - aplicação com motoniveladora (reperfilamento). Incluindo fornecimento de materiais. Exclusive transporte</v>
      </c>
      <c r="E535" s="2">
        <f>+Orçamento_Não_Deson!E535</f>
        <v>0</v>
      </c>
      <c r="F535" s="2" t="str">
        <f>VLOOKUP($B535,[2]BOLETIM_SEL!$A:$H,6,0)</f>
        <v>M3</v>
      </c>
      <c r="G535" s="1407">
        <f>VLOOKUP($B535,[2]BOLETIM_SEL!$A:$H,7,0)</f>
        <v>1570.13</v>
      </c>
      <c r="H535" s="1608">
        <f>+Orçamento_Não_Deson!H535</f>
        <v>0</v>
      </c>
      <c r="I535" s="876">
        <f t="shared" si="114"/>
        <v>2012.43</v>
      </c>
      <c r="J535" s="1607">
        <f t="shared" si="112"/>
        <v>0</v>
      </c>
      <c r="K535" s="2069">
        <f t="shared" ca="1" si="110"/>
        <v>0</v>
      </c>
      <c r="L535" s="1570" t="e">
        <f t="shared" si="113"/>
        <v>#DIV/0!</v>
      </c>
      <c r="M535" s="1968" t="str">
        <f>+Orçamento_Não_Deson!M535</f>
        <v>COMERCIAL</v>
      </c>
      <c r="N535" s="832"/>
      <c r="O535" s="832"/>
      <c r="Q535" s="832"/>
      <c r="R535" s="832"/>
      <c r="S535" s="832"/>
      <c r="T535" s="832"/>
      <c r="U535" s="832"/>
      <c r="V535" s="832"/>
      <c r="W535" s="832"/>
      <c r="X535" s="832"/>
    </row>
    <row r="536" spans="1:24" s="812" customFormat="1" ht="39.950000000000003" hidden="1" customHeight="1" x14ac:dyDescent="0.15">
      <c r="A536" s="2072">
        <f ca="1">+Orçamento_Não_Deson!A536</f>
        <v>6</v>
      </c>
      <c r="B536" s="833" t="str">
        <f>+Orçamento_Não_Deson!B536</f>
        <v>PA/0040</v>
      </c>
      <c r="C536" s="2" t="str">
        <f>VLOOKUP($B536,[2]BOLETIM_SEL!$A:$H,2,0)</f>
        <v>COMPOSIÇÃO</v>
      </c>
      <c r="D536" s="315" t="str">
        <f>VLOOKUP($B536,[2]BOLETIM_SEL!$A:$H,4,0)</f>
        <v>Construção de pavimento com aplicação de concreto betuminoso usinado à quente (CBUQ - faixa C - CAP 30/45 - usina comercial), camada de rolamento, exclusive transporte da mistura (REF. SINAPI COD. 95995)</v>
      </c>
      <c r="E536" s="2">
        <f>+Orçamento_Não_Deson!E536</f>
        <v>0</v>
      </c>
      <c r="F536" s="2" t="str">
        <f>VLOOKUP($B536,[2]BOLETIM_SEL!$A:$H,6,0)</f>
        <v>M3</v>
      </c>
      <c r="G536" s="1407">
        <f>VLOOKUP($B536,[2]BOLETIM_SEL!$A:$H,7,0)</f>
        <v>1618.68</v>
      </c>
      <c r="H536" s="1608">
        <f>+Orçamento_Não_Deson!H536</f>
        <v>0</v>
      </c>
      <c r="I536" s="876">
        <f t="shared" si="114"/>
        <v>2074.66</v>
      </c>
      <c r="J536" s="1607">
        <f t="shared" si="112"/>
        <v>0</v>
      </c>
      <c r="K536" s="2069">
        <f t="shared" ca="1" si="110"/>
        <v>0</v>
      </c>
      <c r="L536" s="1570" t="e">
        <f t="shared" si="113"/>
        <v>#DIV/0!</v>
      </c>
      <c r="M536" s="1968" t="str">
        <f>+Orçamento_Não_Deson!M536</f>
        <v>COMERCIAL 30/45</v>
      </c>
      <c r="N536" s="832"/>
      <c r="O536" s="832"/>
      <c r="Q536" s="832"/>
      <c r="R536" s="832"/>
      <c r="S536" s="832"/>
      <c r="T536" s="832"/>
      <c r="U536" s="832"/>
      <c r="V536" s="832"/>
      <c r="W536" s="832"/>
      <c r="X536" s="832"/>
    </row>
    <row r="537" spans="1:24" s="812" customFormat="1" ht="50.1" hidden="1" customHeight="1" x14ac:dyDescent="0.15">
      <c r="A537" s="2072">
        <f ca="1">+Orçamento_Não_Deson!A537</f>
        <v>6</v>
      </c>
      <c r="B537" s="833" t="str">
        <f>+Orçamento_Não_Deson!B537</f>
        <v>RE/0040</v>
      </c>
      <c r="C537" s="2" t="str">
        <f>VLOOKUP($B537,[2]BOLETIM_SEL!$A:$H,2,0)</f>
        <v>COMPOSIÇÃO</v>
      </c>
      <c r="D537" s="315" t="str">
        <f>VLOOKUP($B537,[2]BOLETIM_SEL!$A:$H,4,0)</f>
        <v>Execução de pré-misturado a frio - PMF, faixa C (semidenso), com emulsão asfáltica RL-1C, aplicação manual em fechamento de vala e remendos. Incluindo fornecimento dos materiais, usinagem e compactação com rolo tandem compacto. Exclusive transporte</v>
      </c>
      <c r="E537" s="2">
        <f>+Orçamento_Não_Deson!E537</f>
        <v>0</v>
      </c>
      <c r="F537" s="2" t="str">
        <f>VLOOKUP($B537,[2]BOLETIM_SEL!$A:$H,6,0)</f>
        <v>M3</v>
      </c>
      <c r="G537" s="1407">
        <f>VLOOKUP($B537,[2]BOLETIM_SEL!$A:$H,7,0)</f>
        <v>1037.18</v>
      </c>
      <c r="H537" s="1608">
        <f>+Orçamento_Não_Deson!H537</f>
        <v>0</v>
      </c>
      <c r="I537" s="876">
        <f t="shared" si="114"/>
        <v>1329.35</v>
      </c>
      <c r="J537" s="1607">
        <f t="shared" si="112"/>
        <v>0</v>
      </c>
      <c r="K537" s="2069">
        <f t="shared" ca="1" si="110"/>
        <v>0</v>
      </c>
      <c r="L537" s="1570" t="e">
        <f t="shared" si="113"/>
        <v>#DIV/0!</v>
      </c>
      <c r="M537" s="1967"/>
      <c r="N537" s="832"/>
      <c r="O537" s="832"/>
      <c r="Q537" s="832"/>
      <c r="R537" s="832"/>
      <c r="S537" s="832"/>
      <c r="T537" s="832"/>
      <c r="U537" s="832"/>
      <c r="V537" s="832"/>
      <c r="W537" s="832"/>
      <c r="X537" s="832"/>
    </row>
    <row r="538" spans="1:24" s="812" customFormat="1" ht="39.950000000000003" hidden="1" customHeight="1" x14ac:dyDescent="0.15">
      <c r="A538" s="2072">
        <f ca="1">+Orçamento_Não_Deson!A538</f>
        <v>6</v>
      </c>
      <c r="B538" s="833" t="str">
        <f>+Orçamento_Não_Deson!B538</f>
        <v>RE/0045</v>
      </c>
      <c r="C538" s="2" t="str">
        <f>VLOOKUP($B538,[2]BOLETIM_SEL!$A:$H,2,0)</f>
        <v>COMPOSIÇÃO</v>
      </c>
      <c r="D538" s="315" t="str">
        <f>VLOOKUP($B538,[2]BOLETIM_SEL!$A:$H,4,0)</f>
        <v>Execução de pré-misturado a frio - PMF, faixa C (semidenso), com emulsão asfáltica RL-1C, aplicação com motoniveladora (reperfilamento). Incluindo fornecimento de materiais. Exclusive transporte</v>
      </c>
      <c r="E538" s="2">
        <f>+Orçamento_Não_Deson!E538</f>
        <v>0</v>
      </c>
      <c r="F538" s="2" t="str">
        <f>VLOOKUP($B538,[2]BOLETIM_SEL!$A:$H,6,0)</f>
        <v>M3</v>
      </c>
      <c r="G538" s="1407">
        <f>VLOOKUP($B538,[2]BOLETIM_SEL!$A:$H,7,0)</f>
        <v>1063.08</v>
      </c>
      <c r="H538" s="1608">
        <f>+Orçamento_Não_Deson!H538</f>
        <v>0</v>
      </c>
      <c r="I538" s="876">
        <f t="shared" si="114"/>
        <v>1362.54</v>
      </c>
      <c r="J538" s="1607">
        <f t="shared" si="112"/>
        <v>0</v>
      </c>
      <c r="K538" s="2069">
        <f t="shared" ca="1" si="110"/>
        <v>0</v>
      </c>
      <c r="L538" s="1570" t="e">
        <f t="shared" si="113"/>
        <v>#DIV/0!</v>
      </c>
      <c r="M538" s="1967"/>
      <c r="N538" s="832"/>
      <c r="O538" s="832"/>
      <c r="Q538" s="832"/>
      <c r="R538" s="832"/>
      <c r="S538" s="832"/>
      <c r="T538" s="832"/>
      <c r="U538" s="832"/>
      <c r="V538" s="832"/>
      <c r="W538" s="832"/>
      <c r="X538" s="832"/>
    </row>
    <row r="539" spans="1:24" s="812" customFormat="1" ht="39.950000000000003" hidden="1" customHeight="1" x14ac:dyDescent="0.15">
      <c r="A539" s="2072">
        <f ca="1">+Orçamento_Não_Deson!A539</f>
        <v>6</v>
      </c>
      <c r="B539" s="833" t="str">
        <f>+Orçamento_Não_Deson!B539</f>
        <v>PA/0055</v>
      </c>
      <c r="C539" s="2" t="str">
        <f>VLOOKUP($B539,[2]BOLETIM_SEL!$A:$H,2,0)</f>
        <v>COMPOSIÇÃO</v>
      </c>
      <c r="D539" s="315" t="str">
        <f>VLOOKUP($B539,[2]BOLETIM_SEL!$A:$H,4,0)</f>
        <v>Execução de pré-misturado a frio - PMF, faixa C (semidenso), com emulsão asfáltica RL-1C, para revestimento, aplicação com vibroacabadora. Exclusive transporte</v>
      </c>
      <c r="E539" s="2">
        <f>+Orçamento_Não_Deson!E539</f>
        <v>0</v>
      </c>
      <c r="F539" s="2" t="str">
        <f>VLOOKUP($B539,[2]BOLETIM_SEL!$A:$H,6,0)</f>
        <v>M3</v>
      </c>
      <c r="G539" s="1407"/>
      <c r="H539" s="1608">
        <f>+Orçamento_Não_Deson!H539</f>
        <v>0</v>
      </c>
      <c r="I539" s="2180">
        <f t="shared" si="114"/>
        <v>0</v>
      </c>
      <c r="J539" s="2181">
        <f t="shared" si="112"/>
        <v>0</v>
      </c>
      <c r="K539" s="2182">
        <f t="shared" ca="1" si="110"/>
        <v>0</v>
      </c>
      <c r="L539" s="2368" t="e">
        <f t="shared" si="113"/>
        <v>#DIV/0!</v>
      </c>
      <c r="M539" s="1967"/>
      <c r="N539" s="832"/>
      <c r="O539" s="832"/>
      <c r="Q539" s="832"/>
      <c r="R539" s="832"/>
      <c r="S539" s="832"/>
      <c r="T539" s="832"/>
      <c r="U539" s="832"/>
      <c r="V539" s="832"/>
      <c r="W539" s="832"/>
      <c r="X539" s="832"/>
    </row>
    <row r="540" spans="1:24" s="812" customFormat="1" ht="39.950000000000003" hidden="1" customHeight="1" x14ac:dyDescent="0.15">
      <c r="A540" s="2072">
        <f ca="1">+Orçamento_Não_Deson!A540</f>
        <v>6</v>
      </c>
      <c r="B540" s="833">
        <f>+Orçamento_Não_Deson!B540</f>
        <v>100978</v>
      </c>
      <c r="C540" s="2" t="str">
        <f>VLOOKUP($B540,[2]BOLETIM_SEL!$A:$H,2,0)</f>
        <v>SINAPI</v>
      </c>
      <c r="D540" s="315" t="str">
        <f>VLOOKUP($B540,[2]BOLETIM_SEL!$A:$H,4,0)</f>
        <v>Carga, manobra e descarga de solos e materiais granulares em caminhão basculante 10 m3 - carga com escavadeira hidráulica (capacidade da caçamba: 1,20 m3 / potência: 155 HP) e descarga livre (unidade: m3). AF_07/2020</v>
      </c>
      <c r="E540" s="2">
        <f>+Orçamento_Não_Deson!E540</f>
        <v>0</v>
      </c>
      <c r="F540" s="2" t="str">
        <f>VLOOKUP($B540,[2]BOLETIM_SEL!$A:$H,6,0)</f>
        <v>M3</v>
      </c>
      <c r="G540" s="1407">
        <f>VLOOKUP($B540,[2]BOLETIM_SEL!$A:$H,7,0)</f>
        <v>6.56</v>
      </c>
      <c r="H540" s="1608">
        <f>+Orçamento_Não_Deson!H540</f>
        <v>0</v>
      </c>
      <c r="I540" s="876">
        <f t="shared" si="114"/>
        <v>8.4</v>
      </c>
      <c r="J540" s="1607">
        <f t="shared" si="112"/>
        <v>0</v>
      </c>
      <c r="K540" s="2069">
        <f t="shared" ca="1" si="110"/>
        <v>0</v>
      </c>
      <c r="L540" s="1570" t="e">
        <f t="shared" si="113"/>
        <v>#DIV/0!</v>
      </c>
      <c r="M540" s="1968" t="str">
        <f>+Orçamento_Não_Deson!M540</f>
        <v>ESCAVADEIRA</v>
      </c>
      <c r="N540" s="832"/>
      <c r="O540" s="832"/>
      <c r="Q540" s="832"/>
      <c r="R540" s="832"/>
      <c r="S540" s="832"/>
      <c r="T540" s="832"/>
      <c r="U540" s="832"/>
      <c r="V540" s="832"/>
      <c r="W540" s="832"/>
      <c r="X540" s="832"/>
    </row>
    <row r="541" spans="1:24" s="812" customFormat="1" ht="39.950000000000003" hidden="1" customHeight="1" x14ac:dyDescent="0.15">
      <c r="A541" s="2072">
        <f ca="1">+Orçamento_Não_Deson!A541</f>
        <v>6</v>
      </c>
      <c r="B541" s="833">
        <f>+Orçamento_Não_Deson!B541</f>
        <v>100979</v>
      </c>
      <c r="C541" s="2" t="str">
        <f>VLOOKUP($B541,[2]BOLETIM_SEL!$A:$H,2,0)</f>
        <v>SINAPI</v>
      </c>
      <c r="D541" s="315" t="str">
        <f>VLOOKUP($B541,[2]BOLETIM_SEL!$A:$H,4,0)</f>
        <v>Carga, manobra e descarga de solos e materiais granulares em caminhão basculante 14 m3 - carga com escavadeira hidráulica (capacidade da caçamba: 1,20 m3 / potência: 155 HP) e descarga livre (unidade: m3). AF_07/2020</v>
      </c>
      <c r="E541" s="2">
        <f>+Orçamento_Não_Deson!E541</f>
        <v>0</v>
      </c>
      <c r="F541" s="2" t="str">
        <f>VLOOKUP($B541,[2]BOLETIM_SEL!$A:$H,6,0)</f>
        <v>M3</v>
      </c>
      <c r="G541" s="1407">
        <f>VLOOKUP($B541,[2]BOLETIM_SEL!$A:$H,7,0)</f>
        <v>6.35</v>
      </c>
      <c r="H541" s="1608">
        <f>+Orçamento_Não_Deson!H541</f>
        <v>0</v>
      </c>
      <c r="I541" s="876">
        <f t="shared" si="114"/>
        <v>8.1300000000000008</v>
      </c>
      <c r="J541" s="1607">
        <f t="shared" si="112"/>
        <v>0</v>
      </c>
      <c r="K541" s="2069">
        <f t="shared" ca="1" si="110"/>
        <v>0</v>
      </c>
      <c r="L541" s="1570" t="e">
        <f t="shared" si="113"/>
        <v>#DIV/0!</v>
      </c>
      <c r="M541" s="1968" t="str">
        <f>+Orçamento_Não_Deson!M541</f>
        <v>ESCAVADEIRA</v>
      </c>
      <c r="N541" s="832"/>
      <c r="O541" s="832"/>
      <c r="Q541" s="832"/>
      <c r="R541" s="832"/>
      <c r="S541" s="832"/>
      <c r="T541" s="832"/>
      <c r="U541" s="832"/>
      <c r="V541" s="832"/>
      <c r="W541" s="832"/>
      <c r="X541" s="832"/>
    </row>
    <row r="542" spans="1:24" s="812" customFormat="1" ht="39.950000000000003" hidden="1" customHeight="1" x14ac:dyDescent="0.15">
      <c r="A542" s="2072">
        <f ca="1">+Orçamento_Não_Deson!A542</f>
        <v>6</v>
      </c>
      <c r="B542" s="833" t="str">
        <f>+Orçamento_Não_Deson!B542</f>
        <v>ST/0070</v>
      </c>
      <c r="C542" s="2" t="str">
        <f>VLOOKUP($B542,[2]BOLETIM_SEL!$A:$H,2,0)</f>
        <v>COMPOSIÇÃO</v>
      </c>
      <c r="D542" s="315" t="str">
        <f>VLOOKUP($B542,[2]BOLETIM_SEL!$A:$H,4,0)</f>
        <v>Carga, manobra e descarga de materiais diversos em caminhão carroceria - carga e descaga manuais (REF. SICRO COD. 5915474)</v>
      </c>
      <c r="E542" s="2">
        <f>+Orçamento_Não_Deson!E542</f>
        <v>0</v>
      </c>
      <c r="F542" s="2" t="str">
        <f>VLOOKUP($B542,[2]BOLETIM_SEL!$A:$H,6,0)</f>
        <v>T</v>
      </c>
      <c r="G542" s="1407">
        <f>VLOOKUP($B542,[2]BOLETIM_SEL!$A:$H,7,0)</f>
        <v>29.25</v>
      </c>
      <c r="H542" s="1608">
        <f>+Orçamento_Não_Deson!H542</f>
        <v>0</v>
      </c>
      <c r="I542" s="876">
        <f t="shared" si="114"/>
        <v>37.479999999999997</v>
      </c>
      <c r="J542" s="1607">
        <f t="shared" si="112"/>
        <v>0</v>
      </c>
      <c r="K542" s="2069">
        <f t="shared" ca="1" si="110"/>
        <v>0</v>
      </c>
      <c r="L542" s="1570" t="e">
        <f t="shared" si="113"/>
        <v>#DIV/0!</v>
      </c>
      <c r="M542" s="1967" t="str">
        <f>+Orçamento_Não_Deson!M542</f>
        <v>Cimento</v>
      </c>
      <c r="N542" s="832"/>
      <c r="O542" s="832"/>
      <c r="Q542" s="832"/>
      <c r="R542" s="832"/>
      <c r="S542" s="832"/>
      <c r="T542" s="832"/>
      <c r="U542" s="832"/>
      <c r="V542" s="832"/>
      <c r="W542" s="832"/>
      <c r="X542" s="832"/>
    </row>
    <row r="543" spans="1:24" s="812" customFormat="1" ht="24.95" hidden="1" customHeight="1" x14ac:dyDescent="0.15">
      <c r="A543" s="2072"/>
      <c r="B543" s="833"/>
      <c r="C543" s="2"/>
      <c r="D543" s="1449" t="s">
        <v>1798</v>
      </c>
      <c r="E543" s="2"/>
      <c r="F543" s="2"/>
      <c r="G543" s="1407"/>
      <c r="H543" s="2"/>
      <c r="I543" s="2"/>
      <c r="J543" s="838" t="str">
        <f>IF(J544=0,"-","")</f>
        <v>-</v>
      </c>
      <c r="K543" s="2069"/>
      <c r="L543" s="1570"/>
      <c r="M543" s="1967"/>
      <c r="N543" s="832"/>
      <c r="O543" s="832"/>
      <c r="Q543" s="832"/>
      <c r="R543" s="832"/>
      <c r="S543" s="832"/>
      <c r="T543" s="832"/>
      <c r="U543" s="832"/>
      <c r="V543" s="832"/>
      <c r="W543" s="832"/>
      <c r="X543" s="832"/>
    </row>
    <row r="544" spans="1:24" s="812" customFormat="1" ht="39.950000000000003" hidden="1" customHeight="1" x14ac:dyDescent="0.15">
      <c r="A544" s="2072">
        <f ca="1">+Orçamento_Não_Deson!A544</f>
        <v>6</v>
      </c>
      <c r="B544" s="833">
        <f>+Orçamento_Não_Deson!B544</f>
        <v>95875</v>
      </c>
      <c r="C544" s="2" t="str">
        <f>VLOOKUP($B544,[2]BOLETIM_SEL!$A:$H,2,0)</f>
        <v>SINAPI</v>
      </c>
      <c r="D544" s="315" t="str">
        <f>VLOOKUP($B544,[2]BOLETIM_SEL!$A:$H,4,0)</f>
        <v>Transporte com caminhão basculante de 10 m3, em via urbana pavimentada, DMT até 30,00 km (unidade: m3xkm). AF_07/2020</v>
      </c>
      <c r="E544" s="2">
        <f>+Orçamento_Não_Deson!E544</f>
        <v>8</v>
      </c>
      <c r="F544" s="2" t="str">
        <f>VLOOKUP($B544,[2]BOLETIM_SEL!$A:$H,6,0)</f>
        <v>M3XKM</v>
      </c>
      <c r="G544" s="1407">
        <f>VLOOKUP($B544,[2]BOLETIM_SEL!$A:$H,7,0)</f>
        <v>2.33</v>
      </c>
      <c r="H544" s="1608">
        <f>+Orçamento_Não_Deson!H544</f>
        <v>0</v>
      </c>
      <c r="I544" s="876">
        <f>TRUNC(G544*(1+$J$5),2)</f>
        <v>2.98</v>
      </c>
      <c r="J544" s="1607">
        <f t="shared" si="112"/>
        <v>0</v>
      </c>
      <c r="K544" s="2069">
        <f ca="1">J544/J$930</f>
        <v>0</v>
      </c>
      <c r="L544" s="1570" t="e">
        <f t="shared" si="113"/>
        <v>#DIV/0!</v>
      </c>
      <c r="M544" s="1969">
        <f>+Orçamento_Não_Deson!M544</f>
        <v>0</v>
      </c>
      <c r="N544" s="832"/>
      <c r="O544" s="832"/>
      <c r="Q544" s="832"/>
      <c r="R544" s="832"/>
      <c r="S544" s="832"/>
      <c r="T544" s="832"/>
      <c r="U544" s="832"/>
      <c r="V544" s="832"/>
      <c r="W544" s="832"/>
      <c r="X544" s="832"/>
    </row>
    <row r="545" spans="1:24" s="812" customFormat="1" ht="24.95" hidden="1" customHeight="1" x14ac:dyDescent="0.15">
      <c r="A545" s="2072"/>
      <c r="B545" s="833"/>
      <c r="C545" s="2"/>
      <c r="D545" s="1449" t="s">
        <v>1790</v>
      </c>
      <c r="E545" s="2"/>
      <c r="F545" s="2"/>
      <c r="G545" s="1407"/>
      <c r="H545" s="2"/>
      <c r="I545" s="2"/>
      <c r="J545" s="838" t="str">
        <f>IF(J546=0,"-","")</f>
        <v>-</v>
      </c>
      <c r="K545" s="2069"/>
      <c r="L545" s="1570"/>
      <c r="M545" s="1967" t="str">
        <f>+Orçamento_Não_Deson!M545</f>
        <v>Definir depósito reciclável: 2, 3 ou 4</v>
      </c>
      <c r="N545" s="832"/>
      <c r="O545" s="832"/>
      <c r="Q545" s="832"/>
      <c r="R545" s="832"/>
      <c r="S545" s="832"/>
      <c r="T545" s="832"/>
      <c r="U545" s="832"/>
      <c r="V545" s="832"/>
      <c r="W545" s="832"/>
      <c r="X545" s="832"/>
    </row>
    <row r="546" spans="1:24" s="812" customFormat="1" ht="39.950000000000003" hidden="1" customHeight="1" x14ac:dyDescent="0.15">
      <c r="A546" s="2072">
        <f ca="1">+Orçamento_Não_Deson!A546</f>
        <v>6</v>
      </c>
      <c r="B546" s="833">
        <f>+Orçamento_Não_Deson!B546</f>
        <v>95878</v>
      </c>
      <c r="C546" s="2" t="str">
        <f>VLOOKUP($B546,[2]BOLETIM_SEL!$A:$H,2,0)</f>
        <v>SINAPI</v>
      </c>
      <c r="D546" s="315" t="str">
        <f>VLOOKUP($B546,[2]BOLETIM_SEL!$A:$H,4,0)</f>
        <v>Transporte com caminhão basculante de 10 m3, em via urbana pavimentada, DMT até 30,00 km (unidade: txkm). AF_07/2020</v>
      </c>
      <c r="E546" s="2">
        <f>+Orçamento_Não_Deson!E546</f>
        <v>0</v>
      </c>
      <c r="F546" s="2" t="str">
        <f>VLOOKUP($B546,[2]BOLETIM_SEL!$A:$H,6,0)</f>
        <v>TXKM</v>
      </c>
      <c r="G546" s="1407">
        <f>VLOOKUP($B546,[2]BOLETIM_SEL!$A:$H,7,0)</f>
        <v>1.57</v>
      </c>
      <c r="H546" s="1608">
        <f>+Orçamento_Não_Deson!H546</f>
        <v>0</v>
      </c>
      <c r="I546" s="876">
        <f>TRUNC(G546*(1+$J$5),2)</f>
        <v>2.0099999999999998</v>
      </c>
      <c r="J546" s="1607">
        <f>TRUNC(H546*I546,2)</f>
        <v>0</v>
      </c>
      <c r="K546" s="2069">
        <f ca="1">J546/J$930</f>
        <v>0</v>
      </c>
      <c r="L546" s="1570" t="e">
        <f t="shared" si="113"/>
        <v>#DIV/0!</v>
      </c>
      <c r="M546" s="1976">
        <f>+Orçamento_Não_Deson!M546</f>
        <v>0</v>
      </c>
      <c r="N546" s="832"/>
      <c r="O546" s="832"/>
      <c r="Q546" s="832"/>
      <c r="R546" s="832"/>
      <c r="S546" s="832"/>
      <c r="T546" s="832"/>
      <c r="U546" s="832"/>
      <c r="V546" s="832"/>
      <c r="W546" s="832"/>
      <c r="X546" s="832"/>
    </row>
    <row r="547" spans="1:24" s="812" customFormat="1" ht="24.95" hidden="1" customHeight="1" x14ac:dyDescent="0.15">
      <c r="A547" s="2072"/>
      <c r="B547" s="833"/>
      <c r="C547" s="2"/>
      <c r="D547" s="1449" t="s">
        <v>1811</v>
      </c>
      <c r="E547" s="2"/>
      <c r="F547" s="2"/>
      <c r="G547" s="1407"/>
      <c r="H547" s="2"/>
      <c r="I547" s="2"/>
      <c r="J547" s="838" t="str">
        <f>IF(J548=0,"-","")</f>
        <v>-</v>
      </c>
      <c r="K547" s="2069"/>
      <c r="L547" s="1570"/>
      <c r="M547" s="1967"/>
      <c r="N547" s="832"/>
      <c r="O547" s="832"/>
      <c r="Q547" s="832"/>
      <c r="R547" s="832"/>
      <c r="S547" s="832"/>
      <c r="T547" s="832"/>
      <c r="U547" s="832"/>
      <c r="V547" s="832"/>
      <c r="W547" s="832"/>
      <c r="X547" s="832"/>
    </row>
    <row r="548" spans="1:24" s="812" customFormat="1" ht="30" hidden="1" customHeight="1" x14ac:dyDescent="0.15">
      <c r="A548" s="2072">
        <f ca="1">+Orçamento_Não_Deson!A548</f>
        <v>6</v>
      </c>
      <c r="B548" s="833">
        <f>+Orçamento_Não_Deson!B548</f>
        <v>95875</v>
      </c>
      <c r="C548" s="2" t="str">
        <f>VLOOKUP($B548,[2]BOLETIM_SEL!$A:$H,2,0)</f>
        <v>SINAPI</v>
      </c>
      <c r="D548" s="315" t="str">
        <f>VLOOKUP($B548,[2]BOLETIM_SEL!$A:$H,4,0)</f>
        <v>Transporte com caminhão basculante de 10 m3, em via urbana pavimentada, DMT até 30,00 km (unidade: m3xkm). AF_07/2020</v>
      </c>
      <c r="E548" s="2">
        <f>+Orçamento_Não_Deson!E548</f>
        <v>7</v>
      </c>
      <c r="F548" s="2" t="str">
        <f>VLOOKUP($B548,[2]BOLETIM_SEL!$A:$H,6,0)</f>
        <v>M3XKM</v>
      </c>
      <c r="G548" s="1407">
        <f>VLOOKUP($B548,[2]BOLETIM_SEL!$A:$H,7,0)</f>
        <v>2.33</v>
      </c>
      <c r="H548" s="1608">
        <f>+Orçamento_Não_Deson!H548</f>
        <v>0</v>
      </c>
      <c r="I548" s="876">
        <f>TRUNC(G548*(1+$J$5),2)</f>
        <v>2.98</v>
      </c>
      <c r="J548" s="1607">
        <f t="shared" si="112"/>
        <v>0</v>
      </c>
      <c r="K548" s="2069">
        <f ca="1">J548/J$930</f>
        <v>0</v>
      </c>
      <c r="L548" s="1570" t="e">
        <f t="shared" si="113"/>
        <v>#DIV/0!</v>
      </c>
      <c r="M548" s="1967"/>
      <c r="N548" s="832"/>
      <c r="O548" s="832"/>
      <c r="Q548" s="832"/>
      <c r="R548" s="832"/>
      <c r="S548" s="832"/>
      <c r="T548" s="832"/>
      <c r="U548" s="832"/>
      <c r="V548" s="832"/>
      <c r="W548" s="832"/>
      <c r="X548" s="832"/>
    </row>
    <row r="549" spans="1:24" s="812" customFormat="1" ht="24.95" hidden="1" customHeight="1" x14ac:dyDescent="0.15">
      <c r="A549" s="2072"/>
      <c r="B549" s="833"/>
      <c r="C549" s="2"/>
      <c r="D549" s="1449" t="s">
        <v>1890</v>
      </c>
      <c r="E549" s="2"/>
      <c r="F549" s="2"/>
      <c r="G549" s="1407"/>
      <c r="H549" s="2"/>
      <c r="I549" s="2"/>
      <c r="J549" s="838" t="str">
        <f>IF(J550=0,"-","")</f>
        <v>-</v>
      </c>
      <c r="K549" s="2069"/>
      <c r="L549" s="1570"/>
      <c r="M549" s="1967"/>
      <c r="N549" s="832"/>
      <c r="O549" s="832"/>
      <c r="Q549" s="832"/>
      <c r="R549" s="832"/>
      <c r="S549" s="832"/>
      <c r="T549" s="832"/>
      <c r="U549" s="832"/>
      <c r="V549" s="832"/>
      <c r="W549" s="832"/>
      <c r="X549" s="832"/>
    </row>
    <row r="550" spans="1:24" s="812" customFormat="1" ht="39.950000000000003" hidden="1" customHeight="1" x14ac:dyDescent="0.15">
      <c r="A550" s="2072">
        <f ca="1">+Orçamento_Não_Deson!A550</f>
        <v>6</v>
      </c>
      <c r="B550" s="833">
        <f>+Orçamento_Não_Deson!B550</f>
        <v>95875</v>
      </c>
      <c r="C550" s="2" t="str">
        <f>VLOOKUP($B550,[2]BOLETIM_SEL!$A:$H,2,0)</f>
        <v>SINAPI</v>
      </c>
      <c r="D550" s="315" t="str">
        <f>VLOOKUP($B550,[2]BOLETIM_SEL!$A:$H,4,0)</f>
        <v>Transporte com caminhão basculante de 10 m3, em via urbana pavimentada, DMT até 30,00 km (unidade: m3xkm). AF_07/2020</v>
      </c>
      <c r="E550" s="2">
        <f>+Orçamento_Não_Deson!E550</f>
        <v>0</v>
      </c>
      <c r="F550" s="2" t="str">
        <f>VLOOKUP($B550,[2]BOLETIM_SEL!$A:$H,6,0)</f>
        <v>M3XKM</v>
      </c>
      <c r="G550" s="1407">
        <f>VLOOKUP($B550,[2]BOLETIM_SEL!$A:$H,7,0)</f>
        <v>2.33</v>
      </c>
      <c r="H550" s="1608">
        <f>+Orçamento_Não_Deson!H550</f>
        <v>0</v>
      </c>
      <c r="I550" s="876">
        <f>TRUNC(G550*(1+$J$5),2)</f>
        <v>2.98</v>
      </c>
      <c r="J550" s="1607">
        <f t="shared" si="112"/>
        <v>0</v>
      </c>
      <c r="K550" s="2069">
        <f ca="1">J550/J$930</f>
        <v>0</v>
      </c>
      <c r="L550" s="1570" t="e">
        <f t="shared" si="113"/>
        <v>#DIV/0!</v>
      </c>
      <c r="M550" s="1969">
        <f>+Orçamento_Não_Deson!M550</f>
        <v>0</v>
      </c>
      <c r="N550" s="832"/>
      <c r="O550" s="832"/>
      <c r="Q550" s="832"/>
      <c r="R550" s="832"/>
      <c r="S550" s="832"/>
      <c r="T550" s="832"/>
      <c r="U550" s="832"/>
      <c r="V550" s="832"/>
      <c r="W550" s="832"/>
      <c r="X550" s="832"/>
    </row>
    <row r="551" spans="1:24" s="812" customFormat="1" ht="24.95" hidden="1" customHeight="1" x14ac:dyDescent="0.15">
      <c r="A551" s="2072"/>
      <c r="B551" s="833"/>
      <c r="C551" s="2"/>
      <c r="D551" s="1449" t="s">
        <v>2178</v>
      </c>
      <c r="E551" s="2"/>
      <c r="F551" s="2"/>
      <c r="G551" s="1407"/>
      <c r="H551" s="2"/>
      <c r="I551" s="2"/>
      <c r="J551" s="838" t="str">
        <f>IF(J552=0,"-","")</f>
        <v>-</v>
      </c>
      <c r="K551" s="2069"/>
      <c r="L551" s="1570"/>
      <c r="M551" s="1967"/>
      <c r="N551" s="832"/>
      <c r="O551" s="832"/>
      <c r="Q551" s="832"/>
      <c r="R551" s="832"/>
      <c r="S551" s="832"/>
      <c r="T551" s="832"/>
      <c r="U551" s="832"/>
      <c r="V551" s="832"/>
      <c r="W551" s="832"/>
      <c r="X551" s="832"/>
    </row>
    <row r="552" spans="1:24" s="812" customFormat="1" ht="30" hidden="1" customHeight="1" x14ac:dyDescent="0.15">
      <c r="A552" s="2072">
        <f ca="1">+Orçamento_Não_Deson!A552</f>
        <v>6</v>
      </c>
      <c r="B552" s="833">
        <f>+Orçamento_Não_Deson!B552</f>
        <v>95875</v>
      </c>
      <c r="C552" s="2" t="str">
        <f>VLOOKUP($B552,[2]BOLETIM_SEL!$A:$H,2,0)</f>
        <v>SINAPI</v>
      </c>
      <c r="D552" s="315" t="str">
        <f>VLOOKUP($B552,[2]BOLETIM_SEL!$A:$H,4,0)</f>
        <v>Transporte com caminhão basculante de 10 m3, em via urbana pavimentada, DMT até 30,00 km (unidade: m3xkm). AF_07/2020</v>
      </c>
      <c r="E552" s="2">
        <f>+Orçamento_Não_Deson!E552</f>
        <v>24</v>
      </c>
      <c r="F552" s="2" t="str">
        <f>VLOOKUP($B552,[2]BOLETIM_SEL!$A:$H,6,0)</f>
        <v>M3XKM</v>
      </c>
      <c r="G552" s="1407">
        <f>VLOOKUP($B552,[2]BOLETIM_SEL!$A:$H,7,0)</f>
        <v>2.33</v>
      </c>
      <c r="H552" s="1608">
        <f>+Orçamento_Não_Deson!H552</f>
        <v>0</v>
      </c>
      <c r="I552" s="876">
        <f>TRUNC(G552*(1+$J$5),2)</f>
        <v>2.98</v>
      </c>
      <c r="J552" s="1607">
        <f t="shared" si="112"/>
        <v>0</v>
      </c>
      <c r="K552" s="2069">
        <f ca="1">J552/J$930</f>
        <v>0</v>
      </c>
      <c r="L552" s="1570" t="e">
        <f t="shared" si="113"/>
        <v>#DIV/0!</v>
      </c>
      <c r="M552" s="1967"/>
      <c r="N552" s="832"/>
      <c r="O552" s="832"/>
      <c r="Q552" s="832"/>
      <c r="R552" s="832"/>
      <c r="S552" s="832"/>
      <c r="T552" s="832"/>
      <c r="U552" s="832"/>
      <c r="V552" s="832"/>
      <c r="W552" s="832"/>
      <c r="X552" s="832"/>
    </row>
    <row r="553" spans="1:24" s="812" customFormat="1" ht="24.95" hidden="1" customHeight="1" x14ac:dyDescent="0.15">
      <c r="A553" s="2072"/>
      <c r="B553" s="833"/>
      <c r="C553" s="2"/>
      <c r="D553" s="1449" t="s">
        <v>1891</v>
      </c>
      <c r="E553" s="2"/>
      <c r="F553" s="2"/>
      <c r="G553" s="1407"/>
      <c r="H553" s="2"/>
      <c r="I553" s="2"/>
      <c r="J553" s="838" t="str">
        <f>IF(J554=0,"-","")</f>
        <v>-</v>
      </c>
      <c r="K553" s="2069"/>
      <c r="L553" s="1570"/>
      <c r="M553" s="1967"/>
      <c r="N553" s="832"/>
      <c r="O553" s="832"/>
      <c r="Q553" s="832"/>
      <c r="R553" s="832"/>
      <c r="S553" s="832"/>
      <c r="T553" s="832"/>
      <c r="U553" s="832"/>
      <c r="V553" s="832"/>
      <c r="W553" s="832"/>
      <c r="X553" s="832"/>
    </row>
    <row r="554" spans="1:24" s="812" customFormat="1" ht="39.950000000000003" hidden="1" customHeight="1" x14ac:dyDescent="0.15">
      <c r="A554" s="2072">
        <f ca="1">+Orçamento_Não_Deson!A554</f>
        <v>6</v>
      </c>
      <c r="B554" s="833">
        <f>+Orçamento_Não_Deson!B554</f>
        <v>95875</v>
      </c>
      <c r="C554" s="2" t="str">
        <f>VLOOKUP($B554,[2]BOLETIM_SEL!$A:$H,2,0)</f>
        <v>SINAPI</v>
      </c>
      <c r="D554" s="315" t="str">
        <f>VLOOKUP($B554,[2]BOLETIM_SEL!$A:$H,4,0)</f>
        <v>Transporte com caminhão basculante de 10 m3, em via urbana pavimentada, DMT até 30,00 km (unidade: m3xkm). AF_07/2020</v>
      </c>
      <c r="E554" s="2">
        <f>+Orçamento_Não_Deson!E554</f>
        <v>24</v>
      </c>
      <c r="F554" s="2" t="str">
        <f>VLOOKUP($B554,[2]BOLETIM_SEL!$A:$H,6,0)</f>
        <v>M3XKM</v>
      </c>
      <c r="G554" s="1407">
        <f>VLOOKUP($B554,[2]BOLETIM_SEL!$A:$H,7,0)</f>
        <v>2.33</v>
      </c>
      <c r="H554" s="1608">
        <f>+Orçamento_Não_Deson!H554</f>
        <v>0</v>
      </c>
      <c r="I554" s="876">
        <f>TRUNC(G554*(1+$J$5),2)</f>
        <v>2.98</v>
      </c>
      <c r="J554" s="1607">
        <f t="shared" si="112"/>
        <v>0</v>
      </c>
      <c r="K554" s="2069">
        <f ca="1">J554/J$930</f>
        <v>0</v>
      </c>
      <c r="L554" s="1570" t="e">
        <f t="shared" si="113"/>
        <v>#DIV/0!</v>
      </c>
      <c r="M554" s="1969">
        <f>+Orçamento_Não_Deson!M554</f>
        <v>0</v>
      </c>
      <c r="N554" s="832"/>
      <c r="O554" s="832"/>
      <c r="Q554" s="832"/>
      <c r="R554" s="832"/>
      <c r="S554" s="832"/>
      <c r="T554" s="832"/>
      <c r="U554" s="832"/>
      <c r="V554" s="832"/>
      <c r="W554" s="832"/>
      <c r="X554" s="832"/>
    </row>
    <row r="555" spans="1:24" s="812" customFormat="1" ht="24.95" hidden="1" customHeight="1" x14ac:dyDescent="0.15">
      <c r="A555" s="2072"/>
      <c r="B555" s="833"/>
      <c r="C555" s="2"/>
      <c r="D555" s="1449" t="s">
        <v>1892</v>
      </c>
      <c r="E555" s="2"/>
      <c r="F555" s="2"/>
      <c r="G555" s="1407"/>
      <c r="H555" s="2"/>
      <c r="I555" s="2"/>
      <c r="J555" s="838" t="str">
        <f>IF(J556=0,"-","")</f>
        <v>-</v>
      </c>
      <c r="K555" s="2069"/>
      <c r="L555" s="1570"/>
      <c r="M555" s="1967"/>
      <c r="N555" s="832"/>
      <c r="O555" s="832"/>
      <c r="Q555" s="832"/>
      <c r="R555" s="832"/>
      <c r="S555" s="832"/>
      <c r="T555" s="832"/>
      <c r="U555" s="832"/>
      <c r="V555" s="832"/>
      <c r="W555" s="832"/>
      <c r="X555" s="832"/>
    </row>
    <row r="556" spans="1:24" s="812" customFormat="1" ht="39.950000000000003" hidden="1" customHeight="1" x14ac:dyDescent="0.15">
      <c r="A556" s="2072">
        <f ca="1">+Orçamento_Não_Deson!A556</f>
        <v>6</v>
      </c>
      <c r="B556" s="833">
        <f>+Orçamento_Não_Deson!B556</f>
        <v>95875</v>
      </c>
      <c r="C556" s="2" t="str">
        <f>VLOOKUP($B556,[2]BOLETIM_SEL!$A:$H,2,0)</f>
        <v>SINAPI</v>
      </c>
      <c r="D556" s="315" t="str">
        <f>VLOOKUP($B556,[2]BOLETIM_SEL!$A:$H,4,0)</f>
        <v>Transporte com caminhão basculante de 10 m3, em via urbana pavimentada, DMT até 30,00 km (unidade: m3xkm). AF_07/2020</v>
      </c>
      <c r="E556" s="2">
        <f>+Orçamento_Não_Deson!E556</f>
        <v>24</v>
      </c>
      <c r="F556" s="2" t="str">
        <f>VLOOKUP($B556,[2]BOLETIM_SEL!$A:$H,6,0)</f>
        <v>M3XKM</v>
      </c>
      <c r="G556" s="1407">
        <f>VLOOKUP($B556,[2]BOLETIM_SEL!$A:$H,7,0)</f>
        <v>2.33</v>
      </c>
      <c r="H556" s="1608">
        <f>+Orçamento_Não_Deson!H556</f>
        <v>0</v>
      </c>
      <c r="I556" s="876">
        <f>TRUNC(G556*(1+$J$5),2)</f>
        <v>2.98</v>
      </c>
      <c r="J556" s="1607">
        <f t="shared" si="112"/>
        <v>0</v>
      </c>
      <c r="K556" s="2069">
        <f ca="1">J556/J$930</f>
        <v>0</v>
      </c>
      <c r="L556" s="1570" t="e">
        <f t="shared" si="113"/>
        <v>#DIV/0!</v>
      </c>
      <c r="M556" s="1969">
        <f>+Orçamento_Não_Deson!M556</f>
        <v>0</v>
      </c>
      <c r="N556" s="832"/>
      <c r="O556" s="832"/>
      <c r="Q556" s="832"/>
      <c r="R556" s="832"/>
      <c r="S556" s="832"/>
      <c r="T556" s="832"/>
      <c r="U556" s="832"/>
      <c r="V556" s="832"/>
      <c r="W556" s="832"/>
      <c r="X556" s="832"/>
    </row>
    <row r="557" spans="1:24" s="812" customFormat="1" ht="24.95" hidden="1" customHeight="1" x14ac:dyDescent="0.15">
      <c r="A557" s="2072"/>
      <c r="B557" s="833"/>
      <c r="C557" s="2"/>
      <c r="D557" s="1449" t="s">
        <v>1897</v>
      </c>
      <c r="E557" s="2"/>
      <c r="F557" s="2"/>
      <c r="G557" s="1407"/>
      <c r="H557" s="2"/>
      <c r="I557" s="2"/>
      <c r="J557" s="838" t="str">
        <f>IF(J558=0,"-","")</f>
        <v>-</v>
      </c>
      <c r="K557" s="2069"/>
      <c r="L557" s="1570"/>
      <c r="M557" s="1967"/>
      <c r="N557" s="832"/>
      <c r="O557" s="832"/>
      <c r="Q557" s="832"/>
      <c r="R557" s="832"/>
      <c r="S557" s="832"/>
      <c r="T557" s="832"/>
      <c r="U557" s="832"/>
      <c r="V557" s="832"/>
      <c r="W557" s="832"/>
      <c r="X557" s="832"/>
    </row>
    <row r="558" spans="1:24" s="812" customFormat="1" ht="39.950000000000003" hidden="1" customHeight="1" x14ac:dyDescent="0.15">
      <c r="A558" s="2072">
        <f ca="1">+Orçamento_Não_Deson!A558</f>
        <v>6</v>
      </c>
      <c r="B558" s="833">
        <f>+Orçamento_Não_Deson!B558</f>
        <v>95875</v>
      </c>
      <c r="C558" s="2" t="str">
        <f>VLOOKUP($B558,[2]BOLETIM_SEL!$A:$H,2,0)</f>
        <v>SINAPI</v>
      </c>
      <c r="D558" s="315" t="str">
        <f>VLOOKUP($B558,[2]BOLETIM_SEL!$A:$H,4,0)</f>
        <v>Transporte com caminhão basculante de 10 m3, em via urbana pavimentada, DMT até 30,00 km (unidade: m3xkm). AF_07/2020</v>
      </c>
      <c r="E558" s="2">
        <f>+Orçamento_Não_Deson!E558</f>
        <v>0</v>
      </c>
      <c r="F558" s="2" t="str">
        <f>VLOOKUP($B558,[2]BOLETIM_SEL!$A:$H,6,0)</f>
        <v>M3XKM</v>
      </c>
      <c r="G558" s="1407">
        <f>VLOOKUP($B558,[2]BOLETIM_SEL!$A:$H,7,0)</f>
        <v>2.33</v>
      </c>
      <c r="H558" s="1608">
        <f>+Orçamento_Não_Deson!H558</f>
        <v>0</v>
      </c>
      <c r="I558" s="876">
        <f>TRUNC(G558*(1+$J$5),2)</f>
        <v>2.98</v>
      </c>
      <c r="J558" s="1607">
        <f t="shared" si="112"/>
        <v>0</v>
      </c>
      <c r="K558" s="2069">
        <f ca="1">J558/J$930</f>
        <v>0</v>
      </c>
      <c r="L558" s="1570" t="e">
        <f t="shared" si="113"/>
        <v>#DIV/0!</v>
      </c>
      <c r="M558" s="1969">
        <f>+Orçamento_Não_Deson!M558</f>
        <v>0</v>
      </c>
      <c r="N558" s="832"/>
      <c r="O558" s="832"/>
      <c r="Q558" s="832"/>
      <c r="R558" s="832"/>
      <c r="S558" s="832"/>
      <c r="T558" s="832"/>
      <c r="U558" s="832"/>
      <c r="V558" s="832"/>
      <c r="W558" s="832"/>
      <c r="X558" s="832"/>
    </row>
    <row r="559" spans="1:24" s="812" customFormat="1" ht="24.95" hidden="1" customHeight="1" x14ac:dyDescent="0.15">
      <c r="A559" s="2072"/>
      <c r="B559" s="833"/>
      <c r="C559" s="2"/>
      <c r="D559" s="1449" t="s">
        <v>1896</v>
      </c>
      <c r="E559" s="2"/>
      <c r="F559" s="2"/>
      <c r="G559" s="1407"/>
      <c r="H559" s="2"/>
      <c r="I559" s="2"/>
      <c r="J559" s="838" t="str">
        <f>IF(J560=0,"-","")</f>
        <v>-</v>
      </c>
      <c r="K559" s="2069"/>
      <c r="L559" s="1570"/>
      <c r="M559" s="1967"/>
      <c r="N559" s="832"/>
      <c r="O559" s="832"/>
      <c r="Q559" s="832"/>
      <c r="R559" s="832"/>
      <c r="S559" s="832"/>
      <c r="T559" s="832"/>
      <c r="U559" s="832"/>
      <c r="V559" s="832"/>
      <c r="W559" s="832"/>
      <c r="X559" s="832"/>
    </row>
    <row r="560" spans="1:24" s="812" customFormat="1" ht="39.950000000000003" hidden="1" customHeight="1" x14ac:dyDescent="0.15">
      <c r="A560" s="2072">
        <f ca="1">+Orçamento_Não_Deson!A560</f>
        <v>6</v>
      </c>
      <c r="B560" s="833">
        <f>+Orçamento_Não_Deson!B560</f>
        <v>95875</v>
      </c>
      <c r="C560" s="2" t="str">
        <f>VLOOKUP($B560,[2]BOLETIM_SEL!$A:$H,2,0)</f>
        <v>SINAPI</v>
      </c>
      <c r="D560" s="315" t="str">
        <f>VLOOKUP($B560,[2]BOLETIM_SEL!$A:$H,4,0)</f>
        <v>Transporte com caminhão basculante de 10 m3, em via urbana pavimentada, DMT até 30,00 km (unidade: m3xkm). AF_07/2020</v>
      </c>
      <c r="E560" s="2">
        <f>+Orçamento_Não_Deson!E560</f>
        <v>0</v>
      </c>
      <c r="F560" s="2" t="str">
        <f>VLOOKUP($B560,[2]BOLETIM_SEL!$A:$H,6,0)</f>
        <v>M3XKM</v>
      </c>
      <c r="G560" s="1407">
        <f>VLOOKUP($B560,[2]BOLETIM_SEL!$A:$H,7,0)</f>
        <v>2.33</v>
      </c>
      <c r="H560" s="1608">
        <f>+Orçamento_Não_Deson!H560</f>
        <v>0</v>
      </c>
      <c r="I560" s="876">
        <f>TRUNC(G560*(1+$J$5),2)</f>
        <v>2.98</v>
      </c>
      <c r="J560" s="1607">
        <f t="shared" si="112"/>
        <v>0</v>
      </c>
      <c r="K560" s="2069">
        <f ca="1">J560/J$930</f>
        <v>0</v>
      </c>
      <c r="L560" s="1570" t="e">
        <f t="shared" si="113"/>
        <v>#DIV/0!</v>
      </c>
      <c r="M560" s="1969">
        <f>+Orçamento_Não_Deson!M560</f>
        <v>0</v>
      </c>
      <c r="N560" s="832"/>
      <c r="O560" s="832"/>
      <c r="Q560" s="832"/>
      <c r="R560" s="832"/>
      <c r="S560" s="832"/>
      <c r="T560" s="832"/>
      <c r="U560" s="832"/>
      <c r="V560" s="832"/>
      <c r="W560" s="832"/>
      <c r="X560" s="832"/>
    </row>
    <row r="561" spans="1:24" s="812" customFormat="1" ht="24.95" hidden="1" customHeight="1" x14ac:dyDescent="0.15">
      <c r="A561" s="2072"/>
      <c r="B561" s="833"/>
      <c r="C561" s="2"/>
      <c r="D561" s="1449" t="s">
        <v>1899</v>
      </c>
      <c r="E561" s="2"/>
      <c r="F561" s="2"/>
      <c r="G561" s="1407"/>
      <c r="H561" s="2"/>
      <c r="I561" s="2"/>
      <c r="J561" s="838" t="str">
        <f>IF(J562=0,"-","")</f>
        <v>-</v>
      </c>
      <c r="K561" s="2069"/>
      <c r="L561" s="1570"/>
      <c r="M561" s="1967"/>
      <c r="N561" s="832"/>
      <c r="O561" s="832"/>
      <c r="Q561" s="832"/>
      <c r="R561" s="832"/>
      <c r="S561" s="832"/>
      <c r="T561" s="832"/>
      <c r="U561" s="832"/>
      <c r="V561" s="832"/>
      <c r="W561" s="832"/>
      <c r="X561" s="832"/>
    </row>
    <row r="562" spans="1:24" s="812" customFormat="1" ht="39.950000000000003" hidden="1" customHeight="1" x14ac:dyDescent="0.15">
      <c r="A562" s="2072">
        <f ca="1">+Orçamento_Não_Deson!A562</f>
        <v>6</v>
      </c>
      <c r="B562" s="833">
        <f>+Orçamento_Não_Deson!B562</f>
        <v>95875</v>
      </c>
      <c r="C562" s="2" t="str">
        <f>VLOOKUP($B562,[2]BOLETIM_SEL!$A:$H,2,0)</f>
        <v>SINAPI</v>
      </c>
      <c r="D562" s="315" t="str">
        <f>VLOOKUP($B562,[2]BOLETIM_SEL!$A:$H,4,0)</f>
        <v>Transporte com caminhão basculante de 10 m3, em via urbana pavimentada, DMT até 30,00 km (unidade: m3xkm). AF_07/2020</v>
      </c>
      <c r="E562" s="2">
        <f>+Orçamento_Não_Deson!E562</f>
        <v>24</v>
      </c>
      <c r="F562" s="2" t="str">
        <f>VLOOKUP($B562,[2]BOLETIM_SEL!$A:$H,6,0)</f>
        <v>M3XKM</v>
      </c>
      <c r="G562" s="1407">
        <f>VLOOKUP($B562,[2]BOLETIM_SEL!$A:$H,7,0)</f>
        <v>2.33</v>
      </c>
      <c r="H562" s="1608">
        <f>+Orçamento_Não_Deson!H562</f>
        <v>0</v>
      </c>
      <c r="I562" s="876">
        <f>TRUNC(G562*(1+$J$5),2)</f>
        <v>2.98</v>
      </c>
      <c r="J562" s="1607">
        <f t="shared" si="112"/>
        <v>0</v>
      </c>
      <c r="K562" s="2069">
        <f ca="1">J562/J$930</f>
        <v>0</v>
      </c>
      <c r="L562" s="1570" t="e">
        <f t="shared" si="113"/>
        <v>#DIV/0!</v>
      </c>
      <c r="M562" s="1969">
        <f>+Orçamento_Não_Deson!M562</f>
        <v>0</v>
      </c>
      <c r="N562" s="832"/>
      <c r="O562" s="832"/>
      <c r="Q562" s="832"/>
      <c r="R562" s="832"/>
      <c r="S562" s="832"/>
      <c r="T562" s="832"/>
      <c r="U562" s="832"/>
      <c r="V562" s="832"/>
      <c r="W562" s="832"/>
      <c r="X562" s="832"/>
    </row>
    <row r="563" spans="1:24" s="812" customFormat="1" ht="24.95" hidden="1" customHeight="1" x14ac:dyDescent="0.15">
      <c r="A563" s="2072"/>
      <c r="B563" s="833"/>
      <c r="C563" s="2"/>
      <c r="D563" s="1449" t="s">
        <v>1759</v>
      </c>
      <c r="E563" s="2"/>
      <c r="F563" s="2"/>
      <c r="G563" s="1407"/>
      <c r="H563" s="2"/>
      <c r="I563" s="2"/>
      <c r="J563" s="838" t="str">
        <f>IF(J564=0,"-","")</f>
        <v>-</v>
      </c>
      <c r="K563" s="2069"/>
      <c r="L563" s="1570"/>
      <c r="M563" s="1967"/>
      <c r="N563" s="832"/>
      <c r="O563" s="832"/>
      <c r="Q563" s="832"/>
      <c r="R563" s="832"/>
      <c r="S563" s="832"/>
      <c r="T563" s="832"/>
      <c r="U563" s="832"/>
      <c r="V563" s="832"/>
      <c r="W563" s="832"/>
      <c r="X563" s="832"/>
    </row>
    <row r="564" spans="1:24" s="812" customFormat="1" ht="39.950000000000003" hidden="1" customHeight="1" x14ac:dyDescent="0.15">
      <c r="A564" s="2072">
        <f ca="1">+Orçamento_Não_Deson!A564</f>
        <v>6</v>
      </c>
      <c r="B564" s="833">
        <f>+Orçamento_Não_Deson!B564</f>
        <v>95875</v>
      </c>
      <c r="C564" s="2" t="str">
        <f>VLOOKUP($B564,[2]BOLETIM_SEL!$A:$H,2,0)</f>
        <v>SINAPI</v>
      </c>
      <c r="D564" s="315" t="str">
        <f>VLOOKUP($B564,[2]BOLETIM_SEL!$A:$H,4,0)</f>
        <v>Transporte com caminhão basculante de 10 m3, em via urbana pavimentada, DMT até 30,00 km (unidade: m3xkm). AF_07/2020</v>
      </c>
      <c r="E564" s="2">
        <f>+Orçamento_Não_Deson!E564</f>
        <v>0</v>
      </c>
      <c r="F564" s="2" t="str">
        <f>VLOOKUP($B564,[2]BOLETIM_SEL!$A:$H,6,0)</f>
        <v>M3XKM</v>
      </c>
      <c r="G564" s="1407">
        <f>VLOOKUP($B564,[2]BOLETIM_SEL!$A:$H,7,0)</f>
        <v>2.33</v>
      </c>
      <c r="H564" s="1608">
        <f>+Orçamento_Não_Deson!H564</f>
        <v>0</v>
      </c>
      <c r="I564" s="876">
        <f>TRUNC(G564*(1+$J$5),2)</f>
        <v>2.98</v>
      </c>
      <c r="J564" s="1607">
        <f t="shared" si="112"/>
        <v>0</v>
      </c>
      <c r="K564" s="2069">
        <f ca="1">J564/J$930</f>
        <v>0</v>
      </c>
      <c r="L564" s="1570" t="e">
        <f t="shared" si="113"/>
        <v>#DIV/0!</v>
      </c>
      <c r="M564" s="1969">
        <f>+Orçamento_Não_Deson!M564</f>
        <v>0</v>
      </c>
      <c r="N564" s="832"/>
      <c r="O564" s="832"/>
      <c r="Q564" s="832"/>
      <c r="R564" s="832"/>
      <c r="S564" s="832"/>
      <c r="T564" s="832"/>
      <c r="U564" s="832"/>
      <c r="V564" s="832"/>
      <c r="W564" s="832"/>
      <c r="X564" s="832"/>
    </row>
    <row r="565" spans="1:24" s="812" customFormat="1" ht="24.95" hidden="1" customHeight="1" x14ac:dyDescent="0.15">
      <c r="A565" s="2072"/>
      <c r="B565" s="833"/>
      <c r="C565" s="2"/>
      <c r="D565" s="1449" t="s">
        <v>1760</v>
      </c>
      <c r="E565" s="2"/>
      <c r="F565" s="2"/>
      <c r="G565" s="1407"/>
      <c r="H565" s="2"/>
      <c r="I565" s="2"/>
      <c r="J565" s="838" t="str">
        <f>IF(J566=0,"-","")</f>
        <v>-</v>
      </c>
      <c r="K565" s="2069"/>
      <c r="L565" s="1570"/>
      <c r="M565" s="1967"/>
      <c r="N565" s="832"/>
      <c r="O565" s="832"/>
      <c r="Q565" s="832"/>
      <c r="R565" s="832"/>
      <c r="S565" s="832"/>
      <c r="T565" s="832"/>
      <c r="U565" s="832"/>
      <c r="V565" s="832"/>
      <c r="W565" s="832"/>
      <c r="X565" s="832"/>
    </row>
    <row r="566" spans="1:24" s="812" customFormat="1" ht="39.950000000000003" hidden="1" customHeight="1" x14ac:dyDescent="0.15">
      <c r="A566" s="2072">
        <f ca="1">+Orçamento_Não_Deson!A566</f>
        <v>6</v>
      </c>
      <c r="B566" s="833">
        <f>+Orçamento_Não_Deson!B566</f>
        <v>95875</v>
      </c>
      <c r="C566" s="2" t="str">
        <f>VLOOKUP($B566,[2]BOLETIM_SEL!$A:$H,2,0)</f>
        <v>SINAPI</v>
      </c>
      <c r="D566" s="315" t="str">
        <f>VLOOKUP($B566,[2]BOLETIM_SEL!$A:$H,4,0)</f>
        <v>Transporte com caminhão basculante de 10 m3, em via urbana pavimentada, DMT até 30,00 km (unidade: m3xkm). AF_07/2020</v>
      </c>
      <c r="E566" s="2">
        <f>+Orçamento_Não_Deson!E566</f>
        <v>0</v>
      </c>
      <c r="F566" s="2" t="str">
        <f>VLOOKUP($B566,[2]BOLETIM_SEL!$A:$H,6,0)</f>
        <v>M3XKM</v>
      </c>
      <c r="G566" s="1407">
        <f>VLOOKUP($B566,[2]BOLETIM_SEL!$A:$H,7,0)</f>
        <v>2.33</v>
      </c>
      <c r="H566" s="1608">
        <f>+Orçamento_Não_Deson!H566</f>
        <v>0</v>
      </c>
      <c r="I566" s="876">
        <f>TRUNC(G566*(1+$J$5),2)</f>
        <v>2.98</v>
      </c>
      <c r="J566" s="1607">
        <f t="shared" si="112"/>
        <v>0</v>
      </c>
      <c r="K566" s="2069">
        <f ca="1">J566/J$930</f>
        <v>0</v>
      </c>
      <c r="L566" s="1570" t="e">
        <f t="shared" si="113"/>
        <v>#DIV/0!</v>
      </c>
      <c r="M566" s="1969">
        <f>+Orçamento_Não_Deson!M566</f>
        <v>0</v>
      </c>
      <c r="N566" s="832"/>
      <c r="O566" s="832"/>
      <c r="Q566" s="832"/>
      <c r="R566" s="832"/>
      <c r="S566" s="832"/>
      <c r="T566" s="832"/>
      <c r="U566" s="832"/>
      <c r="V566" s="832"/>
      <c r="W566" s="832"/>
      <c r="X566" s="832"/>
    </row>
    <row r="567" spans="1:24" s="812" customFormat="1" ht="24.95" hidden="1" customHeight="1" x14ac:dyDescent="0.15">
      <c r="A567" s="2072"/>
      <c r="B567" s="833"/>
      <c r="C567" s="2"/>
      <c r="D567" s="1449" t="s">
        <v>1774</v>
      </c>
      <c r="E567" s="2"/>
      <c r="F567" s="2"/>
      <c r="G567" s="1407"/>
      <c r="H567" s="2"/>
      <c r="I567" s="2"/>
      <c r="J567" s="838" t="str">
        <f>IF(J568=0,"-","")</f>
        <v>-</v>
      </c>
      <c r="K567" s="2069"/>
      <c r="L567" s="1570"/>
      <c r="M567" s="1967"/>
      <c r="N567" s="832"/>
      <c r="O567" s="832"/>
      <c r="Q567" s="832"/>
      <c r="R567" s="832"/>
      <c r="S567" s="832"/>
      <c r="T567" s="832"/>
      <c r="U567" s="832"/>
      <c r="V567" s="832"/>
      <c r="W567" s="832"/>
      <c r="X567" s="832"/>
    </row>
    <row r="568" spans="1:24" s="812" customFormat="1" ht="30" hidden="1" customHeight="1" x14ac:dyDescent="0.15">
      <c r="A568" s="2072">
        <f ca="1">+Orçamento_Não_Deson!A568</f>
        <v>6</v>
      </c>
      <c r="B568" s="833">
        <f>+Orçamento_Não_Deson!B568</f>
        <v>100947</v>
      </c>
      <c r="C568" s="2" t="str">
        <f>VLOOKUP($B568,[2]BOLETIM_SEL!$A:$H,2,0)</f>
        <v>SINAPI</v>
      </c>
      <c r="D568" s="315" t="str">
        <f>VLOOKUP($B568,[2]BOLETIM_SEL!$A:$H,4,0)</f>
        <v>Transporte com caminhão carroceria 9t, em via urbana pavimentada, DMT até 30,00 km (unidade: txkm). AF_07/2020</v>
      </c>
      <c r="E568" s="2">
        <f>+Orçamento_Não_Deson!E568</f>
        <v>0</v>
      </c>
      <c r="F568" s="2" t="str">
        <f>VLOOKUP($B568,[2]BOLETIM_SEL!$A:$H,6,0)</f>
        <v>TXKM</v>
      </c>
      <c r="G568" s="1407">
        <f>VLOOKUP($B568,[2]BOLETIM_SEL!$A:$H,7,0)</f>
        <v>2.08</v>
      </c>
      <c r="H568" s="1608">
        <f>+Orçamento_Não_Deson!H568</f>
        <v>0</v>
      </c>
      <c r="I568" s="876">
        <f>TRUNC(G568*(1+$J$5),2)</f>
        <v>2.66</v>
      </c>
      <c r="J568" s="1607">
        <f t="shared" si="112"/>
        <v>0</v>
      </c>
      <c r="K568" s="2069">
        <f ca="1">J568/J$930</f>
        <v>0</v>
      </c>
      <c r="L568" s="1570" t="e">
        <f t="shared" si="113"/>
        <v>#DIV/0!</v>
      </c>
      <c r="M568" s="1967"/>
      <c r="N568" s="832"/>
      <c r="O568" s="832"/>
      <c r="Q568" s="832"/>
      <c r="R568" s="832"/>
      <c r="S568" s="832"/>
      <c r="T568" s="832"/>
      <c r="U568" s="832"/>
      <c r="V568" s="832"/>
      <c r="W568" s="832"/>
      <c r="X568" s="832"/>
    </row>
    <row r="569" spans="1:24" s="812" customFormat="1" ht="24.95" hidden="1" customHeight="1" x14ac:dyDescent="0.15">
      <c r="A569" s="2072"/>
      <c r="B569" s="833"/>
      <c r="C569" s="2"/>
      <c r="D569" s="1449" t="s">
        <v>1757</v>
      </c>
      <c r="E569" s="2"/>
      <c r="F569" s="2"/>
      <c r="G569" s="1407"/>
      <c r="H569" s="2"/>
      <c r="I569" s="2"/>
      <c r="J569" s="838" t="str">
        <f>IF(J570=0,"-","")</f>
        <v>-</v>
      </c>
      <c r="K569" s="2069"/>
      <c r="L569" s="1570"/>
      <c r="M569" s="1967"/>
      <c r="N569" s="832"/>
      <c r="O569" s="832"/>
      <c r="Q569" s="832"/>
      <c r="R569" s="832"/>
      <c r="S569" s="832"/>
      <c r="T569" s="832"/>
      <c r="U569" s="832"/>
      <c r="V569" s="832"/>
      <c r="W569" s="832"/>
      <c r="X569" s="832"/>
    </row>
    <row r="570" spans="1:24" s="812" customFormat="1" ht="39.950000000000003" hidden="1" customHeight="1" x14ac:dyDescent="0.15">
      <c r="A570" s="2072">
        <f ca="1">+Orçamento_Não_Deson!A570</f>
        <v>6</v>
      </c>
      <c r="B570" s="833">
        <f>+Orçamento_Não_Deson!B570</f>
        <v>95875</v>
      </c>
      <c r="C570" s="2" t="str">
        <f>VLOOKUP($B570,[2]BOLETIM_SEL!$A:$H,2,0)</f>
        <v>SINAPI</v>
      </c>
      <c r="D570" s="315" t="str">
        <f>VLOOKUP($B570,[2]BOLETIM_SEL!$A:$H,4,0)</f>
        <v>Transporte com caminhão basculante de 10 m3, em via urbana pavimentada, DMT até 30,00 km (unidade: m3xkm). AF_07/2020</v>
      </c>
      <c r="E570" s="2">
        <f>+Orçamento_Não_Deson!E570</f>
        <v>0</v>
      </c>
      <c r="F570" s="2" t="str">
        <f>VLOOKUP($B570,[2]BOLETIM_SEL!$A:$H,6,0)</f>
        <v>M3XKM</v>
      </c>
      <c r="G570" s="1407">
        <f>VLOOKUP($B570,[2]BOLETIM_SEL!$A:$H,7,0)</f>
        <v>2.33</v>
      </c>
      <c r="H570" s="1608">
        <f>+Orçamento_Não_Deson!H570</f>
        <v>0</v>
      </c>
      <c r="I570" s="876">
        <f>TRUNC(G570*(1+$J$5),2)</f>
        <v>2.98</v>
      </c>
      <c r="J570" s="1607">
        <f t="shared" si="112"/>
        <v>0</v>
      </c>
      <c r="K570" s="2069">
        <f ca="1">J570/J$930</f>
        <v>0</v>
      </c>
      <c r="L570" s="1570" t="e">
        <f t="shared" si="113"/>
        <v>#DIV/0!</v>
      </c>
      <c r="M570" s="1969">
        <f>+Orçamento_Não_Deson!M570</f>
        <v>0</v>
      </c>
      <c r="N570" s="832"/>
      <c r="O570" s="832"/>
      <c r="Q570" s="832"/>
      <c r="R570" s="832"/>
      <c r="S570" s="832"/>
      <c r="T570" s="832"/>
      <c r="U570" s="832"/>
      <c r="V570" s="832"/>
      <c r="W570" s="832"/>
      <c r="X570" s="832"/>
    </row>
    <row r="571" spans="1:24" s="812" customFormat="1" ht="24.95" hidden="1" customHeight="1" x14ac:dyDescent="0.15">
      <c r="A571" s="2072"/>
      <c r="B571" s="833"/>
      <c r="C571" s="2"/>
      <c r="D571" s="1449" t="s">
        <v>1758</v>
      </c>
      <c r="E571" s="2"/>
      <c r="F571" s="2"/>
      <c r="G571" s="1407"/>
      <c r="H571" s="2"/>
      <c r="I571" s="2"/>
      <c r="J571" s="838" t="str">
        <f>IF(J572=0,"-","")</f>
        <v>-</v>
      </c>
      <c r="K571" s="2069"/>
      <c r="L571" s="1570"/>
      <c r="M571" s="1967"/>
      <c r="N571" s="832"/>
      <c r="O571" s="832"/>
      <c r="Q571" s="832"/>
      <c r="R571" s="832"/>
      <c r="S571" s="832"/>
      <c r="T571" s="832"/>
      <c r="U571" s="832"/>
      <c r="V571" s="832"/>
      <c r="W571" s="832"/>
      <c r="X571" s="832"/>
    </row>
    <row r="572" spans="1:24" s="812" customFormat="1" ht="39.950000000000003" hidden="1" customHeight="1" x14ac:dyDescent="0.15">
      <c r="A572" s="2072">
        <f ca="1">+Orçamento_Não_Deson!A572</f>
        <v>6</v>
      </c>
      <c r="B572" s="833">
        <f>+Orçamento_Não_Deson!B572</f>
        <v>95878</v>
      </c>
      <c r="C572" s="2" t="str">
        <f>VLOOKUP($B572,[2]BOLETIM_SEL!$A:$H,2,0)</f>
        <v>SINAPI</v>
      </c>
      <c r="D572" s="315" t="str">
        <f>VLOOKUP($B572,[2]BOLETIM_SEL!$A:$H,4,0)</f>
        <v>Transporte com caminhão basculante de 10 m3, em via urbana pavimentada, DMT até 30,00 km (unidade: txkm). AF_07/2020</v>
      </c>
      <c r="E572" s="2">
        <f>+Orçamento_Não_Deson!E572</f>
        <v>19</v>
      </c>
      <c r="F572" s="2" t="str">
        <f>VLOOKUP($B572,[2]BOLETIM_SEL!$A:$H,6,0)</f>
        <v>TXKM</v>
      </c>
      <c r="G572" s="1407">
        <f>VLOOKUP($B572,[2]BOLETIM_SEL!$A:$H,7,0)</f>
        <v>1.57</v>
      </c>
      <c r="H572" s="1608">
        <f>+Orçamento_Não_Deson!H572</f>
        <v>0</v>
      </c>
      <c r="I572" s="876">
        <f>TRUNC(G572*(1+$J$5),2)</f>
        <v>2.0099999999999998</v>
      </c>
      <c r="J572" s="1607">
        <f t="shared" si="112"/>
        <v>0</v>
      </c>
      <c r="K572" s="2069">
        <f ca="1">J572/J$930</f>
        <v>0</v>
      </c>
      <c r="L572" s="1570" t="e">
        <f t="shared" si="113"/>
        <v>#DIV/0!</v>
      </c>
      <c r="M572" s="1976">
        <f>+Orçamento_Não_Deson!M572</f>
        <v>0</v>
      </c>
      <c r="N572" s="832"/>
      <c r="O572" s="832"/>
      <c r="Q572" s="832"/>
      <c r="R572" s="832"/>
      <c r="S572" s="832"/>
      <c r="T572" s="832"/>
      <c r="U572" s="832"/>
      <c r="V572" s="832"/>
      <c r="W572" s="832"/>
      <c r="X572" s="832"/>
    </row>
    <row r="573" spans="1:24" s="812" customFormat="1" ht="24.95" hidden="1" customHeight="1" x14ac:dyDescent="0.15">
      <c r="A573" s="2072"/>
      <c r="B573" s="833"/>
      <c r="C573" s="2"/>
      <c r="D573" s="1449" t="s">
        <v>1755</v>
      </c>
      <c r="E573" s="2"/>
      <c r="F573" s="2"/>
      <c r="G573" s="1407"/>
      <c r="H573" s="2"/>
      <c r="I573" s="2"/>
      <c r="J573" s="838" t="str">
        <f>IF(J574=0,"-","")</f>
        <v>-</v>
      </c>
      <c r="K573" s="2069"/>
      <c r="L573" s="1570"/>
      <c r="M573" s="1967"/>
      <c r="N573" s="832"/>
      <c r="O573" s="832"/>
      <c r="Q573" s="832"/>
      <c r="R573" s="832"/>
      <c r="S573" s="832"/>
      <c r="T573" s="832"/>
      <c r="U573" s="832"/>
      <c r="V573" s="832"/>
      <c r="W573" s="832"/>
      <c r="X573" s="832"/>
    </row>
    <row r="574" spans="1:24" s="812" customFormat="1" ht="39.950000000000003" hidden="1" customHeight="1" x14ac:dyDescent="0.15">
      <c r="A574" s="2072">
        <f ca="1">+Orçamento_Não_Deson!A574</f>
        <v>6</v>
      </c>
      <c r="B574" s="833">
        <f>+Orçamento_Não_Deson!B574</f>
        <v>102332</v>
      </c>
      <c r="C574" s="2" t="str">
        <f>VLOOKUP($B574,[2]BOLETIM_SEL!$A:$H,2,0)</f>
        <v>SINAPI</v>
      </c>
      <c r="D574" s="315" t="str">
        <f>VLOOKUP($B574,[2]BOLETIM_SEL!$A:$H,4,0)</f>
        <v>Transporte com caminhão tanque de transporte de material asfáltico de 20.000 l, em via urbana pavimentada, DMT até 30,00 km (unidade: txkm). AF_07/2020</v>
      </c>
      <c r="E574" s="2">
        <f>+Orçamento_Não_Deson!E574</f>
        <v>19</v>
      </c>
      <c r="F574" s="2" t="str">
        <f>VLOOKUP($B574,[2]BOLETIM_SEL!$A:$H,6,0)</f>
        <v>TXKM</v>
      </c>
      <c r="G574" s="1407">
        <f>VLOOKUP($B574,[2]BOLETIM_SEL!$A:$H,7,0)</f>
        <v>1.74</v>
      </c>
      <c r="H574" s="1608">
        <f>+Orçamento_Não_Deson!H574</f>
        <v>0</v>
      </c>
      <c r="I574" s="876">
        <f>TRUNC(G574*(1+$J$5),2)</f>
        <v>2.23</v>
      </c>
      <c r="J574" s="1607">
        <f t="shared" si="112"/>
        <v>0</v>
      </c>
      <c r="K574" s="2069">
        <f ca="1">J574/J$930</f>
        <v>0</v>
      </c>
      <c r="L574" s="1570" t="e">
        <f t="shared" si="113"/>
        <v>#DIV/0!</v>
      </c>
      <c r="M574" s="1976">
        <f>+Orçamento_Não_Deson!M574</f>
        <v>0</v>
      </c>
      <c r="N574" s="832"/>
      <c r="O574" s="832"/>
      <c r="Q574" s="832"/>
      <c r="R574" s="832"/>
      <c r="S574" s="832"/>
      <c r="T574" s="832"/>
      <c r="U574" s="832"/>
      <c r="V574" s="832"/>
      <c r="W574" s="832"/>
      <c r="X574" s="832"/>
    </row>
    <row r="575" spans="1:24" s="812" customFormat="1" ht="24.95" hidden="1" customHeight="1" x14ac:dyDescent="0.15">
      <c r="A575" s="2072"/>
      <c r="B575" s="833"/>
      <c r="C575" s="2"/>
      <c r="D575" s="1449" t="s">
        <v>1754</v>
      </c>
      <c r="E575" s="2"/>
      <c r="F575" s="2"/>
      <c r="G575" s="1407"/>
      <c r="H575" s="2"/>
      <c r="I575" s="2"/>
      <c r="J575" s="838" t="str">
        <f>IF(J576=0,"-","")</f>
        <v>-</v>
      </c>
      <c r="K575" s="2069"/>
      <c r="L575" s="1570"/>
      <c r="M575" s="1967"/>
      <c r="N575" s="832"/>
      <c r="O575" s="832"/>
      <c r="Q575" s="832"/>
      <c r="R575" s="832"/>
      <c r="S575" s="832"/>
      <c r="T575" s="832"/>
      <c r="U575" s="832"/>
      <c r="V575" s="832"/>
      <c r="W575" s="832"/>
      <c r="X575" s="832"/>
    </row>
    <row r="576" spans="1:24" s="812" customFormat="1" ht="39.950000000000003" hidden="1" customHeight="1" x14ac:dyDescent="0.15">
      <c r="A576" s="2072">
        <f ca="1">+Orçamento_Não_Deson!A576</f>
        <v>6</v>
      </c>
      <c r="B576" s="833">
        <f>+Orçamento_Não_Deson!B576</f>
        <v>102332</v>
      </c>
      <c r="C576" s="2" t="str">
        <f>VLOOKUP($B576,[2]BOLETIM_SEL!$A:$H,2,0)</f>
        <v>SINAPI</v>
      </c>
      <c r="D576" s="315" t="str">
        <f>VLOOKUP($B576,[2]BOLETIM_SEL!$A:$H,4,0)</f>
        <v>Transporte com caminhão tanque de transporte de material asfáltico de 20.000 l, em via urbana pavimentada, DMT até 30,00 km (unidade: txkm). AF_07/2020</v>
      </c>
      <c r="E576" s="2">
        <f>+Orçamento_Não_Deson!E576</f>
        <v>19</v>
      </c>
      <c r="F576" s="2" t="str">
        <f>VLOOKUP($B576,[2]BOLETIM_SEL!$A:$H,6,0)</f>
        <v>TXKM</v>
      </c>
      <c r="G576" s="1407">
        <f>VLOOKUP($B576,[2]BOLETIM_SEL!$A:$H,7,0)</f>
        <v>1.74</v>
      </c>
      <c r="H576" s="1608">
        <f>+Orçamento_Não_Deson!H576</f>
        <v>0</v>
      </c>
      <c r="I576" s="876">
        <f>TRUNC(G576*(1+$J$5),2)</f>
        <v>2.23</v>
      </c>
      <c r="J576" s="1607">
        <f t="shared" si="112"/>
        <v>0</v>
      </c>
      <c r="K576" s="2069">
        <f ca="1">J576/J$930</f>
        <v>0</v>
      </c>
      <c r="L576" s="1570" t="e">
        <f>J576/$J$506</f>
        <v>#DIV/0!</v>
      </c>
      <c r="M576" s="1976">
        <f>+Orçamento_Não_Deson!M576</f>
        <v>0</v>
      </c>
      <c r="N576" s="832"/>
      <c r="O576" s="832"/>
      <c r="Q576" s="832"/>
      <c r="R576" s="832"/>
      <c r="S576" s="832"/>
      <c r="T576" s="832"/>
      <c r="U576" s="832"/>
      <c r="V576" s="832"/>
      <c r="W576" s="832"/>
      <c r="X576" s="832"/>
    </row>
    <row r="577" spans="1:24" s="812" customFormat="1" ht="24.95" hidden="1" customHeight="1" x14ac:dyDescent="0.15">
      <c r="A577" s="2072"/>
      <c r="B577" s="833"/>
      <c r="C577" s="2"/>
      <c r="D577" s="1449" t="s">
        <v>1789</v>
      </c>
      <c r="E577" s="2"/>
      <c r="F577" s="2"/>
      <c r="G577" s="1407"/>
      <c r="H577" s="2"/>
      <c r="I577" s="2"/>
      <c r="J577" s="838" t="str">
        <f>IF(J578=0,"-","")</f>
        <v>-</v>
      </c>
      <c r="K577" s="2069"/>
      <c r="L577" s="1570"/>
      <c r="M577" s="1967"/>
      <c r="N577" s="832"/>
      <c r="O577" s="832"/>
      <c r="Q577" s="832"/>
      <c r="R577" s="832"/>
      <c r="S577" s="832"/>
      <c r="T577" s="832"/>
      <c r="U577" s="832"/>
      <c r="V577" s="832"/>
      <c r="W577" s="832"/>
      <c r="X577" s="832"/>
    </row>
    <row r="578" spans="1:24" s="812" customFormat="1" ht="39.950000000000003" hidden="1" customHeight="1" x14ac:dyDescent="0.15">
      <c r="A578" s="2072">
        <f ca="1">+Orçamento_Não_Deson!A578</f>
        <v>6</v>
      </c>
      <c r="B578" s="833">
        <f>+Orçamento_Não_Deson!B578</f>
        <v>102332</v>
      </c>
      <c r="C578" s="2" t="str">
        <f>VLOOKUP($B578,[2]BOLETIM_SEL!$A:$H,2,0)</f>
        <v>SINAPI</v>
      </c>
      <c r="D578" s="315" t="str">
        <f>VLOOKUP($B578,[2]BOLETIM_SEL!$A:$H,4,0)</f>
        <v>Transporte com caminhão tanque de transporte de material asfáltico de 20.000 l, em via urbana pavimentada, DMT até 30,00 km (unidade: txkm). AF_07/2020</v>
      </c>
      <c r="E578" s="2">
        <f>+Orçamento_Não_Deson!E578</f>
        <v>0</v>
      </c>
      <c r="F578" s="2" t="str">
        <f>VLOOKUP($B578,[2]BOLETIM_SEL!$A:$H,6,0)</f>
        <v>TXKM</v>
      </c>
      <c r="G578" s="1407">
        <f>VLOOKUP($B578,[2]BOLETIM_SEL!$A:$H,7,0)</f>
        <v>1.74</v>
      </c>
      <c r="H578" s="1608">
        <f>+Orçamento_Não_Deson!H578</f>
        <v>0</v>
      </c>
      <c r="I578" s="876">
        <f>TRUNC(G578*(1+$J$5),2)</f>
        <v>2.23</v>
      </c>
      <c r="J578" s="1607">
        <f>TRUNC(H578*I578,2)</f>
        <v>0</v>
      </c>
      <c r="K578" s="2069">
        <f ca="1">J578/J$930</f>
        <v>0</v>
      </c>
      <c r="L578" s="1570" t="e">
        <f>J578/$J$506</f>
        <v>#DIV/0!</v>
      </c>
      <c r="M578" s="1976">
        <f>+Orçamento_Não_Deson!M578</f>
        <v>0</v>
      </c>
      <c r="N578" s="832"/>
      <c r="O578" s="832"/>
      <c r="Q578" s="832"/>
      <c r="R578" s="832"/>
      <c r="S578" s="832"/>
      <c r="T578" s="832"/>
      <c r="U578" s="832"/>
      <c r="V578" s="832"/>
      <c r="W578" s="832"/>
      <c r="X578" s="832"/>
    </row>
    <row r="579" spans="1:24" s="812" customFormat="1" ht="24.95" hidden="1" customHeight="1" x14ac:dyDescent="0.15">
      <c r="A579" s="2072"/>
      <c r="B579" s="833"/>
      <c r="C579" s="2"/>
      <c r="D579" s="1449" t="s">
        <v>1756</v>
      </c>
      <c r="E579" s="2"/>
      <c r="F579" s="2"/>
      <c r="G579" s="1407"/>
      <c r="H579" s="2"/>
      <c r="I579" s="2"/>
      <c r="J579" s="838" t="str">
        <f>IF(J580=0,"-","")</f>
        <v>-</v>
      </c>
      <c r="K579" s="2069"/>
      <c r="L579" s="1570"/>
      <c r="M579" s="1967"/>
      <c r="N579" s="832"/>
      <c r="O579" s="832"/>
      <c r="Q579" s="832"/>
      <c r="R579" s="832"/>
      <c r="S579" s="832"/>
      <c r="T579" s="832"/>
      <c r="U579" s="832"/>
      <c r="V579" s="832"/>
      <c r="W579" s="832"/>
      <c r="X579" s="832"/>
    </row>
    <row r="580" spans="1:24" s="812" customFormat="1" ht="39.950000000000003" hidden="1" customHeight="1" x14ac:dyDescent="0.15">
      <c r="A580" s="2072">
        <f ca="1">+Orçamento_Não_Deson!A580</f>
        <v>6</v>
      </c>
      <c r="B580" s="833">
        <f>+Orçamento_Não_Deson!B580</f>
        <v>102332</v>
      </c>
      <c r="C580" s="2" t="str">
        <f>VLOOKUP($B580,[2]BOLETIM_SEL!$A:$H,2,0)</f>
        <v>SINAPI</v>
      </c>
      <c r="D580" s="315" t="str">
        <f>VLOOKUP($B580,[2]BOLETIM_SEL!$A:$H,4,0)</f>
        <v>Transporte com caminhão tanque de transporte de material asfáltico de 20.000 l, em via urbana pavimentada, DMT até 30,00 km (unidade: txkm). AF_07/2020</v>
      </c>
      <c r="E580" s="2">
        <f>+Orçamento_Não_Deson!E580</f>
        <v>0</v>
      </c>
      <c r="F580" s="2" t="str">
        <f>VLOOKUP($B580,[2]BOLETIM_SEL!$A:$H,6,0)</f>
        <v>TXKM</v>
      </c>
      <c r="G580" s="1407">
        <f>VLOOKUP($B580,[2]BOLETIM_SEL!$A:$H,7,0)</f>
        <v>1.74</v>
      </c>
      <c r="H580" s="1608">
        <f>+Orçamento_Não_Deson!H580</f>
        <v>0</v>
      </c>
      <c r="I580" s="876">
        <f>TRUNC(G580*(1+$J$5),2)</f>
        <v>2.23</v>
      </c>
      <c r="J580" s="1607">
        <f>TRUNC(H580*I580,2)</f>
        <v>0</v>
      </c>
      <c r="K580" s="2069">
        <f ca="1">J580/J$930</f>
        <v>0</v>
      </c>
      <c r="L580" s="1570" t="e">
        <f>J580/$J$506</f>
        <v>#DIV/0!</v>
      </c>
      <c r="M580" s="1976">
        <f>+Orçamento_Não_Deson!M580</f>
        <v>0</v>
      </c>
      <c r="N580" s="832"/>
      <c r="O580" s="832"/>
      <c r="Q580" s="832"/>
      <c r="R580" s="832"/>
      <c r="S580" s="832"/>
      <c r="T580" s="832"/>
      <c r="U580" s="832"/>
      <c r="V580" s="832"/>
      <c r="W580" s="832"/>
      <c r="X580" s="832"/>
    </row>
    <row r="581" spans="1:24" s="812" customFormat="1" ht="24.95" hidden="1" customHeight="1" x14ac:dyDescent="0.15">
      <c r="A581" s="2072"/>
      <c r="B581" s="833"/>
      <c r="C581" s="833"/>
      <c r="D581" s="834"/>
      <c r="E581" s="2"/>
      <c r="F581" s="833"/>
      <c r="G581" s="1814"/>
      <c r="H581" s="1"/>
      <c r="I581" s="876"/>
      <c r="J581" s="838">
        <f>IF(J506=0,0,"")</f>
        <v>0</v>
      </c>
      <c r="K581" s="2069"/>
      <c r="L581" s="1570"/>
      <c r="M581" s="1826"/>
      <c r="N581" s="832"/>
      <c r="O581" s="832"/>
      <c r="Q581" s="832"/>
      <c r="R581" s="832"/>
      <c r="S581" s="832"/>
      <c r="T581" s="832"/>
      <c r="U581" s="832"/>
      <c r="V581" s="832"/>
      <c r="W581" s="832"/>
      <c r="X581" s="832"/>
    </row>
    <row r="582" spans="1:24" s="832" customFormat="1" ht="24.95" hidden="1" customHeight="1" x14ac:dyDescent="0.15">
      <c r="A582" s="2073">
        <f ca="1">IF(J582&gt;0,INT(A580)+1,IF(J582=0,INT(A580),0))</f>
        <v>6</v>
      </c>
      <c r="B582" s="1626"/>
      <c r="C582" s="1626"/>
      <c r="D582" s="1627" t="s">
        <v>747</v>
      </c>
      <c r="E582" s="1821"/>
      <c r="F582" s="1628"/>
      <c r="G582" s="1813" t="s">
        <v>649</v>
      </c>
      <c r="H582" s="1630"/>
      <c r="I582" s="1633" t="str">
        <f ca="1">CONCATENATE("SUB-TOTAL ",A582)</f>
        <v>SUB-TOTAL 6</v>
      </c>
      <c r="J582" s="1632">
        <f>SUM(J583:J622)</f>
        <v>0</v>
      </c>
      <c r="K582" s="2070">
        <f t="shared" ref="K582:K598" ca="1" si="115">J582/J$930</f>
        <v>0</v>
      </c>
      <c r="L582" s="1605" t="e">
        <f t="shared" ref="L582:L622" si="116">J582/$J$582</f>
        <v>#DIV/0!</v>
      </c>
      <c r="Q582" s="3"/>
      <c r="R582" s="3"/>
      <c r="S582" s="3"/>
      <c r="T582" s="3"/>
      <c r="U582" s="3"/>
      <c r="V582" s="3"/>
      <c r="W582" s="3"/>
    </row>
    <row r="583" spans="1:24" s="812" customFormat="1" ht="39.950000000000003" hidden="1" customHeight="1" x14ac:dyDescent="0.15">
      <c r="A583" s="2072">
        <f ca="1">+Orçamento_Não_Deson!A583</f>
        <v>6</v>
      </c>
      <c r="B583" s="833" t="str">
        <f>+Orçamento_Não_Deson!B583</f>
        <v>RE/0075</v>
      </c>
      <c r="C583" s="2" t="str">
        <f>VLOOKUP($B583,[2]BOLETIM_SEL!$A:$H,2,0)</f>
        <v>COMPOSIÇÃO</v>
      </c>
      <c r="D583" s="315" t="str">
        <f>VLOOKUP($B583,[2]BOLETIM_SEL!$A:$H,4,0)</f>
        <v>Microrrevestimento a frio - Microflex, espessura 0,8 cm, com emulsão asfáltica polimerizada RC-1C-E, execução e fornecimento de materiais. Exclusive transportes de insumos e do ligante betuminoso (REF. SICRO COD. 4011408)</v>
      </c>
      <c r="E583" s="2">
        <f>+Orçamento_Não_Deson!E583</f>
        <v>0</v>
      </c>
      <c r="F583" s="2" t="str">
        <f>VLOOKUP($B583,[2]BOLETIM_SEL!$A:$H,6,0)</f>
        <v>M2</v>
      </c>
      <c r="G583" s="1407">
        <f>VLOOKUP($B583,[2]BOLETIM_SEL!$A:$H,7,0)</f>
        <v>10.9</v>
      </c>
      <c r="H583" s="1608">
        <f>+Orçamento_Não_Deson!H583</f>
        <v>0</v>
      </c>
      <c r="I583" s="876">
        <f t="shared" ref="I583:I598" si="117">+TRUNC(G583*(1+$J$5),2)</f>
        <v>13.97</v>
      </c>
      <c r="J583" s="1607">
        <f t="shared" ref="J583:J585" si="118">TRUNC(H583*I583,2)</f>
        <v>0</v>
      </c>
      <c r="K583" s="2069">
        <f t="shared" ca="1" si="115"/>
        <v>0</v>
      </c>
      <c r="L583" s="1570" t="e">
        <f t="shared" ref="L583:L585" si="119">J583/$J$582</f>
        <v>#DIV/0!</v>
      </c>
      <c r="M583" s="1967"/>
      <c r="N583" s="832"/>
      <c r="O583" s="832"/>
      <c r="Q583" s="832"/>
      <c r="R583" s="832"/>
      <c r="S583" s="832"/>
      <c r="T583" s="832"/>
      <c r="U583" s="832"/>
      <c r="V583" s="832"/>
      <c r="W583" s="832"/>
      <c r="X583" s="832"/>
    </row>
    <row r="584" spans="1:24" s="812" customFormat="1" ht="39.950000000000003" hidden="1" customHeight="1" x14ac:dyDescent="0.15">
      <c r="A584" s="2072">
        <f ca="1">+Orçamento_Não_Deson!A584</f>
        <v>6</v>
      </c>
      <c r="B584" s="833" t="str">
        <f>+Orçamento_Não_Deson!B584</f>
        <v>RE/0080</v>
      </c>
      <c r="C584" s="2" t="str">
        <f>VLOOKUP($B584,[2]BOLETIM_SEL!$A:$H,2,0)</f>
        <v>COMPOSIÇÃO</v>
      </c>
      <c r="D584" s="315" t="str">
        <f>VLOOKUP($B584,[2]BOLETIM_SEL!$A:$H,4,0)</f>
        <v>Microrrevestimento a frio - Microflex, espessura 1,5 cm, com emulsão asfáltica polimerizada RC-1C-E, execução e fornecimento de materiais. Exclusive transportes de insumos e do ligante betuminoso (REF. SICRO COD. 4011410)</v>
      </c>
      <c r="E584" s="2">
        <f>+Orçamento_Não_Deson!E584</f>
        <v>0</v>
      </c>
      <c r="F584" s="2" t="str">
        <f>VLOOKUP($B584,[2]BOLETIM_SEL!$A:$H,6,0)</f>
        <v>M2</v>
      </c>
      <c r="G584" s="1407">
        <f>VLOOKUP($B584,[2]BOLETIM_SEL!$A:$H,7,0)</f>
        <v>18.22</v>
      </c>
      <c r="H584" s="1608">
        <f>+Orçamento_Não_Deson!H584</f>
        <v>0</v>
      </c>
      <c r="I584" s="876">
        <f t="shared" si="117"/>
        <v>23.35</v>
      </c>
      <c r="J584" s="1607">
        <f t="shared" si="118"/>
        <v>0</v>
      </c>
      <c r="K584" s="2069">
        <f t="shared" ca="1" si="115"/>
        <v>0</v>
      </c>
      <c r="L584" s="1570" t="e">
        <f t="shared" si="119"/>
        <v>#DIV/0!</v>
      </c>
      <c r="M584" s="1967"/>
      <c r="N584" s="832"/>
      <c r="O584" s="832"/>
      <c r="Q584" s="832"/>
      <c r="R584" s="832"/>
      <c r="S584" s="832"/>
      <c r="T584" s="832"/>
      <c r="U584" s="832"/>
      <c r="V584" s="832"/>
      <c r="W584" s="832"/>
      <c r="X584" s="832"/>
    </row>
    <row r="585" spans="1:24" s="812" customFormat="1" ht="39.950000000000003" hidden="1" customHeight="1" x14ac:dyDescent="0.15">
      <c r="A585" s="2072">
        <f ca="1">+Orçamento_Não_Deson!A585</f>
        <v>6</v>
      </c>
      <c r="B585" s="833" t="str">
        <f>+Orçamento_Não_Deson!B585</f>
        <v>RE/0085</v>
      </c>
      <c r="C585" s="2" t="str">
        <f>VLOOKUP($B585,[2]BOLETIM_SEL!$A:$H,2,0)</f>
        <v>COMPOSIÇÃO</v>
      </c>
      <c r="D585" s="315" t="str">
        <f>VLOOKUP($B585,[2]BOLETIM_SEL!$A:$H,4,0)</f>
        <v>Microrrevestimento a frio - Microflex, espessura 2,0 cm, com emulsão asfáltica polimerizada RC-1C-E, execução e fornecimento de materiais. Exclusive transportes de insumos e do ligante betuminoso (REF. SICRO COD. 4011412)</v>
      </c>
      <c r="E585" s="2">
        <f>+Orçamento_Não_Deson!E585</f>
        <v>0</v>
      </c>
      <c r="F585" s="2" t="str">
        <f>VLOOKUP($B585,[2]BOLETIM_SEL!$A:$H,6,0)</f>
        <v>M2</v>
      </c>
      <c r="G585" s="1407">
        <f>VLOOKUP($B585,[2]BOLETIM_SEL!$A:$H,7,0)</f>
        <v>22.65</v>
      </c>
      <c r="H585" s="1608">
        <f>+Orçamento_Não_Deson!H585</f>
        <v>0</v>
      </c>
      <c r="I585" s="876">
        <f t="shared" si="117"/>
        <v>29.03</v>
      </c>
      <c r="J585" s="1607">
        <f t="shared" si="118"/>
        <v>0</v>
      </c>
      <c r="K585" s="2069">
        <f t="shared" ca="1" si="115"/>
        <v>0</v>
      </c>
      <c r="L585" s="1570" t="e">
        <f t="shared" si="119"/>
        <v>#DIV/0!</v>
      </c>
      <c r="M585" s="1967"/>
      <c r="N585" s="832"/>
      <c r="O585" s="832"/>
      <c r="Q585" s="832"/>
      <c r="R585" s="832"/>
      <c r="S585" s="832"/>
      <c r="T585" s="832"/>
      <c r="U585" s="832"/>
      <c r="V585" s="832"/>
      <c r="W585" s="832"/>
      <c r="X585" s="832"/>
    </row>
    <row r="586" spans="1:24" s="812" customFormat="1" ht="30" hidden="1" customHeight="1" x14ac:dyDescent="0.15">
      <c r="A586" s="2072">
        <f ca="1">+Orçamento_Não_Deson!A586</f>
        <v>6</v>
      </c>
      <c r="B586" s="833" t="str">
        <f>+Orçamento_Não_Deson!B586</f>
        <v>PA/0150</v>
      </c>
      <c r="C586" s="2" t="str">
        <f>VLOOKUP($B586,[2]BOLETIM_SEL!$A:$H,2,0)</f>
        <v>COMPOSIÇÃO</v>
      </c>
      <c r="D586" s="315" t="str">
        <f>VLOOKUP($B586,[2]BOLETIM_SEL!$A:$H,4,0)</f>
        <v>PAVIMENTO COM TRATAMENTO SUPERFICIAL DUPLO, COM EMULSÃO ASFÁLTICA RR-2C (REF. SINAPI COD. 03.PAVI.TSUP.005/01-104389 DB 09-21)</v>
      </c>
      <c r="E586" s="2">
        <f>+Orçamento_Não_Deson!E586</f>
        <v>0</v>
      </c>
      <c r="F586" s="2" t="str">
        <f>VLOOKUP($B586,[2]BOLETIM_SEL!$A:$H,6,0)</f>
        <v>M2</v>
      </c>
      <c r="G586" s="1407">
        <f>VLOOKUP($B586,[2]BOLETIM_SEL!$A:$H,7,0)</f>
        <v>15.86</v>
      </c>
      <c r="H586" s="1608">
        <f>+Orçamento_Não_Deson!H586</f>
        <v>0</v>
      </c>
      <c r="I586" s="876">
        <f t="shared" si="117"/>
        <v>20.32</v>
      </c>
      <c r="J586" s="1607">
        <f t="shared" ref="J586:J622" si="120">TRUNC(H586*I586,2)</f>
        <v>0</v>
      </c>
      <c r="K586" s="2069">
        <f t="shared" ca="1" si="115"/>
        <v>0</v>
      </c>
      <c r="L586" s="1570" t="e">
        <f t="shared" si="116"/>
        <v>#DIV/0!</v>
      </c>
      <c r="M586" s="1967"/>
      <c r="N586" s="832"/>
      <c r="O586" s="832"/>
      <c r="Q586" s="832"/>
      <c r="R586" s="832"/>
      <c r="S586" s="832"/>
      <c r="T586" s="832"/>
      <c r="U586" s="832"/>
      <c r="V586" s="832"/>
      <c r="W586" s="832"/>
      <c r="X586" s="832"/>
    </row>
    <row r="587" spans="1:24" s="812" customFormat="1" ht="30" hidden="1" customHeight="1" x14ac:dyDescent="0.15">
      <c r="A587" s="2072">
        <f ca="1">+Orçamento_Não_Deson!A587</f>
        <v>6</v>
      </c>
      <c r="B587" s="833" t="str">
        <f>+Orçamento_Não_Deson!B587</f>
        <v>PA/0023</v>
      </c>
      <c r="C587" s="2" t="str">
        <f>VLOOKUP($B587,[2]BOLETIM_SEL!$A:$H,2,0)</f>
        <v>COMPOSIÇÃO</v>
      </c>
      <c r="D587" s="315" t="str">
        <f>VLOOKUP($B587,[2]BOLETIM_SEL!$A:$H,4,0)</f>
        <v>Pintura de ligação, execução e fornecimento de emulsão asfáltica RR-1C (ref SINAPI cód 104375)</v>
      </c>
      <c r="E587" s="2">
        <f>+Orçamento_Não_Deson!E587</f>
        <v>0</v>
      </c>
      <c r="F587" s="2" t="str">
        <f>VLOOKUP($B587,[2]BOLETIM_SEL!$A:$H,6,0)</f>
        <v>M2</v>
      </c>
      <c r="G587" s="1407">
        <f>VLOOKUP($B587,[2]BOLETIM_SEL!$A:$H,7,0)</f>
        <v>2.4700000000000002</v>
      </c>
      <c r="H587" s="1608">
        <f>+Orçamento_Não_Deson!H587</f>
        <v>0</v>
      </c>
      <c r="I587" s="876">
        <f t="shared" si="117"/>
        <v>3.16</v>
      </c>
      <c r="J587" s="1607">
        <f t="shared" si="120"/>
        <v>0</v>
      </c>
      <c r="K587" s="2069">
        <f t="shared" ca="1" si="115"/>
        <v>0</v>
      </c>
      <c r="L587" s="1570" t="e">
        <f t="shared" si="116"/>
        <v>#DIV/0!</v>
      </c>
      <c r="M587" s="1967"/>
      <c r="N587" s="832"/>
      <c r="O587" s="832"/>
      <c r="Q587" s="832"/>
      <c r="R587" s="832"/>
      <c r="S587" s="832"/>
      <c r="T587" s="832"/>
      <c r="U587" s="832"/>
      <c r="V587" s="832"/>
      <c r="W587" s="832"/>
      <c r="X587" s="832"/>
    </row>
    <row r="588" spans="1:24" s="812" customFormat="1" ht="39.950000000000003" hidden="1" customHeight="1" x14ac:dyDescent="0.15">
      <c r="A588" s="2072">
        <f ca="1">+Orçamento_Não_Deson!A588</f>
        <v>6</v>
      </c>
      <c r="B588" s="833" t="str">
        <f>+Orçamento_Não_Deson!B588</f>
        <v>PA/0035</v>
      </c>
      <c r="C588" s="2" t="str">
        <f>VLOOKUP($B588,[2]BOLETIM_SEL!$A:$H,2,0)</f>
        <v>COMPOSIÇÃO</v>
      </c>
      <c r="D588" s="315" t="str">
        <f>VLOOKUP($B588,[2]BOLETIM_SEL!$A:$H,4,0)</f>
        <v>Capa selante para agulhamento na base, execução e fornecimento de emulsão asfáltica RR-2C. Exclusive transporte (REF. SICRO COD. 4915636)</v>
      </c>
      <c r="E588" s="2">
        <f>+Orçamento_Não_Deson!E588</f>
        <v>0</v>
      </c>
      <c r="F588" s="2" t="str">
        <f>VLOOKUP($B588,[2]BOLETIM_SEL!$A:$H,6,0)</f>
        <v>M2</v>
      </c>
      <c r="G588" s="1407">
        <f>VLOOKUP($B588,[2]BOLETIM_SEL!$A:$H,7,0)</f>
        <v>4.9000000000000004</v>
      </c>
      <c r="H588" s="1608">
        <f>+Orçamento_Não_Deson!H588</f>
        <v>0</v>
      </c>
      <c r="I588" s="876">
        <f t="shared" si="117"/>
        <v>6.28</v>
      </c>
      <c r="J588" s="1607">
        <f t="shared" si="120"/>
        <v>0</v>
      </c>
      <c r="K588" s="2069">
        <f t="shared" ca="1" si="115"/>
        <v>0</v>
      </c>
      <c r="L588" s="1570" t="e">
        <f t="shared" si="116"/>
        <v>#DIV/0!</v>
      </c>
      <c r="M588" s="1967"/>
      <c r="N588" s="832"/>
      <c r="O588" s="832"/>
      <c r="Q588" s="832"/>
      <c r="R588" s="832"/>
      <c r="S588" s="832"/>
      <c r="T588" s="832"/>
      <c r="U588" s="832"/>
      <c r="V588" s="832"/>
      <c r="W588" s="832"/>
      <c r="X588" s="832"/>
    </row>
    <row r="589" spans="1:24" s="812" customFormat="1" ht="39.950000000000003" hidden="1" customHeight="1" x14ac:dyDescent="0.15">
      <c r="A589" s="2072">
        <f ca="1">+Orçamento_Não_Deson!A589</f>
        <v>6</v>
      </c>
      <c r="B589" s="833" t="str">
        <f>+Orçamento_Não_Deson!B589</f>
        <v>PA/0040</v>
      </c>
      <c r="C589" s="2" t="str">
        <f>VLOOKUP($B589,[2]BOLETIM_SEL!$A:$H,2,0)</f>
        <v>COMPOSIÇÃO</v>
      </c>
      <c r="D589" s="315" t="str">
        <f>VLOOKUP($B589,[2]BOLETIM_SEL!$A:$H,4,0)</f>
        <v>Construção de pavimento com aplicação de concreto betuminoso usinado à quente (CBUQ - faixa C - CAP 30/45 - usina comercial), camada de rolamento, exclusive transporte da mistura (REF. SINAPI COD. 95995)</v>
      </c>
      <c r="E589" s="2">
        <f>+Orçamento_Não_Deson!E589</f>
        <v>0</v>
      </c>
      <c r="F589" s="2" t="str">
        <f>VLOOKUP($B589,[2]BOLETIM_SEL!$A:$H,6,0)</f>
        <v>M3</v>
      </c>
      <c r="G589" s="1407">
        <f>VLOOKUP($B589,[2]BOLETIM_SEL!$A:$H,7,0)</f>
        <v>1618.68</v>
      </c>
      <c r="H589" s="1608">
        <f>+Orçamento_Não_Deson!H589</f>
        <v>0</v>
      </c>
      <c r="I589" s="876">
        <f t="shared" si="117"/>
        <v>2074.66</v>
      </c>
      <c r="J589" s="1607">
        <f t="shared" si="120"/>
        <v>0</v>
      </c>
      <c r="K589" s="2069">
        <f t="shared" ca="1" si="115"/>
        <v>0</v>
      </c>
      <c r="L589" s="1570" t="e">
        <f t="shared" si="116"/>
        <v>#DIV/0!</v>
      </c>
      <c r="M589" s="1968" t="str">
        <f>+Orçamento_Não_Deson!M589</f>
        <v>COMERCIAL</v>
      </c>
      <c r="N589" s="832"/>
      <c r="O589" s="832"/>
      <c r="Q589" s="832"/>
      <c r="R589" s="832"/>
      <c r="S589" s="832"/>
      <c r="T589" s="832"/>
      <c r="U589" s="832"/>
      <c r="V589" s="832"/>
      <c r="W589" s="832"/>
      <c r="X589" s="832"/>
    </row>
    <row r="590" spans="1:24" s="812" customFormat="1" ht="39.950000000000003" hidden="1" customHeight="1" x14ac:dyDescent="0.15">
      <c r="A590" s="2072">
        <f ca="1">+Orçamento_Não_Deson!A590</f>
        <v>6</v>
      </c>
      <c r="B590" s="833">
        <f>+Orçamento_Não_Deson!B590</f>
        <v>95995</v>
      </c>
      <c r="C590" s="2" t="str">
        <f>VLOOKUP($B590,[2]BOLETIM_SEL!$A:$H,2,0)</f>
        <v>SINAPI</v>
      </c>
      <c r="D590" s="315" t="str">
        <f>VLOOKUP($B590,[2]BOLETIM_SEL!$A:$H,4,0)</f>
        <v>Construção de pavimento com aplicação de concreto betuminoso usinado à quente (CBUQ - faixa C - CAP 50/70 - usina comercial), camada de rolamento. Exclusive transporte da mistura. Af_11/2019</v>
      </c>
      <c r="E590" s="2">
        <f>+Orçamento_Não_Deson!E590</f>
        <v>0</v>
      </c>
      <c r="F590" s="2" t="str">
        <f>VLOOKUP($B590,[2]BOLETIM_SEL!$A:$H,6,0)</f>
        <v>M3</v>
      </c>
      <c r="G590" s="1407">
        <f>VLOOKUP($B590,[2]BOLETIM_SEL!$A:$H,7,0)</f>
        <v>1647.93</v>
      </c>
      <c r="H590" s="1608">
        <f>+Orçamento_Não_Deson!H590</f>
        <v>0</v>
      </c>
      <c r="I590" s="876">
        <f t="shared" si="117"/>
        <v>2112.15</v>
      </c>
      <c r="J590" s="1607">
        <f t="shared" si="120"/>
        <v>0</v>
      </c>
      <c r="K590" s="2069">
        <f t="shared" ca="1" si="115"/>
        <v>0</v>
      </c>
      <c r="L590" s="1570" t="e">
        <f t="shared" si="116"/>
        <v>#DIV/0!</v>
      </c>
      <c r="M590" s="1968" t="str">
        <f>+Orçamento_Não_Deson!M590</f>
        <v>COMERCIAL</v>
      </c>
      <c r="N590" s="832"/>
      <c r="O590" s="832"/>
      <c r="Q590" s="832"/>
      <c r="R590" s="832"/>
      <c r="S590" s="832"/>
      <c r="T590" s="832"/>
      <c r="U590" s="832"/>
      <c r="V590" s="832"/>
      <c r="W590" s="832"/>
      <c r="X590" s="832"/>
    </row>
    <row r="591" spans="1:24" s="812" customFormat="1" ht="39.950000000000003" hidden="1" customHeight="1" x14ac:dyDescent="0.15">
      <c r="A591" s="2072">
        <f ca="1">+Orçamento_Não_Deson!A591</f>
        <v>6</v>
      </c>
      <c r="B591" s="833" t="str">
        <f>+Orçamento_Não_Deson!B591</f>
        <v>PA/0045</v>
      </c>
      <c r="C591" s="2" t="str">
        <f>VLOOKUP($B591,[2]BOLETIM_SEL!$A:$H,2,0)</f>
        <v>COMPOSIÇÃO</v>
      </c>
      <c r="D591" s="315" t="str">
        <f>VLOOKUP($B591,[2]BOLETIM_SEL!$A:$H,4,0)</f>
        <v>Construção de pavimento com aplicação de concreto betuminoso usinado à quente modificado por polímero elastomérico - CBUQ (p) - CAP 60-85-E - FAIXA "C", camada de rolamento. Exclusive transporte da mistura (REF. SINAPI COD. 95995)</v>
      </c>
      <c r="E591" s="2">
        <f>+Orçamento_Não_Deson!E591</f>
        <v>0</v>
      </c>
      <c r="F591" s="2" t="str">
        <f>VLOOKUP($B591,[2]BOLETIM_SEL!$A:$H,6,0)</f>
        <v>M3</v>
      </c>
      <c r="G591" s="1407">
        <f>VLOOKUP($B591,[2]BOLETIM_SEL!$A:$H,7,0)</f>
        <v>1870.35</v>
      </c>
      <c r="H591" s="1608">
        <f>+Orçamento_Não_Deson!H591</f>
        <v>0</v>
      </c>
      <c r="I591" s="876">
        <f t="shared" si="117"/>
        <v>2397.2199999999998</v>
      </c>
      <c r="J591" s="1607">
        <f t="shared" si="120"/>
        <v>0</v>
      </c>
      <c r="K591" s="2069">
        <f t="shared" ca="1" si="115"/>
        <v>0</v>
      </c>
      <c r="L591" s="1570" t="e">
        <f t="shared" si="116"/>
        <v>#DIV/0!</v>
      </c>
      <c r="M591" s="1967"/>
      <c r="N591" s="832"/>
      <c r="O591" s="832"/>
      <c r="Q591" s="832"/>
      <c r="R591" s="832"/>
      <c r="S591" s="832"/>
      <c r="T591" s="832"/>
      <c r="U591" s="832"/>
      <c r="V591" s="832"/>
      <c r="W591" s="832"/>
      <c r="X591" s="832"/>
    </row>
    <row r="592" spans="1:24" s="812" customFormat="1" ht="39.950000000000003" hidden="1" customHeight="1" x14ac:dyDescent="0.15">
      <c r="A592" s="2072">
        <f ca="1">+Orçamento_Não_Deson!A592</f>
        <v>6</v>
      </c>
      <c r="B592" s="833" t="str">
        <f>+Orçamento_Não_Deson!B592</f>
        <v>PA/0055</v>
      </c>
      <c r="C592" s="2" t="str">
        <f>VLOOKUP($B592,[2]BOLETIM_SEL!$A:$H,2,0)</f>
        <v>COMPOSIÇÃO</v>
      </c>
      <c r="D592" s="315" t="str">
        <f>VLOOKUP($B592,[2]BOLETIM_SEL!$A:$H,4,0)</f>
        <v>Execução de pré-misturado a frio - PMF, faixa C (semidenso), com emulsão asfáltica RL-1C, para revestimento, aplicação com vibroacabadora. Exclusive transporte</v>
      </c>
      <c r="E592" s="2">
        <f>+Orçamento_Não_Deson!E592</f>
        <v>0</v>
      </c>
      <c r="F592" s="2" t="str">
        <f>VLOOKUP($B592,[2]BOLETIM_SEL!$A:$H,6,0)</f>
        <v>M3</v>
      </c>
      <c r="G592" s="1407"/>
      <c r="H592" s="1608">
        <f>+Orçamento_Não_Deson!H592</f>
        <v>0</v>
      </c>
      <c r="I592" s="2180">
        <f t="shared" si="117"/>
        <v>0</v>
      </c>
      <c r="J592" s="2181">
        <f t="shared" si="120"/>
        <v>0</v>
      </c>
      <c r="K592" s="2182">
        <f t="shared" ca="1" si="115"/>
        <v>0</v>
      </c>
      <c r="L592" s="2368" t="e">
        <f t="shared" si="116"/>
        <v>#DIV/0!</v>
      </c>
      <c r="M592" s="1967"/>
      <c r="N592" s="832"/>
      <c r="O592" s="832"/>
      <c r="Q592" s="832"/>
      <c r="R592" s="832"/>
      <c r="S592" s="832"/>
      <c r="T592" s="832"/>
      <c r="U592" s="832"/>
      <c r="V592" s="832"/>
      <c r="W592" s="832"/>
      <c r="X592" s="832"/>
    </row>
    <row r="593" spans="1:24" s="812" customFormat="1" ht="39.950000000000003" hidden="1" customHeight="1" x14ac:dyDescent="0.15">
      <c r="A593" s="2072">
        <f ca="1">+Orçamento_Não_Deson!A593</f>
        <v>6</v>
      </c>
      <c r="B593" s="833" t="str">
        <f>+Orçamento_Não_Deson!B593</f>
        <v>DR/0385</v>
      </c>
      <c r="C593" s="2" t="str">
        <f>VLOOKUP($B593,[2]BOLETIM_SEL!$A:$H,2,0)</f>
        <v>COMPOSIÇÃO</v>
      </c>
      <c r="D593" s="315" t="str">
        <f>VLOOKUP($B593,[2]BOLETIM_SEL!$A:$H,4,0)</f>
        <v>Substituição de quadro e grelha articulada em F°F°, classe D400, carga máxima 40 T, 415 x 955 mm para boca de lobo, incluindo demolição e implantação da sarjeta de contorno (chama) em concreto FCK = 20 mpa</v>
      </c>
      <c r="E593" s="2">
        <f>+Orçamento_Não_Deson!E593</f>
        <v>0</v>
      </c>
      <c r="F593" s="2" t="str">
        <f>VLOOKUP($B593,[2]BOLETIM_SEL!$A:$H,6,0)</f>
        <v xml:space="preserve">UN </v>
      </c>
      <c r="G593" s="1407">
        <f>VLOOKUP($B593,[2]BOLETIM_SEL!$A:$H,7,0)</f>
        <v>939.44</v>
      </c>
      <c r="H593" s="1608">
        <f>+Orçamento_Não_Deson!H593</f>
        <v>0</v>
      </c>
      <c r="I593" s="876">
        <f t="shared" si="117"/>
        <v>1204.08</v>
      </c>
      <c r="J593" s="1607">
        <f t="shared" si="120"/>
        <v>0</v>
      </c>
      <c r="K593" s="2069">
        <f t="shared" ca="1" si="115"/>
        <v>0</v>
      </c>
      <c r="L593" s="1570" t="e">
        <f t="shared" si="116"/>
        <v>#DIV/0!</v>
      </c>
      <c r="M593" s="1967"/>
      <c r="N593" s="832"/>
      <c r="O593" s="832"/>
      <c r="Q593" s="832"/>
      <c r="R593" s="832"/>
      <c r="S593" s="832"/>
      <c r="T593" s="832"/>
      <c r="U593" s="832"/>
      <c r="V593" s="832"/>
      <c r="W593" s="832"/>
      <c r="X593" s="832"/>
    </row>
    <row r="594" spans="1:24" s="812" customFormat="1" ht="39.950000000000003" hidden="1" customHeight="1" x14ac:dyDescent="0.15">
      <c r="A594" s="2072">
        <f ca="1">+Orçamento_Não_Deson!A594</f>
        <v>6</v>
      </c>
      <c r="B594" s="833" t="str">
        <f>+Orçamento_Não_Deson!B594</f>
        <v>DR/0390</v>
      </c>
      <c r="C594" s="2" t="str">
        <f>VLOOKUP($B594,[2]BOLETIM_SEL!$A:$H,2,0)</f>
        <v>COMPOSIÇÃO</v>
      </c>
      <c r="D594" s="315" t="str">
        <f>VLOOKUP($B594,[2]BOLETIM_SEL!$A:$H,4,0)</f>
        <v>Remoção e reassentamento de quadro e grelha articulada em F°F° para boca de lobo, incluindo demolição e implantação da sarjeta de contorno (chama) em concreto FCK = 20 Mpa</v>
      </c>
      <c r="E594" s="2">
        <f>+Orçamento_Não_Deson!E594</f>
        <v>0</v>
      </c>
      <c r="F594" s="2" t="str">
        <f>VLOOKUP($B594,[2]BOLETIM_SEL!$A:$H,6,0)</f>
        <v xml:space="preserve">UN </v>
      </c>
      <c r="G594" s="1407">
        <f>VLOOKUP($B594,[2]BOLETIM_SEL!$A:$H,7,0)</f>
        <v>206.43</v>
      </c>
      <c r="H594" s="1608">
        <f>+Orçamento_Não_Deson!H594</f>
        <v>0</v>
      </c>
      <c r="I594" s="876">
        <f t="shared" si="117"/>
        <v>264.58</v>
      </c>
      <c r="J594" s="1607">
        <f t="shared" si="120"/>
        <v>0</v>
      </c>
      <c r="K594" s="2069">
        <f t="shared" ca="1" si="115"/>
        <v>0</v>
      </c>
      <c r="L594" s="1570" t="e">
        <f t="shared" si="116"/>
        <v>#DIV/0!</v>
      </c>
      <c r="M594" s="1967"/>
      <c r="N594" s="832"/>
      <c r="O594" s="832"/>
      <c r="Q594" s="832"/>
      <c r="R594" s="832"/>
      <c r="S594" s="832"/>
      <c r="T594" s="832"/>
      <c r="U594" s="832"/>
      <c r="V594" s="832"/>
      <c r="W594" s="832"/>
      <c r="X594" s="832"/>
    </row>
    <row r="595" spans="1:24" s="812" customFormat="1" ht="39.950000000000003" hidden="1" customHeight="1" x14ac:dyDescent="0.15">
      <c r="A595" s="2072">
        <f ca="1">+Orçamento_Não_Deson!A595</f>
        <v>6</v>
      </c>
      <c r="B595" s="833" t="str">
        <f>+Orçamento_Não_Deson!B595</f>
        <v>DR/0365</v>
      </c>
      <c r="C595" s="2" t="str">
        <f>VLOOKUP($B595,[2]BOLETIM_SEL!$A:$H,2,0)</f>
        <v>COMPOSIÇÃO</v>
      </c>
      <c r="D595" s="315" t="str">
        <f>VLOOKUP($B595,[2]BOLETIM_SEL!$A:$H,4,0)</f>
        <v>Substituição de tampão de PV, incluindo fornecimento de tampão de FºFº articulado, Classe B400, carga máxima 40 T, redondo tampa 600 mm para rede pluvial/esgoto, e requadro em concreto simples FCK 20mpa, de 1,00m x 1,00m x 0,20m</v>
      </c>
      <c r="E595" s="2">
        <f>+Orçamento_Não_Deson!E595</f>
        <v>0</v>
      </c>
      <c r="F595" s="2" t="str">
        <f>VLOOKUP($B595,[2]BOLETIM_SEL!$A:$H,6,0)</f>
        <v xml:space="preserve">UN </v>
      </c>
      <c r="G595" s="1407">
        <f>VLOOKUP($B595,[2]BOLETIM_SEL!$A:$H,7,0)</f>
        <v>827.27</v>
      </c>
      <c r="H595" s="1608">
        <f>+Orçamento_Não_Deson!H595</f>
        <v>0</v>
      </c>
      <c r="I595" s="876">
        <f t="shared" si="117"/>
        <v>1060.31</v>
      </c>
      <c r="J595" s="1607">
        <f t="shared" si="120"/>
        <v>0</v>
      </c>
      <c r="K595" s="2069">
        <f t="shared" ca="1" si="115"/>
        <v>0</v>
      </c>
      <c r="L595" s="1570" t="e">
        <f t="shared" si="116"/>
        <v>#DIV/0!</v>
      </c>
      <c r="M595" s="1967"/>
      <c r="N595" s="832"/>
      <c r="O595" s="832"/>
      <c r="Q595" s="832"/>
      <c r="R595" s="832"/>
      <c r="S595" s="832"/>
      <c r="T595" s="832"/>
      <c r="U595" s="832"/>
      <c r="V595" s="832"/>
      <c r="W595" s="832"/>
      <c r="X595" s="832"/>
    </row>
    <row r="596" spans="1:24" s="812" customFormat="1" ht="39.950000000000003" hidden="1" customHeight="1" x14ac:dyDescent="0.15">
      <c r="A596" s="2072">
        <f ca="1">+Orçamento_Não_Deson!A596</f>
        <v>6</v>
      </c>
      <c r="B596" s="833" t="str">
        <f>+Orçamento_Não_Deson!B596</f>
        <v>DR/0370</v>
      </c>
      <c r="C596" s="2" t="str">
        <f>VLOOKUP($B596,[2]BOLETIM_SEL!$A:$H,2,0)</f>
        <v>COMPOSIÇÃO</v>
      </c>
      <c r="D596" s="315" t="str">
        <f>VLOOKUP($B596,[2]BOLETIM_SEL!$A:$H,4,0)</f>
        <v>Remoção e reassentamento de tampão em F°F° para PV, com  reaproveitamento, incluindo recorte, demolição e requadro em concreto simples FCK 20mpa, de 1,00m x 1,00m x 0,20m</v>
      </c>
      <c r="E596" s="2">
        <f>+Orçamento_Não_Deson!E596</f>
        <v>0</v>
      </c>
      <c r="F596" s="2" t="str">
        <f>VLOOKUP($B596,[2]BOLETIM_SEL!$A:$H,6,0)</f>
        <v xml:space="preserve">UN </v>
      </c>
      <c r="G596" s="1407">
        <f>VLOOKUP($B596,[2]BOLETIM_SEL!$A:$H,7,0)</f>
        <v>212.74</v>
      </c>
      <c r="H596" s="1608">
        <f>+Orçamento_Não_Deson!H596</f>
        <v>0</v>
      </c>
      <c r="I596" s="876">
        <f t="shared" si="117"/>
        <v>272.66000000000003</v>
      </c>
      <c r="J596" s="1607">
        <f t="shared" si="120"/>
        <v>0</v>
      </c>
      <c r="K596" s="2069">
        <f t="shared" ca="1" si="115"/>
        <v>0</v>
      </c>
      <c r="L596" s="1570" t="e">
        <f t="shared" si="116"/>
        <v>#DIV/0!</v>
      </c>
      <c r="M596" s="1967"/>
      <c r="N596" s="832"/>
      <c r="O596" s="832"/>
      <c r="Q596" s="832"/>
      <c r="R596" s="832"/>
      <c r="S596" s="832"/>
      <c r="T596" s="832"/>
      <c r="U596" s="832"/>
      <c r="V596" s="832"/>
      <c r="W596" s="832"/>
      <c r="X596" s="832"/>
    </row>
    <row r="597" spans="1:24" s="812" customFormat="1" ht="39.950000000000003" hidden="1" customHeight="1" x14ac:dyDescent="0.15">
      <c r="A597" s="2072">
        <f ca="1">+Orçamento_Não_Deson!A597</f>
        <v>6</v>
      </c>
      <c r="B597" s="833" t="str">
        <f>+Orçamento_Não_Deson!B597</f>
        <v>DR/0395</v>
      </c>
      <c r="C597" s="2" t="str">
        <f>VLOOKUP($B597,[2]BOLETIM_SEL!$A:$H,2,0)</f>
        <v>COMPOSIÇÃO</v>
      </c>
      <c r="D597" s="315" t="str">
        <f>VLOOKUP($B597,[2]BOLETIM_SEL!$A:$H,4,0)</f>
        <v>Tampão F°F° articulado T9, classe B125, carga máxima 12,5 T, redondo tampa 100 mm para registro de água. Incluindo fornecimento, assentamento e requadro em concreto FCK 20mpa, de 0,50m x 0,50m x 0,20m</v>
      </c>
      <c r="E597" s="2">
        <f>+Orçamento_Não_Deson!E597</f>
        <v>0</v>
      </c>
      <c r="F597" s="2" t="str">
        <f>VLOOKUP($B597,[2]BOLETIM_SEL!$A:$H,6,0)</f>
        <v xml:space="preserve">UN </v>
      </c>
      <c r="G597" s="1407">
        <f>VLOOKUP($B597,[2]BOLETIM_SEL!$A:$H,7,0)</f>
        <v>608.5</v>
      </c>
      <c r="H597" s="1608">
        <f>+Orçamento_Não_Deson!H597</f>
        <v>0</v>
      </c>
      <c r="I597" s="876">
        <f t="shared" si="117"/>
        <v>779.91</v>
      </c>
      <c r="J597" s="1607">
        <f t="shared" si="120"/>
        <v>0</v>
      </c>
      <c r="K597" s="2069">
        <f t="shared" ca="1" si="115"/>
        <v>0</v>
      </c>
      <c r="L597" s="1570" t="e">
        <f t="shared" si="116"/>
        <v>#DIV/0!</v>
      </c>
      <c r="M597" s="1967"/>
      <c r="N597" s="832"/>
      <c r="O597" s="832"/>
      <c r="Q597" s="832"/>
      <c r="R597" s="832"/>
      <c r="S597" s="832"/>
      <c r="T597" s="832"/>
      <c r="U597" s="832"/>
      <c r="V597" s="832"/>
      <c r="W597" s="832"/>
      <c r="X597" s="832"/>
    </row>
    <row r="598" spans="1:24" s="812" customFormat="1" ht="39.950000000000003" hidden="1" customHeight="1" x14ac:dyDescent="0.15">
      <c r="A598" s="2072">
        <f ca="1">+Orçamento_Não_Deson!A598</f>
        <v>6</v>
      </c>
      <c r="B598" s="833" t="str">
        <f>+Orçamento_Não_Deson!B598</f>
        <v>DR/0400</v>
      </c>
      <c r="C598" s="2" t="str">
        <f>VLOOKUP($B598,[2]BOLETIM_SEL!$A:$H,2,0)</f>
        <v>COMPOSIÇÃO</v>
      </c>
      <c r="D598" s="315" t="str">
        <f>VLOOKUP($B598,[2]BOLETIM_SEL!$A:$H,4,0)</f>
        <v>Substituição de tampão de registro de água, incluindo fornecimento de tampão de FºFº articulado T9, Classe B125, carga máxima 12,5 T, redondo tampa 100 mm e requadro em concreto simples FCK 20mpa, de 0,50m x 0,50m x 0,20m</v>
      </c>
      <c r="E598" s="2">
        <f>+Orçamento_Não_Deson!E598</f>
        <v>0</v>
      </c>
      <c r="F598" s="2" t="str">
        <f>VLOOKUP($B598,[2]BOLETIM_SEL!$A:$H,6,0)</f>
        <v xml:space="preserve">UN </v>
      </c>
      <c r="G598" s="1407">
        <f>VLOOKUP($B598,[2]BOLETIM_SEL!$A:$H,7,0)</f>
        <v>1257.74</v>
      </c>
      <c r="H598" s="1608">
        <f>+Orçamento_Não_Deson!H598</f>
        <v>0</v>
      </c>
      <c r="I598" s="876">
        <f t="shared" si="117"/>
        <v>1612.04</v>
      </c>
      <c r="J598" s="1607">
        <f t="shared" si="120"/>
        <v>0</v>
      </c>
      <c r="K598" s="2069">
        <f t="shared" ca="1" si="115"/>
        <v>0</v>
      </c>
      <c r="L598" s="1570" t="e">
        <f t="shared" si="116"/>
        <v>#DIV/0!</v>
      </c>
      <c r="M598" s="1967"/>
      <c r="N598" s="832"/>
      <c r="O598" s="832"/>
      <c r="Q598" s="832"/>
      <c r="R598" s="832"/>
      <c r="S598" s="832"/>
      <c r="T598" s="832"/>
      <c r="U598" s="832"/>
      <c r="V598" s="832"/>
      <c r="W598" s="832"/>
      <c r="X598" s="832"/>
    </row>
    <row r="599" spans="1:24" s="812" customFormat="1" ht="24.95" hidden="1" customHeight="1" x14ac:dyDescent="0.15">
      <c r="A599" s="2072"/>
      <c r="B599" s="833"/>
      <c r="C599" s="2"/>
      <c r="D599" s="1449" t="s">
        <v>1783</v>
      </c>
      <c r="E599" s="2"/>
      <c r="F599" s="2"/>
      <c r="G599" s="1407"/>
      <c r="H599" s="2"/>
      <c r="I599" s="2"/>
      <c r="J599" s="838" t="str">
        <f>IF(J600=0,"-","")</f>
        <v>-</v>
      </c>
      <c r="K599" s="2"/>
      <c r="L599" s="1570"/>
      <c r="M599" s="1967"/>
      <c r="N599" s="832"/>
      <c r="O599" s="1422"/>
      <c r="Q599" s="832"/>
      <c r="R599" s="832"/>
      <c r="S599" s="832"/>
      <c r="T599" s="832"/>
      <c r="U599" s="832"/>
      <c r="V599" s="832"/>
      <c r="W599" s="832"/>
      <c r="X599" s="832"/>
    </row>
    <row r="600" spans="1:24" s="812" customFormat="1" ht="39.950000000000003" hidden="1" customHeight="1" x14ac:dyDescent="0.15">
      <c r="A600" s="2072">
        <f ca="1">+Orçamento_Não_Deson!A600</f>
        <v>6</v>
      </c>
      <c r="B600" s="833">
        <f>+Orçamento_Não_Deson!B600</f>
        <v>95875</v>
      </c>
      <c r="C600" s="2" t="str">
        <f>VLOOKUP($B600,[2]BOLETIM_SEL!$A:$H,2,0)</f>
        <v>SINAPI</v>
      </c>
      <c r="D600" s="315" t="str">
        <f>VLOOKUP($B600,[2]BOLETIM_SEL!$A:$H,4,0)</f>
        <v>Transporte com caminhão basculante de 10 m3, em via urbana pavimentada, DMT até 30,00 km (unidade: m3xkm). AF_07/2020</v>
      </c>
      <c r="E600" s="2">
        <f>+Orçamento_Não_Deson!E600</f>
        <v>0</v>
      </c>
      <c r="F600" s="2" t="str">
        <f>VLOOKUP($B600,[2]BOLETIM_SEL!$A:$H,6,0)</f>
        <v>M3XKM</v>
      </c>
      <c r="G600" s="1407">
        <f>VLOOKUP($B600,[2]BOLETIM_SEL!$A:$H,7,0)</f>
        <v>2.33</v>
      </c>
      <c r="H600" s="1608">
        <f>+Orçamento_Não_Deson!H600</f>
        <v>0</v>
      </c>
      <c r="I600" s="876">
        <f>+TRUNC(G600*(1+$J$5),2)</f>
        <v>2.98</v>
      </c>
      <c r="J600" s="1607">
        <f t="shared" si="120"/>
        <v>0</v>
      </c>
      <c r="K600" s="2069">
        <f ca="1">J600/J$930</f>
        <v>0</v>
      </c>
      <c r="L600" s="1570" t="e">
        <f t="shared" si="116"/>
        <v>#DIV/0!</v>
      </c>
      <c r="M600" s="1969">
        <f>+Orçamento_Não_Deson!M600</f>
        <v>0</v>
      </c>
      <c r="N600" s="832"/>
      <c r="O600" s="832"/>
      <c r="Q600" s="832"/>
      <c r="R600" s="832"/>
      <c r="S600" s="832"/>
      <c r="T600" s="832"/>
      <c r="U600" s="832"/>
      <c r="V600" s="832"/>
      <c r="W600" s="832"/>
      <c r="X600" s="832"/>
    </row>
    <row r="601" spans="1:24" s="812" customFormat="1" ht="24.95" hidden="1" customHeight="1" x14ac:dyDescent="0.15">
      <c r="A601" s="2072"/>
      <c r="B601" s="833"/>
      <c r="C601" s="2"/>
      <c r="D601" s="1449" t="s">
        <v>1784</v>
      </c>
      <c r="E601" s="2"/>
      <c r="F601" s="2"/>
      <c r="G601" s="1407"/>
      <c r="H601" s="2"/>
      <c r="I601" s="2"/>
      <c r="J601" s="838" t="str">
        <f>IF(J602=0,"-","")</f>
        <v>-</v>
      </c>
      <c r="K601" s="2"/>
      <c r="L601" s="1570"/>
      <c r="M601" s="1967"/>
      <c r="N601" s="832"/>
      <c r="O601" s="1422"/>
      <c r="Q601" s="832"/>
      <c r="R601" s="832"/>
      <c r="S601" s="832"/>
      <c r="T601" s="832"/>
      <c r="U601" s="832"/>
      <c r="V601" s="832"/>
      <c r="W601" s="832"/>
      <c r="X601" s="832"/>
    </row>
    <row r="602" spans="1:24" s="812" customFormat="1" ht="39.950000000000003" hidden="1" customHeight="1" x14ac:dyDescent="0.15">
      <c r="A602" s="2072">
        <f ca="1">+Orçamento_Não_Deson!A602</f>
        <v>6</v>
      </c>
      <c r="B602" s="833">
        <f>+Orçamento_Não_Deson!B602</f>
        <v>95875</v>
      </c>
      <c r="C602" s="2" t="str">
        <f>VLOOKUP($B602,[2]BOLETIM_SEL!$A:$H,2,0)</f>
        <v>SINAPI</v>
      </c>
      <c r="D602" s="315" t="str">
        <f>VLOOKUP($B602,[2]BOLETIM_SEL!$A:$H,4,0)</f>
        <v>Transporte com caminhão basculante de 10 m3, em via urbana pavimentada, DMT até 30,00 km (unidade: m3xkm). AF_07/2020</v>
      </c>
      <c r="E602" s="2">
        <f>+Orçamento_Não_Deson!E602</f>
        <v>0</v>
      </c>
      <c r="F602" s="2" t="str">
        <f>VLOOKUP($B602,[2]BOLETIM_SEL!$A:$H,6,0)</f>
        <v>M3XKM</v>
      </c>
      <c r="G602" s="1407">
        <f>VLOOKUP($B602,[2]BOLETIM_SEL!$A:$H,7,0)</f>
        <v>2.33</v>
      </c>
      <c r="H602" s="1608">
        <f>+Orçamento_Não_Deson!H602</f>
        <v>0</v>
      </c>
      <c r="I602" s="876">
        <f>+TRUNC(G602*(1+$J$5),2)</f>
        <v>2.98</v>
      </c>
      <c r="J602" s="1607">
        <f t="shared" si="120"/>
        <v>0</v>
      </c>
      <c r="K602" s="2069">
        <f ca="1">J602/J$930</f>
        <v>0</v>
      </c>
      <c r="L602" s="1570" t="e">
        <f t="shared" si="116"/>
        <v>#DIV/0!</v>
      </c>
      <c r="M602" s="1969">
        <f>+Orçamento_Não_Deson!M602</f>
        <v>0</v>
      </c>
      <c r="N602" s="832"/>
      <c r="O602" s="832"/>
      <c r="Q602" s="832"/>
      <c r="R602" s="832"/>
      <c r="S602" s="832"/>
      <c r="T602" s="832"/>
      <c r="U602" s="832"/>
      <c r="V602" s="832"/>
      <c r="W602" s="832"/>
      <c r="X602" s="832"/>
    </row>
    <row r="603" spans="1:24" s="812" customFormat="1" ht="24.95" hidden="1" customHeight="1" x14ac:dyDescent="0.15">
      <c r="A603" s="2072"/>
      <c r="B603" s="833"/>
      <c r="C603" s="2"/>
      <c r="D603" s="1449" t="s">
        <v>1785</v>
      </c>
      <c r="E603" s="2"/>
      <c r="F603" s="2"/>
      <c r="G603" s="1407"/>
      <c r="H603" s="2"/>
      <c r="I603" s="2"/>
      <c r="J603" s="838" t="str">
        <f>IF(J604=0,"-","")</f>
        <v>-</v>
      </c>
      <c r="K603" s="2"/>
      <c r="L603" s="1570"/>
      <c r="M603" s="1967"/>
      <c r="N603" s="832"/>
      <c r="O603" s="1422"/>
      <c r="Q603" s="832"/>
      <c r="R603" s="832"/>
      <c r="S603" s="832"/>
      <c r="T603" s="832"/>
      <c r="U603" s="832"/>
      <c r="V603" s="832"/>
      <c r="W603" s="832"/>
      <c r="X603" s="832"/>
    </row>
    <row r="604" spans="1:24" s="812" customFormat="1" ht="39.950000000000003" hidden="1" customHeight="1" x14ac:dyDescent="0.15">
      <c r="A604" s="2072">
        <f ca="1">+Orçamento_Não_Deson!A604</f>
        <v>6</v>
      </c>
      <c r="B604" s="833">
        <f>+Orçamento_Não_Deson!B604</f>
        <v>95875</v>
      </c>
      <c r="C604" s="2" t="str">
        <f>VLOOKUP($B604,[2]BOLETIM_SEL!$A:$H,2,0)</f>
        <v>SINAPI</v>
      </c>
      <c r="D604" s="315" t="str">
        <f>VLOOKUP($B604,[2]BOLETIM_SEL!$A:$H,4,0)</f>
        <v>Transporte com caminhão basculante de 10 m3, em via urbana pavimentada, DMT até 30,00 km (unidade: m3xkm). AF_07/2020</v>
      </c>
      <c r="E604" s="2">
        <f>+Orçamento_Não_Deson!E604</f>
        <v>0</v>
      </c>
      <c r="F604" s="2" t="str">
        <f>VLOOKUP($B604,[2]BOLETIM_SEL!$A:$H,6,0)</f>
        <v>M3XKM</v>
      </c>
      <c r="G604" s="1407">
        <f>VLOOKUP($B604,[2]BOLETIM_SEL!$A:$H,7,0)</f>
        <v>2.33</v>
      </c>
      <c r="H604" s="1608">
        <f>+Orçamento_Não_Deson!H604</f>
        <v>0</v>
      </c>
      <c r="I604" s="876">
        <f>+TRUNC(G604*(1+$J$5),2)</f>
        <v>2.98</v>
      </c>
      <c r="J604" s="1607">
        <f t="shared" si="120"/>
        <v>0</v>
      </c>
      <c r="K604" s="2069">
        <f ca="1">J604/J$930</f>
        <v>0</v>
      </c>
      <c r="L604" s="1570" t="e">
        <f t="shared" si="116"/>
        <v>#DIV/0!</v>
      </c>
      <c r="M604" s="1969">
        <f>+Orçamento_Não_Deson!M604</f>
        <v>0</v>
      </c>
      <c r="N604" s="832"/>
      <c r="O604" s="832"/>
      <c r="Q604" s="832"/>
      <c r="R604" s="832"/>
      <c r="S604" s="832"/>
      <c r="T604" s="832"/>
      <c r="U604" s="832"/>
      <c r="V604" s="832"/>
      <c r="W604" s="832"/>
      <c r="X604" s="832"/>
    </row>
    <row r="605" spans="1:24" s="812" customFormat="1" ht="24.95" hidden="1" customHeight="1" x14ac:dyDescent="0.15">
      <c r="A605" s="2072"/>
      <c r="B605" s="833"/>
      <c r="C605" s="2"/>
      <c r="D605" s="1449" t="s">
        <v>1900</v>
      </c>
      <c r="E605" s="2"/>
      <c r="F605" s="2"/>
      <c r="G605" s="1407"/>
      <c r="H605" s="2"/>
      <c r="I605" s="2"/>
      <c r="J605" s="838" t="str">
        <f>IF(J606=0,"-","")</f>
        <v>-</v>
      </c>
      <c r="K605" s="2"/>
      <c r="L605" s="1570"/>
      <c r="M605" s="1967"/>
      <c r="N605" s="832"/>
      <c r="O605" s="1422"/>
      <c r="Q605" s="832"/>
      <c r="R605" s="832"/>
      <c r="S605" s="832"/>
      <c r="T605" s="832"/>
      <c r="U605" s="832"/>
      <c r="V605" s="832"/>
      <c r="W605" s="832"/>
      <c r="X605" s="832"/>
    </row>
    <row r="606" spans="1:24" s="812" customFormat="1" ht="39.950000000000003" hidden="1" customHeight="1" x14ac:dyDescent="0.15">
      <c r="A606" s="2072">
        <f ca="1">+Orçamento_Não_Deson!A606</f>
        <v>6</v>
      </c>
      <c r="B606" s="833">
        <f>+Orçamento_Não_Deson!B606</f>
        <v>95875</v>
      </c>
      <c r="C606" s="2" t="str">
        <f>VLOOKUP($B606,[2]BOLETIM_SEL!$A:$H,2,0)</f>
        <v>SINAPI</v>
      </c>
      <c r="D606" s="315" t="str">
        <f>VLOOKUP($B606,[2]BOLETIM_SEL!$A:$H,4,0)</f>
        <v>Transporte com caminhão basculante de 10 m3, em via urbana pavimentada, DMT até 30,00 km (unidade: m3xkm). AF_07/2020</v>
      </c>
      <c r="E606" s="2">
        <f>+Orçamento_Não_Deson!E606</f>
        <v>24</v>
      </c>
      <c r="F606" s="2" t="str">
        <f>VLOOKUP($B606,[2]BOLETIM_SEL!$A:$H,6,0)</f>
        <v>M3XKM</v>
      </c>
      <c r="G606" s="1407">
        <f>VLOOKUP($B606,[2]BOLETIM_SEL!$A:$H,7,0)</f>
        <v>2.33</v>
      </c>
      <c r="H606" s="1608">
        <f>+Orçamento_Não_Deson!H606</f>
        <v>0</v>
      </c>
      <c r="I606" s="876">
        <f>+TRUNC(G606*(1+$J$5),2)</f>
        <v>2.98</v>
      </c>
      <c r="J606" s="1607">
        <f t="shared" si="120"/>
        <v>0</v>
      </c>
      <c r="K606" s="2069">
        <f ca="1">J606/J$930</f>
        <v>0</v>
      </c>
      <c r="L606" s="1570" t="e">
        <f t="shared" si="116"/>
        <v>#DIV/0!</v>
      </c>
      <c r="M606" s="1969">
        <f>+Orçamento_Não_Deson!M606</f>
        <v>0</v>
      </c>
      <c r="N606" s="832"/>
      <c r="O606" s="832"/>
      <c r="Q606" s="832"/>
      <c r="R606" s="832"/>
      <c r="S606" s="832"/>
      <c r="T606" s="832"/>
      <c r="U606" s="832"/>
      <c r="V606" s="832"/>
      <c r="W606" s="832"/>
      <c r="X606" s="832"/>
    </row>
    <row r="607" spans="1:24" s="812" customFormat="1" ht="24.95" hidden="1" customHeight="1" x14ac:dyDescent="0.15">
      <c r="A607" s="2072"/>
      <c r="B607" s="833"/>
      <c r="C607" s="2"/>
      <c r="D607" s="1449" t="s">
        <v>1901</v>
      </c>
      <c r="E607" s="2"/>
      <c r="F607" s="2"/>
      <c r="G607" s="1407"/>
      <c r="H607" s="2"/>
      <c r="I607" s="2"/>
      <c r="J607" s="838" t="str">
        <f>IF(J608=0,"-","")</f>
        <v>-</v>
      </c>
      <c r="K607" s="2"/>
      <c r="L607" s="1570"/>
      <c r="M607" s="1967"/>
      <c r="N607" s="832"/>
      <c r="O607" s="1422"/>
      <c r="Q607" s="832"/>
      <c r="R607" s="832"/>
      <c r="S607" s="832"/>
      <c r="T607" s="832"/>
      <c r="U607" s="832"/>
      <c r="V607" s="832"/>
      <c r="W607" s="832"/>
      <c r="X607" s="832"/>
    </row>
    <row r="608" spans="1:24" s="812" customFormat="1" ht="39.950000000000003" hidden="1" customHeight="1" x14ac:dyDescent="0.15">
      <c r="A608" s="2072">
        <f ca="1">+Orçamento_Não_Deson!A608</f>
        <v>6</v>
      </c>
      <c r="B608" s="833">
        <f>+Orçamento_Não_Deson!B608</f>
        <v>95875</v>
      </c>
      <c r="C608" s="2" t="str">
        <f>VLOOKUP($B608,[2]BOLETIM_SEL!$A:$H,2,0)</f>
        <v>SINAPI</v>
      </c>
      <c r="D608" s="315" t="str">
        <f>VLOOKUP($B608,[2]BOLETIM_SEL!$A:$H,4,0)</f>
        <v>Transporte com caminhão basculante de 10 m3, em via urbana pavimentada, DMT até 30,00 km (unidade: m3xkm). AF_07/2020</v>
      </c>
      <c r="E608" s="2">
        <f>+Orçamento_Não_Deson!E608</f>
        <v>24</v>
      </c>
      <c r="F608" s="2" t="str">
        <f>VLOOKUP($B608,[2]BOLETIM_SEL!$A:$H,6,0)</f>
        <v>M3XKM</v>
      </c>
      <c r="G608" s="1407">
        <f>VLOOKUP($B608,[2]BOLETIM_SEL!$A:$H,7,0)</f>
        <v>2.33</v>
      </c>
      <c r="H608" s="1608">
        <f>+Orçamento_Não_Deson!H608</f>
        <v>0</v>
      </c>
      <c r="I608" s="876">
        <f>+TRUNC(G608*(1+$J$5),2)</f>
        <v>2.98</v>
      </c>
      <c r="J608" s="1607">
        <f t="shared" si="120"/>
        <v>0</v>
      </c>
      <c r="K608" s="2069">
        <f ca="1">J608/J$930</f>
        <v>0</v>
      </c>
      <c r="L608" s="1570" t="e">
        <f t="shared" si="116"/>
        <v>#DIV/0!</v>
      </c>
      <c r="M608" s="1969">
        <f>+Orçamento_Não_Deson!M608</f>
        <v>0</v>
      </c>
      <c r="N608" s="832"/>
      <c r="O608" s="832"/>
      <c r="Q608" s="832"/>
      <c r="R608" s="832"/>
      <c r="S608" s="832"/>
      <c r="T608" s="832"/>
      <c r="U608" s="832"/>
      <c r="V608" s="832"/>
      <c r="W608" s="832"/>
      <c r="X608" s="832"/>
    </row>
    <row r="609" spans="1:24" s="812" customFormat="1" ht="24.95" hidden="1" customHeight="1" x14ac:dyDescent="0.15">
      <c r="A609" s="2072"/>
      <c r="B609" s="833"/>
      <c r="C609" s="2"/>
      <c r="D609" s="1449" t="s">
        <v>1896</v>
      </c>
      <c r="E609" s="2"/>
      <c r="F609" s="2"/>
      <c r="G609" s="1407"/>
      <c r="H609" s="2"/>
      <c r="I609" s="2"/>
      <c r="J609" s="838" t="str">
        <f>IF(J610=0,"-","")</f>
        <v>-</v>
      </c>
      <c r="K609" s="2"/>
      <c r="L609" s="1570"/>
      <c r="M609" s="1967"/>
      <c r="N609" s="832"/>
      <c r="O609" s="1422"/>
      <c r="Q609" s="832"/>
      <c r="R609" s="832"/>
      <c r="S609" s="832"/>
      <c r="T609" s="832"/>
      <c r="U609" s="832"/>
      <c r="V609" s="832"/>
      <c r="W609" s="832"/>
      <c r="X609" s="832"/>
    </row>
    <row r="610" spans="1:24" s="812" customFormat="1" ht="39.950000000000003" hidden="1" customHeight="1" x14ac:dyDescent="0.15">
      <c r="A610" s="2072">
        <f ca="1">+Orçamento_Não_Deson!A610</f>
        <v>6</v>
      </c>
      <c r="B610" s="833">
        <f>+Orçamento_Não_Deson!B610</f>
        <v>95875</v>
      </c>
      <c r="C610" s="2" t="str">
        <f>VLOOKUP($B610,[2]BOLETIM_SEL!$A:$H,2,0)</f>
        <v>SINAPI</v>
      </c>
      <c r="D610" s="315" t="str">
        <f>VLOOKUP($B610,[2]BOLETIM_SEL!$A:$H,4,0)</f>
        <v>Transporte com caminhão basculante de 10 m3, em via urbana pavimentada, DMT até 30,00 km (unidade: m3xkm). AF_07/2020</v>
      </c>
      <c r="E610" s="2">
        <f>+Orçamento_Não_Deson!E610</f>
        <v>0</v>
      </c>
      <c r="F610" s="2" t="str">
        <f>VLOOKUP($B610,[2]BOLETIM_SEL!$A:$H,6,0)</f>
        <v>M3XKM</v>
      </c>
      <c r="G610" s="1407">
        <f>VLOOKUP($B610,[2]BOLETIM_SEL!$A:$H,7,0)</f>
        <v>2.33</v>
      </c>
      <c r="H610" s="1608">
        <f>+Orçamento_Não_Deson!H610</f>
        <v>0</v>
      </c>
      <c r="I610" s="876">
        <f>+TRUNC(G610*(1+$J$5),2)</f>
        <v>2.98</v>
      </c>
      <c r="J610" s="1607">
        <f t="shared" si="120"/>
        <v>0</v>
      </c>
      <c r="K610" s="2069">
        <f ca="1">J610/J$930</f>
        <v>0</v>
      </c>
      <c r="L610" s="1570" t="e">
        <f t="shared" si="116"/>
        <v>#DIV/0!</v>
      </c>
      <c r="M610" s="1969">
        <f>+Orçamento_Não_Deson!M610</f>
        <v>0</v>
      </c>
      <c r="N610" s="832"/>
      <c r="O610" s="832"/>
      <c r="Q610" s="832"/>
      <c r="R610" s="832"/>
      <c r="S610" s="832"/>
      <c r="T610" s="832"/>
      <c r="U610" s="832"/>
      <c r="V610" s="832"/>
      <c r="W610" s="832"/>
      <c r="X610" s="832"/>
    </row>
    <row r="611" spans="1:24" s="812" customFormat="1" ht="24.95" hidden="1" customHeight="1" x14ac:dyDescent="0.15">
      <c r="A611" s="2072"/>
      <c r="B611" s="833"/>
      <c r="C611" s="2"/>
      <c r="D611" s="1449" t="s">
        <v>1897</v>
      </c>
      <c r="E611" s="2"/>
      <c r="F611" s="2"/>
      <c r="G611" s="1407"/>
      <c r="H611" s="2"/>
      <c r="I611" s="2"/>
      <c r="J611" s="838" t="str">
        <f>IF(J612=0,"-","")</f>
        <v>-</v>
      </c>
      <c r="K611" s="2"/>
      <c r="L611" s="1570"/>
      <c r="M611" s="1967"/>
      <c r="N611" s="832"/>
      <c r="O611" s="1422"/>
      <c r="Q611" s="832"/>
      <c r="R611" s="832"/>
      <c r="S611" s="832"/>
      <c r="T611" s="832"/>
      <c r="U611" s="832"/>
      <c r="V611" s="832"/>
      <c r="W611" s="832"/>
      <c r="X611" s="832"/>
    </row>
    <row r="612" spans="1:24" s="812" customFormat="1" ht="39.950000000000003" hidden="1" customHeight="1" x14ac:dyDescent="0.15">
      <c r="A612" s="2072">
        <f ca="1">+Orçamento_Não_Deson!A612</f>
        <v>6</v>
      </c>
      <c r="B612" s="833">
        <f>+Orçamento_Não_Deson!B612</f>
        <v>95875</v>
      </c>
      <c r="C612" s="2" t="str">
        <f>VLOOKUP($B612,[2]BOLETIM_SEL!$A:$H,2,0)</f>
        <v>SINAPI</v>
      </c>
      <c r="D612" s="315" t="str">
        <f>VLOOKUP($B612,[2]BOLETIM_SEL!$A:$H,4,0)</f>
        <v>Transporte com caminhão basculante de 10 m3, em via urbana pavimentada, DMT até 30,00 km (unidade: m3xkm). AF_07/2020</v>
      </c>
      <c r="E612" s="2">
        <f>+Orçamento_Não_Deson!E612</f>
        <v>0</v>
      </c>
      <c r="F612" s="2" t="str">
        <f>VLOOKUP($B612,[2]BOLETIM_SEL!$A:$H,6,0)</f>
        <v>M3XKM</v>
      </c>
      <c r="G612" s="1407">
        <f>VLOOKUP($B612,[2]BOLETIM_SEL!$A:$H,7,0)</f>
        <v>2.33</v>
      </c>
      <c r="H612" s="1608">
        <f>+Orçamento_Não_Deson!H612</f>
        <v>0</v>
      </c>
      <c r="I612" s="876">
        <f>+TRUNC(G612*(1+$J$5),2)</f>
        <v>2.98</v>
      </c>
      <c r="J612" s="1607">
        <f t="shared" si="120"/>
        <v>0</v>
      </c>
      <c r="K612" s="2069">
        <f ca="1">J612/J$930</f>
        <v>0</v>
      </c>
      <c r="L612" s="1570" t="e">
        <f t="shared" si="116"/>
        <v>#DIV/0!</v>
      </c>
      <c r="M612" s="1969">
        <f>+Orçamento_Não_Deson!M612</f>
        <v>0</v>
      </c>
      <c r="N612" s="832"/>
      <c r="O612" s="832"/>
      <c r="Q612" s="832"/>
      <c r="R612" s="832"/>
      <c r="S612" s="832"/>
      <c r="T612" s="832"/>
      <c r="U612" s="832"/>
      <c r="V612" s="832"/>
      <c r="W612" s="832"/>
      <c r="X612" s="832"/>
    </row>
    <row r="613" spans="1:24" s="812" customFormat="1" ht="24.95" hidden="1" customHeight="1" x14ac:dyDescent="0.15">
      <c r="A613" s="2072"/>
      <c r="B613" s="833"/>
      <c r="C613" s="2"/>
      <c r="D613" s="1449" t="s">
        <v>1758</v>
      </c>
      <c r="E613" s="2"/>
      <c r="F613" s="2"/>
      <c r="G613" s="1407"/>
      <c r="H613" s="2"/>
      <c r="I613" s="2"/>
      <c r="J613" s="838" t="str">
        <f>IF(J614=0,"-","")</f>
        <v>-</v>
      </c>
      <c r="K613" s="2"/>
      <c r="L613" s="1570"/>
      <c r="M613" s="1967"/>
      <c r="N613" s="832"/>
      <c r="O613" s="1422"/>
      <c r="Q613" s="832"/>
      <c r="R613" s="832"/>
      <c r="S613" s="832"/>
      <c r="T613" s="832"/>
      <c r="U613" s="832"/>
      <c r="V613" s="832"/>
      <c r="W613" s="832"/>
      <c r="X613" s="832"/>
    </row>
    <row r="614" spans="1:24" s="812" customFormat="1" ht="39.950000000000003" hidden="1" customHeight="1" x14ac:dyDescent="0.15">
      <c r="A614" s="2072">
        <f ca="1">+Orçamento_Não_Deson!A614</f>
        <v>6</v>
      </c>
      <c r="B614" s="833">
        <f>+Orçamento_Não_Deson!B614</f>
        <v>95878</v>
      </c>
      <c r="C614" s="2" t="str">
        <f>VLOOKUP($B614,[2]BOLETIM_SEL!$A:$H,2,0)</f>
        <v>SINAPI</v>
      </c>
      <c r="D614" s="315" t="str">
        <f>VLOOKUP($B614,[2]BOLETIM_SEL!$A:$H,4,0)</f>
        <v>Transporte com caminhão basculante de 10 m3, em via urbana pavimentada, DMT até 30,00 km (unidade: txkm). AF_07/2020</v>
      </c>
      <c r="E614" s="2">
        <f>+Orçamento_Não_Deson!E614</f>
        <v>19</v>
      </c>
      <c r="F614" s="2" t="str">
        <f>VLOOKUP($B614,[2]BOLETIM_SEL!$A:$H,6,0)</f>
        <v>TXKM</v>
      </c>
      <c r="G614" s="1407">
        <f>VLOOKUP($B614,[2]BOLETIM_SEL!$A:$H,7,0)</f>
        <v>1.57</v>
      </c>
      <c r="H614" s="1608">
        <f>+Orçamento_Não_Deson!H614</f>
        <v>0</v>
      </c>
      <c r="I614" s="876">
        <f>+TRUNC(G614*(1+$J$5),2)</f>
        <v>2.0099999999999998</v>
      </c>
      <c r="J614" s="1607">
        <f t="shared" si="120"/>
        <v>0</v>
      </c>
      <c r="K614" s="2069">
        <f ca="1">J614/J$930</f>
        <v>0</v>
      </c>
      <c r="L614" s="1570" t="e">
        <f t="shared" si="116"/>
        <v>#DIV/0!</v>
      </c>
      <c r="M614" s="1976">
        <f>+Orçamento_Não_Deson!M614</f>
        <v>0</v>
      </c>
      <c r="N614" s="832"/>
      <c r="O614" s="832"/>
      <c r="Q614" s="832"/>
      <c r="R614" s="832"/>
      <c r="S614" s="832"/>
      <c r="T614" s="832"/>
      <c r="U614" s="832"/>
      <c r="V614" s="832"/>
      <c r="W614" s="832"/>
      <c r="X614" s="832"/>
    </row>
    <row r="615" spans="1:24" s="812" customFormat="1" ht="24.95" hidden="1" customHeight="1" x14ac:dyDescent="0.15">
      <c r="A615" s="2072"/>
      <c r="B615" s="833"/>
      <c r="C615" s="2"/>
      <c r="D615" s="1449" t="s">
        <v>1757</v>
      </c>
      <c r="E615" s="2"/>
      <c r="F615" s="2"/>
      <c r="G615" s="1407"/>
      <c r="H615" s="2"/>
      <c r="I615" s="2"/>
      <c r="J615" s="838" t="str">
        <f>IF(J616=0,"-","")</f>
        <v>-</v>
      </c>
      <c r="K615" s="2"/>
      <c r="L615" s="1570"/>
      <c r="M615" s="1967"/>
      <c r="N615" s="832"/>
      <c r="O615" s="1422"/>
      <c r="Q615" s="832"/>
      <c r="R615" s="832"/>
      <c r="S615" s="832"/>
      <c r="T615" s="832"/>
      <c r="U615" s="832"/>
      <c r="V615" s="832"/>
      <c r="W615" s="832"/>
      <c r="X615" s="832"/>
    </row>
    <row r="616" spans="1:24" s="812" customFormat="1" ht="39.950000000000003" hidden="1" customHeight="1" x14ac:dyDescent="0.15">
      <c r="A616" s="2072">
        <f ca="1">+Orçamento_Não_Deson!A616</f>
        <v>6</v>
      </c>
      <c r="B616" s="833">
        <f>+Orçamento_Não_Deson!B616</f>
        <v>95875</v>
      </c>
      <c r="C616" s="2" t="str">
        <f>VLOOKUP($B616,[2]BOLETIM_SEL!$A:$H,2,0)</f>
        <v>SINAPI</v>
      </c>
      <c r="D616" s="315" t="str">
        <f>VLOOKUP($B616,[2]BOLETIM_SEL!$A:$H,4,0)</f>
        <v>Transporte com caminhão basculante de 10 m3, em via urbana pavimentada, DMT até 30,00 km (unidade: m3xkm). AF_07/2020</v>
      </c>
      <c r="E616" s="2">
        <f>+Orçamento_Não_Deson!E616</f>
        <v>0</v>
      </c>
      <c r="F616" s="2" t="str">
        <f>VLOOKUP($B616,[2]BOLETIM_SEL!$A:$H,6,0)</f>
        <v>M3XKM</v>
      </c>
      <c r="G616" s="1407">
        <f>VLOOKUP($B616,[2]BOLETIM_SEL!$A:$H,7,0)</f>
        <v>2.33</v>
      </c>
      <c r="H616" s="1608">
        <f>+Orçamento_Não_Deson!H616</f>
        <v>0</v>
      </c>
      <c r="I616" s="876">
        <f>+TRUNC(G616*(1+$J$5),2)</f>
        <v>2.98</v>
      </c>
      <c r="J616" s="1607">
        <f t="shared" si="120"/>
        <v>0</v>
      </c>
      <c r="K616" s="2069">
        <f ca="1">J616/J$930</f>
        <v>0</v>
      </c>
      <c r="L616" s="1570" t="e">
        <f t="shared" si="116"/>
        <v>#DIV/0!</v>
      </c>
      <c r="M616" s="1969">
        <f>+Orçamento_Não_Deson!M616</f>
        <v>0</v>
      </c>
      <c r="N616" s="832"/>
      <c r="O616" s="832"/>
      <c r="Q616" s="832"/>
      <c r="R616" s="832"/>
      <c r="S616" s="832"/>
      <c r="T616" s="832"/>
      <c r="U616" s="832"/>
      <c r="V616" s="832"/>
      <c r="W616" s="832"/>
      <c r="X616" s="832"/>
    </row>
    <row r="617" spans="1:24" s="812" customFormat="1" ht="24.95" hidden="1" customHeight="1" x14ac:dyDescent="0.15">
      <c r="A617" s="2072"/>
      <c r="B617" s="833"/>
      <c r="C617" s="2"/>
      <c r="D617" s="1449" t="s">
        <v>1754</v>
      </c>
      <c r="E617" s="2"/>
      <c r="F617" s="2"/>
      <c r="G617" s="1407"/>
      <c r="H617" s="2"/>
      <c r="I617" s="2"/>
      <c r="J617" s="838" t="str">
        <f>IF(J618=0,"-","")</f>
        <v>-</v>
      </c>
      <c r="K617" s="2"/>
      <c r="L617" s="1570"/>
      <c r="M617" s="1967"/>
      <c r="N617" s="832"/>
      <c r="O617" s="1422"/>
      <c r="Q617" s="832"/>
      <c r="R617" s="832"/>
      <c r="S617" s="832"/>
      <c r="T617" s="832"/>
      <c r="U617" s="832"/>
      <c r="V617" s="832"/>
      <c r="W617" s="832"/>
      <c r="X617" s="832"/>
    </row>
    <row r="618" spans="1:24" s="812" customFormat="1" ht="39.950000000000003" hidden="1" customHeight="1" x14ac:dyDescent="0.15">
      <c r="A618" s="2072">
        <f ca="1">+Orçamento_Não_Deson!A618</f>
        <v>6</v>
      </c>
      <c r="B618" s="833">
        <f>+Orçamento_Não_Deson!B618</f>
        <v>102333</v>
      </c>
      <c r="C618" s="2" t="str">
        <f>VLOOKUP($B618,[2]BOLETIM_SEL!$A:$H,2,0)</f>
        <v>SINAPI</v>
      </c>
      <c r="D618" s="315" t="str">
        <f>VLOOKUP($B618,[2]BOLETIM_SEL!$A:$H,4,0)</f>
        <v>Transporte com caminhão tanque de transporte de material asfáltico de 20.000 l, em via urbana pavimentada, adicional para DMT excedente a 30,00 km (unidade: txkm). AF_07/2020</v>
      </c>
      <c r="E618" s="2">
        <f>+Orçamento_Não_Deson!E618</f>
        <v>19</v>
      </c>
      <c r="F618" s="2" t="str">
        <f>VLOOKUP($B618,[2]BOLETIM_SEL!$A:$H,6,0)</f>
        <v>TXKM</v>
      </c>
      <c r="G618" s="1407">
        <f>VLOOKUP($B618,[2]BOLETIM_SEL!$A:$H,7,0)</f>
        <v>0.7</v>
      </c>
      <c r="H618" s="1608">
        <f>+Orçamento_Não_Deson!H618</f>
        <v>0</v>
      </c>
      <c r="I618" s="876">
        <f>+TRUNC(G618*(1+$J$5),2)</f>
        <v>0.89</v>
      </c>
      <c r="J618" s="1607">
        <f t="shared" si="120"/>
        <v>0</v>
      </c>
      <c r="K618" s="2069">
        <f ca="1">J618/J$930</f>
        <v>0</v>
      </c>
      <c r="L618" s="1570" t="e">
        <f t="shared" si="116"/>
        <v>#DIV/0!</v>
      </c>
      <c r="M618" s="1976">
        <f>+Orçamento_Não_Deson!M618</f>
        <v>0</v>
      </c>
      <c r="N618" s="832"/>
      <c r="O618" s="832"/>
      <c r="Q618" s="832"/>
      <c r="R618" s="832"/>
      <c r="S618" s="832"/>
      <c r="T618" s="832"/>
      <c r="U618" s="832"/>
      <c r="V618" s="832"/>
      <c r="W618" s="832"/>
      <c r="X618" s="832"/>
    </row>
    <row r="619" spans="1:24" s="812" customFormat="1" ht="24.95" hidden="1" customHeight="1" x14ac:dyDescent="0.15">
      <c r="A619" s="2072"/>
      <c r="B619" s="833"/>
      <c r="C619" s="2"/>
      <c r="D619" s="1449" t="s">
        <v>1789</v>
      </c>
      <c r="E619" s="2"/>
      <c r="F619" s="2"/>
      <c r="G619" s="1407"/>
      <c r="H619" s="2"/>
      <c r="I619" s="2"/>
      <c r="J619" s="838" t="str">
        <f>IF(J620=0,"-","")</f>
        <v>-</v>
      </c>
      <c r="K619" s="2"/>
      <c r="L619" s="1570"/>
      <c r="M619" s="1967"/>
      <c r="N619" s="832"/>
      <c r="O619" s="1422"/>
      <c r="Q619" s="832"/>
      <c r="R619" s="832"/>
      <c r="S619" s="832"/>
      <c r="T619" s="832"/>
      <c r="U619" s="832"/>
      <c r="V619" s="832"/>
      <c r="W619" s="832"/>
      <c r="X619" s="832"/>
    </row>
    <row r="620" spans="1:24" s="812" customFormat="1" ht="39.950000000000003" hidden="1" customHeight="1" x14ac:dyDescent="0.15">
      <c r="A620" s="2072">
        <f ca="1">+Orçamento_Não_Deson!A620</f>
        <v>6</v>
      </c>
      <c r="B620" s="833">
        <f>+Orçamento_Não_Deson!B620</f>
        <v>102332</v>
      </c>
      <c r="C620" s="2" t="str">
        <f>VLOOKUP($B620,[2]BOLETIM_SEL!$A:$H,2,0)</f>
        <v>SINAPI</v>
      </c>
      <c r="D620" s="315" t="str">
        <f>VLOOKUP($B620,[2]BOLETIM_SEL!$A:$H,4,0)</f>
        <v>Transporte com caminhão tanque de transporte de material asfáltico de 20.000 l, em via urbana pavimentada, DMT até 30,00 km (unidade: txkm). AF_07/2020</v>
      </c>
      <c r="E620" s="2">
        <f>+Orçamento_Não_Deson!E620</f>
        <v>0</v>
      </c>
      <c r="F620" s="2" t="str">
        <f>VLOOKUP($B620,[2]BOLETIM_SEL!$A:$H,6,0)</f>
        <v>TXKM</v>
      </c>
      <c r="G620" s="1407">
        <f>VLOOKUP($B620,[2]BOLETIM_SEL!$A:$H,7,0)</f>
        <v>1.74</v>
      </c>
      <c r="H620" s="1608">
        <f>+Orçamento_Não_Deson!H620</f>
        <v>0</v>
      </c>
      <c r="I620" s="876">
        <f>+TRUNC(G620*(1+$J$5),2)</f>
        <v>2.23</v>
      </c>
      <c r="J620" s="1607">
        <f>TRUNC(H620*I620,2)</f>
        <v>0</v>
      </c>
      <c r="K620" s="2069">
        <f ca="1">J620/J$930</f>
        <v>0</v>
      </c>
      <c r="L620" s="1570" t="e">
        <f t="shared" si="116"/>
        <v>#DIV/0!</v>
      </c>
      <c r="M620" s="1976">
        <f>+Orçamento_Não_Deson!M620</f>
        <v>0</v>
      </c>
      <c r="N620" s="832"/>
      <c r="O620" s="832"/>
      <c r="Q620" s="832"/>
      <c r="R620" s="832"/>
      <c r="S620" s="832"/>
      <c r="T620" s="832"/>
      <c r="U620" s="832"/>
      <c r="V620" s="832"/>
      <c r="W620" s="832"/>
      <c r="X620" s="832"/>
    </row>
    <row r="621" spans="1:24" s="812" customFormat="1" ht="24.95" hidden="1" customHeight="1" x14ac:dyDescent="0.15">
      <c r="A621" s="2072"/>
      <c r="B621" s="833"/>
      <c r="C621" s="2"/>
      <c r="D621" s="1449" t="s">
        <v>1756</v>
      </c>
      <c r="E621" s="2"/>
      <c r="F621" s="2"/>
      <c r="G621" s="1407"/>
      <c r="H621" s="2"/>
      <c r="I621" s="2"/>
      <c r="J621" s="838" t="str">
        <f>IF(J622=0,"-","")</f>
        <v>-</v>
      </c>
      <c r="K621" s="2"/>
      <c r="L621" s="1570"/>
      <c r="M621" s="1967"/>
      <c r="N621" s="832"/>
      <c r="O621" s="1422"/>
      <c r="Q621" s="832"/>
      <c r="R621" s="832"/>
      <c r="S621" s="832"/>
      <c r="T621" s="832"/>
      <c r="U621" s="832"/>
      <c r="V621" s="832"/>
      <c r="W621" s="832"/>
      <c r="X621" s="832"/>
    </row>
    <row r="622" spans="1:24" s="812" customFormat="1" ht="39.950000000000003" hidden="1" customHeight="1" x14ac:dyDescent="0.15">
      <c r="A622" s="2072">
        <f ca="1">+Orçamento_Não_Deson!A622</f>
        <v>6</v>
      </c>
      <c r="B622" s="833">
        <f>+Orçamento_Não_Deson!B622</f>
        <v>102333</v>
      </c>
      <c r="C622" s="2" t="str">
        <f>VLOOKUP($B622,[2]BOLETIM_SEL!$A:$H,2,0)</f>
        <v>SINAPI</v>
      </c>
      <c r="D622" s="315" t="str">
        <f>VLOOKUP($B622,[2]BOLETIM_SEL!$A:$H,4,0)</f>
        <v>Transporte com caminhão tanque de transporte de material asfáltico de 20.000 l, em via urbana pavimentada, adicional para DMT excedente a 30,00 km (unidade: txkm). AF_07/2020</v>
      </c>
      <c r="E622" s="2">
        <f>+Orçamento_Não_Deson!E622</f>
        <v>0</v>
      </c>
      <c r="F622" s="2" t="str">
        <f>VLOOKUP($B622,[2]BOLETIM_SEL!$A:$H,6,0)</f>
        <v>TXKM</v>
      </c>
      <c r="G622" s="1407">
        <f>VLOOKUP($B622,[2]BOLETIM_SEL!$A:$H,7,0)</f>
        <v>0.7</v>
      </c>
      <c r="H622" s="1608">
        <f>+Orçamento_Não_Deson!H622</f>
        <v>0</v>
      </c>
      <c r="I622" s="876">
        <f>+TRUNC(G622*(1+$J$5),2)</f>
        <v>0.89</v>
      </c>
      <c r="J622" s="1607">
        <f t="shared" si="120"/>
        <v>0</v>
      </c>
      <c r="K622" s="2069">
        <f ca="1">J622/J$930</f>
        <v>0</v>
      </c>
      <c r="L622" s="1570" t="e">
        <f t="shared" si="116"/>
        <v>#DIV/0!</v>
      </c>
      <c r="M622" s="1976">
        <f>+Orçamento_Não_Deson!M622</f>
        <v>0</v>
      </c>
      <c r="N622" s="832"/>
      <c r="O622" s="832"/>
      <c r="Q622" s="832"/>
      <c r="R622" s="832"/>
      <c r="S622" s="832"/>
      <c r="T622" s="832"/>
      <c r="U622" s="832"/>
      <c r="V622" s="832"/>
      <c r="W622" s="832"/>
      <c r="X622" s="832"/>
    </row>
    <row r="623" spans="1:24" s="812" customFormat="1" ht="24.95" hidden="1" customHeight="1" x14ac:dyDescent="0.15">
      <c r="A623" s="2072"/>
      <c r="B623" s="833"/>
      <c r="C623" s="833"/>
      <c r="D623" s="834"/>
      <c r="E623" s="2"/>
      <c r="F623" s="833"/>
      <c r="G623" s="1407"/>
      <c r="H623" s="1"/>
      <c r="I623" s="876"/>
      <c r="J623" s="838">
        <f>IF(J582=0,0,"")</f>
        <v>0</v>
      </c>
      <c r="K623" s="2069"/>
      <c r="L623" s="1570"/>
      <c r="M623" s="1826"/>
      <c r="N623" s="832"/>
      <c r="O623" s="832"/>
      <c r="Q623" s="832"/>
      <c r="R623" s="832"/>
      <c r="S623" s="832"/>
      <c r="T623" s="832"/>
      <c r="U623" s="832"/>
      <c r="V623" s="832"/>
      <c r="W623" s="832"/>
      <c r="X623" s="832"/>
    </row>
    <row r="624" spans="1:24" s="832" customFormat="1" ht="24.95" customHeight="1" x14ac:dyDescent="0.15">
      <c r="A624" s="2073">
        <f ca="1">IF(J624&gt;0,INT(A622)+1,IF(J624=0,INT(A622),0))</f>
        <v>7</v>
      </c>
      <c r="B624" s="1626"/>
      <c r="C624" s="1626"/>
      <c r="D624" s="1627" t="s">
        <v>439</v>
      </c>
      <c r="E624" s="1821"/>
      <c r="F624" s="1628"/>
      <c r="G624" s="1813" t="s">
        <v>650</v>
      </c>
      <c r="H624" s="1630"/>
      <c r="I624" s="1633" t="str">
        <f ca="1">CONCATENATE("SUB-TOTAL ",A624)</f>
        <v>SUB-TOTAL 7</v>
      </c>
      <c r="J624" s="1632">
        <f>SUM(J625:J643)</f>
        <v>191918.91</v>
      </c>
      <c r="K624" s="2070">
        <f t="shared" ref="K624:K633" ca="1" si="121">J624/J$930</f>
        <v>5.0795938122827469E-2</v>
      </c>
      <c r="L624" s="1605">
        <f t="shared" ref="L624:L633" si="122">+J624/$J$624</f>
        <v>1</v>
      </c>
    </row>
    <row r="625" spans="1:24" s="812" customFormat="1" ht="39.950000000000003" hidden="1" customHeight="1" x14ac:dyDescent="0.15">
      <c r="A625" s="2072">
        <f ca="1">+Orçamento_Não_Deson!A625</f>
        <v>7</v>
      </c>
      <c r="B625" s="833">
        <f>+Orçamento_Não_Deson!B625</f>
        <v>98525</v>
      </c>
      <c r="C625" s="2" t="str">
        <f>VLOOKUP($B625,[2]BOLETIM_SEL!$A:$H,2,0)</f>
        <v>SINAPI</v>
      </c>
      <c r="D625" s="315" t="str">
        <f>VLOOKUP($B625,[2]BOLETIM_SEL!$A:$H,4,0)</f>
        <v>Limpeza mecanizada de camada vegetal, vegetação e pequenas árvores (diâmetro nominal de tronco menor que 0,20 m), com trator de esteiras. AF_05/2018</v>
      </c>
      <c r="E625" s="2">
        <f>+Orçamento_Não_Deson!E625</f>
        <v>0</v>
      </c>
      <c r="F625" s="2" t="str">
        <f>VLOOKUP($B625,[2]BOLETIM_SEL!$A:$H,6,0)</f>
        <v>M2</v>
      </c>
      <c r="G625" s="1407">
        <f>VLOOKUP($B625,[2]BOLETIM_SEL!$A:$H,7,0)</f>
        <v>0.35</v>
      </c>
      <c r="H625" s="1608">
        <f>+Orçamento_Não_Deson!H625</f>
        <v>0</v>
      </c>
      <c r="I625" s="876">
        <f t="shared" ref="I625:I629" si="123">+TRUNC(G625*(1+$J$5),2)</f>
        <v>0.44</v>
      </c>
      <c r="J625" s="1607">
        <f t="shared" ref="J625:J675" si="124">TRUNC(H625*I625,2)</f>
        <v>0</v>
      </c>
      <c r="K625" s="2069">
        <f t="shared" ca="1" si="121"/>
        <v>0</v>
      </c>
      <c r="L625" s="1570">
        <f t="shared" si="122"/>
        <v>0</v>
      </c>
      <c r="M625" s="1967"/>
      <c r="N625" s="1957" t="s">
        <v>1951</v>
      </c>
      <c r="O625" s="1648" t="s">
        <v>1977</v>
      </c>
      <c r="Q625" s="832"/>
      <c r="R625" s="832"/>
      <c r="S625" s="832"/>
      <c r="T625" s="832"/>
      <c r="U625" s="832"/>
      <c r="V625" s="832"/>
      <c r="W625" s="832"/>
      <c r="X625" s="832"/>
    </row>
    <row r="626" spans="1:24" s="812" customFormat="1" ht="30" customHeight="1" x14ac:dyDescent="0.15">
      <c r="A626" s="2072">
        <f ca="1">+Orçamento_Não_Deson!A626</f>
        <v>7.01</v>
      </c>
      <c r="B626" s="833" t="str">
        <f>+Orçamento_Não_Deson!B626</f>
        <v>PA/0005</v>
      </c>
      <c r="C626" s="2" t="str">
        <f>VLOOKUP($B626,[2]BOLETIM_SEL!$A:$H,2,0)</f>
        <v>COMPOSIÇÃO</v>
      </c>
      <c r="D626" s="315" t="str">
        <f>VLOOKUP($B626,[2]BOLETIM_SEL!$A:$H,4,0)</f>
        <v>Preparo do subleito, escavação e carga. Exclusive transporte</v>
      </c>
      <c r="E626" s="2">
        <f>+Orçamento_Não_Deson!E626</f>
        <v>0</v>
      </c>
      <c r="F626" s="2" t="str">
        <f>VLOOKUP($B626,[2]BOLETIM_SEL!$A:$H,6,0)</f>
        <v>M3</v>
      </c>
      <c r="G626" s="1407">
        <f>VLOOKUP($B626,[2]BOLETIM_SEL!$A:$H,7,0)</f>
        <v>5.7</v>
      </c>
      <c r="H626" s="1608">
        <f>+Orçamento_Não_Deson!H626</f>
        <v>5742.35</v>
      </c>
      <c r="I626" s="876">
        <f t="shared" si="123"/>
        <v>7.3</v>
      </c>
      <c r="J626" s="1607">
        <f t="shared" si="124"/>
        <v>41919.15</v>
      </c>
      <c r="K626" s="2069">
        <f t="shared" ca="1" si="121"/>
        <v>1.1094907477129394E-2</v>
      </c>
      <c r="L626" s="1570">
        <f t="shared" si="122"/>
        <v>0.21842115505970724</v>
      </c>
      <c r="M626" s="1967"/>
      <c r="N626" s="1958">
        <f>VLOOKUP($B626,[2]BOLETIM_SEL!$A:$H,3,0)</f>
        <v>42</v>
      </c>
      <c r="O626" s="1645">
        <f>+H626/N626</f>
        <v>136.72261904761905</v>
      </c>
      <c r="Q626" s="832"/>
      <c r="R626" s="832"/>
      <c r="S626" s="832"/>
      <c r="T626" s="832"/>
      <c r="U626" s="832"/>
      <c r="V626" s="832"/>
      <c r="W626" s="832"/>
      <c r="X626" s="832"/>
    </row>
    <row r="627" spans="1:24" s="812" customFormat="1" ht="39.950000000000003" hidden="1" customHeight="1" x14ac:dyDescent="0.15">
      <c r="A627" s="2072">
        <f ca="1">+Orçamento_Não_Deson!A627</f>
        <v>7.01</v>
      </c>
      <c r="B627" s="833" t="str">
        <f>+Orçamento_Não_Deson!B627</f>
        <v>PA/0010</v>
      </c>
      <c r="C627" s="2" t="str">
        <f>VLOOKUP($B627,[2]BOLETIM_SEL!$A:$H,2,0)</f>
        <v>COMPOSIÇÃO</v>
      </c>
      <c r="D627" s="315" t="str">
        <f>VLOOKUP($B627,[2]BOLETIM_SEL!$A:$H,4,0)</f>
        <v>Colchão de rachão e/ou pedra-de-mão, com camada final de pedra brita. Fornecimento e execução. Exclusive transporte da pedra</v>
      </c>
      <c r="E627" s="2">
        <f>+Orçamento_Não_Deson!E627</f>
        <v>0</v>
      </c>
      <c r="F627" s="2" t="str">
        <f>VLOOKUP($B627,[2]BOLETIM_SEL!$A:$H,6,0)</f>
        <v>M3</v>
      </c>
      <c r="G627" s="1407">
        <f>VLOOKUP($B627,[2]BOLETIM_SEL!$A:$H,7,0)</f>
        <v>147.65</v>
      </c>
      <c r="H627" s="1608">
        <f>+Orçamento_Não_Deson!H627</f>
        <v>0</v>
      </c>
      <c r="I627" s="876">
        <f t="shared" si="123"/>
        <v>189.24</v>
      </c>
      <c r="J627" s="1607">
        <f t="shared" si="124"/>
        <v>0</v>
      </c>
      <c r="K627" s="2069">
        <f t="shared" ca="1" si="121"/>
        <v>0</v>
      </c>
      <c r="L627" s="1570">
        <f t="shared" si="122"/>
        <v>0</v>
      </c>
      <c r="M627" s="1967"/>
      <c r="N627" s="832"/>
      <c r="O627" s="832"/>
      <c r="Q627" s="832"/>
      <c r="R627" s="832"/>
      <c r="S627" s="832"/>
      <c r="T627" s="832"/>
      <c r="U627" s="832"/>
      <c r="V627" s="832"/>
      <c r="W627" s="832"/>
      <c r="X627" s="832"/>
    </row>
    <row r="628" spans="1:24" s="812" customFormat="1" ht="50.1" hidden="1" customHeight="1" x14ac:dyDescent="0.15">
      <c r="A628" s="2072">
        <f ca="1">+Orçamento_Não_Deson!A628</f>
        <v>7.01</v>
      </c>
      <c r="B628" s="833">
        <f>+Orçamento_Não_Deson!B628</f>
        <v>101230</v>
      </c>
      <c r="C628" s="2" t="str">
        <f>VLOOKUP($B628,[2]BOLETIM_SEL!$A:$H,2,0)</f>
        <v>SINAPI</v>
      </c>
      <c r="D628" s="315" t="str">
        <f>VLOOKUP($B628,[2]BOLETIM_SEL!$A:$H,4,0)</f>
        <v>Escavação vertical a céu aberto, em obras de infraestrutura, incluindo carga, descarga e transporte, em solo de 1a categoria com escavadeira hidráulica (caçamba: 0,80 m3 / 111 HP), frota de 3 caminhões basculantes de 14 m3, DMT até 1 km e velocidade média 14 km/h. AF_05/2020</v>
      </c>
      <c r="E628" s="2">
        <f>+Orçamento_Não_Deson!E628</f>
        <v>0</v>
      </c>
      <c r="F628" s="2" t="str">
        <f>VLOOKUP($B628,[2]BOLETIM_SEL!$A:$H,6,0)</f>
        <v>M3</v>
      </c>
      <c r="G628" s="1407">
        <f>VLOOKUP($B628,[2]BOLETIM_SEL!$A:$H,7,0)</f>
        <v>10.59</v>
      </c>
      <c r="H628" s="1608">
        <f>+Orçamento_Não_Deson!H628</f>
        <v>0</v>
      </c>
      <c r="I628" s="876">
        <f t="shared" si="123"/>
        <v>13.57</v>
      </c>
      <c r="J628" s="1607">
        <f t="shared" si="124"/>
        <v>0</v>
      </c>
      <c r="K628" s="2069">
        <f t="shared" ca="1" si="121"/>
        <v>0</v>
      </c>
      <c r="L628" s="1570">
        <f t="shared" si="122"/>
        <v>0</v>
      </c>
      <c r="M628" s="1967"/>
      <c r="N628" s="832"/>
      <c r="O628" s="832"/>
      <c r="Q628" s="832"/>
      <c r="R628" s="832"/>
      <c r="S628" s="832"/>
      <c r="T628" s="832"/>
      <c r="U628" s="832"/>
      <c r="V628" s="832"/>
      <c r="W628" s="832"/>
      <c r="X628" s="832"/>
    </row>
    <row r="629" spans="1:24" s="812" customFormat="1" ht="50.1" hidden="1" customHeight="1" x14ac:dyDescent="0.15">
      <c r="A629" s="2072">
        <f ca="1">+Orçamento_Não_Deson!A629</f>
        <v>7.01</v>
      </c>
      <c r="B629" s="833">
        <f>+Orçamento_Não_Deson!B629</f>
        <v>101232</v>
      </c>
      <c r="C629" s="2" t="str">
        <f>VLOOKUP($B629,[2]BOLETIM_SEL!$A:$H,2,0)</f>
        <v>SINAPI</v>
      </c>
      <c r="D629" s="315" t="str">
        <f>VLOOKUP($B629,[2]BOLETIM_SEL!$A:$H,4,0)</f>
        <v>Escavação vertical a céu aberto, em obras de infraestrutura, incluindo carga, descarga e transporte, em solo de 1a categoria com escavadeira hidráulica (caçamba: 1,20 m3 / 155 HP), frota de 3 caminhões basculantes de 14 m3, DMT até 1 km e velocidade média 14 km/h. AF_05/2020</v>
      </c>
      <c r="E629" s="2">
        <f>+Orçamento_Não_Deson!E629</f>
        <v>0</v>
      </c>
      <c r="F629" s="2" t="str">
        <f>VLOOKUP($B629,[2]BOLETIM_SEL!$A:$H,6,0)</f>
        <v>M3</v>
      </c>
      <c r="G629" s="1407">
        <f>VLOOKUP($B629,[2]BOLETIM_SEL!$A:$H,7,0)</f>
        <v>9.06</v>
      </c>
      <c r="H629" s="1608">
        <f>+Orçamento_Não_Deson!H629</f>
        <v>0</v>
      </c>
      <c r="I629" s="876">
        <f t="shared" si="123"/>
        <v>11.61</v>
      </c>
      <c r="J629" s="1607">
        <f t="shared" si="124"/>
        <v>0</v>
      </c>
      <c r="K629" s="2069">
        <f t="shared" ca="1" si="121"/>
        <v>0</v>
      </c>
      <c r="L629" s="1570">
        <f t="shared" si="122"/>
        <v>0</v>
      </c>
      <c r="M629" s="1967"/>
      <c r="N629" s="832"/>
      <c r="O629" s="832"/>
      <c r="Q629" s="832"/>
      <c r="R629" s="832"/>
      <c r="S629" s="832"/>
      <c r="T629" s="832"/>
      <c r="U629" s="832"/>
      <c r="V629" s="832"/>
      <c r="W629" s="832"/>
      <c r="X629" s="832"/>
    </row>
    <row r="630" spans="1:24" s="812" customFormat="1" ht="39.950000000000003" customHeight="1" x14ac:dyDescent="0.15">
      <c r="A630" s="2072">
        <f ca="1">+Orçamento_Não_Deson!A630</f>
        <v>7.02</v>
      </c>
      <c r="B630" s="833">
        <f>+Orçamento_Não_Deson!B630</f>
        <v>96385</v>
      </c>
      <c r="C630" s="2" t="str">
        <f>VLOOKUP($B630,[2]BOLETIM_SEL!$A:$H,2,0)</f>
        <v>SINAPI</v>
      </c>
      <c r="D630" s="315" t="str">
        <f>VLOOKUP($B630,[2]BOLETIM_SEL!$A:$H,4,0)</f>
        <v>Execução e compactação de aterro com solo predominantemente argiloso - exclusive solo, escavação, carga e transporte. AF_11/2019</v>
      </c>
      <c r="E630" s="2">
        <f>+Orçamento_Não_Deson!E630</f>
        <v>0</v>
      </c>
      <c r="F630" s="2" t="str">
        <f>VLOOKUP($B630,[2]BOLETIM_SEL!$A:$H,6,0)</f>
        <v>M3</v>
      </c>
      <c r="G630" s="1407">
        <f>VLOOKUP($B630,[2]BOLETIM_SEL!$A:$H,7,0)</f>
        <v>10.88</v>
      </c>
      <c r="H630" s="1608">
        <f>+Orçamento_Não_Deson!H630</f>
        <v>6.95</v>
      </c>
      <c r="I630" s="876">
        <f t="shared" ref="I630" si="125">+TRUNC(G630*(1+$J$5),2)</f>
        <v>13.94</v>
      </c>
      <c r="J630" s="1607">
        <f t="shared" ref="J630" si="126">TRUNC(H630*I630,2)</f>
        <v>96.88</v>
      </c>
      <c r="K630" s="2069">
        <f t="shared" ca="1" si="121"/>
        <v>2.564161335294956E-5</v>
      </c>
      <c r="L630" s="1570">
        <f t="shared" ref="L630" si="127">+J630/$J$624</f>
        <v>5.0479653099321994E-4</v>
      </c>
      <c r="M630" s="1967"/>
      <c r="N630" s="832"/>
      <c r="O630" s="832"/>
      <c r="Q630" s="832"/>
      <c r="R630" s="832"/>
      <c r="S630" s="832"/>
      <c r="T630" s="832"/>
      <c r="U630" s="832"/>
      <c r="V630" s="832"/>
      <c r="W630" s="832"/>
      <c r="X630" s="832"/>
    </row>
    <row r="631" spans="1:24" s="812" customFormat="1" ht="39.950000000000003" hidden="1" customHeight="1" x14ac:dyDescent="0.15">
      <c r="A631" s="2072">
        <f ca="1">+Orçamento_Não_Deson!A631</f>
        <v>7.02</v>
      </c>
      <c r="B631" s="833">
        <f>+Orçamento_Não_Deson!B631</f>
        <v>6079</v>
      </c>
      <c r="C631" s="2" t="str">
        <f>VLOOKUP($B631,[2]BOLETIM_SEL!$A:$H,2,0)</f>
        <v>COTAÇÃO - SINAPI</v>
      </c>
      <c r="D631" s="315" t="str">
        <f>VLOOKUP($B631,[2]BOLETIM_SEL!$A:$H,4,0)</f>
        <v>Argila, argila vermelha ou argila arenosa (retirada na jazida, sem transporte)</v>
      </c>
      <c r="E631" s="2221" t="str">
        <f>+Orçamento_Não_Deson!E631</f>
        <v>BDI insumo</v>
      </c>
      <c r="F631" s="2" t="str">
        <f>VLOOKUP($B631,[2]BOLETIM_SEL!$A:$H,6,0)</f>
        <v xml:space="preserve">M3    </v>
      </c>
      <c r="G631" s="1407">
        <f>VLOOKUP($B631,[2]BOLETIM_SEL!$A:$H,7,0)</f>
        <v>36.51</v>
      </c>
      <c r="H631" s="1608">
        <f>+Orçamento_Não_Deson!H631</f>
        <v>0</v>
      </c>
      <c r="I631" s="2222">
        <f>TRUNC(G631*(1+$J$6),2)</f>
        <v>42.08</v>
      </c>
      <c r="J631" s="1607">
        <f t="shared" si="124"/>
        <v>0</v>
      </c>
      <c r="K631" s="2069">
        <f t="shared" ca="1" si="121"/>
        <v>0</v>
      </c>
      <c r="L631" s="1570">
        <f t="shared" si="122"/>
        <v>0</v>
      </c>
      <c r="M631" s="1968" t="str">
        <f>+Orçamento_Não_Deson!M631</f>
        <v>COMERCIAL</v>
      </c>
      <c r="N631" s="832"/>
      <c r="O631" s="832"/>
      <c r="Q631" s="832"/>
      <c r="R631" s="832"/>
      <c r="S631" s="832"/>
      <c r="T631" s="832"/>
      <c r="U631" s="832"/>
      <c r="V631" s="832"/>
      <c r="W631" s="832"/>
      <c r="X631" s="832"/>
    </row>
    <row r="632" spans="1:24" s="812" customFormat="1" ht="39.950000000000003" customHeight="1" x14ac:dyDescent="0.15">
      <c r="A632" s="2072">
        <f ca="1">+Orçamento_Não_Deson!A632</f>
        <v>7.0299999999999994</v>
      </c>
      <c r="B632" s="833">
        <f>+Orçamento_Não_Deson!B632</f>
        <v>100979</v>
      </c>
      <c r="C632" s="2" t="str">
        <f>VLOOKUP($B632,[2]BOLETIM_SEL!$A:$H,2,0)</f>
        <v>SINAPI</v>
      </c>
      <c r="D632" s="315" t="str">
        <f>VLOOKUP($B632,[2]BOLETIM_SEL!$A:$H,4,0)</f>
        <v>Carga, manobra e descarga de solos e materiais granulares em caminhão basculante 14 m3 - carga com escavadeira hidráulica (capacidade da caçamba: 1,20 m3 / potência: 155 HP) e descarga livre (unidade: m3). AF_07/2020</v>
      </c>
      <c r="E632" s="2">
        <f>+Orçamento_Não_Deson!E632</f>
        <v>0</v>
      </c>
      <c r="F632" s="2" t="str">
        <f>VLOOKUP($B632,[2]BOLETIM_SEL!$A:$H,6,0)</f>
        <v>M3</v>
      </c>
      <c r="G632" s="1407">
        <f>VLOOKUP($B632,[2]BOLETIM_SEL!$A:$H,7,0)</f>
        <v>6.35</v>
      </c>
      <c r="H632" s="1608">
        <f>+Orçamento_Não_Deson!H632</f>
        <v>8.69</v>
      </c>
      <c r="I632" s="876">
        <f>+TRUNC(G632*(1+$J$5),2)</f>
        <v>8.1300000000000008</v>
      </c>
      <c r="J632" s="1607">
        <f t="shared" si="124"/>
        <v>70.64</v>
      </c>
      <c r="K632" s="2069">
        <f t="shared" ca="1" si="121"/>
        <v>1.8696568613257196E-5</v>
      </c>
      <c r="L632" s="1570">
        <f t="shared" si="122"/>
        <v>3.6807211962593995E-4</v>
      </c>
      <c r="M632" s="1968" t="str">
        <f>+Orçamento_Não_Deson!M632</f>
        <v>ESCAVADEIRA</v>
      </c>
      <c r="N632" s="832"/>
      <c r="O632" s="832"/>
      <c r="Q632" s="832"/>
      <c r="R632" s="832"/>
      <c r="S632" s="832"/>
      <c r="T632" s="832"/>
      <c r="U632" s="832"/>
      <c r="V632" s="832"/>
      <c r="W632" s="832"/>
      <c r="X632" s="832"/>
    </row>
    <row r="633" spans="1:24" s="812" customFormat="1" ht="39.950000000000003" hidden="1" customHeight="1" x14ac:dyDescent="0.15">
      <c r="A633" s="2072">
        <f ca="1">+Orçamento_Não_Deson!A633</f>
        <v>7.0299999999999994</v>
      </c>
      <c r="B633" s="833">
        <f>+Orçamento_Não_Deson!B633</f>
        <v>100979</v>
      </c>
      <c r="C633" s="2" t="str">
        <f>VLOOKUP($B633,[2]BOLETIM_SEL!$A:$H,2,0)</f>
        <v>SINAPI</v>
      </c>
      <c r="D633" s="315" t="str">
        <f>VLOOKUP($B633,[2]BOLETIM_SEL!$A:$H,4,0)</f>
        <v>Carga, manobra e descarga de solos e materiais granulares em caminhão basculante 14 m3 - carga com escavadeira hidráulica (capacidade da caçamba: 1,20 m3 / potência: 155 HP) e descarga livre (unidade: m3). AF_07/2020</v>
      </c>
      <c r="E633" s="2">
        <f>+Orçamento_Não_Deson!E633</f>
        <v>0</v>
      </c>
      <c r="F633" s="2" t="str">
        <f>VLOOKUP($B633,[2]BOLETIM_SEL!$A:$H,6,0)</f>
        <v>M3</v>
      </c>
      <c r="G633" s="1407">
        <f>VLOOKUP($B633,[2]BOLETIM_SEL!$A:$H,7,0)</f>
        <v>6.35</v>
      </c>
      <c r="H633" s="1608">
        <f>+Orçamento_Não_Deson!H633</f>
        <v>0</v>
      </c>
      <c r="I633" s="876">
        <f>+TRUNC(G633*(1+$J$5),2)</f>
        <v>8.1300000000000008</v>
      </c>
      <c r="J633" s="1607">
        <f t="shared" si="124"/>
        <v>0</v>
      </c>
      <c r="K633" s="2069">
        <f t="shared" ca="1" si="121"/>
        <v>0</v>
      </c>
      <c r="L633" s="1570">
        <f t="shared" si="122"/>
        <v>0</v>
      </c>
      <c r="M633" s="1968" t="str">
        <f>+Orçamento_Não_Deson!M633</f>
        <v>ESCAVADEIRA</v>
      </c>
      <c r="N633" s="832"/>
      <c r="O633" s="832"/>
      <c r="Q633" s="832"/>
      <c r="R633" s="832"/>
      <c r="S633" s="832"/>
      <c r="T633" s="832"/>
      <c r="U633" s="832"/>
      <c r="V633" s="832"/>
      <c r="W633" s="832"/>
      <c r="X633" s="832"/>
    </row>
    <row r="634" spans="1:24" s="812" customFormat="1" ht="24.95" customHeight="1" x14ac:dyDescent="0.15">
      <c r="A634" s="2072"/>
      <c r="B634" s="833"/>
      <c r="C634" s="2"/>
      <c r="D634" s="1449" t="s">
        <v>1792</v>
      </c>
      <c r="E634" s="2"/>
      <c r="F634" s="2"/>
      <c r="G634" s="1407"/>
      <c r="H634" s="2"/>
      <c r="I634" s="2"/>
      <c r="J634" s="838" t="str">
        <f>IF(J635=0,"-","")</f>
        <v/>
      </c>
      <c r="K634" s="2"/>
      <c r="L634" s="1570"/>
      <c r="M634" s="1967" t="str">
        <f>+Orçamento_Não_Deson!M634</f>
        <v>Depósito provisório</v>
      </c>
      <c r="N634" s="832"/>
      <c r="O634" s="832"/>
      <c r="Q634" s="832"/>
      <c r="R634" s="832"/>
      <c r="S634" s="832"/>
      <c r="T634" s="832"/>
      <c r="U634" s="832"/>
      <c r="V634" s="832"/>
      <c r="W634" s="832"/>
      <c r="X634" s="832"/>
    </row>
    <row r="635" spans="1:24" s="812" customFormat="1" ht="30" customHeight="1" x14ac:dyDescent="0.15">
      <c r="A635" s="2072">
        <f ca="1">+Orçamento_Não_Deson!A635</f>
        <v>7.0399999999999991</v>
      </c>
      <c r="B635" s="833">
        <f>+Orçamento_Não_Deson!B635</f>
        <v>100939</v>
      </c>
      <c r="C635" s="2" t="str">
        <f>VLOOKUP($B635,[2]BOLETIM_SEL!$A:$H,2,0)</f>
        <v>SINAPI</v>
      </c>
      <c r="D635" s="315" t="str">
        <f>VLOOKUP($B635,[2]BOLETIM_SEL!$A:$H,4,0)</f>
        <v>Transporte com caminhão basculante de 14 m3, em via interna (dentro do canteiro - unidade:m3xkm). AF_07/2020</v>
      </c>
      <c r="E635" s="2">
        <f>+Orçamento_Não_Deson!E635</f>
        <v>1</v>
      </c>
      <c r="F635" s="2" t="str">
        <f>VLOOKUP($B635,[2]BOLETIM_SEL!$A:$H,6,0)</f>
        <v>M3XKM</v>
      </c>
      <c r="G635" s="1407">
        <f>VLOOKUP($B635,[2]BOLETIM_SEL!$A:$H,7,0)</f>
        <v>6.22</v>
      </c>
      <c r="H635" s="1608">
        <f>+Orçamento_Não_Deson!H635</f>
        <v>17.38</v>
      </c>
      <c r="I635" s="876">
        <f>+TRUNC(G635*(1+$J$5),2)</f>
        <v>7.97</v>
      </c>
      <c r="J635" s="1607">
        <f t="shared" si="124"/>
        <v>138.51</v>
      </c>
      <c r="K635" s="2069">
        <f ca="1">J635/J$930</f>
        <v>3.6659990354222169E-5</v>
      </c>
      <c r="L635" s="1570">
        <f>+J635/$J$624</f>
        <v>7.2171106015556249E-4</v>
      </c>
      <c r="M635" s="4"/>
      <c r="N635" s="832"/>
      <c r="O635" s="832"/>
      <c r="Q635" s="832"/>
      <c r="R635" s="832"/>
      <c r="S635" s="832"/>
      <c r="T635" s="832"/>
      <c r="U635" s="832"/>
      <c r="V635" s="832"/>
      <c r="W635" s="832"/>
      <c r="X635" s="832"/>
    </row>
    <row r="636" spans="1:24" s="812" customFormat="1" ht="24.95" hidden="1" customHeight="1" x14ac:dyDescent="0.15">
      <c r="A636" s="2072"/>
      <c r="B636" s="833"/>
      <c r="C636" s="2"/>
      <c r="D636" s="1449" t="s">
        <v>2178</v>
      </c>
      <c r="E636" s="2"/>
      <c r="F636" s="2"/>
      <c r="G636" s="1407"/>
      <c r="H636" s="2"/>
      <c r="I636" s="2"/>
      <c r="J636" s="838" t="str">
        <f>IF(J637=0,"-","")</f>
        <v>-</v>
      </c>
      <c r="K636" s="2"/>
      <c r="L636" s="1570"/>
      <c r="M636" s="1967"/>
      <c r="N636" s="832"/>
      <c r="O636" s="832"/>
      <c r="Q636" s="832"/>
      <c r="R636" s="832"/>
      <c r="S636" s="832"/>
      <c r="T636" s="832"/>
      <c r="U636" s="832"/>
      <c r="V636" s="832"/>
      <c r="W636" s="832"/>
      <c r="X636" s="832"/>
    </row>
    <row r="637" spans="1:24" s="812" customFormat="1" ht="45" hidden="1" customHeight="1" x14ac:dyDescent="0.15">
      <c r="A637" s="2072">
        <f ca="1">+Orçamento_Não_Deson!A637</f>
        <v>7.0399999999999991</v>
      </c>
      <c r="B637" s="833">
        <f>+Orçamento_Não_Deson!B637</f>
        <v>95875</v>
      </c>
      <c r="C637" s="2" t="str">
        <f>VLOOKUP($B637,[2]BOLETIM_SEL!$A:$H,2,0)</f>
        <v>SINAPI</v>
      </c>
      <c r="D637" s="315" t="str">
        <f>VLOOKUP($B637,[2]BOLETIM_SEL!$A:$H,4,0)</f>
        <v>Transporte com caminhão basculante de 10 m3, em via urbana pavimentada, DMT até 30,00 km (unidade: m3xkm). AF_07/2020</v>
      </c>
      <c r="E637" s="2">
        <f>+Orçamento_Não_Deson!E637</f>
        <v>24</v>
      </c>
      <c r="F637" s="2" t="str">
        <f>VLOOKUP($B637,[2]BOLETIM_SEL!$A:$H,6,0)</f>
        <v>M3XKM</v>
      </c>
      <c r="G637" s="1407">
        <f>VLOOKUP($B637,[2]BOLETIM_SEL!$A:$H,7,0)</f>
        <v>2.33</v>
      </c>
      <c r="H637" s="1608">
        <f>+Orçamento_Não_Deson!H637</f>
        <v>0</v>
      </c>
      <c r="I637" s="876">
        <f>+TRUNC(G637*(1+$J$5),2)</f>
        <v>2.98</v>
      </c>
      <c r="J637" s="1607">
        <f t="shared" si="124"/>
        <v>0</v>
      </c>
      <c r="K637" s="2069">
        <f ca="1">J637/J$930</f>
        <v>0</v>
      </c>
      <c r="L637" s="1570">
        <f>+J637/$J$624</f>
        <v>0</v>
      </c>
      <c r="M637" s="1969">
        <f>+Orçamento_Não_Deson!M637</f>
        <v>0</v>
      </c>
      <c r="N637" s="832"/>
      <c r="O637" s="832"/>
      <c r="Q637" s="832"/>
      <c r="R637" s="832"/>
      <c r="S637" s="832"/>
      <c r="T637" s="832"/>
      <c r="U637" s="832"/>
      <c r="V637" s="832"/>
      <c r="W637" s="832"/>
      <c r="X637" s="832"/>
    </row>
    <row r="638" spans="1:24" s="812" customFormat="1" ht="24.95" hidden="1" customHeight="1" x14ac:dyDescent="0.15">
      <c r="A638" s="2072"/>
      <c r="B638" s="833"/>
      <c r="C638" s="2"/>
      <c r="D638" s="1449" t="s">
        <v>1801</v>
      </c>
      <c r="E638" s="2"/>
      <c r="F638" s="2"/>
      <c r="G638" s="1407"/>
      <c r="H638" s="2"/>
      <c r="I638" s="2"/>
      <c r="J638" s="838" t="str">
        <f>IF(J639=0,"-","")</f>
        <v>-</v>
      </c>
      <c r="K638" s="2"/>
      <c r="L638" s="1570"/>
      <c r="M638" s="1967" t="str">
        <f>+Orçamento_Não_Deson!M638</f>
        <v>Depósito de expurgo SEM reciclagem: 1</v>
      </c>
      <c r="N638" s="832"/>
      <c r="O638" s="832"/>
      <c r="Q638" s="832"/>
      <c r="R638" s="832"/>
      <c r="S638" s="832"/>
      <c r="T638" s="832"/>
      <c r="U638" s="832"/>
      <c r="V638" s="832"/>
      <c r="W638" s="832"/>
      <c r="X638" s="832"/>
    </row>
    <row r="639" spans="1:24" s="812" customFormat="1" ht="45" hidden="1" customHeight="1" x14ac:dyDescent="0.15">
      <c r="A639" s="2072">
        <f ca="1">+Orçamento_Não_Deson!A639</f>
        <v>7.0399999999999991</v>
      </c>
      <c r="B639" s="833">
        <f>+Orçamento_Não_Deson!B639</f>
        <v>95875</v>
      </c>
      <c r="C639" s="2" t="str">
        <f>VLOOKUP($B639,[2]BOLETIM_SEL!$A:$H,2,0)</f>
        <v>SINAPI</v>
      </c>
      <c r="D639" s="315" t="str">
        <f>VLOOKUP($B639,[2]BOLETIM_SEL!$A:$H,4,0)</f>
        <v>Transporte com caminhão basculante de 10 m3, em via urbana pavimentada, DMT até 30,00 km (unidade: m3xkm). AF_07/2020</v>
      </c>
      <c r="E639" s="2">
        <f>+Orçamento_Não_Deson!E639</f>
        <v>8</v>
      </c>
      <c r="F639" s="2" t="str">
        <f>VLOOKUP($B639,[2]BOLETIM_SEL!$A:$H,6,0)</f>
        <v>M3XKM</v>
      </c>
      <c r="G639" s="1407">
        <f>VLOOKUP($B639,[2]BOLETIM_SEL!$A:$H,7,0)</f>
        <v>2.33</v>
      </c>
      <c r="H639" s="1608">
        <f>+Orçamento_Não_Deson!H639</f>
        <v>0</v>
      </c>
      <c r="I639" s="876">
        <f>+TRUNC(G639*(1+$J$5),2)</f>
        <v>2.98</v>
      </c>
      <c r="J639" s="1607">
        <f t="shared" si="124"/>
        <v>0</v>
      </c>
      <c r="K639" s="2069">
        <f ca="1">J639/J$930</f>
        <v>0</v>
      </c>
      <c r="L639" s="1570">
        <f>+J639/$J$624</f>
        <v>0</v>
      </c>
      <c r="M639" s="1969">
        <f>+Orçamento_Não_Deson!M639</f>
        <v>0</v>
      </c>
      <c r="N639" s="832"/>
      <c r="O639" s="832"/>
      <c r="Q639" s="832"/>
      <c r="R639" s="832"/>
      <c r="S639" s="832"/>
      <c r="T639" s="832"/>
      <c r="U639" s="832"/>
      <c r="V639" s="832"/>
      <c r="W639" s="832"/>
      <c r="X639" s="832"/>
    </row>
    <row r="640" spans="1:24" s="812" customFormat="1" ht="24.95" customHeight="1" x14ac:dyDescent="0.15">
      <c r="A640" s="2072"/>
      <c r="B640" s="833"/>
      <c r="C640" s="2"/>
      <c r="D640" s="1449" t="s">
        <v>1798</v>
      </c>
      <c r="E640" s="2"/>
      <c r="F640" s="2"/>
      <c r="G640" s="1407"/>
      <c r="H640" s="2"/>
      <c r="I640" s="2"/>
      <c r="J640" s="838" t="str">
        <f>IF(J641=0,"-","")</f>
        <v/>
      </c>
      <c r="K640" s="2"/>
      <c r="L640" s="1570"/>
      <c r="M640" s="1967" t="str">
        <f>+Orçamento_Não_Deson!M640</f>
        <v>Definir depósito:                                     1, 2, 3 ou 4</v>
      </c>
      <c r="N640" s="832"/>
      <c r="O640" s="832"/>
      <c r="Q640" s="832"/>
      <c r="R640" s="832"/>
      <c r="S640" s="832"/>
      <c r="T640" s="832"/>
      <c r="U640" s="832"/>
      <c r="V640" s="832"/>
      <c r="W640" s="832"/>
      <c r="X640" s="832"/>
    </row>
    <row r="641" spans="1:24" s="812" customFormat="1" ht="39.950000000000003" customHeight="1" x14ac:dyDescent="0.15">
      <c r="A641" s="2072">
        <f ca="1">+Orçamento_Não_Deson!A641</f>
        <v>7.0499999999999989</v>
      </c>
      <c r="B641" s="833">
        <f>+Orçamento_Não_Deson!B641</f>
        <v>95876</v>
      </c>
      <c r="C641" s="2" t="str">
        <f>VLOOKUP($B641,[2]BOLETIM_SEL!$A:$H,2,0)</f>
        <v>SINAPI</v>
      </c>
      <c r="D641" s="315" t="str">
        <f>VLOOKUP($B641,[2]BOLETIM_SEL!$A:$H,4,0)</f>
        <v>Transporte com caminhão basculante de 14 m3, em via urbana pavimentada, DMT até 30,00 km (unidade: m3xkm). AF_07/2020</v>
      </c>
      <c r="E641" s="2">
        <f>+Orçamento_Não_Deson!E641</f>
        <v>8</v>
      </c>
      <c r="F641" s="2" t="str">
        <f>VLOOKUP($B641,[2]BOLETIM_SEL!$A:$H,6,0)</f>
        <v>M3XKM</v>
      </c>
      <c r="G641" s="1407">
        <f>VLOOKUP($B641,[2]BOLETIM_SEL!$A:$H,7,0)</f>
        <v>2.04</v>
      </c>
      <c r="H641" s="1608">
        <f>+Orçamento_Não_Deson!H641</f>
        <v>57353.919999999998</v>
      </c>
      <c r="I641" s="876">
        <f>+TRUNC(G641*(1+$J$5),2)</f>
        <v>2.61</v>
      </c>
      <c r="J641" s="1607">
        <f t="shared" si="124"/>
        <v>149693.73000000001</v>
      </c>
      <c r="K641" s="2069">
        <f ca="1">J641/J$930</f>
        <v>3.9620032473377649E-2</v>
      </c>
      <c r="L641" s="1570">
        <f>+J641/$J$624</f>
        <v>0.77998426522951803</v>
      </c>
      <c r="M641" s="1969">
        <f>+Orçamento_Não_Deson!M641</f>
        <v>7169.24</v>
      </c>
      <c r="N641" s="832"/>
      <c r="O641" s="832"/>
      <c r="Q641" s="832"/>
      <c r="R641" s="832"/>
      <c r="S641" s="832"/>
      <c r="T641" s="832"/>
      <c r="U641" s="832"/>
      <c r="V641" s="832"/>
      <c r="W641" s="832"/>
      <c r="X641" s="832"/>
    </row>
    <row r="642" spans="1:24" s="812" customFormat="1" ht="24.95" hidden="1" customHeight="1" x14ac:dyDescent="0.15">
      <c r="A642" s="2072"/>
      <c r="B642" s="833"/>
      <c r="C642" s="2"/>
      <c r="D642" s="1449" t="s">
        <v>1811</v>
      </c>
      <c r="E642" s="2"/>
      <c r="F642" s="2"/>
      <c r="G642" s="1407"/>
      <c r="H642" s="2"/>
      <c r="I642" s="2"/>
      <c r="J642" s="838" t="str">
        <f>IF(J643=0,"-","")</f>
        <v>-</v>
      </c>
      <c r="K642" s="2"/>
      <c r="L642" s="1570"/>
      <c r="M642" s="1967"/>
      <c r="N642" s="832"/>
      <c r="O642" s="832"/>
      <c r="Q642" s="832"/>
      <c r="R642" s="832"/>
      <c r="S642" s="832"/>
      <c r="T642" s="832"/>
      <c r="U642" s="832"/>
      <c r="V642" s="832"/>
      <c r="W642" s="832"/>
      <c r="X642" s="832"/>
    </row>
    <row r="643" spans="1:24" s="812" customFormat="1" ht="39.950000000000003" hidden="1" customHeight="1" x14ac:dyDescent="0.15">
      <c r="A643" s="2072">
        <f ca="1">+Orçamento_Não_Deson!A643</f>
        <v>7.0499999999999989</v>
      </c>
      <c r="B643" s="833">
        <f>+Orçamento_Não_Deson!B643</f>
        <v>95875</v>
      </c>
      <c r="C643" s="2" t="str">
        <f>VLOOKUP($B643,[2]BOLETIM_SEL!$A:$H,2,0)</f>
        <v>SINAPI</v>
      </c>
      <c r="D643" s="315" t="str">
        <f>VLOOKUP($B643,[2]BOLETIM_SEL!$A:$H,4,0)</f>
        <v>Transporte com caminhão basculante de 10 m3, em via urbana pavimentada, DMT até 30,00 km (unidade: m3xkm). AF_07/2020</v>
      </c>
      <c r="E643" s="2">
        <f>+Orçamento_Não_Deson!E643</f>
        <v>7</v>
      </c>
      <c r="F643" s="2" t="str">
        <f>VLOOKUP($B643,[2]BOLETIM_SEL!$A:$H,6,0)</f>
        <v>M3XKM</v>
      </c>
      <c r="G643" s="1407">
        <f>VLOOKUP($B643,[2]BOLETIM_SEL!$A:$H,7,0)</f>
        <v>2.33</v>
      </c>
      <c r="H643" s="1608">
        <f>+Orçamento_Não_Deson!H643</f>
        <v>0</v>
      </c>
      <c r="I643" s="876">
        <f>+TRUNC(G643*(1+$J$5),2)</f>
        <v>2.98</v>
      </c>
      <c r="J643" s="1607">
        <f t="shared" si="124"/>
        <v>0</v>
      </c>
      <c r="K643" s="2069">
        <f ca="1">J643/J$930</f>
        <v>0</v>
      </c>
      <c r="L643" s="1570">
        <f>+J643/$J$624</f>
        <v>0</v>
      </c>
      <c r="M643" s="1969">
        <f>+Orçamento_Não_Deson!M643</f>
        <v>0</v>
      </c>
      <c r="N643" s="832"/>
      <c r="O643" s="832"/>
      <c r="Q643" s="832"/>
      <c r="R643" s="832"/>
      <c r="S643" s="832"/>
      <c r="T643" s="832"/>
      <c r="U643" s="832"/>
      <c r="V643" s="832"/>
      <c r="W643" s="832"/>
      <c r="X643" s="832"/>
    </row>
    <row r="644" spans="1:24" s="812" customFormat="1" ht="24.95" customHeight="1" x14ac:dyDescent="0.15">
      <c r="A644" s="2072"/>
      <c r="B644" s="833"/>
      <c r="C644" s="833"/>
      <c r="D644" s="834"/>
      <c r="E644" s="2"/>
      <c r="F644" s="833"/>
      <c r="G644" s="1407"/>
      <c r="H644" s="1"/>
      <c r="I644" s="876"/>
      <c r="J644" s="838" t="str">
        <f>IF(J624=0,0,"")</f>
        <v/>
      </c>
      <c r="K644" s="2069"/>
      <c r="L644" s="1570"/>
      <c r="M644" s="1826"/>
      <c r="N644" s="832"/>
      <c r="O644" s="832"/>
      <c r="Q644" s="832"/>
      <c r="R644" s="832"/>
      <c r="S644" s="832"/>
      <c r="T644" s="832"/>
      <c r="U644" s="832"/>
      <c r="V644" s="832"/>
      <c r="W644" s="832"/>
      <c r="X644" s="832"/>
    </row>
    <row r="645" spans="1:24" s="832" customFormat="1" ht="24.95" customHeight="1" x14ac:dyDescent="0.15">
      <c r="A645" s="2073">
        <f ca="1">IF(J645&gt;0,INT(A643)+1,IF(J645=0,INT(A643),0))</f>
        <v>8</v>
      </c>
      <c r="B645" s="1626"/>
      <c r="C645" s="1626"/>
      <c r="D645" s="1627" t="s">
        <v>442</v>
      </c>
      <c r="E645" s="1821"/>
      <c r="F645" s="1628"/>
      <c r="G645" s="1813" t="s">
        <v>651</v>
      </c>
      <c r="H645" s="1630"/>
      <c r="I645" s="1633" t="str">
        <f ca="1">CONCATENATE("SUB-TOTAL ",A645)</f>
        <v>SUB-TOTAL 8</v>
      </c>
      <c r="J645" s="1632">
        <f>SUM(J646:J717)</f>
        <v>1887485.7200000002</v>
      </c>
      <c r="K645" s="2070">
        <f t="shared" ref="K645:K675" ca="1" si="128">J645/J$930</f>
        <v>0.4995683220628987</v>
      </c>
      <c r="L645" s="1605">
        <f>J645/$J$645</f>
        <v>1</v>
      </c>
      <c r="N645" s="1957" t="s">
        <v>1951</v>
      </c>
      <c r="O645" s="1648" t="s">
        <v>1977</v>
      </c>
    </row>
    <row r="646" spans="1:24" s="812" customFormat="1" ht="30" customHeight="1" x14ac:dyDescent="0.15">
      <c r="A646" s="2072">
        <f ca="1">+Orçamento_Não_Deson!A646</f>
        <v>8.01</v>
      </c>
      <c r="B646" s="833">
        <f>+Orçamento_Não_Deson!B646</f>
        <v>100576</v>
      </c>
      <c r="C646" s="2" t="str">
        <f>VLOOKUP($B646,[2]BOLETIM_SEL!$A:$H,2,0)</f>
        <v>SINAPI</v>
      </c>
      <c r="D646" s="315" t="str">
        <f>VLOOKUP($B646,[2]BOLETIM_SEL!$A:$H,4,0)</f>
        <v>Regularização e compactação de subleito de solo predominantemente argiloso. AF_11/2019</v>
      </c>
      <c r="E646" s="2">
        <f>+Orçamento_Não_Deson!E646</f>
        <v>0</v>
      </c>
      <c r="F646" s="2" t="str">
        <f>VLOOKUP($B646,[2]BOLETIM_SEL!$A:$H,6,0)</f>
        <v>M2</v>
      </c>
      <c r="G646" s="1407">
        <f>VLOOKUP($B646,[2]BOLETIM_SEL!$A:$H,7,0)</f>
        <v>2.35</v>
      </c>
      <c r="H646" s="1608">
        <f>+Orçamento_Não_Deson!H646</f>
        <v>14446.49</v>
      </c>
      <c r="I646" s="876">
        <f t="shared" ref="I646:I667" si="129">+TRUNC(G646*(1+$J$5),2)</f>
        <v>3.01</v>
      </c>
      <c r="J646" s="1607">
        <f t="shared" si="124"/>
        <v>43483.93</v>
      </c>
      <c r="K646" s="2069">
        <f t="shared" ca="1" si="128"/>
        <v>1.1509063998004996E-2</v>
      </c>
      <c r="L646" s="1570">
        <f>J646/$J$645</f>
        <v>2.3038018004183893E-2</v>
      </c>
      <c r="M646" s="1968" t="str">
        <f>+Orçamento_Não_Deson!M646</f>
        <v>ARGILOSO</v>
      </c>
      <c r="N646" s="1958">
        <f>VLOOKUP($B646,[2]BOLETIM_SEL!$A:$H,3,0)</f>
        <v>125</v>
      </c>
      <c r="O646" s="1645">
        <f t="shared" ref="O646:O654" si="130">+H646/N646</f>
        <v>115.57191999999999</v>
      </c>
      <c r="Q646" s="832"/>
      <c r="R646" s="832"/>
      <c r="S646" s="832"/>
      <c r="T646" s="832"/>
      <c r="U646" s="832"/>
      <c r="V646" s="832"/>
      <c r="W646" s="832"/>
      <c r="X646" s="832"/>
    </row>
    <row r="647" spans="1:24" s="812" customFormat="1" ht="39.950000000000003" hidden="1" customHeight="1" x14ac:dyDescent="0.15">
      <c r="A647" s="2072">
        <f ca="1">+Orçamento_Não_Deson!A647</f>
        <v>8.01</v>
      </c>
      <c r="B647" s="833">
        <f>+Orçamento_Não_Deson!B647</f>
        <v>101767</v>
      </c>
      <c r="C647" s="2" t="str">
        <f>VLOOKUP($B647,[2]BOLETIM_SEL!$A:$H,2,0)</f>
        <v>SINAPI</v>
      </c>
      <c r="D647" s="315" t="str">
        <f>VLOOKUP($B647,[2]BOLETIM_SEL!$A:$H,4,0)</f>
        <v>Execução e compactação de base e ou sub base para pavimentação de solos estabilizados granulometricamente com mistura de solos em pista - exclusive solo, escavação, carga e transporte. AF_11/2019</v>
      </c>
      <c r="E647" s="2">
        <f>+Orçamento_Não_Deson!E647</f>
        <v>0</v>
      </c>
      <c r="F647" s="2" t="str">
        <f>VLOOKUP($B647,[2]BOLETIM_SEL!$A:$H,6,0)</f>
        <v>M3</v>
      </c>
      <c r="G647" s="1407">
        <f>VLOOKUP($B647,[2]BOLETIM_SEL!$A:$H,7,0)</f>
        <v>26.16</v>
      </c>
      <c r="H647" s="1608">
        <f>+Orçamento_Não_Deson!H647</f>
        <v>0</v>
      </c>
      <c r="I647" s="876">
        <f t="shared" si="129"/>
        <v>33.520000000000003</v>
      </c>
      <c r="J647" s="1607">
        <f t="shared" si="124"/>
        <v>0</v>
      </c>
      <c r="K647" s="2069">
        <f t="shared" ca="1" si="128"/>
        <v>0</v>
      </c>
      <c r="L647" s="1570">
        <f t="shared" ref="L647:L675" si="131">J647/$J$645</f>
        <v>0</v>
      </c>
      <c r="M647" s="1967"/>
      <c r="N647" s="1958" t="str">
        <f>VLOOKUP($B647,[2]BOLETIM_SEL!$A:$H,3,0)</f>
        <v>PA/0022
20 m3/h</v>
      </c>
      <c r="O647" s="1645" t="e">
        <f t="shared" si="130"/>
        <v>#VALUE!</v>
      </c>
      <c r="Q647" s="832"/>
      <c r="R647" s="832"/>
      <c r="S647" s="832"/>
      <c r="T647" s="832"/>
      <c r="U647" s="832"/>
      <c r="V647" s="832"/>
      <c r="W647" s="832"/>
      <c r="X647" s="832"/>
    </row>
    <row r="648" spans="1:24" s="812" customFormat="1" ht="39.950000000000003" customHeight="1" x14ac:dyDescent="0.15">
      <c r="A648" s="2072">
        <f ca="1">+Orçamento_Não_Deson!A648</f>
        <v>8.02</v>
      </c>
      <c r="B648" s="833" t="str">
        <f>+Orçamento_Não_Deson!B648</f>
        <v>PA/0021</v>
      </c>
      <c r="C648" s="2" t="str">
        <f>VLOOKUP($B648,[2]BOLETIM_SEL!$A:$H,2,0)</f>
        <v>COMPOSIÇÃO</v>
      </c>
      <c r="D648" s="315" t="str">
        <f>VLOOKUP($B648,[2]BOLETIM_SEL!$A:$H,4,0)</f>
        <v>Execução e compactação de base e ou sub-base, estabilizado granulometricamente, sem mistura, com material de jazida. Exclusive fornecimento e transporte (REF. SINAPI COD. 4011219)</v>
      </c>
      <c r="E648" s="2">
        <f>+Orçamento_Não_Deson!E648</f>
        <v>0</v>
      </c>
      <c r="F648" s="2" t="str">
        <f>VLOOKUP($B648,[2]BOLETIM_SEL!$A:$H,6,0)</f>
        <v>M3</v>
      </c>
      <c r="G648" s="1407">
        <f>VLOOKUP($B648,[2]BOLETIM_SEL!$A:$H,7,0)</f>
        <v>18.510000000000002</v>
      </c>
      <c r="H648" s="1608">
        <f>+Orçamento_Não_Deson!H648</f>
        <v>2166.9699999999998</v>
      </c>
      <c r="I648" s="876">
        <f t="shared" si="129"/>
        <v>23.72</v>
      </c>
      <c r="J648" s="1607">
        <f t="shared" si="124"/>
        <v>51400.52</v>
      </c>
      <c r="K648" s="2069">
        <f t="shared" ca="1" si="128"/>
        <v>1.3604379231838883E-2</v>
      </c>
      <c r="L648" s="1570">
        <f t="shared" si="131"/>
        <v>2.723226960360791E-2</v>
      </c>
      <c r="M648" s="1967"/>
      <c r="N648" s="1958">
        <f>VLOOKUP($B648,[2]BOLETIM_SEL!$A:$H,3,0)</f>
        <v>28.75</v>
      </c>
      <c r="O648" s="1645">
        <f t="shared" si="130"/>
        <v>75.372869565217385</v>
      </c>
      <c r="Q648" s="832"/>
      <c r="R648" s="832"/>
      <c r="S648" s="832"/>
      <c r="T648" s="832"/>
      <c r="U648" s="832"/>
      <c r="V648" s="832"/>
      <c r="W648" s="832"/>
      <c r="X648" s="832"/>
    </row>
    <row r="649" spans="1:24" s="812" customFormat="1" ht="39.950000000000003" customHeight="1" x14ac:dyDescent="0.15">
      <c r="A649" s="2072">
        <f ca="1">+Orçamento_Não_Deson!A649</f>
        <v>8.0299999999999994</v>
      </c>
      <c r="B649" s="833" t="str">
        <f>+Orçamento_Não_Deson!B649</f>
        <v>PA/0020</v>
      </c>
      <c r="C649" s="2" t="str">
        <f>VLOOKUP($B649,[2]BOLETIM_SEL!$A:$H,2,0)</f>
        <v>COMPOSIÇÃO</v>
      </c>
      <c r="D649" s="315" t="str">
        <f>VLOOKUP($B649,[2]BOLETIM_SEL!$A:$H,4,0)</f>
        <v>Execução e compactação de base e ou sub-base com material produto de britagem. Exclusive fornecimento e transporte de materiais (REF. SINAPI COD. 96396)</v>
      </c>
      <c r="E649" s="2">
        <f>+Orçamento_Não_Deson!E649</f>
        <v>0</v>
      </c>
      <c r="F649" s="2" t="str">
        <f>VLOOKUP($B649,[2]BOLETIM_SEL!$A:$H,6,0)</f>
        <v>M3</v>
      </c>
      <c r="G649" s="1407">
        <f>VLOOKUP($B649,[2]BOLETIM_SEL!$A:$H,7,0)</f>
        <v>13</v>
      </c>
      <c r="H649" s="1608">
        <f>+Orçamento_Não_Deson!H649</f>
        <v>2472.2199999999998</v>
      </c>
      <c r="I649" s="876">
        <f t="shared" si="129"/>
        <v>16.66</v>
      </c>
      <c r="J649" s="1607">
        <f t="shared" si="124"/>
        <v>41187.18</v>
      </c>
      <c r="K649" s="2069">
        <f t="shared" ca="1" si="128"/>
        <v>1.0901174077811077E-2</v>
      </c>
      <c r="L649" s="1570">
        <f t="shared" si="131"/>
        <v>2.182118760612398E-2</v>
      </c>
      <c r="M649" s="1967"/>
      <c r="N649" s="1958">
        <f>VLOOKUP($B649,[2]BOLETIM_SEL!$A:$H,3,0)</f>
        <v>33.33</v>
      </c>
      <c r="O649" s="1645">
        <f t="shared" si="130"/>
        <v>74.174017401740173</v>
      </c>
      <c r="Q649" s="832"/>
      <c r="R649" s="832"/>
      <c r="S649" s="832"/>
      <c r="T649" s="832"/>
      <c r="U649" s="832"/>
      <c r="V649" s="832"/>
      <c r="W649" s="832"/>
      <c r="X649" s="832"/>
    </row>
    <row r="650" spans="1:24" s="812" customFormat="1" ht="30" hidden="1" customHeight="1" x14ac:dyDescent="0.15">
      <c r="A650" s="2072">
        <f ca="1">+Orçamento_Não_Deson!A650</f>
        <v>8.0299999999999994</v>
      </c>
      <c r="B650" s="833" t="str">
        <f>+Orçamento_Não_Deson!B650</f>
        <v>PA/0018</v>
      </c>
      <c r="C650" s="2" t="str">
        <f>VLOOKUP($B650,[2]BOLETIM_SEL!$A:$H,2,0)</f>
        <v>COMPOSIÇÃO</v>
      </c>
      <c r="D650" s="315" t="str">
        <f>VLOOKUP($B650,[2]BOLETIM_SEL!$A:$H,4,0)</f>
        <v>Usinagem de brita graduada simples, exclusive fornecimento de materiais (REF. SINAPI COD. 96393, DB 05-2021)</v>
      </c>
      <c r="E650" s="2">
        <f>+Orçamento_Não_Deson!E650</f>
        <v>0</v>
      </c>
      <c r="F650" s="2" t="str">
        <f>VLOOKUP($B650,[2]BOLETIM_SEL!$A:$H,6,0)</f>
        <v>M3</v>
      </c>
      <c r="G650" s="1407">
        <f>VLOOKUP($B650,[2]BOLETIM_SEL!$A:$H,7,0)</f>
        <v>6.09</v>
      </c>
      <c r="H650" s="1608">
        <f>+Orçamento_Não_Deson!H650</f>
        <v>0</v>
      </c>
      <c r="I650" s="876">
        <f t="shared" ref="I650" si="132">+TRUNC(G650*(1+$J$5),2)</f>
        <v>7.8</v>
      </c>
      <c r="J650" s="1607">
        <f t="shared" ref="J650" si="133">TRUNC(H650*I650,2)</f>
        <v>0</v>
      </c>
      <c r="K650" s="2069">
        <f t="shared" ca="1" si="128"/>
        <v>0</v>
      </c>
      <c r="L650" s="1570">
        <f t="shared" ref="L650" si="134">J650/$J$645</f>
        <v>0</v>
      </c>
      <c r="M650" s="1967"/>
      <c r="N650" s="1958">
        <f>VLOOKUP($B650,[2]BOLETIM_SEL!$A:$H,3,0)</f>
        <v>33.33</v>
      </c>
      <c r="O650" s="1645">
        <f t="shared" ref="O650" si="135">+H650/N650</f>
        <v>0</v>
      </c>
      <c r="Q650" s="832"/>
      <c r="R650" s="832"/>
      <c r="S650" s="832"/>
      <c r="T650" s="832"/>
      <c r="U650" s="832"/>
      <c r="V650" s="832"/>
      <c r="W650" s="832"/>
      <c r="X650" s="832"/>
    </row>
    <row r="651" spans="1:24" s="812" customFormat="1" ht="39.950000000000003" hidden="1" customHeight="1" x14ac:dyDescent="0.15">
      <c r="A651" s="2072">
        <f ca="1">+Orçamento_Não_Deson!A651</f>
        <v>8.0299999999999994</v>
      </c>
      <c r="B651" s="833">
        <f>+Orçamento_Não_Deson!B651</f>
        <v>96389</v>
      </c>
      <c r="C651" s="2" t="str">
        <f>VLOOKUP($B651,[2]BOLETIM_SEL!$A:$H,2,0)</f>
        <v>SINAPI</v>
      </c>
      <c r="D651" s="315" t="str">
        <f>VLOOKUP($B651,[2]BOLETIM_SEL!$A:$H,4,0)</f>
        <v>Execução e compactação de base e ou sub base para pavimentação de solo (predominantemente arenoso) com cimento (teor de 2%) - exclusive solo, escavação, carga e transporte. AF_11/2019</v>
      </c>
      <c r="E651" s="2">
        <f>+Orçamento_Não_Deson!E651</f>
        <v>0</v>
      </c>
      <c r="F651" s="2" t="str">
        <f>VLOOKUP($B651,[2]BOLETIM_SEL!$A:$H,6,0)</f>
        <v>M3</v>
      </c>
      <c r="G651" s="1407">
        <f>VLOOKUP($B651,[2]BOLETIM_SEL!$A:$H,7,0)</f>
        <v>54.54</v>
      </c>
      <c r="H651" s="1608">
        <f>+Orçamento_Não_Deson!H651</f>
        <v>0</v>
      </c>
      <c r="I651" s="876">
        <f t="shared" si="129"/>
        <v>69.900000000000006</v>
      </c>
      <c r="J651" s="1607">
        <f t="shared" si="124"/>
        <v>0</v>
      </c>
      <c r="K651" s="2069">
        <f t="shared" ca="1" si="128"/>
        <v>0</v>
      </c>
      <c r="L651" s="1570">
        <f t="shared" si="131"/>
        <v>0</v>
      </c>
      <c r="M651" s="1967"/>
      <c r="N651" s="1958">
        <f>VLOOKUP($B651,[2]BOLETIM_SEL!$A:$H,3,0)</f>
        <v>38.46</v>
      </c>
      <c r="O651" s="1645">
        <f t="shared" si="130"/>
        <v>0</v>
      </c>
      <c r="Q651" s="832"/>
      <c r="R651" s="832"/>
      <c r="S651" s="832"/>
      <c r="T651" s="832"/>
      <c r="U651" s="832"/>
      <c r="V651" s="832"/>
      <c r="W651" s="832"/>
      <c r="X651" s="832"/>
    </row>
    <row r="652" spans="1:24" s="812" customFormat="1" ht="39.950000000000003" hidden="1" customHeight="1" x14ac:dyDescent="0.15">
      <c r="A652" s="2072">
        <f ca="1">+Orçamento_Não_Deson!A652</f>
        <v>8.0299999999999994</v>
      </c>
      <c r="B652" s="833">
        <f>+Orçamento_Não_Deson!B652</f>
        <v>96390</v>
      </c>
      <c r="C652" s="2" t="str">
        <f>VLOOKUP($B652,[2]BOLETIM_SEL!$A:$H,2,0)</f>
        <v>SINAPI</v>
      </c>
      <c r="D652" s="315" t="str">
        <f>VLOOKUP($B652,[2]BOLETIM_SEL!$A:$H,4,0)</f>
        <v>Execução e compactação de base e ou sub base para pavimentação de solo (predominantemente arenoso) com cimento (teor de 4%) - exclusive solo, escavação, carga e transporte. AF_11/2019</v>
      </c>
      <c r="E652" s="2">
        <f>+Orçamento_Não_Deson!E652</f>
        <v>0</v>
      </c>
      <c r="F652" s="2" t="str">
        <f>VLOOKUP($B652,[2]BOLETIM_SEL!$A:$H,6,0)</f>
        <v>M3</v>
      </c>
      <c r="G652" s="1407">
        <f>VLOOKUP($B652,[2]BOLETIM_SEL!$A:$H,7,0)</f>
        <v>88.71</v>
      </c>
      <c r="H652" s="1608">
        <f>+Orçamento_Não_Deson!H652</f>
        <v>0</v>
      </c>
      <c r="I652" s="876">
        <f t="shared" si="129"/>
        <v>113.69</v>
      </c>
      <c r="J652" s="1607">
        <f t="shared" si="124"/>
        <v>0</v>
      </c>
      <c r="K652" s="2069">
        <f t="shared" ca="1" si="128"/>
        <v>0</v>
      </c>
      <c r="L652" s="1570">
        <f t="shared" si="131"/>
        <v>0</v>
      </c>
      <c r="M652" s="1967"/>
      <c r="N652" s="1958">
        <f>VLOOKUP($B652,[2]BOLETIM_SEL!$A:$H,3,0)</f>
        <v>38.46</v>
      </c>
      <c r="O652" s="1645">
        <f t="shared" si="130"/>
        <v>0</v>
      </c>
      <c r="Q652" s="832"/>
      <c r="R652" s="832"/>
      <c r="S652" s="832"/>
      <c r="T652" s="832"/>
      <c r="U652" s="832"/>
      <c r="V652" s="832"/>
      <c r="W652" s="832"/>
      <c r="X652" s="832"/>
    </row>
    <row r="653" spans="1:24" s="812" customFormat="1" ht="39.950000000000003" hidden="1" customHeight="1" x14ac:dyDescent="0.15">
      <c r="A653" s="2072">
        <f ca="1">+Orçamento_Não_Deson!A653</f>
        <v>8.0299999999999994</v>
      </c>
      <c r="B653" s="833">
        <f>+Orçamento_Não_Deson!B653</f>
        <v>96391</v>
      </c>
      <c r="C653" s="2" t="str">
        <f>VLOOKUP($B653,[2]BOLETIM_SEL!$A:$H,2,0)</f>
        <v>SINAPI</v>
      </c>
      <c r="D653" s="315" t="str">
        <f>VLOOKUP($B653,[2]BOLETIM_SEL!$A:$H,4,0)</f>
        <v>Execução e compactação de base e ou sub base para pavimentação de solo (predominantemente arenoso) com cimento (teor de 6%) - exclusive solo, escavação, carga e transporte. AF_11/2019</v>
      </c>
      <c r="E653" s="2">
        <f>+Orçamento_Não_Deson!E653</f>
        <v>0</v>
      </c>
      <c r="F653" s="2" t="str">
        <f>VLOOKUP($B653,[2]BOLETIM_SEL!$A:$H,6,0)</f>
        <v>M3</v>
      </c>
      <c r="G653" s="1407">
        <f>VLOOKUP($B653,[2]BOLETIM_SEL!$A:$H,7,0)</f>
        <v>124.37</v>
      </c>
      <c r="H653" s="1608">
        <f>+Orçamento_Não_Deson!H653</f>
        <v>0</v>
      </c>
      <c r="I653" s="876">
        <f t="shared" si="129"/>
        <v>159.4</v>
      </c>
      <c r="J653" s="1607">
        <f t="shared" si="124"/>
        <v>0</v>
      </c>
      <c r="K653" s="2069">
        <f t="shared" ca="1" si="128"/>
        <v>0</v>
      </c>
      <c r="L653" s="1570">
        <f t="shared" si="131"/>
        <v>0</v>
      </c>
      <c r="M653" s="1967"/>
      <c r="N653" s="1958">
        <f>VLOOKUP($B653,[2]BOLETIM_SEL!$A:$H,3,0)</f>
        <v>38.46</v>
      </c>
      <c r="O653" s="1645">
        <f t="shared" si="130"/>
        <v>0</v>
      </c>
      <c r="Q653" s="832"/>
      <c r="R653" s="832"/>
      <c r="S653" s="832"/>
      <c r="T653" s="832"/>
      <c r="U653" s="832"/>
      <c r="V653" s="832"/>
      <c r="W653" s="832"/>
      <c r="X653" s="832"/>
    </row>
    <row r="654" spans="1:24" s="812" customFormat="1" ht="39.950000000000003" hidden="1" customHeight="1" x14ac:dyDescent="0.15">
      <c r="A654" s="2072">
        <f ca="1">+Orçamento_Não_Deson!A654</f>
        <v>8.0299999999999994</v>
      </c>
      <c r="B654" s="833">
        <f>+Orçamento_Não_Deson!B654</f>
        <v>96392</v>
      </c>
      <c r="C654" s="2" t="str">
        <f>VLOOKUP($B654,[2]BOLETIM_SEL!$A:$H,2,0)</f>
        <v>SINAPI</v>
      </c>
      <c r="D654" s="315" t="str">
        <f>VLOOKUP($B654,[2]BOLETIM_SEL!$A:$H,4,0)</f>
        <v>Execução e compactação de base e ou sub base para pavimentação de solo (predominantemente arenoso) com cimento (teor de 8%) - exclusive solo, escavação, carga e transporte. AF_11/2019</v>
      </c>
      <c r="E654" s="2">
        <f>+Orçamento_Não_Deson!E654</f>
        <v>0</v>
      </c>
      <c r="F654" s="2" t="str">
        <f>VLOOKUP($B654,[2]BOLETIM_SEL!$A:$H,6,0)</f>
        <v>M3</v>
      </c>
      <c r="G654" s="1407">
        <f>VLOOKUP($B654,[2]BOLETIM_SEL!$A:$H,7,0)</f>
        <v>158.82</v>
      </c>
      <c r="H654" s="1608">
        <f>+Orçamento_Não_Deson!H654</f>
        <v>0</v>
      </c>
      <c r="I654" s="876">
        <f t="shared" si="129"/>
        <v>203.55</v>
      </c>
      <c r="J654" s="1607">
        <f t="shared" si="124"/>
        <v>0</v>
      </c>
      <c r="K654" s="2069">
        <f t="shared" ca="1" si="128"/>
        <v>0</v>
      </c>
      <c r="L654" s="1570">
        <f t="shared" si="131"/>
        <v>0</v>
      </c>
      <c r="M654" s="1967"/>
      <c r="N654" s="1958">
        <f>VLOOKUP($B654,[2]BOLETIM_SEL!$A:$H,3,0)</f>
        <v>38.46</v>
      </c>
      <c r="O654" s="1645">
        <f t="shared" si="130"/>
        <v>0</v>
      </c>
      <c r="Q654" s="832"/>
      <c r="R654" s="832"/>
      <c r="S654" s="832"/>
      <c r="T654" s="832"/>
      <c r="U654" s="832"/>
      <c r="V654" s="832"/>
      <c r="W654" s="832"/>
      <c r="X654" s="832"/>
    </row>
    <row r="655" spans="1:24" s="812" customFormat="1" ht="30" customHeight="1" x14ac:dyDescent="0.15">
      <c r="A655" s="2072">
        <f ca="1">+Orçamento_Não_Deson!A655</f>
        <v>8.0399999999999991</v>
      </c>
      <c r="B655" s="833" t="str">
        <f>+Orçamento_Não_Deson!B655</f>
        <v>PA/0025</v>
      </c>
      <c r="C655" s="2" t="str">
        <f>VLOOKUP($B655,[2]BOLETIM_SEL!$A:$H,2,0)</f>
        <v>COMPOSIÇÃO</v>
      </c>
      <c r="D655" s="315" t="str">
        <f>VLOOKUP($B655,[2]BOLETIM_SEL!$A:$H,4,0)</f>
        <v>Imprimação da base, execução e fornecimento de emulsão asfáltica EAI (REF. SINAPI COD. 102470)</v>
      </c>
      <c r="E655" s="2">
        <f>+Orçamento_Não_Deson!E655</f>
        <v>0</v>
      </c>
      <c r="F655" s="2" t="str">
        <f>VLOOKUP($B655,[2]BOLETIM_SEL!$A:$H,6,0)</f>
        <v>M2</v>
      </c>
      <c r="G655" s="1407">
        <f>VLOOKUP($B655,[2]BOLETIM_SEL!$A:$H,7,0)</f>
        <v>5.18</v>
      </c>
      <c r="H655" s="1608">
        <f>+Orçamento_Não_Deson!H655</f>
        <v>12682.57</v>
      </c>
      <c r="I655" s="876">
        <f t="shared" si="129"/>
        <v>6.63</v>
      </c>
      <c r="J655" s="1607">
        <f t="shared" si="124"/>
        <v>84085.43</v>
      </c>
      <c r="K655" s="2069">
        <f t="shared" ca="1" si="128"/>
        <v>2.2255223830269462E-2</v>
      </c>
      <c r="L655" s="1570">
        <f t="shared" si="131"/>
        <v>4.4548909223005931E-2</v>
      </c>
      <c r="M655" s="1968" t="str">
        <f>+Orçamento_Não_Deson!M655</f>
        <v>EAI</v>
      </c>
      <c r="N655" s="1958"/>
      <c r="O655" s="1645"/>
      <c r="Q655" s="832"/>
      <c r="R655" s="832"/>
      <c r="S655" s="832"/>
      <c r="T655" s="832"/>
      <c r="U655" s="832"/>
      <c r="V655" s="832"/>
      <c r="W655" s="832"/>
      <c r="X655" s="832"/>
    </row>
    <row r="656" spans="1:24" s="812" customFormat="1" ht="30" customHeight="1" x14ac:dyDescent="0.15">
      <c r="A656" s="2072">
        <f ca="1">+Orçamento_Não_Deson!A656</f>
        <v>8.0499999999999989</v>
      </c>
      <c r="B656" s="833" t="str">
        <f>+Orçamento_Não_Deson!B656</f>
        <v>PA/0023</v>
      </c>
      <c r="C656" s="2" t="str">
        <f>VLOOKUP($B656,[2]BOLETIM_SEL!$A:$H,2,0)</f>
        <v>COMPOSIÇÃO</v>
      </c>
      <c r="D656" s="315" t="str">
        <f>VLOOKUP($B656,[2]BOLETIM_SEL!$A:$H,4,0)</f>
        <v>Pintura de ligação, execução e fornecimento de emulsão asfáltica RR-1C (ref SINAPI cód 104375)</v>
      </c>
      <c r="E656" s="2">
        <f>+Orçamento_Não_Deson!E656</f>
        <v>0</v>
      </c>
      <c r="F656" s="2" t="str">
        <f>VLOOKUP($B656,[2]BOLETIM_SEL!$A:$H,6,0)</f>
        <v>M2</v>
      </c>
      <c r="G656" s="1407">
        <f>VLOOKUP($B656,[2]BOLETIM_SEL!$A:$H,7,0)</f>
        <v>2.4700000000000002</v>
      </c>
      <c r="H656" s="1608">
        <f>+Orçamento_Não_Deson!H656</f>
        <v>12682.57</v>
      </c>
      <c r="I656" s="876">
        <f t="shared" si="129"/>
        <v>3.16</v>
      </c>
      <c r="J656" s="1607">
        <f t="shared" si="124"/>
        <v>40076.92</v>
      </c>
      <c r="K656" s="2069">
        <f t="shared" ca="1" si="128"/>
        <v>1.0607317165742066E-2</v>
      </c>
      <c r="L656" s="1570">
        <f t="shared" si="131"/>
        <v>2.1232965937352889E-2</v>
      </c>
      <c r="M656" s="1967"/>
      <c r="N656" s="1958"/>
      <c r="O656" s="1645"/>
      <c r="Q656" s="832"/>
      <c r="R656" s="832"/>
      <c r="S656" s="832"/>
      <c r="T656" s="832"/>
      <c r="U656" s="832"/>
      <c r="V656" s="832"/>
      <c r="W656" s="832"/>
      <c r="X656" s="832"/>
    </row>
    <row r="657" spans="1:24" s="812" customFormat="1" ht="30" hidden="1" customHeight="1" x14ac:dyDescent="0.15">
      <c r="A657" s="2072">
        <f ca="1">+Orçamento_Não_Deson!A657</f>
        <v>8.0499999999999989</v>
      </c>
      <c r="B657" s="833" t="str">
        <f>+Orçamento_Não_Deson!B657</f>
        <v>PA/0150</v>
      </c>
      <c r="C657" s="2" t="str">
        <f>VLOOKUP($B657,[2]BOLETIM_SEL!$A:$H,2,0)</f>
        <v>COMPOSIÇÃO</v>
      </c>
      <c r="D657" s="315" t="str">
        <f>VLOOKUP($B657,[2]BOLETIM_SEL!$A:$H,4,0)</f>
        <v>PAVIMENTO COM TRATAMENTO SUPERFICIAL DUPLO, COM EMULSÃO ASFÁLTICA RR-2C (REF. SINAPI COD. 03.PAVI.TSUP.005/01-104389 DB 09-21)</v>
      </c>
      <c r="E657" s="2">
        <f>+Orçamento_Não_Deson!E657</f>
        <v>0</v>
      </c>
      <c r="F657" s="2" t="str">
        <f>VLOOKUP($B657,[2]BOLETIM_SEL!$A:$H,6,0)</f>
        <v>M2</v>
      </c>
      <c r="G657" s="1407">
        <f>VLOOKUP($B657,[2]BOLETIM_SEL!$A:$H,7,0)</f>
        <v>15.86</v>
      </c>
      <c r="H657" s="1608">
        <f>+Orçamento_Não_Deson!H657</f>
        <v>0</v>
      </c>
      <c r="I657" s="876">
        <f t="shared" si="129"/>
        <v>20.32</v>
      </c>
      <c r="J657" s="1607">
        <f t="shared" si="124"/>
        <v>0</v>
      </c>
      <c r="K657" s="2069">
        <f t="shared" ca="1" si="128"/>
        <v>0</v>
      </c>
      <c r="L657" s="1570">
        <f t="shared" si="131"/>
        <v>0</v>
      </c>
      <c r="M657" s="1967"/>
      <c r="N657" s="1958">
        <f>VLOOKUP($B657,[2]BOLETIM_SEL!$A:$H,3,0)</f>
        <v>0</v>
      </c>
      <c r="O657" s="1645" t="e">
        <f t="shared" ref="O657:O665" si="136">+H657/N657</f>
        <v>#DIV/0!</v>
      </c>
      <c r="Q657" s="832"/>
      <c r="R657" s="832"/>
      <c r="S657" s="832"/>
      <c r="T657" s="832"/>
      <c r="U657" s="832"/>
      <c r="V657" s="832"/>
      <c r="W657" s="832"/>
      <c r="X657" s="832"/>
    </row>
    <row r="658" spans="1:24" s="812" customFormat="1" ht="39.950000000000003" hidden="1" customHeight="1" x14ac:dyDescent="0.15">
      <c r="A658" s="2072">
        <f ca="1">+Orçamento_Não_Deson!A658</f>
        <v>8.0499999999999989</v>
      </c>
      <c r="B658" s="833" t="str">
        <f>+Orçamento_Não_Deson!B658</f>
        <v>PA/0035</v>
      </c>
      <c r="C658" s="2" t="str">
        <f>VLOOKUP($B658,[2]BOLETIM_SEL!$A:$H,2,0)</f>
        <v>COMPOSIÇÃO</v>
      </c>
      <c r="D658" s="315" t="str">
        <f>VLOOKUP($B658,[2]BOLETIM_SEL!$A:$H,4,0)</f>
        <v>Capa selante para agulhamento na base, execução e fornecimento de emulsão asfáltica RR-2C. Exclusive transporte (REF. SICRO COD. 4915636)</v>
      </c>
      <c r="E658" s="2">
        <f>+Orçamento_Não_Deson!E658</f>
        <v>0</v>
      </c>
      <c r="F658" s="2" t="str">
        <f>VLOOKUP($B658,[2]BOLETIM_SEL!$A:$H,6,0)</f>
        <v>M2</v>
      </c>
      <c r="G658" s="1407">
        <f>VLOOKUP($B658,[2]BOLETIM_SEL!$A:$H,7,0)</f>
        <v>4.9000000000000004</v>
      </c>
      <c r="H658" s="1608">
        <f>+Orçamento_Não_Deson!H658</f>
        <v>0</v>
      </c>
      <c r="I658" s="876">
        <f t="shared" si="129"/>
        <v>6.28</v>
      </c>
      <c r="J658" s="1607">
        <f t="shared" si="124"/>
        <v>0</v>
      </c>
      <c r="K658" s="2069">
        <f t="shared" ca="1" si="128"/>
        <v>0</v>
      </c>
      <c r="L658" s="1570">
        <f t="shared" si="131"/>
        <v>0</v>
      </c>
      <c r="M658" s="1967"/>
      <c r="N658" s="1958">
        <f>VLOOKUP($B658,[2]BOLETIM_SEL!$A:$H,3,0)</f>
        <v>0</v>
      </c>
      <c r="O658" s="1645" t="e">
        <f t="shared" si="136"/>
        <v>#DIV/0!</v>
      </c>
      <c r="Q658" s="832"/>
      <c r="R658" s="832"/>
      <c r="S658" s="832"/>
      <c r="T658" s="832"/>
      <c r="U658" s="832"/>
      <c r="V658" s="832"/>
      <c r="W658" s="832"/>
      <c r="X658" s="832"/>
    </row>
    <row r="659" spans="1:24" s="812" customFormat="1" ht="39.950000000000003" customHeight="1" x14ac:dyDescent="0.15">
      <c r="A659" s="2072">
        <f ca="1">+Orçamento_Não_Deson!A659</f>
        <v>8.0599999999999987</v>
      </c>
      <c r="B659" s="833" t="str">
        <f>+Orçamento_Não_Deson!B659</f>
        <v>PA/0040</v>
      </c>
      <c r="C659" s="2" t="str">
        <f>VLOOKUP($B659,[2]BOLETIM_SEL!$A:$H,2,0)</f>
        <v>COMPOSIÇÃO</v>
      </c>
      <c r="D659" s="315" t="str">
        <f>VLOOKUP($B659,[2]BOLETIM_SEL!$A:$H,4,0)</f>
        <v>Construção de pavimento com aplicação de concreto betuminoso usinado à quente (CBUQ - faixa C - CAP 30/45 - usina comercial), camada de rolamento, exclusive transporte da mistura (REF. SINAPI COD. 95995)</v>
      </c>
      <c r="E659" s="2">
        <f>+Orçamento_Não_Deson!E659</f>
        <v>0</v>
      </c>
      <c r="F659" s="2" t="str">
        <f>VLOOKUP($B659,[2]BOLETIM_SEL!$A:$H,6,0)</f>
        <v>M3</v>
      </c>
      <c r="G659" s="1407">
        <f>VLOOKUP($B659,[2]BOLETIM_SEL!$A:$H,7,0)</f>
        <v>1618.68</v>
      </c>
      <c r="H659" s="1608">
        <f>+Orçamento_Não_Deson!H659</f>
        <v>439.39</v>
      </c>
      <c r="I659" s="876">
        <f t="shared" si="129"/>
        <v>2074.66</v>
      </c>
      <c r="J659" s="1607">
        <f t="shared" si="124"/>
        <v>911584.85</v>
      </c>
      <c r="K659" s="2069">
        <f t="shared" ca="1" si="128"/>
        <v>0.24127277314313092</v>
      </c>
      <c r="L659" s="1570">
        <f t="shared" si="131"/>
        <v>0.48296251481044311</v>
      </c>
      <c r="M659" s="1968" t="str">
        <f>+Orçamento_Não_Deson!M659</f>
        <v>COMERCIAL</v>
      </c>
      <c r="N659" s="1958">
        <f>VLOOKUP($B659,[2]BOLETIM_SEL!$A:$H,3,0)</f>
        <v>0</v>
      </c>
      <c r="O659" s="1645" t="e">
        <f t="shared" si="136"/>
        <v>#DIV/0!</v>
      </c>
      <c r="Q659" s="832"/>
      <c r="R659" s="832"/>
      <c r="S659" s="832"/>
      <c r="T659" s="832"/>
      <c r="U659" s="832"/>
      <c r="V659" s="832"/>
      <c r="W659" s="832"/>
      <c r="X659" s="832"/>
    </row>
    <row r="660" spans="1:24" s="812" customFormat="1" ht="39.950000000000003" hidden="1" customHeight="1" x14ac:dyDescent="0.15">
      <c r="A660" s="2072">
        <f ca="1">+Orçamento_Não_Deson!A660</f>
        <v>8.0599999999999987</v>
      </c>
      <c r="B660" s="833">
        <f>+Orçamento_Não_Deson!B660</f>
        <v>95995</v>
      </c>
      <c r="C660" s="2" t="str">
        <f>VLOOKUP($B660,[2]BOLETIM_SEL!$A:$H,2,0)</f>
        <v>SINAPI</v>
      </c>
      <c r="D660" s="315" t="str">
        <f>VLOOKUP($B660,[2]BOLETIM_SEL!$A:$H,4,0)</f>
        <v>Construção de pavimento com aplicação de concreto betuminoso usinado à quente (CBUQ - faixa C - CAP 50/70 - usina comercial), camada de rolamento. Exclusive transporte da mistura. Af_11/2019</v>
      </c>
      <c r="E660" s="2">
        <f>+Orçamento_Não_Deson!E660</f>
        <v>0</v>
      </c>
      <c r="F660" s="2" t="str">
        <f>VLOOKUP($B660,[2]BOLETIM_SEL!$A:$H,6,0)</f>
        <v>M3</v>
      </c>
      <c r="G660" s="1407">
        <f>VLOOKUP($B660,[2]BOLETIM_SEL!$A:$H,7,0)</f>
        <v>1647.93</v>
      </c>
      <c r="H660" s="1608">
        <f>+Orçamento_Não_Deson!H660</f>
        <v>0</v>
      </c>
      <c r="I660" s="876">
        <f t="shared" si="129"/>
        <v>2112.15</v>
      </c>
      <c r="J660" s="1607">
        <f t="shared" si="124"/>
        <v>0</v>
      </c>
      <c r="K660" s="2069">
        <f t="shared" ca="1" si="128"/>
        <v>0</v>
      </c>
      <c r="L660" s="1570">
        <f t="shared" si="131"/>
        <v>0</v>
      </c>
      <c r="M660" s="1968" t="str">
        <f>+Orçamento_Não_Deson!M660</f>
        <v>COMERCIAL</v>
      </c>
      <c r="N660" s="1958">
        <f>VLOOKUP($B660,[2]BOLETIM_SEL!$A:$H,3,0)</f>
        <v>0</v>
      </c>
      <c r="O660" s="1645" t="e">
        <f t="shared" si="136"/>
        <v>#DIV/0!</v>
      </c>
      <c r="Q660" s="832"/>
      <c r="R660" s="832"/>
      <c r="S660" s="832"/>
      <c r="T660" s="832"/>
      <c r="U660" s="832"/>
      <c r="V660" s="832"/>
      <c r="W660" s="832"/>
      <c r="X660" s="832"/>
    </row>
    <row r="661" spans="1:24" s="812" customFormat="1" ht="39.950000000000003" hidden="1" customHeight="1" x14ac:dyDescent="0.15">
      <c r="A661" s="2072">
        <f ca="1">+Orçamento_Não_Deson!A661</f>
        <v>8.0599999999999987</v>
      </c>
      <c r="B661" s="833" t="str">
        <f>+Orçamento_Não_Deson!B661</f>
        <v>PA/0045</v>
      </c>
      <c r="C661" s="2" t="str">
        <f>VLOOKUP($B661,[2]BOLETIM_SEL!$A:$H,2,0)</f>
        <v>COMPOSIÇÃO</v>
      </c>
      <c r="D661" s="315" t="str">
        <f>VLOOKUP($B661,[2]BOLETIM_SEL!$A:$H,4,0)</f>
        <v>Construção de pavimento com aplicação de concreto betuminoso usinado à quente modificado por polímero elastomérico - CBUQ (p) - CAP 60-85-E - FAIXA "C", camada de rolamento. Exclusive transporte da mistura (REF. SINAPI COD. 95995)</v>
      </c>
      <c r="E661" s="2">
        <f>+Orçamento_Não_Deson!E661</f>
        <v>0</v>
      </c>
      <c r="F661" s="2" t="str">
        <f>VLOOKUP($B661,[2]BOLETIM_SEL!$A:$H,6,0)</f>
        <v>M3</v>
      </c>
      <c r="G661" s="1407">
        <f>VLOOKUP($B661,[2]BOLETIM_SEL!$A:$H,7,0)</f>
        <v>1870.35</v>
      </c>
      <c r="H661" s="1608">
        <f>+Orçamento_Não_Deson!H661</f>
        <v>0</v>
      </c>
      <c r="I661" s="876">
        <f t="shared" si="129"/>
        <v>2397.2199999999998</v>
      </c>
      <c r="J661" s="1607">
        <f t="shared" si="124"/>
        <v>0</v>
      </c>
      <c r="K661" s="2069">
        <f t="shared" ca="1" si="128"/>
        <v>0</v>
      </c>
      <c r="L661" s="1570">
        <f t="shared" si="131"/>
        <v>0</v>
      </c>
      <c r="M661" s="1967"/>
      <c r="N661" s="1958">
        <f>VLOOKUP($B661,[2]BOLETIM_SEL!$A:$H,3,0)</f>
        <v>0</v>
      </c>
      <c r="O661" s="1645" t="e">
        <f t="shared" si="136"/>
        <v>#DIV/0!</v>
      </c>
      <c r="Q661" s="832"/>
      <c r="R661" s="832"/>
      <c r="S661" s="832"/>
      <c r="T661" s="832"/>
      <c r="U661" s="832"/>
      <c r="V661" s="832"/>
      <c r="W661" s="832"/>
      <c r="X661" s="832"/>
    </row>
    <row r="662" spans="1:24" s="812" customFormat="1" ht="39.950000000000003" hidden="1" customHeight="1" x14ac:dyDescent="0.15">
      <c r="A662" s="2072">
        <f ca="1">+Orçamento_Não_Deson!A662</f>
        <v>8.0599999999999987</v>
      </c>
      <c r="B662" s="833" t="str">
        <f>+Orçamento_Não_Deson!B662</f>
        <v>PA/0055</v>
      </c>
      <c r="C662" s="2" t="str">
        <f>VLOOKUP($B662,[2]BOLETIM_SEL!$A:$H,2,0)</f>
        <v>COMPOSIÇÃO</v>
      </c>
      <c r="D662" s="315" t="str">
        <f>VLOOKUP($B662,[2]BOLETIM_SEL!$A:$H,4,0)</f>
        <v>Execução de pré-misturado a frio - PMF, faixa C (semidenso), com emulsão asfáltica RL-1C, para revestimento, aplicação com vibroacabadora. Exclusive transporte</v>
      </c>
      <c r="E662" s="2">
        <f>+Orçamento_Não_Deson!E662</f>
        <v>0</v>
      </c>
      <c r="F662" s="2" t="str">
        <f>VLOOKUP($B662,[2]BOLETIM_SEL!$A:$H,6,0)</f>
        <v>M3</v>
      </c>
      <c r="G662" s="1407"/>
      <c r="H662" s="1608">
        <f>+Orçamento_Não_Deson!H662</f>
        <v>0</v>
      </c>
      <c r="I662" s="2180">
        <f t="shared" si="129"/>
        <v>0</v>
      </c>
      <c r="J662" s="2181">
        <f t="shared" si="124"/>
        <v>0</v>
      </c>
      <c r="K662" s="2182">
        <f t="shared" ca="1" si="128"/>
        <v>0</v>
      </c>
      <c r="L662" s="2368">
        <f t="shared" si="131"/>
        <v>0</v>
      </c>
      <c r="M662" s="1967"/>
      <c r="N662" s="1958">
        <f>VLOOKUP($B662,[2]BOLETIM_SEL!$A:$H,3,0)</f>
        <v>0</v>
      </c>
      <c r="O662" s="1645" t="e">
        <f t="shared" si="136"/>
        <v>#DIV/0!</v>
      </c>
      <c r="Q662" s="832"/>
      <c r="R662" s="832"/>
      <c r="S662" s="832"/>
      <c r="T662" s="832"/>
      <c r="U662" s="832"/>
      <c r="V662" s="832"/>
      <c r="W662" s="832"/>
      <c r="X662" s="832"/>
    </row>
    <row r="663" spans="1:24" s="812" customFormat="1" ht="30" hidden="1" customHeight="1" x14ac:dyDescent="0.15">
      <c r="A663" s="2072">
        <f ca="1">+Orçamento_Não_Deson!A663</f>
        <v>8.0599999999999987</v>
      </c>
      <c r="B663" s="833">
        <f>+Orçamento_Não_Deson!B663</f>
        <v>92404</v>
      </c>
      <c r="C663" s="2" t="str">
        <f>VLOOKUP($B663,[2]BOLETIM_SEL!$A:$H,2,0)</f>
        <v>SINAPI</v>
      </c>
      <c r="D663" s="315" t="str">
        <f>VLOOKUP($B663,[2]BOLETIM_SEL!$A:$H,4,0)</f>
        <v>Execução de pavimento em piso intertravado, com bloco 16 faces de 22 x 11 cm, espessura 8 cm. AF_10/2022</v>
      </c>
      <c r="E663" s="2">
        <f>+Orçamento_Não_Deson!E663</f>
        <v>0</v>
      </c>
      <c r="F663" s="2" t="str">
        <f>VLOOKUP($B663,[2]BOLETIM_SEL!$A:$H,6,0)</f>
        <v>M2</v>
      </c>
      <c r="G663" s="1407">
        <f>VLOOKUP($B663,[2]BOLETIM_SEL!$A:$H,7,0)</f>
        <v>76.290000000000006</v>
      </c>
      <c r="H663" s="1608">
        <f>+Orçamento_Não_Deson!H663</f>
        <v>0</v>
      </c>
      <c r="I663" s="876">
        <f t="shared" si="129"/>
        <v>97.78</v>
      </c>
      <c r="J663" s="1607">
        <f t="shared" si="124"/>
        <v>0</v>
      </c>
      <c r="K663" s="2069">
        <f t="shared" ca="1" si="128"/>
        <v>0</v>
      </c>
      <c r="L663" s="1570">
        <f t="shared" si="131"/>
        <v>0</v>
      </c>
      <c r="M663" s="1967"/>
      <c r="N663" s="1958">
        <f>VLOOKUP($B663,[2]BOLETIM_SEL!$A:$H,3,0)</f>
        <v>0</v>
      </c>
      <c r="O663" s="1645" t="e">
        <f t="shared" si="136"/>
        <v>#DIV/0!</v>
      </c>
      <c r="Q663" s="832"/>
      <c r="R663" s="832"/>
      <c r="S663" s="832"/>
      <c r="T663" s="832"/>
      <c r="U663" s="832"/>
      <c r="V663" s="832"/>
      <c r="W663" s="832"/>
      <c r="X663" s="832"/>
    </row>
    <row r="664" spans="1:24" s="812" customFormat="1" ht="30" hidden="1" customHeight="1" x14ac:dyDescent="0.15">
      <c r="A664" s="2072">
        <f ca="1">+Orçamento_Não_Deson!A664</f>
        <v>8.0599999999999987</v>
      </c>
      <c r="B664" s="833">
        <f>+Orçamento_Não_Deson!B664</f>
        <v>92406</v>
      </c>
      <c r="C664" s="2" t="str">
        <f>VLOOKUP($B664,[2]BOLETIM_SEL!$A:$H,2,0)</f>
        <v>SINAPI</v>
      </c>
      <c r="D664" s="315" t="str">
        <f>VLOOKUP($B664,[2]BOLETIM_SEL!$A:$H,4,0)</f>
        <v>Execução de pavimento em piso intertravado, com bloco 16 faces de 22 x 11 cm, espessura 10 cm. AF_10/2022</v>
      </c>
      <c r="E664" s="2">
        <f>+Orçamento_Não_Deson!E664</f>
        <v>0</v>
      </c>
      <c r="F664" s="2" t="str">
        <f>VLOOKUP($B664,[2]BOLETIM_SEL!$A:$H,6,0)</f>
        <v>M2</v>
      </c>
      <c r="G664" s="1407">
        <f>VLOOKUP($B664,[2]BOLETIM_SEL!$A:$H,7,0)</f>
        <v>91.4</v>
      </c>
      <c r="H664" s="1608">
        <f>+Orçamento_Não_Deson!H664</f>
        <v>0</v>
      </c>
      <c r="I664" s="876">
        <f t="shared" si="129"/>
        <v>117.14</v>
      </c>
      <c r="J664" s="1607">
        <f t="shared" si="124"/>
        <v>0</v>
      </c>
      <c r="K664" s="2069">
        <f t="shared" ca="1" si="128"/>
        <v>0</v>
      </c>
      <c r="L664" s="1570">
        <f t="shared" si="131"/>
        <v>0</v>
      </c>
      <c r="M664" s="1967"/>
      <c r="N664" s="1958">
        <f>VLOOKUP($B664,[2]BOLETIM_SEL!$A:$H,3,0)</f>
        <v>0</v>
      </c>
      <c r="O664" s="1645" t="e">
        <f t="shared" si="136"/>
        <v>#DIV/0!</v>
      </c>
      <c r="Q664" s="832"/>
      <c r="R664" s="832"/>
      <c r="S664" s="832"/>
      <c r="T664" s="832"/>
      <c r="U664" s="832"/>
      <c r="V664" s="832"/>
      <c r="W664" s="832"/>
      <c r="X664" s="832"/>
    </row>
    <row r="665" spans="1:24" s="812" customFormat="1" ht="30" hidden="1" customHeight="1" x14ac:dyDescent="0.15">
      <c r="A665" s="2072">
        <f ca="1">+Orçamento_Não_Deson!A665</f>
        <v>8.0599999999999987</v>
      </c>
      <c r="B665" s="833">
        <f>+Orçamento_Não_Deson!B665</f>
        <v>92404</v>
      </c>
      <c r="C665" s="2" t="str">
        <f>VLOOKUP($B665,[2]BOLETIM_SEL!$A:$H,2,0)</f>
        <v>SINAPI</v>
      </c>
      <c r="D665" s="315" t="str">
        <f>VLOOKUP($B665,[2]BOLETIM_SEL!$A:$H,4,0)</f>
        <v>Execução de pavimento em piso intertravado, com bloco 16 faces de 22 x 11 cm, espessura 8 cm. AF_10/2022</v>
      </c>
      <c r="E665" s="2">
        <f>+Orçamento_Não_Deson!E665</f>
        <v>0</v>
      </c>
      <c r="F665" s="2" t="str">
        <f>VLOOKUP($B665,[2]BOLETIM_SEL!$A:$H,6,0)</f>
        <v>M2</v>
      </c>
      <c r="G665" s="1407">
        <f>VLOOKUP($B665,[2]BOLETIM_SEL!$A:$H,7,0)</f>
        <v>76.290000000000006</v>
      </c>
      <c r="H665" s="1608">
        <f>+Orçamento_Não_Deson!H665</f>
        <v>0</v>
      </c>
      <c r="I665" s="876">
        <f t="shared" si="129"/>
        <v>97.78</v>
      </c>
      <c r="J665" s="1607">
        <f t="shared" si="124"/>
        <v>0</v>
      </c>
      <c r="K665" s="2069">
        <f t="shared" ca="1" si="128"/>
        <v>0</v>
      </c>
      <c r="L665" s="1570">
        <f t="shared" si="131"/>
        <v>0</v>
      </c>
      <c r="M665" s="1967"/>
      <c r="N665" s="1958">
        <f>VLOOKUP($B665,[2]BOLETIM_SEL!$A:$H,3,0)</f>
        <v>0</v>
      </c>
      <c r="O665" s="1645" t="e">
        <f t="shared" si="136"/>
        <v>#DIV/0!</v>
      </c>
      <c r="Q665" s="832"/>
      <c r="R665" s="832"/>
      <c r="S665" s="832"/>
      <c r="T665" s="832"/>
      <c r="U665" s="832"/>
      <c r="V665" s="832"/>
      <c r="W665" s="832"/>
      <c r="X665" s="832"/>
    </row>
    <row r="666" spans="1:24" s="812" customFormat="1" ht="30" hidden="1" customHeight="1" x14ac:dyDescent="0.15">
      <c r="A666" s="2072">
        <f ca="1">+Orçamento_Não_Deson!A666</f>
        <v>8.0599999999999987</v>
      </c>
      <c r="B666" s="833">
        <f>+Orçamento_Não_Deson!B666</f>
        <v>92406</v>
      </c>
      <c r="C666" s="2" t="str">
        <f>VLOOKUP($B666,[2]BOLETIM_SEL!$A:$H,2,0)</f>
        <v>SINAPI</v>
      </c>
      <c r="D666" s="315" t="str">
        <f>VLOOKUP($B666,[2]BOLETIM_SEL!$A:$H,4,0)</f>
        <v>Execução de pavimento em piso intertravado, com bloco 16 faces de 22 x 11 cm, espessura 10 cm. AF_10/2022</v>
      </c>
      <c r="E666" s="2">
        <f>+Orçamento_Não_Deson!E666</f>
        <v>0</v>
      </c>
      <c r="F666" s="2" t="str">
        <f>VLOOKUP($B666,[2]BOLETIM_SEL!$A:$H,6,0)</f>
        <v>M2</v>
      </c>
      <c r="G666" s="1407">
        <f>VLOOKUP($B666,[2]BOLETIM_SEL!$A:$H,7,0)</f>
        <v>91.4</v>
      </c>
      <c r="H666" s="1608">
        <f>+Orçamento_Não_Deson!H666</f>
        <v>0</v>
      </c>
      <c r="I666" s="876">
        <f t="shared" si="129"/>
        <v>117.14</v>
      </c>
      <c r="J666" s="1607">
        <f t="shared" si="124"/>
        <v>0</v>
      </c>
      <c r="K666" s="2069">
        <f t="shared" ca="1" si="128"/>
        <v>0</v>
      </c>
      <c r="L666" s="1570">
        <f t="shared" si="131"/>
        <v>0</v>
      </c>
      <c r="M666" s="1967"/>
      <c r="N666" s="832"/>
      <c r="O666" s="832"/>
      <c r="Q666" s="832"/>
      <c r="R666" s="832"/>
      <c r="S666" s="832"/>
      <c r="T666" s="832"/>
      <c r="U666" s="832"/>
      <c r="V666" s="832"/>
      <c r="W666" s="832"/>
      <c r="X666" s="832"/>
    </row>
    <row r="667" spans="1:24" s="812" customFormat="1" ht="50.1" customHeight="1" x14ac:dyDescent="0.15">
      <c r="A667" s="2072">
        <f ca="1">+Orçamento_Não_Deson!A667</f>
        <v>8.0699999999999985</v>
      </c>
      <c r="B667" s="833">
        <f>+Orçamento_Não_Deson!B667</f>
        <v>101230</v>
      </c>
      <c r="C667" s="2" t="str">
        <f>VLOOKUP($B667,[2]BOLETIM_SEL!$A:$H,2,0)</f>
        <v>SINAPI</v>
      </c>
      <c r="D667" s="315" t="str">
        <f>VLOOKUP($B667,[2]BOLETIM_SEL!$A:$H,4,0)</f>
        <v>Escavação vertical a céu aberto, em obras de infraestrutura, incluindo carga, descarga e transporte, em solo de 1a categoria com escavadeira hidráulica (caçamba: 0,80 m3 / 111 HP), frota de 3 caminhões basculantes de 14 m3, DMT até 1 km e velocidade média 14 km/h. AF_05/2020</v>
      </c>
      <c r="E667" s="2">
        <f>+Orçamento_Não_Deson!E667</f>
        <v>0</v>
      </c>
      <c r="F667" s="2" t="str">
        <f>VLOOKUP($B667,[2]BOLETIM_SEL!$A:$H,6,0)</f>
        <v>M3</v>
      </c>
      <c r="G667" s="1407">
        <f>VLOOKUP($B667,[2]BOLETIM_SEL!$A:$H,7,0)</f>
        <v>10.59</v>
      </c>
      <c r="H667" s="1608">
        <f>+Orçamento_Não_Deson!H667</f>
        <v>2708.72</v>
      </c>
      <c r="I667" s="876">
        <f t="shared" si="129"/>
        <v>13.57</v>
      </c>
      <c r="J667" s="1607">
        <f t="shared" si="124"/>
        <v>36757.33</v>
      </c>
      <c r="K667" s="2069">
        <f t="shared" ca="1" si="128"/>
        <v>9.7287081311599258E-3</v>
      </c>
      <c r="L667" s="1570">
        <f t="shared" si="131"/>
        <v>1.9474229452713421E-2</v>
      </c>
      <c r="M667" s="1967"/>
      <c r="N667" s="832"/>
      <c r="O667" s="832"/>
      <c r="Q667" s="832"/>
      <c r="R667" s="832"/>
      <c r="S667" s="832"/>
      <c r="T667" s="832"/>
      <c r="U667" s="832"/>
      <c r="V667" s="832"/>
      <c r="W667" s="832"/>
      <c r="X667" s="832"/>
    </row>
    <row r="668" spans="1:24" s="812" customFormat="1" ht="39.950000000000003" hidden="1" customHeight="1" x14ac:dyDescent="0.15">
      <c r="A668" s="2072">
        <f ca="1">+Orçamento_Não_Deson!A668</f>
        <v>8.0699999999999985</v>
      </c>
      <c r="B668" s="833">
        <f>+Orçamento_Não_Deson!B668</f>
        <v>6079</v>
      </c>
      <c r="C668" s="2" t="str">
        <f>VLOOKUP($B668,[2]BOLETIM_SEL!$A:$H,2,0)</f>
        <v>COTAÇÃO - SINAPI</v>
      </c>
      <c r="D668" s="315" t="str">
        <f>VLOOKUP($B668,[2]BOLETIM_SEL!$A:$H,4,0)</f>
        <v>Argila, argila vermelha ou argila arenosa (retirada na jazida, sem transporte)</v>
      </c>
      <c r="E668" s="2221" t="str">
        <f>+Orçamento_Não_Deson!E668</f>
        <v>BDI insumo</v>
      </c>
      <c r="F668" s="2" t="str">
        <f>VLOOKUP($B668,[2]BOLETIM_SEL!$A:$H,6,0)</f>
        <v xml:space="preserve">M3    </v>
      </c>
      <c r="G668" s="1407">
        <f>VLOOKUP($B668,[2]BOLETIM_SEL!$A:$H,7,0)</f>
        <v>36.51</v>
      </c>
      <c r="H668" s="1608">
        <f>+Orçamento_Não_Deson!H668</f>
        <v>0</v>
      </c>
      <c r="I668" s="2100">
        <f t="shared" ref="I668:I670" si="137">TRUNC(G668*(1+$J$6),2)</f>
        <v>42.08</v>
      </c>
      <c r="J668" s="1607">
        <f t="shared" si="124"/>
        <v>0</v>
      </c>
      <c r="K668" s="2069">
        <f t="shared" ca="1" si="128"/>
        <v>0</v>
      </c>
      <c r="L668" s="1570">
        <f t="shared" si="131"/>
        <v>0</v>
      </c>
      <c r="M668" s="1968" t="str">
        <f>+Orçamento_Não_Deson!M668</f>
        <v>LOCAL</v>
      </c>
      <c r="N668" s="832"/>
      <c r="O668" s="832"/>
      <c r="Q668" s="832"/>
      <c r="R668" s="832"/>
      <c r="S668" s="832"/>
      <c r="T668" s="832"/>
      <c r="U668" s="832"/>
      <c r="V668" s="832"/>
      <c r="W668" s="832"/>
      <c r="X668" s="832"/>
    </row>
    <row r="669" spans="1:24" s="812" customFormat="1" ht="39.950000000000003" hidden="1" customHeight="1" x14ac:dyDescent="0.15">
      <c r="A669" s="2072">
        <f ca="1">+Orçamento_Não_Deson!A669</f>
        <v>8.0699999999999985</v>
      </c>
      <c r="B669" s="833">
        <f>+Orçamento_Não_Deson!B669</f>
        <v>4743</v>
      </c>
      <c r="C669" s="2" t="str">
        <f>VLOOKUP($B669,[2]BOLETIM_SEL!$A:$H,2,0)</f>
        <v>COTAÇÃO - SINAPI</v>
      </c>
      <c r="D669" s="315" t="str">
        <f>VLOOKUP($B669,[2]BOLETIM_SEL!$A:$H,4,0)</f>
        <v>Cascalho de cava</v>
      </c>
      <c r="E669" s="2221" t="str">
        <f>+Orçamento_Não_Deson!E669</f>
        <v>BDI insumo</v>
      </c>
      <c r="F669" s="2" t="str">
        <f>VLOOKUP($B669,[2]BOLETIM_SEL!$A:$H,6,0)</f>
        <v xml:space="preserve">M3    </v>
      </c>
      <c r="G669" s="1407">
        <f>VLOOKUP($B669,[2]BOLETIM_SEL!$A:$H,7,0)</f>
        <v>60.9</v>
      </c>
      <c r="H669" s="1608">
        <f>+Orçamento_Não_Deson!H669</f>
        <v>0</v>
      </c>
      <c r="I669" s="2100">
        <f t="shared" si="137"/>
        <v>70.2</v>
      </c>
      <c r="J669" s="1607">
        <f t="shared" si="124"/>
        <v>0</v>
      </c>
      <c r="K669" s="2069">
        <f t="shared" ca="1" si="128"/>
        <v>0</v>
      </c>
      <c r="L669" s="1570">
        <f t="shared" si="131"/>
        <v>0</v>
      </c>
      <c r="M669" s="1968" t="str">
        <f>+Orçamento_Não_Deson!M669</f>
        <v>LOCAL</v>
      </c>
      <c r="N669" s="832"/>
      <c r="O669" s="832"/>
      <c r="Q669" s="832"/>
      <c r="R669" s="832"/>
      <c r="S669" s="832"/>
      <c r="T669" s="832"/>
      <c r="U669" s="832"/>
      <c r="V669" s="832"/>
      <c r="W669" s="832"/>
      <c r="X669" s="832"/>
    </row>
    <row r="670" spans="1:24" s="812" customFormat="1" ht="39.950000000000003" hidden="1" customHeight="1" x14ac:dyDescent="0.15">
      <c r="A670" s="2072">
        <f ca="1">+Orçamento_Não_Deson!A670</f>
        <v>8.0699999999999985</v>
      </c>
      <c r="B670" s="833">
        <f>+Orçamento_Não_Deson!B670</f>
        <v>4721</v>
      </c>
      <c r="C670" s="2" t="str">
        <f>VLOOKUP($B670,[2]BOLETIM_SEL!$A:$H,2,0)</f>
        <v>COTAÇÃO - SINAPI</v>
      </c>
      <c r="D670" s="315" t="str">
        <f>VLOOKUP($B670,[2]BOLETIM_SEL!$A:$H,4,0)</f>
        <v>Pedra britada n. 1 (9,5 A 19 mm) posto pedreira/fornecedor, sem frete</v>
      </c>
      <c r="E670" s="2221" t="str">
        <f>+Orçamento_Não_Deson!E670</f>
        <v>BDI insumo</v>
      </c>
      <c r="F670" s="2" t="str">
        <f>VLOOKUP($B670,[2]BOLETIM_SEL!$A:$H,6,0)</f>
        <v xml:space="preserve">M3    </v>
      </c>
      <c r="G670" s="1407">
        <f>VLOOKUP($B670,[2]BOLETIM_SEL!$A:$H,7,0)</f>
        <v>104.45</v>
      </c>
      <c r="H670" s="1608">
        <f>+Orçamento_Não_Deson!H670</f>
        <v>0</v>
      </c>
      <c r="I670" s="2100">
        <f t="shared" si="137"/>
        <v>120.4</v>
      </c>
      <c r="J670" s="1607">
        <f t="shared" si="124"/>
        <v>0</v>
      </c>
      <c r="K670" s="2069">
        <f t="shared" ca="1" si="128"/>
        <v>0</v>
      </c>
      <c r="L670" s="1570">
        <f t="shared" si="131"/>
        <v>0</v>
      </c>
      <c r="M670" s="1967"/>
      <c r="N670" s="832"/>
      <c r="O670" s="832"/>
      <c r="Q670" s="832"/>
      <c r="R670" s="832"/>
      <c r="S670" s="832"/>
      <c r="T670" s="832"/>
      <c r="U670" s="832"/>
      <c r="V670" s="832"/>
      <c r="W670" s="832"/>
      <c r="X670" s="832"/>
    </row>
    <row r="671" spans="1:24" s="812" customFormat="1" ht="39.950000000000003" customHeight="1" x14ac:dyDescent="0.15">
      <c r="A671" s="2072">
        <f ca="1">+Orçamento_Não_Deson!A671</f>
        <v>8.0799999999999983</v>
      </c>
      <c r="B671" s="833">
        <f>+Orçamento_Não_Deson!B671</f>
        <v>4748</v>
      </c>
      <c r="C671" s="2" t="str">
        <f>VLOOKUP($B671,[2]BOLETIM_SEL!$A:$H,2,0)</f>
        <v>COTAÇÃO - SINAPI</v>
      </c>
      <c r="D671" s="315" t="str">
        <f>VLOOKUP($B671,[2]BOLETIM_SEL!$A:$H,4,0)</f>
        <v>Pedra britada ou bica corrida, não classificada (posto pedreira/fornecedor, sem frete)</v>
      </c>
      <c r="E671" s="2221" t="str">
        <f>+Orçamento_Não_Deson!E671</f>
        <v>BDI insumo</v>
      </c>
      <c r="F671" s="2" t="str">
        <f>VLOOKUP($B671,[2]BOLETIM_SEL!$A:$H,6,0)</f>
        <v xml:space="preserve">M3    </v>
      </c>
      <c r="G671" s="1407">
        <f>VLOOKUP($B671,[2]BOLETIM_SEL!$A:$H,7,0)</f>
        <v>96.47</v>
      </c>
      <c r="H671" s="1608">
        <f>+Orçamento_Não_Deson!H671</f>
        <v>3399.31</v>
      </c>
      <c r="I671" s="2100">
        <f>TRUNC(G671*(1+$J$6),2)</f>
        <v>111.21</v>
      </c>
      <c r="J671" s="1607">
        <f t="shared" si="124"/>
        <v>378037.26</v>
      </c>
      <c r="K671" s="2069">
        <f t="shared" ca="1" si="128"/>
        <v>0.10005661905376204</v>
      </c>
      <c r="L671" s="1570">
        <f t="shared" si="131"/>
        <v>0.20028615633711919</v>
      </c>
      <c r="M671" s="1967"/>
      <c r="N671" s="832"/>
      <c r="O671" s="832"/>
      <c r="Q671" s="832"/>
      <c r="R671" s="832"/>
      <c r="S671" s="832"/>
      <c r="T671" s="832"/>
      <c r="U671" s="832"/>
      <c r="V671" s="832"/>
      <c r="W671" s="832"/>
      <c r="X671" s="832"/>
    </row>
    <row r="672" spans="1:24" s="812" customFormat="1" ht="39.950000000000003" hidden="1" customHeight="1" x14ac:dyDescent="0.15">
      <c r="A672" s="2072">
        <f ca="1">+Orçamento_Não_Deson!A672</f>
        <v>8.0799999999999983</v>
      </c>
      <c r="B672" s="833">
        <f>+Orçamento_Não_Deson!B672</f>
        <v>4729</v>
      </c>
      <c r="C672" s="2" t="str">
        <f>VLOOKUP($B672,[2]BOLETIM_SEL!$A:$H,2,0)</f>
        <v>COTAÇÃO - SINAPI</v>
      </c>
      <c r="D672" s="315" t="str">
        <f>VLOOKUP($B672,[2]BOLETIM_SEL!$A:$H,4,0)</f>
        <v>Pedra britada graduada, classificada (posto pedreira/fornecedor, sem frete)</v>
      </c>
      <c r="E672" s="2221" t="str">
        <f>+Orçamento_Não_Deson!E672</f>
        <v>BDI insumo</v>
      </c>
      <c r="F672" s="2" t="str">
        <f>VLOOKUP($B672,[2]BOLETIM_SEL!$A:$H,6,0)</f>
        <v xml:space="preserve">M3    </v>
      </c>
      <c r="G672" s="1407">
        <f>VLOOKUP($B672,[2]BOLETIM_SEL!$A:$H,7,0)</f>
        <v>105.24</v>
      </c>
      <c r="H672" s="1608">
        <f>+Orçamento_Não_Deson!H672</f>
        <v>0</v>
      </c>
      <c r="I672" s="2100">
        <f>TRUNC(G672*(1+$J$6),2)</f>
        <v>121.32</v>
      </c>
      <c r="J672" s="1607">
        <f t="shared" si="124"/>
        <v>0</v>
      </c>
      <c r="K672" s="2069">
        <f t="shared" ca="1" si="128"/>
        <v>0</v>
      </c>
      <c r="L672" s="1570">
        <f t="shared" si="131"/>
        <v>0</v>
      </c>
      <c r="M672" s="1967"/>
      <c r="N672" s="832"/>
      <c r="O672" s="832"/>
      <c r="Q672" s="832"/>
      <c r="R672" s="832"/>
      <c r="S672" s="832"/>
      <c r="T672" s="832"/>
      <c r="U672" s="832"/>
      <c r="V672" s="832"/>
      <c r="W672" s="832"/>
      <c r="X672" s="832"/>
    </row>
    <row r="673" spans="1:24" s="812" customFormat="1" ht="39.950000000000003" hidden="1" customHeight="1" x14ac:dyDescent="0.15">
      <c r="A673" s="2072">
        <f ca="1">+Orçamento_Não_Deson!A673</f>
        <v>8.0799999999999983</v>
      </c>
      <c r="B673" s="833">
        <f>+Orçamento_Não_Deson!B673</f>
        <v>100978</v>
      </c>
      <c r="C673" s="2" t="str">
        <f>VLOOKUP($B673,[2]BOLETIM_SEL!$A:$H,2,0)</f>
        <v>SINAPI</v>
      </c>
      <c r="D673" s="315" t="str">
        <f>VLOOKUP($B673,[2]BOLETIM_SEL!$A:$H,4,0)</f>
        <v>Carga, manobra e descarga de solos e materiais granulares em caminhão basculante 10 m3 - carga com escavadeira hidráulica (capacidade da caçamba: 1,20 m3 / potência: 155 HP) e descarga livre (unidade: m3). AF_07/2020</v>
      </c>
      <c r="E673" s="2">
        <f>+Orçamento_Não_Deson!E673</f>
        <v>0</v>
      </c>
      <c r="F673" s="2" t="str">
        <f>VLOOKUP($B673,[2]BOLETIM_SEL!$A:$H,6,0)</f>
        <v>M3</v>
      </c>
      <c r="G673" s="1407">
        <f>VLOOKUP($B673,[2]BOLETIM_SEL!$A:$H,7,0)</f>
        <v>6.56</v>
      </c>
      <c r="H673" s="1608">
        <f>+Orçamento_Não_Deson!H673</f>
        <v>0</v>
      </c>
      <c r="I673" s="876">
        <f>+TRUNC(G673*(1+$J$5),2)</f>
        <v>8.4</v>
      </c>
      <c r="J673" s="1607">
        <f t="shared" si="124"/>
        <v>0</v>
      </c>
      <c r="K673" s="2069">
        <f t="shared" ca="1" si="128"/>
        <v>0</v>
      </c>
      <c r="L673" s="1570">
        <f t="shared" si="131"/>
        <v>0</v>
      </c>
      <c r="M673" s="1968" t="str">
        <f>+Orçamento_Não_Deson!M673</f>
        <v>ESCAVADEIRA</v>
      </c>
      <c r="N673" s="832"/>
      <c r="O673" s="832"/>
      <c r="Q673" s="832"/>
      <c r="R673" s="832"/>
      <c r="S673" s="832"/>
      <c r="T673" s="832"/>
      <c r="U673" s="832"/>
      <c r="V673" s="832"/>
      <c r="W673" s="832"/>
      <c r="X673" s="832"/>
    </row>
    <row r="674" spans="1:24" s="812" customFormat="1" ht="39.950000000000003" hidden="1" customHeight="1" x14ac:dyDescent="0.15">
      <c r="A674" s="2072">
        <f ca="1">+Orçamento_Não_Deson!A674</f>
        <v>8.0799999999999983</v>
      </c>
      <c r="B674" s="833">
        <f>+Orçamento_Não_Deson!B674</f>
        <v>100979</v>
      </c>
      <c r="C674" s="2" t="str">
        <f>VLOOKUP($B674,[2]BOLETIM_SEL!$A:$H,2,0)</f>
        <v>SINAPI</v>
      </c>
      <c r="D674" s="315" t="str">
        <f>VLOOKUP($B674,[2]BOLETIM_SEL!$A:$H,4,0)</f>
        <v>Carga, manobra e descarga de solos e materiais granulares em caminhão basculante 14 m3 - carga com escavadeira hidráulica (capacidade da caçamba: 1,20 m3 / potência: 155 HP) e descarga livre (unidade: m3). AF_07/2020</v>
      </c>
      <c r="E674" s="2">
        <f>+Orçamento_Não_Deson!E674</f>
        <v>0</v>
      </c>
      <c r="F674" s="2" t="str">
        <f>VLOOKUP($B674,[2]BOLETIM_SEL!$A:$H,6,0)</f>
        <v>M3</v>
      </c>
      <c r="G674" s="1407">
        <f>VLOOKUP($B674,[2]BOLETIM_SEL!$A:$H,7,0)</f>
        <v>6.35</v>
      </c>
      <c r="H674" s="1608">
        <f>+Orçamento_Não_Deson!H674</f>
        <v>0</v>
      </c>
      <c r="I674" s="876">
        <f>+TRUNC(G674*(1+$J$5),2)</f>
        <v>8.1300000000000008</v>
      </c>
      <c r="J674" s="1607">
        <f t="shared" si="124"/>
        <v>0</v>
      </c>
      <c r="K674" s="2069">
        <f t="shared" ca="1" si="128"/>
        <v>0</v>
      </c>
      <c r="L674" s="1570">
        <f t="shared" si="131"/>
        <v>0</v>
      </c>
      <c r="M674" s="1968" t="str">
        <f>+Orçamento_Não_Deson!M674</f>
        <v>ESCAVADEIRA</v>
      </c>
      <c r="N674" s="832"/>
      <c r="O674" s="832"/>
      <c r="Q674" s="832"/>
      <c r="R674" s="832"/>
      <c r="S674" s="832"/>
      <c r="T674" s="832"/>
      <c r="U674" s="832"/>
      <c r="V674" s="832"/>
      <c r="W674" s="832"/>
      <c r="X674" s="832"/>
    </row>
    <row r="675" spans="1:24" s="812" customFormat="1" ht="39.950000000000003" hidden="1" customHeight="1" x14ac:dyDescent="0.15">
      <c r="A675" s="2072">
        <f t="shared" ref="A675" ca="1" si="138">+IF(H675&gt;0,A674+0.01,A674)</f>
        <v>8.0799999999999983</v>
      </c>
      <c r="B675" s="833">
        <v>3009086</v>
      </c>
      <c r="C675" s="2" t="s">
        <v>2698</v>
      </c>
      <c r="D675" s="315" t="s">
        <v>2699</v>
      </c>
      <c r="E675" s="2"/>
      <c r="F675" s="2" t="s">
        <v>953</v>
      </c>
      <c r="G675" s="1407">
        <v>1513.29</v>
      </c>
      <c r="H675" s="1608">
        <f>+Orçamento_Não_Deson!H675</f>
        <v>0</v>
      </c>
      <c r="I675" s="876">
        <f>+TRUNC(G675*(1+$J$5),2)</f>
        <v>1939.58</v>
      </c>
      <c r="J675" s="1607">
        <f t="shared" si="124"/>
        <v>0</v>
      </c>
      <c r="K675" s="2069">
        <f t="shared" ca="1" si="128"/>
        <v>0</v>
      </c>
      <c r="L675" s="1570">
        <f t="shared" si="131"/>
        <v>0</v>
      </c>
      <c r="M675" s="1585" t="s">
        <v>2094</v>
      </c>
      <c r="N675" s="832"/>
      <c r="O675" s="832"/>
      <c r="Q675" s="832"/>
      <c r="R675" s="832"/>
      <c r="S675" s="832"/>
      <c r="T675" s="832"/>
      <c r="U675" s="832"/>
      <c r="V675" s="832"/>
      <c r="W675" s="832"/>
      <c r="X675" s="832"/>
    </row>
    <row r="676" spans="1:24" s="812" customFormat="1" ht="24.95" hidden="1" customHeight="1" x14ac:dyDescent="0.15">
      <c r="A676" s="2074"/>
      <c r="B676" s="833"/>
      <c r="C676" s="2"/>
      <c r="D676" s="1449" t="s">
        <v>1893</v>
      </c>
      <c r="E676" s="2"/>
      <c r="F676" s="2"/>
      <c r="G676" s="1407"/>
      <c r="H676" s="2"/>
      <c r="I676" s="2"/>
      <c r="J676" s="838" t="str">
        <f>IF(J679=0,"-","")</f>
        <v>-</v>
      </c>
      <c r="K676" s="2069"/>
      <c r="L676" s="1570"/>
      <c r="M676" s="1967"/>
      <c r="N676" s="832"/>
      <c r="O676" s="832"/>
      <c r="Q676" s="832"/>
      <c r="R676" s="832"/>
      <c r="S676" s="832"/>
      <c r="T676" s="832"/>
      <c r="U676" s="832"/>
      <c r="V676" s="832"/>
      <c r="W676" s="832"/>
      <c r="X676" s="832"/>
    </row>
    <row r="677" spans="1:24" s="812" customFormat="1" ht="39.950000000000003" customHeight="1" x14ac:dyDescent="0.15">
      <c r="A677" s="2072">
        <f ca="1">+Orçamento_Não_Deson!A677</f>
        <v>8.0899999999999981</v>
      </c>
      <c r="B677" s="833">
        <f>+Orçamento_Não_Deson!B677</f>
        <v>95876</v>
      </c>
      <c r="C677" s="2" t="str">
        <f>VLOOKUP($B677,[2]BOLETIM_SEL!$A:$H,2,0)</f>
        <v>SINAPI</v>
      </c>
      <c r="D677" s="315" t="str">
        <f>VLOOKUP($B677,[2]BOLETIM_SEL!$A:$H,4,0)</f>
        <v>Transporte com caminhão basculante de 14 m3, em via urbana pavimentada, DMT até 30,00 km (unidade: m3xkm). AF_07/2020</v>
      </c>
      <c r="E677" s="2">
        <f>+Orçamento_Não_Deson!E677</f>
        <v>7</v>
      </c>
      <c r="F677" s="2" t="str">
        <f>VLOOKUP($B677,[2]BOLETIM_SEL!$A:$H,6,0)</f>
        <v>M3XKM</v>
      </c>
      <c r="G677" s="1407">
        <f>VLOOKUP($B677,[2]BOLETIM_SEL!$A:$H,7,0)</f>
        <v>2.04</v>
      </c>
      <c r="H677" s="1608">
        <f>+Orçamento_Não_Deson!H677</f>
        <v>18961.04</v>
      </c>
      <c r="I677" s="876">
        <f>+TRUNC(G677*(1+$J$5),2)</f>
        <v>2.61</v>
      </c>
      <c r="J677" s="1607">
        <f t="shared" ref="J677" si="139">TRUNC(H677*I677,2)</f>
        <v>49488.31</v>
      </c>
      <c r="K677" s="2069">
        <f ca="1">J677/J$930</f>
        <v>1.3098267036652636E-2</v>
      </c>
      <c r="L677" s="1570">
        <f t="shared" ref="L677" si="140">J677/$J$645</f>
        <v>2.6219170548214793E-2</v>
      </c>
      <c r="M677" s="1969">
        <f>+Orçamento_Não_Deson!M677</f>
        <v>2708.7200000000003</v>
      </c>
      <c r="N677" s="832"/>
      <c r="O677" s="832"/>
      <c r="Q677" s="832"/>
      <c r="R677" s="832"/>
      <c r="S677" s="832"/>
      <c r="T677" s="832"/>
      <c r="U677" s="832"/>
      <c r="V677" s="832"/>
      <c r="W677" s="832"/>
      <c r="X677" s="832"/>
    </row>
    <row r="678" spans="1:24" s="812" customFormat="1" ht="24.95" customHeight="1" x14ac:dyDescent="0.15">
      <c r="A678" s="2074"/>
      <c r="B678" s="833"/>
      <c r="C678" s="2"/>
      <c r="D678" s="1449" t="s">
        <v>1894</v>
      </c>
      <c r="E678" s="2"/>
      <c r="F678" s="835"/>
      <c r="G678" s="1407"/>
      <c r="H678" s="2"/>
      <c r="I678" s="835"/>
      <c r="J678" s="838" t="str">
        <f>IF(J677=0,"-","")</f>
        <v/>
      </c>
      <c r="K678" s="2069"/>
      <c r="L678" s="1570"/>
      <c r="M678" s="1967" t="str">
        <f>+Orçamento_Não_Deson!M678</f>
        <v>Depósito provisório</v>
      </c>
      <c r="N678" s="832"/>
      <c r="O678" s="832"/>
      <c r="Q678" s="832"/>
      <c r="R678" s="832"/>
      <c r="S678" s="832"/>
      <c r="T678" s="832"/>
      <c r="U678" s="832"/>
      <c r="V678" s="832"/>
      <c r="W678" s="832"/>
      <c r="X678" s="832"/>
    </row>
    <row r="679" spans="1:24" s="812" customFormat="1" ht="30" hidden="1" customHeight="1" x14ac:dyDescent="0.15">
      <c r="A679" s="2072">
        <f ca="1">+Orçamento_Não_Deson!A679</f>
        <v>8.0899999999999981</v>
      </c>
      <c r="B679" s="833">
        <f>+Orçamento_Não_Deson!B679</f>
        <v>100939</v>
      </c>
      <c r="C679" s="2" t="str">
        <f>VLOOKUP($B679,[2]BOLETIM_SEL!$A:$H,2,0)</f>
        <v>SINAPI</v>
      </c>
      <c r="D679" s="315" t="str">
        <f>VLOOKUP($B679,[2]BOLETIM_SEL!$A:$H,4,0)</f>
        <v>Transporte com caminhão basculante de 14 m3, em via interna (dentro do canteiro - unidade:m3xkm). AF_07/2020</v>
      </c>
      <c r="E679" s="2">
        <f>+Orçamento_Não_Deson!E679</f>
        <v>1</v>
      </c>
      <c r="F679" s="2" t="str">
        <f>VLOOKUP($B679,[2]BOLETIM_SEL!$A:$H,6,0)</f>
        <v>M3XKM</v>
      </c>
      <c r="G679" s="1407">
        <f>VLOOKUP($B679,[2]BOLETIM_SEL!$A:$H,7,0)</f>
        <v>6.22</v>
      </c>
      <c r="H679" s="1608">
        <f>+Orçamento_Não_Deson!H679</f>
        <v>0</v>
      </c>
      <c r="I679" s="876">
        <f>+TRUNC(G679*(1+$J$5),2)</f>
        <v>7.97</v>
      </c>
      <c r="J679" s="1607">
        <f t="shared" ref="J679" si="141">TRUNC(H679*I679,2)</f>
        <v>0</v>
      </c>
      <c r="K679" s="2069">
        <f ca="1">J679/J$930</f>
        <v>0</v>
      </c>
      <c r="L679" s="1570">
        <f t="shared" ref="L679" si="142">J679/$J$645</f>
        <v>0</v>
      </c>
      <c r="M679" s="1967"/>
      <c r="N679" s="832"/>
      <c r="O679" s="832"/>
      <c r="Q679" s="832"/>
      <c r="R679" s="832"/>
      <c r="S679" s="832"/>
      <c r="T679" s="832"/>
      <c r="U679" s="832"/>
      <c r="V679" s="832"/>
      <c r="W679" s="832"/>
      <c r="X679" s="832"/>
    </row>
    <row r="680" spans="1:24" s="812" customFormat="1" ht="24.95" hidden="1" customHeight="1" x14ac:dyDescent="0.15">
      <c r="A680" s="2074"/>
      <c r="B680" s="833"/>
      <c r="C680" s="2"/>
      <c r="D680" s="1449" t="s">
        <v>1890</v>
      </c>
      <c r="E680" s="2"/>
      <c r="F680" s="2"/>
      <c r="G680" s="1407"/>
      <c r="H680" s="2"/>
      <c r="I680" s="2"/>
      <c r="J680" s="838" t="str">
        <f>IF(J681=0,"-","")</f>
        <v>-</v>
      </c>
      <c r="K680" s="2069"/>
      <c r="L680" s="1570"/>
      <c r="M680" s="1967"/>
      <c r="N680" s="832"/>
      <c r="O680" s="832"/>
      <c r="Q680" s="832"/>
      <c r="R680" s="832"/>
      <c r="S680" s="832"/>
      <c r="T680" s="832"/>
      <c r="U680" s="832"/>
      <c r="V680" s="832"/>
      <c r="W680" s="832"/>
      <c r="X680" s="832"/>
    </row>
    <row r="681" spans="1:24" s="812" customFormat="1" ht="39.950000000000003" hidden="1" customHeight="1" x14ac:dyDescent="0.15">
      <c r="A681" s="2072">
        <f ca="1">+Orçamento_Não_Deson!A681</f>
        <v>8.0899999999999981</v>
      </c>
      <c r="B681" s="833">
        <f>+Orçamento_Não_Deson!B681</f>
        <v>95875</v>
      </c>
      <c r="C681" s="2" t="str">
        <f>VLOOKUP($B681,[2]BOLETIM_SEL!$A:$H,2,0)</f>
        <v>SINAPI</v>
      </c>
      <c r="D681" s="315" t="str">
        <f>VLOOKUP($B681,[2]BOLETIM_SEL!$A:$H,4,0)</f>
        <v>Transporte com caminhão basculante de 10 m3, em via urbana pavimentada, DMT até 30,00 km (unidade: m3xkm). AF_07/2020</v>
      </c>
      <c r="E681" s="2">
        <f>+Orçamento_Não_Deson!E681</f>
        <v>0</v>
      </c>
      <c r="F681" s="2" t="str">
        <f>VLOOKUP($B681,[2]BOLETIM_SEL!$A:$H,6,0)</f>
        <v>M3XKM</v>
      </c>
      <c r="G681" s="1407">
        <f>VLOOKUP($B681,[2]BOLETIM_SEL!$A:$H,7,0)</f>
        <v>2.33</v>
      </c>
      <c r="H681" s="1608">
        <f>+Orçamento_Não_Deson!H681</f>
        <v>0</v>
      </c>
      <c r="I681" s="876">
        <f>+TRUNC(G681*(1+$J$5),2)</f>
        <v>2.98</v>
      </c>
      <c r="J681" s="1607">
        <f t="shared" ref="J681" si="143">TRUNC(H681*I681,2)</f>
        <v>0</v>
      </c>
      <c r="K681" s="2069">
        <f ca="1">J681/J$930</f>
        <v>0</v>
      </c>
      <c r="L681" s="1570">
        <f t="shared" ref="L681" si="144">J681/$J$645</f>
        <v>0</v>
      </c>
      <c r="M681" s="1969">
        <f>+Orçamento_Não_Deson!M681</f>
        <v>0</v>
      </c>
      <c r="N681" s="832"/>
      <c r="O681" s="832"/>
      <c r="Q681" s="832"/>
      <c r="R681" s="832"/>
      <c r="S681" s="832"/>
      <c r="T681" s="832"/>
      <c r="U681" s="832"/>
      <c r="V681" s="832"/>
      <c r="W681" s="832"/>
      <c r="X681" s="832"/>
    </row>
    <row r="682" spans="1:24" s="812" customFormat="1" ht="24.95" hidden="1" customHeight="1" x14ac:dyDescent="0.15">
      <c r="A682" s="2074"/>
      <c r="B682" s="833"/>
      <c r="C682" s="2"/>
      <c r="D682" s="1449" t="s">
        <v>1895</v>
      </c>
      <c r="E682" s="2"/>
      <c r="F682" s="2"/>
      <c r="G682" s="1407"/>
      <c r="H682" s="2"/>
      <c r="I682" s="2"/>
      <c r="J682" s="838" t="str">
        <f>IF(J683=0,"-","")</f>
        <v>-</v>
      </c>
      <c r="K682" s="2069"/>
      <c r="L682" s="1570"/>
      <c r="M682" s="1967"/>
      <c r="N682" s="832"/>
      <c r="O682" s="832"/>
      <c r="Q682" s="832"/>
      <c r="R682" s="832"/>
      <c r="S682" s="832"/>
      <c r="T682" s="832"/>
      <c r="U682" s="832"/>
      <c r="V682" s="832"/>
      <c r="W682" s="832"/>
      <c r="X682" s="832"/>
    </row>
    <row r="683" spans="1:24" s="812" customFormat="1" ht="39.950000000000003" hidden="1" customHeight="1" x14ac:dyDescent="0.15">
      <c r="A683" s="2072">
        <f ca="1">+Orçamento_Não_Deson!A683</f>
        <v>8.0899999999999981</v>
      </c>
      <c r="B683" s="833">
        <f>+Orçamento_Não_Deson!B683</f>
        <v>95875</v>
      </c>
      <c r="C683" s="2" t="str">
        <f>VLOOKUP($B683,[2]BOLETIM_SEL!$A:$H,2,0)</f>
        <v>SINAPI</v>
      </c>
      <c r="D683" s="315" t="str">
        <f>VLOOKUP($B683,[2]BOLETIM_SEL!$A:$H,4,0)</f>
        <v>Transporte com caminhão basculante de 10 m3, em via urbana pavimentada, DMT até 30,00 km (unidade: m3xkm). AF_07/2020</v>
      </c>
      <c r="E683" s="2">
        <f>+Orçamento_Não_Deson!E683</f>
        <v>24</v>
      </c>
      <c r="F683" s="2" t="str">
        <f>VLOOKUP($B683,[2]BOLETIM_SEL!$A:$H,6,0)</f>
        <v>M3XKM</v>
      </c>
      <c r="G683" s="1407">
        <f>VLOOKUP($B683,[2]BOLETIM_SEL!$A:$H,7,0)</f>
        <v>2.33</v>
      </c>
      <c r="H683" s="1608">
        <f>+Orçamento_Não_Deson!H683</f>
        <v>0</v>
      </c>
      <c r="I683" s="876">
        <f>+TRUNC(G683*(1+$J$5),2)</f>
        <v>2.98</v>
      </c>
      <c r="J683" s="1607">
        <f>TRUNC(H683*I683,2)</f>
        <v>0</v>
      </c>
      <c r="K683" s="2069">
        <f ca="1">J683/J$930</f>
        <v>0</v>
      </c>
      <c r="L683" s="1570">
        <f>J683/$J$645</f>
        <v>0</v>
      </c>
      <c r="M683" s="1969">
        <f>+Orçamento_Não_Deson!M683</f>
        <v>0</v>
      </c>
      <c r="N683" s="832"/>
      <c r="O683" s="832"/>
      <c r="Q683" s="832"/>
      <c r="R683" s="832"/>
      <c r="S683" s="832"/>
      <c r="T683" s="832"/>
      <c r="U683" s="832"/>
      <c r="V683" s="832"/>
      <c r="W683" s="832"/>
      <c r="X683" s="832"/>
    </row>
    <row r="684" spans="1:24" s="812" customFormat="1" ht="24.95" customHeight="1" x14ac:dyDescent="0.15">
      <c r="A684" s="2074"/>
      <c r="B684" s="833"/>
      <c r="C684" s="2"/>
      <c r="D684" s="1449" t="s">
        <v>1891</v>
      </c>
      <c r="E684" s="2"/>
      <c r="F684" s="2"/>
      <c r="G684" s="1407"/>
      <c r="H684" s="2"/>
      <c r="I684" s="2"/>
      <c r="J684" s="838" t="str">
        <f>IF(J685=0,"-","")</f>
        <v/>
      </c>
      <c r="K684" s="2069"/>
      <c r="L684" s="1570"/>
      <c r="M684" s="1967"/>
      <c r="N684" s="832"/>
      <c r="O684" s="832"/>
      <c r="Q684" s="832"/>
      <c r="R684" s="832"/>
      <c r="S684" s="832"/>
      <c r="T684" s="832"/>
      <c r="U684" s="832"/>
      <c r="V684" s="832"/>
      <c r="W684" s="832"/>
      <c r="X684" s="832"/>
    </row>
    <row r="685" spans="1:24" s="812" customFormat="1" ht="39.950000000000003" customHeight="1" x14ac:dyDescent="0.15">
      <c r="A685" s="2072">
        <f ca="1">+Orçamento_Não_Deson!A685</f>
        <v>8.0999999999999979</v>
      </c>
      <c r="B685" s="833">
        <f>+Orçamento_Não_Deson!B685</f>
        <v>95876</v>
      </c>
      <c r="C685" s="2" t="str">
        <f>VLOOKUP($B685,[2]BOLETIM_SEL!$A:$H,2,0)</f>
        <v>SINAPI</v>
      </c>
      <c r="D685" s="315" t="str">
        <f>VLOOKUP($B685,[2]BOLETIM_SEL!$A:$H,4,0)</f>
        <v>Transporte com caminhão basculante de 14 m3, em via urbana pavimentada, DMT até 30,00 km (unidade: m3xkm). AF_07/2020</v>
      </c>
      <c r="E685" s="2">
        <f>+Orçamento_Não_Deson!E685</f>
        <v>24</v>
      </c>
      <c r="F685" s="2" t="str">
        <f>VLOOKUP($B685,[2]BOLETIM_SEL!$A:$H,6,0)</f>
        <v>M3XKM</v>
      </c>
      <c r="G685" s="1407">
        <f>VLOOKUP($B685,[2]BOLETIM_SEL!$A:$H,7,0)</f>
        <v>2.04</v>
      </c>
      <c r="H685" s="1608">
        <f>+Orçamento_Não_Deson!H685</f>
        <v>81583.44</v>
      </c>
      <c r="I685" s="876">
        <f>+TRUNC(G685*(1+$J$5),2)</f>
        <v>2.61</v>
      </c>
      <c r="J685" s="1607">
        <f>TRUNC(H685*I685,2)</f>
        <v>212932.77</v>
      </c>
      <c r="K685" s="2069">
        <f ca="1">J685/J$930</f>
        <v>5.6357759687371362E-2</v>
      </c>
      <c r="L685" s="1570">
        <f>J685/$J$645</f>
        <v>0.11281291706938051</v>
      </c>
      <c r="M685" s="1969">
        <f>+Orçamento_Não_Deson!M685</f>
        <v>3399.31</v>
      </c>
      <c r="N685" s="832"/>
      <c r="O685" s="832"/>
      <c r="Q685" s="832"/>
      <c r="R685" s="832"/>
      <c r="S685" s="832"/>
      <c r="T685" s="832"/>
      <c r="U685" s="832"/>
      <c r="V685" s="832"/>
      <c r="W685" s="832"/>
      <c r="X685" s="832"/>
    </row>
    <row r="686" spans="1:24" s="812" customFormat="1" ht="24.95" hidden="1" customHeight="1" x14ac:dyDescent="0.15">
      <c r="A686" s="2072"/>
      <c r="B686" s="833"/>
      <c r="C686" s="2"/>
      <c r="D686" s="1449" t="s">
        <v>1892</v>
      </c>
      <c r="E686" s="2"/>
      <c r="F686" s="2"/>
      <c r="G686" s="1407"/>
      <c r="H686" s="2"/>
      <c r="I686" s="2"/>
      <c r="J686" s="838" t="str">
        <f>IF(J687=0,"-","")</f>
        <v>-</v>
      </c>
      <c r="K686" s="2069"/>
      <c r="L686" s="1570"/>
      <c r="M686" s="1967"/>
      <c r="N686" s="832"/>
      <c r="O686" s="832"/>
      <c r="Q686" s="832"/>
      <c r="R686" s="832"/>
      <c r="S686" s="832"/>
      <c r="T686" s="832"/>
      <c r="U686" s="832"/>
      <c r="V686" s="832"/>
      <c r="W686" s="832"/>
      <c r="X686" s="832"/>
    </row>
    <row r="687" spans="1:24" s="812" customFormat="1" ht="39.950000000000003" hidden="1" customHeight="1" x14ac:dyDescent="0.15">
      <c r="A687" s="2072">
        <f ca="1">+Orçamento_Não_Deson!A687</f>
        <v>8.0999999999999979</v>
      </c>
      <c r="B687" s="833">
        <f>+Orçamento_Não_Deson!B687</f>
        <v>95875</v>
      </c>
      <c r="C687" s="2" t="str">
        <f>VLOOKUP($B687,[2]BOLETIM_SEL!$A:$H,2,0)</f>
        <v>SINAPI</v>
      </c>
      <c r="D687" s="315" t="str">
        <f>VLOOKUP($B687,[2]BOLETIM_SEL!$A:$H,4,0)</f>
        <v>Transporte com caminhão basculante de 10 m3, em via urbana pavimentada, DMT até 30,00 km (unidade: m3xkm). AF_07/2020</v>
      </c>
      <c r="E687" s="2">
        <f>+Orçamento_Não_Deson!E687</f>
        <v>24</v>
      </c>
      <c r="F687" s="2" t="str">
        <f>VLOOKUP($B687,[2]BOLETIM_SEL!$A:$H,6,0)</f>
        <v>M3XKM</v>
      </c>
      <c r="G687" s="1407">
        <f>VLOOKUP($B687,[2]BOLETIM_SEL!$A:$H,7,0)</f>
        <v>2.33</v>
      </c>
      <c r="H687" s="1608">
        <f>+Orçamento_Não_Deson!H687</f>
        <v>0</v>
      </c>
      <c r="I687" s="876">
        <f>+TRUNC(G687*(1+$J$5),2)</f>
        <v>2.98</v>
      </c>
      <c r="J687" s="1607">
        <f>TRUNC(H687*I687,2)</f>
        <v>0</v>
      </c>
      <c r="K687" s="2069">
        <f ca="1">J687/J$930</f>
        <v>0</v>
      </c>
      <c r="L687" s="1570">
        <f>J687/$J$645</f>
        <v>0</v>
      </c>
      <c r="M687" s="1969">
        <f>+Orçamento_Não_Deson!M687</f>
        <v>0</v>
      </c>
      <c r="N687" s="832"/>
      <c r="O687" s="832"/>
      <c r="Q687" s="832"/>
      <c r="R687" s="832"/>
      <c r="S687" s="832"/>
      <c r="T687" s="832"/>
      <c r="U687" s="832"/>
      <c r="V687" s="832"/>
      <c r="W687" s="832"/>
      <c r="X687" s="832"/>
    </row>
    <row r="688" spans="1:24" s="812" customFormat="1" ht="24.95" hidden="1" customHeight="1" x14ac:dyDescent="0.15">
      <c r="A688" s="2072"/>
      <c r="B688" s="833"/>
      <c r="C688" s="2"/>
      <c r="D688" s="1449" t="s">
        <v>1898</v>
      </c>
      <c r="E688" s="2"/>
      <c r="F688" s="2"/>
      <c r="G688" s="1407"/>
      <c r="H688" s="2"/>
      <c r="I688" s="2"/>
      <c r="J688" s="838" t="str">
        <f>IF(J689=0,"-","")</f>
        <v>-</v>
      </c>
      <c r="K688" s="2069"/>
      <c r="L688" s="1570"/>
      <c r="M688" s="1967"/>
      <c r="N688" s="832"/>
      <c r="O688" s="832"/>
      <c r="Q688" s="832"/>
      <c r="R688" s="832"/>
      <c r="S688" s="832"/>
      <c r="T688" s="832"/>
      <c r="U688" s="832"/>
      <c r="V688" s="832"/>
      <c r="W688" s="832"/>
      <c r="X688" s="832"/>
    </row>
    <row r="689" spans="1:24" s="812" customFormat="1" ht="39.950000000000003" hidden="1" customHeight="1" x14ac:dyDescent="0.15">
      <c r="A689" s="2072">
        <f ca="1">+Orçamento_Não_Deson!A689</f>
        <v>8.0999999999999979</v>
      </c>
      <c r="B689" s="833">
        <f>+Orçamento_Não_Deson!B689</f>
        <v>95875</v>
      </c>
      <c r="C689" s="2" t="str">
        <f>VLOOKUP($B689,[2]BOLETIM_SEL!$A:$H,2,0)</f>
        <v>SINAPI</v>
      </c>
      <c r="D689" s="315" t="str">
        <f>VLOOKUP($B689,[2]BOLETIM_SEL!$A:$H,4,0)</f>
        <v>Transporte com caminhão basculante de 10 m3, em via urbana pavimentada, DMT até 30,00 km (unidade: m3xkm). AF_07/2020</v>
      </c>
      <c r="E689" s="2">
        <f>+Orçamento_Não_Deson!E689</f>
        <v>24</v>
      </c>
      <c r="F689" s="2" t="str">
        <f>VLOOKUP($B689,[2]BOLETIM_SEL!$A:$H,6,0)</f>
        <v>M3XKM</v>
      </c>
      <c r="G689" s="1407">
        <f>VLOOKUP($B689,[2]BOLETIM_SEL!$A:$H,7,0)</f>
        <v>2.33</v>
      </c>
      <c r="H689" s="1608">
        <f>+Orçamento_Não_Deson!H689</f>
        <v>0</v>
      </c>
      <c r="I689" s="876">
        <f>+TRUNC(G689*(1+$J$5),2)</f>
        <v>2.98</v>
      </c>
      <c r="J689" s="1607">
        <f>TRUNC(H689*I689,2)</f>
        <v>0</v>
      </c>
      <c r="K689" s="2069">
        <f ca="1">J689/J$930</f>
        <v>0</v>
      </c>
      <c r="L689" s="1570">
        <f>J689/$J$645</f>
        <v>0</v>
      </c>
      <c r="M689" s="1969">
        <f>+Orçamento_Não_Deson!M689</f>
        <v>0</v>
      </c>
      <c r="N689" s="832"/>
      <c r="O689" s="832"/>
      <c r="Q689" s="832"/>
      <c r="R689" s="832"/>
      <c r="S689" s="832"/>
      <c r="T689" s="832"/>
      <c r="U689" s="832"/>
      <c r="V689" s="832"/>
      <c r="W689" s="832"/>
      <c r="X689" s="832"/>
    </row>
    <row r="690" spans="1:24" s="812" customFormat="1" ht="24.95" hidden="1" customHeight="1" x14ac:dyDescent="0.15">
      <c r="A690" s="2072"/>
      <c r="B690" s="833"/>
      <c r="C690" s="2"/>
      <c r="D690" s="1449" t="s">
        <v>1897</v>
      </c>
      <c r="E690" s="2"/>
      <c r="F690" s="2"/>
      <c r="G690" s="1407"/>
      <c r="H690" s="2"/>
      <c r="I690" s="2"/>
      <c r="J690" s="838" t="str">
        <f>IF(J691=0,"-","")</f>
        <v>-</v>
      </c>
      <c r="K690" s="2069"/>
      <c r="L690" s="1570"/>
      <c r="M690" s="1967"/>
      <c r="N690" s="832"/>
      <c r="O690" s="832"/>
      <c r="Q690" s="832"/>
      <c r="R690" s="832"/>
      <c r="S690" s="832"/>
      <c r="T690" s="832"/>
      <c r="U690" s="832"/>
      <c r="V690" s="832"/>
      <c r="W690" s="832"/>
      <c r="X690" s="832"/>
    </row>
    <row r="691" spans="1:24" s="812" customFormat="1" ht="39.950000000000003" hidden="1" customHeight="1" x14ac:dyDescent="0.15">
      <c r="A691" s="2072">
        <f ca="1">+Orçamento_Não_Deson!A691</f>
        <v>8.0999999999999979</v>
      </c>
      <c r="B691" s="833">
        <f>+Orçamento_Não_Deson!B691</f>
        <v>95875</v>
      </c>
      <c r="C691" s="2" t="str">
        <f>VLOOKUP($B691,[2]BOLETIM_SEL!$A:$H,2,0)</f>
        <v>SINAPI</v>
      </c>
      <c r="D691" s="315" t="str">
        <f>VLOOKUP($B691,[2]BOLETIM_SEL!$A:$H,4,0)</f>
        <v>Transporte com caminhão basculante de 10 m3, em via urbana pavimentada, DMT até 30,00 km (unidade: m3xkm). AF_07/2020</v>
      </c>
      <c r="E691" s="2">
        <f>+Orçamento_Não_Deson!E691</f>
        <v>0</v>
      </c>
      <c r="F691" s="2" t="str">
        <f>VLOOKUP($B691,[2]BOLETIM_SEL!$A:$H,6,0)</f>
        <v>M3XKM</v>
      </c>
      <c r="G691" s="1407">
        <f>VLOOKUP($B691,[2]BOLETIM_SEL!$A:$H,7,0)</f>
        <v>2.33</v>
      </c>
      <c r="H691" s="1608">
        <f>+Orçamento_Não_Deson!H691</f>
        <v>0</v>
      </c>
      <c r="I691" s="876">
        <f>+TRUNC(G691*(1+$J$5),2)</f>
        <v>2.98</v>
      </c>
      <c r="J691" s="1607">
        <f>TRUNC(H691*I691,2)</f>
        <v>0</v>
      </c>
      <c r="K691" s="2069">
        <f ca="1">J691/J$930</f>
        <v>0</v>
      </c>
      <c r="L691" s="1570">
        <f>J691/$J$645</f>
        <v>0</v>
      </c>
      <c r="M691" s="1969">
        <f>+Orçamento_Não_Deson!M691</f>
        <v>0</v>
      </c>
      <c r="N691" s="832"/>
      <c r="O691" s="832"/>
      <c r="Q691" s="832"/>
      <c r="R691" s="832"/>
      <c r="S691" s="832"/>
      <c r="T691" s="832"/>
      <c r="U691" s="832"/>
      <c r="V691" s="832"/>
      <c r="W691" s="832"/>
      <c r="X691" s="832"/>
    </row>
    <row r="692" spans="1:24" s="812" customFormat="1" ht="24.95" hidden="1" customHeight="1" x14ac:dyDescent="0.15">
      <c r="A692" s="2072"/>
      <c r="B692" s="833"/>
      <c r="C692" s="2"/>
      <c r="D692" s="1449" t="s">
        <v>1896</v>
      </c>
      <c r="E692" s="2"/>
      <c r="F692" s="2"/>
      <c r="G692" s="1407"/>
      <c r="H692" s="2"/>
      <c r="I692" s="2"/>
      <c r="J692" s="838" t="str">
        <f>IF(J693=0,"-","")</f>
        <v>-</v>
      </c>
      <c r="K692" s="2069"/>
      <c r="L692" s="1570"/>
      <c r="M692" s="1967"/>
      <c r="N692" s="832"/>
      <c r="O692" s="832"/>
      <c r="Q692" s="832"/>
      <c r="R692" s="832"/>
      <c r="S692" s="832"/>
      <c r="T692" s="832"/>
      <c r="U692" s="832"/>
      <c r="V692" s="832"/>
      <c r="W692" s="832"/>
      <c r="X692" s="832"/>
    </row>
    <row r="693" spans="1:24" s="812" customFormat="1" ht="39.950000000000003" hidden="1" customHeight="1" x14ac:dyDescent="0.15">
      <c r="A693" s="2072">
        <f ca="1">+Orçamento_Não_Deson!A693</f>
        <v>8.0999999999999979</v>
      </c>
      <c r="B693" s="833">
        <f>+Orçamento_Não_Deson!B693</f>
        <v>95875</v>
      </c>
      <c r="C693" s="2" t="str">
        <f>VLOOKUP($B693,[2]BOLETIM_SEL!$A:$H,2,0)</f>
        <v>SINAPI</v>
      </c>
      <c r="D693" s="315" t="str">
        <f>VLOOKUP($B693,[2]BOLETIM_SEL!$A:$H,4,0)</f>
        <v>Transporte com caminhão basculante de 10 m3, em via urbana pavimentada, DMT até 30,00 km (unidade: m3xkm). AF_07/2020</v>
      </c>
      <c r="E693" s="2">
        <f>+Orçamento_Não_Deson!E693</f>
        <v>0</v>
      </c>
      <c r="F693" s="2" t="str">
        <f>VLOOKUP($B693,[2]BOLETIM_SEL!$A:$H,6,0)</f>
        <v>M3XKM</v>
      </c>
      <c r="G693" s="1407">
        <f>VLOOKUP($B693,[2]BOLETIM_SEL!$A:$H,7,0)</f>
        <v>2.33</v>
      </c>
      <c r="H693" s="1608">
        <f>+Orçamento_Não_Deson!H693</f>
        <v>0</v>
      </c>
      <c r="I693" s="876">
        <f>+TRUNC(G693*(1+$J$5),2)</f>
        <v>2.98</v>
      </c>
      <c r="J693" s="1607">
        <f>TRUNC(H693*I693,2)</f>
        <v>0</v>
      </c>
      <c r="K693" s="2069">
        <f ca="1">J693/J$930</f>
        <v>0</v>
      </c>
      <c r="L693" s="1570">
        <f>J693/$J$645</f>
        <v>0</v>
      </c>
      <c r="M693" s="1969">
        <f>+Orçamento_Não_Deson!M693</f>
        <v>0</v>
      </c>
      <c r="N693" s="832"/>
      <c r="O693" s="832"/>
      <c r="Q693" s="832"/>
      <c r="R693" s="832"/>
      <c r="S693" s="832"/>
      <c r="T693" s="832"/>
      <c r="U693" s="832"/>
      <c r="V693" s="832"/>
      <c r="W693" s="832"/>
      <c r="X693" s="832"/>
    </row>
    <row r="694" spans="1:24" s="812" customFormat="1" ht="24.95" hidden="1" customHeight="1" x14ac:dyDescent="0.15">
      <c r="A694" s="2072"/>
      <c r="B694" s="833"/>
      <c r="C694" s="2"/>
      <c r="D694" s="1449" t="s">
        <v>1759</v>
      </c>
      <c r="E694" s="2"/>
      <c r="F694" s="2"/>
      <c r="G694" s="1407"/>
      <c r="H694" s="2"/>
      <c r="I694" s="2"/>
      <c r="J694" s="838" t="str">
        <f>IF(J695=0,"-","")</f>
        <v>-</v>
      </c>
      <c r="K694" s="2069"/>
      <c r="L694" s="1570"/>
      <c r="M694" s="1967"/>
      <c r="N694" s="832"/>
      <c r="O694" s="832"/>
      <c r="Q694" s="832"/>
      <c r="R694" s="832"/>
      <c r="S694" s="832"/>
      <c r="T694" s="832"/>
      <c r="U694" s="832"/>
      <c r="V694" s="832"/>
      <c r="W694" s="832"/>
      <c r="X694" s="832"/>
    </row>
    <row r="695" spans="1:24" s="812" customFormat="1" ht="39.950000000000003" hidden="1" customHeight="1" x14ac:dyDescent="0.15">
      <c r="A695" s="2072">
        <f ca="1">+Orçamento_Não_Deson!A695</f>
        <v>8.0999999999999979</v>
      </c>
      <c r="B695" s="833">
        <f>+Orçamento_Não_Deson!B695</f>
        <v>95875</v>
      </c>
      <c r="C695" s="2" t="str">
        <f>VLOOKUP($B695,[2]BOLETIM_SEL!$A:$H,2,0)</f>
        <v>SINAPI</v>
      </c>
      <c r="D695" s="315" t="str">
        <f>VLOOKUP($B695,[2]BOLETIM_SEL!$A:$H,4,0)</f>
        <v>Transporte com caminhão basculante de 10 m3, em via urbana pavimentada, DMT até 30,00 km (unidade: m3xkm). AF_07/2020</v>
      </c>
      <c r="E695" s="2">
        <f>+Orçamento_Não_Deson!E695</f>
        <v>0</v>
      </c>
      <c r="F695" s="2" t="str">
        <f>VLOOKUP($B695,[2]BOLETIM_SEL!$A:$H,6,0)</f>
        <v>M3XKM</v>
      </c>
      <c r="G695" s="1407">
        <f>VLOOKUP($B695,[2]BOLETIM_SEL!$A:$H,7,0)</f>
        <v>2.33</v>
      </c>
      <c r="H695" s="1608">
        <f>+Orçamento_Não_Deson!H695</f>
        <v>0</v>
      </c>
      <c r="I695" s="876">
        <f>+TRUNC(G695*(1+$J$5),2)</f>
        <v>2.98</v>
      </c>
      <c r="J695" s="1607">
        <f>TRUNC(H695*I695,2)</f>
        <v>0</v>
      </c>
      <c r="K695" s="2069">
        <f ca="1">J695/J$930</f>
        <v>0</v>
      </c>
      <c r="L695" s="1570">
        <f>J695/$J$645</f>
        <v>0</v>
      </c>
      <c r="M695" s="1969">
        <f>+Orçamento_Não_Deson!M695</f>
        <v>0</v>
      </c>
      <c r="N695" s="832"/>
      <c r="O695" s="832"/>
      <c r="Q695" s="832"/>
      <c r="R695" s="832"/>
      <c r="S695" s="832"/>
      <c r="T695" s="832"/>
      <c r="U695" s="832"/>
      <c r="V695" s="832"/>
      <c r="W695" s="832"/>
      <c r="X695" s="832"/>
    </row>
    <row r="696" spans="1:24" s="812" customFormat="1" ht="24.95" hidden="1" customHeight="1" x14ac:dyDescent="0.15">
      <c r="A696" s="2072"/>
      <c r="B696" s="833"/>
      <c r="C696" s="2"/>
      <c r="D696" s="1449" t="s">
        <v>1760</v>
      </c>
      <c r="E696" s="2"/>
      <c r="F696" s="2"/>
      <c r="G696" s="1407"/>
      <c r="H696" s="2"/>
      <c r="I696" s="2"/>
      <c r="J696" s="838" t="str">
        <f>IF(J697=0,"-","")</f>
        <v>-</v>
      </c>
      <c r="K696" s="2069"/>
      <c r="L696" s="1570"/>
      <c r="M696" s="1967"/>
      <c r="N696" s="832"/>
      <c r="O696" s="832"/>
      <c r="Q696" s="832"/>
      <c r="R696" s="832"/>
      <c r="S696" s="832"/>
      <c r="T696" s="832"/>
      <c r="U696" s="832"/>
      <c r="V696" s="832"/>
      <c r="W696" s="832"/>
      <c r="X696" s="832"/>
    </row>
    <row r="697" spans="1:24" s="812" customFormat="1" ht="39.950000000000003" hidden="1" customHeight="1" x14ac:dyDescent="0.15">
      <c r="A697" s="2072">
        <f ca="1">+Orçamento_Não_Deson!A697</f>
        <v>8.0999999999999979</v>
      </c>
      <c r="B697" s="833">
        <f>+Orçamento_Não_Deson!B697</f>
        <v>95875</v>
      </c>
      <c r="C697" s="2" t="str">
        <f>VLOOKUP($B697,[2]BOLETIM_SEL!$A:$H,2,0)</f>
        <v>SINAPI</v>
      </c>
      <c r="D697" s="315" t="str">
        <f>VLOOKUP($B697,[2]BOLETIM_SEL!$A:$H,4,0)</f>
        <v>Transporte com caminhão basculante de 10 m3, em via urbana pavimentada, DMT até 30,00 km (unidade: m3xkm). AF_07/2020</v>
      </c>
      <c r="E697" s="2">
        <f>+Orçamento_Não_Deson!E697</f>
        <v>0</v>
      </c>
      <c r="F697" s="2" t="str">
        <f>VLOOKUP($B697,[2]BOLETIM_SEL!$A:$H,6,0)</f>
        <v>M3XKM</v>
      </c>
      <c r="G697" s="1407">
        <f>VLOOKUP($B697,[2]BOLETIM_SEL!$A:$H,7,0)</f>
        <v>2.33</v>
      </c>
      <c r="H697" s="1608">
        <f>+Orçamento_Não_Deson!H697</f>
        <v>0</v>
      </c>
      <c r="I697" s="876">
        <f>+TRUNC(G697*(1+$J$5),2)</f>
        <v>2.98</v>
      </c>
      <c r="J697" s="1607">
        <f>TRUNC(H697*I697,2)</f>
        <v>0</v>
      </c>
      <c r="K697" s="2069">
        <f ca="1">J697/J$930</f>
        <v>0</v>
      </c>
      <c r="L697" s="1570">
        <f>J697/$J$645</f>
        <v>0</v>
      </c>
      <c r="M697" s="1969">
        <f>+Orçamento_Não_Deson!M697</f>
        <v>0</v>
      </c>
      <c r="N697" s="832"/>
      <c r="O697" s="832"/>
      <c r="Q697" s="832"/>
      <c r="R697" s="832"/>
      <c r="S697" s="832"/>
      <c r="T697" s="832"/>
      <c r="U697" s="832"/>
      <c r="V697" s="832"/>
      <c r="W697" s="832"/>
      <c r="X697" s="832"/>
    </row>
    <row r="698" spans="1:24" s="812" customFormat="1" ht="24.95" hidden="1" customHeight="1" x14ac:dyDescent="0.15">
      <c r="A698" s="2072"/>
      <c r="B698" s="833"/>
      <c r="C698" s="2"/>
      <c r="D698" s="1449" t="s">
        <v>1836</v>
      </c>
      <c r="E698" s="2"/>
      <c r="F698" s="2"/>
      <c r="G698" s="1407"/>
      <c r="H698" s="2"/>
      <c r="I698" s="2"/>
      <c r="J698" s="838" t="str">
        <f>IF(J699=0,"-","")</f>
        <v>-</v>
      </c>
      <c r="K698" s="2069"/>
      <c r="L698" s="1570"/>
      <c r="M698" s="1967"/>
      <c r="N698" s="832"/>
      <c r="O698" s="832"/>
      <c r="Q698" s="832"/>
      <c r="R698" s="832"/>
      <c r="S698" s="832"/>
      <c r="T698" s="832"/>
      <c r="U698" s="832"/>
      <c r="V698" s="832"/>
      <c r="W698" s="832"/>
      <c r="X698" s="832"/>
    </row>
    <row r="699" spans="1:24" s="812" customFormat="1" ht="39.950000000000003" hidden="1" customHeight="1" x14ac:dyDescent="0.15">
      <c r="A699" s="2072">
        <f ca="1">+Orçamento_Não_Deson!A699</f>
        <v>8.0999999999999979</v>
      </c>
      <c r="B699" s="833">
        <f>+Orçamento_Não_Deson!B699</f>
        <v>95875</v>
      </c>
      <c r="C699" s="2" t="str">
        <f>VLOOKUP($B699,[2]BOLETIM_SEL!$A:$H,2,0)</f>
        <v>SINAPI</v>
      </c>
      <c r="D699" s="315" t="str">
        <f>VLOOKUP($B699,[2]BOLETIM_SEL!$A:$H,4,0)</f>
        <v>Transporte com caminhão basculante de 10 m3, em via urbana pavimentada, DMT até 30,00 km (unidade: m3xkm). AF_07/2020</v>
      </c>
      <c r="E699" s="2">
        <f>+Orçamento_Não_Deson!E699</f>
        <v>0</v>
      </c>
      <c r="F699" s="2" t="str">
        <f>VLOOKUP($B699,[2]BOLETIM_SEL!$A:$H,6,0)</f>
        <v>M3XKM</v>
      </c>
      <c r="G699" s="1407">
        <f>VLOOKUP($B699,[2]BOLETIM_SEL!$A:$H,7,0)</f>
        <v>2.33</v>
      </c>
      <c r="H699" s="1608">
        <f>+Orçamento_Não_Deson!H699</f>
        <v>0</v>
      </c>
      <c r="I699" s="876">
        <f>+TRUNC(G699*(1+$J$5),2)</f>
        <v>2.98</v>
      </c>
      <c r="J699" s="1607">
        <f>TRUNC(H699*I699,2)</f>
        <v>0</v>
      </c>
      <c r="K699" s="2069">
        <f ca="1">J699/J$930</f>
        <v>0</v>
      </c>
      <c r="L699" s="1570">
        <f>J699/$J$645</f>
        <v>0</v>
      </c>
      <c r="M699" s="1969">
        <f>+Orçamento_Não_Deson!M699</f>
        <v>0</v>
      </c>
      <c r="N699" s="832"/>
      <c r="O699" s="832"/>
      <c r="Q699" s="832"/>
      <c r="R699" s="832"/>
      <c r="S699" s="832"/>
      <c r="T699" s="832"/>
      <c r="U699" s="832"/>
      <c r="V699" s="832"/>
      <c r="W699" s="832"/>
      <c r="X699" s="832"/>
    </row>
    <row r="700" spans="1:24" s="812" customFormat="1" ht="24.95" hidden="1" customHeight="1" x14ac:dyDescent="0.15">
      <c r="A700" s="2072"/>
      <c r="B700" s="833"/>
      <c r="C700" s="2"/>
      <c r="D700" s="1449" t="s">
        <v>1814</v>
      </c>
      <c r="E700" s="2"/>
      <c r="F700" s="2"/>
      <c r="G700" s="1407"/>
      <c r="H700" s="2"/>
      <c r="I700" s="2"/>
      <c r="J700" s="838" t="str">
        <f>IF(J701=0,"-","")</f>
        <v>-</v>
      </c>
      <c r="K700" s="2069"/>
      <c r="L700" s="1570"/>
      <c r="M700" s="1967"/>
      <c r="N700" s="832"/>
      <c r="O700" s="832"/>
      <c r="Q700" s="832"/>
      <c r="R700" s="832"/>
      <c r="S700" s="832"/>
      <c r="T700" s="832"/>
      <c r="U700" s="832"/>
      <c r="V700" s="832"/>
      <c r="W700" s="832"/>
      <c r="X700" s="832"/>
    </row>
    <row r="701" spans="1:24" s="812" customFormat="1" ht="39.950000000000003" hidden="1" customHeight="1" x14ac:dyDescent="0.15">
      <c r="A701" s="2072">
        <f ca="1">+Orçamento_Não_Deson!A701</f>
        <v>8.0999999999999979</v>
      </c>
      <c r="B701" s="833">
        <f>+Orçamento_Não_Deson!B701</f>
        <v>95875</v>
      </c>
      <c r="C701" s="2" t="str">
        <f>VLOOKUP($B701,[2]BOLETIM_SEL!$A:$H,2,0)</f>
        <v>SINAPI</v>
      </c>
      <c r="D701" s="315" t="str">
        <f>VLOOKUP($B701,[2]BOLETIM_SEL!$A:$H,4,0)</f>
        <v>Transporte com caminhão basculante de 10 m3, em via urbana pavimentada, DMT até 30,00 km (unidade: m3xkm). AF_07/2020</v>
      </c>
      <c r="E701" s="2">
        <f>+Orçamento_Não_Deson!E701</f>
        <v>0</v>
      </c>
      <c r="F701" s="2" t="str">
        <f>VLOOKUP($B701,[2]BOLETIM_SEL!$A:$H,6,0)</f>
        <v>M3XKM</v>
      </c>
      <c r="G701" s="1407">
        <f>VLOOKUP($B701,[2]BOLETIM_SEL!$A:$H,7,0)</f>
        <v>2.33</v>
      </c>
      <c r="H701" s="1608">
        <f>+Orçamento_Não_Deson!H701</f>
        <v>0</v>
      </c>
      <c r="I701" s="876">
        <f>+TRUNC(G701*(1+$J$5),2)</f>
        <v>2.98</v>
      </c>
      <c r="J701" s="1607">
        <f>TRUNC(H701*I701,2)</f>
        <v>0</v>
      </c>
      <c r="K701" s="2069">
        <f ca="1">J701/J$930</f>
        <v>0</v>
      </c>
      <c r="L701" s="1570">
        <f>J701/$J$645</f>
        <v>0</v>
      </c>
      <c r="M701" s="1969">
        <f>+Orçamento_Não_Deson!M701</f>
        <v>0</v>
      </c>
      <c r="N701" s="832"/>
      <c r="O701" s="832"/>
      <c r="Q701" s="832"/>
      <c r="R701" s="832"/>
      <c r="S701" s="832"/>
      <c r="T701" s="832"/>
      <c r="U701" s="832"/>
      <c r="V701" s="832"/>
      <c r="W701" s="832"/>
      <c r="X701" s="832"/>
    </row>
    <row r="702" spans="1:24" s="812" customFormat="1" ht="24.95" hidden="1" customHeight="1" x14ac:dyDescent="0.15">
      <c r="A702" s="2072"/>
      <c r="B702" s="833"/>
      <c r="C702" s="2"/>
      <c r="D702" s="1449" t="s">
        <v>1757</v>
      </c>
      <c r="E702" s="2"/>
      <c r="F702" s="2"/>
      <c r="G702" s="1407"/>
      <c r="H702" s="2"/>
      <c r="I702" s="2"/>
      <c r="J702" s="838" t="str">
        <f>IF(J703=0,"-","")</f>
        <v>-</v>
      </c>
      <c r="K702" s="2069"/>
      <c r="L702" s="1570"/>
      <c r="M702" s="1967"/>
      <c r="N702" s="832"/>
      <c r="O702" s="832"/>
      <c r="Q702" s="832"/>
      <c r="R702" s="832"/>
      <c r="S702" s="832"/>
      <c r="T702" s="832"/>
      <c r="U702" s="832"/>
      <c r="V702" s="832"/>
      <c r="W702" s="832"/>
      <c r="X702" s="832"/>
    </row>
    <row r="703" spans="1:24" s="812" customFormat="1" ht="39.950000000000003" hidden="1" customHeight="1" x14ac:dyDescent="0.15">
      <c r="A703" s="2072">
        <f ca="1">+Orçamento_Não_Deson!A703</f>
        <v>8.0999999999999979</v>
      </c>
      <c r="B703" s="833">
        <f>+Orçamento_Não_Deson!B703</f>
        <v>95875</v>
      </c>
      <c r="C703" s="2" t="str">
        <f>VLOOKUP($B703,[2]BOLETIM_SEL!$A:$H,2,0)</f>
        <v>SINAPI</v>
      </c>
      <c r="D703" s="315" t="str">
        <f>VLOOKUP($B703,[2]BOLETIM_SEL!$A:$H,4,0)</f>
        <v>Transporte com caminhão basculante de 10 m3, em via urbana pavimentada, DMT até 30,00 km (unidade: m3xkm). AF_07/2020</v>
      </c>
      <c r="E703" s="2">
        <f>+Orçamento_Não_Deson!E703</f>
        <v>0</v>
      </c>
      <c r="F703" s="2" t="str">
        <f>VLOOKUP($B703,[2]BOLETIM_SEL!$A:$H,6,0)</f>
        <v>M3XKM</v>
      </c>
      <c r="G703" s="1407">
        <f>VLOOKUP($B703,[2]BOLETIM_SEL!$A:$H,7,0)</f>
        <v>2.33</v>
      </c>
      <c r="H703" s="1608">
        <f>+Orçamento_Não_Deson!H703</f>
        <v>0</v>
      </c>
      <c r="I703" s="876">
        <f>+TRUNC(G703*(1+$J$5),2)</f>
        <v>2.98</v>
      </c>
      <c r="J703" s="1607">
        <f>TRUNC(H703*I703,2)</f>
        <v>0</v>
      </c>
      <c r="K703" s="2069">
        <f ca="1">J703/J$930</f>
        <v>0</v>
      </c>
      <c r="L703" s="1570">
        <f>J703/$J$645</f>
        <v>0</v>
      </c>
      <c r="M703" s="1969">
        <f>+Orçamento_Não_Deson!M703</f>
        <v>0</v>
      </c>
      <c r="N703" s="832"/>
      <c r="O703" s="832"/>
      <c r="Q703" s="832"/>
      <c r="R703" s="832"/>
      <c r="S703" s="832"/>
      <c r="T703" s="832"/>
      <c r="U703" s="832"/>
      <c r="V703" s="832"/>
      <c r="W703" s="832"/>
      <c r="X703" s="832"/>
    </row>
    <row r="704" spans="1:24" s="812" customFormat="1" ht="24.95" customHeight="1" x14ac:dyDescent="0.15">
      <c r="A704" s="2072"/>
      <c r="B704" s="833"/>
      <c r="C704" s="2"/>
      <c r="D704" s="1449" t="s">
        <v>1758</v>
      </c>
      <c r="E704" s="2"/>
      <c r="F704" s="2"/>
      <c r="G704" s="1407"/>
      <c r="H704" s="2"/>
      <c r="I704" s="2"/>
      <c r="J704" s="838" t="str">
        <f>IF(J705=0,"-","")</f>
        <v/>
      </c>
      <c r="K704" s="2069"/>
      <c r="L704" s="1570"/>
      <c r="M704" s="1967"/>
      <c r="N704" s="832"/>
      <c r="O704" s="832"/>
      <c r="Q704" s="832"/>
      <c r="R704" s="832"/>
      <c r="S704" s="832"/>
      <c r="T704" s="832"/>
      <c r="U704" s="832"/>
      <c r="V704" s="832"/>
      <c r="W704" s="832"/>
      <c r="X704" s="832"/>
    </row>
    <row r="705" spans="1:24" s="812" customFormat="1" ht="39.950000000000003" customHeight="1" x14ac:dyDescent="0.15">
      <c r="A705" s="2072">
        <f ca="1">+Orçamento_Não_Deson!A705</f>
        <v>8.1099999999999977</v>
      </c>
      <c r="B705" s="833">
        <f>+Orçamento_Não_Deson!B705</f>
        <v>95879</v>
      </c>
      <c r="C705" s="2" t="str">
        <f>VLOOKUP($B705,[2]BOLETIM_SEL!$A:$H,2,0)</f>
        <v>SINAPI</v>
      </c>
      <c r="D705" s="315" t="str">
        <f>VLOOKUP($B705,[2]BOLETIM_SEL!$A:$H,4,0)</f>
        <v>Transporte com caminhão basculante de 14 m3, em via urbana pavimentada, DMT até 30,00 km (unidade: txkm). AF_07/2020</v>
      </c>
      <c r="E705" s="2">
        <f>+Orçamento_Não_Deson!E705</f>
        <v>19</v>
      </c>
      <c r="F705" s="2" t="str">
        <f>VLOOKUP($B705,[2]BOLETIM_SEL!$A:$H,6,0)</f>
        <v>TXKM</v>
      </c>
      <c r="G705" s="1407">
        <f>VLOOKUP($B705,[2]BOLETIM_SEL!$A:$H,7,0)</f>
        <v>1.38</v>
      </c>
      <c r="H705" s="1608">
        <f>+Orçamento_Não_Deson!H705</f>
        <v>21328.26</v>
      </c>
      <c r="I705" s="876">
        <f>+TRUNC(G705*(1+$J$5),2)</f>
        <v>1.76</v>
      </c>
      <c r="J705" s="1607">
        <f>TRUNC(H705*I705,2)</f>
        <v>37537.730000000003</v>
      </c>
      <c r="K705" s="2069">
        <f ca="1">J705/J$930</f>
        <v>9.9352596904151054E-3</v>
      </c>
      <c r="L705" s="1570">
        <f>J705/$J$645</f>
        <v>1.9887689534414065E-2</v>
      </c>
      <c r="M705" s="1976">
        <f>+Orçamento_Não_Deson!M705</f>
        <v>1122.54</v>
      </c>
      <c r="N705" s="832"/>
      <c r="O705" s="832"/>
      <c r="Q705" s="832"/>
      <c r="R705" s="832"/>
      <c r="S705" s="832"/>
      <c r="T705" s="832"/>
      <c r="U705" s="832"/>
      <c r="V705" s="832"/>
      <c r="W705" s="832"/>
      <c r="X705" s="832"/>
    </row>
    <row r="706" spans="1:24" s="812" customFormat="1" ht="24.95" hidden="1" customHeight="1" x14ac:dyDescent="0.15">
      <c r="A706" s="2072"/>
      <c r="B706" s="833"/>
      <c r="C706" s="2"/>
      <c r="D706" s="1449" t="s">
        <v>1755</v>
      </c>
      <c r="E706" s="2"/>
      <c r="F706" s="2"/>
      <c r="G706" s="1407"/>
      <c r="H706" s="2"/>
      <c r="I706" s="2"/>
      <c r="J706" s="838" t="str">
        <f>IF(J707=0,"-","")</f>
        <v>-</v>
      </c>
      <c r="K706" s="2069"/>
      <c r="L706" s="1570"/>
      <c r="M706" s="1967"/>
      <c r="N706" s="832"/>
      <c r="O706" s="832"/>
      <c r="Q706" s="832"/>
      <c r="R706" s="832"/>
      <c r="S706" s="832"/>
      <c r="T706" s="832"/>
      <c r="U706" s="832"/>
      <c r="V706" s="832"/>
      <c r="W706" s="832"/>
      <c r="X706" s="832"/>
    </row>
    <row r="707" spans="1:24" s="812" customFormat="1" ht="39.950000000000003" hidden="1" customHeight="1" x14ac:dyDescent="0.15">
      <c r="A707" s="2072">
        <f ca="1">+Orçamento_Não_Deson!A707</f>
        <v>8.1099999999999977</v>
      </c>
      <c r="B707" s="833">
        <f>+Orçamento_Não_Deson!B707</f>
        <v>102332</v>
      </c>
      <c r="C707" s="2" t="str">
        <f>VLOOKUP($B707,[2]BOLETIM_SEL!$A:$H,2,0)</f>
        <v>SINAPI</v>
      </c>
      <c r="D707" s="315" t="str">
        <f>VLOOKUP($B707,[2]BOLETIM_SEL!$A:$H,4,0)</f>
        <v>Transporte com caminhão tanque de transporte de material asfáltico de 20.000 l, em via urbana pavimentada, DMT até 30,00 km (unidade: txkm). AF_07/2020</v>
      </c>
      <c r="E707" s="2">
        <f>+Orçamento_Não_Deson!E707</f>
        <v>19</v>
      </c>
      <c r="F707" s="2" t="str">
        <f>VLOOKUP($B707,[2]BOLETIM_SEL!$A:$H,6,0)</f>
        <v>TXKM</v>
      </c>
      <c r="G707" s="1407">
        <f>VLOOKUP($B707,[2]BOLETIM_SEL!$A:$H,7,0)</f>
        <v>1.74</v>
      </c>
      <c r="H707" s="1608">
        <f>+Orçamento_Não_Deson!H707</f>
        <v>0</v>
      </c>
      <c r="I707" s="876">
        <f>+TRUNC(G707*(1+$J$5),2)</f>
        <v>2.23</v>
      </c>
      <c r="J707" s="1607">
        <f>TRUNC(H707*I707,2)</f>
        <v>0</v>
      </c>
      <c r="K707" s="2069">
        <f ca="1">J707/J$930</f>
        <v>0</v>
      </c>
      <c r="L707" s="1570">
        <f>J707/$J$645</f>
        <v>0</v>
      </c>
      <c r="M707" s="1976">
        <f>+Orçamento_Não_Deson!M707</f>
        <v>0</v>
      </c>
      <c r="N707" s="832"/>
      <c r="O707" s="832"/>
      <c r="Q707" s="832"/>
      <c r="R707" s="832"/>
      <c r="S707" s="832"/>
      <c r="T707" s="832"/>
      <c r="U707" s="832"/>
      <c r="V707" s="832"/>
      <c r="W707" s="832"/>
      <c r="X707" s="832"/>
    </row>
    <row r="708" spans="1:24" s="812" customFormat="1" ht="24.95" customHeight="1" x14ac:dyDescent="0.15">
      <c r="A708" s="2072"/>
      <c r="B708" s="833"/>
      <c r="C708" s="2"/>
      <c r="D708" s="1449" t="s">
        <v>1754</v>
      </c>
      <c r="E708" s="2"/>
      <c r="F708" s="2"/>
      <c r="G708" s="1407"/>
      <c r="H708" s="2"/>
      <c r="I708" s="2"/>
      <c r="J708" s="838" t="str">
        <f>IF(J709=0,"-","")</f>
        <v/>
      </c>
      <c r="K708" s="2069"/>
      <c r="L708" s="1570"/>
      <c r="M708" s="1967"/>
      <c r="N708" s="832"/>
      <c r="O708" s="832"/>
      <c r="Q708" s="832"/>
      <c r="R708" s="832"/>
      <c r="S708" s="832"/>
      <c r="T708" s="832"/>
      <c r="U708" s="832"/>
      <c r="V708" s="832"/>
      <c r="W708" s="832"/>
      <c r="X708" s="832"/>
    </row>
    <row r="709" spans="1:24" s="812" customFormat="1" ht="39.950000000000003" customHeight="1" x14ac:dyDescent="0.15">
      <c r="A709" s="2072">
        <f ca="1">+Orçamento_Não_Deson!A709</f>
        <v>8.1199999999999974</v>
      </c>
      <c r="B709" s="833">
        <f>+Orçamento_Não_Deson!B709</f>
        <v>102332</v>
      </c>
      <c r="C709" s="2" t="str">
        <f>VLOOKUP($B709,[2]BOLETIM_SEL!$A:$H,2,0)</f>
        <v>SINAPI</v>
      </c>
      <c r="D709" s="315" t="str">
        <f>VLOOKUP($B709,[2]BOLETIM_SEL!$A:$H,4,0)</f>
        <v>Transporte com caminhão tanque de transporte de material asfáltico de 20.000 l, em via urbana pavimentada, DMT até 30,00 km (unidade: txkm). AF_07/2020</v>
      </c>
      <c r="E709" s="2">
        <f>+Orçamento_Não_Deson!E709</f>
        <v>19</v>
      </c>
      <c r="F709" s="2" t="str">
        <f>VLOOKUP($B709,[2]BOLETIM_SEL!$A:$H,6,0)</f>
        <v>TXKM</v>
      </c>
      <c r="G709" s="1407">
        <f>VLOOKUP($B709,[2]BOLETIM_SEL!$A:$H,7,0)</f>
        <v>1.74</v>
      </c>
      <c r="H709" s="1608">
        <f>+Orçamento_Não_Deson!H709</f>
        <v>409.64</v>
      </c>
      <c r="I709" s="876">
        <f>+TRUNC(G709*(1+$J$5),2)</f>
        <v>2.23</v>
      </c>
      <c r="J709" s="1607">
        <f>TRUNC(H709*I709,2)</f>
        <v>913.49</v>
      </c>
      <c r="K709" s="2069">
        <f ca="1">J709/J$930</f>
        <v>2.417770167401517E-4</v>
      </c>
      <c r="L709" s="1570">
        <f>J709/$J$645</f>
        <v>4.839718734401868E-4</v>
      </c>
      <c r="M709" s="1976">
        <f>+Orçamento_Não_Deson!M709</f>
        <v>21.56</v>
      </c>
      <c r="N709" s="832"/>
      <c r="O709" s="832"/>
      <c r="Q709" s="832"/>
      <c r="R709" s="832"/>
      <c r="S709" s="832"/>
      <c r="T709" s="832"/>
      <c r="U709" s="832"/>
      <c r="V709" s="832"/>
      <c r="W709" s="832"/>
      <c r="X709" s="832"/>
    </row>
    <row r="710" spans="1:24" s="812" customFormat="1" ht="24.95" hidden="1" customHeight="1" x14ac:dyDescent="0.15">
      <c r="A710" s="2072"/>
      <c r="B710" s="833"/>
      <c r="C710" s="2"/>
      <c r="D710" s="1449" t="s">
        <v>1789</v>
      </c>
      <c r="E710" s="2"/>
      <c r="F710" s="2"/>
      <c r="G710" s="1407"/>
      <c r="H710" s="2"/>
      <c r="I710" s="2"/>
      <c r="J710" s="838" t="str">
        <f>IF(J711=0,"-","")</f>
        <v>-</v>
      </c>
      <c r="K710" s="2069"/>
      <c r="L710" s="1570"/>
      <c r="M710" s="1967"/>
      <c r="N710" s="832"/>
      <c r="O710" s="832"/>
      <c r="Q710" s="832"/>
      <c r="R710" s="832"/>
      <c r="S710" s="832"/>
      <c r="T710" s="832"/>
      <c r="U710" s="832"/>
      <c r="V710" s="832"/>
      <c r="W710" s="832"/>
      <c r="X710" s="832"/>
    </row>
    <row r="711" spans="1:24" s="812" customFormat="1" ht="39.950000000000003" hidden="1" customHeight="1" x14ac:dyDescent="0.15">
      <c r="A711" s="2072">
        <f ca="1">+Orçamento_Não_Deson!A711</f>
        <v>8.1199999999999974</v>
      </c>
      <c r="B711" s="833">
        <f>+Orçamento_Não_Deson!B711</f>
        <v>102332</v>
      </c>
      <c r="C711" s="2" t="str">
        <f>VLOOKUP($B711,[2]BOLETIM_SEL!$A:$H,2,0)</f>
        <v>SINAPI</v>
      </c>
      <c r="D711" s="315" t="str">
        <f>VLOOKUP($B711,[2]BOLETIM_SEL!$A:$H,4,0)</f>
        <v>Transporte com caminhão tanque de transporte de material asfáltico de 20.000 l, em via urbana pavimentada, DMT até 30,00 km (unidade: txkm). AF_07/2020</v>
      </c>
      <c r="E711" s="2">
        <f>+Orçamento_Não_Deson!E711</f>
        <v>0</v>
      </c>
      <c r="F711" s="2" t="str">
        <f>VLOOKUP($B711,[2]BOLETIM_SEL!$A:$H,6,0)</f>
        <v>TXKM</v>
      </c>
      <c r="G711" s="1407">
        <f>VLOOKUP($B711,[2]BOLETIM_SEL!$A:$H,7,0)</f>
        <v>1.74</v>
      </c>
      <c r="H711" s="1608">
        <f>+Orçamento_Não_Deson!H711</f>
        <v>0</v>
      </c>
      <c r="I711" s="876">
        <f>+TRUNC(G711*(1+$J$5),2)</f>
        <v>2.23</v>
      </c>
      <c r="J711" s="1607">
        <f>TRUNC(H711*I711,2)</f>
        <v>0</v>
      </c>
      <c r="K711" s="2069">
        <f ca="1">J711/J$930</f>
        <v>0</v>
      </c>
      <c r="L711" s="1570">
        <f t="shared" ref="L711:L717" si="145">J711/$J$645</f>
        <v>0</v>
      </c>
      <c r="M711" s="1976">
        <f>+Orçamento_Não_Deson!M711</f>
        <v>0</v>
      </c>
      <c r="N711" s="832"/>
      <c r="O711" s="832"/>
      <c r="Q711" s="832"/>
      <c r="R711" s="832"/>
      <c r="S711" s="832"/>
      <c r="T711" s="832"/>
      <c r="U711" s="832"/>
      <c r="V711" s="832"/>
      <c r="W711" s="832"/>
      <c r="X711" s="832"/>
    </row>
    <row r="712" spans="1:24" s="812" customFormat="1" ht="24.95" hidden="1" customHeight="1" x14ac:dyDescent="0.15">
      <c r="A712" s="2072"/>
      <c r="B712" s="833"/>
      <c r="C712" s="2"/>
      <c r="D712" s="1449" t="s">
        <v>1756</v>
      </c>
      <c r="E712" s="2"/>
      <c r="F712" s="2"/>
      <c r="G712" s="1407"/>
      <c r="H712" s="2"/>
      <c r="I712" s="2"/>
      <c r="J712" s="838" t="str">
        <f>IF(J713=0,"-","")</f>
        <v>-</v>
      </c>
      <c r="K712" s="2069"/>
      <c r="L712" s="1570"/>
      <c r="M712" s="1967"/>
      <c r="N712" s="832"/>
      <c r="O712" s="832"/>
      <c r="Q712" s="832"/>
      <c r="R712" s="832"/>
      <c r="S712" s="832"/>
      <c r="T712" s="832"/>
      <c r="U712" s="832"/>
      <c r="V712" s="832"/>
      <c r="W712" s="832"/>
      <c r="X712" s="832"/>
    </row>
    <row r="713" spans="1:24" s="812" customFormat="1" ht="39.950000000000003" hidden="1" customHeight="1" x14ac:dyDescent="0.15">
      <c r="A713" s="2072">
        <f ca="1">+Orçamento_Não_Deson!A713</f>
        <v>8.1199999999999974</v>
      </c>
      <c r="B713" s="833">
        <f>+Orçamento_Não_Deson!B713</f>
        <v>102333</v>
      </c>
      <c r="C713" s="2" t="str">
        <f>VLOOKUP($B713,[2]BOLETIM_SEL!$A:$H,2,0)</f>
        <v>SINAPI</v>
      </c>
      <c r="D713" s="315" t="str">
        <f>VLOOKUP($B713,[2]BOLETIM_SEL!$A:$H,4,0)</f>
        <v>Transporte com caminhão tanque de transporte de material asfáltico de 20.000 l, em via urbana pavimentada, adicional para DMT excedente a 30,00 km (unidade: txkm). AF_07/2020</v>
      </c>
      <c r="E713" s="2">
        <f>+Orçamento_Não_Deson!E713</f>
        <v>0</v>
      </c>
      <c r="F713" s="2" t="str">
        <f>VLOOKUP($B713,[2]BOLETIM_SEL!$A:$H,6,0)</f>
        <v>TXKM</v>
      </c>
      <c r="G713" s="1407">
        <f>VLOOKUP($B713,[2]BOLETIM_SEL!$A:$H,7,0)</f>
        <v>0.7</v>
      </c>
      <c r="H713" s="1608">
        <f>+Orçamento_Não_Deson!H713</f>
        <v>0</v>
      </c>
      <c r="I713" s="876">
        <f>+TRUNC(G713*(1+$J$5),2)</f>
        <v>0.89</v>
      </c>
      <c r="J713" s="1607">
        <f>TRUNC(H713*I713,2)</f>
        <v>0</v>
      </c>
      <c r="K713" s="2069">
        <f ca="1">J713/J$930</f>
        <v>0</v>
      </c>
      <c r="L713" s="1570">
        <f t="shared" si="145"/>
        <v>0</v>
      </c>
      <c r="M713" s="1976">
        <f>+Orçamento_Não_Deson!M713</f>
        <v>0</v>
      </c>
      <c r="N713" s="832"/>
      <c r="O713" s="832"/>
      <c r="Q713" s="832"/>
      <c r="R713" s="832"/>
      <c r="S713" s="832"/>
      <c r="T713" s="832"/>
      <c r="U713" s="832"/>
      <c r="V713" s="832"/>
      <c r="W713" s="832"/>
      <c r="X713" s="832"/>
    </row>
    <row r="714" spans="1:24" s="812" customFormat="1" ht="24.95" hidden="1" customHeight="1" x14ac:dyDescent="0.15">
      <c r="A714" s="2072"/>
      <c r="B714" s="833"/>
      <c r="C714" s="2"/>
      <c r="D714" s="1449" t="s">
        <v>1812</v>
      </c>
      <c r="E714" s="2"/>
      <c r="F714" s="2"/>
      <c r="G714" s="1407"/>
      <c r="H714" s="2"/>
      <c r="I714" s="2"/>
      <c r="J714" s="838" t="str">
        <f>IF(J715=0,"-","")</f>
        <v>-</v>
      </c>
      <c r="K714" s="2069"/>
      <c r="L714" s="1570"/>
      <c r="M714" s="1967"/>
      <c r="N714" s="832"/>
      <c r="O714" s="832"/>
      <c r="Q714" s="832"/>
      <c r="R714" s="832"/>
      <c r="S714" s="832"/>
      <c r="T714" s="832"/>
      <c r="U714" s="832"/>
      <c r="V714" s="832"/>
      <c r="W714" s="832"/>
      <c r="X714" s="832"/>
    </row>
    <row r="715" spans="1:24" s="812" customFormat="1" ht="30" hidden="1" customHeight="1" x14ac:dyDescent="0.15">
      <c r="A715" s="2072">
        <f ca="1">+Orçamento_Não_Deson!A715</f>
        <v>8.1199999999999974</v>
      </c>
      <c r="B715" s="833">
        <f>+Orçamento_Não_Deson!B715</f>
        <v>100947</v>
      </c>
      <c r="C715" s="2" t="str">
        <f>VLOOKUP($B715,[2]BOLETIM_SEL!$A:$H,2,0)</f>
        <v>SINAPI</v>
      </c>
      <c r="D715" s="315" t="str">
        <f>VLOOKUP($B715,[2]BOLETIM_SEL!$A:$H,4,0)</f>
        <v>Transporte com caminhão carroceria 9t, em via urbana pavimentada, DMT até 30,00 km (unidade: txkm). AF_07/2020</v>
      </c>
      <c r="E715" s="2">
        <f>+Orçamento_Não_Deson!E715</f>
        <v>0</v>
      </c>
      <c r="F715" s="2" t="str">
        <f>VLOOKUP($B715,[2]BOLETIM_SEL!$A:$H,6,0)</f>
        <v>TXKM</v>
      </c>
      <c r="G715" s="1407">
        <f>VLOOKUP($B715,[2]BOLETIM_SEL!$A:$H,7,0)</f>
        <v>2.08</v>
      </c>
      <c r="H715" s="1608">
        <f>+Orçamento_Não_Deson!H715</f>
        <v>0</v>
      </c>
      <c r="I715" s="876">
        <f>+TRUNC(G715*(1+$J$5),2)</f>
        <v>2.66</v>
      </c>
      <c r="J715" s="1607">
        <f>TRUNC(H715*I715,2)</f>
        <v>0</v>
      </c>
      <c r="K715" s="2069">
        <f ca="1">J715/J$930</f>
        <v>0</v>
      </c>
      <c r="L715" s="1570">
        <f t="shared" si="145"/>
        <v>0</v>
      </c>
      <c r="M715" s="1967"/>
      <c r="N715" s="832"/>
      <c r="O715" s="832"/>
      <c r="Q715" s="832"/>
      <c r="R715" s="832"/>
      <c r="S715" s="832"/>
      <c r="T715" s="832"/>
      <c r="U715" s="832"/>
      <c r="V715" s="832"/>
      <c r="W715" s="832"/>
      <c r="X715" s="832"/>
    </row>
    <row r="716" spans="1:24" s="812" customFormat="1" ht="24.95" hidden="1" customHeight="1" x14ac:dyDescent="0.15">
      <c r="A716" s="2072"/>
      <c r="B716" s="833"/>
      <c r="C716" s="2"/>
      <c r="D716" s="1449" t="s">
        <v>1824</v>
      </c>
      <c r="E716" s="2"/>
      <c r="F716" s="2"/>
      <c r="G716" s="1407"/>
      <c r="H716" s="2"/>
      <c r="I716" s="2"/>
      <c r="J716" s="838" t="str">
        <f>IF(J717=0,"-","")</f>
        <v>-</v>
      </c>
      <c r="K716" s="2069"/>
      <c r="L716" s="1570"/>
      <c r="M716" s="1967"/>
      <c r="N716" s="832"/>
      <c r="O716" s="832"/>
      <c r="Q716" s="832"/>
      <c r="R716" s="832"/>
      <c r="S716" s="832"/>
      <c r="T716" s="832"/>
      <c r="U716" s="832"/>
      <c r="V716" s="832"/>
      <c r="W716" s="832"/>
      <c r="X716" s="832"/>
    </row>
    <row r="717" spans="1:24" s="812" customFormat="1" ht="39.950000000000003" hidden="1" customHeight="1" x14ac:dyDescent="0.15">
      <c r="A717" s="2072">
        <f ca="1">+Orçamento_Não_Deson!A717</f>
        <v>8.1199999999999974</v>
      </c>
      <c r="B717" s="833">
        <f>+Orçamento_Não_Deson!B717</f>
        <v>100947</v>
      </c>
      <c r="C717" s="2" t="str">
        <f>VLOOKUP($B717,[2]BOLETIM_SEL!$A:$H,2,0)</f>
        <v>SINAPI</v>
      </c>
      <c r="D717" s="315" t="str">
        <f>VLOOKUP($B717,[2]BOLETIM_SEL!$A:$H,4,0)</f>
        <v>Transporte com caminhão carroceria 9t, em via urbana pavimentada, DMT até 30,00 km (unidade: txkm). AF_07/2020</v>
      </c>
      <c r="E717" s="2">
        <f>+Orçamento_Não_Deson!E717</f>
        <v>22</v>
      </c>
      <c r="F717" s="2" t="str">
        <f>VLOOKUP($B717,[2]BOLETIM_SEL!$A:$H,6,0)</f>
        <v>TXKM</v>
      </c>
      <c r="G717" s="1407">
        <f>VLOOKUP($B717,[2]BOLETIM_SEL!$A:$H,7,0)</f>
        <v>2.08</v>
      </c>
      <c r="H717" s="1608">
        <f>+Orçamento_Não_Deson!H717</f>
        <v>0</v>
      </c>
      <c r="I717" s="876">
        <f>+TRUNC(G717*(1+$J$5),2)</f>
        <v>2.66</v>
      </c>
      <c r="J717" s="1607">
        <f>TRUNC(H717*I717,2)</f>
        <v>0</v>
      </c>
      <c r="K717" s="2069">
        <f ca="1">J717/J$930</f>
        <v>0</v>
      </c>
      <c r="L717" s="1570">
        <f t="shared" si="145"/>
        <v>0</v>
      </c>
      <c r="M717" s="1967"/>
      <c r="N717" s="832"/>
      <c r="O717" s="832"/>
      <c r="Q717" s="832"/>
      <c r="R717" s="832"/>
      <c r="S717" s="832"/>
      <c r="T717" s="832"/>
      <c r="U717" s="832"/>
      <c r="V717" s="832"/>
      <c r="W717" s="832"/>
      <c r="X717" s="832"/>
    </row>
    <row r="718" spans="1:24" s="812" customFormat="1" ht="24.95" customHeight="1" x14ac:dyDescent="0.15">
      <c r="A718" s="2072"/>
      <c r="B718" s="833"/>
      <c r="C718" s="833"/>
      <c r="D718" s="834"/>
      <c r="E718" s="2"/>
      <c r="F718" s="833"/>
      <c r="G718" s="1407"/>
      <c r="H718" s="1"/>
      <c r="I718" s="876"/>
      <c r="J718" s="838" t="str">
        <f>IF(J645=0,0,"")</f>
        <v/>
      </c>
      <c r="K718" s="2069"/>
      <c r="L718" s="1570"/>
      <c r="M718" s="1826"/>
      <c r="N718" s="832"/>
      <c r="O718" s="832"/>
      <c r="Q718" s="832"/>
      <c r="R718" s="832"/>
      <c r="S718" s="832"/>
      <c r="T718" s="832"/>
      <c r="U718" s="832"/>
      <c r="V718" s="832"/>
      <c r="W718" s="832"/>
      <c r="X718" s="832"/>
    </row>
    <row r="719" spans="1:24" s="832" customFormat="1" ht="24.95" customHeight="1" x14ac:dyDescent="0.15">
      <c r="A719" s="2073">
        <f ca="1">IF(J719&gt;0,INT(A717)+1,IF(J719=0,INT(A717),0))</f>
        <v>9</v>
      </c>
      <c r="B719" s="1626"/>
      <c r="C719" s="1626"/>
      <c r="D719" s="1627" t="s">
        <v>36</v>
      </c>
      <c r="E719" s="1821"/>
      <c r="F719" s="1628"/>
      <c r="G719" s="1813" t="s">
        <v>651</v>
      </c>
      <c r="H719" s="1630"/>
      <c r="I719" s="1633" t="str">
        <f ca="1">CONCATENATE("SUB-TOTAL ",A719)</f>
        <v>SUB-TOTAL 9</v>
      </c>
      <c r="J719" s="1632">
        <f>SUM(J720:J750)</f>
        <v>259930.96999999997</v>
      </c>
      <c r="K719" s="2070">
        <f t="shared" ref="K719:K748" ca="1" si="146">J719/J$930</f>
        <v>6.8796959446708619E-2</v>
      </c>
      <c r="L719" s="1605">
        <f t="shared" ref="L719:L748" si="147">J719/$J$719</f>
        <v>1</v>
      </c>
      <c r="N719" s="1957" t="s">
        <v>1951</v>
      </c>
      <c r="O719" s="1648" t="s">
        <v>1977</v>
      </c>
    </row>
    <row r="720" spans="1:24" s="812" customFormat="1" ht="39.950000000000003" customHeight="1" x14ac:dyDescent="0.15">
      <c r="A720" s="2072">
        <f ca="1">+Orçamento_Não_Deson!A720</f>
        <v>9.01</v>
      </c>
      <c r="B720" s="833" t="str">
        <f>+Orçamento_Não_Deson!B720</f>
        <v>SC/0005</v>
      </c>
      <c r="C720" s="2" t="str">
        <f>VLOOKUP($B720,[2]BOLETIM_SEL!$A:$H,2,0)</f>
        <v>COMPOSIÇÃO</v>
      </c>
      <c r="D720" s="315" t="str">
        <f>VLOOKUP($B720,[2]BOLETIM_SEL!$A:$H,4,0)</f>
        <v>Meio-fio (guia) com sarjeta, concreto FCK = 15mpa, seção 615 cm², moldado no local, inclusive escavação e pintura a cal em uma demão</v>
      </c>
      <c r="E720" s="2">
        <f>+Orçamento_Não_Deson!E720</f>
        <v>0</v>
      </c>
      <c r="F720" s="2" t="str">
        <f>VLOOKUP($B720,[2]BOLETIM_SEL!$A:$H,6,0)</f>
        <v>M</v>
      </c>
      <c r="G720" s="1407">
        <f>VLOOKUP($B720,[2]BOLETIM_SEL!$A:$H,7,0)</f>
        <v>51.27</v>
      </c>
      <c r="H720" s="1608">
        <f>+Orçamento_Não_Deson!H720</f>
        <v>3392.16</v>
      </c>
      <c r="I720" s="876">
        <f t="shared" ref="I720:I748" si="148">+TRUNC(G720*(1+$J$5),2)</f>
        <v>65.709999999999994</v>
      </c>
      <c r="J720" s="1607">
        <f>TRUNC(H720*I720,2)</f>
        <v>222898.83</v>
      </c>
      <c r="K720" s="2069">
        <f t="shared" ca="1" si="146"/>
        <v>5.8995516264294327E-2</v>
      </c>
      <c r="L720" s="1570">
        <f t="shared" si="147"/>
        <v>0.8575308667528152</v>
      </c>
      <c r="M720" s="1968" t="str">
        <f>+Orçamento_Não_Deson!M720</f>
        <v>EXTRUSÃO</v>
      </c>
      <c r="N720" s="1958">
        <f>VLOOKUP($B720,[2]BOLETIM_SEL!$A:$H,3,0)</f>
        <v>11.06</v>
      </c>
      <c r="O720" s="1645">
        <f t="shared" ref="O720:O726" si="149">+H720/N720</f>
        <v>306.70524412296561</v>
      </c>
      <c r="Q720" s="832"/>
      <c r="R720" s="832"/>
      <c r="S720" s="832"/>
      <c r="T720" s="832"/>
      <c r="U720" s="832"/>
      <c r="V720" s="832"/>
      <c r="W720" s="832"/>
      <c r="X720" s="832"/>
    </row>
    <row r="721" spans="1:24" s="812" customFormat="1" ht="39.950000000000003" hidden="1" customHeight="1" x14ac:dyDescent="0.15">
      <c r="A721" s="2072">
        <f ca="1">+Orçamento_Não_Deson!A721</f>
        <v>9.01</v>
      </c>
      <c r="B721" s="833" t="str">
        <f>+Orçamento_Não_Deson!B721</f>
        <v>SC/0010</v>
      </c>
      <c r="C721" s="2" t="str">
        <f>VLOOKUP($B721,[2]BOLETIM_SEL!$A:$H,2,0)</f>
        <v>COMPOSIÇÃO</v>
      </c>
      <c r="D721" s="315" t="str">
        <f>VLOOKUP($B721,[2]BOLETIM_SEL!$A:$H,4,0)</f>
        <v>Meio-fio (guia) simples, concreto FCK = 15mpa, seção 285cm2, moldado no local, inclusive escavação e pintura a cal em uma demão</v>
      </c>
      <c r="E721" s="2">
        <f>+Orçamento_Não_Deson!E721</f>
        <v>0</v>
      </c>
      <c r="F721" s="2" t="str">
        <f>VLOOKUP($B721,[2]BOLETIM_SEL!$A:$H,6,0)</f>
        <v>M</v>
      </c>
      <c r="G721" s="1407">
        <f>VLOOKUP($B721,[2]BOLETIM_SEL!$A:$H,7,0)</f>
        <v>24.8</v>
      </c>
      <c r="H721" s="1608">
        <f>+Orçamento_Não_Deson!H721</f>
        <v>0</v>
      </c>
      <c r="I721" s="876">
        <f t="shared" si="148"/>
        <v>31.78</v>
      </c>
      <c r="J721" s="1607">
        <f>TRUNC(H721*I721,2)</f>
        <v>0</v>
      </c>
      <c r="K721" s="2069">
        <f t="shared" ca="1" si="146"/>
        <v>0</v>
      </c>
      <c r="L721" s="1570">
        <f t="shared" si="147"/>
        <v>0</v>
      </c>
      <c r="M721" s="1968" t="str">
        <f>+Orçamento_Não_Deson!M721</f>
        <v>EXTRUSÃO</v>
      </c>
      <c r="N721" s="1958">
        <f>VLOOKUP($B721,[2]BOLETIM_SEL!$A:$H,3,0)</f>
        <v>23.86</v>
      </c>
      <c r="O721" s="1645">
        <f t="shared" si="149"/>
        <v>0</v>
      </c>
      <c r="Q721" s="832"/>
      <c r="R721" s="832"/>
      <c r="S721" s="832"/>
      <c r="T721" s="832"/>
      <c r="U721" s="832"/>
      <c r="V721" s="832"/>
      <c r="W721" s="832"/>
      <c r="X721" s="832"/>
    </row>
    <row r="722" spans="1:24" s="812" customFormat="1" ht="39.950000000000003" hidden="1" customHeight="1" x14ac:dyDescent="0.15">
      <c r="A722" s="2072">
        <f ca="1">+Orçamento_Não_Deson!A722</f>
        <v>9.01</v>
      </c>
      <c r="B722" s="833" t="str">
        <f>+Orçamento_Não_Deson!B722</f>
        <v>SC/0065</v>
      </c>
      <c r="C722" s="2" t="str">
        <f>VLOOKUP($B722,[2]BOLETIM_SEL!$A:$H,2,0)</f>
        <v>COMPOSIÇÃO</v>
      </c>
      <c r="D722" s="315" t="str">
        <f>VLOOKUP($B722,[2]BOLETIM_SEL!$A:$H,4,0)</f>
        <v>Guia para canteiro e ciclovia, concreto FCK = 15mpa, seção 150cm², moldado no local com extrusora, inclusive pintura a cal em uma demão</v>
      </c>
      <c r="E722" s="2">
        <f>+Orçamento_Não_Deson!E722</f>
        <v>0</v>
      </c>
      <c r="F722" s="2" t="str">
        <f>VLOOKUP($B722,[2]BOLETIM_SEL!$A:$H,6,0)</f>
        <v>M</v>
      </c>
      <c r="G722" s="1407">
        <f>VLOOKUP($B722,[2]BOLETIM_SEL!$A:$H,7,0)</f>
        <v>15.72</v>
      </c>
      <c r="H722" s="1608">
        <f>+Orçamento_Não_Deson!H722</f>
        <v>0</v>
      </c>
      <c r="I722" s="876">
        <f t="shared" si="148"/>
        <v>20.14</v>
      </c>
      <c r="J722" s="1607">
        <f t="shared" ref="J722:J748" si="150">TRUNC(H722*I722,2)</f>
        <v>0</v>
      </c>
      <c r="K722" s="2069">
        <f t="shared" ca="1" si="146"/>
        <v>0</v>
      </c>
      <c r="L722" s="1570">
        <f t="shared" si="147"/>
        <v>0</v>
      </c>
      <c r="M722" s="1968" t="str">
        <f>+Orçamento_Não_Deson!M722</f>
        <v>EXTRUSÃO</v>
      </c>
      <c r="N722" s="1958">
        <f>VLOOKUP($B722,[2]BOLETIM_SEL!$A:$H,3,0)</f>
        <v>26.88</v>
      </c>
      <c r="O722" s="1645">
        <f t="shared" si="149"/>
        <v>0</v>
      </c>
      <c r="Q722" s="832"/>
      <c r="R722" s="832"/>
      <c r="S722" s="832"/>
      <c r="T722" s="832"/>
      <c r="U722" s="832"/>
      <c r="V722" s="832"/>
      <c r="W722" s="832"/>
      <c r="X722" s="832"/>
    </row>
    <row r="723" spans="1:24" s="812" customFormat="1" ht="39.950000000000003" hidden="1" customHeight="1" x14ac:dyDescent="0.15">
      <c r="A723" s="2072">
        <f ca="1">+Orçamento_Não_Deson!A723</f>
        <v>9.01</v>
      </c>
      <c r="B723" s="833" t="str">
        <f>+Orçamento_Não_Deson!B723</f>
        <v>SC/0020</v>
      </c>
      <c r="C723" s="2" t="str">
        <f>VLOOKUP($B723,[2]BOLETIM_SEL!$A:$H,2,0)</f>
        <v>COMPOSIÇÃO</v>
      </c>
      <c r="D723" s="315" t="str">
        <f>VLOOKUP($B723,[2]BOLETIM_SEL!$A:$H,4,0)</f>
        <v>Meio-fio (guia) para rotatórias e ilhas, concreto FCK = 15mpa, seção 875cm2, moldado no local, inclusive escavação e pintura a cal em uma demão</v>
      </c>
      <c r="E723" s="2">
        <f>+Orçamento_Não_Deson!E723</f>
        <v>0</v>
      </c>
      <c r="F723" s="2" t="str">
        <f>VLOOKUP($B723,[2]BOLETIM_SEL!$A:$H,6,0)</f>
        <v>M</v>
      </c>
      <c r="G723" s="1407">
        <f>VLOOKUP($B723,[2]BOLETIM_SEL!$A:$H,7,0)</f>
        <v>74.42</v>
      </c>
      <c r="H723" s="1608">
        <f>+Orçamento_Não_Deson!H723</f>
        <v>0</v>
      </c>
      <c r="I723" s="876">
        <f t="shared" si="148"/>
        <v>95.38</v>
      </c>
      <c r="J723" s="1607">
        <f t="shared" si="150"/>
        <v>0</v>
      </c>
      <c r="K723" s="2069">
        <f t="shared" ca="1" si="146"/>
        <v>0</v>
      </c>
      <c r="L723" s="1570">
        <f t="shared" si="147"/>
        <v>0</v>
      </c>
      <c r="M723" s="1967"/>
      <c r="N723" s="1958">
        <f>VLOOKUP($B723,[2]BOLETIM_SEL!$A:$H,3,0)</f>
        <v>7.77</v>
      </c>
      <c r="O723" s="1645">
        <f t="shared" si="149"/>
        <v>0</v>
      </c>
      <c r="Q723" s="832"/>
      <c r="R723" s="832"/>
      <c r="S723" s="832"/>
      <c r="T723" s="832"/>
      <c r="U723" s="832"/>
      <c r="V723" s="832"/>
      <c r="W723" s="832"/>
      <c r="X723" s="832"/>
    </row>
    <row r="724" spans="1:24" s="812" customFormat="1" ht="30" hidden="1" customHeight="1" x14ac:dyDescent="0.15">
      <c r="A724" s="2072">
        <f ca="1">+Orçamento_Não_Deson!A724</f>
        <v>9.01</v>
      </c>
      <c r="B724" s="833" t="str">
        <f>+Orçamento_Não_Deson!B724</f>
        <v>SC/0030</v>
      </c>
      <c r="C724" s="2" t="str">
        <f>VLOOKUP($B724,[2]BOLETIM_SEL!$A:$H,2,0)</f>
        <v>COMPOSIÇÃO</v>
      </c>
      <c r="D724" s="315" t="str">
        <f>VLOOKUP($B724,[2]BOLETIM_SEL!$A:$H,4,0)</f>
        <v xml:space="preserve">Tento (acabamento de limpa-rodas), concreto FCK = 15 mpa, seção 330cm², moldado no local, inclusive escavação </v>
      </c>
      <c r="E724" s="2">
        <f>+Orçamento_Não_Deson!E724</f>
        <v>0</v>
      </c>
      <c r="F724" s="2" t="str">
        <f>VLOOKUP($B724,[2]BOLETIM_SEL!$A:$H,6,0)</f>
        <v>M</v>
      </c>
      <c r="G724" s="1407">
        <f>VLOOKUP($B724,[2]BOLETIM_SEL!$A:$H,7,0)</f>
        <v>27.62</v>
      </c>
      <c r="H724" s="1608">
        <f>+Orçamento_Não_Deson!H724</f>
        <v>0</v>
      </c>
      <c r="I724" s="876">
        <f t="shared" si="148"/>
        <v>35.4</v>
      </c>
      <c r="J724" s="1607">
        <f t="shared" si="150"/>
        <v>0</v>
      </c>
      <c r="K724" s="2069">
        <f t="shared" ca="1" si="146"/>
        <v>0</v>
      </c>
      <c r="L724" s="1570">
        <f t="shared" si="147"/>
        <v>0</v>
      </c>
      <c r="M724" s="1967"/>
      <c r="N724" s="1958">
        <f>VLOOKUP($B724,[2]BOLETIM_SEL!$A:$H,3,0)</f>
        <v>20.61</v>
      </c>
      <c r="O724" s="1645">
        <f t="shared" si="149"/>
        <v>0</v>
      </c>
      <c r="Q724" s="832"/>
      <c r="R724" s="832"/>
      <c r="S724" s="832"/>
      <c r="T724" s="832"/>
      <c r="U724" s="832"/>
      <c r="V724" s="832"/>
      <c r="W724" s="832"/>
      <c r="X724" s="832"/>
    </row>
    <row r="725" spans="1:24" s="812" customFormat="1" ht="30" hidden="1" customHeight="1" x14ac:dyDescent="0.15">
      <c r="A725" s="2072">
        <f ca="1">+Orçamento_Não_Deson!A725</f>
        <v>9.01</v>
      </c>
      <c r="B725" s="833" t="str">
        <f>+Orçamento_Não_Deson!B725</f>
        <v>SC/0035</v>
      </c>
      <c r="C725" s="2" t="str">
        <f>VLOOKUP($B725,[2]BOLETIM_SEL!$A:$H,2,0)</f>
        <v>COMPOSIÇÃO</v>
      </c>
      <c r="D725" s="315" t="str">
        <f>VLOOKUP($B725,[2]BOLETIM_SEL!$A:$H,4,0)</f>
        <v>Sarjeta em concreto FCK = 15mpa, seção 330cm², moldada no local, exclusive escavação</v>
      </c>
      <c r="E725" s="2">
        <f>+Orçamento_Não_Deson!E725</f>
        <v>0</v>
      </c>
      <c r="F725" s="2" t="str">
        <f>VLOOKUP($B725,[2]BOLETIM_SEL!$A:$H,6,0)</f>
        <v>M</v>
      </c>
      <c r="G725" s="1407">
        <f>VLOOKUP($B725,[2]BOLETIM_SEL!$A:$H,7,0)</f>
        <v>29.85</v>
      </c>
      <c r="H725" s="1608">
        <f>+Orçamento_Não_Deson!H725</f>
        <v>0</v>
      </c>
      <c r="I725" s="876">
        <f t="shared" si="148"/>
        <v>38.25</v>
      </c>
      <c r="J725" s="1607">
        <f>TRUNC(H725*I725,2)</f>
        <v>0</v>
      </c>
      <c r="K725" s="2069">
        <f t="shared" ca="1" si="146"/>
        <v>0</v>
      </c>
      <c r="L725" s="1570">
        <f t="shared" si="147"/>
        <v>0</v>
      </c>
      <c r="M725" s="1967"/>
      <c r="N725" s="1958">
        <f>VLOOKUP($B725,[2]BOLETIM_SEL!$A:$H,3,0)</f>
        <v>20.61</v>
      </c>
      <c r="O725" s="1645">
        <f t="shared" si="149"/>
        <v>0</v>
      </c>
      <c r="Q725" s="832"/>
      <c r="R725" s="832"/>
      <c r="S725" s="832"/>
      <c r="T725" s="832"/>
      <c r="U725" s="832"/>
      <c r="V725" s="832"/>
      <c r="W725" s="832"/>
      <c r="X725" s="832"/>
    </row>
    <row r="726" spans="1:24" s="812" customFormat="1" ht="30" hidden="1" customHeight="1" x14ac:dyDescent="0.15">
      <c r="A726" s="2072">
        <f ca="1">+Orçamento_Não_Deson!A726</f>
        <v>9.01</v>
      </c>
      <c r="B726" s="833" t="str">
        <f>+Orçamento_Não_Deson!B726</f>
        <v>SC/0040</v>
      </c>
      <c r="C726" s="2" t="str">
        <f>VLOOKUP($B726,[2]BOLETIM_SEL!$A:$H,2,0)</f>
        <v>COMPOSIÇÃO</v>
      </c>
      <c r="D726" s="315" t="str">
        <f>VLOOKUP($B726,[2]BOLETIM_SEL!$A:$H,4,0)</f>
        <v>Sarjeta tipo americana em concreto FCK = 15mpa, seção 455cm², moldada no local, exclusive escavação</v>
      </c>
      <c r="E726" s="2">
        <f>+Orçamento_Não_Deson!E726</f>
        <v>0</v>
      </c>
      <c r="F726" s="2" t="str">
        <f>VLOOKUP($B726,[2]BOLETIM_SEL!$A:$H,6,0)</f>
        <v>M</v>
      </c>
      <c r="G726" s="1407">
        <f>VLOOKUP($B726,[2]BOLETIM_SEL!$A:$H,7,0)</f>
        <v>39.409999999999997</v>
      </c>
      <c r="H726" s="1608">
        <f>+Orçamento_Não_Deson!H726</f>
        <v>0</v>
      </c>
      <c r="I726" s="876">
        <f t="shared" si="148"/>
        <v>50.51</v>
      </c>
      <c r="J726" s="1607">
        <f t="shared" si="150"/>
        <v>0</v>
      </c>
      <c r="K726" s="2069">
        <f t="shared" ca="1" si="146"/>
        <v>0</v>
      </c>
      <c r="L726" s="1570">
        <f t="shared" si="147"/>
        <v>0</v>
      </c>
      <c r="M726" s="1967"/>
      <c r="N726" s="1958">
        <f>VLOOKUP($B726,[2]BOLETIM_SEL!$A:$H,3,0)</f>
        <v>15.11</v>
      </c>
      <c r="O726" s="1645">
        <f t="shared" si="149"/>
        <v>0</v>
      </c>
      <c r="Q726" s="832"/>
      <c r="R726" s="832"/>
      <c r="S726" s="832"/>
      <c r="T726" s="832"/>
      <c r="U726" s="832"/>
      <c r="V726" s="832"/>
      <c r="W726" s="832"/>
      <c r="X726" s="832"/>
    </row>
    <row r="727" spans="1:24" s="812" customFormat="1" ht="30" hidden="1" customHeight="1" x14ac:dyDescent="0.15">
      <c r="A727" s="2072">
        <f ca="1">+Orçamento_Não_Deson!A727</f>
        <v>9.01</v>
      </c>
      <c r="B727" s="833">
        <f>+Orçamento_Não_Deson!B727</f>
        <v>97084</v>
      </c>
      <c r="C727" s="2" t="str">
        <f>VLOOKUP($B727,[2]BOLETIM_SEL!$A:$H,2,0)</f>
        <v>SINAPI</v>
      </c>
      <c r="D727" s="315" t="str">
        <f>VLOOKUP($B727,[2]BOLETIM_SEL!$A:$H,4,0)</f>
        <v>Compactação mecânica de solo para execução de radier, com compactador de solos tipo placa vibratória. AF_09/2021</v>
      </c>
      <c r="E727" s="2">
        <f>+Orçamento_Não_Deson!E727</f>
        <v>0</v>
      </c>
      <c r="F727" s="2" t="str">
        <f>VLOOKUP($B727,[2]BOLETIM_SEL!$A:$H,6,0)</f>
        <v>M2</v>
      </c>
      <c r="G727" s="1407">
        <f>VLOOKUP($B727,[2]BOLETIM_SEL!$A:$H,7,0)</f>
        <v>0.56000000000000005</v>
      </c>
      <c r="H727" s="1608">
        <f>+Orçamento_Não_Deson!H727</f>
        <v>0</v>
      </c>
      <c r="I727" s="876">
        <f t="shared" si="148"/>
        <v>0.71</v>
      </c>
      <c r="J727" s="1607">
        <f t="shared" si="150"/>
        <v>0</v>
      </c>
      <c r="K727" s="2069">
        <f t="shared" ca="1" si="146"/>
        <v>0</v>
      </c>
      <c r="L727" s="1570">
        <f t="shared" si="147"/>
        <v>0</v>
      </c>
      <c r="M727" s="1967"/>
      <c r="N727" s="832"/>
      <c r="O727" s="832"/>
      <c r="Q727" s="832"/>
      <c r="R727" s="832"/>
      <c r="S727" s="832"/>
      <c r="T727" s="832"/>
      <c r="U727" s="832"/>
      <c r="V727" s="832"/>
      <c r="W727" s="832"/>
      <c r="X727" s="832"/>
    </row>
    <row r="728" spans="1:24" s="812" customFormat="1" ht="30" hidden="1" customHeight="1" x14ac:dyDescent="0.15">
      <c r="A728" s="2072">
        <f ca="1">+Orçamento_Não_Deson!A728</f>
        <v>9.01</v>
      </c>
      <c r="B728" s="833">
        <f>+Orçamento_Não_Deson!B728</f>
        <v>100575</v>
      </c>
      <c r="C728" s="2" t="str">
        <f>VLOOKUP($B728,[2]BOLETIM_SEL!$A:$H,2,0)</f>
        <v>SINAPI</v>
      </c>
      <c r="D728" s="315" t="str">
        <f>VLOOKUP($B728,[2]BOLETIM_SEL!$A:$H,4,0)</f>
        <v>Regularização de superfícies com motoniveladora. AF_11/2019</v>
      </c>
      <c r="E728" s="2">
        <f>+Orçamento_Não_Deson!E728</f>
        <v>0</v>
      </c>
      <c r="F728" s="2" t="str">
        <f>VLOOKUP($B728,[2]BOLETIM_SEL!$A:$H,6,0)</f>
        <v>M2</v>
      </c>
      <c r="G728" s="1407">
        <f>VLOOKUP($B728,[2]BOLETIM_SEL!$A:$H,7,0)</f>
        <v>0.12</v>
      </c>
      <c r="H728" s="1608">
        <f>+Orçamento_Não_Deson!H728</f>
        <v>0</v>
      </c>
      <c r="I728" s="876">
        <f t="shared" si="148"/>
        <v>0.15</v>
      </c>
      <c r="J728" s="1607">
        <f t="shared" si="150"/>
        <v>0</v>
      </c>
      <c r="K728" s="2069">
        <f t="shared" ca="1" si="146"/>
        <v>0</v>
      </c>
      <c r="L728" s="1570">
        <f t="shared" si="147"/>
        <v>0</v>
      </c>
      <c r="M728" s="1967"/>
      <c r="N728" s="832"/>
      <c r="O728" s="832"/>
      <c r="Q728" s="832"/>
      <c r="R728" s="832"/>
      <c r="S728" s="832"/>
      <c r="T728" s="832"/>
      <c r="U728" s="832"/>
      <c r="V728" s="832"/>
      <c r="W728" s="832"/>
      <c r="X728" s="832"/>
    </row>
    <row r="729" spans="1:24" s="812" customFormat="1" ht="30" hidden="1" customHeight="1" x14ac:dyDescent="0.15">
      <c r="A729" s="2072">
        <f ca="1">+Orçamento_Não_Deson!A729</f>
        <v>9.01</v>
      </c>
      <c r="B729" s="833" t="str">
        <f>+Orçamento_Não_Deson!B729</f>
        <v>SC/0250</v>
      </c>
      <c r="C729" s="2" t="str">
        <f>VLOOKUP($B729,[2]BOLETIM_SEL!$A:$H,2,0)</f>
        <v>COMPOSIÇÃO</v>
      </c>
      <c r="D729" s="315" t="str">
        <f>VLOOKUP($B729,[2]BOLETIM_SEL!$A:$H,4,0)</f>
        <v>Hidrossemeadura. Ref SICRO CÓD  4413905, DB 04-2021</v>
      </c>
      <c r="E729" s="2">
        <f>+Orçamento_Não_Deson!E729</f>
        <v>0</v>
      </c>
      <c r="F729" s="2" t="str">
        <f>VLOOKUP($B729,[2]BOLETIM_SEL!$A:$H,6,0)</f>
        <v>M2</v>
      </c>
      <c r="G729" s="1407">
        <f>VLOOKUP($B729,[2]BOLETIM_SEL!$A:$H,7,0)</f>
        <v>6.59</v>
      </c>
      <c r="H729" s="1608">
        <f>+Orçamento_Não_Deson!H729</f>
        <v>0</v>
      </c>
      <c r="I729" s="876">
        <f t="shared" si="148"/>
        <v>8.44</v>
      </c>
      <c r="J729" s="1607">
        <f t="shared" si="150"/>
        <v>0</v>
      </c>
      <c r="K729" s="2069">
        <f t="shared" ca="1" si="146"/>
        <v>0</v>
      </c>
      <c r="L729" s="1570">
        <f t="shared" si="147"/>
        <v>0</v>
      </c>
      <c r="M729" s="1967"/>
      <c r="N729" s="832"/>
      <c r="O729" s="832"/>
      <c r="Q729" s="832"/>
      <c r="R729" s="832"/>
      <c r="S729" s="832"/>
      <c r="T729" s="832"/>
      <c r="U729" s="832"/>
      <c r="V729" s="832"/>
      <c r="W729" s="832"/>
      <c r="X729" s="832"/>
    </row>
    <row r="730" spans="1:24" s="812" customFormat="1" ht="30" hidden="1" customHeight="1" x14ac:dyDescent="0.15">
      <c r="A730" s="2072">
        <f ca="1">+Orçamento_Não_Deson!A730</f>
        <v>9.01</v>
      </c>
      <c r="B730" s="833">
        <f>+Orçamento_Não_Deson!B730</f>
        <v>98503</v>
      </c>
      <c r="C730" s="2" t="str">
        <f>VLOOKUP($B730,[2]BOLETIM_SEL!$A:$H,2,0)</f>
        <v>SINAPI</v>
      </c>
      <c r="D730" s="315" t="str">
        <f>VLOOKUP($B730,[2]BOLETIM_SEL!$A:$H,4,0)</f>
        <v>Plantio de grama em pavimento concregrama. AF_05/2018</v>
      </c>
      <c r="E730" s="2">
        <f>+Orçamento_Não_Deson!E730</f>
        <v>0</v>
      </c>
      <c r="F730" s="2" t="str">
        <f>VLOOKUP($B730,[2]BOLETIM_SEL!$A:$H,6,0)</f>
        <v>M2</v>
      </c>
      <c r="G730" s="1407">
        <f>VLOOKUP($B730,[2]BOLETIM_SEL!$A:$H,7,0)</f>
        <v>23.22</v>
      </c>
      <c r="H730" s="1608">
        <f>+Orçamento_Não_Deson!H730</f>
        <v>0</v>
      </c>
      <c r="I730" s="876">
        <f t="shared" si="148"/>
        <v>29.76</v>
      </c>
      <c r="J730" s="1607">
        <f t="shared" si="150"/>
        <v>0</v>
      </c>
      <c r="K730" s="2069">
        <f t="shared" ca="1" si="146"/>
        <v>0</v>
      </c>
      <c r="L730" s="1570">
        <f t="shared" si="147"/>
        <v>0</v>
      </c>
      <c r="M730" s="1668"/>
      <c r="N730" s="832"/>
      <c r="O730" s="832"/>
      <c r="Q730" s="832"/>
      <c r="R730" s="832"/>
      <c r="S730" s="832"/>
      <c r="T730" s="832"/>
      <c r="U730" s="832"/>
      <c r="V730" s="832"/>
      <c r="W730" s="832"/>
      <c r="X730" s="832"/>
    </row>
    <row r="731" spans="1:24" s="812" customFormat="1" ht="30" customHeight="1" x14ac:dyDescent="0.15">
      <c r="A731" s="2072">
        <f ca="1">+Orçamento_Não_Deson!A731</f>
        <v>9.02</v>
      </c>
      <c r="B731" s="833" t="str">
        <f>+Orçamento_Não_Deson!B731</f>
        <v>SC/0082</v>
      </c>
      <c r="C731" s="2" t="str">
        <f>VLOOKUP($B731,[2]BOLETIM_SEL!$A:$H,2,0)</f>
        <v>COMPOSIÇÃO</v>
      </c>
      <c r="D731" s="315" t="str">
        <f>VLOOKUP($B731,[2]BOLETIM_SEL!$A:$H,4,0)</f>
        <v>Grama em placas, tipo esmeralda, incluindo plantio, adubo, fertilizante, calcário, terra orgânica e irrigação</v>
      </c>
      <c r="E731" s="2">
        <f>+Orçamento_Não_Deson!E731</f>
        <v>0</v>
      </c>
      <c r="F731" s="2" t="str">
        <f>VLOOKUP($B731,[2]BOLETIM_SEL!$A:$H,6,0)</f>
        <v>M2</v>
      </c>
      <c r="G731" s="1407">
        <f>VLOOKUP($B731,[2]BOLETIM_SEL!$A:$H,7,0)</f>
        <v>21.59</v>
      </c>
      <c r="H731" s="1608">
        <f>+Orçamento_Não_Deson!H731</f>
        <v>1338.35</v>
      </c>
      <c r="I731" s="876">
        <f t="shared" si="148"/>
        <v>27.67</v>
      </c>
      <c r="J731" s="1607">
        <f t="shared" si="150"/>
        <v>37032.14</v>
      </c>
      <c r="K731" s="2069">
        <f t="shared" ca="1" si="146"/>
        <v>9.8014431824143024E-3</v>
      </c>
      <c r="L731" s="1570">
        <f t="shared" si="147"/>
        <v>0.14246913324718483</v>
      </c>
      <c r="M731" s="1968" t="str">
        <f>+Orçamento_Não_Deson!M731</f>
        <v>ESMERALDA</v>
      </c>
      <c r="N731" s="832"/>
      <c r="O731" s="832"/>
      <c r="Q731" s="832"/>
      <c r="R731" s="832"/>
      <c r="S731" s="832"/>
      <c r="T731" s="832"/>
      <c r="U731" s="832"/>
      <c r="V731" s="832"/>
      <c r="W731" s="832"/>
      <c r="X731" s="832"/>
    </row>
    <row r="732" spans="1:24" s="812" customFormat="1" ht="39.950000000000003" hidden="1" customHeight="1" x14ac:dyDescent="0.15">
      <c r="A732" s="2072">
        <f ca="1">+Orçamento_Não_Deson!A732</f>
        <v>9.02</v>
      </c>
      <c r="B732" s="833" t="str">
        <f>+Orçamento_Não_Deson!B732</f>
        <v>SC/0110</v>
      </c>
      <c r="C732" s="2" t="str">
        <f>VLOOKUP($B732,[2]BOLETIM_SEL!$A:$H,2,0)</f>
        <v>COMPOSIÇÃO</v>
      </c>
      <c r="D732" s="315" t="str">
        <f>VLOOKUP($B732,[2]BOLETIM_SEL!$A:$H,4,0)</f>
        <v>Cerca com mourões de madeira roliça Ø 11cm, espaçamento de 2,00m, altura livre de 1,50m, cravado 0,50m, com 5 fios de arame liso ovalado 15x17, conforme projeto</v>
      </c>
      <c r="E732" s="2">
        <f>+Orçamento_Não_Deson!E732</f>
        <v>0</v>
      </c>
      <c r="F732" s="2" t="str">
        <f>VLOOKUP($B732,[2]BOLETIM_SEL!$A:$H,6,0)</f>
        <v>M</v>
      </c>
      <c r="G732" s="1407">
        <f>VLOOKUP($B732,[2]BOLETIM_SEL!$A:$H,7,0)</f>
        <v>33.33</v>
      </c>
      <c r="H732" s="1608">
        <f>+Orçamento_Não_Deson!H732</f>
        <v>0</v>
      </c>
      <c r="I732" s="876">
        <f t="shared" si="148"/>
        <v>42.71</v>
      </c>
      <c r="J732" s="1607">
        <f t="shared" si="150"/>
        <v>0</v>
      </c>
      <c r="K732" s="2069">
        <f t="shared" ca="1" si="146"/>
        <v>0</v>
      </c>
      <c r="L732" s="1570">
        <f t="shared" si="147"/>
        <v>0</v>
      </c>
      <c r="M732" s="1668"/>
      <c r="N732" s="832"/>
      <c r="O732" s="832"/>
      <c r="Q732" s="832"/>
      <c r="R732" s="832"/>
      <c r="S732" s="832"/>
      <c r="T732" s="832"/>
      <c r="U732" s="832"/>
      <c r="V732" s="832"/>
      <c r="W732" s="832"/>
      <c r="X732" s="832"/>
    </row>
    <row r="733" spans="1:24" s="812" customFormat="1" ht="39.950000000000003" hidden="1" customHeight="1" x14ac:dyDescent="0.15">
      <c r="A733" s="2072">
        <f ca="1">+Orçamento_Não_Deson!A733</f>
        <v>9.02</v>
      </c>
      <c r="B733" s="833">
        <f>+Orçamento_Não_Deson!B733</f>
        <v>101193</v>
      </c>
      <c r="C733" s="2" t="str">
        <f>VLOOKUP($B733,[2]BOLETIM_SEL!$A:$H,2,0)</f>
        <v>SINAPI</v>
      </c>
      <c r="D733" s="315" t="str">
        <f>VLOOKUP($B733,[2]BOLETIM_SEL!$A:$H,4,0)</f>
        <v>Cerca com mourões de concreto, reto, h=2,30 m, espaçamento de 2,50 m, cravados 0,5 m, com 4 fios de arame de aço ovalado 15x17 - fornecimento e instalação. AF_05/2020</v>
      </c>
      <c r="E733" s="2">
        <f>+Orçamento_Não_Deson!E733</f>
        <v>0</v>
      </c>
      <c r="F733" s="2" t="str">
        <f>VLOOKUP($B733,[2]BOLETIM_SEL!$A:$H,6,0)</f>
        <v>M</v>
      </c>
      <c r="G733" s="1407">
        <f>VLOOKUP($B733,[2]BOLETIM_SEL!$A:$H,7,0)</f>
        <v>53.65</v>
      </c>
      <c r="H733" s="1608">
        <f>+Orçamento_Não_Deson!H733</f>
        <v>0</v>
      </c>
      <c r="I733" s="876">
        <f t="shared" si="148"/>
        <v>68.760000000000005</v>
      </c>
      <c r="J733" s="1607">
        <f t="shared" si="150"/>
        <v>0</v>
      </c>
      <c r="K733" s="2069">
        <f t="shared" ca="1" si="146"/>
        <v>0</v>
      </c>
      <c r="L733" s="1570">
        <f t="shared" si="147"/>
        <v>0</v>
      </c>
      <c r="M733" s="1668"/>
      <c r="N733" s="832"/>
      <c r="O733" s="832"/>
      <c r="Q733" s="832"/>
      <c r="R733" s="832"/>
      <c r="S733" s="832"/>
      <c r="T733" s="832"/>
      <c r="U733" s="832"/>
      <c r="V733" s="832"/>
      <c r="W733" s="832"/>
      <c r="X733" s="832"/>
    </row>
    <row r="734" spans="1:24" s="812" customFormat="1" ht="39.950000000000003" hidden="1" customHeight="1" x14ac:dyDescent="0.15">
      <c r="A734" s="2072">
        <f ca="1">+Orçamento_Não_Deson!A734</f>
        <v>9.02</v>
      </c>
      <c r="B734" s="833" t="str">
        <f>+Orçamento_Não_Deson!B734</f>
        <v>SC/0115</v>
      </c>
      <c r="C734" s="2" t="str">
        <f>VLOOKUP($B734,[2]BOLETIM_SEL!$A:$H,2,0)</f>
        <v>COMPOSIÇÃO</v>
      </c>
      <c r="D734" s="315" t="str">
        <f>VLOOKUP($B734,[2]BOLETIM_SEL!$A:$H,4,0)</f>
        <v>Alambrado com tela de aço galvanizado, fio 14, malha 1½" , três fios de arame liso, poste curvo de concreto com altura livre de 1,80m, mureta de concreto com altura de 30cm, conforme projeto. REF SINAPI 98522</v>
      </c>
      <c r="E734" s="2">
        <f>+Orçamento_Não_Deson!E734</f>
        <v>0</v>
      </c>
      <c r="F734" s="2" t="str">
        <f>VLOOKUP($B734,[2]BOLETIM_SEL!$A:$H,6,0)</f>
        <v>M</v>
      </c>
      <c r="G734" s="1407">
        <f>VLOOKUP($B734,[2]BOLETIM_SEL!$A:$H,7,0)</f>
        <v>250.12</v>
      </c>
      <c r="H734" s="1608">
        <f>+Orçamento_Não_Deson!H734</f>
        <v>0</v>
      </c>
      <c r="I734" s="876">
        <f t="shared" si="148"/>
        <v>320.57</v>
      </c>
      <c r="J734" s="1607">
        <f t="shared" si="150"/>
        <v>0</v>
      </c>
      <c r="K734" s="2069">
        <f t="shared" ca="1" si="146"/>
        <v>0</v>
      </c>
      <c r="L734" s="1570">
        <f t="shared" si="147"/>
        <v>0</v>
      </c>
      <c r="M734" s="1668"/>
      <c r="N734" s="832"/>
      <c r="O734" s="832"/>
      <c r="Q734" s="832"/>
      <c r="R734" s="832"/>
      <c r="S734" s="832"/>
      <c r="T734" s="832"/>
      <c r="U734" s="832"/>
      <c r="V734" s="832"/>
      <c r="W734" s="832"/>
      <c r="X734" s="832"/>
    </row>
    <row r="735" spans="1:24" s="812" customFormat="1" ht="39.950000000000003" hidden="1" customHeight="1" x14ac:dyDescent="0.15">
      <c r="A735" s="2072">
        <f ca="1">+Orçamento_Não_Deson!A735</f>
        <v>9.02</v>
      </c>
      <c r="B735" s="833" t="str">
        <f>+Orçamento_Não_Deson!B735</f>
        <v>SC/0120</v>
      </c>
      <c r="C735" s="2" t="str">
        <f>VLOOKUP($B735,[2]BOLETIM_SEL!$A:$H,2,0)</f>
        <v>COMPOSIÇÃO</v>
      </c>
      <c r="D735" s="315" t="str">
        <f>VLOOKUP($B735,[2]BOLETIM_SEL!$A:$H,4,0)</f>
        <v>Portão para veículos em tela arame galvanizado n.12 malha 2" e moldura em tubos de aco com duas folhas de abrir, incluso ferragens (REF. SINAPI COD. 74238/2 - Descontinuado)</v>
      </c>
      <c r="E735" s="2">
        <f>+Orçamento_Não_Deson!E735</f>
        <v>0</v>
      </c>
      <c r="F735" s="2" t="str">
        <f>VLOOKUP($B735,[2]BOLETIM_SEL!$A:$H,6,0)</f>
        <v>M2</v>
      </c>
      <c r="G735" s="1407">
        <f>VLOOKUP($B735,[2]BOLETIM_SEL!$A:$H,7,0)</f>
        <v>944.99</v>
      </c>
      <c r="H735" s="1608">
        <f>+Orçamento_Não_Deson!H735</f>
        <v>0</v>
      </c>
      <c r="I735" s="876">
        <f t="shared" si="148"/>
        <v>1211.19</v>
      </c>
      <c r="J735" s="1607">
        <f t="shared" si="150"/>
        <v>0</v>
      </c>
      <c r="K735" s="2069">
        <f t="shared" ca="1" si="146"/>
        <v>0</v>
      </c>
      <c r="L735" s="1570">
        <f t="shared" si="147"/>
        <v>0</v>
      </c>
      <c r="M735" s="1668"/>
      <c r="N735" s="832"/>
      <c r="O735" s="832"/>
      <c r="Q735" s="832"/>
      <c r="R735" s="832"/>
      <c r="S735" s="832"/>
      <c r="T735" s="832"/>
      <c r="U735" s="832"/>
      <c r="V735" s="832"/>
      <c r="W735" s="832"/>
      <c r="X735" s="832"/>
    </row>
    <row r="736" spans="1:24" s="812" customFormat="1" ht="30" hidden="1" customHeight="1" x14ac:dyDescent="0.15">
      <c r="A736" s="2072">
        <f ca="1">+Orçamento_Não_Deson!A736</f>
        <v>9.02</v>
      </c>
      <c r="B736" s="833">
        <f>+Orçamento_Não_Deson!B736</f>
        <v>98510</v>
      </c>
      <c r="C736" s="2" t="str">
        <f>VLOOKUP($B736,[2]BOLETIM_SEL!$A:$H,2,0)</f>
        <v>SINAPI</v>
      </c>
      <c r="D736" s="315" t="str">
        <f>VLOOKUP($B736,[2]BOLETIM_SEL!$A:$H,4,0)</f>
        <v>Plantio de árvore ornamental com altura de muda menor ou igual a 2,00 m. AF_05/2018</v>
      </c>
      <c r="E736" s="2">
        <f>+Orçamento_Não_Deson!E736</f>
        <v>0</v>
      </c>
      <c r="F736" s="2" t="str">
        <f>VLOOKUP($B736,[2]BOLETIM_SEL!$A:$H,6,0)</f>
        <v>UN</v>
      </c>
      <c r="G736" s="1407">
        <f>VLOOKUP($B736,[2]BOLETIM_SEL!$A:$H,7,0)</f>
        <v>67.41</v>
      </c>
      <c r="H736" s="1608">
        <f>+Orçamento_Não_Deson!H736</f>
        <v>0</v>
      </c>
      <c r="I736" s="876">
        <f t="shared" si="148"/>
        <v>86.39</v>
      </c>
      <c r="J736" s="1607">
        <f>TRUNC(H736*I736,2)</f>
        <v>0</v>
      </c>
      <c r="K736" s="2069">
        <f t="shared" ca="1" si="146"/>
        <v>0</v>
      </c>
      <c r="L736" s="1570">
        <f t="shared" si="147"/>
        <v>0</v>
      </c>
      <c r="M736" s="1968" t="str">
        <f>+Orçamento_Não_Deson!M736</f>
        <v>MENOR</v>
      </c>
      <c r="N736" s="832"/>
      <c r="O736" s="832"/>
      <c r="Q736" s="832"/>
      <c r="R736" s="832"/>
      <c r="S736" s="832"/>
      <c r="T736" s="832"/>
      <c r="U736" s="832"/>
      <c r="V736" s="832"/>
      <c r="W736" s="832"/>
      <c r="X736" s="832"/>
    </row>
    <row r="737" spans="1:24" s="812" customFormat="1" ht="30" hidden="1" customHeight="1" x14ac:dyDescent="0.15">
      <c r="A737" s="2072">
        <f ca="1">+Orçamento_Não_Deson!A737</f>
        <v>9.02</v>
      </c>
      <c r="B737" s="833">
        <f>+Orçamento_Não_Deson!B737</f>
        <v>98516</v>
      </c>
      <c r="C737" s="2" t="str">
        <f>VLOOKUP($B737,[2]BOLETIM_SEL!$A:$H,2,0)</f>
        <v>SINAPI</v>
      </c>
      <c r="D737" s="315" t="str">
        <f>VLOOKUP($B737,[2]BOLETIM_SEL!$A:$H,4,0)</f>
        <v>Plantio de palmeira com altura de muda menor ou igual a 2,00 m. AF_05/2018</v>
      </c>
      <c r="E737" s="2">
        <f>+Orçamento_Não_Deson!E737</f>
        <v>0</v>
      </c>
      <c r="F737" s="2" t="str">
        <f>VLOOKUP($B737,[2]BOLETIM_SEL!$A:$H,6,0)</f>
        <v>UN</v>
      </c>
      <c r="G737" s="1407">
        <f>VLOOKUP($B737,[2]BOLETIM_SEL!$A:$H,7,0)</f>
        <v>334.66</v>
      </c>
      <c r="H737" s="1608">
        <f>+Orçamento_Não_Deson!H737</f>
        <v>0</v>
      </c>
      <c r="I737" s="876">
        <f t="shared" si="148"/>
        <v>428.93</v>
      </c>
      <c r="J737" s="1607">
        <f>TRUNC(H737*I737,2)</f>
        <v>0</v>
      </c>
      <c r="K737" s="2069">
        <f t="shared" ca="1" si="146"/>
        <v>0</v>
      </c>
      <c r="L737" s="1570">
        <f t="shared" si="147"/>
        <v>0</v>
      </c>
      <c r="M737" s="1967"/>
      <c r="N737" s="832"/>
      <c r="O737" s="832"/>
      <c r="Q737" s="832"/>
      <c r="R737" s="832"/>
      <c r="S737" s="832"/>
      <c r="T737" s="832"/>
      <c r="U737" s="832"/>
      <c r="V737" s="832"/>
      <c r="W737" s="832"/>
      <c r="X737" s="832"/>
    </row>
    <row r="738" spans="1:24" s="812" customFormat="1" ht="30" hidden="1" customHeight="1" x14ac:dyDescent="0.15">
      <c r="A738" s="2072">
        <f ca="1">+Orçamento_Não_Deson!A738</f>
        <v>9.02</v>
      </c>
      <c r="B738" s="833">
        <f>+Orçamento_Não_Deson!B738</f>
        <v>94963</v>
      </c>
      <c r="C738" s="2" t="str">
        <f>VLOOKUP($B738,[2]BOLETIM_SEL!$A:$H,2,0)</f>
        <v>SINAPI</v>
      </c>
      <c r="D738" s="315" t="str">
        <f>VLOOKUP($B738,[2]BOLETIM_SEL!$A:$H,4,0)</f>
        <v>Concreto FCK = 15 MPA, traço 1:3,4:3,5 (cimento/ areia média/ brita 1) - preparo mecânico com betoneira 400 l. AF_07/2016</v>
      </c>
      <c r="E738" s="2">
        <f>+Orçamento_Não_Deson!E738</f>
        <v>0</v>
      </c>
      <c r="F738" s="2" t="str">
        <f>VLOOKUP($B738,[2]BOLETIM_SEL!$A:$H,6,0)</f>
        <v>M3</v>
      </c>
      <c r="G738" s="1407">
        <f>VLOOKUP($B738,[2]BOLETIM_SEL!$A:$H,7,0)</f>
        <v>423.66</v>
      </c>
      <c r="H738" s="1608">
        <f>+Orçamento_Não_Deson!H738</f>
        <v>0</v>
      </c>
      <c r="I738" s="876">
        <f t="shared" si="148"/>
        <v>543</v>
      </c>
      <c r="J738" s="1607">
        <f t="shared" si="150"/>
        <v>0</v>
      </c>
      <c r="K738" s="2069">
        <f t="shared" ca="1" si="146"/>
        <v>0</v>
      </c>
      <c r="L738" s="1570">
        <f t="shared" si="147"/>
        <v>0</v>
      </c>
      <c r="M738" s="1967"/>
      <c r="N738" s="832"/>
      <c r="O738" s="832"/>
      <c r="Q738" s="832"/>
      <c r="R738" s="832"/>
      <c r="S738" s="832"/>
      <c r="T738" s="832"/>
      <c r="U738" s="832"/>
      <c r="V738" s="832"/>
      <c r="W738" s="832"/>
      <c r="X738" s="832"/>
    </row>
    <row r="739" spans="1:24" s="812" customFormat="1" ht="30" hidden="1" customHeight="1" x14ac:dyDescent="0.15">
      <c r="A739" s="2072">
        <f ca="1">+Orçamento_Não_Deson!A739</f>
        <v>9.02</v>
      </c>
      <c r="B739" s="833">
        <f>+Orçamento_Não_Deson!B739</f>
        <v>94965</v>
      </c>
      <c r="C739" s="2" t="str">
        <f>VLOOKUP($B739,[2]BOLETIM_SEL!$A:$H,2,0)</f>
        <v>SINAPI</v>
      </c>
      <c r="D739" s="315" t="str">
        <f>VLOOKUP($B739,[2]BOLETIM_SEL!$A:$H,4,0)</f>
        <v>Concreto FCK = 25 MPA, traço 1:2,3:2,7 (cimento/ areia média/ brita 1) - preparo mecânico com betoneira 400 l. AF_07/2016</v>
      </c>
      <c r="E739" s="2">
        <f>+Orçamento_Não_Deson!E739</f>
        <v>0</v>
      </c>
      <c r="F739" s="2" t="str">
        <f>VLOOKUP($B739,[2]BOLETIM_SEL!$A:$H,6,0)</f>
        <v>M3</v>
      </c>
      <c r="G739" s="1407">
        <f>VLOOKUP($B739,[2]BOLETIM_SEL!$A:$H,7,0)</f>
        <v>489.06</v>
      </c>
      <c r="H739" s="1608">
        <f>+Orçamento_Não_Deson!H739</f>
        <v>0</v>
      </c>
      <c r="I739" s="876">
        <f t="shared" si="148"/>
        <v>626.82000000000005</v>
      </c>
      <c r="J739" s="1607">
        <f t="shared" si="150"/>
        <v>0</v>
      </c>
      <c r="K739" s="2069">
        <f t="shared" ca="1" si="146"/>
        <v>0</v>
      </c>
      <c r="L739" s="1570">
        <f t="shared" si="147"/>
        <v>0</v>
      </c>
      <c r="M739" s="1967"/>
      <c r="N739" s="832"/>
      <c r="O739" s="832"/>
      <c r="Q739" s="832"/>
      <c r="R739" s="832"/>
      <c r="S739" s="832"/>
      <c r="T739" s="832"/>
      <c r="U739" s="832"/>
      <c r="V739" s="832"/>
      <c r="W739" s="832"/>
      <c r="X739" s="832"/>
    </row>
    <row r="740" spans="1:24" s="812" customFormat="1" ht="39.950000000000003" hidden="1" customHeight="1" x14ac:dyDescent="0.15">
      <c r="A740" s="2072">
        <f ca="1">+Orçamento_Não_Deson!A740</f>
        <v>9.02</v>
      </c>
      <c r="B740" s="833">
        <f>+Orçamento_Não_Deson!B740</f>
        <v>92413</v>
      </c>
      <c r="C740" s="2" t="str">
        <f>VLOOKUP($B740,[2]BOLETIM_SEL!$A:$H,2,0)</f>
        <v>SINAPI</v>
      </c>
      <c r="D740" s="315" t="str">
        <f>VLOOKUP($B740,[2]BOLETIM_SEL!$A:$H,4,0)</f>
        <v>Montagem e desmontagem de fôrma de pilares retangulares e estruturas similares, pé-direito simples, em madeira serrada, 4 utilizações. AF_09/2020</v>
      </c>
      <c r="E740" s="2">
        <f>+Orçamento_Não_Deson!E740</f>
        <v>0</v>
      </c>
      <c r="F740" s="2" t="str">
        <f>VLOOKUP($B740,[2]BOLETIM_SEL!$A:$H,6,0)</f>
        <v>M2</v>
      </c>
      <c r="G740" s="1407">
        <f>VLOOKUP($B740,[2]BOLETIM_SEL!$A:$H,7,0)</f>
        <v>85.37</v>
      </c>
      <c r="H740" s="1608">
        <f>+Orçamento_Não_Deson!H740</f>
        <v>0</v>
      </c>
      <c r="I740" s="876">
        <f t="shared" si="148"/>
        <v>109.41</v>
      </c>
      <c r="J740" s="1607">
        <f t="shared" si="150"/>
        <v>0</v>
      </c>
      <c r="K740" s="2069">
        <f t="shared" ca="1" si="146"/>
        <v>0</v>
      </c>
      <c r="L740" s="1570">
        <f t="shared" si="147"/>
        <v>0</v>
      </c>
      <c r="M740" s="1967"/>
      <c r="N740" s="832"/>
      <c r="O740" s="832"/>
      <c r="Q740" s="832"/>
      <c r="R740" s="832"/>
      <c r="S740" s="832"/>
      <c r="T740" s="832"/>
      <c r="U740" s="832"/>
      <c r="V740" s="832"/>
      <c r="W740" s="832"/>
      <c r="X740" s="832"/>
    </row>
    <row r="741" spans="1:24" s="812" customFormat="1" ht="30" hidden="1" customHeight="1" x14ac:dyDescent="0.15">
      <c r="A741" s="2072">
        <f ca="1">+Orçamento_Não_Deson!A741</f>
        <v>9.02</v>
      </c>
      <c r="B741" s="833">
        <f>+Orçamento_Não_Deson!B741</f>
        <v>96543</v>
      </c>
      <c r="C741" s="2" t="str">
        <f>VLOOKUP($B741,[2]BOLETIM_SEL!$A:$H,2,0)</f>
        <v>SINAPI</v>
      </c>
      <c r="D741" s="315" t="str">
        <f>VLOOKUP($B741,[2]BOLETIM_SEL!$A:$H,4,0)</f>
        <v>Armação de bloco, viga baldrame e sapata utilizando aço CA-60 de 5 mm - montagem. AF_06/2017</v>
      </c>
      <c r="E741" s="2">
        <f>+Orçamento_Não_Deson!E741</f>
        <v>0</v>
      </c>
      <c r="F741" s="2" t="str">
        <f>VLOOKUP($B741,[2]BOLETIM_SEL!$A:$H,6,0)</f>
        <v>KG</v>
      </c>
      <c r="G741" s="1407">
        <f>VLOOKUP($B741,[2]BOLETIM_SEL!$A:$H,7,0)</f>
        <v>16.38</v>
      </c>
      <c r="H741" s="1608">
        <f>+Orçamento_Não_Deson!H741</f>
        <v>0</v>
      </c>
      <c r="I741" s="876">
        <f t="shared" si="148"/>
        <v>20.99</v>
      </c>
      <c r="J741" s="1607">
        <f t="shared" si="150"/>
        <v>0</v>
      </c>
      <c r="K741" s="2069">
        <f t="shared" ca="1" si="146"/>
        <v>0</v>
      </c>
      <c r="L741" s="1570">
        <f t="shared" si="147"/>
        <v>0</v>
      </c>
      <c r="M741" s="1967"/>
      <c r="N741" s="832"/>
      <c r="O741" s="832"/>
      <c r="Q741" s="832"/>
      <c r="R741" s="832"/>
      <c r="S741" s="832"/>
      <c r="T741" s="832"/>
      <c r="U741" s="832"/>
      <c r="V741" s="832"/>
      <c r="W741" s="832"/>
      <c r="X741" s="832"/>
    </row>
    <row r="742" spans="1:24" s="812" customFormat="1" ht="30" hidden="1" customHeight="1" x14ac:dyDescent="0.15">
      <c r="A742" s="2072">
        <f ca="1">+Orçamento_Não_Deson!A742</f>
        <v>9.02</v>
      </c>
      <c r="B742" s="833">
        <f>+Orçamento_Não_Deson!B742</f>
        <v>100342</v>
      </c>
      <c r="C742" s="2" t="str">
        <f>VLOOKUP($B742,[2]BOLETIM_SEL!$A:$H,2,0)</f>
        <v>SINAPI</v>
      </c>
      <c r="D742" s="315" t="str">
        <f>VLOOKUP($B742,[2]BOLETIM_SEL!$A:$H,4,0)</f>
        <v>Armação de cortina de contenção em concreto armado, com aço CA-50 de 6,3 mm - montagem. AF_07/2019</v>
      </c>
      <c r="E742" s="2">
        <f>+Orçamento_Não_Deson!E742</f>
        <v>0</v>
      </c>
      <c r="F742" s="2" t="str">
        <f>VLOOKUP($B742,[2]BOLETIM_SEL!$A:$H,6,0)</f>
        <v>KG</v>
      </c>
      <c r="G742" s="1407">
        <f>VLOOKUP($B742,[2]BOLETIM_SEL!$A:$H,7,0)</f>
        <v>13.77</v>
      </c>
      <c r="H742" s="1608">
        <f>+Orçamento_Não_Deson!H742</f>
        <v>0</v>
      </c>
      <c r="I742" s="876">
        <f t="shared" si="148"/>
        <v>17.64</v>
      </c>
      <c r="J742" s="1607">
        <f t="shared" si="150"/>
        <v>0</v>
      </c>
      <c r="K742" s="2069">
        <f t="shared" ca="1" si="146"/>
        <v>0</v>
      </c>
      <c r="L742" s="1570">
        <f t="shared" si="147"/>
        <v>0</v>
      </c>
      <c r="M742" s="1967"/>
      <c r="N742" s="832"/>
      <c r="O742" s="832"/>
      <c r="Q742" s="832"/>
      <c r="R742" s="832"/>
      <c r="S742" s="832"/>
      <c r="T742" s="832"/>
      <c r="U742" s="832"/>
      <c r="V742" s="832"/>
      <c r="W742" s="832"/>
      <c r="X742" s="832"/>
    </row>
    <row r="743" spans="1:24" s="812" customFormat="1" ht="30" hidden="1" customHeight="1" x14ac:dyDescent="0.15">
      <c r="A743" s="2072">
        <f ca="1">+Orçamento_Não_Deson!A743</f>
        <v>9.02</v>
      </c>
      <c r="B743" s="833">
        <f>+Orçamento_Não_Deson!B743</f>
        <v>100343</v>
      </c>
      <c r="C743" s="2" t="str">
        <f>VLOOKUP($B743,[2]BOLETIM_SEL!$A:$H,2,0)</f>
        <v>SINAPI</v>
      </c>
      <c r="D743" s="315" t="str">
        <f>VLOOKUP($B743,[2]BOLETIM_SEL!$A:$H,4,0)</f>
        <v>Armação de cortina de contenção em concreto armado, com aço CA-50 de 8 mm - montagem. AF_07/2019</v>
      </c>
      <c r="E743" s="2">
        <f>+Orçamento_Não_Deson!E743</f>
        <v>0</v>
      </c>
      <c r="F743" s="2" t="str">
        <f>VLOOKUP($B743,[2]BOLETIM_SEL!$A:$H,6,0)</f>
        <v>KG</v>
      </c>
      <c r="G743" s="1407">
        <f>VLOOKUP($B743,[2]BOLETIM_SEL!$A:$H,7,0)</f>
        <v>13.09</v>
      </c>
      <c r="H743" s="1608">
        <f>+Orçamento_Não_Deson!H743</f>
        <v>0</v>
      </c>
      <c r="I743" s="876">
        <f t="shared" si="148"/>
        <v>16.77</v>
      </c>
      <c r="J743" s="1607">
        <f t="shared" si="150"/>
        <v>0</v>
      </c>
      <c r="K743" s="2069">
        <f t="shared" ca="1" si="146"/>
        <v>0</v>
      </c>
      <c r="L743" s="1570">
        <f t="shared" si="147"/>
        <v>0</v>
      </c>
      <c r="M743" s="1967"/>
      <c r="N743" s="832"/>
      <c r="O743" s="832"/>
      <c r="Q743" s="832"/>
      <c r="R743" s="832"/>
      <c r="S743" s="832"/>
      <c r="T743" s="832"/>
      <c r="U743" s="832"/>
      <c r="V743" s="832"/>
      <c r="W743" s="832"/>
      <c r="X743" s="832"/>
    </row>
    <row r="744" spans="1:24" s="812" customFormat="1" ht="30" hidden="1" customHeight="1" x14ac:dyDescent="0.15">
      <c r="A744" s="2072">
        <f ca="1">+Orçamento_Não_Deson!A744</f>
        <v>9.02</v>
      </c>
      <c r="B744" s="833">
        <f>+Orçamento_Não_Deson!B744</f>
        <v>100344</v>
      </c>
      <c r="C744" s="2" t="str">
        <f>VLOOKUP($B744,[2]BOLETIM_SEL!$A:$H,2,0)</f>
        <v>SINAPI</v>
      </c>
      <c r="D744" s="315" t="str">
        <f>VLOOKUP($B744,[2]BOLETIM_SEL!$A:$H,4,0)</f>
        <v>Armação de cortina de contenção em concreto armado, com aço CA-50 de 10 mm - montagem. AF_07/2019</v>
      </c>
      <c r="E744" s="2">
        <f>+Orçamento_Não_Deson!E744</f>
        <v>0</v>
      </c>
      <c r="F744" s="2" t="str">
        <f>VLOOKUP($B744,[2]BOLETIM_SEL!$A:$H,6,0)</f>
        <v>KG</v>
      </c>
      <c r="G744" s="1407">
        <f>VLOOKUP($B744,[2]BOLETIM_SEL!$A:$H,7,0)</f>
        <v>11.78</v>
      </c>
      <c r="H744" s="1608">
        <f>+Orçamento_Não_Deson!H744</f>
        <v>0</v>
      </c>
      <c r="I744" s="876">
        <f t="shared" si="148"/>
        <v>15.09</v>
      </c>
      <c r="J744" s="1607">
        <f t="shared" si="150"/>
        <v>0</v>
      </c>
      <c r="K744" s="2069">
        <f t="shared" ca="1" si="146"/>
        <v>0</v>
      </c>
      <c r="L744" s="1570">
        <f t="shared" si="147"/>
        <v>0</v>
      </c>
      <c r="M744" s="1967"/>
      <c r="N744" s="832"/>
      <c r="O744" s="832"/>
      <c r="Q744" s="832"/>
      <c r="R744" s="832"/>
      <c r="S744" s="832"/>
      <c r="T744" s="832"/>
      <c r="U744" s="832"/>
      <c r="V744" s="832"/>
      <c r="W744" s="832"/>
      <c r="X744" s="832"/>
    </row>
    <row r="745" spans="1:24" s="812" customFormat="1" ht="39.950000000000003" hidden="1" customHeight="1" x14ac:dyDescent="0.15">
      <c r="A745" s="2072">
        <f ca="1">+Orçamento_Não_Deson!A745</f>
        <v>9.02</v>
      </c>
      <c r="B745" s="833" t="str">
        <f>+Orçamento_Não_Deson!B745</f>
        <v>SC/0100</v>
      </c>
      <c r="C745" s="2" t="str">
        <f>VLOOKUP($B745,[2]BOLETIM_SEL!$A:$H,2,0)</f>
        <v>COMPOSIÇÃO</v>
      </c>
      <c r="D745" s="315" t="str">
        <f>VLOOKUP($B745,[2]BOLETIM_SEL!$A:$H,4,0)</f>
        <v>Tubo aço galvanizado com costura para guarda-corpo, classe leve, DN 40 mm (1 1/2"),  DIN 2440 / NBR 5580 classe leve, espessura 3,00 mm, *3,48* kg/m</v>
      </c>
      <c r="E745" s="2">
        <f>+Orçamento_Não_Deson!E745</f>
        <v>0</v>
      </c>
      <c r="F745" s="2" t="str">
        <f>VLOOKUP($B745,[2]BOLETIM_SEL!$A:$H,6,0)</f>
        <v>M</v>
      </c>
      <c r="G745" s="1407">
        <f>VLOOKUP($B745,[2]BOLETIM_SEL!$A:$H,7,0)</f>
        <v>54.93</v>
      </c>
      <c r="H745" s="1608">
        <f>+Orçamento_Não_Deson!H745</f>
        <v>0</v>
      </c>
      <c r="I745" s="876">
        <f t="shared" si="148"/>
        <v>70.400000000000006</v>
      </c>
      <c r="J745" s="1607">
        <f t="shared" si="150"/>
        <v>0</v>
      </c>
      <c r="K745" s="2069">
        <f t="shared" ca="1" si="146"/>
        <v>0</v>
      </c>
      <c r="L745" s="1570">
        <f t="shared" si="147"/>
        <v>0</v>
      </c>
      <c r="M745" s="1967"/>
      <c r="N745" s="832"/>
      <c r="O745" s="832"/>
      <c r="Q745" s="832"/>
      <c r="R745" s="832"/>
      <c r="S745" s="832"/>
      <c r="T745" s="832"/>
      <c r="U745" s="832"/>
      <c r="V745" s="832"/>
      <c r="W745" s="832"/>
      <c r="X745" s="832"/>
    </row>
    <row r="746" spans="1:24" s="812" customFormat="1" ht="39.950000000000003" hidden="1" customHeight="1" x14ac:dyDescent="0.15">
      <c r="A746" s="2072">
        <f ca="1">+Orçamento_Não_Deson!A746</f>
        <v>9.02</v>
      </c>
      <c r="B746" s="833" t="str">
        <f>+Orçamento_Não_Deson!B746</f>
        <v>SC/0105</v>
      </c>
      <c r="C746" s="2" t="str">
        <f>VLOOKUP($B746,[2]BOLETIM_SEL!$A:$H,2,0)</f>
        <v>COMPOSIÇÃO</v>
      </c>
      <c r="D746" s="315" t="str">
        <f>VLOOKUP($B746,[2]BOLETIM_SEL!$A:$H,4,0)</f>
        <v>Tubo aço galvanizado com costura para guarda-corpo, classe leve, DN 50 mm (2"),  DIN 2440 / NBR 5580 classe leve, espessura 3,00 mm, *4,40* kg/m</v>
      </c>
      <c r="E746" s="2">
        <f>+Orçamento_Não_Deson!E746</f>
        <v>0</v>
      </c>
      <c r="F746" s="2" t="str">
        <f>VLOOKUP($B746,[2]BOLETIM_SEL!$A:$H,6,0)</f>
        <v>M</v>
      </c>
      <c r="G746" s="1407">
        <f>VLOOKUP($B746,[2]BOLETIM_SEL!$A:$H,7,0)</f>
        <v>71.7</v>
      </c>
      <c r="H746" s="1608">
        <f>+Orçamento_Não_Deson!H746</f>
        <v>0</v>
      </c>
      <c r="I746" s="876">
        <f t="shared" si="148"/>
        <v>91.89</v>
      </c>
      <c r="J746" s="1607">
        <f t="shared" si="150"/>
        <v>0</v>
      </c>
      <c r="K746" s="2069">
        <f t="shared" ca="1" si="146"/>
        <v>0</v>
      </c>
      <c r="L746" s="1570">
        <f t="shared" si="147"/>
        <v>0</v>
      </c>
      <c r="M746" s="1967"/>
      <c r="N746" s="832"/>
      <c r="O746" s="832"/>
      <c r="Q746" s="832"/>
      <c r="R746" s="832"/>
      <c r="S746" s="832"/>
      <c r="T746" s="832"/>
      <c r="U746" s="832"/>
      <c r="V746" s="832"/>
      <c r="W746" s="832"/>
      <c r="X746" s="832"/>
    </row>
    <row r="747" spans="1:24" s="812" customFormat="1" ht="39.950000000000003" hidden="1" customHeight="1" x14ac:dyDescent="0.15">
      <c r="A747" s="2072">
        <f ca="1">+Orçamento_Não_Deson!A747</f>
        <v>9.02</v>
      </c>
      <c r="B747" s="833" t="str">
        <f>+Orçamento_Não_Deson!B747</f>
        <v>SC/0090</v>
      </c>
      <c r="C747" s="2" t="str">
        <f>VLOOKUP($B747,[2]BOLETIM_SEL!$A:$H,2,0)</f>
        <v>COMPOSIÇÃO</v>
      </c>
      <c r="D747" s="315" t="str">
        <f>VLOOKUP($B747,[2]BOLETIM_SEL!$A:$H,4,0)</f>
        <v>Defensa metálica semi-maleável tipo simples, em chapa de aço, padrão DNIT, incluindo fornecimento, montagem e refletivos (30x5cm) (REF. SICRO COD. 3713604)</v>
      </c>
      <c r="E747" s="2">
        <f>+Orçamento_Não_Deson!E747</f>
        <v>0</v>
      </c>
      <c r="F747" s="2" t="str">
        <f>VLOOKUP($B747,[2]BOLETIM_SEL!$A:$H,6,0)</f>
        <v>M</v>
      </c>
      <c r="G747" s="1407">
        <f>VLOOKUP($B747,[2]BOLETIM_SEL!$A:$H,7,0)</f>
        <v>495.04</v>
      </c>
      <c r="H747" s="1608">
        <f>+Orçamento_Não_Deson!H747</f>
        <v>0</v>
      </c>
      <c r="I747" s="876">
        <f t="shared" si="148"/>
        <v>634.49</v>
      </c>
      <c r="J747" s="1607">
        <f t="shared" si="150"/>
        <v>0</v>
      </c>
      <c r="K747" s="2069">
        <f t="shared" ca="1" si="146"/>
        <v>0</v>
      </c>
      <c r="L747" s="1570">
        <f t="shared" si="147"/>
        <v>0</v>
      </c>
      <c r="M747" s="1967"/>
      <c r="N747" s="832"/>
      <c r="O747" s="832"/>
      <c r="Q747" s="832"/>
      <c r="R747" s="832"/>
      <c r="S747" s="832"/>
      <c r="T747" s="832"/>
      <c r="U747" s="832"/>
      <c r="V747" s="832"/>
      <c r="W747" s="832"/>
      <c r="X747" s="832"/>
    </row>
    <row r="748" spans="1:24" s="812" customFormat="1" ht="39.950000000000003" hidden="1" customHeight="1" x14ac:dyDescent="0.15">
      <c r="A748" s="2072">
        <f ca="1">+Orçamento_Não_Deson!A748</f>
        <v>9.02</v>
      </c>
      <c r="B748" s="833" t="str">
        <f>+Orçamento_Não_Deson!B748</f>
        <v>SC/0095</v>
      </c>
      <c r="C748" s="2" t="str">
        <f>VLOOKUP($B748,[2]BOLETIM_SEL!$A:$H,2,0)</f>
        <v>COMPOSIÇÃO</v>
      </c>
      <c r="D748" s="315" t="str">
        <f>VLOOKUP($B748,[2]BOLETIM_SEL!$A:$H,4,0)</f>
        <v>Defensa metálica semi-maleável tipo dupla, em chapa de aço, padrão DNIT, incluindo fornecimento, montagem e refletivos (30x5cm) (REF. SICRO COD. 3713606)</v>
      </c>
      <c r="E748" s="2">
        <f>+Orçamento_Não_Deson!E748</f>
        <v>0</v>
      </c>
      <c r="F748" s="2" t="str">
        <f>VLOOKUP($B748,[2]BOLETIM_SEL!$A:$H,6,0)</f>
        <v>M</v>
      </c>
      <c r="G748" s="1407">
        <f>VLOOKUP($B748,[2]BOLETIM_SEL!$A:$H,7,0)</f>
        <v>688.39</v>
      </c>
      <c r="H748" s="1608">
        <f>+Orçamento_Não_Deson!H748</f>
        <v>0</v>
      </c>
      <c r="I748" s="876">
        <f t="shared" si="148"/>
        <v>882.3</v>
      </c>
      <c r="J748" s="1607">
        <f t="shared" si="150"/>
        <v>0</v>
      </c>
      <c r="K748" s="2069">
        <f t="shared" ca="1" si="146"/>
        <v>0</v>
      </c>
      <c r="L748" s="1570">
        <f t="shared" si="147"/>
        <v>0</v>
      </c>
      <c r="M748" s="1967"/>
      <c r="N748" s="832"/>
      <c r="O748" s="832"/>
      <c r="Q748" s="832"/>
      <c r="R748" s="832"/>
      <c r="S748" s="832"/>
      <c r="T748" s="832"/>
      <c r="U748" s="832"/>
      <c r="V748" s="832"/>
      <c r="W748" s="832"/>
      <c r="X748" s="832"/>
    </row>
    <row r="749" spans="1:24" s="812" customFormat="1" ht="24.95" hidden="1" customHeight="1" x14ac:dyDescent="0.15">
      <c r="A749" s="2072"/>
      <c r="B749" s="833"/>
      <c r="C749" s="2"/>
      <c r="D749" s="1449" t="s">
        <v>1825</v>
      </c>
      <c r="E749" s="2"/>
      <c r="F749" s="2"/>
      <c r="G749" s="1407"/>
      <c r="H749" s="2"/>
      <c r="I749" s="2"/>
      <c r="J749" s="838" t="str">
        <f>IF(J750=0,"-","")</f>
        <v>-</v>
      </c>
      <c r="K749" s="2069"/>
      <c r="L749" s="1570"/>
      <c r="M749" s="1967"/>
      <c r="N749" s="832"/>
      <c r="O749" s="832"/>
      <c r="Q749" s="832"/>
      <c r="R749" s="832"/>
      <c r="S749" s="832"/>
      <c r="T749" s="832"/>
      <c r="U749" s="832"/>
      <c r="V749" s="832"/>
      <c r="W749" s="832"/>
      <c r="X749" s="832"/>
    </row>
    <row r="750" spans="1:24" s="812" customFormat="1" ht="30" hidden="1" customHeight="1" x14ac:dyDescent="0.15">
      <c r="A750" s="2072">
        <f ca="1">+Orçamento_Não_Deson!A750</f>
        <v>9.02</v>
      </c>
      <c r="B750" s="833">
        <f>+Orçamento_Não_Deson!B750</f>
        <v>100947</v>
      </c>
      <c r="C750" s="2" t="str">
        <f>VLOOKUP($B750,[2]BOLETIM_SEL!$A:$H,2,0)</f>
        <v>SINAPI</v>
      </c>
      <c r="D750" s="315" t="str">
        <f>VLOOKUP($B750,[2]BOLETIM_SEL!$A:$H,4,0)</f>
        <v>Transporte com caminhão carroceria 9t, em via urbana pavimentada, DMT até 30,00 km (unidade: txkm). AF_07/2020</v>
      </c>
      <c r="E750" s="2">
        <f>+Orçamento_Não_Deson!E750</f>
        <v>22</v>
      </c>
      <c r="F750" s="2" t="str">
        <f>VLOOKUP($B750,[2]BOLETIM_SEL!$A:$H,6,0)</f>
        <v>TXKM</v>
      </c>
      <c r="G750" s="1407">
        <f>VLOOKUP($B750,[2]BOLETIM_SEL!$A:$H,7,0)</f>
        <v>2.08</v>
      </c>
      <c r="H750" s="1608">
        <f>+Orçamento_Não_Deson!H750</f>
        <v>0</v>
      </c>
      <c r="I750" s="876">
        <f>+TRUNC(G750*(1+$J$5),2)</f>
        <v>2.66</v>
      </c>
      <c r="J750" s="1607">
        <f>TRUNC(H750*I750,2)</f>
        <v>0</v>
      </c>
      <c r="K750" s="2069">
        <f ca="1">J750/J$930</f>
        <v>0</v>
      </c>
      <c r="L750" s="1570">
        <f>J750/$J$719</f>
        <v>0</v>
      </c>
      <c r="M750" s="1967"/>
      <c r="N750" s="832"/>
      <c r="O750" s="832"/>
      <c r="Q750" s="832"/>
      <c r="R750" s="832"/>
      <c r="S750" s="832"/>
      <c r="T750" s="832"/>
      <c r="U750" s="832"/>
      <c r="V750" s="832"/>
      <c r="W750" s="832"/>
      <c r="X750" s="832"/>
    </row>
    <row r="751" spans="1:24" s="812" customFormat="1" ht="24.95" customHeight="1" x14ac:dyDescent="0.15">
      <c r="A751" s="2072"/>
      <c r="B751" s="833"/>
      <c r="C751" s="833"/>
      <c r="D751" s="834"/>
      <c r="E751" s="2"/>
      <c r="F751" s="833"/>
      <c r="G751" s="1814"/>
      <c r="H751" s="1"/>
      <c r="I751" s="876"/>
      <c r="J751" s="838" t="str">
        <f>IF(J719=0,0,"")</f>
        <v/>
      </c>
      <c r="K751" s="2069"/>
      <c r="L751" s="1570"/>
      <c r="M751" s="1826"/>
      <c r="N751" s="832"/>
      <c r="O751" s="832"/>
      <c r="Q751" s="832"/>
      <c r="R751" s="832"/>
      <c r="S751" s="832"/>
      <c r="T751" s="832"/>
      <c r="U751" s="832"/>
      <c r="V751" s="832"/>
      <c r="W751" s="832"/>
      <c r="X751" s="832"/>
    </row>
    <row r="752" spans="1:24" s="832" customFormat="1" ht="24.95" customHeight="1" x14ac:dyDescent="0.15">
      <c r="A752" s="2073">
        <f ca="1">IF(J752&gt;0,INT(A750)+1,IF(J752=0,INT(A750),0))</f>
        <v>10</v>
      </c>
      <c r="B752" s="1626"/>
      <c r="C752" s="1626"/>
      <c r="D752" s="1627" t="s">
        <v>267</v>
      </c>
      <c r="E752" s="1821"/>
      <c r="F752" s="1628"/>
      <c r="G752" s="1813" t="s">
        <v>653</v>
      </c>
      <c r="H752" s="1630"/>
      <c r="I752" s="1633" t="str">
        <f ca="1">CONCATENATE("SUB-TOTAL ",A752)</f>
        <v>SUB-TOTAL 10</v>
      </c>
      <c r="J752" s="1632">
        <f>SUM(J753:J794)</f>
        <v>375957.84</v>
      </c>
      <c r="K752" s="2070">
        <f t="shared" ref="K752:K784" ca="1" si="151">J752/J$930</f>
        <v>9.9506250725537523E-2</v>
      </c>
      <c r="L752" s="1605">
        <f t="shared" ref="L752:L794" si="152">+J752/$J$752</f>
        <v>1</v>
      </c>
    </row>
    <row r="753" spans="1:24" s="812" customFormat="1" ht="50.1" hidden="1" customHeight="1" x14ac:dyDescent="0.15">
      <c r="A753" s="2072">
        <f ca="1">+Orçamento_Não_Deson!A753</f>
        <v>10</v>
      </c>
      <c r="B753" s="833">
        <f>+Orçamento_Não_Deson!B753</f>
        <v>90099</v>
      </c>
      <c r="C753" s="2" t="str">
        <f>VLOOKUP($B753,[2]BOLETIM_SEL!$A:$H,2,0)</f>
        <v>SINAPI</v>
      </c>
      <c r="D753" s="315" t="str">
        <f>VLOOKUP($B753,[2]BOLETIM_SEL!$A:$H,4,0)</f>
        <v>Escavação mecanizada de vala com profundidade até 1,50 m (média entre montante e jusante / uma composição por trecho), com retroescavadeira (capacidade da caçamba: 0,26 m3 / potência: 88 HP), largura menor que 0,80 m, em solo de 1a categoria, em locais com alto nível de interferência. AF_01/2015</v>
      </c>
      <c r="E753" s="2">
        <f>+Orçamento_Não_Deson!E753</f>
        <v>0</v>
      </c>
      <c r="F753" s="2" t="str">
        <f>VLOOKUP($B753,[2]BOLETIM_SEL!$A:$H,6,0)</f>
        <v>M3</v>
      </c>
      <c r="G753" s="1407">
        <f>VLOOKUP($B753,[2]BOLETIM_SEL!$A:$H,7,0)</f>
        <v>14.75</v>
      </c>
      <c r="H753" s="1608">
        <f>+Orçamento_Não_Deson!H753</f>
        <v>0</v>
      </c>
      <c r="I753" s="876">
        <f>+TRUNC(G753*(1+$J$5),2)</f>
        <v>18.899999999999999</v>
      </c>
      <c r="J753" s="1607">
        <f>TRUNC(H753*I753,2)</f>
        <v>0</v>
      </c>
      <c r="K753" s="2069">
        <f t="shared" ca="1" si="151"/>
        <v>0</v>
      </c>
      <c r="L753" s="1570">
        <f t="shared" si="152"/>
        <v>0</v>
      </c>
      <c r="M753" s="1967" t="str">
        <f>+Orçamento_Não_Deson!M753</f>
        <v>H &lt; 1,50
alta Interferência</v>
      </c>
      <c r="N753" s="832"/>
      <c r="O753" s="832"/>
      <c r="Q753" s="832"/>
      <c r="R753" s="832"/>
      <c r="S753" s="832"/>
      <c r="T753" s="832"/>
      <c r="U753" s="832"/>
      <c r="V753" s="832"/>
      <c r="W753" s="832"/>
      <c r="X753" s="832"/>
    </row>
    <row r="754" spans="1:24" s="812" customFormat="1" ht="50.1" hidden="1" customHeight="1" x14ac:dyDescent="0.15">
      <c r="A754" s="2072">
        <f ca="1">+Orçamento_Não_Deson!A754</f>
        <v>10</v>
      </c>
      <c r="B754" s="833">
        <f>+Orçamento_Não_Deson!B754</f>
        <v>101230</v>
      </c>
      <c r="C754" s="2" t="str">
        <f>VLOOKUP($B754,[2]BOLETIM_SEL!$A:$H,2,0)</f>
        <v>SINAPI</v>
      </c>
      <c r="D754" s="315" t="str">
        <f>VLOOKUP($B754,[2]BOLETIM_SEL!$A:$H,4,0)</f>
        <v>Escavação vertical a céu aberto, em obras de infraestrutura, incluindo carga, descarga e transporte, em solo de 1a categoria com escavadeira hidráulica (caçamba: 0,80 m3 / 111 HP), frota de 3 caminhões basculantes de 14 m3, DMT até 1 km e velocidade média 14 km/h. AF_05/2020</v>
      </c>
      <c r="E754" s="2">
        <f>+Orçamento_Não_Deson!E754</f>
        <v>0</v>
      </c>
      <c r="F754" s="2" t="str">
        <f>VLOOKUP($B754,[2]BOLETIM_SEL!$A:$H,6,0)</f>
        <v>M3</v>
      </c>
      <c r="G754" s="1407">
        <f>VLOOKUP($B754,[2]BOLETIM_SEL!$A:$H,7,0)</f>
        <v>10.59</v>
      </c>
      <c r="H754" s="1608">
        <f>+Orçamento_Não_Deson!H754</f>
        <v>0</v>
      </c>
      <c r="I754" s="876">
        <f>+TRUNC(G754*(1+$J$5),2)</f>
        <v>13.57</v>
      </c>
      <c r="J754" s="1607">
        <f>TRUNC(H754*I754,2)</f>
        <v>0</v>
      </c>
      <c r="K754" s="2069">
        <f t="shared" ca="1" si="151"/>
        <v>0</v>
      </c>
      <c r="L754" s="1570">
        <f t="shared" si="152"/>
        <v>0</v>
      </c>
      <c r="M754" s="1967"/>
      <c r="N754" s="832"/>
      <c r="O754" s="832"/>
      <c r="Q754" s="832"/>
      <c r="R754" s="832"/>
      <c r="S754" s="832"/>
      <c r="T754" s="832"/>
      <c r="U754" s="832"/>
      <c r="V754" s="832"/>
      <c r="W754" s="832"/>
      <c r="X754" s="832"/>
    </row>
    <row r="755" spans="1:24" s="812" customFormat="1" ht="39.950000000000003" hidden="1" customHeight="1" x14ac:dyDescent="0.15">
      <c r="A755" s="2072">
        <f ca="1">+Orçamento_Não_Deson!A755</f>
        <v>10</v>
      </c>
      <c r="B755" s="833">
        <f>+Orçamento_Não_Deson!B755</f>
        <v>6079</v>
      </c>
      <c r="C755" s="2" t="str">
        <f>VLOOKUP($B755,[2]BOLETIM_SEL!$A:$H,2,0)</f>
        <v>COTAÇÃO - SINAPI</v>
      </c>
      <c r="D755" s="315" t="str">
        <f>VLOOKUP($B755,[2]BOLETIM_SEL!$A:$H,4,0)</f>
        <v>Argila, argila vermelha ou argila arenosa (retirada na jazida, sem transporte)</v>
      </c>
      <c r="E755" s="2221" t="str">
        <f>+Orçamento_Não_Deson!E755</f>
        <v>BDI insumo</v>
      </c>
      <c r="F755" s="2" t="str">
        <f>VLOOKUP($B755,[2]BOLETIM_SEL!$A:$H,6,0)</f>
        <v xml:space="preserve">M3    </v>
      </c>
      <c r="G755" s="1407">
        <f>VLOOKUP($B755,[2]BOLETIM_SEL!$A:$H,7,0)</f>
        <v>36.51</v>
      </c>
      <c r="H755" s="1608">
        <f>+Orçamento_Não_Deson!H755</f>
        <v>0</v>
      </c>
      <c r="I755" s="2100">
        <f>TRUNC(G755*(1+$J$6),2)</f>
        <v>42.08</v>
      </c>
      <c r="J755" s="1607">
        <f>TRUNC(H755*I755,2)</f>
        <v>0</v>
      </c>
      <c r="K755" s="2069">
        <f t="shared" ca="1" si="151"/>
        <v>0</v>
      </c>
      <c r="L755" s="1570">
        <f t="shared" si="152"/>
        <v>0</v>
      </c>
      <c r="M755" s="1968" t="str">
        <f>+Orçamento_Não_Deson!M755</f>
        <v>COMERCIAL</v>
      </c>
      <c r="N755" s="832"/>
      <c r="O755" s="832"/>
      <c r="Q755" s="832"/>
      <c r="R755" s="832"/>
      <c r="S755" s="832"/>
      <c r="T755" s="832"/>
      <c r="U755" s="832"/>
      <c r="V755" s="832"/>
      <c r="W755" s="832"/>
      <c r="X755" s="832"/>
    </row>
    <row r="756" spans="1:24" s="812" customFormat="1" ht="39.950000000000003" hidden="1" customHeight="1" x14ac:dyDescent="0.15">
      <c r="A756" s="2072">
        <f ca="1">+Orçamento_Não_Deson!A756</f>
        <v>10</v>
      </c>
      <c r="B756" s="833">
        <f>+Orçamento_Não_Deson!B756</f>
        <v>100324</v>
      </c>
      <c r="C756" s="2" t="str">
        <f>VLOOKUP($B756,[2]BOLETIM_SEL!$A:$H,2,0)</f>
        <v>SINAPI</v>
      </c>
      <c r="D756" s="315" t="str">
        <f>VLOOKUP($B756,[2]BOLETIM_SEL!$A:$H,4,0)</f>
        <v>Lastro com material granular (pedra britada n.1 e pedra britada n.2), aplicado em pisos ou radiers, espessura de *10 cm*. AF_07/2019</v>
      </c>
      <c r="E756" s="2">
        <f>+Orçamento_Não_Deson!E756</f>
        <v>0</v>
      </c>
      <c r="F756" s="2" t="str">
        <f>VLOOKUP($B756,[2]BOLETIM_SEL!$A:$H,6,0)</f>
        <v>M3</v>
      </c>
      <c r="G756" s="1407">
        <f>VLOOKUP($B756,[2]BOLETIM_SEL!$A:$H,7,0)</f>
        <v>147.47</v>
      </c>
      <c r="H756" s="1608">
        <f>+Orçamento_Não_Deson!H756</f>
        <v>0</v>
      </c>
      <c r="I756" s="876">
        <f t="shared" ref="I756:I784" si="153">+TRUNC(G756*(1+$J$5),2)</f>
        <v>189.01</v>
      </c>
      <c r="J756" s="1607">
        <f>TRUNC(H756*I756,2)</f>
        <v>0</v>
      </c>
      <c r="K756" s="2069">
        <f t="shared" ca="1" si="151"/>
        <v>0</v>
      </c>
      <c r="L756" s="1570">
        <f t="shared" si="152"/>
        <v>0</v>
      </c>
      <c r="M756" s="1967"/>
      <c r="N756" s="1957" t="s">
        <v>1951</v>
      </c>
      <c r="O756" s="1648" t="s">
        <v>1977</v>
      </c>
      <c r="Q756" s="832"/>
      <c r="R756" s="832"/>
      <c r="S756" s="832"/>
      <c r="T756" s="832"/>
      <c r="U756" s="832"/>
      <c r="V756" s="832"/>
      <c r="W756" s="832"/>
      <c r="X756" s="832"/>
    </row>
    <row r="757" spans="1:24" s="812" customFormat="1" ht="30" hidden="1" customHeight="1" x14ac:dyDescent="0.15">
      <c r="A757" s="2072">
        <f ca="1">+Orçamento_Não_Deson!A757</f>
        <v>10</v>
      </c>
      <c r="B757" s="833">
        <f>+Orçamento_Não_Deson!B757</f>
        <v>98524</v>
      </c>
      <c r="C757" s="2" t="str">
        <f>VLOOKUP($B757,[2]BOLETIM_SEL!$A:$H,2,0)</f>
        <v>SINAPI</v>
      </c>
      <c r="D757" s="315" t="str">
        <f>VLOOKUP($B757,[2]BOLETIM_SEL!$A:$H,4,0)</f>
        <v>Limpeza manual de vegetação em terreno com enxada. AF_05/2018</v>
      </c>
      <c r="E757" s="2">
        <f>+Orçamento_Não_Deson!E757</f>
        <v>0</v>
      </c>
      <c r="F757" s="2" t="str">
        <f>VLOOKUP($B757,[2]BOLETIM_SEL!$A:$H,6,0)</f>
        <v>M2</v>
      </c>
      <c r="G757" s="1407">
        <f>VLOOKUP($B757,[2]BOLETIM_SEL!$A:$H,7,0)</f>
        <v>2.64</v>
      </c>
      <c r="H757" s="1608">
        <f>+Orçamento_Não_Deson!H757</f>
        <v>0</v>
      </c>
      <c r="I757" s="876">
        <f t="shared" ref="I757:I758" si="154">+TRUNC(G757*(1+$J$5),2)</f>
        <v>3.38</v>
      </c>
      <c r="J757" s="1607">
        <f t="shared" ref="J757:J758" si="155">TRUNC(H757*I757,2)</f>
        <v>0</v>
      </c>
      <c r="K757" s="2069">
        <f t="shared" ca="1" si="151"/>
        <v>0</v>
      </c>
      <c r="L757" s="1570">
        <f t="shared" ref="L757:L758" si="156">+J757/$J$752</f>
        <v>0</v>
      </c>
      <c r="M757" s="1967"/>
      <c r="N757" s="1957" t="s">
        <v>1951</v>
      </c>
      <c r="O757" s="1648" t="s">
        <v>1977</v>
      </c>
      <c r="Q757" s="832"/>
      <c r="R757" s="832"/>
      <c r="S757" s="832"/>
      <c r="T757" s="832"/>
      <c r="U757" s="832"/>
      <c r="V757" s="832"/>
      <c r="W757" s="832"/>
      <c r="X757" s="832"/>
    </row>
    <row r="758" spans="1:24" s="812" customFormat="1" ht="39.950000000000003" hidden="1" customHeight="1" x14ac:dyDescent="0.15">
      <c r="A758" s="2072">
        <f ca="1">+Orçamento_Não_Deson!A758</f>
        <v>10</v>
      </c>
      <c r="B758" s="833">
        <f>+Orçamento_Não_Deson!B758</f>
        <v>100975</v>
      </c>
      <c r="C758" s="2" t="str">
        <f>VLOOKUP($B758,[2]BOLETIM_SEL!$A:$H,2,0)</f>
        <v>SINAPI</v>
      </c>
      <c r="D758" s="315" t="str">
        <f>VLOOKUP($B758,[2]BOLETIM_SEL!$A:$H,4,0)</f>
        <v>Carga, manobra e descarga de solos e materiais granulares em caminhão basculante 14 m3 - carga com pá carregadeira (capacidade da caçamba: 1,70 a 2,80 m3 / potência: 128 HP) e descarga livre (unidade: m3). AF_07/2020</v>
      </c>
      <c r="E758" s="2">
        <f>+Orçamento_Não_Deson!E758</f>
        <v>0</v>
      </c>
      <c r="F758" s="2" t="str">
        <f>VLOOKUP($B758,[2]BOLETIM_SEL!$A:$H,6,0)</f>
        <v>M3</v>
      </c>
      <c r="G758" s="1407">
        <f>VLOOKUP($B758,[2]BOLETIM_SEL!$A:$H,7,0)</f>
        <v>8.23</v>
      </c>
      <c r="H758" s="1608">
        <f>+Orçamento_Não_Deson!H758</f>
        <v>0</v>
      </c>
      <c r="I758" s="876">
        <f t="shared" si="154"/>
        <v>10.54</v>
      </c>
      <c r="J758" s="1607">
        <f t="shared" si="155"/>
        <v>0</v>
      </c>
      <c r="K758" s="2069">
        <f t="shared" ca="1" si="151"/>
        <v>0</v>
      </c>
      <c r="L758" s="1570">
        <f t="shared" si="156"/>
        <v>0</v>
      </c>
      <c r="M758" s="1967"/>
      <c r="N758" s="1957" t="s">
        <v>1951</v>
      </c>
      <c r="O758" s="1648" t="s">
        <v>1977</v>
      </c>
      <c r="Q758" s="832"/>
      <c r="R758" s="832"/>
      <c r="S758" s="832"/>
      <c r="T758" s="832"/>
      <c r="U758" s="832"/>
      <c r="V758" s="832"/>
      <c r="W758" s="832"/>
      <c r="X758" s="832"/>
    </row>
    <row r="759" spans="1:24" s="812" customFormat="1" ht="30" customHeight="1" x14ac:dyDescent="0.15">
      <c r="A759" s="2072">
        <f ca="1">+Orçamento_Não_Deson!A759</f>
        <v>10.01</v>
      </c>
      <c r="B759" s="833">
        <f>+Orçamento_Não_Deson!B759</f>
        <v>97084</v>
      </c>
      <c r="C759" s="2" t="str">
        <f>VLOOKUP($B759,[2]BOLETIM_SEL!$A:$H,2,0)</f>
        <v>SINAPI</v>
      </c>
      <c r="D759" s="315" t="str">
        <f>VLOOKUP($B759,[2]BOLETIM_SEL!$A:$H,4,0)</f>
        <v>Compactação mecânica de solo para execução de radier, com compactador de solos tipo placa vibratória. AF_09/2021</v>
      </c>
      <c r="E759" s="2">
        <f>+Orçamento_Não_Deson!E759</f>
        <v>0</v>
      </c>
      <c r="F759" s="2" t="str">
        <f>VLOOKUP($B759,[2]BOLETIM_SEL!$A:$H,6,0)</f>
        <v>M2</v>
      </c>
      <c r="G759" s="1407">
        <f>VLOOKUP($B759,[2]BOLETIM_SEL!$A:$H,7,0)</f>
        <v>0.56000000000000005</v>
      </c>
      <c r="H759" s="1608">
        <f>+Orçamento_Não_Deson!H759</f>
        <v>5339.87</v>
      </c>
      <c r="I759" s="876">
        <f t="shared" si="153"/>
        <v>0.71</v>
      </c>
      <c r="J759" s="1607">
        <f>TRUNC(H759*I759,2)</f>
        <v>3791.3</v>
      </c>
      <c r="K759" s="2069">
        <f t="shared" ca="1" si="151"/>
        <v>1.0034583887803229E-3</v>
      </c>
      <c r="L759" s="1570">
        <f t="shared" si="152"/>
        <v>1.0084375418264985E-2</v>
      </c>
      <c r="M759" s="1967"/>
      <c r="N759" s="1959">
        <f>+Orçamento_Não_Deson!N759</f>
        <v>52.63</v>
      </c>
      <c r="O759" s="1645">
        <f>+H759/N759</f>
        <v>101.46057381721451</v>
      </c>
      <c r="Q759" s="832"/>
      <c r="R759" s="832"/>
      <c r="S759" s="832"/>
      <c r="T759" s="832"/>
      <c r="U759" s="832"/>
      <c r="V759" s="832"/>
      <c r="W759" s="832"/>
      <c r="X759" s="832"/>
    </row>
    <row r="760" spans="1:24" s="812" customFormat="1" ht="39.950000000000003" customHeight="1" x14ac:dyDescent="0.15">
      <c r="A760" s="2072">
        <f ca="1">+Orçamento_Não_Deson!A760</f>
        <v>10.02</v>
      </c>
      <c r="B760" s="833" t="str">
        <f>+Orçamento_Não_Deson!B760</f>
        <v>SC/0080</v>
      </c>
      <c r="C760" s="2" t="str">
        <f>VLOOKUP($B760,[2]BOLETIM_SEL!$A:$H,2,0)</f>
        <v>COMPOSIÇÃO</v>
      </c>
      <c r="D760" s="315" t="str">
        <f>VLOOKUP($B760,[2]BOLETIM_SEL!$A:$H,4,0)</f>
        <v>Piso tátil de alerta ou direcional com lajota cimentícia  40x40x2,5cm, nas cores da NBR 16537, assentado com argamassa de cimento e areia 1:3</v>
      </c>
      <c r="E760" s="2">
        <f>+Orçamento_Não_Deson!E760</f>
        <v>0</v>
      </c>
      <c r="F760" s="2" t="str">
        <f>VLOOKUP($B760,[2]BOLETIM_SEL!$A:$H,6,0)</f>
        <v>M</v>
      </c>
      <c r="G760" s="1407">
        <f>VLOOKUP($B760,[2]BOLETIM_SEL!$A:$H,7,0)</f>
        <v>58.13</v>
      </c>
      <c r="H760" s="1608">
        <f>+Orçamento_Não_Deson!H760</f>
        <v>83.59</v>
      </c>
      <c r="I760" s="876">
        <f t="shared" si="153"/>
        <v>74.5</v>
      </c>
      <c r="J760" s="1607">
        <f t="shared" ref="J760:J794" si="157">TRUNC(H760*I760,2)</f>
        <v>6227.45</v>
      </c>
      <c r="K760" s="2069">
        <f t="shared" ca="1" si="151"/>
        <v>1.6482438591538578E-3</v>
      </c>
      <c r="L760" s="1570">
        <f t="shared" si="152"/>
        <v>1.656422432898327E-2</v>
      </c>
      <c r="M760" s="1967"/>
      <c r="N760" s="1959">
        <f>+Orçamento_Não_Deson!N760</f>
        <v>0</v>
      </c>
      <c r="O760" s="1645" t="e">
        <f t="shared" ref="O760:O763" si="158">+H760/N760</f>
        <v>#DIV/0!</v>
      </c>
      <c r="Q760" s="832"/>
      <c r="R760" s="832"/>
      <c r="S760" s="832"/>
      <c r="T760" s="832"/>
      <c r="U760" s="832"/>
      <c r="V760" s="832"/>
      <c r="W760" s="832"/>
      <c r="X760" s="832"/>
    </row>
    <row r="761" spans="1:24" s="812" customFormat="1" ht="39.950000000000003" customHeight="1" x14ac:dyDescent="0.15">
      <c r="A761" s="2072">
        <f ca="1">+Orçamento_Não_Deson!A761</f>
        <v>10.029999999999999</v>
      </c>
      <c r="B761" s="833">
        <f>+Orçamento_Não_Deson!B761</f>
        <v>94962</v>
      </c>
      <c r="C761" s="2" t="str">
        <f>VLOOKUP($B761,[2]BOLETIM_SEL!$A:$H,2,0)</f>
        <v>SINAPI</v>
      </c>
      <c r="D761" s="315" t="str">
        <f>VLOOKUP($B761,[2]BOLETIM_SEL!$A:$H,4,0)</f>
        <v>Concreto magro para lastro, traço 1:4,5:4,5 (cimento/ areia média/ brita 1) - preparo mecânico com betoneira 400 l. AF_07/2016</v>
      </c>
      <c r="E761" s="2">
        <f>+Orçamento_Não_Deson!E761</f>
        <v>0</v>
      </c>
      <c r="F761" s="2" t="str">
        <f>VLOOKUP($B761,[2]BOLETIM_SEL!$A:$H,6,0)</f>
        <v>M3</v>
      </c>
      <c r="G761" s="1407">
        <f>VLOOKUP($B761,[2]BOLETIM_SEL!$A:$H,7,0)</f>
        <v>377.26</v>
      </c>
      <c r="H761" s="1608">
        <f>+Orçamento_Não_Deson!H761</f>
        <v>1</v>
      </c>
      <c r="I761" s="876">
        <f t="shared" si="153"/>
        <v>483.53</v>
      </c>
      <c r="J761" s="1607">
        <f t="shared" si="157"/>
        <v>483.53</v>
      </c>
      <c r="K761" s="2069">
        <f t="shared" ca="1" si="151"/>
        <v>1.2797780041857659E-4</v>
      </c>
      <c r="L761" s="1570">
        <f t="shared" si="152"/>
        <v>1.2861282531041246E-3</v>
      </c>
      <c r="M761" s="1967"/>
      <c r="N761" s="1959">
        <f>+Orçamento_Não_Deson!N761</f>
        <v>0</v>
      </c>
      <c r="O761" s="1645" t="e">
        <f t="shared" si="158"/>
        <v>#DIV/0!</v>
      </c>
      <c r="Q761" s="832"/>
      <c r="R761" s="832"/>
      <c r="S761" s="832"/>
      <c r="T761" s="832"/>
      <c r="U761" s="832"/>
      <c r="V761" s="832"/>
      <c r="W761" s="832"/>
      <c r="X761" s="832"/>
    </row>
    <row r="762" spans="1:24" s="812" customFormat="1" ht="39.950000000000003" customHeight="1" x14ac:dyDescent="0.15">
      <c r="A762" s="2072">
        <f ca="1">+Orçamento_Não_Deson!A762</f>
        <v>10.039999999999999</v>
      </c>
      <c r="B762" s="833">
        <f>+Orçamento_Não_Deson!B762</f>
        <v>94991</v>
      </c>
      <c r="C762" s="2" t="str">
        <f>VLOOKUP($B762,[2]BOLETIM_SEL!$A:$H,2,0)</f>
        <v>SINAPI</v>
      </c>
      <c r="D762" s="315" t="str">
        <f>VLOOKUP($B762,[2]BOLETIM_SEL!$A:$H,4,0)</f>
        <v>Execução de passeio (calçada) ou piso de concreto com concreto moldado in loco, usinado, acabamento convencional, não armado. AF_07/2016</v>
      </c>
      <c r="E762" s="2">
        <f>+Orçamento_Não_Deson!E762</f>
        <v>0</v>
      </c>
      <c r="F762" s="2" t="str">
        <f>VLOOKUP($B762,[2]BOLETIM_SEL!$A:$H,6,0)</f>
        <v>M3</v>
      </c>
      <c r="G762" s="1407">
        <f>VLOOKUP($B762,[2]BOLETIM_SEL!$A:$H,7,0)</f>
        <v>767.43</v>
      </c>
      <c r="H762" s="1608">
        <f>+Orçamento_Não_Deson!H762</f>
        <v>371.45</v>
      </c>
      <c r="I762" s="876">
        <f t="shared" si="153"/>
        <v>983.61</v>
      </c>
      <c r="J762" s="1607">
        <f t="shared" si="157"/>
        <v>365361.93</v>
      </c>
      <c r="K762" s="2069">
        <f t="shared" ca="1" si="151"/>
        <v>9.6701789254205445E-2</v>
      </c>
      <c r="L762" s="1570">
        <f t="shared" si="152"/>
        <v>0.97181622811749313</v>
      </c>
      <c r="M762" s="1968" t="str">
        <f>+Orçamento_Não_Deson!M762</f>
        <v>USINADO</v>
      </c>
      <c r="N762" s="1959">
        <f>+Orçamento_Não_Deson!N762</f>
        <v>0</v>
      </c>
      <c r="O762" s="1645" t="e">
        <f t="shared" si="158"/>
        <v>#DIV/0!</v>
      </c>
      <c r="Q762" s="841"/>
      <c r="R762" s="841"/>
      <c r="S762" s="841"/>
      <c r="T762" s="841"/>
      <c r="U762" s="841"/>
      <c r="V762" s="841"/>
      <c r="W762" s="841"/>
      <c r="X762" s="832"/>
    </row>
    <row r="763" spans="1:24" s="812" customFormat="1" ht="39.950000000000003" hidden="1" customHeight="1" x14ac:dyDescent="0.15">
      <c r="A763" s="2072">
        <f ca="1">+Orçamento_Não_Deson!A763</f>
        <v>10.039999999999999</v>
      </c>
      <c r="B763" s="833">
        <f>+Orçamento_Não_Deson!B763</f>
        <v>94994</v>
      </c>
      <c r="C763" s="2" t="str">
        <f>VLOOKUP($B763,[2]BOLETIM_SEL!$A:$H,2,0)</f>
        <v>SINAPI</v>
      </c>
      <c r="D763" s="315" t="str">
        <f>VLOOKUP($B763,[2]BOLETIM_SEL!$A:$H,4,0)</f>
        <v>Execução de passeio (calçada) ou piso de concreto com concreto moldado in loco, feito em obra, acabamento convencional, espessura 8 cm, armado. AF_07/2016</v>
      </c>
      <c r="E763" s="2">
        <f>+Orçamento_Não_Deson!E763</f>
        <v>0</v>
      </c>
      <c r="F763" s="2" t="str">
        <f>VLOOKUP($B763,[2]BOLETIM_SEL!$A:$H,6,0)</f>
        <v>M2</v>
      </c>
      <c r="G763" s="1407">
        <f>VLOOKUP($B763,[2]BOLETIM_SEL!$A:$H,7,0)</f>
        <v>88.52</v>
      </c>
      <c r="H763" s="1608">
        <f>+Orçamento_Não_Deson!H763</f>
        <v>0</v>
      </c>
      <c r="I763" s="876">
        <f t="shared" si="153"/>
        <v>113.45</v>
      </c>
      <c r="J763" s="1607">
        <f t="shared" si="157"/>
        <v>0</v>
      </c>
      <c r="K763" s="2069">
        <f t="shared" ca="1" si="151"/>
        <v>0</v>
      </c>
      <c r="L763" s="1570">
        <f t="shared" si="152"/>
        <v>0</v>
      </c>
      <c r="M763" s="1968" t="str">
        <f>+Orçamento_Não_Deson!M763</f>
        <v>BETONEIRA</v>
      </c>
      <c r="N763" s="1959">
        <f>+Orçamento_Não_Deson!N763</f>
        <v>0</v>
      </c>
      <c r="O763" s="1645" t="e">
        <f t="shared" si="158"/>
        <v>#DIV/0!</v>
      </c>
      <c r="Q763" s="841"/>
      <c r="R763" s="841"/>
      <c r="S763" s="841"/>
      <c r="T763" s="841"/>
      <c r="U763" s="841"/>
      <c r="V763" s="841"/>
      <c r="W763" s="841"/>
      <c r="X763" s="832"/>
    </row>
    <row r="764" spans="1:24" s="812" customFormat="1" ht="39.950000000000003" hidden="1" customHeight="1" x14ac:dyDescent="0.15">
      <c r="A764" s="2072">
        <f ca="1">+Orçamento_Não_Deson!A764</f>
        <v>10.039999999999999</v>
      </c>
      <c r="B764" s="833" t="str">
        <f>+Orçamento_Não_Deson!B764</f>
        <v>SC/0070</v>
      </c>
      <c r="C764" s="2" t="str">
        <f>VLOOKUP($B764,[2]BOLETIM_SEL!$A:$H,2,0)</f>
        <v>COMPOSIÇÃO</v>
      </c>
      <c r="D764" s="315" t="str">
        <f>VLOOKUP($B764,[2]BOLETIM_SEL!$A:$H,4,0)</f>
        <v>Acabamento sobre superfícies em concreto, argamassa e outros com pigmento com 210g/m² de pó para coloração (REF. SINAPI COD. 73676)</v>
      </c>
      <c r="E764" s="2">
        <f>+Orçamento_Não_Deson!E764</f>
        <v>0</v>
      </c>
      <c r="F764" s="2" t="str">
        <f>VLOOKUP($B764,[2]BOLETIM_SEL!$A:$H,6,0)</f>
        <v>M2</v>
      </c>
      <c r="G764" s="1407"/>
      <c r="H764" s="1608">
        <f>+Orçamento_Não_Deson!H764</f>
        <v>0</v>
      </c>
      <c r="I764" s="876">
        <f t="shared" si="153"/>
        <v>0</v>
      </c>
      <c r="J764" s="1607">
        <f t="shared" si="157"/>
        <v>0</v>
      </c>
      <c r="K764" s="2069">
        <f t="shared" ca="1" si="151"/>
        <v>0</v>
      </c>
      <c r="L764" s="1570">
        <f t="shared" si="152"/>
        <v>0</v>
      </c>
      <c r="M764" s="1967"/>
      <c r="N764" s="832"/>
      <c r="O764" s="841"/>
      <c r="Q764" s="841"/>
      <c r="R764" s="841"/>
      <c r="S764" s="841"/>
      <c r="T764" s="841"/>
      <c r="U764" s="841"/>
      <c r="V764" s="841"/>
      <c r="W764" s="841"/>
      <c r="X764" s="832"/>
    </row>
    <row r="765" spans="1:24" s="812" customFormat="1" ht="30" hidden="1" customHeight="1" x14ac:dyDescent="0.15">
      <c r="A765" s="2072">
        <f ca="1">+Orçamento_Não_Deson!A765</f>
        <v>10.039999999999999</v>
      </c>
      <c r="B765" s="833">
        <f>+Orçamento_Não_Deson!B765</f>
        <v>92396</v>
      </c>
      <c r="C765" s="2" t="str">
        <f>VLOOKUP($B765,[2]BOLETIM_SEL!$A:$H,2,0)</f>
        <v>SINAPI</v>
      </c>
      <c r="D765" s="315" t="str">
        <f>VLOOKUP($B765,[2]BOLETIM_SEL!$A:$H,4,0)</f>
        <v>Execução de passeio em piso intertravado, com bloco retangular cor natural de 20 x 10 cm, espessura 6 cm. AF_12/2015</v>
      </c>
      <c r="E765" s="2">
        <f>+Orçamento_Não_Deson!E765</f>
        <v>0</v>
      </c>
      <c r="F765" s="2" t="str">
        <f>VLOOKUP($B765,[2]BOLETIM_SEL!$A:$H,6,0)</f>
        <v>M2</v>
      </c>
      <c r="G765" s="1407">
        <f>VLOOKUP($B765,[2]BOLETIM_SEL!$A:$H,7,0)</f>
        <v>71.31</v>
      </c>
      <c r="H765" s="1608">
        <f>+Orçamento_Não_Deson!H765</f>
        <v>0</v>
      </c>
      <c r="I765" s="876">
        <f t="shared" si="153"/>
        <v>91.39</v>
      </c>
      <c r="J765" s="1607">
        <f t="shared" si="157"/>
        <v>0</v>
      </c>
      <c r="K765" s="2069">
        <f t="shared" ca="1" si="151"/>
        <v>0</v>
      </c>
      <c r="L765" s="1570">
        <f t="shared" si="152"/>
        <v>0</v>
      </c>
      <c r="M765" s="1968" t="str">
        <f>+Orçamento_Não_Deson!M765</f>
        <v>RETANGULAR</v>
      </c>
      <c r="N765" s="832"/>
      <c r="O765" s="841"/>
      <c r="Q765" s="841"/>
      <c r="R765" s="841"/>
      <c r="S765" s="841"/>
      <c r="T765" s="841"/>
      <c r="U765" s="841"/>
      <c r="V765" s="841"/>
      <c r="W765" s="841"/>
      <c r="X765" s="832"/>
    </row>
    <row r="766" spans="1:24" s="812" customFormat="1" ht="39.950000000000003" hidden="1" customHeight="1" x14ac:dyDescent="0.15">
      <c r="A766" s="2072">
        <f ca="1">+Orçamento_Não_Deson!A766</f>
        <v>10.039999999999999</v>
      </c>
      <c r="B766" s="833" t="str">
        <f>+Orçamento_Não_Deson!B766</f>
        <v>SC/0130</v>
      </c>
      <c r="C766" s="2" t="str">
        <f>VLOOKUP($B766,[2]BOLETIM_SEL!$A:$H,2,0)</f>
        <v>COMPOSIÇÃO</v>
      </c>
      <c r="D766" s="315" t="str">
        <f>VLOOKUP($B766,[2]BOLETIM_SEL!$A:$H,4,0)</f>
        <v>Tampão fofo articulado, classe A15, carga máxima 1,5 T, 200 x 200 mm. Incluindo fornecimento, assentamento e requadro com argamassa</v>
      </c>
      <c r="E766" s="2">
        <f>+Orçamento_Não_Deson!E766</f>
        <v>0</v>
      </c>
      <c r="F766" s="2" t="str">
        <f>VLOOKUP($B766,[2]BOLETIM_SEL!$A:$H,6,0)</f>
        <v xml:space="preserve">UN </v>
      </c>
      <c r="G766" s="1407">
        <f>VLOOKUP($B766,[2]BOLETIM_SEL!$A:$H,7,0)</f>
        <v>125.14</v>
      </c>
      <c r="H766" s="1608">
        <f>+Orçamento_Não_Deson!H766</f>
        <v>0</v>
      </c>
      <c r="I766" s="876">
        <f t="shared" si="153"/>
        <v>160.38999999999999</v>
      </c>
      <c r="J766" s="1607">
        <f t="shared" si="157"/>
        <v>0</v>
      </c>
      <c r="K766" s="2069">
        <f t="shared" ca="1" si="151"/>
        <v>0</v>
      </c>
      <c r="L766" s="1570">
        <f t="shared" si="152"/>
        <v>0</v>
      </c>
      <c r="M766" s="1967"/>
      <c r="N766" s="832"/>
      <c r="O766" s="832"/>
      <c r="Q766" s="832"/>
      <c r="R766" s="832"/>
      <c r="S766" s="832"/>
      <c r="T766" s="832"/>
      <c r="U766" s="832"/>
      <c r="V766" s="832"/>
      <c r="W766" s="832"/>
      <c r="X766" s="832"/>
    </row>
    <row r="767" spans="1:24" s="812" customFormat="1" ht="39.950000000000003" hidden="1" customHeight="1" x14ac:dyDescent="0.15">
      <c r="A767" s="2072">
        <f ca="1">+Orçamento_Não_Deson!A767</f>
        <v>10.039999999999999</v>
      </c>
      <c r="B767" s="833" t="str">
        <f>+Orçamento_Não_Deson!B767</f>
        <v>SC/0135</v>
      </c>
      <c r="C767" s="2" t="str">
        <f>VLOOKUP($B767,[2]BOLETIM_SEL!$A:$H,2,0)</f>
        <v>COMPOSIÇÃO</v>
      </c>
      <c r="D767" s="315" t="str">
        <f>VLOOKUP($B767,[2]BOLETIM_SEL!$A:$H,4,0)</f>
        <v>Tampão fofo simples com base, classe A15, carga máxima 1,5 T, 300 x 300 mm. Incluindo fornecimento, assentamento e requadro com argamassa</v>
      </c>
      <c r="E767" s="2">
        <f>+Orçamento_Não_Deson!E767</f>
        <v>0</v>
      </c>
      <c r="F767" s="2" t="str">
        <f>VLOOKUP($B767,[2]BOLETIM_SEL!$A:$H,6,0)</f>
        <v xml:space="preserve">UN </v>
      </c>
      <c r="G767" s="1407">
        <f>VLOOKUP($B767,[2]BOLETIM_SEL!$A:$H,7,0)</f>
        <v>188.99</v>
      </c>
      <c r="H767" s="1608">
        <f>+Orçamento_Não_Deson!H767</f>
        <v>0</v>
      </c>
      <c r="I767" s="876">
        <f t="shared" si="153"/>
        <v>242.22</v>
      </c>
      <c r="J767" s="1607">
        <f t="shared" si="157"/>
        <v>0</v>
      </c>
      <c r="K767" s="2069">
        <f t="shared" ca="1" si="151"/>
        <v>0</v>
      </c>
      <c r="L767" s="1570">
        <f t="shared" si="152"/>
        <v>0</v>
      </c>
      <c r="M767" s="1967"/>
      <c r="N767" s="832"/>
      <c r="O767" s="832"/>
      <c r="Q767" s="832"/>
      <c r="R767" s="832"/>
      <c r="S767" s="832"/>
      <c r="T767" s="832"/>
      <c r="U767" s="832"/>
      <c r="V767" s="832"/>
      <c r="W767" s="832"/>
      <c r="X767" s="832"/>
    </row>
    <row r="768" spans="1:24" s="812" customFormat="1" ht="39.950000000000003" hidden="1" customHeight="1" x14ac:dyDescent="0.15">
      <c r="A768" s="2072">
        <f ca="1">+Orçamento_Não_Deson!A768</f>
        <v>10.039999999999999</v>
      </c>
      <c r="B768" s="833" t="str">
        <f>+Orçamento_Não_Deson!B768</f>
        <v>SC/0140</v>
      </c>
      <c r="C768" s="2" t="str">
        <f>VLOOKUP($B768,[2]BOLETIM_SEL!$A:$H,2,0)</f>
        <v>COMPOSIÇÃO</v>
      </c>
      <c r="D768" s="315" t="str">
        <f>VLOOKUP($B768,[2]BOLETIM_SEL!$A:$H,4,0)</f>
        <v>Tampão fofo simples com base, classe A15, carga máxima 1,5 T, 400 x 400 mm. Incluindo fornecimento, assentamento e requadro com argamassa</v>
      </c>
      <c r="E768" s="2">
        <f>+Orçamento_Não_Deson!E768</f>
        <v>0</v>
      </c>
      <c r="F768" s="2" t="str">
        <f>VLOOKUP($B768,[2]BOLETIM_SEL!$A:$H,6,0)</f>
        <v xml:space="preserve">UN </v>
      </c>
      <c r="G768" s="1407">
        <f>VLOOKUP($B768,[2]BOLETIM_SEL!$A:$H,7,0)</f>
        <v>274.97000000000003</v>
      </c>
      <c r="H768" s="1608">
        <f>+Orçamento_Não_Deson!H768</f>
        <v>0</v>
      </c>
      <c r="I768" s="876">
        <f t="shared" si="153"/>
        <v>352.42</v>
      </c>
      <c r="J768" s="1607">
        <f t="shared" si="157"/>
        <v>0</v>
      </c>
      <c r="K768" s="2069">
        <f t="shared" ca="1" si="151"/>
        <v>0</v>
      </c>
      <c r="L768" s="1570">
        <f t="shared" si="152"/>
        <v>0</v>
      </c>
      <c r="M768" s="1967"/>
      <c r="N768" s="832"/>
      <c r="O768" s="832"/>
      <c r="Q768" s="832"/>
      <c r="R768" s="832"/>
      <c r="S768" s="832"/>
      <c r="T768" s="832"/>
      <c r="U768" s="832"/>
      <c r="V768" s="832"/>
      <c r="W768" s="832"/>
      <c r="X768" s="832"/>
    </row>
    <row r="769" spans="1:24" s="812" customFormat="1" ht="39.950000000000003" hidden="1" customHeight="1" x14ac:dyDescent="0.15">
      <c r="A769" s="2072">
        <f ca="1">+Orçamento_Não_Deson!A769</f>
        <v>10.039999999999999</v>
      </c>
      <c r="B769" s="833" t="str">
        <f>+Orçamento_Não_Deson!B769</f>
        <v>SC/0145</v>
      </c>
      <c r="C769" s="2" t="str">
        <f>VLOOKUP($B769,[2]BOLETIM_SEL!$A:$H,2,0)</f>
        <v>COMPOSIÇÃO</v>
      </c>
      <c r="D769" s="315" t="str">
        <f>VLOOKUP($B769,[2]BOLETIM_SEL!$A:$H,4,0)</f>
        <v>Tampão fofo simples com base, classe A15, carga máxima 1,5 T, 400 x 400 mm. Incluindo fornecimento, assentamento e requadro com argamassa</v>
      </c>
      <c r="E769" s="2">
        <f>+Orçamento_Não_Deson!E769</f>
        <v>0</v>
      </c>
      <c r="F769" s="2" t="str">
        <f>VLOOKUP($B769,[2]BOLETIM_SEL!$A:$H,6,0)</f>
        <v xml:space="preserve">UN </v>
      </c>
      <c r="G769" s="1407">
        <f>VLOOKUP($B769,[2]BOLETIM_SEL!$A:$H,7,0)</f>
        <v>281.19</v>
      </c>
      <c r="H769" s="1608">
        <f>+Orçamento_Não_Deson!H769</f>
        <v>0</v>
      </c>
      <c r="I769" s="876">
        <f t="shared" si="153"/>
        <v>360.4</v>
      </c>
      <c r="J769" s="1607">
        <f t="shared" si="157"/>
        <v>0</v>
      </c>
      <c r="K769" s="2069">
        <f t="shared" ca="1" si="151"/>
        <v>0</v>
      </c>
      <c r="L769" s="1570">
        <f t="shared" si="152"/>
        <v>0</v>
      </c>
      <c r="M769" s="1967"/>
      <c r="N769" s="832"/>
      <c r="O769" s="832"/>
      <c r="Q769" s="832"/>
      <c r="R769" s="832"/>
      <c r="S769" s="832"/>
      <c r="T769" s="832"/>
      <c r="U769" s="832"/>
      <c r="V769" s="832"/>
      <c r="W769" s="832"/>
      <c r="X769" s="832"/>
    </row>
    <row r="770" spans="1:24" s="812" customFormat="1" ht="39.950000000000003" hidden="1" customHeight="1" x14ac:dyDescent="0.15">
      <c r="A770" s="2072">
        <f ca="1">+Orçamento_Não_Deson!A770</f>
        <v>10.039999999999999</v>
      </c>
      <c r="B770" s="833" t="str">
        <f>+Orçamento_Não_Deson!B770</f>
        <v>SC/0150</v>
      </c>
      <c r="C770" s="2" t="str">
        <f>VLOOKUP($B770,[2]BOLETIM_SEL!$A:$H,2,0)</f>
        <v>COMPOSIÇÃO</v>
      </c>
      <c r="D770" s="315" t="str">
        <f>VLOOKUP($B770,[2]BOLETIM_SEL!$A:$H,4,0)</f>
        <v>Tampão fofo simples com base, classe A15, carga máxima 1,5 T, 400 x 600 mm. Incluindo fornecimento, assentamento e requadro com argamassa</v>
      </c>
      <c r="E770" s="2">
        <f>+Orçamento_Não_Deson!E770</f>
        <v>0</v>
      </c>
      <c r="F770" s="2" t="str">
        <f>VLOOKUP($B770,[2]BOLETIM_SEL!$A:$H,6,0)</f>
        <v xml:space="preserve">UN </v>
      </c>
      <c r="G770" s="1407">
        <f>VLOOKUP($B770,[2]BOLETIM_SEL!$A:$H,7,0)</f>
        <v>378.68</v>
      </c>
      <c r="H770" s="1608">
        <f>+Orçamento_Não_Deson!H770</f>
        <v>0</v>
      </c>
      <c r="I770" s="876">
        <f t="shared" si="153"/>
        <v>485.35</v>
      </c>
      <c r="J770" s="1607">
        <f t="shared" si="157"/>
        <v>0</v>
      </c>
      <c r="K770" s="2069">
        <f t="shared" ca="1" si="151"/>
        <v>0</v>
      </c>
      <c r="L770" s="1570">
        <f t="shared" si="152"/>
        <v>0</v>
      </c>
      <c r="M770" s="1967"/>
      <c r="N770" s="832"/>
      <c r="O770" s="832"/>
      <c r="Q770" s="832"/>
      <c r="R770" s="832"/>
      <c r="S770" s="832"/>
      <c r="T770" s="832"/>
      <c r="U770" s="832"/>
      <c r="V770" s="832"/>
      <c r="W770" s="832"/>
      <c r="X770" s="832"/>
    </row>
    <row r="771" spans="1:24" s="812" customFormat="1" ht="30" hidden="1" customHeight="1" x14ac:dyDescent="0.15">
      <c r="A771" s="2072">
        <f ca="1">+Orçamento_Não_Deson!A771</f>
        <v>10.039999999999999</v>
      </c>
      <c r="B771" s="833">
        <f>+Orçamento_Não_Deson!B771</f>
        <v>101798</v>
      </c>
      <c r="C771" s="2" t="str">
        <f>VLOOKUP($B771,[2]BOLETIM_SEL!$A:$H,2,0)</f>
        <v>SINAPI</v>
      </c>
      <c r="D771" s="315" t="str">
        <f>VLOOKUP($B771,[2]BOLETIM_SEL!$A:$H,4,0)</f>
        <v>Tampão fofo p/ caixa R1 padrão telebrás completo - fornecimento e instalação</v>
      </c>
      <c r="E771" s="2">
        <f>+Orçamento_Não_Deson!E771</f>
        <v>0</v>
      </c>
      <c r="F771" s="2" t="str">
        <f>VLOOKUP($B771,[2]BOLETIM_SEL!$A:$H,6,0)</f>
        <v>UN</v>
      </c>
      <c r="G771" s="1407">
        <f>VLOOKUP($B771,[2]BOLETIM_SEL!$A:$H,7,0)</f>
        <v>360.4</v>
      </c>
      <c r="H771" s="1608">
        <f>+Orçamento_Não_Deson!H771</f>
        <v>0</v>
      </c>
      <c r="I771" s="876">
        <f t="shared" si="153"/>
        <v>461.92</v>
      </c>
      <c r="J771" s="1607">
        <f t="shared" si="157"/>
        <v>0</v>
      </c>
      <c r="K771" s="2069">
        <f t="shared" ca="1" si="151"/>
        <v>0</v>
      </c>
      <c r="L771" s="1570">
        <f t="shared" si="152"/>
        <v>0</v>
      </c>
      <c r="M771" s="1967"/>
      <c r="N771" s="832"/>
      <c r="O771" s="832"/>
      <c r="Q771" s="832"/>
      <c r="R771" s="832"/>
      <c r="S771" s="832"/>
      <c r="T771" s="832"/>
      <c r="U771" s="832"/>
      <c r="V771" s="832"/>
      <c r="W771" s="832"/>
      <c r="X771" s="832"/>
    </row>
    <row r="772" spans="1:24" s="812" customFormat="1" ht="30" hidden="1" customHeight="1" x14ac:dyDescent="0.15">
      <c r="A772" s="2072">
        <f ca="1">+Orçamento_Não_Deson!A772</f>
        <v>10.039999999999999</v>
      </c>
      <c r="B772" s="833">
        <f>+Orçamento_Não_Deson!B772</f>
        <v>101799</v>
      </c>
      <c r="C772" s="2" t="str">
        <f>VLOOKUP($B772,[2]BOLETIM_SEL!$A:$H,2,0)</f>
        <v>SINAPI</v>
      </c>
      <c r="D772" s="315" t="str">
        <f>VLOOKUP($B772,[2]BOLETIM_SEL!$A:$H,4,0)</f>
        <v>tampão fofo p/ caixa R2 padrão telebrás completo - fornecimento e instalação</v>
      </c>
      <c r="E772" s="2">
        <f>+Orçamento_Não_Deson!E772</f>
        <v>0</v>
      </c>
      <c r="F772" s="2" t="str">
        <f>VLOOKUP($B772,[2]BOLETIM_SEL!$A:$H,6,0)</f>
        <v>UN</v>
      </c>
      <c r="G772" s="1407">
        <f>VLOOKUP($B772,[2]BOLETIM_SEL!$A:$H,7,0)</f>
        <v>879.99</v>
      </c>
      <c r="H772" s="1608">
        <f>+Orçamento_Não_Deson!H772</f>
        <v>0</v>
      </c>
      <c r="I772" s="876">
        <f t="shared" si="153"/>
        <v>1127.8800000000001</v>
      </c>
      <c r="J772" s="1607">
        <f t="shared" si="157"/>
        <v>0</v>
      </c>
      <c r="K772" s="2069">
        <f t="shared" ca="1" si="151"/>
        <v>0</v>
      </c>
      <c r="L772" s="1570">
        <f t="shared" si="152"/>
        <v>0</v>
      </c>
      <c r="M772" s="1967"/>
      <c r="N772" s="832"/>
      <c r="O772" s="832"/>
      <c r="Q772" s="832"/>
      <c r="R772" s="832"/>
      <c r="S772" s="832"/>
      <c r="T772" s="832"/>
      <c r="U772" s="832"/>
      <c r="V772" s="832"/>
      <c r="W772" s="832"/>
      <c r="X772" s="832"/>
    </row>
    <row r="773" spans="1:24" s="812" customFormat="1" ht="39.950000000000003" hidden="1" customHeight="1" x14ac:dyDescent="0.15">
      <c r="A773" s="2072">
        <f ca="1">+Orçamento_Não_Deson!A773</f>
        <v>10.039999999999999</v>
      </c>
      <c r="B773" s="833" t="str">
        <f>+Orçamento_Não_Deson!B773</f>
        <v>SC/0155</v>
      </c>
      <c r="C773" s="2" t="str">
        <f>VLOOKUP($B773,[2]BOLETIM_SEL!$A:$H,2,0)</f>
        <v>COMPOSIÇÃO</v>
      </c>
      <c r="D773" s="315" t="str">
        <f>VLOOKUP($B773,[2]BOLETIM_SEL!$A:$H,4,0)</f>
        <v>Tampão completo para TIL, em PVC,  DN 100 mm, para rede coletora de esgoto. Incluindo fornecimento, assentamento e requadro com argamassa</v>
      </c>
      <c r="E773" s="2">
        <f>+Orçamento_Não_Deson!E773</f>
        <v>0</v>
      </c>
      <c r="F773" s="2" t="str">
        <f>VLOOKUP($B773,[2]BOLETIM_SEL!$A:$H,6,0)</f>
        <v xml:space="preserve">UN </v>
      </c>
      <c r="G773" s="1407"/>
      <c r="H773" s="1608">
        <f>+Orçamento_Não_Deson!H773</f>
        <v>0</v>
      </c>
      <c r="I773" s="876">
        <f t="shared" si="153"/>
        <v>0</v>
      </c>
      <c r="J773" s="1607">
        <f t="shared" si="157"/>
        <v>0</v>
      </c>
      <c r="K773" s="2069">
        <f t="shared" ca="1" si="151"/>
        <v>0</v>
      </c>
      <c r="L773" s="1570">
        <f t="shared" si="152"/>
        <v>0</v>
      </c>
      <c r="M773" s="1967"/>
      <c r="N773" s="832"/>
      <c r="O773" s="832"/>
      <c r="Q773" s="832"/>
      <c r="R773" s="832"/>
      <c r="S773" s="832"/>
      <c r="T773" s="832"/>
      <c r="U773" s="832"/>
      <c r="V773" s="832"/>
      <c r="W773" s="832"/>
      <c r="X773" s="832"/>
    </row>
    <row r="774" spans="1:24" s="812" customFormat="1" ht="30" hidden="1" customHeight="1" x14ac:dyDescent="0.15">
      <c r="A774" s="2072">
        <f ca="1">+Orçamento_Não_Deson!A774</f>
        <v>10.039999999999999</v>
      </c>
      <c r="B774" s="833" t="str">
        <f>+Orçamento_Não_Deson!B774</f>
        <v>SC/0160</v>
      </c>
      <c r="C774" s="2" t="str">
        <f>VLOOKUP($B774,[2]BOLETIM_SEL!$A:$H,2,0)</f>
        <v>COMPOSIÇÃO</v>
      </c>
      <c r="D774" s="315" t="str">
        <f>VLOOKUP($B774,[2]BOLETIM_SEL!$A:$H,4,0)</f>
        <v>Tampa de concreto armado para caixa de passeio, na espessura de 5cm (REF. SINAPI COD. 6171)</v>
      </c>
      <c r="E774" s="2">
        <f>+Orçamento_Não_Deson!E774</f>
        <v>0</v>
      </c>
      <c r="F774" s="2" t="str">
        <f>VLOOKUP($B774,[2]BOLETIM_SEL!$A:$H,6,0)</f>
        <v>M2</v>
      </c>
      <c r="G774" s="1407">
        <f>VLOOKUP($B774,[2]BOLETIM_SEL!$A:$H,7,0)</f>
        <v>103.68</v>
      </c>
      <c r="H774" s="1608">
        <f>+Orçamento_Não_Deson!H774</f>
        <v>0</v>
      </c>
      <c r="I774" s="876">
        <f t="shared" si="153"/>
        <v>132.88</v>
      </c>
      <c r="J774" s="1607">
        <f t="shared" si="157"/>
        <v>0</v>
      </c>
      <c r="K774" s="2069">
        <f t="shared" ca="1" si="151"/>
        <v>0</v>
      </c>
      <c r="L774" s="1570">
        <f t="shared" si="152"/>
        <v>0</v>
      </c>
      <c r="M774" s="1967"/>
      <c r="N774" s="832"/>
      <c r="O774" s="832"/>
      <c r="Q774" s="832"/>
      <c r="R774" s="832"/>
      <c r="S774" s="832"/>
      <c r="T774" s="832"/>
      <c r="U774" s="832"/>
      <c r="V774" s="832"/>
      <c r="W774" s="832"/>
      <c r="X774" s="832"/>
    </row>
    <row r="775" spans="1:24" s="812" customFormat="1" ht="39.950000000000003" hidden="1" customHeight="1" x14ac:dyDescent="0.15">
      <c r="A775" s="2072">
        <f ca="1">+Orçamento_Não_Deson!A775</f>
        <v>10.039999999999999</v>
      </c>
      <c r="B775" s="833">
        <f>+Orçamento_Não_Deson!B775</f>
        <v>89512</v>
      </c>
      <c r="C775" s="2" t="str">
        <f>VLOOKUP($B775,[2]BOLETIM_SEL!$A:$H,2,0)</f>
        <v>SINAPI</v>
      </c>
      <c r="D775" s="315" t="str">
        <f>VLOOKUP($B775,[2]BOLETIM_SEL!$A:$H,4,0)</f>
        <v>Tubo pvc, série r, água pluvial, diâmetro nominal de 100 mm, fornecido e instalado em ramal de encaminhamento. AF_12/2014</v>
      </c>
      <c r="E775" s="2">
        <f>+Orçamento_Não_Deson!E775</f>
        <v>0</v>
      </c>
      <c r="F775" s="2" t="str">
        <f>VLOOKUP($B775,[2]BOLETIM_SEL!$A:$H,6,0)</f>
        <v>M</v>
      </c>
      <c r="G775" s="1407">
        <f>VLOOKUP($B775,[2]BOLETIM_SEL!$A:$H,7,0)</f>
        <v>49.01</v>
      </c>
      <c r="H775" s="1608">
        <f>+Orçamento_Não_Deson!H775</f>
        <v>0</v>
      </c>
      <c r="I775" s="876">
        <f t="shared" si="153"/>
        <v>62.81</v>
      </c>
      <c r="J775" s="1607">
        <f t="shared" si="157"/>
        <v>0</v>
      </c>
      <c r="K775" s="2069">
        <f t="shared" ca="1" si="151"/>
        <v>0</v>
      </c>
      <c r="L775" s="1570">
        <f t="shared" si="152"/>
        <v>0</v>
      </c>
      <c r="M775" s="1967"/>
      <c r="N775" s="832"/>
      <c r="O775" s="832"/>
      <c r="Q775" s="832"/>
      <c r="R775" s="832"/>
      <c r="S775" s="832"/>
      <c r="T775" s="832"/>
      <c r="U775" s="832"/>
      <c r="V775" s="832"/>
      <c r="W775" s="832"/>
      <c r="X775" s="832"/>
    </row>
    <row r="776" spans="1:24" s="812" customFormat="1" ht="39.950000000000003" hidden="1" customHeight="1" x14ac:dyDescent="0.15">
      <c r="A776" s="2072">
        <f ca="1">+Orçamento_Não_Deson!A776</f>
        <v>10.039999999999999</v>
      </c>
      <c r="B776" s="833">
        <f>+Orçamento_Não_Deson!B776</f>
        <v>101166</v>
      </c>
      <c r="C776" s="2" t="str">
        <f>VLOOKUP($B776,[2]BOLETIM_SEL!$A:$H,2,0)</f>
        <v>SINAPI</v>
      </c>
      <c r="D776" s="315" t="str">
        <f>VLOOKUP($B776,[2]BOLETIM_SEL!$A:$H,4,0)</f>
        <v>Alvenaria de embasamento com bloco estrutural de cerâmica, de 14x19x29cm e argamassa de assentamento com preparo em betoneira. AF_05/2020</v>
      </c>
      <c r="E776" s="2">
        <f>+Orçamento_Não_Deson!E776</f>
        <v>0</v>
      </c>
      <c r="F776" s="2" t="str">
        <f>VLOOKUP($B776,[2]BOLETIM_SEL!$A:$H,6,0)</f>
        <v>M3</v>
      </c>
      <c r="G776" s="1407">
        <f>VLOOKUP($B776,[2]BOLETIM_SEL!$A:$H,7,0)</f>
        <v>637.16</v>
      </c>
      <c r="H776" s="1608">
        <f>+Orçamento_Não_Deson!H776</f>
        <v>0</v>
      </c>
      <c r="I776" s="876"/>
      <c r="J776" s="1607">
        <f t="shared" si="157"/>
        <v>0</v>
      </c>
      <c r="K776" s="2069">
        <f t="shared" ca="1" si="151"/>
        <v>0</v>
      </c>
      <c r="L776" s="1570">
        <f t="shared" si="152"/>
        <v>0</v>
      </c>
      <c r="M776" s="1967"/>
      <c r="N776" s="832"/>
      <c r="O776" s="832"/>
      <c r="Q776" s="832"/>
      <c r="R776" s="832"/>
      <c r="S776" s="832"/>
      <c r="T776" s="832"/>
      <c r="U776" s="832"/>
      <c r="V776" s="832"/>
      <c r="W776" s="832"/>
      <c r="X776" s="832"/>
    </row>
    <row r="777" spans="1:24" s="812" customFormat="1" ht="39.950000000000003" hidden="1" customHeight="1" x14ac:dyDescent="0.15">
      <c r="A777" s="2072">
        <f ca="1">+Orçamento_Não_Deson!A777</f>
        <v>10.039999999999999</v>
      </c>
      <c r="B777" s="833">
        <f>+Orçamento_Não_Deson!B777</f>
        <v>87878</v>
      </c>
      <c r="C777" s="2" t="str">
        <f>VLOOKUP($B777,[2]BOLETIM_SEL!$A:$H,2,0)</f>
        <v>SINAPI</v>
      </c>
      <c r="D777" s="315" t="str">
        <f>VLOOKUP($B777,[2]BOLETIM_SEL!$A:$H,4,0)</f>
        <v>Chapisco aplicado em alvenarias e estruturas de concreto internas, com colher de pedreiro. Argamassa traço 1:3 com preparo manual. AF_06/2014</v>
      </c>
      <c r="E777" s="2">
        <f>+Orçamento_Não_Deson!E777</f>
        <v>0</v>
      </c>
      <c r="F777" s="2" t="str">
        <f>VLOOKUP($B777,[2]BOLETIM_SEL!$A:$H,6,0)</f>
        <v>M2</v>
      </c>
      <c r="G777" s="1407">
        <f>VLOOKUP($B777,[2]BOLETIM_SEL!$A:$H,7,0)</f>
        <v>4.24</v>
      </c>
      <c r="H777" s="1608">
        <f>+Orçamento_Não_Deson!H777</f>
        <v>0</v>
      </c>
      <c r="I777" s="876">
        <f t="shared" si="153"/>
        <v>5.43</v>
      </c>
      <c r="J777" s="1607">
        <f t="shared" si="157"/>
        <v>0</v>
      </c>
      <c r="K777" s="2069">
        <f t="shared" ca="1" si="151"/>
        <v>0</v>
      </c>
      <c r="L777" s="1570">
        <f t="shared" si="152"/>
        <v>0</v>
      </c>
      <c r="M777" s="1967"/>
      <c r="N777" s="832"/>
      <c r="O777" s="832"/>
      <c r="Q777" s="832"/>
      <c r="R777" s="832"/>
      <c r="S777" s="832"/>
      <c r="T777" s="832"/>
      <c r="U777" s="832"/>
      <c r="V777" s="832"/>
      <c r="W777" s="832"/>
      <c r="X777" s="832"/>
    </row>
    <row r="778" spans="1:24" s="812" customFormat="1" ht="39.950000000000003" hidden="1" customHeight="1" x14ac:dyDescent="0.15">
      <c r="A778" s="2072">
        <f ca="1">+Orçamento_Não_Deson!A778</f>
        <v>10.039999999999999</v>
      </c>
      <c r="B778" s="833">
        <f>+Orçamento_Não_Deson!B778</f>
        <v>87313</v>
      </c>
      <c r="C778" s="2" t="str">
        <f>VLOOKUP($B778,[2]BOLETIM_SEL!$A:$H,2,0)</f>
        <v>SINAPI</v>
      </c>
      <c r="D778" s="315" t="str">
        <f>VLOOKUP($B778,[2]BOLETIM_SEL!$A:$H,4,0)</f>
        <v>Argamassa traço 1:3 (em volume de cimento e areia grossa úmida) para chapisco convencional, preparo mecânico com betoneira 400 l. AF_08/2019</v>
      </c>
      <c r="E778" s="2">
        <f>+Orçamento_Não_Deson!E778</f>
        <v>0</v>
      </c>
      <c r="F778" s="2" t="str">
        <f>VLOOKUP($B778,[2]BOLETIM_SEL!$A:$H,6,0)</f>
        <v>M3</v>
      </c>
      <c r="G778" s="1407">
        <f>VLOOKUP($B778,[2]BOLETIM_SEL!$A:$H,7,0)</f>
        <v>516.94000000000005</v>
      </c>
      <c r="H778" s="1608">
        <f>+Orçamento_Não_Deson!H778</f>
        <v>0</v>
      </c>
      <c r="I778" s="876">
        <f t="shared" si="153"/>
        <v>662.56</v>
      </c>
      <c r="J778" s="1607">
        <f t="shared" si="157"/>
        <v>0</v>
      </c>
      <c r="K778" s="2069">
        <f t="shared" ca="1" si="151"/>
        <v>0</v>
      </c>
      <c r="L778" s="1570">
        <f t="shared" si="152"/>
        <v>0</v>
      </c>
      <c r="M778" s="1967"/>
      <c r="N778" s="832"/>
      <c r="O778" s="832"/>
      <c r="Q778" s="832"/>
      <c r="R778" s="832"/>
      <c r="S778" s="832"/>
      <c r="T778" s="832"/>
      <c r="U778" s="832"/>
      <c r="V778" s="832"/>
      <c r="W778" s="832"/>
      <c r="X778" s="832"/>
    </row>
    <row r="779" spans="1:24" s="812" customFormat="1" ht="30" hidden="1" customHeight="1" x14ac:dyDescent="0.15">
      <c r="A779" s="2072">
        <f ca="1">+Orçamento_Não_Deson!A779</f>
        <v>10.039999999999999</v>
      </c>
      <c r="B779" s="833">
        <f>+Orçamento_Não_Deson!B779</f>
        <v>94963</v>
      </c>
      <c r="C779" s="2" t="str">
        <f>VLOOKUP($B779,[2]BOLETIM_SEL!$A:$H,2,0)</f>
        <v>SINAPI</v>
      </c>
      <c r="D779" s="315" t="str">
        <f>VLOOKUP($B779,[2]BOLETIM_SEL!$A:$H,4,0)</f>
        <v>Concreto FCK = 15 MPA, traço 1:3,4:3,5 (cimento/ areia média/ brita 1) - preparo mecânico com betoneira 400 l. AF_07/2016</v>
      </c>
      <c r="E779" s="2">
        <f>+Orçamento_Não_Deson!E779</f>
        <v>0</v>
      </c>
      <c r="F779" s="2" t="str">
        <f>VLOOKUP($B779,[2]BOLETIM_SEL!$A:$H,6,0)</f>
        <v>M3</v>
      </c>
      <c r="G779" s="1407">
        <f>VLOOKUP($B779,[2]BOLETIM_SEL!$A:$H,7,0)</f>
        <v>423.66</v>
      </c>
      <c r="H779" s="1608">
        <f>+Orçamento_Não_Deson!H779</f>
        <v>0</v>
      </c>
      <c r="I779" s="876">
        <f t="shared" si="153"/>
        <v>543</v>
      </c>
      <c r="J779" s="1607">
        <f t="shared" si="157"/>
        <v>0</v>
      </c>
      <c r="K779" s="2069">
        <f t="shared" ca="1" si="151"/>
        <v>0</v>
      </c>
      <c r="L779" s="1570">
        <f t="shared" si="152"/>
        <v>0</v>
      </c>
      <c r="M779" s="1967"/>
      <c r="N779" s="832"/>
      <c r="O779" s="832"/>
      <c r="Q779" s="832"/>
      <c r="R779" s="832"/>
      <c r="S779" s="832"/>
      <c r="T779" s="832"/>
      <c r="U779" s="832"/>
      <c r="V779" s="832"/>
      <c r="W779" s="832"/>
      <c r="X779" s="832"/>
    </row>
    <row r="780" spans="1:24" s="812" customFormat="1" ht="39.950000000000003" hidden="1" customHeight="1" x14ac:dyDescent="0.15">
      <c r="A780" s="2072">
        <f ca="1">+Orçamento_Não_Deson!A780</f>
        <v>10.039999999999999</v>
      </c>
      <c r="B780" s="833">
        <f>+Orçamento_Não_Deson!B780</f>
        <v>34495</v>
      </c>
      <c r="C780" s="2" t="str">
        <f>VLOOKUP($B780,[2]BOLETIM_SEL!$A:$H,2,0)</f>
        <v>SINAPI</v>
      </c>
      <c r="D780" s="315" t="str">
        <f>VLOOKUP($B780,[2]BOLETIM_SEL!$A:$H,4,0)</f>
        <v>Concreto usinado bombeável, classe de resistência C35, com brita 0,00 e 1, slump = 100 +/- 20 mm, exclui serviço de bombeamento (NBR 8953)</v>
      </c>
      <c r="E780" s="2">
        <f>+Orçamento_Não_Deson!E780</f>
        <v>0</v>
      </c>
      <c r="F780" s="2" t="str">
        <f>VLOOKUP($B780,[2]BOLETIM_SEL!$A:$H,6,0)</f>
        <v xml:space="preserve">M3    </v>
      </c>
      <c r="G780" s="1407">
        <f>VLOOKUP($B780,[2]BOLETIM_SEL!$A:$H,7,0)</f>
        <v>597.71</v>
      </c>
      <c r="H780" s="1608">
        <f>+Orçamento_Não_Deson!H780</f>
        <v>0</v>
      </c>
      <c r="I780" s="876">
        <f t="shared" si="153"/>
        <v>766.08</v>
      </c>
      <c r="J780" s="1607">
        <f t="shared" si="157"/>
        <v>0</v>
      </c>
      <c r="K780" s="2069">
        <f t="shared" ca="1" si="151"/>
        <v>0</v>
      </c>
      <c r="L780" s="1570">
        <f t="shared" si="152"/>
        <v>0</v>
      </c>
      <c r="M780" s="1967"/>
      <c r="N780" s="832"/>
      <c r="O780" s="832"/>
      <c r="Q780" s="832"/>
      <c r="R780" s="832"/>
      <c r="S780" s="832"/>
      <c r="T780" s="832"/>
      <c r="U780" s="832"/>
      <c r="V780" s="832"/>
      <c r="W780" s="832"/>
      <c r="X780" s="832"/>
    </row>
    <row r="781" spans="1:24" s="812" customFormat="1" ht="30" hidden="1" customHeight="1" x14ac:dyDescent="0.15">
      <c r="A781" s="2072">
        <f ca="1">+Orçamento_Não_Deson!A781</f>
        <v>10.039999999999999</v>
      </c>
      <c r="B781" s="833">
        <f>+Orçamento_Não_Deson!B781</f>
        <v>103670</v>
      </c>
      <c r="C781" s="2" t="str">
        <f>VLOOKUP($B781,[2]BOLETIM_SEL!$A:$H,2,0)</f>
        <v>SINAPI</v>
      </c>
      <c r="D781" s="315" t="str">
        <f>VLOOKUP($B781,[2]BOLETIM_SEL!$A:$H,4,0)</f>
        <v>Lançamento com uso de baldes, adensamento e acabamento de concreto em estruturas. AF_12/2015</v>
      </c>
      <c r="E781" s="2">
        <f>+Orçamento_Não_Deson!E781</f>
        <v>0</v>
      </c>
      <c r="F781" s="2" t="str">
        <f>VLOOKUP($B781,[2]BOLETIM_SEL!$A:$H,6,0)</f>
        <v>M3</v>
      </c>
      <c r="G781" s="1407">
        <f>VLOOKUP($B781,[2]BOLETIM_SEL!$A:$H,7,0)</f>
        <v>240.79</v>
      </c>
      <c r="H781" s="1608">
        <f>+Orçamento_Não_Deson!H781</f>
        <v>0</v>
      </c>
      <c r="I781" s="876">
        <f t="shared" si="153"/>
        <v>308.62</v>
      </c>
      <c r="J781" s="1607">
        <f t="shared" si="157"/>
        <v>0</v>
      </c>
      <c r="K781" s="2069">
        <f t="shared" ca="1" si="151"/>
        <v>0</v>
      </c>
      <c r="L781" s="1570">
        <f t="shared" si="152"/>
        <v>0</v>
      </c>
      <c r="M781" s="1967"/>
      <c r="N781" s="832"/>
      <c r="O781" s="832"/>
      <c r="Q781" s="832"/>
      <c r="R781" s="832"/>
      <c r="S781" s="832"/>
      <c r="T781" s="832"/>
      <c r="U781" s="832"/>
      <c r="V781" s="832"/>
      <c r="W781" s="832"/>
      <c r="X781" s="832"/>
    </row>
    <row r="782" spans="1:24" s="812" customFormat="1" ht="39.950000000000003" hidden="1" customHeight="1" x14ac:dyDescent="0.15">
      <c r="A782" s="2072">
        <f ca="1">+Orçamento_Não_Deson!A782</f>
        <v>10.039999999999999</v>
      </c>
      <c r="B782" s="833">
        <f>+Orçamento_Não_Deson!B782</f>
        <v>92411</v>
      </c>
      <c r="C782" s="2" t="str">
        <f>VLOOKUP($B782,[2]BOLETIM_SEL!$A:$H,2,0)</f>
        <v>SINAPI</v>
      </c>
      <c r="D782" s="315" t="str">
        <f>VLOOKUP($B782,[2]BOLETIM_SEL!$A:$H,4,0)</f>
        <v>Montagem e desmontagem de fôrma de pilares retangulares e estruturas similares, pé-direito simples, em madeira serrada, 2 utilizações. AF_09/2020</v>
      </c>
      <c r="E782" s="2">
        <f>+Orçamento_Não_Deson!E782</f>
        <v>0</v>
      </c>
      <c r="F782" s="2" t="str">
        <f>VLOOKUP($B782,[2]BOLETIM_SEL!$A:$H,6,0)</f>
        <v>M2</v>
      </c>
      <c r="G782" s="1407">
        <f>VLOOKUP($B782,[2]BOLETIM_SEL!$A:$H,7,0)</f>
        <v>131.35</v>
      </c>
      <c r="H782" s="1608">
        <f>+Orçamento_Não_Deson!H782</f>
        <v>0</v>
      </c>
      <c r="I782" s="876">
        <f t="shared" si="153"/>
        <v>168.35</v>
      </c>
      <c r="J782" s="1607">
        <f t="shared" si="157"/>
        <v>0</v>
      </c>
      <c r="K782" s="2069">
        <f t="shared" ca="1" si="151"/>
        <v>0</v>
      </c>
      <c r="L782" s="1570">
        <f t="shared" si="152"/>
        <v>0</v>
      </c>
      <c r="M782" s="1967"/>
      <c r="N782" s="832"/>
      <c r="O782" s="832"/>
      <c r="Q782" s="832"/>
      <c r="R782" s="832"/>
      <c r="S782" s="832"/>
      <c r="T782" s="832"/>
      <c r="U782" s="832"/>
      <c r="V782" s="832"/>
      <c r="W782" s="832"/>
      <c r="X782" s="832"/>
    </row>
    <row r="783" spans="1:24" s="812" customFormat="1" ht="39.950000000000003" hidden="1" customHeight="1" x14ac:dyDescent="0.15">
      <c r="A783" s="2072">
        <f ca="1">+Orçamento_Não_Deson!A783</f>
        <v>10.039999999999999</v>
      </c>
      <c r="B783" s="833">
        <f>+Orçamento_Não_Deson!B783</f>
        <v>91593</v>
      </c>
      <c r="C783" s="2" t="str">
        <f>VLOOKUP($B783,[2]BOLETIM_SEL!$A:$H,2,0)</f>
        <v>SINAPI</v>
      </c>
      <c r="D783" s="315" t="str">
        <f>VLOOKUP($B783,[2]BOLETIM_SEL!$A:$H,4,0)</f>
        <v>Armação do sistema de paredes de concreto, executada em paredes de edificações de múltiplos pavimentos, tela Q-138. AF_06/2019</v>
      </c>
      <c r="E783" s="2">
        <f>+Orçamento_Não_Deson!E783</f>
        <v>0</v>
      </c>
      <c r="F783" s="2" t="str">
        <f>VLOOKUP($B783,[2]BOLETIM_SEL!$A:$H,6,0)</f>
        <v>KG</v>
      </c>
      <c r="G783" s="1407">
        <f>VLOOKUP($B783,[2]BOLETIM_SEL!$A:$H,7,0)</f>
        <v>9.67</v>
      </c>
      <c r="H783" s="1608">
        <f>+Orçamento_Não_Deson!H783</f>
        <v>0</v>
      </c>
      <c r="I783" s="876">
        <f t="shared" si="153"/>
        <v>12.39</v>
      </c>
      <c r="J783" s="1607">
        <f t="shared" si="157"/>
        <v>0</v>
      </c>
      <c r="K783" s="2069">
        <f t="shared" ca="1" si="151"/>
        <v>0</v>
      </c>
      <c r="L783" s="1570">
        <f t="shared" si="152"/>
        <v>0</v>
      </c>
      <c r="M783" s="1967"/>
      <c r="N783" s="832"/>
      <c r="O783" s="832"/>
      <c r="Q783" s="832"/>
      <c r="R783" s="832"/>
      <c r="S783" s="832"/>
      <c r="T783" s="832"/>
      <c r="U783" s="832"/>
      <c r="V783" s="832"/>
      <c r="W783" s="832"/>
      <c r="X783" s="832"/>
    </row>
    <row r="784" spans="1:24" s="812" customFormat="1" ht="39.950000000000003" hidden="1" customHeight="1" x14ac:dyDescent="0.15">
      <c r="A784" s="2072">
        <f ca="1">+Orçamento_Não_Deson!A784</f>
        <v>10.039999999999999</v>
      </c>
      <c r="B784" s="833" t="str">
        <f>+Orçamento_Não_Deson!B784</f>
        <v>SC/0085</v>
      </c>
      <c r="C784" s="2" t="str">
        <f>VLOOKUP($B784,[2]BOLETIM_SEL!$A:$H,2,0)</f>
        <v>COMPOSIÇÃO</v>
      </c>
      <c r="D784" s="315" t="str">
        <f>VLOOKUP($B784,[2]BOLETIM_SEL!$A:$H,4,0)</f>
        <v>Dispositivo de segurança na travessia de pedestre - guarda corpo em tubo de aço galvanizado Ø 3", pintado com esmalte sintético em duas demãos</v>
      </c>
      <c r="E784" s="2">
        <f>+Orçamento_Não_Deson!E784</f>
        <v>0</v>
      </c>
      <c r="F784" s="2" t="str">
        <f>VLOOKUP($B784,[2]BOLETIM_SEL!$A:$H,6,0)</f>
        <v xml:space="preserve">UN </v>
      </c>
      <c r="G784" s="1407">
        <f>VLOOKUP($B784,[2]BOLETIM_SEL!$A:$H,7,0)</f>
        <v>1365.2</v>
      </c>
      <c r="H784" s="1608">
        <f>+Orçamento_Não_Deson!H784</f>
        <v>0</v>
      </c>
      <c r="I784" s="876">
        <f t="shared" si="153"/>
        <v>1749.77</v>
      </c>
      <c r="J784" s="1607">
        <f t="shared" si="157"/>
        <v>0</v>
      </c>
      <c r="K784" s="2069">
        <f t="shared" ca="1" si="151"/>
        <v>0</v>
      </c>
      <c r="L784" s="1570">
        <f t="shared" si="152"/>
        <v>0</v>
      </c>
      <c r="M784" s="1967"/>
      <c r="N784" s="832"/>
      <c r="O784" s="832"/>
      <c r="Q784" s="832"/>
      <c r="R784" s="832"/>
      <c r="S784" s="832"/>
      <c r="T784" s="832"/>
      <c r="U784" s="832"/>
      <c r="V784" s="832"/>
      <c r="W784" s="832"/>
      <c r="X784" s="832"/>
    </row>
    <row r="785" spans="1:24" s="812" customFormat="1" ht="24.95" hidden="1" customHeight="1" x14ac:dyDescent="0.15">
      <c r="A785" s="2072"/>
      <c r="B785" s="833"/>
      <c r="C785" s="2"/>
      <c r="D785" s="1449" t="s">
        <v>1798</v>
      </c>
      <c r="E785" s="2"/>
      <c r="F785" s="2"/>
      <c r="G785" s="1407"/>
      <c r="H785" s="2"/>
      <c r="I785" s="838" t="str">
        <f>IF(I786=0,"-","")</f>
        <v/>
      </c>
      <c r="J785" s="838" t="str">
        <f>IF(J786=0,"-","")</f>
        <v>-</v>
      </c>
      <c r="K785" s="2069"/>
      <c r="L785" s="1570"/>
      <c r="M785" s="1967" t="str">
        <f>+Orçamento_Não_Deson!M785</f>
        <v>Definir depósito:                                     1, 2, 3 ou 4</v>
      </c>
      <c r="N785" s="832"/>
      <c r="O785" s="832"/>
      <c r="Q785" s="832"/>
      <c r="R785" s="832"/>
      <c r="S785" s="832"/>
      <c r="T785" s="832"/>
      <c r="U785" s="832"/>
      <c r="V785" s="832"/>
      <c r="W785" s="832"/>
      <c r="X785" s="832"/>
    </row>
    <row r="786" spans="1:24" s="812" customFormat="1" ht="39.950000000000003" hidden="1" customHeight="1" x14ac:dyDescent="0.15">
      <c r="A786" s="2072">
        <f ca="1">+Orçamento_Não_Deson!A786</f>
        <v>10.039999999999999</v>
      </c>
      <c r="B786" s="833">
        <f>+Orçamento_Não_Deson!B786</f>
        <v>95875</v>
      </c>
      <c r="C786" s="2" t="str">
        <f>VLOOKUP($B786,[2]BOLETIM_SEL!$A:$H,2,0)</f>
        <v>SINAPI</v>
      </c>
      <c r="D786" s="315" t="str">
        <f>VLOOKUP($B786,[2]BOLETIM_SEL!$A:$H,4,0)</f>
        <v>Transporte com caminhão basculante de 10 m3, em via urbana pavimentada, DMT até 30,00 km (unidade: m3xkm). AF_07/2020</v>
      </c>
      <c r="E786" s="2">
        <f>+Orçamento_Não_Deson!E786</f>
        <v>8</v>
      </c>
      <c r="F786" s="2" t="str">
        <f>VLOOKUP($B786,[2]BOLETIM_SEL!$A:$H,6,0)</f>
        <v>M3XKM</v>
      </c>
      <c r="G786" s="1407">
        <f>VLOOKUP($B786,[2]BOLETIM_SEL!$A:$H,7,0)</f>
        <v>2.33</v>
      </c>
      <c r="H786" s="1608">
        <f>+Orçamento_Não_Deson!H786</f>
        <v>0</v>
      </c>
      <c r="I786" s="876">
        <f>+TRUNC(G786*(1+$J$5),2)</f>
        <v>2.98</v>
      </c>
      <c r="J786" s="1607">
        <f t="shared" si="157"/>
        <v>0</v>
      </c>
      <c r="K786" s="2069">
        <f ca="1">J786/J$930</f>
        <v>0</v>
      </c>
      <c r="L786" s="1570">
        <f t="shared" si="152"/>
        <v>0</v>
      </c>
      <c r="M786" s="1969">
        <f>+Orçamento_Não_Deson!M786</f>
        <v>0</v>
      </c>
      <c r="N786" s="832"/>
      <c r="O786" s="832"/>
      <c r="Q786" s="832"/>
      <c r="R786" s="832"/>
      <c r="S786" s="832"/>
      <c r="T786" s="832"/>
      <c r="U786" s="832"/>
      <c r="V786" s="832"/>
      <c r="W786" s="832"/>
      <c r="X786" s="832"/>
    </row>
    <row r="787" spans="1:24" s="812" customFormat="1" ht="24.95" hidden="1" customHeight="1" x14ac:dyDescent="0.15">
      <c r="A787" s="2072"/>
      <c r="B787" s="833"/>
      <c r="C787" s="2"/>
      <c r="D787" s="1449" t="s">
        <v>1811</v>
      </c>
      <c r="E787" s="2"/>
      <c r="F787" s="2"/>
      <c r="G787" s="1407"/>
      <c r="H787" s="2"/>
      <c r="I787" s="838" t="str">
        <f>IF(I788=0,"-","")</f>
        <v/>
      </c>
      <c r="J787" s="838" t="str">
        <f>IF(J788=0,"-","")</f>
        <v>-</v>
      </c>
      <c r="K787" s="2069"/>
      <c r="L787" s="1570"/>
      <c r="M787" s="1967"/>
      <c r="N787" s="832"/>
      <c r="O787" s="832"/>
      <c r="Q787" s="832"/>
      <c r="R787" s="832"/>
      <c r="S787" s="832"/>
      <c r="T787" s="832"/>
      <c r="U787" s="832"/>
      <c r="V787" s="832"/>
      <c r="W787" s="832"/>
      <c r="X787" s="832"/>
    </row>
    <row r="788" spans="1:24" s="812" customFormat="1" ht="39.950000000000003" hidden="1" customHeight="1" x14ac:dyDescent="0.15">
      <c r="A788" s="2072">
        <f ca="1">+Orçamento_Não_Deson!A788</f>
        <v>10.039999999999999</v>
      </c>
      <c r="B788" s="833">
        <f>+Orçamento_Não_Deson!B788</f>
        <v>95875</v>
      </c>
      <c r="C788" s="2" t="str">
        <f>VLOOKUP($B788,[2]BOLETIM_SEL!$A:$H,2,0)</f>
        <v>SINAPI</v>
      </c>
      <c r="D788" s="315" t="str">
        <f>VLOOKUP($B788,[2]BOLETIM_SEL!$A:$H,4,0)</f>
        <v>Transporte com caminhão basculante de 10 m3, em via urbana pavimentada, DMT até 30,00 km (unidade: m3xkm). AF_07/2020</v>
      </c>
      <c r="E788" s="2">
        <f>+Orçamento_Não_Deson!E788</f>
        <v>7</v>
      </c>
      <c r="F788" s="2" t="str">
        <f>VLOOKUP($B788,[2]BOLETIM_SEL!$A:$H,6,0)</f>
        <v>M3XKM</v>
      </c>
      <c r="G788" s="1407">
        <f>VLOOKUP($B788,[2]BOLETIM_SEL!$A:$H,7,0)</f>
        <v>2.33</v>
      </c>
      <c r="H788" s="1608">
        <f>+Orçamento_Não_Deson!H788</f>
        <v>0</v>
      </c>
      <c r="I788" s="876">
        <f>+TRUNC(G788*(1+$J$5),2)</f>
        <v>2.98</v>
      </c>
      <c r="J788" s="1607">
        <f t="shared" si="157"/>
        <v>0</v>
      </c>
      <c r="K788" s="2069">
        <f ca="1">J788/J$930</f>
        <v>0</v>
      </c>
      <c r="L788" s="1570">
        <f t="shared" si="152"/>
        <v>0</v>
      </c>
      <c r="M788" s="1969">
        <f>+Orçamento_Não_Deson!M788</f>
        <v>0</v>
      </c>
      <c r="N788" s="832"/>
      <c r="O788" s="832"/>
      <c r="Q788" s="832"/>
      <c r="R788" s="832"/>
      <c r="S788" s="832"/>
      <c r="T788" s="832"/>
      <c r="U788" s="832"/>
      <c r="V788" s="832"/>
      <c r="W788" s="832"/>
      <c r="X788" s="832"/>
    </row>
    <row r="789" spans="1:24" s="812" customFormat="1" ht="24.95" hidden="1" customHeight="1" x14ac:dyDescent="0.15">
      <c r="A789" s="2072"/>
      <c r="B789" s="833"/>
      <c r="C789" s="2"/>
      <c r="D789" s="1449" t="s">
        <v>2178</v>
      </c>
      <c r="E789" s="2"/>
      <c r="F789" s="2"/>
      <c r="G789" s="1407"/>
      <c r="H789" s="2"/>
      <c r="I789" s="838" t="str">
        <f>IF(I790=0,"-","")</f>
        <v/>
      </c>
      <c r="J789" s="838" t="str">
        <f>IF(J790=0,"-","")</f>
        <v>-</v>
      </c>
      <c r="K789" s="2069"/>
      <c r="L789" s="1570"/>
      <c r="M789" s="1967"/>
      <c r="N789" s="832"/>
      <c r="O789" s="832"/>
      <c r="Q789" s="832"/>
      <c r="R789" s="832"/>
      <c r="S789" s="832"/>
      <c r="T789" s="832"/>
      <c r="U789" s="832"/>
      <c r="V789" s="832"/>
      <c r="W789" s="832"/>
      <c r="X789" s="832"/>
    </row>
    <row r="790" spans="1:24" s="812" customFormat="1" ht="39.950000000000003" hidden="1" customHeight="1" x14ac:dyDescent="0.15">
      <c r="A790" s="2072">
        <f ca="1">+Orçamento_Não_Deson!A790</f>
        <v>10.039999999999999</v>
      </c>
      <c r="B790" s="833">
        <f>+Orçamento_Não_Deson!B790</f>
        <v>95875</v>
      </c>
      <c r="C790" s="2" t="str">
        <f>VLOOKUP($B790,[2]BOLETIM_SEL!$A:$H,2,0)</f>
        <v>SINAPI</v>
      </c>
      <c r="D790" s="315" t="str">
        <f>VLOOKUP($B790,[2]BOLETIM_SEL!$A:$H,4,0)</f>
        <v>Transporte com caminhão basculante de 10 m3, em via urbana pavimentada, DMT até 30,00 km (unidade: m3xkm). AF_07/2020</v>
      </c>
      <c r="E790" s="2">
        <f>+Orçamento_Não_Deson!E790</f>
        <v>24</v>
      </c>
      <c r="F790" s="2" t="str">
        <f>VLOOKUP($B790,[2]BOLETIM_SEL!$A:$H,6,0)</f>
        <v>M3XKM</v>
      </c>
      <c r="G790" s="1407">
        <f>VLOOKUP($B790,[2]BOLETIM_SEL!$A:$H,7,0)</f>
        <v>2.33</v>
      </c>
      <c r="H790" s="1608">
        <f>+Orçamento_Não_Deson!H790</f>
        <v>0</v>
      </c>
      <c r="I790" s="876">
        <f>+TRUNC(G790*(1+$J$5),2)</f>
        <v>2.98</v>
      </c>
      <c r="J790" s="1607">
        <f t="shared" ref="J790" si="159">TRUNC(H790*I790,2)</f>
        <v>0</v>
      </c>
      <c r="K790" s="2069">
        <f ca="1">J790/J$930</f>
        <v>0</v>
      </c>
      <c r="L790" s="1570">
        <f t="shared" ref="L790" si="160">+J790/$J$752</f>
        <v>0</v>
      </c>
      <c r="M790" s="1969">
        <f>+Orçamento_Não_Deson!M790</f>
        <v>0</v>
      </c>
      <c r="N790" s="832"/>
      <c r="O790" s="832"/>
      <c r="Q790" s="832"/>
      <c r="R790" s="832"/>
      <c r="S790" s="832"/>
      <c r="T790" s="832"/>
      <c r="U790" s="832"/>
      <c r="V790" s="832"/>
      <c r="W790" s="832"/>
      <c r="X790" s="832"/>
    </row>
    <row r="791" spans="1:24" s="812" customFormat="1" ht="24.95" hidden="1" customHeight="1" x14ac:dyDescent="0.15">
      <c r="A791" s="2072"/>
      <c r="B791" s="833"/>
      <c r="C791" s="2"/>
      <c r="D791" s="1449" t="s">
        <v>2429</v>
      </c>
      <c r="E791" s="2"/>
      <c r="F791" s="2"/>
      <c r="G791" s="1407"/>
      <c r="H791" s="2"/>
      <c r="I791" s="838" t="str">
        <f>IF(I792=0,"-","")</f>
        <v/>
      </c>
      <c r="J791" s="838" t="str">
        <f>IF(J792=0,"-","")</f>
        <v>-</v>
      </c>
      <c r="K791" s="2069"/>
      <c r="L791" s="1570"/>
      <c r="M791" s="1967"/>
      <c r="N791" s="832"/>
      <c r="O791" s="832"/>
      <c r="Q791" s="832"/>
      <c r="R791" s="832"/>
      <c r="S791" s="832"/>
      <c r="T791" s="832"/>
      <c r="U791" s="832"/>
      <c r="V791" s="832"/>
      <c r="W791" s="832"/>
      <c r="X791" s="832"/>
    </row>
    <row r="792" spans="1:24" s="812" customFormat="1" ht="39.950000000000003" hidden="1" customHeight="1" x14ac:dyDescent="0.15">
      <c r="A792" s="2072">
        <f ca="1">+Orçamento_Não_Deson!A792</f>
        <v>10.039999999999999</v>
      </c>
      <c r="B792" s="833">
        <f>+Orçamento_Não_Deson!B792</f>
        <v>95875</v>
      </c>
      <c r="C792" s="2" t="str">
        <f>VLOOKUP($B792,[2]BOLETIM_SEL!$A:$H,2,0)</f>
        <v>SINAPI</v>
      </c>
      <c r="D792" s="315" t="str">
        <f>VLOOKUP($B792,[2]BOLETIM_SEL!$A:$H,4,0)</f>
        <v>Transporte com caminhão basculante de 10 m3, em via urbana pavimentada, DMT até 30,00 km (unidade: m3xkm). AF_07/2020</v>
      </c>
      <c r="E792" s="2">
        <f>+Orçamento_Não_Deson!E792</f>
        <v>8</v>
      </c>
      <c r="F792" s="2" t="str">
        <f>VLOOKUP($B792,[2]BOLETIM_SEL!$A:$H,6,0)</f>
        <v>M3XKM</v>
      </c>
      <c r="G792" s="1407">
        <f>VLOOKUP($B792,[2]BOLETIM_SEL!$A:$H,7,0)</f>
        <v>2.33</v>
      </c>
      <c r="H792" s="1608">
        <f>+Orçamento_Não_Deson!H792</f>
        <v>0</v>
      </c>
      <c r="I792" s="876">
        <f>+TRUNC(G792*(1+$J$5),2)</f>
        <v>2.98</v>
      </c>
      <c r="J792" s="1607">
        <f t="shared" ref="J792" si="161">TRUNC(H792*I792,2)</f>
        <v>0</v>
      </c>
      <c r="K792" s="2069">
        <f ca="1">J792/J$930</f>
        <v>0</v>
      </c>
      <c r="L792" s="1570">
        <f t="shared" ref="L792" si="162">+J792/$J$752</f>
        <v>0</v>
      </c>
      <c r="M792" s="1969">
        <f>+Orçamento_Não_Deson!M792</f>
        <v>0</v>
      </c>
      <c r="N792" s="832"/>
      <c r="O792" s="832"/>
      <c r="Q792" s="832"/>
      <c r="R792" s="832"/>
      <c r="S792" s="832"/>
      <c r="T792" s="832"/>
      <c r="U792" s="832"/>
      <c r="V792" s="832"/>
      <c r="W792" s="832"/>
      <c r="X792" s="832"/>
    </row>
    <row r="793" spans="1:24" s="812" customFormat="1" ht="24.95" customHeight="1" x14ac:dyDescent="0.15">
      <c r="A793" s="2072"/>
      <c r="B793" s="833"/>
      <c r="C793" s="2"/>
      <c r="D793" s="1449" t="s">
        <v>1872</v>
      </c>
      <c r="E793" s="2"/>
      <c r="F793" s="2"/>
      <c r="G793" s="1407"/>
      <c r="H793" s="2"/>
      <c r="I793" s="838"/>
      <c r="J793" s="838" t="str">
        <f>IF(J794=0,"-","")</f>
        <v/>
      </c>
      <c r="K793" s="2069"/>
      <c r="L793" s="1570"/>
      <c r="M793" s="1967"/>
      <c r="N793" s="832"/>
      <c r="O793" s="832"/>
      <c r="Q793" s="832"/>
      <c r="R793" s="832"/>
      <c r="S793" s="832"/>
      <c r="T793" s="832"/>
      <c r="U793" s="832"/>
      <c r="V793" s="832"/>
      <c r="W793" s="832"/>
      <c r="X793" s="832"/>
    </row>
    <row r="794" spans="1:24" s="812" customFormat="1" ht="39.950000000000003" customHeight="1" x14ac:dyDescent="0.15">
      <c r="A794" s="2072">
        <f ca="1">+Orçamento_Não_Deson!A794</f>
        <v>10.049999999999999</v>
      </c>
      <c r="B794" s="833">
        <f>+Orçamento_Não_Deson!B794</f>
        <v>100947</v>
      </c>
      <c r="C794" s="2" t="str">
        <f>VLOOKUP($B794,[2]BOLETIM_SEL!$A:$H,2,0)</f>
        <v>SINAPI</v>
      </c>
      <c r="D794" s="315" t="str">
        <f>VLOOKUP($B794,[2]BOLETIM_SEL!$A:$H,4,0)</f>
        <v>Transporte com caminhão carroceria 9t, em via urbana pavimentada, DMT até 30,00 km (unidade: txkm). AF_07/2020</v>
      </c>
      <c r="E794" s="2">
        <f>+Orçamento_Não_Deson!E794</f>
        <v>22</v>
      </c>
      <c r="F794" s="2" t="str">
        <f>VLOOKUP($B794,[2]BOLETIM_SEL!$A:$H,6,0)</f>
        <v>TXKM</v>
      </c>
      <c r="G794" s="1407">
        <f>VLOOKUP($B794,[2]BOLETIM_SEL!$A:$H,7,0)</f>
        <v>2.08</v>
      </c>
      <c r="H794" s="1608">
        <f>+Orçamento_Não_Deson!H794</f>
        <v>35.200000000000003</v>
      </c>
      <c r="I794" s="876">
        <f>+TRUNC(G794*(1+$J$5),2)</f>
        <v>2.66</v>
      </c>
      <c r="J794" s="1607">
        <f t="shared" si="157"/>
        <v>93.63</v>
      </c>
      <c r="K794" s="2069">
        <f ca="1">J794/J$930</f>
        <v>2.4781422979321506E-5</v>
      </c>
      <c r="L794" s="1570">
        <f t="shared" si="152"/>
        <v>2.490438821544458E-4</v>
      </c>
      <c r="M794" s="1967"/>
      <c r="N794" s="832"/>
      <c r="O794" s="832"/>
      <c r="Q794" s="832"/>
      <c r="R794" s="832"/>
      <c r="S794" s="832"/>
      <c r="T794" s="832"/>
      <c r="U794" s="832"/>
      <c r="V794" s="832"/>
      <c r="W794" s="832"/>
      <c r="X794" s="832"/>
    </row>
    <row r="795" spans="1:24" s="812" customFormat="1" ht="24.95" customHeight="1" x14ac:dyDescent="0.15">
      <c r="A795" s="2072"/>
      <c r="B795" s="833"/>
      <c r="C795" s="833"/>
      <c r="D795" s="834"/>
      <c r="E795" s="2"/>
      <c r="F795" s="833"/>
      <c r="G795" s="1814"/>
      <c r="H795" s="1"/>
      <c r="I795" s="876"/>
      <c r="J795" s="838" t="str">
        <f>IF(J752=0,0,"")</f>
        <v/>
      </c>
      <c r="K795" s="2069"/>
      <c r="L795" s="1570"/>
      <c r="M795" s="1826"/>
      <c r="N795" s="832"/>
      <c r="O795" s="832"/>
      <c r="Q795" s="832"/>
      <c r="R795" s="832"/>
      <c r="S795" s="832"/>
      <c r="T795" s="832"/>
      <c r="U795" s="832"/>
      <c r="V795" s="832"/>
      <c r="W795" s="832"/>
      <c r="X795" s="832"/>
    </row>
    <row r="796" spans="1:24" s="832" customFormat="1" ht="24.95" hidden="1" customHeight="1" x14ac:dyDescent="0.15">
      <c r="A796" s="2073">
        <f ca="1">IF(J796&gt;0,INT(A794)+1,IF(J796=0,INT(A794),0))</f>
        <v>10</v>
      </c>
      <c r="B796" s="1626"/>
      <c r="C796" s="1626"/>
      <c r="D796" s="1627" t="s">
        <v>662</v>
      </c>
      <c r="E796" s="1821"/>
      <c r="F796" s="1628"/>
      <c r="G796" s="1813" t="s">
        <v>663</v>
      </c>
      <c r="H796" s="1630"/>
      <c r="I796" s="1633" t="str">
        <f ca="1">CONCATENATE("SUB-TOTAL ",A796)</f>
        <v>SUB-TOTAL 10</v>
      </c>
      <c r="J796" s="1632">
        <f>SUM(J797:J856)</f>
        <v>0</v>
      </c>
      <c r="K796" s="2070">
        <f t="shared" ref="K796:K826" ca="1" si="163">+J796/J$930</f>
        <v>0</v>
      </c>
      <c r="L796" s="1605" t="e">
        <f t="shared" ref="L796:L826" si="164">+J796/$J$796</f>
        <v>#DIV/0!</v>
      </c>
    </row>
    <row r="797" spans="1:24" s="812" customFormat="1" ht="39.950000000000003" hidden="1" customHeight="1" x14ac:dyDescent="0.15">
      <c r="A797" s="2072">
        <f ca="1">+Orçamento_Não_Deson!A797</f>
        <v>10</v>
      </c>
      <c r="B797" s="833">
        <f>+Orçamento_Não_Deson!B797</f>
        <v>98525</v>
      </c>
      <c r="C797" s="2" t="str">
        <f>VLOOKUP($B797,[2]BOLETIM_SEL!$A:$H,2,0)</f>
        <v>SINAPI</v>
      </c>
      <c r="D797" s="315" t="str">
        <f>VLOOKUP($B797,[2]BOLETIM_SEL!$A:$H,4,0)</f>
        <v>Limpeza mecanizada de camada vegetal, vegetação e pequenas árvores (diâmetro nominal de tronco menor que 0,20 m), com trator de esteiras. AF_05/2018</v>
      </c>
      <c r="E797" s="2">
        <f>+Orçamento_Não_Deson!E797</f>
        <v>0</v>
      </c>
      <c r="F797" s="2" t="str">
        <f>VLOOKUP($B797,[2]BOLETIM_SEL!$A:$H,6,0)</f>
        <v>M2</v>
      </c>
      <c r="G797" s="1407">
        <f>VLOOKUP($B797,[2]BOLETIM_SEL!$A:$H,7,0)</f>
        <v>0.35</v>
      </c>
      <c r="H797" s="1608">
        <f>+Orçamento_Não_Deson!H797</f>
        <v>0</v>
      </c>
      <c r="I797" s="876">
        <f t="shared" ref="I797:I820" si="165">+TRUNC(G797*(1+$J$5),2)</f>
        <v>0.44</v>
      </c>
      <c r="J797" s="1607">
        <f t="shared" ref="J797:J826" si="166">TRUNC(H797*I797,2)</f>
        <v>0</v>
      </c>
      <c r="K797" s="2069">
        <f t="shared" ca="1" si="163"/>
        <v>0</v>
      </c>
      <c r="L797" s="1570" t="e">
        <f t="shared" si="164"/>
        <v>#DIV/0!</v>
      </c>
      <c r="M797" s="1967"/>
      <c r="N797" s="1957" t="s">
        <v>1951</v>
      </c>
      <c r="O797" s="1648" t="s">
        <v>1977</v>
      </c>
      <c r="Q797" s="832"/>
      <c r="R797" s="832"/>
      <c r="S797" s="832"/>
      <c r="T797" s="832"/>
      <c r="U797" s="832"/>
      <c r="V797" s="832"/>
      <c r="W797" s="832"/>
      <c r="X797" s="832"/>
    </row>
    <row r="798" spans="1:24" s="812" customFormat="1" ht="50.1" hidden="1" customHeight="1" x14ac:dyDescent="0.15">
      <c r="A798" s="2072">
        <f ca="1">+Orçamento_Não_Deson!A798</f>
        <v>10</v>
      </c>
      <c r="B798" s="833">
        <f>+Orçamento_Não_Deson!B798</f>
        <v>101230</v>
      </c>
      <c r="C798" s="2" t="str">
        <f>VLOOKUP($B798,[2]BOLETIM_SEL!$A:$H,2,0)</f>
        <v>SINAPI</v>
      </c>
      <c r="D798" s="315" t="str">
        <f>VLOOKUP($B798,[2]BOLETIM_SEL!$A:$H,4,0)</f>
        <v>Escavação vertical a céu aberto, em obras de infraestrutura, incluindo carga, descarga e transporte, em solo de 1a categoria com escavadeira hidráulica (caçamba: 0,80 m3 / 111 HP), frota de 3 caminhões basculantes de 14 m3, DMT até 1 km e velocidade média 14 km/h. AF_05/2020</v>
      </c>
      <c r="E798" s="2">
        <f>+Orçamento_Não_Deson!E798</f>
        <v>0</v>
      </c>
      <c r="F798" s="2" t="str">
        <f>VLOOKUP($B798,[2]BOLETIM_SEL!$A:$H,6,0)</f>
        <v>M3</v>
      </c>
      <c r="G798" s="1407">
        <f>VLOOKUP($B798,[2]BOLETIM_SEL!$A:$H,7,0)</f>
        <v>10.59</v>
      </c>
      <c r="H798" s="1608">
        <f>+Orçamento_Não_Deson!H798</f>
        <v>0</v>
      </c>
      <c r="I798" s="876">
        <f t="shared" si="165"/>
        <v>13.57</v>
      </c>
      <c r="J798" s="1607">
        <f t="shared" si="166"/>
        <v>0</v>
      </c>
      <c r="K798" s="2069">
        <f t="shared" ca="1" si="163"/>
        <v>0</v>
      </c>
      <c r="L798" s="1570" t="e">
        <f t="shared" si="164"/>
        <v>#DIV/0!</v>
      </c>
      <c r="M798" s="1967"/>
      <c r="N798" s="1958" t="str">
        <f>VLOOKUP($B798,[2]BOLETIM_SEL!$A:$H,3,0)</f>
        <v>83338
52,08 m3/h</v>
      </c>
      <c r="O798" s="1645" t="e">
        <f>+H798/N798</f>
        <v>#VALUE!</v>
      </c>
      <c r="Q798" s="832"/>
      <c r="R798" s="832"/>
      <c r="S798" s="832"/>
      <c r="T798" s="832"/>
      <c r="U798" s="832"/>
      <c r="V798" s="832"/>
      <c r="W798" s="832"/>
      <c r="X798" s="832"/>
    </row>
    <row r="799" spans="1:24" s="812" customFormat="1" ht="39.950000000000003" hidden="1" customHeight="1" x14ac:dyDescent="0.15">
      <c r="A799" s="2072">
        <f ca="1">+Orçamento_Não_Deson!A799</f>
        <v>10</v>
      </c>
      <c r="B799" s="833" t="str">
        <f>+Orçamento_Não_Deson!B799</f>
        <v>PA/0010</v>
      </c>
      <c r="C799" s="2" t="str">
        <f>VLOOKUP($B799,[2]BOLETIM_SEL!$A:$H,2,0)</f>
        <v>COMPOSIÇÃO</v>
      </c>
      <c r="D799" s="315" t="str">
        <f>VLOOKUP($B799,[2]BOLETIM_SEL!$A:$H,4,0)</f>
        <v>Colchão de rachão e/ou pedra-de-mão, com camada final de pedra brita. Fornecimento e execução. Exclusive transporte da pedra</v>
      </c>
      <c r="E799" s="2">
        <f>+Orçamento_Não_Deson!E799</f>
        <v>0</v>
      </c>
      <c r="F799" s="2" t="str">
        <f>VLOOKUP($B799,[2]BOLETIM_SEL!$A:$H,6,0)</f>
        <v>M3</v>
      </c>
      <c r="G799" s="1407">
        <f>VLOOKUP($B799,[2]BOLETIM_SEL!$A:$H,7,0)</f>
        <v>147.65</v>
      </c>
      <c r="H799" s="1608">
        <f>+Orçamento_Não_Deson!H799</f>
        <v>0</v>
      </c>
      <c r="I799" s="876">
        <f t="shared" si="165"/>
        <v>189.24</v>
      </c>
      <c r="J799" s="1607">
        <f t="shared" si="166"/>
        <v>0</v>
      </c>
      <c r="K799" s="2069">
        <f t="shared" ca="1" si="163"/>
        <v>0</v>
      </c>
      <c r="L799" s="1570" t="e">
        <f t="shared" si="164"/>
        <v>#DIV/0!</v>
      </c>
      <c r="M799" s="1967"/>
      <c r="N799" s="1958">
        <f>VLOOKUP($B799,[2]BOLETIM_SEL!$A:$H,3,0)</f>
        <v>34.479999999999997</v>
      </c>
      <c r="O799" s="1645">
        <f>+H799/N799</f>
        <v>0</v>
      </c>
      <c r="Q799" s="832"/>
      <c r="R799" s="832"/>
      <c r="S799" s="832"/>
      <c r="T799" s="832"/>
      <c r="U799" s="832"/>
      <c r="V799" s="832"/>
      <c r="W799" s="832"/>
      <c r="X799" s="832"/>
    </row>
    <row r="800" spans="1:24" s="812" customFormat="1" ht="30" hidden="1" customHeight="1" x14ac:dyDescent="0.15">
      <c r="A800" s="2072">
        <f ca="1">+Orçamento_Não_Deson!A800</f>
        <v>10</v>
      </c>
      <c r="B800" s="833" t="str">
        <f>+Orçamento_Não_Deson!B800</f>
        <v>PA/0005</v>
      </c>
      <c r="C800" s="2" t="str">
        <f>VLOOKUP($B800,[2]BOLETIM_SEL!$A:$H,2,0)</f>
        <v>COMPOSIÇÃO</v>
      </c>
      <c r="D800" s="315" t="str">
        <f>VLOOKUP($B800,[2]BOLETIM_SEL!$A:$H,4,0)</f>
        <v>Preparo do subleito, escavação e carga. Exclusive transporte</v>
      </c>
      <c r="E800" s="2">
        <f>+Orçamento_Não_Deson!E800</f>
        <v>0</v>
      </c>
      <c r="F800" s="2" t="str">
        <f>VLOOKUP($B800,[2]BOLETIM_SEL!$A:$H,6,0)</f>
        <v>M3</v>
      </c>
      <c r="G800" s="1407">
        <f>VLOOKUP($B800,[2]BOLETIM_SEL!$A:$H,7,0)</f>
        <v>5.7</v>
      </c>
      <c r="H800" s="1608">
        <f>+Orçamento_Não_Deson!H800</f>
        <v>0</v>
      </c>
      <c r="I800" s="876">
        <f t="shared" si="165"/>
        <v>7.3</v>
      </c>
      <c r="J800" s="1607">
        <f t="shared" si="166"/>
        <v>0</v>
      </c>
      <c r="K800" s="2069">
        <f t="shared" ca="1" si="163"/>
        <v>0</v>
      </c>
      <c r="L800" s="1570" t="e">
        <f t="shared" si="164"/>
        <v>#DIV/0!</v>
      </c>
      <c r="M800" s="1967"/>
      <c r="N800" s="1958">
        <f>VLOOKUP($B800,[2]BOLETIM_SEL!$A:$H,3,0)</f>
        <v>42</v>
      </c>
      <c r="O800" s="1645">
        <f>+H800/N800</f>
        <v>0</v>
      </c>
      <c r="Q800" s="832"/>
      <c r="R800" s="832"/>
      <c r="S800" s="832"/>
      <c r="T800" s="832"/>
      <c r="U800" s="832"/>
      <c r="V800" s="832"/>
      <c r="W800" s="832"/>
      <c r="X800" s="832"/>
    </row>
    <row r="801" spans="1:24" s="812" customFormat="1" ht="50.1" hidden="1" customHeight="1" x14ac:dyDescent="0.15">
      <c r="A801" s="2072">
        <f ca="1">+Orçamento_Não_Deson!A801</f>
        <v>10</v>
      </c>
      <c r="B801" s="833">
        <f>+Orçamento_Não_Deson!B801</f>
        <v>101230</v>
      </c>
      <c r="C801" s="2" t="str">
        <f>VLOOKUP($B801,[2]BOLETIM_SEL!$A:$H,2,0)</f>
        <v>SINAPI</v>
      </c>
      <c r="D801" s="315" t="str">
        <f>VLOOKUP($B801,[2]BOLETIM_SEL!$A:$H,4,0)</f>
        <v>Escavação vertical a céu aberto, em obras de infraestrutura, incluindo carga, descarga e transporte, em solo de 1a categoria com escavadeira hidráulica (caçamba: 0,80 m3 / 111 HP), frota de 3 caminhões basculantes de 14 m3, DMT até 1 km e velocidade média 14 km/h. AF_05/2020</v>
      </c>
      <c r="E801" s="2">
        <f>+Orçamento_Não_Deson!E801</f>
        <v>0</v>
      </c>
      <c r="F801" s="2" t="str">
        <f>VLOOKUP($B801,[2]BOLETIM_SEL!$A:$H,6,0)</f>
        <v>M3</v>
      </c>
      <c r="G801" s="1407">
        <f>VLOOKUP($B801,[2]BOLETIM_SEL!$A:$H,7,0)</f>
        <v>10.59</v>
      </c>
      <c r="H801" s="1608">
        <f>+Orçamento_Não_Deson!H801</f>
        <v>0</v>
      </c>
      <c r="I801" s="876">
        <f t="shared" si="165"/>
        <v>13.57</v>
      </c>
      <c r="J801" s="1607">
        <f t="shared" si="166"/>
        <v>0</v>
      </c>
      <c r="K801" s="2069">
        <f t="shared" ca="1" si="163"/>
        <v>0</v>
      </c>
      <c r="L801" s="1570" t="e">
        <f t="shared" si="164"/>
        <v>#DIV/0!</v>
      </c>
      <c r="M801" s="1967"/>
      <c r="N801" s="1958"/>
      <c r="O801" s="1645"/>
      <c r="Q801" s="832"/>
      <c r="R801" s="832"/>
      <c r="S801" s="832"/>
      <c r="T801" s="832"/>
      <c r="U801" s="832"/>
      <c r="V801" s="832"/>
      <c r="W801" s="832"/>
      <c r="X801" s="832"/>
    </row>
    <row r="802" spans="1:24" s="812" customFormat="1" ht="39.950000000000003" hidden="1" customHeight="1" x14ac:dyDescent="0.15">
      <c r="A802" s="2072">
        <f ca="1">+Orçamento_Não_Deson!A802</f>
        <v>10</v>
      </c>
      <c r="B802" s="833">
        <f>+Orçamento_Não_Deson!B802</f>
        <v>96385</v>
      </c>
      <c r="C802" s="2" t="str">
        <f>VLOOKUP($B802,[2]BOLETIM_SEL!$A:$H,2,0)</f>
        <v>SINAPI</v>
      </c>
      <c r="D802" s="315" t="str">
        <f>VLOOKUP($B802,[2]BOLETIM_SEL!$A:$H,4,0)</f>
        <v>Execução e compactação de aterro com solo predominantemente argiloso - exclusive solo, escavação, carga e transporte. AF_11/2019</v>
      </c>
      <c r="E802" s="2">
        <f>+Orçamento_Não_Deson!E802</f>
        <v>0</v>
      </c>
      <c r="F802" s="2" t="str">
        <f>VLOOKUP($B802,[2]BOLETIM_SEL!$A:$H,6,0)</f>
        <v>M3</v>
      </c>
      <c r="G802" s="1407">
        <f>VLOOKUP($B802,[2]BOLETIM_SEL!$A:$H,7,0)</f>
        <v>10.88</v>
      </c>
      <c r="H802" s="1608">
        <f>+Orçamento_Não_Deson!H802</f>
        <v>0</v>
      </c>
      <c r="I802" s="876">
        <f t="shared" si="165"/>
        <v>13.94</v>
      </c>
      <c r="J802" s="1607">
        <f t="shared" si="166"/>
        <v>0</v>
      </c>
      <c r="K802" s="2069">
        <f t="shared" ca="1" si="163"/>
        <v>0</v>
      </c>
      <c r="L802" s="1570" t="e">
        <f t="shared" si="164"/>
        <v>#DIV/0!</v>
      </c>
      <c r="M802" s="1967"/>
      <c r="N802" s="1958"/>
      <c r="O802" s="1645"/>
      <c r="Q802" s="832"/>
      <c r="R802" s="832"/>
      <c r="S802" s="832"/>
      <c r="T802" s="832"/>
      <c r="U802" s="832"/>
      <c r="V802" s="832"/>
      <c r="W802" s="832"/>
      <c r="X802" s="832"/>
    </row>
    <row r="803" spans="1:24" s="812" customFormat="1" ht="30" hidden="1" customHeight="1" x14ac:dyDescent="0.15">
      <c r="A803" s="2072">
        <f ca="1">+Orçamento_Não_Deson!A803</f>
        <v>10</v>
      </c>
      <c r="B803" s="833">
        <f>+Orçamento_Não_Deson!B803</f>
        <v>100576</v>
      </c>
      <c r="C803" s="2" t="str">
        <f>VLOOKUP($B803,[2]BOLETIM_SEL!$A:$H,2,0)</f>
        <v>SINAPI</v>
      </c>
      <c r="D803" s="315" t="str">
        <f>VLOOKUP($B803,[2]BOLETIM_SEL!$A:$H,4,0)</f>
        <v>Regularização e compactação de subleito de solo predominantemente argiloso. AF_11/2019</v>
      </c>
      <c r="E803" s="2">
        <f>+Orçamento_Não_Deson!E803</f>
        <v>0</v>
      </c>
      <c r="F803" s="2" t="str">
        <f>VLOOKUP($B803,[2]BOLETIM_SEL!$A:$H,6,0)</f>
        <v>M2</v>
      </c>
      <c r="G803" s="1407">
        <f>VLOOKUP($B803,[2]BOLETIM_SEL!$A:$H,7,0)</f>
        <v>2.35</v>
      </c>
      <c r="H803" s="1608">
        <f>+Orçamento_Não_Deson!H803</f>
        <v>0</v>
      </c>
      <c r="I803" s="876">
        <f t="shared" si="165"/>
        <v>3.01</v>
      </c>
      <c r="J803" s="1607">
        <f t="shared" si="166"/>
        <v>0</v>
      </c>
      <c r="K803" s="2069">
        <f t="shared" ca="1" si="163"/>
        <v>0</v>
      </c>
      <c r="L803" s="1570" t="e">
        <f t="shared" si="164"/>
        <v>#DIV/0!</v>
      </c>
      <c r="M803" s="1968" t="str">
        <f>+Orçamento_Não_Deson!M803</f>
        <v>ARGILOSO</v>
      </c>
      <c r="N803" s="1959">
        <f>VLOOKUP($B803,[2]BOLETIM_SEL!$A:$H,3,0)</f>
        <v>125</v>
      </c>
      <c r="O803" s="1645">
        <f t="shared" ref="O803:O810" si="167">+H803/N803</f>
        <v>0</v>
      </c>
      <c r="Q803" s="832"/>
      <c r="R803" s="832"/>
      <c r="S803" s="832"/>
      <c r="T803" s="832"/>
      <c r="U803" s="832"/>
      <c r="V803" s="832"/>
      <c r="W803" s="832"/>
      <c r="X803" s="832"/>
    </row>
    <row r="804" spans="1:24" s="812" customFormat="1" ht="39.950000000000003" hidden="1" customHeight="1" x14ac:dyDescent="0.15">
      <c r="A804" s="2072">
        <f ca="1">+Orçamento_Não_Deson!A804</f>
        <v>10</v>
      </c>
      <c r="B804" s="833">
        <f>+Orçamento_Não_Deson!B804</f>
        <v>101767</v>
      </c>
      <c r="C804" s="2" t="str">
        <f>VLOOKUP($B804,[2]BOLETIM_SEL!$A:$H,2,0)</f>
        <v>SINAPI</v>
      </c>
      <c r="D804" s="315" t="str">
        <f>VLOOKUP($B804,[2]BOLETIM_SEL!$A:$H,4,0)</f>
        <v>Execução e compactação de base e ou sub base para pavimentação de solos estabilizados granulometricamente com mistura de solos em pista - exclusive solo, escavação, carga e transporte. AF_11/2019</v>
      </c>
      <c r="E804" s="2">
        <f>+Orçamento_Não_Deson!E804</f>
        <v>0</v>
      </c>
      <c r="F804" s="2" t="str">
        <f>VLOOKUP($B804,[2]BOLETIM_SEL!$A:$H,6,0)</f>
        <v>M3</v>
      </c>
      <c r="G804" s="1407">
        <f>VLOOKUP($B804,[2]BOLETIM_SEL!$A:$H,7,0)</f>
        <v>26.16</v>
      </c>
      <c r="H804" s="1608">
        <f>+Orçamento_Não_Deson!H804</f>
        <v>0</v>
      </c>
      <c r="I804" s="876">
        <f t="shared" si="165"/>
        <v>33.520000000000003</v>
      </c>
      <c r="J804" s="1607">
        <f t="shared" si="166"/>
        <v>0</v>
      </c>
      <c r="K804" s="2069">
        <f t="shared" ca="1" si="163"/>
        <v>0</v>
      </c>
      <c r="L804" s="1570" t="e">
        <f t="shared" si="164"/>
        <v>#DIV/0!</v>
      </c>
      <c r="M804" s="1967"/>
      <c r="N804" s="1958" t="str">
        <f>VLOOKUP($B804,[2]BOLETIM_SEL!$A:$H,3,0)</f>
        <v>PA/0022
20 m3/h</v>
      </c>
      <c r="O804" s="1645" t="e">
        <f t="shared" si="167"/>
        <v>#VALUE!</v>
      </c>
      <c r="Q804" s="832"/>
      <c r="R804" s="832"/>
      <c r="S804" s="832"/>
      <c r="T804" s="832"/>
      <c r="U804" s="832"/>
      <c r="V804" s="832"/>
      <c r="W804" s="832"/>
      <c r="X804" s="832"/>
    </row>
    <row r="805" spans="1:24" s="812" customFormat="1" ht="39.950000000000003" hidden="1" customHeight="1" x14ac:dyDescent="0.15">
      <c r="A805" s="2072">
        <f ca="1">+Orçamento_Não_Deson!A805</f>
        <v>10</v>
      </c>
      <c r="B805" s="833" t="str">
        <f>+Orçamento_Não_Deson!B805</f>
        <v>PA/0021</v>
      </c>
      <c r="C805" s="2" t="str">
        <f>VLOOKUP($B805,[2]BOLETIM_SEL!$A:$H,2,0)</f>
        <v>COMPOSIÇÃO</v>
      </c>
      <c r="D805" s="315" t="str">
        <f>VLOOKUP($B805,[2]BOLETIM_SEL!$A:$H,4,0)</f>
        <v>Execução e compactação de base e ou sub-base, estabilizado granulometricamente, sem mistura, com material de jazida. Exclusive fornecimento e transporte (REF. SINAPI COD. 4011219)</v>
      </c>
      <c r="E805" s="2">
        <f>+Orçamento_Não_Deson!E805</f>
        <v>0</v>
      </c>
      <c r="F805" s="2" t="str">
        <f>VLOOKUP($B805,[2]BOLETIM_SEL!$A:$H,6,0)</f>
        <v>M3</v>
      </c>
      <c r="G805" s="1407">
        <f>VLOOKUP($B805,[2]BOLETIM_SEL!$A:$H,7,0)</f>
        <v>18.510000000000002</v>
      </c>
      <c r="H805" s="1608">
        <f>+Orçamento_Não_Deson!H805</f>
        <v>0</v>
      </c>
      <c r="I805" s="876">
        <f t="shared" si="165"/>
        <v>23.72</v>
      </c>
      <c r="J805" s="1607">
        <f t="shared" si="166"/>
        <v>0</v>
      </c>
      <c r="K805" s="2069">
        <f t="shared" ca="1" si="163"/>
        <v>0</v>
      </c>
      <c r="L805" s="1570" t="e">
        <f t="shared" si="164"/>
        <v>#DIV/0!</v>
      </c>
      <c r="M805" s="1967"/>
      <c r="N805" s="1958">
        <f>VLOOKUP($B805,[2]BOLETIM_SEL!$A:$H,3,0)</f>
        <v>28.75</v>
      </c>
      <c r="O805" s="1645">
        <f t="shared" si="167"/>
        <v>0</v>
      </c>
      <c r="Q805" s="832"/>
      <c r="R805" s="832"/>
      <c r="S805" s="832"/>
      <c r="T805" s="832"/>
      <c r="U805" s="832"/>
      <c r="V805" s="832"/>
      <c r="W805" s="832"/>
      <c r="X805" s="832"/>
    </row>
    <row r="806" spans="1:24" s="812" customFormat="1" ht="39.950000000000003" hidden="1" customHeight="1" x14ac:dyDescent="0.15">
      <c r="A806" s="2072">
        <f ca="1">+Orçamento_Não_Deson!A806</f>
        <v>10</v>
      </c>
      <c r="B806" s="833" t="str">
        <f>+Orçamento_Não_Deson!B806</f>
        <v>PA/0021</v>
      </c>
      <c r="C806" s="2" t="str">
        <f>VLOOKUP($B806,[2]BOLETIM_SEL!$A:$H,2,0)</f>
        <v>COMPOSIÇÃO</v>
      </c>
      <c r="D806" s="315" t="str">
        <f>VLOOKUP($B806,[2]BOLETIM_SEL!$A:$H,4,0)</f>
        <v>Execução e compactação de base e ou sub-base, estabilizado granulometricamente, sem mistura, com material de jazida. Exclusive fornecimento e transporte (REF. SINAPI COD. 4011219)</v>
      </c>
      <c r="E806" s="2">
        <f>+Orçamento_Não_Deson!E806</f>
        <v>0</v>
      </c>
      <c r="F806" s="2" t="str">
        <f>VLOOKUP($B806,[2]BOLETIM_SEL!$A:$H,6,0)</f>
        <v>M3</v>
      </c>
      <c r="G806" s="1407">
        <f>VLOOKUP($B806,[2]BOLETIM_SEL!$A:$H,7,0)</f>
        <v>18.510000000000002</v>
      </c>
      <c r="H806" s="1608">
        <f>+Orçamento_Não_Deson!H806</f>
        <v>0</v>
      </c>
      <c r="I806" s="876">
        <f t="shared" si="165"/>
        <v>23.72</v>
      </c>
      <c r="J806" s="1607">
        <f t="shared" si="166"/>
        <v>0</v>
      </c>
      <c r="K806" s="2069">
        <f t="shared" ca="1" si="163"/>
        <v>0</v>
      </c>
      <c r="L806" s="1570" t="e">
        <f t="shared" si="164"/>
        <v>#DIV/0!</v>
      </c>
      <c r="M806" s="1967"/>
      <c r="N806" s="1958">
        <f>VLOOKUP($B806,[2]BOLETIM_SEL!$A:$H,3,0)</f>
        <v>28.75</v>
      </c>
      <c r="O806" s="1645">
        <f t="shared" si="167"/>
        <v>0</v>
      </c>
      <c r="Q806" s="832"/>
      <c r="R806" s="832"/>
      <c r="S806" s="832"/>
      <c r="T806" s="832"/>
      <c r="U806" s="832"/>
      <c r="V806" s="832"/>
      <c r="W806" s="832"/>
      <c r="X806" s="832"/>
    </row>
    <row r="807" spans="1:24" s="812" customFormat="1" ht="39.950000000000003" hidden="1" customHeight="1" x14ac:dyDescent="0.15">
      <c r="A807" s="2072">
        <f ca="1">+Orçamento_Não_Deson!A807</f>
        <v>10</v>
      </c>
      <c r="B807" s="833">
        <f>+Orçamento_Não_Deson!B807</f>
        <v>96389</v>
      </c>
      <c r="C807" s="2" t="str">
        <f>VLOOKUP($B807,[2]BOLETIM_SEL!$A:$H,2,0)</f>
        <v>SINAPI</v>
      </c>
      <c r="D807" s="315" t="str">
        <f>VLOOKUP($B807,[2]BOLETIM_SEL!$A:$H,4,0)</f>
        <v>Execução e compactação de base e ou sub base para pavimentação de solo (predominantemente arenoso) com cimento (teor de 2%) - exclusive solo, escavação, carga e transporte. AF_11/2019</v>
      </c>
      <c r="E807" s="2">
        <f>+Orçamento_Não_Deson!E807</f>
        <v>0</v>
      </c>
      <c r="F807" s="2" t="str">
        <f>VLOOKUP($B807,[2]BOLETIM_SEL!$A:$H,6,0)</f>
        <v>M3</v>
      </c>
      <c r="G807" s="1407">
        <f>VLOOKUP($B807,[2]BOLETIM_SEL!$A:$H,7,0)</f>
        <v>54.54</v>
      </c>
      <c r="H807" s="1608">
        <f>+Orçamento_Não_Deson!H807</f>
        <v>0</v>
      </c>
      <c r="I807" s="876">
        <f t="shared" si="165"/>
        <v>69.900000000000006</v>
      </c>
      <c r="J807" s="1607">
        <f t="shared" si="166"/>
        <v>0</v>
      </c>
      <c r="K807" s="2069">
        <f t="shared" ca="1" si="163"/>
        <v>0</v>
      </c>
      <c r="L807" s="1570" t="e">
        <f t="shared" si="164"/>
        <v>#DIV/0!</v>
      </c>
      <c r="M807" s="1967"/>
      <c r="N807" s="1958">
        <f>VLOOKUP($B807,[2]BOLETIM_SEL!$A:$H,3,0)</f>
        <v>38.46</v>
      </c>
      <c r="O807" s="1645">
        <f t="shared" si="167"/>
        <v>0</v>
      </c>
      <c r="Q807" s="832"/>
      <c r="R807" s="832"/>
      <c r="S807" s="832"/>
      <c r="T807" s="832"/>
      <c r="U807" s="832"/>
      <c r="V807" s="832"/>
      <c r="W807" s="832"/>
      <c r="X807" s="832"/>
    </row>
    <row r="808" spans="1:24" s="812" customFormat="1" ht="39.950000000000003" hidden="1" customHeight="1" x14ac:dyDescent="0.15">
      <c r="A808" s="2072">
        <f ca="1">+Orçamento_Não_Deson!A808</f>
        <v>10</v>
      </c>
      <c r="B808" s="833">
        <f>+Orçamento_Não_Deson!B808</f>
        <v>96390</v>
      </c>
      <c r="C808" s="2" t="str">
        <f>VLOOKUP($B808,[2]BOLETIM_SEL!$A:$H,2,0)</f>
        <v>SINAPI</v>
      </c>
      <c r="D808" s="315" t="str">
        <f>VLOOKUP($B808,[2]BOLETIM_SEL!$A:$H,4,0)</f>
        <v>Execução e compactação de base e ou sub base para pavimentação de solo (predominantemente arenoso) com cimento (teor de 4%) - exclusive solo, escavação, carga e transporte. AF_11/2019</v>
      </c>
      <c r="E808" s="2">
        <f>+Orçamento_Não_Deson!E808</f>
        <v>0</v>
      </c>
      <c r="F808" s="2" t="str">
        <f>VLOOKUP($B808,[2]BOLETIM_SEL!$A:$H,6,0)</f>
        <v>M3</v>
      </c>
      <c r="G808" s="1407">
        <f>VLOOKUP($B808,[2]BOLETIM_SEL!$A:$H,7,0)</f>
        <v>88.71</v>
      </c>
      <c r="H808" s="1608">
        <f>+Orçamento_Não_Deson!H808</f>
        <v>0</v>
      </c>
      <c r="I808" s="876">
        <f t="shared" si="165"/>
        <v>113.69</v>
      </c>
      <c r="J808" s="1607">
        <f t="shared" si="166"/>
        <v>0</v>
      </c>
      <c r="K808" s="2069">
        <f t="shared" ca="1" si="163"/>
        <v>0</v>
      </c>
      <c r="L808" s="1570" t="e">
        <f t="shared" si="164"/>
        <v>#DIV/0!</v>
      </c>
      <c r="M808" s="1967"/>
      <c r="N808" s="1958">
        <f>VLOOKUP($B808,[2]BOLETIM_SEL!$A:$H,3,0)</f>
        <v>38.46</v>
      </c>
      <c r="O808" s="1645">
        <f t="shared" si="167"/>
        <v>0</v>
      </c>
      <c r="Q808" s="832"/>
      <c r="R808" s="832"/>
      <c r="S808" s="832"/>
      <c r="T808" s="832"/>
      <c r="U808" s="832"/>
      <c r="V808" s="832"/>
      <c r="W808" s="832"/>
      <c r="X808" s="832"/>
    </row>
    <row r="809" spans="1:24" s="812" customFormat="1" ht="39.950000000000003" hidden="1" customHeight="1" x14ac:dyDescent="0.15">
      <c r="A809" s="2072">
        <f ca="1">+Orçamento_Não_Deson!A809</f>
        <v>10</v>
      </c>
      <c r="B809" s="833">
        <f>+Orçamento_Não_Deson!B809</f>
        <v>96391</v>
      </c>
      <c r="C809" s="2" t="str">
        <f>VLOOKUP($B809,[2]BOLETIM_SEL!$A:$H,2,0)</f>
        <v>SINAPI</v>
      </c>
      <c r="D809" s="315" t="str">
        <f>VLOOKUP($B809,[2]BOLETIM_SEL!$A:$H,4,0)</f>
        <v>Execução e compactação de base e ou sub base para pavimentação de solo (predominantemente arenoso) com cimento (teor de 6%) - exclusive solo, escavação, carga e transporte. AF_11/2019</v>
      </c>
      <c r="E809" s="2">
        <f>+Orçamento_Não_Deson!E809</f>
        <v>0</v>
      </c>
      <c r="F809" s="2" t="str">
        <f>VLOOKUP($B809,[2]BOLETIM_SEL!$A:$H,6,0)</f>
        <v>M3</v>
      </c>
      <c r="G809" s="1407">
        <f>VLOOKUP($B809,[2]BOLETIM_SEL!$A:$H,7,0)</f>
        <v>124.37</v>
      </c>
      <c r="H809" s="1608">
        <f>+Orçamento_Não_Deson!H809</f>
        <v>0</v>
      </c>
      <c r="I809" s="876">
        <f t="shared" si="165"/>
        <v>159.4</v>
      </c>
      <c r="J809" s="1607">
        <f t="shared" si="166"/>
        <v>0</v>
      </c>
      <c r="K809" s="2069">
        <f t="shared" ca="1" si="163"/>
        <v>0</v>
      </c>
      <c r="L809" s="1570" t="e">
        <f t="shared" si="164"/>
        <v>#DIV/0!</v>
      </c>
      <c r="M809" s="1967"/>
      <c r="N809" s="1958">
        <f>VLOOKUP($B809,[2]BOLETIM_SEL!$A:$H,3,0)</f>
        <v>38.46</v>
      </c>
      <c r="O809" s="1645">
        <f t="shared" si="167"/>
        <v>0</v>
      </c>
      <c r="Q809" s="832"/>
      <c r="R809" s="832"/>
      <c r="S809" s="832"/>
      <c r="T809" s="832"/>
      <c r="U809" s="832"/>
      <c r="V809" s="832"/>
      <c r="W809" s="832"/>
      <c r="X809" s="832"/>
    </row>
    <row r="810" spans="1:24" s="812" customFormat="1" ht="39.950000000000003" hidden="1" customHeight="1" x14ac:dyDescent="0.15">
      <c r="A810" s="2072">
        <f ca="1">+Orçamento_Não_Deson!A810</f>
        <v>10</v>
      </c>
      <c r="B810" s="833">
        <f>+Orçamento_Não_Deson!B810</f>
        <v>96392</v>
      </c>
      <c r="C810" s="2" t="str">
        <f>VLOOKUP($B810,[2]BOLETIM_SEL!$A:$H,2,0)</f>
        <v>SINAPI</v>
      </c>
      <c r="D810" s="315" t="str">
        <f>VLOOKUP($B810,[2]BOLETIM_SEL!$A:$H,4,0)</f>
        <v>Execução e compactação de base e ou sub base para pavimentação de solo (predominantemente arenoso) com cimento (teor de 8%) - exclusive solo, escavação, carga e transporte. AF_11/2019</v>
      </c>
      <c r="E810" s="2">
        <f>+Orçamento_Não_Deson!E810</f>
        <v>0</v>
      </c>
      <c r="F810" s="2" t="str">
        <f>VLOOKUP($B810,[2]BOLETIM_SEL!$A:$H,6,0)</f>
        <v>M3</v>
      </c>
      <c r="G810" s="1407">
        <f>VLOOKUP($B810,[2]BOLETIM_SEL!$A:$H,7,0)</f>
        <v>158.82</v>
      </c>
      <c r="H810" s="1608">
        <f>+Orçamento_Não_Deson!H810</f>
        <v>0</v>
      </c>
      <c r="I810" s="876">
        <f t="shared" si="165"/>
        <v>203.55</v>
      </c>
      <c r="J810" s="1607">
        <f t="shared" si="166"/>
        <v>0</v>
      </c>
      <c r="K810" s="2069">
        <f t="shared" ca="1" si="163"/>
        <v>0</v>
      </c>
      <c r="L810" s="1570" t="e">
        <f t="shared" si="164"/>
        <v>#DIV/0!</v>
      </c>
      <c r="M810" s="1967"/>
      <c r="N810" s="1958">
        <f>VLOOKUP($B810,[2]BOLETIM_SEL!$A:$H,3,0)</f>
        <v>38.46</v>
      </c>
      <c r="O810" s="1645">
        <f t="shared" si="167"/>
        <v>0</v>
      </c>
      <c r="Q810" s="832"/>
      <c r="R810" s="832"/>
      <c r="S810" s="832"/>
      <c r="T810" s="832"/>
      <c r="U810" s="832"/>
      <c r="V810" s="832"/>
      <c r="W810" s="832"/>
      <c r="X810" s="832"/>
    </row>
    <row r="811" spans="1:24" s="812" customFormat="1" ht="30" hidden="1" customHeight="1" x14ac:dyDescent="0.15">
      <c r="A811" s="2072">
        <f ca="1">+Orçamento_Não_Deson!A811</f>
        <v>10</v>
      </c>
      <c r="B811" s="833" t="str">
        <f>+Orçamento_Não_Deson!B811</f>
        <v>PA/0025</v>
      </c>
      <c r="C811" s="2" t="str">
        <f>VLOOKUP($B811,[2]BOLETIM_SEL!$A:$H,2,0)</f>
        <v>COMPOSIÇÃO</v>
      </c>
      <c r="D811" s="315" t="str">
        <f>VLOOKUP($B811,[2]BOLETIM_SEL!$A:$H,4,0)</f>
        <v>Imprimação da base, execução e fornecimento de emulsão asfáltica EAI (REF. SINAPI COD. 102470)</v>
      </c>
      <c r="E811" s="2">
        <f>+Orçamento_Não_Deson!E811</f>
        <v>0</v>
      </c>
      <c r="F811" s="2" t="str">
        <f>VLOOKUP($B811,[2]BOLETIM_SEL!$A:$H,6,0)</f>
        <v>M2</v>
      </c>
      <c r="G811" s="1407">
        <f>VLOOKUP($B811,[2]BOLETIM_SEL!$A:$H,7,0)</f>
        <v>5.18</v>
      </c>
      <c r="H811" s="1608">
        <f>+Orçamento_Não_Deson!H811</f>
        <v>0</v>
      </c>
      <c r="I811" s="876">
        <f t="shared" si="165"/>
        <v>6.63</v>
      </c>
      <c r="J811" s="1607">
        <f t="shared" si="166"/>
        <v>0</v>
      </c>
      <c r="K811" s="2069">
        <f t="shared" ca="1" si="163"/>
        <v>0</v>
      </c>
      <c r="L811" s="1570" t="e">
        <f t="shared" si="164"/>
        <v>#DIV/0!</v>
      </c>
      <c r="M811" s="1968" t="str">
        <f>+Orçamento_Não_Deson!M811</f>
        <v>EAI</v>
      </c>
      <c r="N811" s="1958"/>
      <c r="O811" s="1645"/>
      <c r="Q811" s="832"/>
      <c r="R811" s="832"/>
      <c r="S811" s="832"/>
      <c r="T811" s="832"/>
      <c r="U811" s="832"/>
      <c r="V811" s="832"/>
      <c r="W811" s="832"/>
      <c r="X811" s="832"/>
    </row>
    <row r="812" spans="1:24" s="812" customFormat="1" ht="30" hidden="1" customHeight="1" x14ac:dyDescent="0.15">
      <c r="A812" s="2072">
        <f ca="1">+Orçamento_Não_Deson!A812</f>
        <v>10</v>
      </c>
      <c r="B812" s="833" t="str">
        <f>+Orçamento_Não_Deson!B812</f>
        <v>PA/0023</v>
      </c>
      <c r="C812" s="2" t="str">
        <f>VLOOKUP($B812,[2]BOLETIM_SEL!$A:$H,2,0)</f>
        <v>COMPOSIÇÃO</v>
      </c>
      <c r="D812" s="315" t="str">
        <f>VLOOKUP($B812,[2]BOLETIM_SEL!$A:$H,4,0)</f>
        <v>Pintura de ligação, execução e fornecimento de emulsão asfáltica RR-1C (ref SINAPI cód 104375)</v>
      </c>
      <c r="E812" s="2">
        <f>+Orçamento_Não_Deson!E812</f>
        <v>0</v>
      </c>
      <c r="F812" s="2" t="str">
        <f>VLOOKUP($B812,[2]BOLETIM_SEL!$A:$H,6,0)</f>
        <v>M2</v>
      </c>
      <c r="G812" s="1407">
        <f>VLOOKUP($B812,[2]BOLETIM_SEL!$A:$H,7,0)</f>
        <v>2.4700000000000002</v>
      </c>
      <c r="H812" s="1608">
        <f>+Orçamento_Não_Deson!H812</f>
        <v>0</v>
      </c>
      <c r="I812" s="876">
        <f t="shared" si="165"/>
        <v>3.16</v>
      </c>
      <c r="J812" s="1607">
        <f t="shared" si="166"/>
        <v>0</v>
      </c>
      <c r="K812" s="2069">
        <f t="shared" ca="1" si="163"/>
        <v>0</v>
      </c>
      <c r="L812" s="1570" t="e">
        <f t="shared" si="164"/>
        <v>#DIV/0!</v>
      </c>
      <c r="M812" s="1967">
        <f>+VLOOKUP($B812,[2]BOLETIM_SEL!$A:$H,5,0)</f>
        <v>0</v>
      </c>
      <c r="N812" s="1958"/>
      <c r="O812" s="1645"/>
      <c r="Q812" s="832"/>
      <c r="R812" s="832"/>
      <c r="S812" s="832"/>
      <c r="T812" s="832"/>
      <c r="U812" s="832"/>
      <c r="V812" s="832"/>
      <c r="W812" s="832"/>
      <c r="X812" s="832"/>
    </row>
    <row r="813" spans="1:24" s="812" customFormat="1" ht="39.950000000000003" hidden="1" customHeight="1" x14ac:dyDescent="0.15">
      <c r="A813" s="2072">
        <f ca="1">+Orçamento_Não_Deson!A813</f>
        <v>10</v>
      </c>
      <c r="B813" s="833" t="str">
        <f>+Orçamento_Não_Deson!B813</f>
        <v>PA/0040</v>
      </c>
      <c r="C813" s="2" t="str">
        <f>VLOOKUP($B813,[2]BOLETIM_SEL!$A:$H,2,0)</f>
        <v>COMPOSIÇÃO</v>
      </c>
      <c r="D813" s="315" t="str">
        <f>VLOOKUP($B813,[2]BOLETIM_SEL!$A:$H,4,0)</f>
        <v>Construção de pavimento com aplicação de concreto betuminoso usinado à quente (CBUQ - faixa C - CAP 30/45 - usina comercial), camada de rolamento, exclusive transporte da mistura (REF. SINAPI COD. 95995)</v>
      </c>
      <c r="E813" s="2">
        <f>+Orçamento_Não_Deson!E813</f>
        <v>0</v>
      </c>
      <c r="F813" s="2" t="str">
        <f>VLOOKUP($B813,[2]BOLETIM_SEL!$A:$H,6,0)</f>
        <v>M3</v>
      </c>
      <c r="G813" s="1407">
        <f>VLOOKUP($B813,[2]BOLETIM_SEL!$A:$H,7,0)</f>
        <v>1618.68</v>
      </c>
      <c r="H813" s="1608">
        <f>+Orçamento_Não_Deson!H813</f>
        <v>0</v>
      </c>
      <c r="I813" s="876">
        <f t="shared" si="165"/>
        <v>2074.66</v>
      </c>
      <c r="J813" s="1607">
        <f t="shared" si="166"/>
        <v>0</v>
      </c>
      <c r="K813" s="2069">
        <f t="shared" ca="1" si="163"/>
        <v>0</v>
      </c>
      <c r="L813" s="1570" t="e">
        <f t="shared" si="164"/>
        <v>#DIV/0!</v>
      </c>
      <c r="M813" s="1968" t="str">
        <f>+Orçamento_Não_Deson!M813</f>
        <v>COMERCIAL 30/45</v>
      </c>
      <c r="N813" s="1958"/>
      <c r="O813" s="1645"/>
      <c r="Q813" s="832"/>
      <c r="R813" s="832"/>
      <c r="S813" s="832"/>
      <c r="T813" s="832"/>
      <c r="U813" s="832"/>
      <c r="V813" s="832"/>
      <c r="W813" s="832"/>
      <c r="X813" s="832"/>
    </row>
    <row r="814" spans="1:24" s="812" customFormat="1" ht="39.950000000000003" hidden="1" customHeight="1" x14ac:dyDescent="0.15">
      <c r="A814" s="2072">
        <f ca="1">+Orçamento_Não_Deson!A814</f>
        <v>10</v>
      </c>
      <c r="B814" s="833">
        <f>+Orçamento_Não_Deson!B814</f>
        <v>94991</v>
      </c>
      <c r="C814" s="2" t="str">
        <f>VLOOKUP($B814,[2]BOLETIM_SEL!$A:$H,2,0)</f>
        <v>SINAPI</v>
      </c>
      <c r="D814" s="315" t="str">
        <f>VLOOKUP($B814,[2]BOLETIM_SEL!$A:$H,4,0)</f>
        <v>Execução de passeio (calçada) ou piso de concreto com concreto moldado in loco, usinado, acabamento convencional, não armado. AF_07/2016</v>
      </c>
      <c r="E814" s="2">
        <f>+Orçamento_Não_Deson!E814</f>
        <v>0</v>
      </c>
      <c r="F814" s="2" t="str">
        <f>VLOOKUP($B814,[2]BOLETIM_SEL!$A:$H,6,0)</f>
        <v>M3</v>
      </c>
      <c r="G814" s="1407">
        <f>VLOOKUP($B814,[2]BOLETIM_SEL!$A:$H,7,0)</f>
        <v>767.43</v>
      </c>
      <c r="H814" s="1608">
        <f>+Orçamento_Não_Deson!H814</f>
        <v>0</v>
      </c>
      <c r="I814" s="876">
        <f t="shared" si="165"/>
        <v>983.61</v>
      </c>
      <c r="J814" s="1607">
        <f t="shared" si="166"/>
        <v>0</v>
      </c>
      <c r="K814" s="2069">
        <f t="shared" ca="1" si="163"/>
        <v>0</v>
      </c>
      <c r="L814" s="1570" t="e">
        <f t="shared" si="164"/>
        <v>#DIV/0!</v>
      </c>
      <c r="M814" s="1968" t="str">
        <f>+Orçamento_Não_Deson!M814</f>
        <v>USINADO</v>
      </c>
      <c r="N814" s="1958"/>
      <c r="O814" s="1645"/>
      <c r="Q814" s="832"/>
      <c r="R814" s="832"/>
      <c r="S814" s="832"/>
      <c r="T814" s="832"/>
      <c r="U814" s="832"/>
      <c r="V814" s="832"/>
      <c r="W814" s="832"/>
      <c r="X814" s="832"/>
    </row>
    <row r="815" spans="1:24" s="812" customFormat="1" ht="39.950000000000003" hidden="1" customHeight="1" x14ac:dyDescent="0.15">
      <c r="A815" s="2072">
        <f ca="1">+Orçamento_Não_Deson!A815</f>
        <v>10</v>
      </c>
      <c r="B815" s="833">
        <f>+Orçamento_Não_Deson!B815</f>
        <v>92397</v>
      </c>
      <c r="C815" s="2" t="str">
        <f>VLOOKUP($B815,[2]BOLETIM_SEL!$A:$H,2,0)</f>
        <v>SINAPI</v>
      </c>
      <c r="D815" s="315" t="str">
        <f>VLOOKUP($B815,[2]BOLETIM_SEL!$A:$H,4,0)</f>
        <v>Execução de pavimento em piso intertravado, com bloco retangular cor natural de 20 x 10 cm, espessura 6 cm. AF_10/2022</v>
      </c>
      <c r="E815" s="2">
        <f>+Orçamento_Não_Deson!E815</f>
        <v>0</v>
      </c>
      <c r="F815" s="2" t="str">
        <f>VLOOKUP($B815,[2]BOLETIM_SEL!$A:$H,6,0)</f>
        <v>M2</v>
      </c>
      <c r="G815" s="1407">
        <f>VLOOKUP($B815,[2]BOLETIM_SEL!$A:$H,7,0)</f>
        <v>62.94</v>
      </c>
      <c r="H815" s="1608">
        <f>+Orçamento_Não_Deson!H815</f>
        <v>0</v>
      </c>
      <c r="I815" s="876">
        <f t="shared" si="165"/>
        <v>80.67</v>
      </c>
      <c r="J815" s="1607">
        <f t="shared" si="166"/>
        <v>0</v>
      </c>
      <c r="K815" s="2069">
        <f t="shared" ca="1" si="163"/>
        <v>0</v>
      </c>
      <c r="L815" s="1570" t="e">
        <f t="shared" si="164"/>
        <v>#DIV/0!</v>
      </c>
      <c r="M815" s="1967"/>
      <c r="N815" s="1958"/>
      <c r="O815" s="1645"/>
      <c r="Q815" s="832"/>
      <c r="R815" s="832"/>
      <c r="S815" s="832"/>
      <c r="T815" s="832"/>
      <c r="U815" s="832"/>
      <c r="V815" s="832"/>
      <c r="W815" s="832"/>
      <c r="X815" s="832"/>
    </row>
    <row r="816" spans="1:24" s="812" customFormat="1" ht="39.950000000000003" hidden="1" customHeight="1" x14ac:dyDescent="0.15">
      <c r="A816" s="2072">
        <f ca="1">+Orçamento_Não_Deson!A816</f>
        <v>10</v>
      </c>
      <c r="B816" s="833" t="str">
        <f>+Orçamento_Não_Deson!B816</f>
        <v>SC/0065</v>
      </c>
      <c r="C816" s="2" t="str">
        <f>VLOOKUP($B816,[2]BOLETIM_SEL!$A:$H,2,0)</f>
        <v>COMPOSIÇÃO</v>
      </c>
      <c r="D816" s="315" t="str">
        <f>VLOOKUP($B816,[2]BOLETIM_SEL!$A:$H,4,0)</f>
        <v>Guia para canteiro e ciclovia, concreto FCK = 15mpa, seção 150cm², moldado no local com extrusora, inclusive pintura a cal em uma demão</v>
      </c>
      <c r="E816" s="2">
        <f>+Orçamento_Não_Deson!E816</f>
        <v>0</v>
      </c>
      <c r="F816" s="2" t="str">
        <f>VLOOKUP($B816,[2]BOLETIM_SEL!$A:$H,6,0)</f>
        <v>M</v>
      </c>
      <c r="G816" s="1407">
        <f>VLOOKUP($B816,[2]BOLETIM_SEL!$A:$H,7,0)</f>
        <v>15.72</v>
      </c>
      <c r="H816" s="1608">
        <f>+Orçamento_Não_Deson!H816</f>
        <v>0</v>
      </c>
      <c r="I816" s="876">
        <f t="shared" si="165"/>
        <v>20.14</v>
      </c>
      <c r="J816" s="1607">
        <f t="shared" si="166"/>
        <v>0</v>
      </c>
      <c r="K816" s="2069">
        <f t="shared" ca="1" si="163"/>
        <v>0</v>
      </c>
      <c r="L816" s="1570" t="e">
        <f t="shared" si="164"/>
        <v>#DIV/0!</v>
      </c>
      <c r="M816" s="1968" t="str">
        <f>+Orçamento_Não_Deson!M816</f>
        <v>EXTRUSÃO</v>
      </c>
      <c r="N816" s="1958">
        <f>VLOOKUP($B816,[2]BOLETIM_SEL!$A:$H,3,0)</f>
        <v>26.88</v>
      </c>
      <c r="O816" s="1645">
        <f>+H816/N816</f>
        <v>0</v>
      </c>
      <c r="Q816" s="832"/>
      <c r="R816" s="832"/>
      <c r="S816" s="832"/>
      <c r="T816" s="832"/>
      <c r="U816" s="832"/>
      <c r="V816" s="832"/>
      <c r="W816" s="832"/>
      <c r="X816" s="832"/>
    </row>
    <row r="817" spans="1:24" s="812" customFormat="1" ht="30" hidden="1" customHeight="1" x14ac:dyDescent="0.15">
      <c r="A817" s="2072">
        <f ca="1">+Orçamento_Não_Deson!A817</f>
        <v>10</v>
      </c>
      <c r="B817" s="833" t="str">
        <f>+Orçamento_Não_Deson!B817</f>
        <v>SC/0030</v>
      </c>
      <c r="C817" s="2" t="str">
        <f>VLOOKUP($B817,[2]BOLETIM_SEL!$A:$H,2,0)</f>
        <v>COMPOSIÇÃO</v>
      </c>
      <c r="D817" s="315" t="str">
        <f>VLOOKUP($B817,[2]BOLETIM_SEL!$A:$H,4,0)</f>
        <v xml:space="preserve">Tento (acabamento de limpa-rodas), concreto FCK = 15 mpa, seção 330cm², moldado no local, inclusive escavação </v>
      </c>
      <c r="E817" s="2">
        <f>+Orçamento_Não_Deson!E817</f>
        <v>0</v>
      </c>
      <c r="F817" s="2" t="str">
        <f>VLOOKUP($B817,[2]BOLETIM_SEL!$A:$H,6,0)</f>
        <v>M</v>
      </c>
      <c r="G817" s="1407">
        <f>VLOOKUP($B817,[2]BOLETIM_SEL!$A:$H,7,0)</f>
        <v>27.62</v>
      </c>
      <c r="H817" s="1608">
        <f>+Orçamento_Não_Deson!H817</f>
        <v>0</v>
      </c>
      <c r="I817" s="876">
        <f t="shared" si="165"/>
        <v>35.4</v>
      </c>
      <c r="J817" s="1607">
        <f t="shared" si="166"/>
        <v>0</v>
      </c>
      <c r="K817" s="2069">
        <f t="shared" ca="1" si="163"/>
        <v>0</v>
      </c>
      <c r="L817" s="1570" t="e">
        <f t="shared" si="164"/>
        <v>#DIV/0!</v>
      </c>
      <c r="M817" s="1967"/>
      <c r="N817" s="1958">
        <f>VLOOKUP($B817,[2]BOLETIM_SEL!$A:$H,3,0)</f>
        <v>20.61</v>
      </c>
      <c r="O817" s="1645">
        <f>+H817/N817</f>
        <v>0</v>
      </c>
      <c r="Q817" s="832"/>
      <c r="R817" s="832"/>
      <c r="S817" s="832"/>
      <c r="T817" s="832"/>
      <c r="U817" s="832"/>
      <c r="V817" s="832"/>
      <c r="W817" s="832"/>
      <c r="X817" s="832"/>
    </row>
    <row r="818" spans="1:24" s="812" customFormat="1" ht="39.950000000000003" hidden="1" customHeight="1" x14ac:dyDescent="0.15">
      <c r="A818" s="2072">
        <f ca="1">+Orçamento_Não_Deson!A818</f>
        <v>10</v>
      </c>
      <c r="B818" s="833" t="str">
        <f>+Orçamento_Não_Deson!B818</f>
        <v>SC/0005</v>
      </c>
      <c r="C818" s="2" t="str">
        <f>VLOOKUP($B818,[2]BOLETIM_SEL!$A:$H,2,0)</f>
        <v>COMPOSIÇÃO</v>
      </c>
      <c r="D818" s="315" t="str">
        <f>VLOOKUP($B818,[2]BOLETIM_SEL!$A:$H,4,0)</f>
        <v>Meio-fio (guia) com sarjeta, concreto FCK = 15mpa, seção 615 cm², moldado no local, inclusive escavação e pintura a cal em uma demão</v>
      </c>
      <c r="E818" s="2">
        <f>+Orçamento_Não_Deson!E818</f>
        <v>0</v>
      </c>
      <c r="F818" s="2" t="str">
        <f>VLOOKUP($B818,[2]BOLETIM_SEL!$A:$H,6,0)</f>
        <v>M</v>
      </c>
      <c r="G818" s="1407">
        <f>VLOOKUP($B818,[2]BOLETIM_SEL!$A:$H,7,0)</f>
        <v>51.27</v>
      </c>
      <c r="H818" s="1608">
        <f>+Orçamento_Não_Deson!H818</f>
        <v>0</v>
      </c>
      <c r="I818" s="876">
        <f t="shared" si="165"/>
        <v>65.709999999999994</v>
      </c>
      <c r="J818" s="1607">
        <f t="shared" si="166"/>
        <v>0</v>
      </c>
      <c r="K818" s="2069">
        <f t="shared" ca="1" si="163"/>
        <v>0</v>
      </c>
      <c r="L818" s="1570" t="e">
        <f t="shared" si="164"/>
        <v>#DIV/0!</v>
      </c>
      <c r="M818" s="1968" t="str">
        <f>+Orçamento_Não_Deson!M818</f>
        <v>MANUAL</v>
      </c>
      <c r="N818" s="1958">
        <f>VLOOKUP($B818,[2]BOLETIM_SEL!$A:$H,3,0)</f>
        <v>11.06</v>
      </c>
      <c r="O818" s="1645">
        <f>+H818/N818</f>
        <v>0</v>
      </c>
      <c r="Q818" s="832"/>
      <c r="R818" s="832"/>
      <c r="S818" s="832"/>
      <c r="T818" s="832"/>
      <c r="U818" s="832"/>
      <c r="V818" s="832"/>
      <c r="W818" s="832"/>
      <c r="X818" s="832"/>
    </row>
    <row r="819" spans="1:24" s="812" customFormat="1" ht="39.950000000000003" hidden="1" customHeight="1" x14ac:dyDescent="0.15">
      <c r="A819" s="2072">
        <f ca="1">+Orçamento_Não_Deson!A819</f>
        <v>10</v>
      </c>
      <c r="B819" s="833" t="str">
        <f>+Orçamento_Não_Deson!B819</f>
        <v>SC/0055</v>
      </c>
      <c r="C819" s="2" t="str">
        <f>VLOOKUP($B819,[2]BOLETIM_SEL!$A:$H,2,0)</f>
        <v>COMPOSIÇÃO</v>
      </c>
      <c r="D819" s="315" t="str">
        <f>VLOOKUP($B819,[2]BOLETIM_SEL!$A:$H,4,0)</f>
        <v>Meio-fio (guia) simples, concreto FCK = 20mpa, seção 285 cm², moldado no local em trecho reto com extrusora, inclusive pintura a cal em uma demão</v>
      </c>
      <c r="E819" s="2">
        <f>+Orçamento_Não_Deson!E819</f>
        <v>0</v>
      </c>
      <c r="F819" s="2" t="str">
        <f>VLOOKUP($B819,[2]BOLETIM_SEL!$A:$H,6,0)</f>
        <v>M</v>
      </c>
      <c r="G819" s="1407">
        <f>VLOOKUP($B819,[2]BOLETIM_SEL!$A:$H,7,0)</f>
        <v>35.57</v>
      </c>
      <c r="H819" s="1608">
        <f>+Orçamento_Não_Deson!H819</f>
        <v>0</v>
      </c>
      <c r="I819" s="876">
        <f t="shared" si="165"/>
        <v>45.59</v>
      </c>
      <c r="J819" s="1607">
        <f t="shared" si="166"/>
        <v>0</v>
      </c>
      <c r="K819" s="2069">
        <f t="shared" ca="1" si="163"/>
        <v>0</v>
      </c>
      <c r="L819" s="1570" t="e">
        <f t="shared" si="164"/>
        <v>#DIV/0!</v>
      </c>
      <c r="M819" s="1968" t="str">
        <f>+Orçamento_Não_Deson!M819</f>
        <v>EXTRUSÃO</v>
      </c>
      <c r="N819" s="1958">
        <f>VLOOKUP($B819,[2]BOLETIM_SEL!$A:$H,3,0)</f>
        <v>11.9</v>
      </c>
      <c r="O819" s="1645">
        <f>+H819/N819</f>
        <v>0</v>
      </c>
      <c r="Q819" s="832"/>
      <c r="R819" s="832"/>
      <c r="S819" s="832"/>
      <c r="T819" s="832"/>
      <c r="U819" s="832"/>
      <c r="V819" s="832"/>
      <c r="W819" s="832"/>
      <c r="X819" s="832"/>
    </row>
    <row r="820" spans="1:24" s="812" customFormat="1" ht="30" hidden="1" customHeight="1" x14ac:dyDescent="0.15">
      <c r="A820" s="2072">
        <f ca="1">+Orçamento_Não_Deson!A820</f>
        <v>10</v>
      </c>
      <c r="B820" s="833" t="str">
        <f>+Orçamento_Não_Deson!B820</f>
        <v>SC/0035</v>
      </c>
      <c r="C820" s="2" t="str">
        <f>VLOOKUP($B820,[2]BOLETIM_SEL!$A:$H,2,0)</f>
        <v>COMPOSIÇÃO</v>
      </c>
      <c r="D820" s="315" t="str">
        <f>VLOOKUP($B820,[2]BOLETIM_SEL!$A:$H,4,0)</f>
        <v>Sarjeta em concreto FCK = 15mpa, seção 330cm², moldada no local, exclusive escavação</v>
      </c>
      <c r="E820" s="2">
        <f>+Orçamento_Não_Deson!E820</f>
        <v>0</v>
      </c>
      <c r="F820" s="2" t="str">
        <f>VLOOKUP($B820,[2]BOLETIM_SEL!$A:$H,6,0)</f>
        <v>M</v>
      </c>
      <c r="G820" s="1407">
        <f>VLOOKUP($B820,[2]BOLETIM_SEL!$A:$H,7,0)</f>
        <v>29.85</v>
      </c>
      <c r="H820" s="1608">
        <f>+Orçamento_Não_Deson!H820</f>
        <v>0</v>
      </c>
      <c r="I820" s="876">
        <f t="shared" si="165"/>
        <v>38.25</v>
      </c>
      <c r="J820" s="1607">
        <f t="shared" si="166"/>
        <v>0</v>
      </c>
      <c r="K820" s="2069">
        <f t="shared" ca="1" si="163"/>
        <v>0</v>
      </c>
      <c r="L820" s="1570" t="e">
        <f t="shared" si="164"/>
        <v>#DIV/0!</v>
      </c>
      <c r="M820" s="1967"/>
      <c r="N820" s="1958">
        <f>VLOOKUP($B820,[2]BOLETIM_SEL!$A:$H,3,0)</f>
        <v>20.61</v>
      </c>
      <c r="O820" s="1645">
        <f>+H820/N820</f>
        <v>0</v>
      </c>
      <c r="Q820" s="832"/>
      <c r="R820" s="832"/>
      <c r="S820" s="832"/>
      <c r="T820" s="832"/>
      <c r="U820" s="832"/>
      <c r="V820" s="832"/>
      <c r="W820" s="832"/>
      <c r="X820" s="832"/>
    </row>
    <row r="821" spans="1:24" s="812" customFormat="1" ht="39.950000000000003" hidden="1" customHeight="1" x14ac:dyDescent="0.15">
      <c r="A821" s="2072">
        <f ca="1">+Orçamento_Não_Deson!A821</f>
        <v>10</v>
      </c>
      <c r="B821" s="833">
        <f>+Orçamento_Não_Deson!B821</f>
        <v>6079</v>
      </c>
      <c r="C821" s="2" t="str">
        <f>VLOOKUP($B821,[2]BOLETIM_SEL!$A:$H,2,0)</f>
        <v>COTAÇÃO - SINAPI</v>
      </c>
      <c r="D821" s="315" t="str">
        <f>VLOOKUP($B821,[2]BOLETIM_SEL!$A:$H,4,0)</f>
        <v>Argila, argila vermelha ou argila arenosa (retirada na jazida, sem transporte)</v>
      </c>
      <c r="E821" s="2221" t="str">
        <f>+Orçamento_Não_Deson!E821</f>
        <v>BDI insumo</v>
      </c>
      <c r="F821" s="2" t="str">
        <f>VLOOKUP($B821,[2]BOLETIM_SEL!$A:$H,6,0)</f>
        <v xml:space="preserve">M3    </v>
      </c>
      <c r="G821" s="1407">
        <f>VLOOKUP($B821,[2]BOLETIM_SEL!$A:$H,7,0)</f>
        <v>36.51</v>
      </c>
      <c r="H821" s="1608">
        <f>+Orçamento_Não_Deson!H821</f>
        <v>0</v>
      </c>
      <c r="I821" s="2222">
        <f>TRUNC(G821*(1+$J$6),2)</f>
        <v>42.08</v>
      </c>
      <c r="J821" s="1607">
        <f t="shared" si="166"/>
        <v>0</v>
      </c>
      <c r="K821" s="2069">
        <f t="shared" ca="1" si="163"/>
        <v>0</v>
      </c>
      <c r="L821" s="1570" t="e">
        <f t="shared" si="164"/>
        <v>#DIV/0!</v>
      </c>
      <c r="M821" s="1968" t="str">
        <f>+Orçamento_Não_Deson!M821</f>
        <v>público</v>
      </c>
      <c r="N821" s="832"/>
      <c r="O821" s="832"/>
      <c r="Q821" s="832"/>
      <c r="R821" s="832"/>
      <c r="S821" s="832"/>
      <c r="T821" s="832"/>
      <c r="U821" s="832"/>
      <c r="V821" s="832"/>
      <c r="W821" s="832"/>
      <c r="X821" s="832"/>
    </row>
    <row r="822" spans="1:24" s="812" customFormat="1" ht="39.950000000000003" hidden="1" customHeight="1" x14ac:dyDescent="0.15">
      <c r="A822" s="2072">
        <f ca="1">+Orçamento_Não_Deson!A822</f>
        <v>10</v>
      </c>
      <c r="B822" s="833">
        <f>+Orçamento_Não_Deson!B822</f>
        <v>4721</v>
      </c>
      <c r="C822" s="2" t="str">
        <f>VLOOKUP($B822,[2]BOLETIM_SEL!$A:$H,2,0)</f>
        <v>COTAÇÃO - SINAPI</v>
      </c>
      <c r="D822" s="315" t="str">
        <f>VLOOKUP($B822,[2]BOLETIM_SEL!$A:$H,4,0)</f>
        <v>Pedra britada n. 1 (9,5 A 19 mm) posto pedreira/fornecedor, sem frete</v>
      </c>
      <c r="E822" s="2221" t="str">
        <f>+Orçamento_Não_Deson!E822</f>
        <v>BDI insumo</v>
      </c>
      <c r="F822" s="2" t="str">
        <f>VLOOKUP($B822,[2]BOLETIM_SEL!$A:$H,6,0)</f>
        <v xml:space="preserve">M3    </v>
      </c>
      <c r="G822" s="1407">
        <f>VLOOKUP($B822,[2]BOLETIM_SEL!$A:$H,7,0)</f>
        <v>104.45</v>
      </c>
      <c r="H822" s="1608">
        <f>+Orçamento_Não_Deson!H822</f>
        <v>0</v>
      </c>
      <c r="I822" s="2222">
        <f>TRUNC(G822*(1+$J$6),2)</f>
        <v>120.4</v>
      </c>
      <c r="J822" s="1607">
        <f t="shared" si="166"/>
        <v>0</v>
      </c>
      <c r="K822" s="2069">
        <f t="shared" ca="1" si="163"/>
        <v>0</v>
      </c>
      <c r="L822" s="1570" t="e">
        <f t="shared" si="164"/>
        <v>#DIV/0!</v>
      </c>
      <c r="M822" s="1968" t="str">
        <f>+Orçamento_Não_Deson!M822</f>
        <v>COMERCIAL</v>
      </c>
      <c r="N822" s="832"/>
      <c r="O822" s="832"/>
      <c r="Q822" s="832"/>
      <c r="R822" s="832"/>
      <c r="S822" s="832"/>
      <c r="T822" s="832"/>
      <c r="U822" s="832"/>
      <c r="V822" s="832"/>
      <c r="W822" s="832"/>
      <c r="X822" s="832"/>
    </row>
    <row r="823" spans="1:24" s="812" customFormat="1" ht="39.950000000000003" hidden="1" customHeight="1" x14ac:dyDescent="0.15">
      <c r="A823" s="2072">
        <f ca="1">+Orçamento_Não_Deson!A823</f>
        <v>10</v>
      </c>
      <c r="B823" s="833">
        <f>+Orçamento_Não_Deson!B823</f>
        <v>4743</v>
      </c>
      <c r="C823" s="2" t="str">
        <f>VLOOKUP($B823,[2]BOLETIM_SEL!$A:$H,2,0)</f>
        <v>COTAÇÃO - SINAPI</v>
      </c>
      <c r="D823" s="315" t="str">
        <f>VLOOKUP($B823,[2]BOLETIM_SEL!$A:$H,4,0)</f>
        <v>Cascalho de cava</v>
      </c>
      <c r="E823" s="2221" t="str">
        <f>+Orçamento_Não_Deson!E823</f>
        <v>BDI insumo</v>
      </c>
      <c r="F823" s="2" t="str">
        <f>VLOOKUP($B823,[2]BOLETIM_SEL!$A:$H,6,0)</f>
        <v xml:space="preserve">M3    </v>
      </c>
      <c r="G823" s="1407">
        <f>VLOOKUP($B823,[2]BOLETIM_SEL!$A:$H,7,0)</f>
        <v>60.9</v>
      </c>
      <c r="H823" s="1608">
        <f>+Orçamento_Não_Deson!H823</f>
        <v>0</v>
      </c>
      <c r="I823" s="2222">
        <f>TRUNC(G823*(1+$J$6),2)</f>
        <v>70.2</v>
      </c>
      <c r="J823" s="1607">
        <f t="shared" si="166"/>
        <v>0</v>
      </c>
      <c r="K823" s="2069">
        <f t="shared" ca="1" si="163"/>
        <v>0</v>
      </c>
      <c r="L823" s="1570" t="e">
        <f t="shared" si="164"/>
        <v>#DIV/0!</v>
      </c>
      <c r="M823" s="1968" t="str">
        <f>+Orçamento_Não_Deson!M823</f>
        <v>COMERCIAL</v>
      </c>
      <c r="N823" s="832"/>
      <c r="O823" s="832"/>
      <c r="Q823" s="832"/>
      <c r="R823" s="832"/>
      <c r="S823" s="832"/>
      <c r="T823" s="832"/>
      <c r="U823" s="832"/>
      <c r="V823" s="832"/>
      <c r="W823" s="832"/>
      <c r="X823" s="832"/>
    </row>
    <row r="824" spans="1:24" s="812" customFormat="1" ht="39.950000000000003" hidden="1" customHeight="1" x14ac:dyDescent="0.15">
      <c r="A824" s="2072">
        <f ca="1">+Orçamento_Não_Deson!A824</f>
        <v>10</v>
      </c>
      <c r="B824" s="833">
        <f>+Orçamento_Não_Deson!B824</f>
        <v>4748</v>
      </c>
      <c r="C824" s="2" t="str">
        <f>VLOOKUP($B824,[2]BOLETIM_SEL!$A:$H,2,0)</f>
        <v>COTAÇÃO - SINAPI</v>
      </c>
      <c r="D824" s="315" t="str">
        <f>VLOOKUP($B824,[2]BOLETIM_SEL!$A:$H,4,0)</f>
        <v>Pedra britada ou bica corrida, não classificada (posto pedreira/fornecedor, sem frete)</v>
      </c>
      <c r="E824" s="2221" t="str">
        <f>+Orçamento_Não_Deson!E824</f>
        <v>BDI insumo</v>
      </c>
      <c r="F824" s="2" t="str">
        <f>VLOOKUP($B824,[2]BOLETIM_SEL!$A:$H,6,0)</f>
        <v xml:space="preserve">M3    </v>
      </c>
      <c r="G824" s="1407">
        <f>VLOOKUP($B824,[2]BOLETIM_SEL!$A:$H,7,0)</f>
        <v>96.47</v>
      </c>
      <c r="H824" s="1608">
        <f>+Orçamento_Não_Deson!H824</f>
        <v>0</v>
      </c>
      <c r="I824" s="2222">
        <f>TRUNC(G824*(1+$J$6),2)</f>
        <v>111.21</v>
      </c>
      <c r="J824" s="1607">
        <f t="shared" si="166"/>
        <v>0</v>
      </c>
      <c r="K824" s="2069">
        <f t="shared" ca="1" si="163"/>
        <v>0</v>
      </c>
      <c r="L824" s="1570" t="e">
        <f t="shared" si="164"/>
        <v>#DIV/0!</v>
      </c>
      <c r="M824" s="1967"/>
      <c r="N824" s="832"/>
      <c r="O824" s="832"/>
      <c r="Q824" s="832"/>
      <c r="R824" s="832"/>
      <c r="S824" s="832"/>
      <c r="T824" s="832"/>
      <c r="U824" s="832"/>
      <c r="V824" s="832"/>
      <c r="W824" s="832"/>
      <c r="X824" s="832"/>
    </row>
    <row r="825" spans="1:24" s="812" customFormat="1" ht="39.950000000000003" hidden="1" customHeight="1" x14ac:dyDescent="0.15">
      <c r="A825" s="2072">
        <f ca="1">+Orçamento_Não_Deson!A825</f>
        <v>10</v>
      </c>
      <c r="B825" s="833">
        <f>+Orçamento_Não_Deson!B825</f>
        <v>100978</v>
      </c>
      <c r="C825" s="2" t="str">
        <f>VLOOKUP($B825,[2]BOLETIM_SEL!$A:$H,2,0)</f>
        <v>SINAPI</v>
      </c>
      <c r="D825" s="315" t="str">
        <f>VLOOKUP($B825,[2]BOLETIM_SEL!$A:$H,4,0)</f>
        <v>Carga, manobra e descarga de solos e materiais granulares em caminhão basculante 10 m3 - carga com escavadeira hidráulica (capacidade da caçamba: 1,20 m3 / potência: 155 HP) e descarga livre (unidade: m3). AF_07/2020</v>
      </c>
      <c r="E825" s="2">
        <f>+Orçamento_Não_Deson!E825</f>
        <v>0</v>
      </c>
      <c r="F825" s="2" t="str">
        <f>VLOOKUP($B825,[2]BOLETIM_SEL!$A:$H,6,0)</f>
        <v>M3</v>
      </c>
      <c r="G825" s="1407">
        <f>VLOOKUP($B825,[2]BOLETIM_SEL!$A:$H,7,0)</f>
        <v>6.56</v>
      </c>
      <c r="H825" s="1608">
        <f>+Orçamento_Não_Deson!H825</f>
        <v>0</v>
      </c>
      <c r="I825" s="876">
        <f>+TRUNC(G825*(1+$J$5),2)</f>
        <v>8.4</v>
      </c>
      <c r="J825" s="1607">
        <f t="shared" si="166"/>
        <v>0</v>
      </c>
      <c r="K825" s="2069">
        <f t="shared" ca="1" si="163"/>
        <v>0</v>
      </c>
      <c r="L825" s="1570" t="e">
        <f t="shared" si="164"/>
        <v>#DIV/0!</v>
      </c>
      <c r="M825" s="1968" t="str">
        <f>+Orçamento_Não_Deson!M825</f>
        <v>ESCAVADEIRA</v>
      </c>
      <c r="N825" s="832"/>
      <c r="O825" s="832"/>
      <c r="Q825" s="832"/>
      <c r="R825" s="832"/>
      <c r="S825" s="832"/>
      <c r="T825" s="832"/>
      <c r="U825" s="832"/>
      <c r="V825" s="832"/>
      <c r="W825" s="832"/>
      <c r="X825" s="832"/>
    </row>
    <row r="826" spans="1:24" s="812" customFormat="1" ht="39.950000000000003" hidden="1" customHeight="1" x14ac:dyDescent="0.15">
      <c r="A826" s="2072">
        <f ca="1">+Orçamento_Não_Deson!A826</f>
        <v>10</v>
      </c>
      <c r="B826" s="833">
        <f>+Orçamento_Não_Deson!B826</f>
        <v>100979</v>
      </c>
      <c r="C826" s="2" t="str">
        <f>VLOOKUP($B826,[2]BOLETIM_SEL!$A:$H,2,0)</f>
        <v>SINAPI</v>
      </c>
      <c r="D826" s="315" t="str">
        <f>VLOOKUP($B826,[2]BOLETIM_SEL!$A:$H,4,0)</f>
        <v>Carga, manobra e descarga de solos e materiais granulares em caminhão basculante 14 m3 - carga com escavadeira hidráulica (capacidade da caçamba: 1,20 m3 / potência: 155 HP) e descarga livre (unidade: m3). AF_07/2020</v>
      </c>
      <c r="E826" s="2">
        <f>+Orçamento_Não_Deson!E826</f>
        <v>0</v>
      </c>
      <c r="F826" s="2" t="str">
        <f>VLOOKUP($B826,[2]BOLETIM_SEL!$A:$H,6,0)</f>
        <v>M3</v>
      </c>
      <c r="G826" s="1407">
        <f>VLOOKUP($B826,[2]BOLETIM_SEL!$A:$H,7,0)</f>
        <v>6.35</v>
      </c>
      <c r="H826" s="1608">
        <f>+Orçamento_Não_Deson!H826</f>
        <v>0</v>
      </c>
      <c r="I826" s="876">
        <f>+TRUNC(G826*(1+$J$5),2)</f>
        <v>8.1300000000000008</v>
      </c>
      <c r="J826" s="1607">
        <f t="shared" si="166"/>
        <v>0</v>
      </c>
      <c r="K826" s="2069">
        <f t="shared" ca="1" si="163"/>
        <v>0</v>
      </c>
      <c r="L826" s="1570" t="e">
        <f t="shared" si="164"/>
        <v>#DIV/0!</v>
      </c>
      <c r="M826" s="1968" t="str">
        <f>+Orçamento_Não_Deson!M826</f>
        <v>ESCAVADEIRA</v>
      </c>
      <c r="N826" s="832"/>
      <c r="O826" s="832"/>
      <c r="Q826" s="832"/>
      <c r="R826" s="832"/>
      <c r="S826" s="832"/>
      <c r="T826" s="832"/>
      <c r="U826" s="832"/>
      <c r="V826" s="832"/>
      <c r="W826" s="832"/>
      <c r="X826" s="832"/>
    </row>
    <row r="827" spans="1:24" s="812" customFormat="1" ht="24.95" hidden="1" customHeight="1" x14ac:dyDescent="0.15">
      <c r="A827" s="2072"/>
      <c r="B827" s="833"/>
      <c r="C827" s="2"/>
      <c r="D827" s="1449" t="s">
        <v>1798</v>
      </c>
      <c r="E827" s="2"/>
      <c r="F827" s="2"/>
      <c r="G827" s="1407"/>
      <c r="H827" s="2"/>
      <c r="I827" s="838" t="str">
        <f>IF(I828=0,"-","")</f>
        <v/>
      </c>
      <c r="J827" s="838" t="str">
        <f>IF(J828=0,"-","")</f>
        <v>-</v>
      </c>
      <c r="K827" s="2069"/>
      <c r="L827" s="1570"/>
      <c r="M827" s="1967" t="str">
        <f>+Orçamento_Não_Deson!M827</f>
        <v>Definir depósito:                                     1, 2, 3 ou 4</v>
      </c>
      <c r="N827" s="832"/>
      <c r="O827" s="832"/>
      <c r="Q827" s="832"/>
      <c r="R827" s="832"/>
      <c r="S827" s="832"/>
      <c r="T827" s="832"/>
      <c r="U827" s="832"/>
      <c r="V827" s="832"/>
      <c r="W827" s="832"/>
      <c r="X827" s="832"/>
    </row>
    <row r="828" spans="1:24" s="812" customFormat="1" ht="39.950000000000003" hidden="1" customHeight="1" x14ac:dyDescent="0.15">
      <c r="A828" s="2072">
        <f ca="1">+Orçamento_Não_Deson!A828</f>
        <v>10</v>
      </c>
      <c r="B828" s="833">
        <f>+Orçamento_Não_Deson!B828</f>
        <v>95875</v>
      </c>
      <c r="C828" s="2" t="str">
        <f>VLOOKUP($B828,[2]BOLETIM_SEL!$A:$H,2,0)</f>
        <v>SINAPI</v>
      </c>
      <c r="D828" s="315" t="str">
        <f>VLOOKUP($B828,[2]BOLETIM_SEL!$A:$H,4,0)</f>
        <v>Transporte com caminhão basculante de 10 m3, em via urbana pavimentada, DMT até 30,00 km (unidade: m3xkm). AF_07/2020</v>
      </c>
      <c r="E828" s="2">
        <f>+Orçamento_Não_Deson!E828</f>
        <v>8</v>
      </c>
      <c r="F828" s="2" t="str">
        <f>VLOOKUP($B828,[2]BOLETIM_SEL!$A:$H,6,0)</f>
        <v>M3XKM</v>
      </c>
      <c r="G828" s="1407">
        <f>VLOOKUP($B828,[2]BOLETIM_SEL!$A:$H,7,0)</f>
        <v>2.33</v>
      </c>
      <c r="H828" s="1608">
        <f>+Orçamento_Não_Deson!H828</f>
        <v>0</v>
      </c>
      <c r="I828" s="876">
        <f>+TRUNC(G828*(1+$J$5),2)</f>
        <v>2.98</v>
      </c>
      <c r="J828" s="1607">
        <f>TRUNC(H828*I828,2)</f>
        <v>0</v>
      </c>
      <c r="K828" s="2069">
        <f ca="1">+J828/J$930</f>
        <v>0</v>
      </c>
      <c r="L828" s="1570" t="e">
        <f>+J828/$J$796</f>
        <v>#DIV/0!</v>
      </c>
      <c r="M828" s="1969">
        <f>+Orçamento_Não_Deson!M828</f>
        <v>0</v>
      </c>
      <c r="N828" s="832"/>
      <c r="O828" s="832"/>
      <c r="Q828" s="832"/>
      <c r="R828" s="832"/>
      <c r="S828" s="832"/>
      <c r="T828" s="832"/>
      <c r="U828" s="832"/>
      <c r="V828" s="832"/>
      <c r="W828" s="832"/>
      <c r="X828" s="832"/>
    </row>
    <row r="829" spans="1:24" s="812" customFormat="1" ht="24.95" hidden="1" customHeight="1" x14ac:dyDescent="0.15">
      <c r="A829" s="2072"/>
      <c r="B829" s="833"/>
      <c r="C829" s="2"/>
      <c r="D829" s="1449" t="s">
        <v>1939</v>
      </c>
      <c r="E829" s="2"/>
      <c r="F829" s="2"/>
      <c r="G829" s="1407"/>
      <c r="H829" s="2"/>
      <c r="I829" s="838" t="str">
        <f>IF(I830=0,"-","")</f>
        <v/>
      </c>
      <c r="J829" s="838" t="str">
        <f>IF(J830=0,"-","")</f>
        <v>-</v>
      </c>
      <c r="K829" s="2069"/>
      <c r="L829" s="1570"/>
      <c r="N829" s="832"/>
      <c r="O829" s="832"/>
      <c r="Q829" s="832"/>
      <c r="R829" s="832"/>
      <c r="S829" s="832"/>
      <c r="T829" s="832"/>
      <c r="U829" s="832"/>
      <c r="V829" s="832"/>
      <c r="W829" s="832"/>
      <c r="X829" s="832"/>
    </row>
    <row r="830" spans="1:24" s="812" customFormat="1" ht="39.950000000000003" hidden="1" customHeight="1" x14ac:dyDescent="0.15">
      <c r="A830" s="2072">
        <f ca="1">+Orçamento_Não_Deson!A830</f>
        <v>10</v>
      </c>
      <c r="B830" s="833">
        <f>+Orçamento_Não_Deson!B830</f>
        <v>95875</v>
      </c>
      <c r="C830" s="2" t="str">
        <f>VLOOKUP($B830,[2]BOLETIM_SEL!$A:$H,2,0)</f>
        <v>SINAPI</v>
      </c>
      <c r="D830" s="315" t="str">
        <f>VLOOKUP($B830,[2]BOLETIM_SEL!$A:$H,4,0)</f>
        <v>Transporte com caminhão basculante de 10 m3, em via urbana pavimentada, DMT até 30,00 km (unidade: m3xkm). AF_07/2020</v>
      </c>
      <c r="E830" s="2">
        <f>+Orçamento_Não_Deson!E830</f>
        <v>7</v>
      </c>
      <c r="F830" s="2" t="str">
        <f>VLOOKUP($B830,[2]BOLETIM_SEL!$A:$H,6,0)</f>
        <v>M3XKM</v>
      </c>
      <c r="G830" s="1407">
        <f>VLOOKUP($B830,[2]BOLETIM_SEL!$A:$H,7,0)</f>
        <v>2.33</v>
      </c>
      <c r="H830" s="1608">
        <f>+Orçamento_Não_Deson!H830</f>
        <v>0</v>
      </c>
      <c r="I830" s="876">
        <f>+TRUNC(G830*(1+$J$5),2)</f>
        <v>2.98</v>
      </c>
      <c r="J830" s="1607">
        <f>TRUNC(H830*I830,2)</f>
        <v>0</v>
      </c>
      <c r="K830" s="2069">
        <f ca="1">+J830/J$930</f>
        <v>0</v>
      </c>
      <c r="L830" s="1570" t="e">
        <f>+J830/$J$796</f>
        <v>#DIV/0!</v>
      </c>
      <c r="M830" s="1969">
        <f>+Orçamento_Não_Deson!M830</f>
        <v>0</v>
      </c>
      <c r="N830" s="832"/>
      <c r="O830" s="832"/>
      <c r="Q830" s="832"/>
      <c r="R830" s="832"/>
      <c r="S830" s="832"/>
      <c r="T830" s="832"/>
      <c r="U830" s="832"/>
      <c r="V830" s="832"/>
      <c r="W830" s="832"/>
      <c r="X830" s="832"/>
    </row>
    <row r="831" spans="1:24" s="812" customFormat="1" ht="24.95" hidden="1" customHeight="1" x14ac:dyDescent="0.15">
      <c r="A831" s="2072"/>
      <c r="B831" s="833"/>
      <c r="C831" s="2"/>
      <c r="D831" s="1449" t="s">
        <v>1894</v>
      </c>
      <c r="E831" s="2"/>
      <c r="F831" s="2"/>
      <c r="G831" s="1407"/>
      <c r="H831" s="2"/>
      <c r="I831" s="838"/>
      <c r="J831" s="838" t="str">
        <f>IF(J832=0,"-","")</f>
        <v>-</v>
      </c>
      <c r="K831" s="2069"/>
      <c r="L831" s="1570"/>
      <c r="M831" s="1967" t="str">
        <f>+Orçamento_Não_Deson!M831</f>
        <v>Depósito provisório</v>
      </c>
      <c r="N831" s="832"/>
      <c r="O831" s="832"/>
      <c r="Q831" s="832"/>
      <c r="R831" s="832"/>
      <c r="S831" s="832"/>
      <c r="T831" s="832"/>
      <c r="U831" s="832"/>
      <c r="V831" s="832"/>
      <c r="W831" s="832"/>
      <c r="X831" s="832"/>
    </row>
    <row r="832" spans="1:24" s="812" customFormat="1" ht="30" hidden="1" customHeight="1" x14ac:dyDescent="0.15">
      <c r="A832" s="2072">
        <f ca="1">+Orçamento_Não_Deson!A832</f>
        <v>10</v>
      </c>
      <c r="B832" s="833">
        <f>+Orçamento_Não_Deson!B832</f>
        <v>100938</v>
      </c>
      <c r="C832" s="2" t="str">
        <f>VLOOKUP($B832,[2]BOLETIM_SEL!$A:$H,2,0)</f>
        <v>SINAPI</v>
      </c>
      <c r="D832" s="315" t="str">
        <f>VLOOKUP($B832,[2]BOLETIM_SEL!$A:$H,4,0)</f>
        <v>Transporte com caminhão basculante de 10 m3, em via interna (dentro do canteiro - unidade: m3xkm). AF_07/2020</v>
      </c>
      <c r="E832" s="2">
        <f>+Orçamento_Não_Deson!E832</f>
        <v>1</v>
      </c>
      <c r="F832" s="2" t="str">
        <f>VLOOKUP($B832,[2]BOLETIM_SEL!$A:$H,6,0)</f>
        <v>M3XKM</v>
      </c>
      <c r="G832" s="1407">
        <f>VLOOKUP($B832,[2]BOLETIM_SEL!$A:$H,7,0)</f>
        <v>7.02</v>
      </c>
      <c r="H832" s="1608">
        <f>+Orçamento_Não_Deson!H832</f>
        <v>0</v>
      </c>
      <c r="I832" s="876">
        <f>+TRUNC(G832*(1+$J$5),2)</f>
        <v>8.99</v>
      </c>
      <c r="J832" s="1607">
        <f>TRUNC(H832*I832,2)</f>
        <v>0</v>
      </c>
      <c r="K832" s="2069">
        <f ca="1">+J832/J$930</f>
        <v>0</v>
      </c>
      <c r="L832" s="1570" t="e">
        <f>+J832/$J$796</f>
        <v>#DIV/0!</v>
      </c>
      <c r="M832" s="1967"/>
      <c r="N832" s="832"/>
      <c r="O832" s="832"/>
      <c r="Q832" s="832"/>
      <c r="R832" s="832"/>
      <c r="S832" s="832"/>
      <c r="T832" s="832"/>
      <c r="U832" s="832"/>
      <c r="V832" s="832"/>
      <c r="W832" s="832"/>
      <c r="X832" s="832"/>
    </row>
    <row r="833" spans="1:24" s="812" customFormat="1" ht="24.95" hidden="1" customHeight="1" x14ac:dyDescent="0.15">
      <c r="A833" s="2072"/>
      <c r="B833" s="833"/>
      <c r="C833" s="2"/>
      <c r="D833" s="1449" t="s">
        <v>1890</v>
      </c>
      <c r="E833" s="2"/>
      <c r="F833" s="2"/>
      <c r="G833" s="1407"/>
      <c r="H833" s="2"/>
      <c r="I833" s="838" t="str">
        <f>IF(I834=0,"-","")</f>
        <v/>
      </c>
      <c r="J833" s="838" t="str">
        <f>IF(J834=0,"-","")</f>
        <v>-</v>
      </c>
      <c r="K833" s="2069"/>
      <c r="L833" s="1570"/>
      <c r="M833" s="1967"/>
      <c r="N833" s="832"/>
      <c r="O833" s="832"/>
      <c r="Q833" s="832"/>
      <c r="R833" s="832"/>
      <c r="S833" s="832"/>
      <c r="T833" s="832"/>
      <c r="U833" s="832"/>
      <c r="V833" s="832"/>
      <c r="W833" s="832"/>
      <c r="X833" s="832"/>
    </row>
    <row r="834" spans="1:24" s="812" customFormat="1" ht="39.950000000000003" hidden="1" customHeight="1" x14ac:dyDescent="0.15">
      <c r="A834" s="2072">
        <f ca="1">+Orçamento_Não_Deson!A834</f>
        <v>10</v>
      </c>
      <c r="B834" s="833">
        <f>+Orçamento_Não_Deson!B834</f>
        <v>95875</v>
      </c>
      <c r="C834" s="2" t="str">
        <f>VLOOKUP($B834,[2]BOLETIM_SEL!$A:$H,2,0)</f>
        <v>SINAPI</v>
      </c>
      <c r="D834" s="315" t="str">
        <f>VLOOKUP($B834,[2]BOLETIM_SEL!$A:$H,4,0)</f>
        <v>Transporte com caminhão basculante de 10 m3, em via urbana pavimentada, DMT até 30,00 km (unidade: m3xkm). AF_07/2020</v>
      </c>
      <c r="E834" s="2">
        <f>+Orçamento_Não_Deson!E834</f>
        <v>0</v>
      </c>
      <c r="F834" s="2" t="str">
        <f>VLOOKUP($B834,[2]BOLETIM_SEL!$A:$H,6,0)</f>
        <v>M3XKM</v>
      </c>
      <c r="G834" s="1407">
        <f>VLOOKUP($B834,[2]BOLETIM_SEL!$A:$H,7,0)</f>
        <v>2.33</v>
      </c>
      <c r="H834" s="1608">
        <f>+Orçamento_Não_Deson!H834</f>
        <v>0</v>
      </c>
      <c r="I834" s="876">
        <f>+TRUNC(G834*(1+$J$5),2)</f>
        <v>2.98</v>
      </c>
      <c r="J834" s="1607">
        <f>TRUNC(H834*I834,2)</f>
        <v>0</v>
      </c>
      <c r="K834" s="2069">
        <f ca="1">+J834/J$930</f>
        <v>0</v>
      </c>
      <c r="L834" s="1570" t="e">
        <f>+J834/$J$796</f>
        <v>#DIV/0!</v>
      </c>
      <c r="M834" s="1969">
        <f>+Orçamento_Não_Deson!M834</f>
        <v>0</v>
      </c>
      <c r="N834" s="832"/>
      <c r="O834" s="832"/>
      <c r="Q834" s="832"/>
      <c r="R834" s="832"/>
      <c r="S834" s="832"/>
      <c r="T834" s="832"/>
      <c r="U834" s="832"/>
      <c r="V834" s="832"/>
      <c r="W834" s="832"/>
      <c r="X834" s="832"/>
    </row>
    <row r="835" spans="1:24" s="812" customFormat="1" ht="24.95" hidden="1" customHeight="1" x14ac:dyDescent="0.15">
      <c r="A835" s="2072"/>
      <c r="B835" s="833"/>
      <c r="C835" s="2"/>
      <c r="D835" s="1449" t="s">
        <v>1895</v>
      </c>
      <c r="E835" s="2"/>
      <c r="F835" s="2"/>
      <c r="G835" s="1407"/>
      <c r="H835" s="2"/>
      <c r="I835" s="838" t="str">
        <f>IF(I836=0,"-","")</f>
        <v/>
      </c>
      <c r="J835" s="838" t="str">
        <f>IF(J836=0,"-","")</f>
        <v>-</v>
      </c>
      <c r="K835" s="2069"/>
      <c r="L835" s="1570"/>
      <c r="M835" s="1967"/>
      <c r="N835" s="832"/>
      <c r="O835" s="832"/>
      <c r="Q835" s="832"/>
      <c r="R835" s="832"/>
      <c r="S835" s="832"/>
      <c r="T835" s="832"/>
      <c r="U835" s="832"/>
      <c r="V835" s="832"/>
      <c r="W835" s="832"/>
      <c r="X835" s="832"/>
    </row>
    <row r="836" spans="1:24" s="812" customFormat="1" ht="39.950000000000003" hidden="1" customHeight="1" x14ac:dyDescent="0.15">
      <c r="A836" s="2072">
        <f ca="1">+Orçamento_Não_Deson!A836</f>
        <v>10</v>
      </c>
      <c r="B836" s="833">
        <f>+Orçamento_Não_Deson!B836</f>
        <v>95875</v>
      </c>
      <c r="C836" s="2" t="str">
        <f>VLOOKUP($B836,[2]BOLETIM_SEL!$A:$H,2,0)</f>
        <v>SINAPI</v>
      </c>
      <c r="D836" s="315" t="str">
        <f>VLOOKUP($B836,[2]BOLETIM_SEL!$A:$H,4,0)</f>
        <v>Transporte com caminhão basculante de 10 m3, em via urbana pavimentada, DMT até 30,00 km (unidade: m3xkm). AF_07/2020</v>
      </c>
      <c r="E836" s="2">
        <f>+Orçamento_Não_Deson!E836</f>
        <v>24</v>
      </c>
      <c r="F836" s="2" t="str">
        <f>VLOOKUP($B836,[2]BOLETIM_SEL!$A:$H,6,0)</f>
        <v>M3XKM</v>
      </c>
      <c r="G836" s="1407">
        <f>VLOOKUP($B836,[2]BOLETIM_SEL!$A:$H,7,0)</f>
        <v>2.33</v>
      </c>
      <c r="H836" s="1608">
        <f>+Orçamento_Não_Deson!H836</f>
        <v>0</v>
      </c>
      <c r="I836" s="876">
        <f>+TRUNC(G836*(1+$J$5),2)</f>
        <v>2.98</v>
      </c>
      <c r="J836" s="1607">
        <f>TRUNC(H836*I836,2)</f>
        <v>0</v>
      </c>
      <c r="K836" s="2069">
        <f ca="1">+J836/J$930</f>
        <v>0</v>
      </c>
      <c r="L836" s="1570" t="e">
        <f>+J836/$J$796</f>
        <v>#DIV/0!</v>
      </c>
      <c r="M836" s="1969">
        <f>+Orçamento_Não_Deson!M836</f>
        <v>0</v>
      </c>
      <c r="N836" s="832"/>
      <c r="O836" s="832"/>
      <c r="Q836" s="832"/>
      <c r="R836" s="832"/>
      <c r="S836" s="832"/>
      <c r="T836" s="832"/>
      <c r="U836" s="832"/>
      <c r="V836" s="832"/>
      <c r="W836" s="832"/>
      <c r="X836" s="832"/>
    </row>
    <row r="837" spans="1:24" s="812" customFormat="1" ht="24.95" hidden="1" customHeight="1" x14ac:dyDescent="0.15">
      <c r="A837" s="2072"/>
      <c r="B837" s="833"/>
      <c r="C837" s="2"/>
      <c r="D837" s="1449" t="s">
        <v>1891</v>
      </c>
      <c r="E837" s="2"/>
      <c r="F837" s="2"/>
      <c r="G837" s="1407"/>
      <c r="H837" s="2"/>
      <c r="I837" s="838" t="str">
        <f>IF(I838=0,"-","")</f>
        <v/>
      </c>
      <c r="J837" s="838" t="str">
        <f>IF(J838=0,"-","")</f>
        <v>-</v>
      </c>
      <c r="K837" s="2069"/>
      <c r="L837" s="1570"/>
      <c r="M837" s="1967"/>
      <c r="N837" s="832"/>
      <c r="O837" s="832"/>
      <c r="Q837" s="832"/>
      <c r="R837" s="832"/>
      <c r="S837" s="832"/>
      <c r="T837" s="832"/>
      <c r="U837" s="832"/>
      <c r="V837" s="832"/>
      <c r="W837" s="832"/>
      <c r="X837" s="832"/>
    </row>
    <row r="838" spans="1:24" s="812" customFormat="1" ht="39.950000000000003" hidden="1" customHeight="1" x14ac:dyDescent="0.15">
      <c r="A838" s="2072">
        <f ca="1">+Orçamento_Não_Deson!A838</f>
        <v>10</v>
      </c>
      <c r="B838" s="833">
        <f>+Orçamento_Não_Deson!B838</f>
        <v>95875</v>
      </c>
      <c r="C838" s="2" t="str">
        <f>VLOOKUP($B838,[2]BOLETIM_SEL!$A:$H,2,0)</f>
        <v>SINAPI</v>
      </c>
      <c r="D838" s="315" t="str">
        <f>VLOOKUP($B838,[2]BOLETIM_SEL!$A:$H,4,0)</f>
        <v>Transporte com caminhão basculante de 10 m3, em via urbana pavimentada, DMT até 30,00 km (unidade: m3xkm). AF_07/2020</v>
      </c>
      <c r="E838" s="2">
        <f>+Orçamento_Não_Deson!E838</f>
        <v>24</v>
      </c>
      <c r="F838" s="2" t="str">
        <f>VLOOKUP($B838,[2]BOLETIM_SEL!$A:$H,6,0)</f>
        <v>M3XKM</v>
      </c>
      <c r="G838" s="1407">
        <f>VLOOKUP($B838,[2]BOLETIM_SEL!$A:$H,7,0)</f>
        <v>2.33</v>
      </c>
      <c r="H838" s="1608">
        <f>+Orçamento_Não_Deson!H838</f>
        <v>0</v>
      </c>
      <c r="I838" s="876">
        <f>+TRUNC(G838*(1+$J$5),2)</f>
        <v>2.98</v>
      </c>
      <c r="J838" s="1607">
        <f>TRUNC(H838*I838,2)</f>
        <v>0</v>
      </c>
      <c r="K838" s="2069">
        <f ca="1">+J838/J$930</f>
        <v>0</v>
      </c>
      <c r="L838" s="1570" t="e">
        <f>+J838/$J$796</f>
        <v>#DIV/0!</v>
      </c>
      <c r="M838" s="1969">
        <f>+Orçamento_Não_Deson!M838</f>
        <v>0</v>
      </c>
      <c r="N838" s="832"/>
      <c r="O838" s="832"/>
      <c r="Q838" s="832"/>
      <c r="R838" s="832"/>
      <c r="S838" s="832"/>
      <c r="T838" s="832"/>
      <c r="U838" s="832"/>
      <c r="V838" s="832"/>
      <c r="W838" s="832"/>
      <c r="X838" s="832"/>
    </row>
    <row r="839" spans="1:24" s="812" customFormat="1" ht="24.95" hidden="1" customHeight="1" x14ac:dyDescent="0.15">
      <c r="A839" s="2072"/>
      <c r="B839" s="833"/>
      <c r="C839" s="2"/>
      <c r="D839" s="1449" t="s">
        <v>1896</v>
      </c>
      <c r="E839" s="2"/>
      <c r="F839" s="2"/>
      <c r="G839" s="1407"/>
      <c r="H839" s="2"/>
      <c r="I839" s="838" t="str">
        <f>IF(I840=0,"-","")</f>
        <v/>
      </c>
      <c r="J839" s="838" t="str">
        <f>IF(J840=0,"-","")</f>
        <v>-</v>
      </c>
      <c r="K839" s="2069"/>
      <c r="L839" s="1570"/>
      <c r="M839" s="1967"/>
      <c r="N839" s="832"/>
      <c r="O839" s="832"/>
      <c r="Q839" s="832"/>
      <c r="R839" s="832"/>
      <c r="S839" s="832"/>
      <c r="T839" s="832"/>
      <c r="U839" s="832"/>
      <c r="V839" s="832"/>
      <c r="W839" s="832"/>
      <c r="X839" s="832"/>
    </row>
    <row r="840" spans="1:24" s="812" customFormat="1" ht="39.950000000000003" hidden="1" customHeight="1" x14ac:dyDescent="0.15">
      <c r="A840" s="2072">
        <f ca="1">+Orçamento_Não_Deson!A840</f>
        <v>10</v>
      </c>
      <c r="B840" s="833">
        <f>+Orçamento_Não_Deson!B840</f>
        <v>95875</v>
      </c>
      <c r="C840" s="2" t="str">
        <f>VLOOKUP($B840,[2]BOLETIM_SEL!$A:$H,2,0)</f>
        <v>SINAPI</v>
      </c>
      <c r="D840" s="315" t="str">
        <f>VLOOKUP($B840,[2]BOLETIM_SEL!$A:$H,4,0)</f>
        <v>Transporte com caminhão basculante de 10 m3, em via urbana pavimentada, DMT até 30,00 km (unidade: m3xkm). AF_07/2020</v>
      </c>
      <c r="E840" s="2">
        <f>+Orçamento_Não_Deson!E840</f>
        <v>0</v>
      </c>
      <c r="F840" s="2" t="str">
        <f>VLOOKUP($B840,[2]BOLETIM_SEL!$A:$H,6,0)</f>
        <v>M3XKM</v>
      </c>
      <c r="G840" s="1407">
        <f>VLOOKUP($B840,[2]BOLETIM_SEL!$A:$H,7,0)</f>
        <v>2.33</v>
      </c>
      <c r="H840" s="1608">
        <f>+Orçamento_Não_Deson!H840</f>
        <v>0</v>
      </c>
      <c r="I840" s="876">
        <f>+TRUNC(G840*(1+$J$5),2)</f>
        <v>2.98</v>
      </c>
      <c r="J840" s="1607">
        <f>TRUNC(H840*I840,2)</f>
        <v>0</v>
      </c>
      <c r="K840" s="2069">
        <f ca="1">+J840/J$930</f>
        <v>0</v>
      </c>
      <c r="L840" s="1570" t="e">
        <f>+J840/$J$796</f>
        <v>#DIV/0!</v>
      </c>
      <c r="M840" s="1969">
        <f>+Orçamento_Não_Deson!M840</f>
        <v>0</v>
      </c>
      <c r="N840" s="832"/>
      <c r="O840" s="832"/>
      <c r="Q840" s="832"/>
      <c r="R840" s="832"/>
      <c r="S840" s="832"/>
      <c r="T840" s="832"/>
      <c r="U840" s="832"/>
      <c r="V840" s="832"/>
      <c r="W840" s="832"/>
      <c r="X840" s="832"/>
    </row>
    <row r="841" spans="1:24" s="812" customFormat="1" ht="24.95" hidden="1" customHeight="1" x14ac:dyDescent="0.15">
      <c r="A841" s="2072"/>
      <c r="B841" s="833"/>
      <c r="C841" s="2"/>
      <c r="D841" s="1449" t="s">
        <v>1902</v>
      </c>
      <c r="E841" s="2"/>
      <c r="F841" s="2"/>
      <c r="G841" s="1407"/>
      <c r="H841" s="2"/>
      <c r="I841" s="838" t="str">
        <f>IF(I842=0,"-","")</f>
        <v/>
      </c>
      <c r="J841" s="838" t="str">
        <f>IF(J842=0,"-","")</f>
        <v>-</v>
      </c>
      <c r="K841" s="2069"/>
      <c r="L841" s="1570"/>
      <c r="M841" s="1967"/>
      <c r="N841" s="832"/>
      <c r="O841" s="832"/>
      <c r="Q841" s="832"/>
      <c r="R841" s="832"/>
      <c r="S841" s="832"/>
      <c r="T841" s="832"/>
      <c r="U841" s="832"/>
      <c r="V841" s="832"/>
      <c r="W841" s="832"/>
      <c r="X841" s="832"/>
    </row>
    <row r="842" spans="1:24" s="812" customFormat="1" ht="39.950000000000003" hidden="1" customHeight="1" x14ac:dyDescent="0.15">
      <c r="A842" s="2072">
        <f ca="1">+Orçamento_Não_Deson!A842</f>
        <v>10</v>
      </c>
      <c r="B842" s="833">
        <f>+Orçamento_Não_Deson!B842</f>
        <v>95875</v>
      </c>
      <c r="C842" s="2" t="str">
        <f>VLOOKUP($B842,[2]BOLETIM_SEL!$A:$H,2,0)</f>
        <v>SINAPI</v>
      </c>
      <c r="D842" s="315" t="str">
        <f>VLOOKUP($B842,[2]BOLETIM_SEL!$A:$H,4,0)</f>
        <v>Transporte com caminhão basculante de 10 m3, em via urbana pavimentada, DMT até 30,00 km (unidade: m3xkm). AF_07/2020</v>
      </c>
      <c r="E842" s="2">
        <f>+Orçamento_Não_Deson!E842</f>
        <v>0</v>
      </c>
      <c r="F842" s="2" t="str">
        <f>VLOOKUP($B842,[2]BOLETIM_SEL!$A:$H,6,0)</f>
        <v>M3XKM</v>
      </c>
      <c r="G842" s="1407">
        <f>VLOOKUP($B842,[2]BOLETIM_SEL!$A:$H,7,0)</f>
        <v>2.33</v>
      </c>
      <c r="H842" s="1608">
        <f>+Orçamento_Não_Deson!H842</f>
        <v>0</v>
      </c>
      <c r="I842" s="876">
        <f>+TRUNC(G842*(1+$J$5),2)</f>
        <v>2.98</v>
      </c>
      <c r="J842" s="1607">
        <f>TRUNC(H842*I842,2)</f>
        <v>0</v>
      </c>
      <c r="K842" s="2069">
        <f ca="1">+J842/J$930</f>
        <v>0</v>
      </c>
      <c r="L842" s="1570" t="e">
        <f>+J842/$J$796</f>
        <v>#DIV/0!</v>
      </c>
      <c r="M842" s="1969">
        <f>+Orçamento_Não_Deson!M842</f>
        <v>0</v>
      </c>
      <c r="N842" s="832"/>
      <c r="O842" s="832"/>
      <c r="Q842" s="832"/>
      <c r="R842" s="832"/>
      <c r="S842" s="832"/>
      <c r="T842" s="832"/>
      <c r="U842" s="832"/>
      <c r="V842" s="832"/>
      <c r="W842" s="832"/>
      <c r="X842" s="832"/>
    </row>
    <row r="843" spans="1:24" s="812" customFormat="1" ht="24.95" hidden="1" customHeight="1" x14ac:dyDescent="0.15">
      <c r="A843" s="2072"/>
      <c r="B843" s="833"/>
      <c r="C843" s="2"/>
      <c r="D843" s="1449" t="s">
        <v>1814</v>
      </c>
      <c r="E843" s="2"/>
      <c r="F843" s="2"/>
      <c r="G843" s="1407"/>
      <c r="H843" s="2"/>
      <c r="I843" s="838" t="str">
        <f>IF(I844=0,"-","")</f>
        <v/>
      </c>
      <c r="J843" s="838" t="str">
        <f>IF(J844=0,"-","")</f>
        <v>-</v>
      </c>
      <c r="K843" s="2069"/>
      <c r="L843" s="1570"/>
      <c r="M843" s="1967"/>
      <c r="N843" s="832"/>
      <c r="O843" s="832"/>
      <c r="Q843" s="832"/>
      <c r="R843" s="832"/>
      <c r="S843" s="832"/>
      <c r="T843" s="832"/>
      <c r="U843" s="832"/>
      <c r="V843" s="832"/>
      <c r="W843" s="832"/>
      <c r="X843" s="832"/>
    </row>
    <row r="844" spans="1:24" s="812" customFormat="1" ht="39.950000000000003" hidden="1" customHeight="1" x14ac:dyDescent="0.15">
      <c r="A844" s="2072">
        <f ca="1">+Orçamento_Não_Deson!A844</f>
        <v>10</v>
      </c>
      <c r="B844" s="833">
        <f>+Orçamento_Não_Deson!B844</f>
        <v>95875</v>
      </c>
      <c r="C844" s="2" t="str">
        <f>VLOOKUP($B844,[2]BOLETIM_SEL!$A:$H,2,0)</f>
        <v>SINAPI</v>
      </c>
      <c r="D844" s="315" t="str">
        <f>VLOOKUP($B844,[2]BOLETIM_SEL!$A:$H,4,0)</f>
        <v>Transporte com caminhão basculante de 10 m3, em via urbana pavimentada, DMT até 30,00 km (unidade: m3xkm). AF_07/2020</v>
      </c>
      <c r="E844" s="2">
        <f>+Orçamento_Não_Deson!E844</f>
        <v>0</v>
      </c>
      <c r="F844" s="2" t="str">
        <f>VLOOKUP($B844,[2]BOLETIM_SEL!$A:$H,6,0)</f>
        <v>M3XKM</v>
      </c>
      <c r="G844" s="1407">
        <f>VLOOKUP($B844,[2]BOLETIM_SEL!$A:$H,7,0)</f>
        <v>2.33</v>
      </c>
      <c r="H844" s="1608">
        <f>+Orçamento_Não_Deson!H844</f>
        <v>0</v>
      </c>
      <c r="I844" s="876">
        <f>+TRUNC(G844*(1+$J$5),2)</f>
        <v>2.98</v>
      </c>
      <c r="J844" s="1607">
        <f>TRUNC(H844*I844,2)</f>
        <v>0</v>
      </c>
      <c r="K844" s="2069">
        <f ca="1">+J844/J$930</f>
        <v>0</v>
      </c>
      <c r="L844" s="1570" t="e">
        <f>+J844/$J$796</f>
        <v>#DIV/0!</v>
      </c>
      <c r="M844" s="1969">
        <f>+Orçamento_Não_Deson!M844</f>
        <v>0</v>
      </c>
      <c r="N844" s="832"/>
      <c r="O844" s="832"/>
      <c r="Q844" s="832"/>
      <c r="R844" s="832"/>
      <c r="S844" s="832"/>
      <c r="T844" s="832"/>
      <c r="U844" s="832"/>
      <c r="V844" s="832"/>
      <c r="W844" s="832"/>
      <c r="X844" s="832"/>
    </row>
    <row r="845" spans="1:24" s="812" customFormat="1" ht="24.95" hidden="1" customHeight="1" x14ac:dyDescent="0.15">
      <c r="A845" s="2072"/>
      <c r="B845" s="833"/>
      <c r="C845" s="2"/>
      <c r="D845" s="1449" t="s">
        <v>1758</v>
      </c>
      <c r="E845" s="2"/>
      <c r="F845" s="2"/>
      <c r="G845" s="1407"/>
      <c r="H845" s="2"/>
      <c r="I845" s="838" t="str">
        <f>IF(I846=0,"-","")</f>
        <v/>
      </c>
      <c r="J845" s="838" t="str">
        <f>IF(J846=0,"-","")</f>
        <v>-</v>
      </c>
      <c r="K845" s="2069"/>
      <c r="L845" s="1570"/>
      <c r="M845" s="1967"/>
      <c r="N845" s="832"/>
      <c r="O845" s="832"/>
      <c r="Q845" s="832"/>
      <c r="R845" s="832"/>
      <c r="S845" s="832"/>
      <c r="T845" s="832"/>
      <c r="U845" s="832"/>
      <c r="V845" s="832"/>
      <c r="W845" s="832"/>
      <c r="X845" s="832"/>
    </row>
    <row r="846" spans="1:24" s="812" customFormat="1" ht="39.950000000000003" hidden="1" customHeight="1" x14ac:dyDescent="0.15">
      <c r="A846" s="2072">
        <f ca="1">+Orçamento_Não_Deson!A846</f>
        <v>10</v>
      </c>
      <c r="B846" s="833">
        <f>+Orçamento_Não_Deson!B846</f>
        <v>95878</v>
      </c>
      <c r="C846" s="2" t="str">
        <f>VLOOKUP($B846,[2]BOLETIM_SEL!$A:$H,2,0)</f>
        <v>SINAPI</v>
      </c>
      <c r="D846" s="315" t="str">
        <f>VLOOKUP($B846,[2]BOLETIM_SEL!$A:$H,4,0)</f>
        <v>Transporte com caminhão basculante de 10 m3, em via urbana pavimentada, DMT até 30,00 km (unidade: txkm). AF_07/2020</v>
      </c>
      <c r="E846" s="2">
        <f>+Orçamento_Não_Deson!E846</f>
        <v>19</v>
      </c>
      <c r="F846" s="2" t="str">
        <f>VLOOKUP($B846,[2]BOLETIM_SEL!$A:$H,6,0)</f>
        <v>TXKM</v>
      </c>
      <c r="G846" s="1407">
        <f>VLOOKUP($B846,[2]BOLETIM_SEL!$A:$H,7,0)</f>
        <v>1.57</v>
      </c>
      <c r="H846" s="1608">
        <f>+Orçamento_Não_Deson!H846</f>
        <v>0</v>
      </c>
      <c r="I846" s="876">
        <f>+TRUNC(G846*(1+$J$5),2)</f>
        <v>2.0099999999999998</v>
      </c>
      <c r="J846" s="1607">
        <f>TRUNC(H846*I846,2)</f>
        <v>0</v>
      </c>
      <c r="K846" s="2069">
        <f ca="1">+J846/J$930</f>
        <v>0</v>
      </c>
      <c r="L846" s="1570" t="e">
        <f>+J846/$J$796</f>
        <v>#DIV/0!</v>
      </c>
      <c r="M846" s="1976">
        <f>+Orçamento_Não_Deson!M846</f>
        <v>0</v>
      </c>
      <c r="N846" s="832"/>
      <c r="O846" s="832"/>
      <c r="Q846" s="832"/>
      <c r="R846" s="832"/>
      <c r="S846" s="832"/>
      <c r="T846" s="832"/>
      <c r="U846" s="832"/>
      <c r="V846" s="832"/>
      <c r="W846" s="832"/>
      <c r="X846" s="832"/>
    </row>
    <row r="847" spans="1:24" s="812" customFormat="1" ht="24.95" hidden="1" customHeight="1" x14ac:dyDescent="0.15">
      <c r="A847" s="2072"/>
      <c r="B847" s="833"/>
      <c r="C847" s="2"/>
      <c r="D847" s="1449" t="s">
        <v>1755</v>
      </c>
      <c r="E847" s="2"/>
      <c r="F847" s="2"/>
      <c r="G847" s="1407"/>
      <c r="H847" s="2"/>
      <c r="I847" s="838" t="str">
        <f>IF(I848=0,"-","")</f>
        <v/>
      </c>
      <c r="J847" s="838" t="str">
        <f>IF(J848=0,"-","")</f>
        <v>-</v>
      </c>
      <c r="K847" s="2069"/>
      <c r="L847" s="1570"/>
      <c r="M847" s="1967"/>
      <c r="N847" s="832"/>
      <c r="O847" s="832"/>
      <c r="Q847" s="832"/>
      <c r="R847" s="832"/>
      <c r="S847" s="832"/>
      <c r="T847" s="832"/>
      <c r="U847" s="832"/>
      <c r="V847" s="832"/>
      <c r="W847" s="832"/>
      <c r="X847" s="832"/>
    </row>
    <row r="848" spans="1:24" s="812" customFormat="1" ht="39.950000000000003" hidden="1" customHeight="1" x14ac:dyDescent="0.15">
      <c r="A848" s="2072">
        <f ca="1">+Orçamento_Não_Deson!A848</f>
        <v>10</v>
      </c>
      <c r="B848" s="833">
        <f>+Orçamento_Não_Deson!B848</f>
        <v>102332</v>
      </c>
      <c r="C848" s="2" t="str">
        <f>VLOOKUP($B848,[2]BOLETIM_SEL!$A:$H,2,0)</f>
        <v>SINAPI</v>
      </c>
      <c r="D848" s="315" t="str">
        <f>VLOOKUP($B848,[2]BOLETIM_SEL!$A:$H,4,0)</f>
        <v>Transporte com caminhão tanque de transporte de material asfáltico de 20.000 l, em via urbana pavimentada, DMT até 30,00 km (unidade: txkm). AF_07/2020</v>
      </c>
      <c r="E848" s="2">
        <f>+Orçamento_Não_Deson!E848</f>
        <v>19</v>
      </c>
      <c r="F848" s="2" t="str">
        <f>VLOOKUP($B848,[2]BOLETIM_SEL!$A:$H,6,0)</f>
        <v>TXKM</v>
      </c>
      <c r="G848" s="1407">
        <f>VLOOKUP($B848,[2]BOLETIM_SEL!$A:$H,7,0)</f>
        <v>1.74</v>
      </c>
      <c r="H848" s="1608">
        <f>+Orçamento_Não_Deson!H848</f>
        <v>0</v>
      </c>
      <c r="I848" s="876">
        <f>+TRUNC(G848*(1+$J$5),2)</f>
        <v>2.23</v>
      </c>
      <c r="J848" s="1607">
        <f>TRUNC(H848*I848,2)</f>
        <v>0</v>
      </c>
      <c r="K848" s="2069">
        <f ca="1">+J848/J$930</f>
        <v>0</v>
      </c>
      <c r="L848" s="1570" t="e">
        <f>+J848/$J$796</f>
        <v>#DIV/0!</v>
      </c>
      <c r="M848" s="1976">
        <f>+Orçamento_Não_Deson!M848</f>
        <v>0</v>
      </c>
      <c r="N848" s="832"/>
      <c r="O848" s="832"/>
      <c r="Q848" s="832"/>
      <c r="R848" s="832"/>
      <c r="S848" s="832"/>
      <c r="T848" s="832"/>
      <c r="U848" s="832"/>
      <c r="V848" s="832"/>
      <c r="W848" s="832"/>
      <c r="X848" s="832"/>
    </row>
    <row r="849" spans="1:24" s="812" customFormat="1" ht="24.95" hidden="1" customHeight="1" x14ac:dyDescent="0.15">
      <c r="A849" s="2072"/>
      <c r="B849" s="833"/>
      <c r="C849" s="2"/>
      <c r="D849" s="1449" t="s">
        <v>1754</v>
      </c>
      <c r="E849" s="2"/>
      <c r="F849" s="2"/>
      <c r="G849" s="1407"/>
      <c r="H849" s="2"/>
      <c r="I849" s="838" t="str">
        <f>IF(I850=0,"-","")</f>
        <v/>
      </c>
      <c r="J849" s="838" t="str">
        <f>IF(J850=0,"-","")</f>
        <v>-</v>
      </c>
      <c r="K849" s="2069"/>
      <c r="L849" s="1570"/>
      <c r="M849" s="1967"/>
      <c r="N849" s="832"/>
      <c r="O849" s="832"/>
      <c r="Q849" s="832"/>
      <c r="R849" s="832"/>
      <c r="S849" s="832"/>
      <c r="T849" s="832"/>
      <c r="U849" s="832"/>
      <c r="V849" s="832"/>
      <c r="W849" s="832"/>
      <c r="X849" s="832"/>
    </row>
    <row r="850" spans="1:24" s="812" customFormat="1" ht="39.950000000000003" hidden="1" customHeight="1" x14ac:dyDescent="0.15">
      <c r="A850" s="2072">
        <f ca="1">+Orçamento_Não_Deson!A850</f>
        <v>10</v>
      </c>
      <c r="B850" s="833">
        <f>+Orçamento_Não_Deson!B850</f>
        <v>102332</v>
      </c>
      <c r="C850" s="2" t="str">
        <f>VLOOKUP($B850,[2]BOLETIM_SEL!$A:$H,2,0)</f>
        <v>SINAPI</v>
      </c>
      <c r="D850" s="315" t="str">
        <f>VLOOKUP($B850,[2]BOLETIM_SEL!$A:$H,4,0)</f>
        <v>Transporte com caminhão tanque de transporte de material asfáltico de 20.000 l, em via urbana pavimentada, DMT até 30,00 km (unidade: txkm). AF_07/2020</v>
      </c>
      <c r="E850" s="2">
        <f>+Orçamento_Não_Deson!E850</f>
        <v>19</v>
      </c>
      <c r="F850" s="2" t="str">
        <f>VLOOKUP($B850,[2]BOLETIM_SEL!$A:$H,6,0)</f>
        <v>TXKM</v>
      </c>
      <c r="G850" s="1407">
        <f>VLOOKUP($B850,[2]BOLETIM_SEL!$A:$H,7,0)</f>
        <v>1.74</v>
      </c>
      <c r="H850" s="1608">
        <f>+Orçamento_Não_Deson!H850</f>
        <v>0</v>
      </c>
      <c r="I850" s="876">
        <f>+TRUNC(G850*(1+$J$5),2)</f>
        <v>2.23</v>
      </c>
      <c r="J850" s="1607">
        <f>TRUNC(H850*I850,2)</f>
        <v>0</v>
      </c>
      <c r="K850" s="2069">
        <f ca="1">+J850/J$930</f>
        <v>0</v>
      </c>
      <c r="L850" s="1570" t="e">
        <f>+J850/$J$796</f>
        <v>#DIV/0!</v>
      </c>
      <c r="M850" s="1976">
        <f>+Orçamento_Não_Deson!M850</f>
        <v>0</v>
      </c>
      <c r="N850" s="832"/>
      <c r="O850" s="832"/>
      <c r="Q850" s="832"/>
      <c r="R850" s="832"/>
      <c r="S850" s="832"/>
      <c r="T850" s="832"/>
      <c r="U850" s="832"/>
      <c r="V850" s="832"/>
      <c r="W850" s="832"/>
      <c r="X850" s="832"/>
    </row>
    <row r="851" spans="1:24" s="812" customFormat="1" ht="24.95" hidden="1" customHeight="1" x14ac:dyDescent="0.15">
      <c r="A851" s="2072"/>
      <c r="B851" s="833"/>
      <c r="C851" s="2"/>
      <c r="D851" s="1449" t="s">
        <v>1756</v>
      </c>
      <c r="E851" s="2"/>
      <c r="F851" s="2"/>
      <c r="G851" s="1407"/>
      <c r="H851" s="2"/>
      <c r="I851" s="838" t="str">
        <f>IF(I852=0,"-","")</f>
        <v/>
      </c>
      <c r="J851" s="838" t="str">
        <f>IF(J852=0,"-","")</f>
        <v>-</v>
      </c>
      <c r="K851" s="2069"/>
      <c r="L851" s="1570"/>
      <c r="M851" s="1967"/>
      <c r="N851" s="832"/>
      <c r="O851" s="832"/>
      <c r="Q851" s="832"/>
      <c r="R851" s="832"/>
      <c r="S851" s="832"/>
      <c r="T851" s="832"/>
      <c r="U851" s="832"/>
      <c r="V851" s="832"/>
      <c r="W851" s="832"/>
      <c r="X851" s="832"/>
    </row>
    <row r="852" spans="1:24" s="812" customFormat="1" ht="39.950000000000003" hidden="1" customHeight="1" x14ac:dyDescent="0.15">
      <c r="A852" s="2072">
        <f ca="1">+Orçamento_Não_Deson!A852</f>
        <v>10</v>
      </c>
      <c r="B852" s="833">
        <f>+Orçamento_Não_Deson!B852</f>
        <v>102332</v>
      </c>
      <c r="C852" s="2" t="str">
        <f>VLOOKUP($B852,[2]BOLETIM_SEL!$A:$H,2,0)</f>
        <v>SINAPI</v>
      </c>
      <c r="D852" s="315" t="str">
        <f>VLOOKUP($B852,[2]BOLETIM_SEL!$A:$H,4,0)</f>
        <v>Transporte com caminhão tanque de transporte de material asfáltico de 20.000 l, em via urbana pavimentada, DMT até 30,00 km (unidade: txkm). AF_07/2020</v>
      </c>
      <c r="E852" s="2">
        <f>+Orçamento_Não_Deson!E852</f>
        <v>0</v>
      </c>
      <c r="F852" s="2" t="str">
        <f>VLOOKUP($B852,[2]BOLETIM_SEL!$A:$H,6,0)</f>
        <v>TXKM</v>
      </c>
      <c r="G852" s="1407">
        <f>VLOOKUP($B852,[2]BOLETIM_SEL!$A:$H,7,0)</f>
        <v>1.74</v>
      </c>
      <c r="H852" s="1608">
        <f>+Orçamento_Não_Deson!H852</f>
        <v>0</v>
      </c>
      <c r="I852" s="876">
        <f>+TRUNC(G852*(1+$J$5),2)</f>
        <v>2.23</v>
      </c>
      <c r="J852" s="1607">
        <f>TRUNC(H852*I852,2)</f>
        <v>0</v>
      </c>
      <c r="K852" s="2069">
        <f ca="1">+J852/J$930</f>
        <v>0</v>
      </c>
      <c r="L852" s="1570" t="e">
        <f>+J852/$J$796</f>
        <v>#DIV/0!</v>
      </c>
      <c r="M852" s="1976">
        <f>+Orçamento_Não_Deson!M852</f>
        <v>0</v>
      </c>
      <c r="N852" s="832"/>
      <c r="O852" s="832"/>
      <c r="Q852" s="832"/>
      <c r="R852" s="832"/>
      <c r="S852" s="832"/>
      <c r="T852" s="832"/>
      <c r="U852" s="832"/>
      <c r="V852" s="832"/>
      <c r="W852" s="832"/>
      <c r="X852" s="832"/>
    </row>
    <row r="853" spans="1:24" s="812" customFormat="1" ht="24.95" hidden="1" customHeight="1" x14ac:dyDescent="0.15">
      <c r="A853" s="2072"/>
      <c r="B853" s="833"/>
      <c r="C853" s="2"/>
      <c r="D853" s="1449" t="s">
        <v>1812</v>
      </c>
      <c r="E853" s="2"/>
      <c r="F853" s="2"/>
      <c r="G853" s="1407"/>
      <c r="H853" s="2"/>
      <c r="I853" s="838"/>
      <c r="J853" s="838" t="str">
        <f>IF(J854=0,"-","")</f>
        <v>-</v>
      </c>
      <c r="K853" s="2069"/>
      <c r="L853" s="1570"/>
      <c r="M853" s="1967"/>
      <c r="N853" s="832"/>
      <c r="O853" s="832"/>
      <c r="Q853" s="832"/>
      <c r="R853" s="832"/>
      <c r="S853" s="832"/>
      <c r="T853" s="832"/>
      <c r="U853" s="832"/>
      <c r="V853" s="832"/>
      <c r="W853" s="832"/>
      <c r="X853" s="832"/>
    </row>
    <row r="854" spans="1:24" s="812" customFormat="1" ht="30" hidden="1" customHeight="1" x14ac:dyDescent="0.15">
      <c r="A854" s="2072">
        <f ca="1">+Orçamento_Não_Deson!A854</f>
        <v>10</v>
      </c>
      <c r="B854" s="833">
        <f>+Orçamento_Não_Deson!B854</f>
        <v>100947</v>
      </c>
      <c r="C854" s="2" t="str">
        <f>VLOOKUP($B854,[2]BOLETIM_SEL!$A:$H,2,0)</f>
        <v>SINAPI</v>
      </c>
      <c r="D854" s="315" t="str">
        <f>VLOOKUP($B854,[2]BOLETIM_SEL!$A:$H,4,0)</f>
        <v>Transporte com caminhão carroceria 9t, em via urbana pavimentada, DMT até 30,00 km (unidade: txkm). AF_07/2020</v>
      </c>
      <c r="E854" s="2">
        <f>+Orçamento_Não_Deson!E854</f>
        <v>0</v>
      </c>
      <c r="F854" s="2" t="str">
        <f>VLOOKUP($B854,[2]BOLETIM_SEL!$A:$H,6,0)</f>
        <v>TXKM</v>
      </c>
      <c r="G854" s="1407">
        <f>VLOOKUP($B854,[2]BOLETIM_SEL!$A:$H,7,0)</f>
        <v>2.08</v>
      </c>
      <c r="H854" s="1608">
        <f>+Orçamento_Não_Deson!H854</f>
        <v>0</v>
      </c>
      <c r="I854" s="876">
        <f>+TRUNC(G854*(1+$J$5),2)</f>
        <v>2.66</v>
      </c>
      <c r="J854" s="1607">
        <f>TRUNC(H854*I854,2)</f>
        <v>0</v>
      </c>
      <c r="K854" s="2069">
        <f ca="1">+J854/J$930</f>
        <v>0</v>
      </c>
      <c r="L854" s="1570" t="e">
        <f>+J854/$J$796</f>
        <v>#DIV/0!</v>
      </c>
      <c r="M854" s="1967"/>
      <c r="N854" s="832"/>
      <c r="O854" s="832"/>
      <c r="Q854" s="832"/>
      <c r="R854" s="832"/>
      <c r="S854" s="832"/>
      <c r="T854" s="832"/>
      <c r="U854" s="832"/>
      <c r="V854" s="832"/>
      <c r="W854" s="832"/>
      <c r="X854" s="832"/>
    </row>
    <row r="855" spans="1:24" s="812" customFormat="1" ht="24.95" hidden="1" customHeight="1" x14ac:dyDescent="0.15">
      <c r="A855" s="2072"/>
      <c r="B855" s="833"/>
      <c r="C855" s="2"/>
      <c r="D855" s="1449" t="s">
        <v>1824</v>
      </c>
      <c r="E855" s="2"/>
      <c r="F855" s="2"/>
      <c r="G855" s="1407"/>
      <c r="H855" s="2"/>
      <c r="I855" s="838"/>
      <c r="J855" s="838" t="str">
        <f>IF(J856=0,"-","")</f>
        <v>-</v>
      </c>
      <c r="K855" s="2069"/>
      <c r="L855" s="1570"/>
      <c r="M855" s="1967"/>
      <c r="N855" s="832"/>
      <c r="O855" s="832"/>
      <c r="Q855" s="832"/>
      <c r="R855" s="832"/>
      <c r="S855" s="832"/>
      <c r="T855" s="832"/>
      <c r="U855" s="832"/>
      <c r="V855" s="832"/>
      <c r="W855" s="832"/>
      <c r="X855" s="832"/>
    </row>
    <row r="856" spans="1:24" s="812" customFormat="1" ht="30" hidden="1" customHeight="1" x14ac:dyDescent="0.15">
      <c r="A856" s="2072">
        <f ca="1">+Orçamento_Não_Deson!A856</f>
        <v>10</v>
      </c>
      <c r="B856" s="833">
        <f>+Orçamento_Não_Deson!B856</f>
        <v>100947</v>
      </c>
      <c r="C856" s="2" t="str">
        <f>VLOOKUP($B856,[2]BOLETIM_SEL!$A:$H,2,0)</f>
        <v>SINAPI</v>
      </c>
      <c r="D856" s="315" t="str">
        <f>VLOOKUP($B856,[2]BOLETIM_SEL!$A:$H,4,0)</f>
        <v>Transporte com caminhão carroceria 9t, em via urbana pavimentada, DMT até 30,00 km (unidade: txkm). AF_07/2020</v>
      </c>
      <c r="E856" s="2">
        <f>+Orçamento_Não_Deson!E856</f>
        <v>22</v>
      </c>
      <c r="F856" s="2" t="str">
        <f>VLOOKUP($B856,[2]BOLETIM_SEL!$A:$H,6,0)</f>
        <v>TXKM</v>
      </c>
      <c r="G856" s="1407">
        <f>VLOOKUP($B856,[2]BOLETIM_SEL!$A:$H,7,0)</f>
        <v>2.08</v>
      </c>
      <c r="H856" s="1608">
        <f>+Orçamento_Não_Deson!H856</f>
        <v>0</v>
      </c>
      <c r="I856" s="876">
        <f>+TRUNC(G856*(1+$J$5),2)</f>
        <v>2.66</v>
      </c>
      <c r="J856" s="1607">
        <f>TRUNC(H856*I856,2)</f>
        <v>0</v>
      </c>
      <c r="K856" s="2069">
        <f ca="1">+J856/J$930</f>
        <v>0</v>
      </c>
      <c r="L856" s="1570" t="e">
        <f>+J856/$J$796</f>
        <v>#DIV/0!</v>
      </c>
      <c r="M856" s="1967"/>
      <c r="N856" s="832"/>
      <c r="O856" s="832"/>
      <c r="Q856" s="832"/>
      <c r="R856" s="832"/>
      <c r="S856" s="832"/>
      <c r="T856" s="832"/>
      <c r="U856" s="832"/>
      <c r="V856" s="832"/>
      <c r="W856" s="832"/>
      <c r="X856" s="832"/>
    </row>
    <row r="857" spans="1:24" s="843" customFormat="1" ht="24.95" hidden="1" customHeight="1" x14ac:dyDescent="0.15">
      <c r="A857" s="2072"/>
      <c r="B857" s="840"/>
      <c r="C857" s="833"/>
      <c r="D857" s="834"/>
      <c r="E857" s="2"/>
      <c r="F857" s="833"/>
      <c r="G857" s="1814"/>
      <c r="H857" s="833"/>
      <c r="I857" s="2"/>
      <c r="J857" s="838">
        <f>IF(J796=0,0,"")</f>
        <v>0</v>
      </c>
      <c r="K857" s="2069"/>
      <c r="L857" s="1570"/>
      <c r="M857" s="1826"/>
      <c r="N857" s="842"/>
      <c r="O857" s="842"/>
      <c r="Q857" s="842"/>
      <c r="R857" s="842"/>
      <c r="S857" s="842"/>
      <c r="T857" s="842"/>
      <c r="U857" s="842"/>
      <c r="V857" s="842"/>
      <c r="W857" s="842"/>
      <c r="X857" s="842"/>
    </row>
    <row r="858" spans="1:24" s="832" customFormat="1" ht="24.95" customHeight="1" x14ac:dyDescent="0.15">
      <c r="A858" s="2073">
        <f ca="1">IF(J858&gt;0,INT(A856)+1,IF(J858=0,INT(A856),0))</f>
        <v>11</v>
      </c>
      <c r="B858" s="1626"/>
      <c r="C858" s="1626"/>
      <c r="D858" s="1627" t="s">
        <v>912</v>
      </c>
      <c r="E858" s="1821"/>
      <c r="F858" s="1628"/>
      <c r="G858" s="1813" t="s">
        <v>654</v>
      </c>
      <c r="H858" s="1630"/>
      <c r="I858" s="1633" t="str">
        <f ca="1">CONCATENATE("SUB-TOTAL ",A858)</f>
        <v>SUB-TOTAL 11</v>
      </c>
      <c r="J858" s="1632">
        <f>SUM(J859:J886)</f>
        <v>54295.62</v>
      </c>
      <c r="K858" s="2070">
        <f ca="1">J858/J$930</f>
        <v>1.4370636816666758E-2</v>
      </c>
      <c r="L858" s="1605">
        <f t="shared" ref="L858:L886" si="168">+J858/J$858</f>
        <v>1</v>
      </c>
    </row>
    <row r="859" spans="1:24" s="812" customFormat="1" ht="39.950000000000003" customHeight="1" x14ac:dyDescent="0.15">
      <c r="A859" s="2072">
        <f ca="1">+Orçamento_Não_Deson!A859</f>
        <v>11.01</v>
      </c>
      <c r="B859" s="833" t="str">
        <f>+Orçamento_Não_Deson!B859</f>
        <v>SV/0005</v>
      </c>
      <c r="C859" s="2" t="str">
        <f>VLOOKUP($B859,[2]BOLETIM_SEL!$A:$H,2,0)</f>
        <v>COMPOSIÇÃO</v>
      </c>
      <c r="D859" s="315" t="str">
        <f>VLOOKUP($B859,[2]BOLETIM_SEL!$A:$H,4,0)</f>
        <v>Pintura de faixas de pedestres e retenção e de zebrados - termoplástico por extrusão - espessura de 3,0 mm (REF. SICRO COD. 5213408 e 5213409)</v>
      </c>
      <c r="E859" s="2">
        <f>+Orçamento_Não_Deson!E859</f>
        <v>0</v>
      </c>
      <c r="F859" s="2" t="str">
        <f>VLOOKUP($B859,[2]BOLETIM_SEL!$A:$H,6,0)</f>
        <v>M2</v>
      </c>
      <c r="G859" s="1407">
        <f>VLOOKUP($B859,[2]BOLETIM_SEL!$A:$H,7,0)</f>
        <v>85.36</v>
      </c>
      <c r="H859" s="1608">
        <f>+Orçamento_Não_Deson!H859</f>
        <v>26.84</v>
      </c>
      <c r="I859" s="876">
        <f t="shared" ref="I859:I886" si="169">+TRUNC(G859*(1+$J$5),2)</f>
        <v>109.4</v>
      </c>
      <c r="J859" s="1606">
        <f t="shared" ref="J859:J886" si="170">TRUNC(H859*I859,2)</f>
        <v>2936.29</v>
      </c>
      <c r="K859" s="1936">
        <f ca="1">+J859/$J$12</f>
        <v>7.7715950528625362E-4</v>
      </c>
      <c r="L859" s="1570">
        <f t="shared" si="168"/>
        <v>5.4079684512305042E-2</v>
      </c>
      <c r="M859" s="1967">
        <f>+VLOOKUP($B859,[2]BOLETIM_SEL!$A:$H,5,0)</f>
        <v>0</v>
      </c>
      <c r="N859" s="832"/>
      <c r="O859" s="832"/>
      <c r="Q859" s="832"/>
      <c r="R859" s="832"/>
      <c r="S859" s="832"/>
      <c r="T859" s="832"/>
      <c r="U859" s="832"/>
      <c r="V859" s="832"/>
      <c r="W859" s="832"/>
      <c r="X859" s="832"/>
    </row>
    <row r="860" spans="1:24" s="812" customFormat="1" ht="30" customHeight="1" x14ac:dyDescent="0.15">
      <c r="A860" s="2072">
        <f ca="1">+Orçamento_Não_Deson!A860</f>
        <v>11.02</v>
      </c>
      <c r="B860" s="833" t="str">
        <f>+Orçamento_Não_Deson!B860</f>
        <v>SV/0010</v>
      </c>
      <c r="C860" s="2" t="str">
        <f>VLOOKUP($B860,[2]BOLETIM_SEL!$A:$H,2,0)</f>
        <v>COMPOSIÇÃO</v>
      </c>
      <c r="D860" s="315" t="str">
        <f>VLOOKUP($B860,[2]BOLETIM_SEL!$A:$H,4,0)</f>
        <v>Pintura de setas e legendas - termoplástico por extrusão - espessura de 3,0 mm (REF. SICRO COD. 5213409, DB 04-21)</v>
      </c>
      <c r="E860" s="2">
        <f>+Orçamento_Não_Deson!E860</f>
        <v>0</v>
      </c>
      <c r="F860" s="2" t="str">
        <f>VLOOKUP($B860,[2]BOLETIM_SEL!$A:$H,6,0)</f>
        <v>M2</v>
      </c>
      <c r="G860" s="1407">
        <f>VLOOKUP($B860,[2]BOLETIM_SEL!$A:$H,7,0)</f>
        <v>97.06</v>
      </c>
      <c r="H860" s="1608">
        <f>+Orçamento_Não_Deson!H860</f>
        <v>35.04</v>
      </c>
      <c r="I860" s="876">
        <f t="shared" si="169"/>
        <v>124.4</v>
      </c>
      <c r="J860" s="1606">
        <f t="shared" si="170"/>
        <v>4358.97</v>
      </c>
      <c r="K860" s="1936">
        <f t="shared" ref="K860:K886" ca="1" si="171">+J860/$J$12</f>
        <v>1.1537058562872268E-3</v>
      </c>
      <c r="L860" s="1570">
        <f t="shared" si="168"/>
        <v>8.0282166406793032E-2</v>
      </c>
      <c r="M860" s="1967">
        <f>+VLOOKUP($B860,[2]BOLETIM_SEL!$A:$H,5,0)</f>
        <v>0</v>
      </c>
      <c r="N860" s="832"/>
      <c r="O860" s="832"/>
      <c r="Q860" s="832"/>
      <c r="R860" s="832"/>
      <c r="S860" s="832"/>
      <c r="T860" s="832"/>
      <c r="U860" s="832"/>
      <c r="V860" s="832"/>
      <c r="W860" s="832"/>
      <c r="X860" s="832"/>
    </row>
    <row r="861" spans="1:24" s="812" customFormat="1" ht="39.950000000000003" hidden="1" customHeight="1" x14ac:dyDescent="0.15">
      <c r="A861" s="2072">
        <f ca="1">+Orçamento_Não_Deson!A861</f>
        <v>11.02</v>
      </c>
      <c r="B861" s="833" t="str">
        <f>+Orçamento_Não_Deson!B861</f>
        <v>SV/0012</v>
      </c>
      <c r="C861" s="2" t="str">
        <f>VLOOKUP($B861,[2]BOLETIM_SEL!$A:$H,2,0)</f>
        <v>COMPOSIÇÃO</v>
      </c>
      <c r="D861" s="315" t="str">
        <f>VLOOKUP($B861,[2]BOLETIM_SEL!$A:$H,4,0)</f>
        <v>Pintura de setas e legendas - tinta base acrílica emulsionada em água - espessura de 0,5 mm (REF. SICRO COD. 5213407, DB 04-21)</v>
      </c>
      <c r="E861" s="2">
        <f>+Orçamento_Não_Deson!E861</f>
        <v>0</v>
      </c>
      <c r="F861" s="2" t="str">
        <f>VLOOKUP($B861,[2]BOLETIM_SEL!$A:$H,6,0)</f>
        <v>M2</v>
      </c>
      <c r="G861" s="1407">
        <f>VLOOKUP($B861,[2]BOLETIM_SEL!$A:$H,7,0)</f>
        <v>37.11</v>
      </c>
      <c r="H861" s="1608">
        <f>+Orçamento_Não_Deson!H861</f>
        <v>0</v>
      </c>
      <c r="I861" s="876">
        <f t="shared" si="169"/>
        <v>47.56</v>
      </c>
      <c r="J861" s="1606">
        <f t="shared" si="170"/>
        <v>0</v>
      </c>
      <c r="K861" s="1936">
        <f t="shared" ca="1" si="171"/>
        <v>0</v>
      </c>
      <c r="L861" s="1570">
        <f t="shared" si="168"/>
        <v>0</v>
      </c>
      <c r="M861" s="1967" t="str">
        <f>+Orçamento_Não_Deson!M861</f>
        <v>ATENÇÃO
indicado para as
cidades do interior</v>
      </c>
      <c r="N861" s="832"/>
      <c r="O861" s="832"/>
      <c r="Q861" s="832"/>
      <c r="R861" s="832"/>
      <c r="S861" s="832"/>
      <c r="T861" s="832"/>
      <c r="U861" s="832"/>
      <c r="V861" s="832"/>
      <c r="W861" s="832"/>
      <c r="X861" s="832"/>
    </row>
    <row r="862" spans="1:24" s="812" customFormat="1" ht="30" customHeight="1" x14ac:dyDescent="0.15">
      <c r="A862" s="2072">
        <f ca="1">+Orçamento_Não_Deson!A862</f>
        <v>11.03</v>
      </c>
      <c r="B862" s="833" t="str">
        <f>+Orçamento_Não_Deson!B862</f>
        <v>SV/0015</v>
      </c>
      <c r="C862" s="2" t="str">
        <f>VLOOKUP($B862,[2]BOLETIM_SEL!$A:$H,2,0)</f>
        <v>COMPOSIÇÃO</v>
      </c>
      <c r="D862" s="315" t="str">
        <f>VLOOKUP($B862,[2]BOLETIM_SEL!$A:$H,4,0)</f>
        <v>Pintura de faixa - termoplástico por aspersão Hot Spray - espessura de 1,5 mm (REF. SICRO COD. 5213408, DB 04-21)</v>
      </c>
      <c r="E862" s="2">
        <f>+Orçamento_Não_Deson!E862</f>
        <v>0</v>
      </c>
      <c r="F862" s="2" t="str">
        <f>VLOOKUP($B862,[2]BOLETIM_SEL!$A:$H,6,0)</f>
        <v>M2</v>
      </c>
      <c r="G862" s="1407">
        <f>VLOOKUP($B862,[2]BOLETIM_SEL!$A:$H,7,0)</f>
        <v>50.22</v>
      </c>
      <c r="H862" s="1608">
        <f>+Orçamento_Não_Deson!H862</f>
        <v>86.34</v>
      </c>
      <c r="I862" s="876">
        <f t="shared" si="169"/>
        <v>64.36</v>
      </c>
      <c r="J862" s="1606">
        <f t="shared" si="170"/>
        <v>5556.84</v>
      </c>
      <c r="K862" s="1936">
        <f t="shared" ca="1" si="171"/>
        <v>1.4707508540896389E-3</v>
      </c>
      <c r="L862" s="1570">
        <f t="shared" si="168"/>
        <v>0.10234416698805539</v>
      </c>
      <c r="M862" s="1967">
        <f>+VLOOKUP($B862,[2]BOLETIM_SEL!$A:$H,5,0)</f>
        <v>0</v>
      </c>
      <c r="N862" s="832"/>
      <c r="O862" s="832"/>
      <c r="Q862" s="832"/>
      <c r="R862" s="832"/>
      <c r="S862" s="832"/>
      <c r="T862" s="832"/>
      <c r="U862" s="832"/>
      <c r="V862" s="832"/>
      <c r="W862" s="832"/>
      <c r="X862" s="832"/>
    </row>
    <row r="863" spans="1:24" s="812" customFormat="1" ht="39.950000000000003" hidden="1" customHeight="1" x14ac:dyDescent="0.15">
      <c r="A863" s="2072">
        <f ca="1">+Orçamento_Não_Deson!A863</f>
        <v>11.03</v>
      </c>
      <c r="B863" s="833" t="str">
        <f>+Orçamento_Não_Deson!B863</f>
        <v>SV/0020</v>
      </c>
      <c r="C863" s="2" t="str">
        <f>VLOOKUP($B863,[2]BOLETIM_SEL!$A:$H,2,0)</f>
        <v>COMPOSIÇÃO</v>
      </c>
      <c r="D863" s="315" t="str">
        <f>VLOOKUP($B863,[2]BOLETIM_SEL!$A:$H,4,0)</f>
        <v>Pintura de faixa - termoplástico em alto relevo tipo II - relevo simples ranhurado - base (REF. SICRO COD. 5214004, DB 04-21)</v>
      </c>
      <c r="E863" s="2">
        <f>+Orçamento_Não_Deson!E863</f>
        <v>0</v>
      </c>
      <c r="F863" s="2" t="str">
        <f>VLOOKUP($B863,[2]BOLETIM_SEL!$A:$H,6,0)</f>
        <v>M2</v>
      </c>
      <c r="G863" s="1407">
        <f>VLOOKUP($B863,[2]BOLETIM_SEL!$A:$H,7,0)</f>
        <v>173.07</v>
      </c>
      <c r="H863" s="1608">
        <f>+Orçamento_Não_Deson!H863</f>
        <v>0</v>
      </c>
      <c r="I863" s="876">
        <f t="shared" si="169"/>
        <v>221.82</v>
      </c>
      <c r="J863" s="1606">
        <f t="shared" si="170"/>
        <v>0</v>
      </c>
      <c r="K863" s="1936">
        <f t="shared" ca="1" si="171"/>
        <v>0</v>
      </c>
      <c r="L863" s="1570">
        <f t="shared" si="168"/>
        <v>0</v>
      </c>
      <c r="M863" s="1967">
        <f>+VLOOKUP($B863,[2]BOLETIM_SEL!$A:$H,5,0)</f>
        <v>0</v>
      </c>
      <c r="N863" s="832"/>
      <c r="O863" s="832"/>
      <c r="Q863" s="832"/>
      <c r="R863" s="832"/>
      <c r="S863" s="832"/>
      <c r="T863" s="832"/>
      <c r="U863" s="832"/>
      <c r="V863" s="832"/>
      <c r="W863" s="832"/>
      <c r="X863" s="832"/>
    </row>
    <row r="864" spans="1:24" s="812" customFormat="1" ht="39.950000000000003" hidden="1" customHeight="1" x14ac:dyDescent="0.15">
      <c r="A864" s="2072">
        <f ca="1">+Orçamento_Não_Deson!A864</f>
        <v>11.03</v>
      </c>
      <c r="B864" s="833" t="str">
        <f>+Orçamento_Não_Deson!B864</f>
        <v>SV/0025</v>
      </c>
      <c r="C864" s="2" t="str">
        <f>VLOOKUP($B864,[2]BOLETIM_SEL!$A:$H,2,0)</f>
        <v>COMPOSIÇÃO</v>
      </c>
      <c r="D864" s="315" t="str">
        <f>VLOOKUP($B864,[2]BOLETIM_SEL!$A:$H,4,0)</f>
        <v>Pintura de piso para ciclofaixa - plástico a frio bicomponente à base de resinas metacrílicas - espessura de 1,5 mm - plano (REF. SICRO COD. 5214009, DB 04-21)</v>
      </c>
      <c r="E864" s="2">
        <f>+Orçamento_Não_Deson!E864</f>
        <v>0</v>
      </c>
      <c r="F864" s="2" t="str">
        <f>VLOOKUP($B864,[2]BOLETIM_SEL!$A:$H,6,0)</f>
        <v>M2</v>
      </c>
      <c r="G864" s="1407">
        <f>VLOOKUP($B864,[2]BOLETIM_SEL!$A:$H,7,0)</f>
        <v>114.03</v>
      </c>
      <c r="H864" s="1608">
        <f>+Orçamento_Não_Deson!H864</f>
        <v>0</v>
      </c>
      <c r="I864" s="876">
        <f t="shared" si="169"/>
        <v>146.15</v>
      </c>
      <c r="J864" s="1606">
        <f t="shared" si="170"/>
        <v>0</v>
      </c>
      <c r="K864" s="1936">
        <f t="shared" ca="1" si="171"/>
        <v>0</v>
      </c>
      <c r="L864" s="1570">
        <f t="shared" si="168"/>
        <v>0</v>
      </c>
      <c r="M864" s="1967">
        <f>+VLOOKUP($B864,[2]BOLETIM_SEL!$A:$H,5,0)</f>
        <v>0</v>
      </c>
      <c r="N864" s="832"/>
      <c r="O864" s="832"/>
      <c r="Q864" s="832"/>
      <c r="R864" s="832"/>
      <c r="S864" s="832"/>
      <c r="T864" s="832"/>
      <c r="U864" s="832"/>
      <c r="V864" s="832"/>
      <c r="W864" s="832"/>
      <c r="X864" s="832"/>
    </row>
    <row r="865" spans="1:24" s="812" customFormat="1" ht="39.950000000000003" hidden="1" customHeight="1" x14ac:dyDescent="0.15">
      <c r="A865" s="2072">
        <f ca="1">+Orçamento_Não_Deson!A865</f>
        <v>11.03</v>
      </c>
      <c r="B865" s="833" t="str">
        <f>+Orçamento_Não_Deson!B865</f>
        <v>SV/0030</v>
      </c>
      <c r="C865" s="2" t="str">
        <f>VLOOKUP($B865,[2]BOLETIM_SEL!$A:$H,2,0)</f>
        <v>COMPOSIÇÃO</v>
      </c>
      <c r="D865" s="315" t="str">
        <f>VLOOKUP($B865,[2]BOLETIM_SEL!$A:$H,4,0)</f>
        <v>Pintura de faixa para ciclovia - tinta base acrílica emulsionada em água - espessura de 0,3 mm (REF. SICRO COD. 5214001, DB 04-21)</v>
      </c>
      <c r="E865" s="2">
        <f>+Orçamento_Não_Deson!E865</f>
        <v>0</v>
      </c>
      <c r="F865" s="2" t="str">
        <f>VLOOKUP($B865,[2]BOLETIM_SEL!$A:$H,6,0)</f>
        <v>M2</v>
      </c>
      <c r="G865" s="1407">
        <f>VLOOKUP($B865,[2]BOLETIM_SEL!$A:$H,7,0)</f>
        <v>14.95</v>
      </c>
      <c r="H865" s="1608">
        <f>+Orçamento_Não_Deson!H865</f>
        <v>0</v>
      </c>
      <c r="I865" s="876">
        <f t="shared" si="169"/>
        <v>19.16</v>
      </c>
      <c r="J865" s="1606">
        <f t="shared" si="170"/>
        <v>0</v>
      </c>
      <c r="K865" s="1936">
        <f t="shared" ca="1" si="171"/>
        <v>0</v>
      </c>
      <c r="L865" s="1570">
        <f t="shared" si="168"/>
        <v>0</v>
      </c>
      <c r="M865" s="1967">
        <f>+VLOOKUP($B865,[2]BOLETIM_SEL!$A:$H,5,0)</f>
        <v>0</v>
      </c>
      <c r="N865" s="832"/>
      <c r="O865" s="832"/>
      <c r="Q865" s="832"/>
      <c r="R865" s="832"/>
      <c r="S865" s="832"/>
      <c r="T865" s="832"/>
      <c r="U865" s="832"/>
      <c r="V865" s="832"/>
      <c r="W865" s="832"/>
      <c r="X865" s="832"/>
    </row>
    <row r="866" spans="1:24" s="812" customFormat="1" ht="39.950000000000003" hidden="1" customHeight="1" x14ac:dyDescent="0.15">
      <c r="A866" s="2072">
        <f ca="1">+Orçamento_Não_Deson!A866</f>
        <v>11.03</v>
      </c>
      <c r="B866" s="833" t="str">
        <f>+Orçamento_Não_Deson!B866</f>
        <v>SV/0035</v>
      </c>
      <c r="C866" s="2" t="str">
        <f>VLOOKUP($B866,[2]BOLETIM_SEL!$A:$H,2,0)</f>
        <v>COMPOSIÇÃO</v>
      </c>
      <c r="D866" s="315" t="str">
        <f>VLOOKUP($B866,[2]BOLETIM_SEL!$A:$H,4,0)</f>
        <v>Pintura de piso de ciclovia - tinta base acrílica emulsionada em água - espessura de 0,3 mm (REF. SICRO COD. 5214002, DB 04-21)</v>
      </c>
      <c r="E866" s="2">
        <f>+Orçamento_Não_Deson!E866</f>
        <v>0</v>
      </c>
      <c r="F866" s="2" t="str">
        <f>VLOOKUP($B866,[2]BOLETIM_SEL!$A:$H,6,0)</f>
        <v>M2</v>
      </c>
      <c r="G866" s="1407">
        <f>VLOOKUP($B866,[2]BOLETIM_SEL!$A:$H,7,0)</f>
        <v>32.020000000000003</v>
      </c>
      <c r="H866" s="1608">
        <f>+Orçamento_Não_Deson!H866</f>
        <v>0</v>
      </c>
      <c r="I866" s="876">
        <f t="shared" si="169"/>
        <v>41.04</v>
      </c>
      <c r="J866" s="1606">
        <f t="shared" si="170"/>
        <v>0</v>
      </c>
      <c r="K866" s="1936">
        <f t="shared" ca="1" si="171"/>
        <v>0</v>
      </c>
      <c r="L866" s="1570">
        <f t="shared" si="168"/>
        <v>0</v>
      </c>
      <c r="M866" s="1967">
        <f>+VLOOKUP($B866,[2]BOLETIM_SEL!$A:$H,5,0)</f>
        <v>0</v>
      </c>
      <c r="N866" s="832"/>
      <c r="O866" s="832"/>
      <c r="Q866" s="832"/>
      <c r="R866" s="832"/>
      <c r="S866" s="832"/>
      <c r="T866" s="832"/>
      <c r="U866" s="832"/>
      <c r="V866" s="832"/>
      <c r="W866" s="832"/>
      <c r="X866" s="832"/>
    </row>
    <row r="867" spans="1:24" s="812" customFormat="1" ht="30" hidden="1" customHeight="1" x14ac:dyDescent="0.15">
      <c r="A867" s="2072">
        <f ca="1">+Orçamento_Não_Deson!A867</f>
        <v>11.03</v>
      </c>
      <c r="B867" s="833" t="str">
        <f>+Orçamento_Não_Deson!B867</f>
        <v>SV/0037</v>
      </c>
      <c r="C867" s="2" t="str">
        <f>VLOOKUP($B867,[2]BOLETIM_SEL!$A:$H,2,0)</f>
        <v>COMPOSIÇÃO</v>
      </c>
      <c r="D867" s="315" t="str">
        <f>VLOOKUP($B867,[2]BOLETIM_SEL!$A:$H,4,0)</f>
        <v>Pintura de faixa - tinta base acrílica emulsionada em água - espessura de 0,5 mm (REF. SICRO COD. 5213403, DB 04-21)</v>
      </c>
      <c r="E867" s="2">
        <f>+Orçamento_Não_Deson!E867</f>
        <v>0</v>
      </c>
      <c r="F867" s="2" t="str">
        <f>VLOOKUP($B867,[2]BOLETIM_SEL!$A:$H,6,0)</f>
        <v>M2</v>
      </c>
      <c r="G867" s="1407">
        <f>VLOOKUP($B867,[2]BOLETIM_SEL!$A:$H,7,0)</f>
        <v>20.58</v>
      </c>
      <c r="H867" s="1608">
        <f>+Orçamento_Não_Deson!H867</f>
        <v>0</v>
      </c>
      <c r="I867" s="876">
        <f t="shared" si="169"/>
        <v>26.37</v>
      </c>
      <c r="J867" s="1606">
        <f t="shared" si="170"/>
        <v>0</v>
      </c>
      <c r="K867" s="1936">
        <f t="shared" ca="1" si="171"/>
        <v>0</v>
      </c>
      <c r="L867" s="1570">
        <f t="shared" si="168"/>
        <v>0</v>
      </c>
      <c r="M867" s="1967" t="str">
        <f>+Orçamento_Não_Deson!M867</f>
        <v>ATENÇÃO
indicado para as
cidades do interior</v>
      </c>
      <c r="N867" s="832"/>
      <c r="O867" s="832"/>
      <c r="Q867" s="832"/>
      <c r="R867" s="832"/>
      <c r="S867" s="832"/>
      <c r="T867" s="832"/>
      <c r="U867" s="832"/>
      <c r="V867" s="832"/>
      <c r="W867" s="832"/>
      <c r="X867" s="832"/>
    </row>
    <row r="868" spans="1:24" s="812" customFormat="1" ht="50.1" hidden="1" customHeight="1" x14ac:dyDescent="0.15">
      <c r="A868" s="2072">
        <f ca="1">+Orçamento_Não_Deson!A868</f>
        <v>11.03</v>
      </c>
      <c r="B868" s="833" t="str">
        <f>+Orçamento_Não_Deson!B868</f>
        <v>SV/0040</v>
      </c>
      <c r="C868" s="2" t="str">
        <f>VLOOKUP($B868,[2]BOLETIM_SEL!$A:$H,2,0)</f>
        <v>COMPOSIÇÃO</v>
      </c>
      <c r="D868" s="315" t="str">
        <f>VLOOKUP($B868,[2]BOLETIM_SEL!$A:$H,4,0)</f>
        <v>Laminado elastoplástico para legendas, com 1,5mm de espessura e com medidas diversas, em cores, com micro-esferas de vidro. Em projetos que utilizem entre 150 e 500m2 do material. Fornecimento e aplicação (REF. SCO/RJ COD. ST 75.15.0050)</v>
      </c>
      <c r="E868" s="2">
        <f>+Orçamento_Não_Deson!E868</f>
        <v>0</v>
      </c>
      <c r="F868" s="2" t="str">
        <f>VLOOKUP($B868,[2]BOLETIM_SEL!$A:$H,6,0)</f>
        <v>M2</v>
      </c>
      <c r="G868" s="1407">
        <f>VLOOKUP($B868,[2]BOLETIM_SEL!$A:$H,7,0)</f>
        <v>366.12</v>
      </c>
      <c r="H868" s="1608">
        <f>+Orçamento_Não_Deson!H868</f>
        <v>0</v>
      </c>
      <c r="I868" s="876">
        <f t="shared" si="169"/>
        <v>469.25</v>
      </c>
      <c r="J868" s="1606">
        <f t="shared" si="170"/>
        <v>0</v>
      </c>
      <c r="K868" s="1936">
        <f t="shared" ca="1" si="171"/>
        <v>0</v>
      </c>
      <c r="L868" s="1570">
        <f t="shared" si="168"/>
        <v>0</v>
      </c>
      <c r="M868" s="1967">
        <f>+VLOOKUP($B868,[2]BOLETIM_SEL!$A:$H,5,0)</f>
        <v>0</v>
      </c>
      <c r="N868" s="832"/>
      <c r="O868" s="832"/>
      <c r="Q868" s="832"/>
      <c r="R868" s="832"/>
      <c r="S868" s="832"/>
      <c r="T868" s="832"/>
      <c r="U868" s="832"/>
      <c r="V868" s="832"/>
      <c r="W868" s="832"/>
      <c r="X868" s="832"/>
    </row>
    <row r="869" spans="1:24" s="812" customFormat="1" ht="50.1" hidden="1" customHeight="1" x14ac:dyDescent="0.15">
      <c r="A869" s="2072">
        <f ca="1">+Orçamento_Não_Deson!A869</f>
        <v>11.03</v>
      </c>
      <c r="B869" s="833" t="str">
        <f>+Orçamento_Não_Deson!B869</f>
        <v>SV/0045</v>
      </c>
      <c r="C869" s="2" t="str">
        <f>VLOOKUP($B869,[2]BOLETIM_SEL!$A:$H,2,0)</f>
        <v>COMPOSIÇÃO</v>
      </c>
      <c r="D869" s="315" t="str">
        <f>VLOOKUP($B869,[2]BOLETIM_SEL!$A:$H,4,0)</f>
        <v>Aplicação de selante asfáltico a base de resina acrílica para pavimentos de concreto, usado como imprimador para material termoplástico, inclusive fornecimento dos materiais necessários conforme especificação AGETRAN / PMCG (CET-RIO COD. ST 74.05.0600)</v>
      </c>
      <c r="E869" s="2">
        <f>+Orçamento_Não_Deson!E869</f>
        <v>0</v>
      </c>
      <c r="F869" s="2" t="str">
        <f>VLOOKUP($B869,[2]BOLETIM_SEL!$A:$H,6,0)</f>
        <v>M2</v>
      </c>
      <c r="G869" s="1407">
        <f>VLOOKUP($B869,[2]BOLETIM_SEL!$A:$H,7,0)</f>
        <v>32.47</v>
      </c>
      <c r="H869" s="1608">
        <f>+Orçamento_Não_Deson!H869</f>
        <v>0</v>
      </c>
      <c r="I869" s="876">
        <f t="shared" si="169"/>
        <v>41.61</v>
      </c>
      <c r="J869" s="1606">
        <f t="shared" si="170"/>
        <v>0</v>
      </c>
      <c r="K869" s="1936">
        <f t="shared" ca="1" si="171"/>
        <v>0</v>
      </c>
      <c r="L869" s="1570">
        <f t="shared" si="168"/>
        <v>0</v>
      </c>
      <c r="M869" s="1967">
        <f>+VLOOKUP($B869,[2]BOLETIM_SEL!$A:$H,5,0)</f>
        <v>0</v>
      </c>
      <c r="N869" s="832"/>
      <c r="O869" s="832"/>
      <c r="Q869" s="832"/>
      <c r="R869" s="832"/>
      <c r="S869" s="832"/>
      <c r="T869" s="832"/>
      <c r="U869" s="832"/>
      <c r="V869" s="832"/>
      <c r="W869" s="832"/>
      <c r="X869" s="832"/>
    </row>
    <row r="870" spans="1:24" s="812" customFormat="1" ht="30" hidden="1" customHeight="1" x14ac:dyDescent="0.15">
      <c r="A870" s="2072">
        <f ca="1">+Orçamento_Não_Deson!A870</f>
        <v>11.03</v>
      </c>
      <c r="B870" s="833" t="str">
        <f>+Orçamento_Não_Deson!B870</f>
        <v>SV/0050</v>
      </c>
      <c r="C870" s="2" t="str">
        <f>VLOOKUP($B870,[2]BOLETIM_SEL!$A:$H,2,0)</f>
        <v>COMPOSIÇÃO</v>
      </c>
      <c r="D870" s="315" t="str">
        <f>VLOOKUP($B870,[2]BOLETIM_SEL!$A:$H,4,0)</f>
        <v>Retirada de pintura a base de resina acrilica (CET-RIO COD. ST 74.05.0550)</v>
      </c>
      <c r="E870" s="2">
        <f>+Orçamento_Não_Deson!E870</f>
        <v>0</v>
      </c>
      <c r="F870" s="2" t="str">
        <f>VLOOKUP($B870,[2]BOLETIM_SEL!$A:$H,6,0)</f>
        <v>M2</v>
      </c>
      <c r="G870" s="1407">
        <f>VLOOKUP($B870,[2]BOLETIM_SEL!$A:$H,7,0)</f>
        <v>6.63</v>
      </c>
      <c r="H870" s="1608">
        <f>+Orçamento_Não_Deson!H870</f>
        <v>0</v>
      </c>
      <c r="I870" s="876">
        <f t="shared" si="169"/>
        <v>8.49</v>
      </c>
      <c r="J870" s="1606">
        <f t="shared" si="170"/>
        <v>0</v>
      </c>
      <c r="K870" s="1936">
        <f t="shared" ca="1" si="171"/>
        <v>0</v>
      </c>
      <c r="L870" s="1570">
        <f t="shared" si="168"/>
        <v>0</v>
      </c>
      <c r="M870" s="1967">
        <f>+VLOOKUP($B870,[2]BOLETIM_SEL!$A:$H,5,0)</f>
        <v>0</v>
      </c>
      <c r="N870" s="832"/>
      <c r="O870" s="832"/>
      <c r="Q870" s="832"/>
      <c r="R870" s="832"/>
      <c r="S870" s="832"/>
      <c r="T870" s="832"/>
      <c r="U870" s="832"/>
      <c r="V870" s="832"/>
      <c r="W870" s="832"/>
      <c r="X870" s="832"/>
    </row>
    <row r="871" spans="1:24" s="812" customFormat="1" ht="39.950000000000003" hidden="1" customHeight="1" x14ac:dyDescent="0.15">
      <c r="A871" s="2072">
        <f ca="1">+Orçamento_Não_Deson!A871</f>
        <v>11.03</v>
      </c>
      <c r="B871" s="833" t="str">
        <f>+Orçamento_Não_Deson!B871</f>
        <v>SV/0055</v>
      </c>
      <c r="C871" s="2" t="str">
        <f>VLOOKUP($B871,[2]BOLETIM_SEL!$A:$H,2,0)</f>
        <v>COMPOSIÇÃO</v>
      </c>
      <c r="D871" s="315" t="str">
        <f>VLOOKUP($B871,[2]BOLETIM_SEL!$A:$H,4,0)</f>
        <v>Tacha refletiva em plástico injetado - monodirecional tipo I - com um pino - fornecimento e colocação, padrão DNIT, fixada com cola polister (REF. SICRO COD. 5219627, DB 04-21)</v>
      </c>
      <c r="E871" s="2">
        <f>+Orçamento_Não_Deson!E871</f>
        <v>0</v>
      </c>
      <c r="F871" s="2" t="str">
        <f>VLOOKUP($B871,[2]BOLETIM_SEL!$A:$H,6,0)</f>
        <v xml:space="preserve">UN </v>
      </c>
      <c r="G871" s="1407">
        <f>VLOOKUP($B871,[2]BOLETIM_SEL!$A:$H,7,0)</f>
        <v>43.87</v>
      </c>
      <c r="H871" s="1608">
        <f>+Orçamento_Não_Deson!H871</f>
        <v>0</v>
      </c>
      <c r="I871" s="876">
        <f t="shared" si="169"/>
        <v>56.22</v>
      </c>
      <c r="J871" s="1606">
        <f t="shared" si="170"/>
        <v>0</v>
      </c>
      <c r="K871" s="1936">
        <f t="shared" ca="1" si="171"/>
        <v>0</v>
      </c>
      <c r="L871" s="1570">
        <f t="shared" si="168"/>
        <v>0</v>
      </c>
      <c r="M871" s="1967">
        <f>+VLOOKUP($B871,[2]BOLETIM_SEL!$A:$H,5,0)</f>
        <v>0</v>
      </c>
      <c r="N871" s="832"/>
      <c r="O871" s="832"/>
      <c r="Q871" s="832"/>
      <c r="R871" s="832"/>
      <c r="S871" s="832"/>
      <c r="T871" s="832"/>
      <c r="U871" s="832"/>
      <c r="V871" s="832"/>
      <c r="W871" s="832"/>
      <c r="X871" s="832"/>
    </row>
    <row r="872" spans="1:24" s="812" customFormat="1" ht="30" hidden="1" customHeight="1" x14ac:dyDescent="0.15">
      <c r="A872" s="2072">
        <f ca="1">+Orçamento_Não_Deson!A872</f>
        <v>11.03</v>
      </c>
      <c r="B872" s="833" t="str">
        <f>+Orçamento_Não_Deson!B872</f>
        <v>SV/0065</v>
      </c>
      <c r="C872" s="2" t="str">
        <f>VLOOKUP($B872,[2]BOLETIM_SEL!$A:$H,2,0)</f>
        <v>COMPOSIÇÃO</v>
      </c>
      <c r="D872" s="315" t="str">
        <f>VLOOKUP($B872,[2]BOLETIM_SEL!$A:$H,4,0)</f>
        <v>Tacha refletiva bidirecional, padrão DNIT, fornecimento e fixada com cola polister (REF. SICRO COD. 5219619)</v>
      </c>
      <c r="E872" s="2">
        <f>+Orçamento_Não_Deson!E872</f>
        <v>0</v>
      </c>
      <c r="F872" s="2" t="str">
        <f>VLOOKUP($B872,[2]BOLETIM_SEL!$A:$H,6,0)</f>
        <v xml:space="preserve">UN </v>
      </c>
      <c r="G872" s="1407">
        <f>VLOOKUP($B872,[2]BOLETIM_SEL!$A:$H,7,0)</f>
        <v>42.64</v>
      </c>
      <c r="H872" s="1608">
        <f>+Orçamento_Não_Deson!H872</f>
        <v>0</v>
      </c>
      <c r="I872" s="876">
        <f t="shared" si="169"/>
        <v>54.65</v>
      </c>
      <c r="J872" s="1606">
        <f t="shared" si="170"/>
        <v>0</v>
      </c>
      <c r="K872" s="1936">
        <f t="shared" ca="1" si="171"/>
        <v>0</v>
      </c>
      <c r="L872" s="1570">
        <f t="shared" si="168"/>
        <v>0</v>
      </c>
      <c r="M872" s="1967">
        <f>+VLOOKUP($B872,[2]BOLETIM_SEL!$A:$H,5,0)</f>
        <v>0</v>
      </c>
      <c r="N872" s="832"/>
      <c r="O872" s="832"/>
      <c r="Q872" s="832"/>
      <c r="R872" s="832"/>
      <c r="S872" s="832"/>
      <c r="T872" s="832"/>
      <c r="U872" s="832"/>
      <c r="V872" s="832"/>
      <c r="W872" s="832"/>
      <c r="X872" s="832"/>
    </row>
    <row r="873" spans="1:24" s="812" customFormat="1" ht="30" hidden="1" customHeight="1" x14ac:dyDescent="0.15">
      <c r="A873" s="2072">
        <f ca="1">+Orçamento_Não_Deson!A873</f>
        <v>11.03</v>
      </c>
      <c r="B873" s="833" t="str">
        <f>+Orçamento_Não_Deson!B873</f>
        <v>SV/0060</v>
      </c>
      <c r="C873" s="2" t="str">
        <f>VLOOKUP($B873,[2]BOLETIM_SEL!$A:$H,2,0)</f>
        <v>COMPOSIÇÃO</v>
      </c>
      <c r="D873" s="315" t="str">
        <f>VLOOKUP($B873,[2]BOLETIM_SEL!$A:$H,4,0)</f>
        <v>Tachão refletivo monodirecional, padrão DNIT, fornecimento e fixada com cola polister (REF. SICRO COD. 5219644)</v>
      </c>
      <c r="E873" s="2">
        <f>+Orçamento_Não_Deson!E873</f>
        <v>0</v>
      </c>
      <c r="F873" s="2" t="str">
        <f>VLOOKUP($B873,[2]BOLETIM_SEL!$A:$H,6,0)</f>
        <v xml:space="preserve">UN </v>
      </c>
      <c r="G873" s="1407">
        <f>VLOOKUP($B873,[2]BOLETIM_SEL!$A:$H,7,0)</f>
        <v>77.69</v>
      </c>
      <c r="H873" s="1608">
        <f>+Orçamento_Não_Deson!H873</f>
        <v>0</v>
      </c>
      <c r="I873" s="876">
        <f>+TRUNC(G873*(1+$J$5),2)</f>
        <v>99.57</v>
      </c>
      <c r="J873" s="1606">
        <f>TRUNC(H873*I873,2)</f>
        <v>0</v>
      </c>
      <c r="K873" s="1936">
        <f ca="1">+J873/$J$12</f>
        <v>0</v>
      </c>
      <c r="L873" s="1570">
        <f>+J873/J$858</f>
        <v>0</v>
      </c>
      <c r="M873" s="1967">
        <f>+VLOOKUP($B873,[2]BOLETIM_SEL!$A:$H,5,0)</f>
        <v>0</v>
      </c>
      <c r="N873" s="832"/>
      <c r="O873" s="832"/>
      <c r="Q873" s="832"/>
      <c r="R873" s="832"/>
      <c r="S873" s="832"/>
      <c r="T873" s="832"/>
      <c r="U873" s="832"/>
      <c r="V873" s="832"/>
      <c r="W873" s="832"/>
      <c r="X873" s="832"/>
    </row>
    <row r="874" spans="1:24" s="812" customFormat="1" ht="30" hidden="1" customHeight="1" x14ac:dyDescent="0.15">
      <c r="A874" s="2072">
        <f ca="1">+Orçamento_Não_Deson!A874</f>
        <v>11.03</v>
      </c>
      <c r="B874" s="833" t="str">
        <f>+Orçamento_Não_Deson!B874</f>
        <v>SV/0070</v>
      </c>
      <c r="C874" s="2" t="str">
        <f>VLOOKUP($B874,[2]BOLETIM_SEL!$A:$H,2,0)</f>
        <v>COMPOSIÇÃO</v>
      </c>
      <c r="D874" s="315" t="str">
        <f>VLOOKUP($B874,[2]BOLETIM_SEL!$A:$H,4,0)</f>
        <v>Tachão refletivo bidirecional, padrão DNIT, fornecimento e fixada com cola polister (REF. SICRO COD. 5219643)</v>
      </c>
      <c r="E874" s="2">
        <f>+Orçamento_Não_Deson!E874</f>
        <v>0</v>
      </c>
      <c r="F874" s="2" t="str">
        <f>VLOOKUP($B874,[2]BOLETIM_SEL!$A:$H,6,0)</f>
        <v xml:space="preserve">UN </v>
      </c>
      <c r="G874" s="1407">
        <f>VLOOKUP($B874,[2]BOLETIM_SEL!$A:$H,7,0)</f>
        <v>79.42</v>
      </c>
      <c r="H874" s="1608">
        <f>+Orçamento_Não_Deson!H874</f>
        <v>0</v>
      </c>
      <c r="I874" s="876">
        <f t="shared" si="169"/>
        <v>101.79</v>
      </c>
      <c r="J874" s="1606">
        <f t="shared" si="170"/>
        <v>0</v>
      </c>
      <c r="K874" s="1936">
        <f t="shared" ca="1" si="171"/>
        <v>0</v>
      </c>
      <c r="L874" s="1570">
        <f t="shared" si="168"/>
        <v>0</v>
      </c>
      <c r="M874" s="1967"/>
      <c r="N874" s="832"/>
      <c r="O874" s="832"/>
      <c r="Q874" s="832"/>
      <c r="R874" s="832"/>
      <c r="S874" s="832"/>
      <c r="T874" s="832"/>
      <c r="U874" s="832"/>
      <c r="V874" s="832"/>
      <c r="W874" s="832"/>
      <c r="X874" s="832"/>
    </row>
    <row r="875" spans="1:24" s="812" customFormat="1" ht="50.1" hidden="1" customHeight="1" x14ac:dyDescent="0.15">
      <c r="A875" s="2072">
        <f ca="1">+Orçamento_Não_Deson!A875</f>
        <v>11.03</v>
      </c>
      <c r="B875" s="833" t="str">
        <f>+Orçamento_Não_Deson!B875</f>
        <v>SV/0075</v>
      </c>
      <c r="C875" s="2" t="str">
        <f>VLOOKUP($B875,[2]BOLETIM_SEL!$A:$H,2,0)</f>
        <v>COMPOSIÇÃO</v>
      </c>
      <c r="D875" s="315" t="str">
        <f>VLOOKUP($B875,[2]BOLETIM_SEL!$A:$H,4,0)</f>
        <v>Fornecimento e implantação de coluna de aço cônica contínua, tipo I, para até 4 braços projetados capaz de sustentar, cada um, semáforo e placa de 3m²; coluna galvanizada a fogo; altura útil total de 5,00m; diâmetro na base igual a 187mm; conforme especificação da AGETRAN / PMCG</v>
      </c>
      <c r="E875" s="2">
        <f>+Orçamento_Não_Deson!E875</f>
        <v>0</v>
      </c>
      <c r="F875" s="2" t="str">
        <f>VLOOKUP($B875,[2]BOLETIM_SEL!$A:$H,6,0)</f>
        <v xml:space="preserve">UN </v>
      </c>
      <c r="G875" s="1407">
        <f>VLOOKUP($B875,[2]BOLETIM_SEL!$A:$H,7,0)</f>
        <v>8223.7199999999993</v>
      </c>
      <c r="H875" s="1608">
        <f>+Orçamento_Não_Deson!H875</f>
        <v>0</v>
      </c>
      <c r="I875" s="876">
        <f t="shared" si="169"/>
        <v>10540.34</v>
      </c>
      <c r="J875" s="1606">
        <f t="shared" si="170"/>
        <v>0</v>
      </c>
      <c r="K875" s="1936">
        <f t="shared" ca="1" si="171"/>
        <v>0</v>
      </c>
      <c r="L875" s="1570">
        <f t="shared" si="168"/>
        <v>0</v>
      </c>
      <c r="M875" s="1967">
        <f>+VLOOKUP($B875,[2]BOLETIM_SEL!$A:$H,5,0)</f>
        <v>0</v>
      </c>
      <c r="N875" s="832"/>
      <c r="O875" s="832"/>
      <c r="Q875" s="832"/>
      <c r="R875" s="832"/>
      <c r="S875" s="832"/>
      <c r="T875" s="832"/>
      <c r="U875" s="832"/>
      <c r="V875" s="832"/>
      <c r="W875" s="832"/>
      <c r="X875" s="832"/>
    </row>
    <row r="876" spans="1:24" s="812" customFormat="1" ht="50.1" hidden="1" customHeight="1" x14ac:dyDescent="0.15">
      <c r="A876" s="2072">
        <f ca="1">+Orçamento_Não_Deson!A876</f>
        <v>11.03</v>
      </c>
      <c r="B876" s="833" t="str">
        <f>+Orçamento_Não_Deson!B876</f>
        <v>SV/0080</v>
      </c>
      <c r="C876" s="2" t="str">
        <f>VLOOKUP($B876,[2]BOLETIM_SEL!$A:$H,2,0)</f>
        <v>COMPOSIÇÃO</v>
      </c>
      <c r="D876" s="315" t="str">
        <f>VLOOKUP($B876,[2]BOLETIM_SEL!$A:$H,4,0)</f>
        <v>Fornecimento e implantação de braço projetado de aço para sustentação de semáforo e placa até 3m², galvanizado a fogo; para fixação em coluna cônica continua tipo I, projeção de 4,70m; diâmetro junto a flange de 123mm; conforme especificação da AGETRAN / PMCG</v>
      </c>
      <c r="E876" s="2">
        <f>+Orçamento_Não_Deson!E876</f>
        <v>0</v>
      </c>
      <c r="F876" s="2" t="str">
        <f>VLOOKUP($B876,[2]BOLETIM_SEL!$A:$H,6,0)</f>
        <v xml:space="preserve">UN </v>
      </c>
      <c r="G876" s="1407">
        <f>VLOOKUP($B876,[2]BOLETIM_SEL!$A:$H,7,0)</f>
        <v>4817.82</v>
      </c>
      <c r="H876" s="1608">
        <f>+Orçamento_Não_Deson!H876</f>
        <v>0</v>
      </c>
      <c r="I876" s="876">
        <f t="shared" si="169"/>
        <v>6174.99</v>
      </c>
      <c r="J876" s="1606">
        <f t="shared" si="170"/>
        <v>0</v>
      </c>
      <c r="K876" s="1936">
        <f t="shared" ca="1" si="171"/>
        <v>0</v>
      </c>
      <c r="L876" s="1570">
        <f t="shared" si="168"/>
        <v>0</v>
      </c>
      <c r="M876" s="1967">
        <f>+VLOOKUP($B876,[2]BOLETIM_SEL!$A:$H,5,0)</f>
        <v>0</v>
      </c>
      <c r="N876" s="832"/>
      <c r="O876" s="832"/>
      <c r="Q876" s="832"/>
      <c r="R876" s="832"/>
      <c r="S876" s="832"/>
      <c r="T876" s="832"/>
      <c r="U876" s="832"/>
      <c r="V876" s="832"/>
      <c r="W876" s="832"/>
      <c r="X876" s="832"/>
    </row>
    <row r="877" spans="1:24" s="812" customFormat="1" ht="50.1" hidden="1" customHeight="1" x14ac:dyDescent="0.15">
      <c r="A877" s="2072">
        <f ca="1">+Orçamento_Não_Deson!A877</f>
        <v>11.03</v>
      </c>
      <c r="B877" s="833" t="str">
        <f>+Orçamento_Não_Deson!B877</f>
        <v>SV/0085</v>
      </c>
      <c r="C877" s="2" t="str">
        <f>VLOOKUP($B877,[2]BOLETIM_SEL!$A:$H,2,0)</f>
        <v>COMPOSIÇÃO</v>
      </c>
      <c r="D877" s="315" t="str">
        <f>VLOOKUP($B877,[2]BOLETIM_SEL!$A:$H,4,0)</f>
        <v>Poste simples madeira de lei aparelhada 75 x 75 x 3500 mm para suporte de placa de sinalização, pintado com esmalte sintético e fixado em base de concreto estrutural -fornecimento e implantação. Inclusive serviço de implantação da placa de sinalização</v>
      </c>
      <c r="E877" s="2">
        <f>+Orçamento_Não_Deson!E877</f>
        <v>0</v>
      </c>
      <c r="F877" s="2" t="str">
        <f>VLOOKUP($B877,[2]BOLETIM_SEL!$A:$H,6,0)</f>
        <v xml:space="preserve">UN </v>
      </c>
      <c r="G877" s="1407">
        <f>VLOOKUP($B877,[2]BOLETIM_SEL!$A:$H,7,0)</f>
        <v>228.85</v>
      </c>
      <c r="H877" s="1608">
        <f>+Orçamento_Não_Deson!H877</f>
        <v>0</v>
      </c>
      <c r="I877" s="876">
        <f t="shared" si="169"/>
        <v>293.31</v>
      </c>
      <c r="J877" s="1606">
        <f t="shared" si="170"/>
        <v>0</v>
      </c>
      <c r="K877" s="1936">
        <f t="shared" ca="1" si="171"/>
        <v>0</v>
      </c>
      <c r="L877" s="1570">
        <f t="shared" si="168"/>
        <v>0</v>
      </c>
      <c r="M877" s="1967">
        <f>+VLOOKUP($B877,[2]BOLETIM_SEL!$A:$H,5,0)</f>
        <v>0</v>
      </c>
      <c r="N877" s="832"/>
      <c r="O877" s="832"/>
      <c r="Q877" s="832"/>
      <c r="R877" s="832"/>
      <c r="S877" s="832"/>
      <c r="T877" s="832"/>
      <c r="U877" s="832"/>
      <c r="V877" s="832"/>
      <c r="W877" s="832"/>
      <c r="X877" s="832"/>
    </row>
    <row r="878" spans="1:24" s="812" customFormat="1" ht="50.1" customHeight="1" x14ac:dyDescent="0.15">
      <c r="A878" s="2072">
        <f ca="1">+Orçamento_Não_Deson!A878</f>
        <v>11.04</v>
      </c>
      <c r="B878" s="833" t="str">
        <f>+Orçamento_Não_Deson!B878</f>
        <v>SV/0090</v>
      </c>
      <c r="C878" s="2" t="str">
        <f>VLOOKUP($B878,[2]BOLETIM_SEL!$A:$H,2,0)</f>
        <v>COMPOSIÇÃO</v>
      </c>
      <c r="D878" s="315" t="str">
        <f>VLOOKUP($B878,[2]BOLETIM_SEL!$A:$H,4,0)</f>
        <v>Coluna simples de 50,8 mm (2") de diâmetro, espessura da parede 2,75mm, altura total de 3500mm, em aço galvanizado por imersão à quente para suporte de placa de sinalização e fixado em base de concreto estrutural  - fornecimento e implantação. Inclusive serviço de implantação da placa de sinalização</v>
      </c>
      <c r="E878" s="2">
        <f>+Orçamento_Não_Deson!E878</f>
        <v>0</v>
      </c>
      <c r="F878" s="2" t="str">
        <f>VLOOKUP($B878,[2]BOLETIM_SEL!$A:$H,6,0)</f>
        <v xml:space="preserve">UN </v>
      </c>
      <c r="G878" s="1407">
        <f>VLOOKUP($B878,[2]BOLETIM_SEL!$A:$H,7,0)</f>
        <v>435.71</v>
      </c>
      <c r="H878" s="1608">
        <f>+Orçamento_Não_Deson!H878</f>
        <v>51</v>
      </c>
      <c r="I878" s="876">
        <f t="shared" si="169"/>
        <v>558.44000000000005</v>
      </c>
      <c r="J878" s="1606">
        <f t="shared" si="170"/>
        <v>28480.44</v>
      </c>
      <c r="K878" s="1936">
        <f t="shared" ca="1" si="171"/>
        <v>7.5380308691358243E-3</v>
      </c>
      <c r="L878" s="1570">
        <f t="shared" si="168"/>
        <v>0.52454396874001985</v>
      </c>
      <c r="M878" s="1967">
        <f>+VLOOKUP($B878,[2]BOLETIM_SEL!$A:$H,5,0)</f>
        <v>0</v>
      </c>
      <c r="N878" s="832"/>
      <c r="O878" s="832"/>
      <c r="Q878" s="832"/>
      <c r="R878" s="832"/>
      <c r="S878" s="832"/>
      <c r="T878" s="832"/>
      <c r="U878" s="832"/>
      <c r="V878" s="832"/>
      <c r="W878" s="832"/>
      <c r="X878" s="832"/>
    </row>
    <row r="879" spans="1:24" s="812" customFormat="1" ht="30" hidden="1" customHeight="1" x14ac:dyDescent="0.15">
      <c r="A879" s="2072">
        <f ca="1">+Orçamento_Não_Deson!A879</f>
        <v>11.04</v>
      </c>
      <c r="B879" s="833" t="str">
        <f>+Orçamento_Não_Deson!B879</f>
        <v>SV/0095</v>
      </c>
      <c r="C879" s="2" t="str">
        <f>VLOOKUP($B879,[2]BOLETIM_SEL!$A:$H,2,0)</f>
        <v>COMPOSIÇÃO</v>
      </c>
      <c r="D879" s="315" t="str">
        <f>VLOOKUP($B879,[2]BOLETIM_SEL!$A:$H,4,0)</f>
        <v>Implantação de placa de sinalização em poste de energia elétrica, incluindo elementos de fixação</v>
      </c>
      <c r="E879" s="2">
        <f>+Orçamento_Não_Deson!E879</f>
        <v>0</v>
      </c>
      <c r="F879" s="2" t="str">
        <f>VLOOKUP($B879,[2]BOLETIM_SEL!$A:$H,6,0)</f>
        <v xml:space="preserve">UN </v>
      </c>
      <c r="G879" s="1407">
        <f>VLOOKUP($B879,[2]BOLETIM_SEL!$A:$H,7,0)</f>
        <v>81.739999999999995</v>
      </c>
      <c r="H879" s="1608">
        <f>+Orçamento_Não_Deson!H879</f>
        <v>0</v>
      </c>
      <c r="I879" s="876">
        <f t="shared" si="169"/>
        <v>104.76</v>
      </c>
      <c r="J879" s="1606">
        <f t="shared" si="170"/>
        <v>0</v>
      </c>
      <c r="K879" s="1936">
        <f t="shared" ca="1" si="171"/>
        <v>0</v>
      </c>
      <c r="L879" s="1570">
        <f t="shared" si="168"/>
        <v>0</v>
      </c>
      <c r="M879" s="1967">
        <f>+VLOOKUP($B879,[2]BOLETIM_SEL!$A:$H,5,0)</f>
        <v>0</v>
      </c>
      <c r="N879" s="832"/>
      <c r="O879" s="832"/>
      <c r="Q879" s="832"/>
      <c r="R879" s="832"/>
      <c r="S879" s="832"/>
      <c r="T879" s="832"/>
      <c r="U879" s="832"/>
      <c r="V879" s="832"/>
      <c r="W879" s="832"/>
      <c r="X879" s="832"/>
    </row>
    <row r="880" spans="1:24" s="812" customFormat="1" ht="30" hidden="1" customHeight="1" x14ac:dyDescent="0.15">
      <c r="A880" s="2072">
        <f ca="1">+Orçamento_Não_Deson!A880</f>
        <v>11.04</v>
      </c>
      <c r="B880" s="833" t="str">
        <f>+Orçamento_Não_Deson!B880</f>
        <v>SV/0100</v>
      </c>
      <c r="C880" s="2" t="str">
        <f>VLOOKUP($B880,[2]BOLETIM_SEL!$A:$H,2,0)</f>
        <v>COMPOSIÇÃO</v>
      </c>
      <c r="D880" s="315" t="str">
        <f>VLOOKUP($B880,[2]BOLETIM_SEL!$A:$H,4,0)</f>
        <v>Implantação de placa de sinalização em braço projetado, incluindo elementos de fixação</v>
      </c>
      <c r="E880" s="2">
        <f>+Orçamento_Não_Deson!E880</f>
        <v>0</v>
      </c>
      <c r="F880" s="2" t="str">
        <f>VLOOKUP($B880,[2]BOLETIM_SEL!$A:$H,6,0)</f>
        <v xml:space="preserve">UN </v>
      </c>
      <c r="G880" s="1407">
        <f>VLOOKUP($B880,[2]BOLETIM_SEL!$A:$H,7,0)</f>
        <v>636.83000000000004</v>
      </c>
      <c r="H880" s="1608">
        <f>+Orçamento_Não_Deson!H880</f>
        <v>0</v>
      </c>
      <c r="I880" s="876">
        <f t="shared" si="169"/>
        <v>816.22</v>
      </c>
      <c r="J880" s="1606">
        <f t="shared" si="170"/>
        <v>0</v>
      </c>
      <c r="K880" s="1936">
        <f t="shared" ca="1" si="171"/>
        <v>0</v>
      </c>
      <c r="L880" s="1570">
        <f t="shared" si="168"/>
        <v>0</v>
      </c>
      <c r="M880" s="1967">
        <f>+VLOOKUP($B880,[2]BOLETIM_SEL!$A:$H,5,0)</f>
        <v>0</v>
      </c>
      <c r="N880" s="832"/>
      <c r="O880" s="832"/>
      <c r="Q880" s="832"/>
      <c r="R880" s="832"/>
      <c r="S880" s="832"/>
      <c r="T880" s="832"/>
      <c r="U880" s="832"/>
      <c r="V880" s="832"/>
      <c r="W880" s="832"/>
      <c r="X880" s="832"/>
    </row>
    <row r="881" spans="1:24" s="812" customFormat="1" ht="50.1" customHeight="1" x14ac:dyDescent="0.15">
      <c r="A881" s="2072">
        <f ca="1">+Orçamento_Não_Deson!A881</f>
        <v>11.049999999999999</v>
      </c>
      <c r="B881" s="833" t="str">
        <f>+Orçamento_Não_Deson!B881</f>
        <v>SV/0105</v>
      </c>
      <c r="C881" s="2" t="str">
        <f>VLOOKUP($B881,[2]BOLETIM_SEL!$A:$H,2,0)</f>
        <v>COMPOSIÇÃO</v>
      </c>
      <c r="D881" s="315" t="str">
        <f>VLOOKUP($B881,[2]BOLETIM_SEL!$A:$H,4,0)</f>
        <v>Placa de sinalização de alumínio, espessura 1,5 mm, com fundo, símbolos e tarjas em película refletiva com esferas inclusas tipo I-A da NBR 14644 (GT/GT), inclusive elementos de fixação, conforme especificação AGETRAN/PMCG - Incluso fornecimento</v>
      </c>
      <c r="E881" s="2">
        <f>+Orçamento_Não_Deson!E881</f>
        <v>0</v>
      </c>
      <c r="F881" s="2" t="str">
        <f>VLOOKUP($B881,[2]BOLETIM_SEL!$A:$H,6,0)</f>
        <v>M2</v>
      </c>
      <c r="G881" s="1407">
        <f>VLOOKUP($B881,[2]BOLETIM_SEL!$A:$H,7,0)</f>
        <v>760</v>
      </c>
      <c r="H881" s="1608">
        <f>+Orçamento_Não_Deson!H881</f>
        <v>9.4</v>
      </c>
      <c r="I881" s="876">
        <f t="shared" si="169"/>
        <v>974.09</v>
      </c>
      <c r="J881" s="1606">
        <f t="shared" si="170"/>
        <v>9156.44</v>
      </c>
      <c r="K881" s="1936">
        <f t="shared" ca="1" si="171"/>
        <v>2.4234712445239622E-3</v>
      </c>
      <c r="L881" s="1570">
        <f t="shared" si="168"/>
        <v>0.16864049070624851</v>
      </c>
      <c r="M881" s="1967">
        <f>+VLOOKUP($B881,[2]BOLETIM_SEL!$A:$H,5,0)</f>
        <v>0</v>
      </c>
      <c r="N881" s="832"/>
      <c r="O881" s="832"/>
      <c r="Q881" s="832"/>
      <c r="R881" s="832"/>
      <c r="S881" s="832"/>
      <c r="T881" s="832"/>
      <c r="U881" s="832"/>
      <c r="V881" s="832"/>
      <c r="W881" s="832"/>
      <c r="X881" s="832"/>
    </row>
    <row r="882" spans="1:24" s="812" customFormat="1" ht="39.950000000000003" hidden="1" customHeight="1" x14ac:dyDescent="0.15">
      <c r="A882" s="2072">
        <f ca="1">+Orçamento_Não_Deson!A882</f>
        <v>11.049999999999999</v>
      </c>
      <c r="B882" s="833" t="str">
        <f>+Orçamento_Não_Deson!B882</f>
        <v>SV/0106</v>
      </c>
      <c r="C882" s="2" t="str">
        <f>VLOOKUP($B882,[2]BOLETIM_SEL!$A:$H,2,0)</f>
        <v>COMPOSIÇÃO</v>
      </c>
      <c r="D882" s="315" t="str">
        <f>VLOOKUP($B882,[2]BOLETIM_SEL!$A:$H,4,0)</f>
        <v>Placa de sinalização de alumínio, espessura 2mm, com fundo, símbolos e tarjas em película refletiva com esferas inclusas tipo I-A da NBR 14644 (GT/GT), inclusive elementos de fixação, conforme especificação AGETRAN/PMCG - fornecimento</v>
      </c>
      <c r="E882" s="2">
        <f>+Orçamento_Não_Deson!E882</f>
        <v>0</v>
      </c>
      <c r="F882" s="2" t="str">
        <f>VLOOKUP($B882,[2]BOLETIM_SEL!$A:$H,6,0)</f>
        <v>M2</v>
      </c>
      <c r="G882" s="1407">
        <f>VLOOKUP($B882,[2]BOLETIM_SEL!$A:$H,7,0)</f>
        <v>720</v>
      </c>
      <c r="H882" s="1608">
        <f>+Orçamento_Não_Deson!H882</f>
        <v>0</v>
      </c>
      <c r="I882" s="876">
        <f t="shared" si="169"/>
        <v>922.82</v>
      </c>
      <c r="J882" s="1606">
        <f t="shared" si="170"/>
        <v>0</v>
      </c>
      <c r="K882" s="1936">
        <f t="shared" ca="1" si="171"/>
        <v>0</v>
      </c>
      <c r="L882" s="1570">
        <f t="shared" si="168"/>
        <v>0</v>
      </c>
      <c r="M882" s="1967">
        <f>+VLOOKUP($B882,[2]BOLETIM_SEL!$A:$H,5,0)</f>
        <v>0</v>
      </c>
      <c r="N882" s="832"/>
      <c r="O882" s="832"/>
      <c r="Q882" s="832"/>
      <c r="R882" s="832"/>
      <c r="S882" s="832"/>
      <c r="T882" s="832"/>
      <c r="U882" s="832"/>
      <c r="V882" s="832"/>
      <c r="W882" s="832"/>
      <c r="X882" s="832"/>
    </row>
    <row r="883" spans="1:24" s="812" customFormat="1" ht="50.1" hidden="1" customHeight="1" x14ac:dyDescent="0.15">
      <c r="A883" s="2072">
        <f ca="1">+Orçamento_Não_Deson!A883</f>
        <v>11.049999999999999</v>
      </c>
      <c r="B883" s="833" t="str">
        <f>+Orçamento_Não_Deson!B883</f>
        <v>SV/0110</v>
      </c>
      <c r="C883" s="2" t="str">
        <f>VLOOKUP($B883,[2]BOLETIM_SEL!$A:$H,2,0)</f>
        <v>COMPOSIÇÃO</v>
      </c>
      <c r="D883" s="315" t="str">
        <f>VLOOKUP($B883,[2]BOLETIM_SEL!$A:$H,4,0)</f>
        <v>Placa de sinalização modulada de alumínio, espessura 2,0mm, com fundo em película refletiva com esferas inclusas tipo I-A da NBR 14644, símbolos e tarjas em película refletiva com esferas encapsuladas tipo II-A da NBR 14644 (AI/AI), inclusive elementos de fixação, conforme especificação AGETRAN/PMCG - fornecimento</v>
      </c>
      <c r="E883" s="2">
        <f>+Orçamento_Não_Deson!E883</f>
        <v>0</v>
      </c>
      <c r="F883" s="2" t="str">
        <f>VLOOKUP($B883,[2]BOLETIM_SEL!$A:$H,6,0)</f>
        <v>M2</v>
      </c>
      <c r="G883" s="1407">
        <f>VLOOKUP($B883,[2]BOLETIM_SEL!$A:$H,7,0)</f>
        <v>1069</v>
      </c>
      <c r="H883" s="1608">
        <f>+Orçamento_Não_Deson!H883</f>
        <v>0</v>
      </c>
      <c r="I883" s="876">
        <f t="shared" si="169"/>
        <v>1370.13</v>
      </c>
      <c r="J883" s="1606">
        <f t="shared" si="170"/>
        <v>0</v>
      </c>
      <c r="K883" s="1936">
        <f t="shared" ca="1" si="171"/>
        <v>0</v>
      </c>
      <c r="L883" s="1570">
        <f t="shared" si="168"/>
        <v>0</v>
      </c>
      <c r="M883" s="1967">
        <f>+VLOOKUP($B883,[2]BOLETIM_SEL!$A:$H,5,0)</f>
        <v>0</v>
      </c>
      <c r="N883" s="832"/>
      <c r="O883" s="832"/>
      <c r="Q883" s="832"/>
      <c r="R883" s="832"/>
      <c r="S883" s="832"/>
      <c r="T883" s="832"/>
      <c r="U883" s="832"/>
      <c r="V883" s="832"/>
      <c r="W883" s="832"/>
      <c r="X883" s="832"/>
    </row>
    <row r="884" spans="1:24" s="812" customFormat="1" ht="39.950000000000003" customHeight="1" x14ac:dyDescent="0.15">
      <c r="A884" s="2072">
        <f ca="1">+Orçamento_Não_Deson!A884</f>
        <v>11.059999999999999</v>
      </c>
      <c r="B884" s="833">
        <f>+Orçamento_Não_Deson!B884</f>
        <v>13521</v>
      </c>
      <c r="C884" s="2" t="str">
        <f>VLOOKUP($B884,[2]BOLETIM_SEL!$A:$H,2,0)</f>
        <v>COTAÇÃO - SINAPI</v>
      </c>
      <c r="D884" s="315" t="str">
        <f>VLOOKUP($B884,[2]BOLETIM_SEL!$A:$H,4,0)</f>
        <v>Placa de aço esmaltada para identificação de rua, dimensões *45x20* cm</v>
      </c>
      <c r="E884" s="2">
        <f>+Orçamento_Não_Deson!E884</f>
        <v>0</v>
      </c>
      <c r="F884" s="2" t="str">
        <f>VLOOKUP($B884,[2]BOLETIM_SEL!$A:$H,6,0)</f>
        <v xml:space="preserve">UN    </v>
      </c>
      <c r="G884" s="1407">
        <f>VLOOKUP($B884,[2]BOLETIM_SEL!$A:$H,7,0)</f>
        <v>82.5</v>
      </c>
      <c r="H884" s="1608">
        <f>+Orçamento_Não_Deson!H884</f>
        <v>36</v>
      </c>
      <c r="I884" s="876">
        <f t="shared" si="169"/>
        <v>105.74</v>
      </c>
      <c r="J884" s="1606">
        <f t="shared" si="170"/>
        <v>3806.64</v>
      </c>
      <c r="K884" s="1936">
        <f t="shared" ca="1" si="171"/>
        <v>1.0075184873438469E-3</v>
      </c>
      <c r="L884" s="1570">
        <f t="shared" si="168"/>
        <v>7.0109522646578118E-2</v>
      </c>
      <c r="M884" s="1967">
        <f>+VLOOKUP($B884,[2]BOLETIM_SEL!$A:$H,5,0)</f>
        <v>0</v>
      </c>
      <c r="N884" s="832"/>
      <c r="O884" s="832"/>
      <c r="Q884" s="832"/>
      <c r="R884" s="832"/>
      <c r="S884" s="832"/>
      <c r="T884" s="832"/>
      <c r="U884" s="832"/>
      <c r="V884" s="832"/>
      <c r="W884" s="832"/>
      <c r="X884" s="832"/>
    </row>
    <row r="885" spans="1:24" s="812" customFormat="1" ht="60" hidden="1" customHeight="1" x14ac:dyDescent="0.15">
      <c r="A885" s="2072">
        <f ca="1">+Orçamento_Não_Deson!A885</f>
        <v>11.059999999999999</v>
      </c>
      <c r="B885" s="833" t="str">
        <f>+Orçamento_Não_Deson!B885</f>
        <v>SV/0115</v>
      </c>
      <c r="C885" s="2" t="str">
        <f>VLOOKUP($B885,[2]BOLETIM_SEL!$A:$H,2,0)</f>
        <v>COMPOSIÇÃO</v>
      </c>
      <c r="D885" s="315" t="str">
        <f>VLOOKUP($B885,[2]BOLETIM_SEL!$A:$H,4,0)</f>
        <v>Fornecimento e implantação de linha de duto espiral flexível em polietileno de alta densidade, tipo Kanalex ou similar, diâmetro de 75mm (3"), lançado diretamente ao solo com arame-guia galvanizado revestido em PVC&gt; Inclusive emendas e tamponamento, recorte do pavimento, escavação, reaterro, envelopamento de duto com concreto (30x30cm), base de brita graduada, remoção e bota-fora de entulhos</v>
      </c>
      <c r="E885" s="2">
        <f>+Orçamento_Não_Deson!E885</f>
        <v>0</v>
      </c>
      <c r="F885" s="2" t="str">
        <f>VLOOKUP($B885,[2]BOLETIM_SEL!$A:$H,6,0)</f>
        <v>M</v>
      </c>
      <c r="G885" s="1407">
        <f>VLOOKUP($B885,[2]BOLETIM_SEL!$A:$H,7,0)</f>
        <v>128.41</v>
      </c>
      <c r="H885" s="1608">
        <f>+Orçamento_Não_Deson!H885</f>
        <v>0</v>
      </c>
      <c r="I885" s="876">
        <f t="shared" si="169"/>
        <v>164.58</v>
      </c>
      <c r="J885" s="1606">
        <f t="shared" si="170"/>
        <v>0</v>
      </c>
      <c r="K885" s="1936">
        <f t="shared" ca="1" si="171"/>
        <v>0</v>
      </c>
      <c r="L885" s="1570">
        <f t="shared" si="168"/>
        <v>0</v>
      </c>
      <c r="M885" s="1967">
        <f>+VLOOKUP($B885,[2]BOLETIM_SEL!$A:$H,5,0)</f>
        <v>0</v>
      </c>
      <c r="N885" s="832"/>
      <c r="O885" s="832"/>
      <c r="Q885" s="832"/>
      <c r="R885" s="832"/>
      <c r="S885" s="832"/>
      <c r="T885" s="832"/>
      <c r="U885" s="832"/>
      <c r="V885" s="832"/>
      <c r="W885" s="832"/>
      <c r="X885" s="832"/>
    </row>
    <row r="886" spans="1:24" s="812" customFormat="1" ht="50.1" hidden="1" customHeight="1" x14ac:dyDescent="0.15">
      <c r="A886" s="2072">
        <f ca="1">+Orçamento_Não_Deson!A886</f>
        <v>11.059999999999999</v>
      </c>
      <c r="B886" s="833" t="str">
        <f>+Orçamento_Não_Deson!B886</f>
        <v>SV/0120</v>
      </c>
      <c r="C886" s="2" t="str">
        <f>VLOOKUP($B886,[2]BOLETIM_SEL!$A:$H,2,0)</f>
        <v>COMPOSIÇÃO</v>
      </c>
      <c r="D886" s="315" t="str">
        <f>VLOOKUP($B886,[2]BOLETIM_SEL!$A:$H,4,0)</f>
        <v>Caixa enterrada elétrica retangular, em alvenaria com tijolos cerâmicos maciços, 1/2 vez, fundo com brita, dimensões internas: 0,40x0,40x0,40 m; Tampão fofo simples com base, classe A15 carga máxima 1,5 t, 400 x 400 mm (REF. SINAPI COD. 97887)</v>
      </c>
      <c r="E886" s="2">
        <f>+Orçamento_Não_Deson!E886</f>
        <v>0</v>
      </c>
      <c r="F886" s="2" t="str">
        <f>VLOOKUP($B886,[2]BOLETIM_SEL!$A:$H,6,0)</f>
        <v xml:space="preserve">UN </v>
      </c>
      <c r="G886" s="1407">
        <f>VLOOKUP($B886,[2]BOLETIM_SEL!$A:$H,7,0)</f>
        <v>430.94</v>
      </c>
      <c r="H886" s="1608">
        <f>+Orçamento_Não_Deson!H886</f>
        <v>0</v>
      </c>
      <c r="I886" s="876">
        <f t="shared" si="169"/>
        <v>552.33000000000004</v>
      </c>
      <c r="J886" s="1606">
        <f t="shared" si="170"/>
        <v>0</v>
      </c>
      <c r="K886" s="1936">
        <f t="shared" ca="1" si="171"/>
        <v>0</v>
      </c>
      <c r="L886" s="1570">
        <f t="shared" si="168"/>
        <v>0</v>
      </c>
      <c r="M886" s="1967">
        <f>+VLOOKUP($B886,[2]BOLETIM_SEL!$A:$H,5,0)</f>
        <v>0</v>
      </c>
      <c r="N886" s="832"/>
      <c r="O886" s="832"/>
      <c r="Q886" s="832"/>
      <c r="R886" s="832"/>
      <c r="S886" s="832"/>
      <c r="T886" s="832"/>
      <c r="U886" s="832"/>
      <c r="V886" s="832"/>
      <c r="W886" s="832"/>
      <c r="X886" s="832"/>
    </row>
    <row r="887" spans="1:24" s="812" customFormat="1" ht="24.95" customHeight="1" x14ac:dyDescent="0.15">
      <c r="A887" s="2072"/>
      <c r="B887" s="833"/>
      <c r="C887" s="833"/>
      <c r="D887" s="834"/>
      <c r="E887" s="2"/>
      <c r="F887" s="833"/>
      <c r="G887" s="1814"/>
      <c r="H887" s="1"/>
      <c r="I887" s="876"/>
      <c r="J887" s="838" t="str">
        <f>+IF(J858=0,0,"")</f>
        <v/>
      </c>
      <c r="K887" s="2069"/>
      <c r="L887" s="1570"/>
      <c r="M887" s="1826"/>
      <c r="N887" s="832"/>
      <c r="O887" s="832"/>
      <c r="Q887" s="832"/>
      <c r="R887" s="832"/>
      <c r="S887" s="832"/>
      <c r="T887" s="832"/>
      <c r="U887" s="832"/>
      <c r="V887" s="832"/>
      <c r="W887" s="832"/>
      <c r="X887" s="832"/>
    </row>
    <row r="888" spans="1:24" s="832" customFormat="1" ht="24.95" customHeight="1" x14ac:dyDescent="0.15">
      <c r="A888" s="2073">
        <f ca="1">IF(J888&gt;0,INT(A886)+1,IF(J888=0,INT(A886),0))</f>
        <v>12</v>
      </c>
      <c r="B888" s="1626"/>
      <c r="C888" s="1626"/>
      <c r="D888" s="1627" t="s">
        <v>437</v>
      </c>
      <c r="E888" s="1821"/>
      <c r="F888" s="1628"/>
      <c r="G888" s="1818" t="s">
        <v>655</v>
      </c>
      <c r="H888" s="1628"/>
      <c r="I888" s="1633" t="str">
        <f ca="1">CONCATENATE("SUB-TOTAL ",A888)</f>
        <v>SUB-TOTAL 12</v>
      </c>
      <c r="J888" s="1632">
        <f>SUM(J889:J889)</f>
        <v>176026.6</v>
      </c>
      <c r="K888" s="2070">
        <f ca="1">+J888/J$930</f>
        <v>4.6589657483838892E-2</v>
      </c>
      <c r="L888" s="1605">
        <f>+J888/J$888</f>
        <v>1</v>
      </c>
      <c r="M888" s="1977" t="str">
        <f>+IF(J1=CCU_Adm_Local_Não_Deson!B4,"CPU correta","data base CPU errada")</f>
        <v>CPU correta</v>
      </c>
    </row>
    <row r="889" spans="1:24" s="843" customFormat="1" ht="30" customHeight="1" x14ac:dyDescent="0.15">
      <c r="A889" s="2072">
        <f ca="1">+IF(H889&gt;0,A888+0.01,A888)</f>
        <v>12.01</v>
      </c>
      <c r="B889" s="840" t="s">
        <v>535</v>
      </c>
      <c r="C889" s="833" t="s">
        <v>486</v>
      </c>
      <c r="D889" s="834" t="str">
        <f>+CCU_Adm_Local_Não_Deson!B7</f>
        <v>Administração local do canteiro de obras</v>
      </c>
      <c r="E889" s="2"/>
      <c r="F889" s="833" t="s">
        <v>536</v>
      </c>
      <c r="G889" s="1817">
        <f>+CCU_Adm_Local_Deson!H69</f>
        <v>137338.38</v>
      </c>
      <c r="H889" s="1608">
        <v>1</v>
      </c>
      <c r="I889" s="876">
        <f>+TRUNC(G889*(1+$J$5),2)</f>
        <v>176026.6</v>
      </c>
      <c r="J889" s="1607">
        <f>TRUNC(H889*I889,2)</f>
        <v>176026.6</v>
      </c>
      <c r="K889" s="2069">
        <f ca="1">+J889/J$930</f>
        <v>4.6589657483838892E-2</v>
      </c>
      <c r="L889" s="1570">
        <f>+J889/J$888</f>
        <v>1</v>
      </c>
      <c r="M889" s="1978"/>
      <c r="N889" s="842"/>
      <c r="O889" s="842"/>
      <c r="Q889" s="842"/>
      <c r="R889" s="842"/>
      <c r="S889" s="842"/>
      <c r="T889" s="842"/>
      <c r="U889" s="842"/>
      <c r="V889" s="842"/>
      <c r="W889" s="842"/>
      <c r="X889" s="842"/>
    </row>
    <row r="890" spans="1:24" s="843" customFormat="1" ht="24.95" customHeight="1" x14ac:dyDescent="0.15">
      <c r="A890" s="2072"/>
      <c r="B890" s="840"/>
      <c r="C890" s="833"/>
      <c r="D890" s="834"/>
      <c r="E890" s="2"/>
      <c r="F890" s="833"/>
      <c r="G890" s="1814"/>
      <c r="H890" s="833"/>
      <c r="I890" s="833"/>
      <c r="J890" s="838" t="str">
        <f>+IF(J888=0,0,"")</f>
        <v/>
      </c>
      <c r="K890" s="2069"/>
      <c r="L890" s="1570"/>
      <c r="M890" s="1826"/>
      <c r="N890" s="842"/>
      <c r="O890" s="842"/>
      <c r="Q890" s="842"/>
      <c r="R890" s="842"/>
      <c r="S890" s="842"/>
      <c r="T890" s="842"/>
      <c r="U890" s="842"/>
      <c r="V890" s="842"/>
      <c r="W890" s="842"/>
      <c r="X890" s="842"/>
    </row>
    <row r="891" spans="1:24" s="832" customFormat="1" ht="24.95" hidden="1" customHeight="1" x14ac:dyDescent="0.15">
      <c r="A891" s="2073">
        <f ca="1">IF(J891&gt;0,INT(A889)+1,IF(J891=0,INT(A889),0))</f>
        <v>12</v>
      </c>
      <c r="B891" s="1626"/>
      <c r="C891" s="1626"/>
      <c r="D891" s="1627" t="s">
        <v>485</v>
      </c>
      <c r="E891" s="1821"/>
      <c r="F891" s="1628"/>
      <c r="G891" s="1819"/>
      <c r="H891" s="1629"/>
      <c r="I891" s="1631" t="str">
        <f ca="1">CONCATENATE("SUB-TOTAL ",A891)</f>
        <v>SUB-TOTAL 12</v>
      </c>
      <c r="J891" s="1632">
        <f>SUM(J892:J928)</f>
        <v>0</v>
      </c>
      <c r="K891" s="2070">
        <f t="shared" ref="K891:K928" ca="1" si="172">+J891/J$930</f>
        <v>0</v>
      </c>
      <c r="L891" s="1605" t="e">
        <f t="shared" ref="L891:L928" si="173">+J891/J$891</f>
        <v>#DIV/0!</v>
      </c>
      <c r="M891" s="1979"/>
    </row>
    <row r="892" spans="1:24" s="4" customFormat="1" ht="30" hidden="1" customHeight="1" x14ac:dyDescent="0.15">
      <c r="A892" s="2072">
        <f ca="1">+Orçamento_Não_Deson!A892</f>
        <v>12</v>
      </c>
      <c r="B892" s="833" t="str">
        <f>+Orçamento_Não_Deson!B892</f>
        <v>ADM0002</v>
      </c>
      <c r="C892" s="2" t="str">
        <f>VLOOKUP($B892,[2]BOLETIM_SEL!$A:$H,2,0)</f>
        <v>COMPOSIÇÃO</v>
      </c>
      <c r="D892" s="315" t="str">
        <f>VLOOKUP($B892,[2]BOLETIM_SEL!$A:$H,4,0)</f>
        <v>Reprografia e montagem de relatório (texto e desenho)</v>
      </c>
      <c r="E892" s="2">
        <f>+Orçamento_Não_Deson!E892</f>
        <v>0</v>
      </c>
      <c r="F892" s="2" t="str">
        <f>VLOOKUP($B892,[2]BOLETIM_SEL!$A:$H,6,0)</f>
        <v xml:space="preserve">un </v>
      </c>
      <c r="G892" s="1407">
        <f>VLOOKUP($B892,[2]BOLETIM_SEL!$A:$H,7,0)</f>
        <v>675.66</v>
      </c>
      <c r="H892" s="1608">
        <f>+Orçamento_Não_Deson!H892</f>
        <v>0</v>
      </c>
      <c r="I892" s="132">
        <f t="shared" ref="I892:I928" si="174">+TRUNC(G892*(1+$J$5),2)</f>
        <v>865.99</v>
      </c>
      <c r="J892" s="1607">
        <f t="shared" ref="J892:J928" si="175">TRUNC(H892*I892,2)</f>
        <v>0</v>
      </c>
      <c r="K892" s="2069">
        <f t="shared" ca="1" si="172"/>
        <v>0</v>
      </c>
      <c r="L892" s="1570" t="e">
        <f t="shared" si="173"/>
        <v>#DIV/0!</v>
      </c>
      <c r="M892" s="1980"/>
      <c r="N892" s="3"/>
      <c r="O892" s="3"/>
      <c r="Q892" s="3"/>
      <c r="R892" s="3"/>
      <c r="S892" s="3"/>
      <c r="T892" s="3"/>
      <c r="U892" s="3"/>
      <c r="V892" s="3"/>
      <c r="W892" s="3"/>
      <c r="X892" s="3"/>
    </row>
    <row r="893" spans="1:24" s="4" customFormat="1" ht="30" hidden="1" customHeight="1" x14ac:dyDescent="0.15">
      <c r="A893" s="2072">
        <f ca="1">+Orçamento_Não_Deson!A893</f>
        <v>12</v>
      </c>
      <c r="B893" s="833" t="str">
        <f>+Orçamento_Não_Deson!B893</f>
        <v>ADM0001</v>
      </c>
      <c r="C893" s="2" t="str">
        <f>VLOOKUP($B893,[2]BOLETIM_SEL!$A:$H,2,0)</f>
        <v>COMPOSIÇÃO</v>
      </c>
      <c r="D893" s="315" t="str">
        <f>VLOOKUP($B893,[2]BOLETIM_SEL!$A:$H,4,0)</f>
        <v>Mobilização e desmobilização de equipe de técnica, distância acima de 20km</v>
      </c>
      <c r="E893" s="2">
        <f>+Orçamento_Não_Deson!E893</f>
        <v>0</v>
      </c>
      <c r="F893" s="2" t="str">
        <f>VLOOKUP($B893,[2]BOLETIM_SEL!$A:$H,6,0)</f>
        <v>km</v>
      </c>
      <c r="G893" s="1407">
        <f>VLOOKUP($B893,[2]BOLETIM_SEL!$A:$H,7,0)</f>
        <v>15.4</v>
      </c>
      <c r="H893" s="1608">
        <f>+Orçamento_Não_Deson!H893</f>
        <v>0</v>
      </c>
      <c r="I893" s="132">
        <f t="shared" si="174"/>
        <v>19.73</v>
      </c>
      <c r="J893" s="1607">
        <f t="shared" si="175"/>
        <v>0</v>
      </c>
      <c r="K893" s="2069">
        <f t="shared" ca="1" si="172"/>
        <v>0</v>
      </c>
      <c r="L893" s="1570" t="e">
        <f t="shared" si="173"/>
        <v>#DIV/0!</v>
      </c>
      <c r="M893" s="1980"/>
      <c r="N893" s="3"/>
      <c r="O893" s="895"/>
      <c r="Q893" s="895"/>
      <c r="R893" s="895"/>
      <c r="S893" s="895"/>
      <c r="T893" s="895"/>
      <c r="U893" s="895"/>
      <c r="V893" s="895"/>
      <c r="W893" s="895"/>
      <c r="X893" s="896"/>
    </row>
    <row r="894" spans="1:24" s="4" customFormat="1" ht="30" hidden="1" customHeight="1" x14ac:dyDescent="0.15">
      <c r="A894" s="2072">
        <f ca="1">+Orçamento_Não_Deson!A894</f>
        <v>12</v>
      </c>
      <c r="B894" s="833" t="str">
        <f>+Orçamento_Não_Deson!B894</f>
        <v>EG0005</v>
      </c>
      <c r="C894" s="2" t="str">
        <f>VLOOKUP($B894,[2]BOLETIM_SEL!$A:$H,2,0)</f>
        <v>COMPOSIÇÃO</v>
      </c>
      <c r="D894" s="315" t="str">
        <f>VLOOKUP($B894,[2]BOLETIM_SEL!$A:$H,4,0)</f>
        <v>Mobilização e desmobilização de equipe de geotecnia, distância maior que 20km</v>
      </c>
      <c r="E894" s="2">
        <f>+Orçamento_Não_Deson!E894</f>
        <v>0</v>
      </c>
      <c r="F894" s="2" t="str">
        <f>VLOOKUP($B894,[2]BOLETIM_SEL!$A:$H,6,0)</f>
        <v>km</v>
      </c>
      <c r="G894" s="1407">
        <f>VLOOKUP($B894,[2]BOLETIM_SEL!$A:$H,7,0)</f>
        <v>7.82</v>
      </c>
      <c r="H894" s="1608">
        <f>+Orçamento_Não_Deson!H894</f>
        <v>0</v>
      </c>
      <c r="I894" s="132">
        <f t="shared" si="174"/>
        <v>10.02</v>
      </c>
      <c r="J894" s="1607">
        <f t="shared" si="175"/>
        <v>0</v>
      </c>
      <c r="K894" s="2069">
        <f t="shared" ca="1" si="172"/>
        <v>0</v>
      </c>
      <c r="L894" s="1570" t="e">
        <f t="shared" si="173"/>
        <v>#DIV/0!</v>
      </c>
      <c r="M894" s="1980"/>
      <c r="N894" s="3"/>
      <c r="O894" s="3"/>
      <c r="Q894" s="3"/>
      <c r="R894" s="3"/>
      <c r="S894" s="3"/>
      <c r="T894" s="3"/>
      <c r="U894" s="3"/>
      <c r="V894" s="3"/>
      <c r="W894" s="3"/>
      <c r="X894" s="3"/>
    </row>
    <row r="895" spans="1:24" s="4" customFormat="1" ht="30" hidden="1" customHeight="1" x14ac:dyDescent="0.15">
      <c r="A895" s="2072">
        <f ca="1">+Orçamento_Não_Deson!A895</f>
        <v>12</v>
      </c>
      <c r="B895" s="833" t="str">
        <f>+Orçamento_Não_Deson!B895</f>
        <v>ET0003</v>
      </c>
      <c r="C895" s="2" t="str">
        <f>VLOOKUP($B895,[2]BOLETIM_SEL!$A:$H,2,0)</f>
        <v>COMPOSIÇÃO</v>
      </c>
      <c r="D895" s="315" t="str">
        <f>VLOOKUP($B895,[2]BOLETIM_SEL!$A:$H,4,0)</f>
        <v>Mobilização e desmobilização de equipe de topografia, distância maior que 20km</v>
      </c>
      <c r="E895" s="2">
        <f>+Orçamento_Não_Deson!E895</f>
        <v>0</v>
      </c>
      <c r="F895" s="2" t="str">
        <f>VLOOKUP($B895,[2]BOLETIM_SEL!$A:$H,6,0)</f>
        <v>km</v>
      </c>
      <c r="G895" s="1407">
        <f>VLOOKUP($B895,[2]BOLETIM_SEL!$A:$H,7,0)</f>
        <v>6.1</v>
      </c>
      <c r="H895" s="1608">
        <f>+Orçamento_Não_Deson!H895</f>
        <v>0</v>
      </c>
      <c r="I895" s="132">
        <f t="shared" si="174"/>
        <v>7.81</v>
      </c>
      <c r="J895" s="1607">
        <f t="shared" si="175"/>
        <v>0</v>
      </c>
      <c r="K895" s="2069">
        <f t="shared" ca="1" si="172"/>
        <v>0</v>
      </c>
      <c r="L895" s="1570" t="e">
        <f t="shared" si="173"/>
        <v>#DIV/0!</v>
      </c>
      <c r="M895" s="1980"/>
      <c r="N895" s="3"/>
      <c r="O895" s="895"/>
      <c r="Q895" s="895"/>
      <c r="R895" s="895"/>
      <c r="S895" s="895"/>
      <c r="T895" s="895"/>
      <c r="U895" s="895"/>
      <c r="V895" s="895"/>
      <c r="W895" s="895"/>
      <c r="X895" s="3"/>
    </row>
    <row r="896" spans="1:24" s="4" customFormat="1" ht="30" hidden="1" customHeight="1" x14ac:dyDescent="0.15">
      <c r="A896" s="2072">
        <f ca="1">+Orçamento_Não_Deson!A896</f>
        <v>12</v>
      </c>
      <c r="B896" s="833" t="str">
        <f>+Orçamento_Não_Deson!B896</f>
        <v>ARQ0003</v>
      </c>
      <c r="C896" s="2" t="str">
        <f>VLOOKUP($B896,[2]BOLETIM_SEL!$A:$H,2,0)</f>
        <v>COMPOSIÇÃO</v>
      </c>
      <c r="D896" s="315" t="str">
        <f>VLOOKUP($B896,[2]BOLETIM_SEL!$A:$H,4,0)</f>
        <v>Estudo conceitual para implantação de parque público - master plan</v>
      </c>
      <c r="E896" s="2">
        <f>+Orçamento_Não_Deson!E896</f>
        <v>0</v>
      </c>
      <c r="F896" s="2" t="str">
        <f>VLOOKUP($B896,[2]BOLETIM_SEL!$A:$H,6,0)</f>
        <v xml:space="preserve">ha </v>
      </c>
      <c r="G896" s="1407">
        <f>VLOOKUP($B896,[2]BOLETIM_SEL!$A:$H,7,0)</f>
        <v>1570.75</v>
      </c>
      <c r="H896" s="1608">
        <f>+Orçamento_Não_Deson!H896</f>
        <v>0</v>
      </c>
      <c r="I896" s="132">
        <f t="shared" si="174"/>
        <v>2013.23</v>
      </c>
      <c r="J896" s="1607">
        <f t="shared" si="175"/>
        <v>0</v>
      </c>
      <c r="K896" s="2069">
        <f t="shared" ca="1" si="172"/>
        <v>0</v>
      </c>
      <c r="L896" s="1570" t="e">
        <f t="shared" si="173"/>
        <v>#DIV/0!</v>
      </c>
      <c r="M896" s="1980"/>
      <c r="N896" s="867"/>
      <c r="O896" s="3"/>
      <c r="Q896" s="3"/>
      <c r="R896" s="3"/>
      <c r="S896" s="3"/>
      <c r="T896" s="3"/>
      <c r="U896" s="3"/>
      <c r="V896" s="3"/>
      <c r="W896" s="3"/>
      <c r="X896" s="3"/>
    </row>
    <row r="897" spans="1:24" s="4" customFormat="1" ht="39.950000000000003" hidden="1" customHeight="1" x14ac:dyDescent="0.15">
      <c r="A897" s="2072">
        <f ca="1">+Orçamento_Não_Deson!A897</f>
        <v>12</v>
      </c>
      <c r="B897" s="833" t="str">
        <f>+Orçamento_Não_Deson!B897</f>
        <v>PFIU001</v>
      </c>
      <c r="C897" s="2" t="str">
        <f>VLOOKUP($B897,[2]BOLETIM_SEL!$A:$H,2,0)</f>
        <v>COMPOSIÇÃO</v>
      </c>
      <c r="D897" s="315" t="str">
        <f>VLOOKUP($B897,[2]BOLETIM_SEL!$A:$H,4,0)</f>
        <v>Elaboração de estudos de viabilidade para projetos de pavimentação, drenagem, sinalização viária, acessibilidade e orçamento</v>
      </c>
      <c r="E897" s="2">
        <f>+Orçamento_Não_Deson!E897</f>
        <v>0</v>
      </c>
      <c r="F897" s="2" t="str">
        <f>VLOOKUP($B897,[2]BOLETIM_SEL!$A:$H,6,0)</f>
        <v>m²</v>
      </c>
      <c r="G897" s="1407">
        <f>VLOOKUP($B897,[2]BOLETIM_SEL!$A:$H,7,0)</f>
        <v>0.49330000000000002</v>
      </c>
      <c r="H897" s="1608">
        <f>+Orçamento_Não_Deson!H897</f>
        <v>0</v>
      </c>
      <c r="I897" s="132">
        <f t="shared" si="174"/>
        <v>0.63</v>
      </c>
      <c r="J897" s="1607">
        <f t="shared" si="175"/>
        <v>0</v>
      </c>
      <c r="K897" s="2069">
        <f t="shared" ca="1" si="172"/>
        <v>0</v>
      </c>
      <c r="L897" s="1570" t="e">
        <f t="shared" si="173"/>
        <v>#DIV/0!</v>
      </c>
      <c r="M897" s="1980"/>
      <c r="N897" s="3"/>
      <c r="O897" s="3"/>
      <c r="Q897" s="3"/>
      <c r="R897" s="3"/>
      <c r="S897" s="3"/>
      <c r="T897" s="3"/>
      <c r="U897" s="3"/>
      <c r="V897" s="3"/>
      <c r="W897" s="3"/>
      <c r="X897" s="3"/>
    </row>
    <row r="898" spans="1:24" s="4" customFormat="1" ht="39.950000000000003" hidden="1" customHeight="1" x14ac:dyDescent="0.15">
      <c r="A898" s="2072">
        <f ca="1">+Orçamento_Não_Deson!A898</f>
        <v>12</v>
      </c>
      <c r="B898" s="833" t="str">
        <f>+Orçamento_Não_Deson!B898</f>
        <v>PFIU002</v>
      </c>
      <c r="C898" s="2" t="str">
        <f>VLOOKUP($B898,[2]BOLETIM_SEL!$A:$H,2,0)</f>
        <v>COMPOSIÇÃO</v>
      </c>
      <c r="D898" s="315" t="str">
        <f>VLOOKUP($B898,[2]BOLETIM_SEL!$A:$H,4,0)</f>
        <v>Elaboração de estudos de viabilidade para projetos de pavimentação, drenagem, sinalização viária, acessibilidade e orçamento</v>
      </c>
      <c r="E898" s="2">
        <f>+Orçamento_Não_Deson!E898</f>
        <v>0</v>
      </c>
      <c r="F898" s="2" t="str">
        <f>VLOOKUP($B898,[2]BOLETIM_SEL!$A:$H,6,0)</f>
        <v>km</v>
      </c>
      <c r="G898" s="1407">
        <f>VLOOKUP($B898,[2]BOLETIM_SEL!$A:$H,7,0)</f>
        <v>3455.9738000000002</v>
      </c>
      <c r="H898" s="1608">
        <f>+Orçamento_Não_Deson!H898</f>
        <v>0</v>
      </c>
      <c r="I898" s="132">
        <f t="shared" si="174"/>
        <v>4429.5200000000004</v>
      </c>
      <c r="J898" s="1607">
        <f t="shared" si="175"/>
        <v>0</v>
      </c>
      <c r="K898" s="2069">
        <f t="shared" ca="1" si="172"/>
        <v>0</v>
      </c>
      <c r="L898" s="1570" t="e">
        <f t="shared" si="173"/>
        <v>#DIV/0!</v>
      </c>
      <c r="M898" s="1980"/>
      <c r="N898" s="3"/>
      <c r="O898" s="3"/>
      <c r="Q898" s="3"/>
      <c r="R898" s="3"/>
      <c r="S898" s="3"/>
      <c r="T898" s="3"/>
      <c r="U898" s="3"/>
      <c r="V898" s="3"/>
      <c r="W898" s="3"/>
      <c r="X898" s="3"/>
    </row>
    <row r="899" spans="1:24" s="4" customFormat="1" ht="39.950000000000003" hidden="1" customHeight="1" x14ac:dyDescent="0.15">
      <c r="A899" s="2072">
        <f ca="1">+Orçamento_Não_Deson!A899</f>
        <v>12</v>
      </c>
      <c r="B899" s="833" t="str">
        <f>+Orçamento_Não_Deson!B899</f>
        <v>PBPC001</v>
      </c>
      <c r="C899" s="2" t="str">
        <f>VLOOKUP($B899,[2]BOLETIM_SEL!$A:$H,2,0)</f>
        <v>COMPOSIÇÃO</v>
      </c>
      <c r="D899" s="315" t="str">
        <f>VLOOKUP($B899,[2]BOLETIM_SEL!$A:$H,4,0)</f>
        <v>Elaboração de estudos de viabilidade para projeto funcional de OAE (ponte) em concreto armado inclusive estudos hidrológico e projeto de acessibilidade e sinalização viária. Exclusive serviços topográficos e geotécnicos</v>
      </c>
      <c r="E899" s="2">
        <f>+Orçamento_Não_Deson!E899</f>
        <v>0</v>
      </c>
      <c r="F899" s="2" t="str">
        <f>VLOOKUP($B899,[2]BOLETIM_SEL!$A:$H,6,0)</f>
        <v>m</v>
      </c>
      <c r="G899" s="1407">
        <f>VLOOKUP($B899,[2]BOLETIM_SEL!$A:$H,7,0)</f>
        <v>622.97</v>
      </c>
      <c r="H899" s="1608">
        <f>+Orçamento_Não_Deson!H899</f>
        <v>0</v>
      </c>
      <c r="I899" s="132">
        <f t="shared" si="174"/>
        <v>798.46</v>
      </c>
      <c r="J899" s="1607">
        <f t="shared" si="175"/>
        <v>0</v>
      </c>
      <c r="K899" s="2069">
        <f t="shared" ca="1" si="172"/>
        <v>0</v>
      </c>
      <c r="L899" s="1570" t="e">
        <f t="shared" si="173"/>
        <v>#DIV/0!</v>
      </c>
      <c r="M899" s="1980"/>
      <c r="N899" s="3"/>
      <c r="O899" s="3"/>
      <c r="Q899" s="3"/>
      <c r="R899" s="3"/>
      <c r="S899" s="3"/>
      <c r="T899" s="3"/>
      <c r="U899" s="3"/>
      <c r="V899" s="3"/>
      <c r="W899" s="3"/>
      <c r="X899" s="3"/>
    </row>
    <row r="900" spans="1:24" s="4" customFormat="1" ht="30" hidden="1" customHeight="1" x14ac:dyDescent="0.15">
      <c r="A900" s="2072">
        <f ca="1">+Orçamento_Não_Deson!A900</f>
        <v>12</v>
      </c>
      <c r="B900" s="833" t="str">
        <f>+Orçamento_Não_Deson!B900</f>
        <v>EHAU001</v>
      </c>
      <c r="C900" s="2" t="str">
        <f>VLOOKUP($B900,[2]BOLETIM_SEL!$A:$H,2,0)</f>
        <v>COMPOSIÇÃO</v>
      </c>
      <c r="D900" s="315" t="str">
        <f>VLOOKUP($B900,[2]BOLETIM_SEL!$A:$H,4,0)</f>
        <v>Elaboração de estudo hidrológico de área urbanizada</v>
      </c>
      <c r="E900" s="2">
        <f>+Orçamento_Não_Deson!E900</f>
        <v>0</v>
      </c>
      <c r="F900" s="2" t="str">
        <f>VLOOKUP($B900,[2]BOLETIM_SEL!$A:$H,6,0)</f>
        <v xml:space="preserve">ha </v>
      </c>
      <c r="G900" s="1407">
        <f>VLOOKUP($B900,[2]BOLETIM_SEL!$A:$H,7,0)</f>
        <v>22.61</v>
      </c>
      <c r="H900" s="1608">
        <f>+Orçamento_Não_Deson!H900</f>
        <v>0</v>
      </c>
      <c r="I900" s="132">
        <f t="shared" si="174"/>
        <v>28.97</v>
      </c>
      <c r="J900" s="1607">
        <f t="shared" si="175"/>
        <v>0</v>
      </c>
      <c r="K900" s="2069">
        <f t="shared" ca="1" si="172"/>
        <v>0</v>
      </c>
      <c r="L900" s="1570" t="e">
        <f t="shared" si="173"/>
        <v>#DIV/0!</v>
      </c>
      <c r="M900" s="1980"/>
      <c r="N900" s="3"/>
      <c r="O900" s="3"/>
      <c r="Q900" s="3"/>
      <c r="R900" s="3"/>
      <c r="S900" s="3"/>
      <c r="T900" s="3"/>
      <c r="U900" s="3"/>
      <c r="V900" s="3"/>
      <c r="W900" s="3"/>
      <c r="X900" s="3"/>
    </row>
    <row r="901" spans="1:24" s="4" customFormat="1" ht="30" hidden="1" customHeight="1" x14ac:dyDescent="0.15">
      <c r="A901" s="2072">
        <f ca="1">+Orçamento_Não_Deson!A901</f>
        <v>12</v>
      </c>
      <c r="B901" s="833" t="str">
        <f>+Orçamento_Não_Deson!B901</f>
        <v>EHAU002</v>
      </c>
      <c r="C901" s="2" t="str">
        <f>VLOOKUP($B901,[2]BOLETIM_SEL!$A:$H,2,0)</f>
        <v>COMPOSIÇÃO</v>
      </c>
      <c r="D901" s="315" t="str">
        <f>VLOOKUP($B901,[2]BOLETIM_SEL!$A:$H,4,0)</f>
        <v>Elaboração de estudo hidrológico de área rural</v>
      </c>
      <c r="E901" s="2">
        <f>+Orçamento_Não_Deson!E901</f>
        <v>0</v>
      </c>
      <c r="F901" s="2" t="str">
        <f>VLOOKUP($B901,[2]BOLETIM_SEL!$A:$H,6,0)</f>
        <v>km²</v>
      </c>
      <c r="G901" s="1407">
        <f>VLOOKUP($B901,[2]BOLETIM_SEL!$A:$H,7,0)</f>
        <v>1300.25</v>
      </c>
      <c r="H901" s="1608">
        <f>+Orçamento_Não_Deson!H901</f>
        <v>0</v>
      </c>
      <c r="I901" s="132">
        <f t="shared" si="174"/>
        <v>1666.53</v>
      </c>
      <c r="J901" s="1607">
        <f t="shared" si="175"/>
        <v>0</v>
      </c>
      <c r="K901" s="2069">
        <f t="shared" ca="1" si="172"/>
        <v>0</v>
      </c>
      <c r="L901" s="1570" t="e">
        <f t="shared" si="173"/>
        <v>#DIV/0!</v>
      </c>
      <c r="M901" s="1980"/>
      <c r="N901" s="3"/>
      <c r="O901" s="3"/>
      <c r="Q901" s="3"/>
      <c r="R901" s="3"/>
      <c r="S901" s="3"/>
      <c r="T901" s="3"/>
      <c r="U901" s="3"/>
      <c r="V901" s="3"/>
      <c r="W901" s="3"/>
      <c r="X901" s="3"/>
    </row>
    <row r="902" spans="1:24" s="4" customFormat="1" ht="39.950000000000003" hidden="1" customHeight="1" x14ac:dyDescent="0.15">
      <c r="A902" s="2072">
        <f ca="1">+Orçamento_Não_Deson!A902</f>
        <v>12</v>
      </c>
      <c r="B902" s="833" t="str">
        <f>+Orçamento_Não_Deson!B902</f>
        <v>EG0001</v>
      </c>
      <c r="C902" s="2" t="str">
        <f>VLOOKUP($B902,[2]BOLETIM_SEL!$A:$H,2,0)</f>
        <v>COMPOSIÇÃO</v>
      </c>
      <c r="D902" s="315" t="str">
        <f>VLOOKUP($B902,[2]BOLETIM_SEL!$A:$H,4,0)</f>
        <v>Serviços geotécnicos de sondagem à trado ( 1 un com 2m de prof.) e ensaios de solo de granulometria por peneiramento, limites de liquidez e plasticidade, compactação e ISC na energia modificada (1 cj)</v>
      </c>
      <c r="E902" s="2">
        <f>+Orçamento_Não_Deson!E902</f>
        <v>0</v>
      </c>
      <c r="F902" s="2" t="str">
        <f>VLOOKUP($B902,[2]BOLETIM_SEL!$A:$H,6,0)</f>
        <v xml:space="preserve">un </v>
      </c>
      <c r="G902" s="1407">
        <f>VLOOKUP($B902,[2]BOLETIM_SEL!$A:$H,7,0)</f>
        <v>965.29</v>
      </c>
      <c r="H902" s="1608">
        <f>+Orçamento_Não_Deson!H902</f>
        <v>0</v>
      </c>
      <c r="I902" s="132">
        <f t="shared" si="174"/>
        <v>1237.21</v>
      </c>
      <c r="J902" s="1607">
        <f t="shared" si="175"/>
        <v>0</v>
      </c>
      <c r="K902" s="2069">
        <f t="shared" ca="1" si="172"/>
        <v>0</v>
      </c>
      <c r="L902" s="1570" t="e">
        <f t="shared" si="173"/>
        <v>#DIV/0!</v>
      </c>
      <c r="M902" s="1980"/>
      <c r="N902" s="3"/>
      <c r="O902" s="3"/>
      <c r="Q902" s="3"/>
      <c r="R902" s="3"/>
      <c r="S902" s="3"/>
      <c r="T902" s="3"/>
      <c r="U902" s="3"/>
      <c r="V902" s="3"/>
      <c r="W902" s="3"/>
      <c r="X902" s="3"/>
    </row>
    <row r="903" spans="1:24" s="4" customFormat="1" ht="39.950000000000003" hidden="1" customHeight="1" x14ac:dyDescent="0.15">
      <c r="A903" s="2072">
        <f ca="1">+Orçamento_Não_Deson!A903</f>
        <v>12</v>
      </c>
      <c r="B903" s="833" t="str">
        <f>+Orçamento_Não_Deson!B903</f>
        <v>EG0012</v>
      </c>
      <c r="C903" s="2" t="str">
        <f>VLOOKUP($B903,[2]BOLETIM_SEL!$A:$H,2,0)</f>
        <v>COMPOSIÇÃO</v>
      </c>
      <c r="D903" s="315" t="str">
        <f>VLOOKUP($B903,[2]BOLETIM_SEL!$A:$H,4,0)</f>
        <v>Serviços geotécnicos de sondagem à trado (1un com 2m de prof.) e ensaios de solo de granulometria por peneiramento, limites de liquidez e plasticidade, compactação e ISC na energia intermediária (1cj)</v>
      </c>
      <c r="E903" s="2">
        <f>+Orçamento_Não_Deson!E903</f>
        <v>0</v>
      </c>
      <c r="F903" s="2" t="str">
        <f>VLOOKUP($B903,[2]BOLETIM_SEL!$A:$H,6,0)</f>
        <v xml:space="preserve">un </v>
      </c>
      <c r="G903" s="1407">
        <f>VLOOKUP($B903,[2]BOLETIM_SEL!$A:$H,7,0)</f>
        <v>804.08</v>
      </c>
      <c r="H903" s="1608">
        <f>+Orçamento_Não_Deson!H903</f>
        <v>0</v>
      </c>
      <c r="I903" s="132">
        <f t="shared" si="174"/>
        <v>1030.58</v>
      </c>
      <c r="J903" s="1607">
        <f t="shared" si="175"/>
        <v>0</v>
      </c>
      <c r="K903" s="2069">
        <f t="shared" ca="1" si="172"/>
        <v>0</v>
      </c>
      <c r="L903" s="1570" t="e">
        <f t="shared" si="173"/>
        <v>#DIV/0!</v>
      </c>
      <c r="M903" s="1980"/>
      <c r="N903" s="3"/>
      <c r="O903" s="3"/>
      <c r="Q903" s="3"/>
      <c r="R903" s="3"/>
      <c r="S903" s="3"/>
      <c r="T903" s="3"/>
      <c r="U903" s="3"/>
      <c r="V903" s="3"/>
      <c r="W903" s="3"/>
      <c r="X903" s="3"/>
    </row>
    <row r="904" spans="1:24" s="4" customFormat="1" ht="39.950000000000003" hidden="1" customHeight="1" x14ac:dyDescent="0.15">
      <c r="A904" s="2072">
        <f ca="1">+Orçamento_Não_Deson!A904</f>
        <v>12</v>
      </c>
      <c r="B904" s="833" t="str">
        <f>+Orçamento_Não_Deson!B904</f>
        <v>EG0014</v>
      </c>
      <c r="C904" s="2" t="str">
        <f>VLOOKUP($B904,[2]BOLETIM_SEL!$A:$H,2,0)</f>
        <v>COMPOSIÇÃO</v>
      </c>
      <c r="D904" s="315" t="str">
        <f>VLOOKUP($B904,[2]BOLETIM_SEL!$A:$H,4,0)</f>
        <v>Serviços geotécnicos de sondagem à trado (1un com 2m de prof.) e ensaios de solo de granulometria por peneiramento, limites de liquidez e plasticidade, compactação e ISC na energia intermediária, com reuso de material (1cj)</v>
      </c>
      <c r="E904" s="2">
        <f>+Orçamento_Não_Deson!E904</f>
        <v>0</v>
      </c>
      <c r="F904" s="2" t="str">
        <f>VLOOKUP($B904,[2]BOLETIM_SEL!$A:$H,6,0)</f>
        <v xml:space="preserve">un </v>
      </c>
      <c r="G904" s="1407">
        <f>VLOOKUP($B904,[2]BOLETIM_SEL!$A:$H,7,0)</f>
        <v>603.04</v>
      </c>
      <c r="H904" s="1608">
        <f>+Orçamento_Não_Deson!H904</f>
        <v>0</v>
      </c>
      <c r="I904" s="132">
        <f t="shared" si="174"/>
        <v>772.91</v>
      </c>
      <c r="J904" s="1607">
        <f t="shared" si="175"/>
        <v>0</v>
      </c>
      <c r="K904" s="2069">
        <f t="shared" ca="1" si="172"/>
        <v>0</v>
      </c>
      <c r="L904" s="1570" t="e">
        <f t="shared" si="173"/>
        <v>#DIV/0!</v>
      </c>
      <c r="M904" s="1980"/>
      <c r="N904" s="3"/>
      <c r="O904" s="3"/>
      <c r="Q904" s="3"/>
      <c r="R904" s="3"/>
      <c r="S904" s="3"/>
      <c r="T904" s="3"/>
      <c r="U904" s="3"/>
      <c r="V904" s="3"/>
      <c r="W904" s="3"/>
      <c r="X904" s="3"/>
    </row>
    <row r="905" spans="1:24" s="4" customFormat="1" ht="30" hidden="1" customHeight="1" x14ac:dyDescent="0.15">
      <c r="A905" s="2072">
        <f ca="1">+Orçamento_Não_Deson!A905</f>
        <v>12</v>
      </c>
      <c r="B905" s="833" t="str">
        <f>+Orçamento_Não_Deson!B905</f>
        <v>EG0006</v>
      </c>
      <c r="C905" s="2" t="str">
        <f>VLOOKUP($B905,[2]BOLETIM_SEL!$A:$H,2,0)</f>
        <v>COMPOSIÇÃO</v>
      </c>
      <c r="D905" s="315" t="str">
        <f>VLOOKUP($B905,[2]BOLETIM_SEL!$A:$H,4,0)</f>
        <v>Deslocamento de equipamento entre furos em terreno plano, considerando a distância até 100m</v>
      </c>
      <c r="E905" s="2">
        <f>+Orçamento_Não_Deson!E905</f>
        <v>0</v>
      </c>
      <c r="F905" s="2" t="str">
        <f>VLOOKUP($B905,[2]BOLETIM_SEL!$A:$H,6,0)</f>
        <v xml:space="preserve">un </v>
      </c>
      <c r="G905" s="1407">
        <f>VLOOKUP($B905,[2]BOLETIM_SEL!$A:$H,7,0)</f>
        <v>122.5</v>
      </c>
      <c r="H905" s="1608">
        <f>+Orçamento_Não_Deson!H905</f>
        <v>0</v>
      </c>
      <c r="I905" s="132">
        <f t="shared" si="174"/>
        <v>157</v>
      </c>
      <c r="J905" s="1607">
        <f t="shared" si="175"/>
        <v>0</v>
      </c>
      <c r="K905" s="2069">
        <f t="shared" ca="1" si="172"/>
        <v>0</v>
      </c>
      <c r="L905" s="1570" t="e">
        <f t="shared" si="173"/>
        <v>#DIV/0!</v>
      </c>
      <c r="M905" s="1980"/>
      <c r="N905" s="3"/>
      <c r="O905" s="3"/>
      <c r="Q905" s="3"/>
      <c r="R905" s="3"/>
      <c r="S905" s="3"/>
      <c r="T905" s="3"/>
      <c r="U905" s="3"/>
      <c r="V905" s="3"/>
      <c r="W905" s="3"/>
      <c r="X905" s="3"/>
    </row>
    <row r="906" spans="1:24" s="4" customFormat="1" ht="30" hidden="1" customHeight="1" x14ac:dyDescent="0.15">
      <c r="A906" s="2072">
        <f ca="1">+Orçamento_Não_Deson!A906</f>
        <v>12</v>
      </c>
      <c r="B906" s="833" t="str">
        <f>+Orçamento_Não_Deson!B906</f>
        <v>EG0007</v>
      </c>
      <c r="C906" s="2" t="str">
        <f>VLOOKUP($B906,[2]BOLETIM_SEL!$A:$H,2,0)</f>
        <v>COMPOSIÇÃO</v>
      </c>
      <c r="D906" s="315" t="str">
        <f>VLOOKUP($B906,[2]BOLETIM_SEL!$A:$H,4,0)</f>
        <v>Sondagem à percussão (SPT) com lavagem</v>
      </c>
      <c r="E906" s="2">
        <f>+Orçamento_Não_Deson!E906</f>
        <v>0</v>
      </c>
      <c r="F906" s="2" t="str">
        <f>VLOOKUP($B906,[2]BOLETIM_SEL!$A:$H,6,0)</f>
        <v>m</v>
      </c>
      <c r="G906" s="1407">
        <f>VLOOKUP($B906,[2]BOLETIM_SEL!$A:$H,7,0)</f>
        <v>173.66</v>
      </c>
      <c r="H906" s="1608">
        <f>+Orçamento_Não_Deson!H906</f>
        <v>0</v>
      </c>
      <c r="I906" s="132">
        <f t="shared" si="174"/>
        <v>222.58</v>
      </c>
      <c r="J906" s="1607">
        <f t="shared" si="175"/>
        <v>0</v>
      </c>
      <c r="K906" s="2069">
        <f t="shared" ca="1" si="172"/>
        <v>0</v>
      </c>
      <c r="L906" s="1570" t="e">
        <f t="shared" si="173"/>
        <v>#DIV/0!</v>
      </c>
      <c r="M906" s="1826"/>
      <c r="N906" s="3"/>
      <c r="O906" s="3"/>
      <c r="Q906" s="3"/>
      <c r="R906" s="3"/>
      <c r="S906" s="3"/>
      <c r="T906" s="3"/>
      <c r="U906" s="3"/>
      <c r="V906" s="3"/>
      <c r="W906" s="3"/>
      <c r="X906" s="3"/>
    </row>
    <row r="907" spans="1:24" s="4" customFormat="1" ht="30" hidden="1" customHeight="1" x14ac:dyDescent="0.15">
      <c r="A907" s="2072">
        <f ca="1">+Orçamento_Não_Deson!A907</f>
        <v>12</v>
      </c>
      <c r="B907" s="833" t="str">
        <f>+Orçamento_Não_Deson!B907</f>
        <v>EG0011</v>
      </c>
      <c r="C907" s="2" t="str">
        <f>VLOOKUP($B907,[2]BOLETIM_SEL!$A:$H,2,0)</f>
        <v>COMPOSIÇÃO</v>
      </c>
      <c r="D907" s="315" t="str">
        <f>VLOOKUP($B907,[2]BOLETIM_SEL!$A:$H,4,0)</f>
        <v>Avaliação e análise geotécnica de taludes e estabilidade de maciços em terra. Exclusive ensaios geotécnicos</v>
      </c>
      <c r="E907" s="2">
        <f>+Orçamento_Não_Deson!E907</f>
        <v>0</v>
      </c>
      <c r="F907" s="2" t="str">
        <f>VLOOKUP($B907,[2]BOLETIM_SEL!$A:$H,6,0)</f>
        <v xml:space="preserve">un </v>
      </c>
      <c r="G907" s="1407">
        <f>VLOOKUP($B907,[2]BOLETIM_SEL!$A:$H,7,0)</f>
        <v>15587.54</v>
      </c>
      <c r="H907" s="1608">
        <f>+Orçamento_Não_Deson!H907</f>
        <v>0</v>
      </c>
      <c r="I907" s="132">
        <f t="shared" si="174"/>
        <v>19978.55</v>
      </c>
      <c r="J907" s="1607">
        <f t="shared" si="175"/>
        <v>0</v>
      </c>
      <c r="K907" s="2069">
        <f t="shared" ca="1" si="172"/>
        <v>0</v>
      </c>
      <c r="L907" s="1570" t="e">
        <f t="shared" si="173"/>
        <v>#DIV/0!</v>
      </c>
      <c r="M907" s="1826"/>
      <c r="N907" s="3"/>
      <c r="O907" s="3"/>
      <c r="Q907" s="3"/>
      <c r="R907" s="3"/>
      <c r="S907" s="3"/>
      <c r="T907" s="3"/>
      <c r="U907" s="3"/>
      <c r="V907" s="3"/>
      <c r="W907" s="3"/>
      <c r="X907" s="3"/>
    </row>
    <row r="908" spans="1:24" s="4" customFormat="1" ht="30" hidden="1" customHeight="1" x14ac:dyDescent="0.15">
      <c r="A908" s="2072">
        <f ca="1">+Orçamento_Não_Deson!A908</f>
        <v>12</v>
      </c>
      <c r="B908" s="833" t="str">
        <f>+Orçamento_Não_Deson!B908</f>
        <v>ETG0001</v>
      </c>
      <c r="C908" s="2" t="str">
        <f>VLOOKUP($B908,[2]BOLETIM_SEL!$A:$H,2,0)</f>
        <v>COMPOSIÇÃO</v>
      </c>
      <c r="D908" s="315" t="str">
        <f>VLOOKUP($B908,[2]BOLETIM_SEL!$A:$H,4,0)</f>
        <v>Elaboração de estudos topográficos e geotécnicos</v>
      </c>
      <c r="E908" s="2">
        <f>+Orçamento_Não_Deson!E908</f>
        <v>0</v>
      </c>
      <c r="F908" s="2" t="str">
        <f>VLOOKUP($B908,[2]BOLETIM_SEL!$A:$H,6,0)</f>
        <v>km</v>
      </c>
      <c r="G908" s="1407">
        <f>VLOOKUP($B908,[2]BOLETIM_SEL!$A:$H,7,0)</f>
        <v>11933.317500000001</v>
      </c>
      <c r="H908" s="1608">
        <f>+Orçamento_Não_Deson!H908</f>
        <v>0</v>
      </c>
      <c r="I908" s="132">
        <f t="shared" si="174"/>
        <v>15294.93</v>
      </c>
      <c r="J908" s="1607">
        <f t="shared" si="175"/>
        <v>0</v>
      </c>
      <c r="K908" s="2069">
        <f t="shared" ca="1" si="172"/>
        <v>0</v>
      </c>
      <c r="L908" s="1570" t="e">
        <f t="shared" si="173"/>
        <v>#DIV/0!</v>
      </c>
      <c r="M908" s="1826"/>
      <c r="N908" s="3"/>
      <c r="O908" s="3"/>
      <c r="Q908" s="3"/>
      <c r="R908" s="3"/>
      <c r="S908" s="3"/>
      <c r="T908" s="3"/>
      <c r="U908" s="3"/>
      <c r="V908" s="3"/>
      <c r="W908" s="3"/>
      <c r="X908" s="3"/>
    </row>
    <row r="909" spans="1:24" s="4" customFormat="1" ht="39.950000000000003" hidden="1" customHeight="1" x14ac:dyDescent="0.15">
      <c r="A909" s="2072">
        <f ca="1">+Orçamento_Não_Deson!A909</f>
        <v>12</v>
      </c>
      <c r="B909" s="833" t="str">
        <f>+Orçamento_Não_Deson!B909</f>
        <v>ET0001</v>
      </c>
      <c r="C909" s="2" t="str">
        <f>VLOOKUP($B909,[2]BOLETIM_SEL!$A:$H,2,0)</f>
        <v>COMPOSIÇÃO</v>
      </c>
      <c r="D909" s="315" t="str">
        <f>VLOOKUP($B909,[2]BOLETIM_SEL!$A:$H,4,0)</f>
        <v>Levantamento topográfico por GPS ou voo aerofotogramétrico em áreas de difícil acesso, relevo acidentado e pouco habitada</v>
      </c>
      <c r="E909" s="2">
        <f>+Orçamento_Não_Deson!E909</f>
        <v>0</v>
      </c>
      <c r="F909" s="2" t="str">
        <f>VLOOKUP($B909,[2]BOLETIM_SEL!$A:$H,6,0)</f>
        <v xml:space="preserve">ha </v>
      </c>
      <c r="G909" s="1407">
        <f>VLOOKUP($B909,[2]BOLETIM_SEL!$A:$H,7,0)</f>
        <v>83.93</v>
      </c>
      <c r="H909" s="1608">
        <f>+Orçamento_Não_Deson!H909</f>
        <v>0</v>
      </c>
      <c r="I909" s="132">
        <f t="shared" si="174"/>
        <v>107.57</v>
      </c>
      <c r="J909" s="1607">
        <f t="shared" si="175"/>
        <v>0</v>
      </c>
      <c r="K909" s="2069">
        <f t="shared" ca="1" si="172"/>
        <v>0</v>
      </c>
      <c r="L909" s="1570" t="e">
        <f t="shared" si="173"/>
        <v>#DIV/0!</v>
      </c>
      <c r="M909" s="1826"/>
      <c r="N909" s="3"/>
      <c r="O909" s="3"/>
      <c r="Q909" s="3"/>
      <c r="R909" s="3"/>
      <c r="S909" s="3"/>
      <c r="T909" s="3"/>
      <c r="U909" s="3"/>
      <c r="V909" s="3"/>
      <c r="W909" s="3"/>
      <c r="X909" s="3"/>
    </row>
    <row r="910" spans="1:24" s="4" customFormat="1" ht="30" hidden="1" customHeight="1" x14ac:dyDescent="0.15">
      <c r="A910" s="2072">
        <f ca="1">+Orçamento_Não_Deson!A910</f>
        <v>12</v>
      </c>
      <c r="B910" s="833" t="str">
        <f>+Orçamento_Não_Deson!B910</f>
        <v>ET0002</v>
      </c>
      <c r="C910" s="2" t="str">
        <f>VLOOKUP($B910,[2]BOLETIM_SEL!$A:$H,2,0)</f>
        <v>COMPOSIÇÃO</v>
      </c>
      <c r="D910" s="315" t="str">
        <f>VLOOKUP($B910,[2]BOLETIM_SEL!$A:$H,4,0)</f>
        <v>Levantamento topográfico planialtimétrico semi-cadastral</v>
      </c>
      <c r="E910" s="2">
        <f>+Orçamento_Não_Deson!E910</f>
        <v>0</v>
      </c>
      <c r="F910" s="2" t="str">
        <f>VLOOKUP($B910,[2]BOLETIM_SEL!$A:$H,6,0)</f>
        <v xml:space="preserve">ha </v>
      </c>
      <c r="G910" s="1407">
        <f>VLOOKUP($B910,[2]BOLETIM_SEL!$A:$H,7,0)</f>
        <v>7854.16</v>
      </c>
      <c r="H910" s="1608">
        <f>+Orçamento_Não_Deson!H910</f>
        <v>0</v>
      </c>
      <c r="I910" s="132">
        <f t="shared" si="174"/>
        <v>10066.67</v>
      </c>
      <c r="J910" s="1607">
        <f t="shared" si="175"/>
        <v>0</v>
      </c>
      <c r="K910" s="2069">
        <f t="shared" ca="1" si="172"/>
        <v>0</v>
      </c>
      <c r="L910" s="1570" t="e">
        <f t="shared" si="173"/>
        <v>#DIV/0!</v>
      </c>
      <c r="M910" s="1826"/>
      <c r="N910" s="3"/>
      <c r="O910" s="3"/>
      <c r="Q910" s="3"/>
      <c r="R910" s="3"/>
      <c r="S910" s="3"/>
      <c r="T910" s="3"/>
      <c r="U910" s="3"/>
      <c r="V910" s="3"/>
      <c r="W910" s="3"/>
      <c r="X910" s="3"/>
    </row>
    <row r="911" spans="1:24" s="4" customFormat="1" ht="39.950000000000003" hidden="1" customHeight="1" x14ac:dyDescent="0.15">
      <c r="A911" s="2072">
        <f ca="1">+Orçamento_Não_Deson!A911</f>
        <v>12</v>
      </c>
      <c r="B911" s="833" t="str">
        <f>+Orçamento_Não_Deson!B911</f>
        <v>PIU0001</v>
      </c>
      <c r="C911" s="2" t="str">
        <f>VLOOKUP($B911,[2]BOLETIM_SEL!$A:$H,2,0)</f>
        <v>COMPOSIÇÃO</v>
      </c>
      <c r="D911" s="315" t="str">
        <f>VLOOKUP($B911,[2]BOLETIM_SEL!$A:$H,4,0)</f>
        <v>Elaboração de projetos executivos geométrico, terraplenagem, pavimentação, drenagem superficial, galeria de água pluvial, sinalização viária e acessibilidade</v>
      </c>
      <c r="E911" s="2">
        <f>+Orçamento_Não_Deson!E911</f>
        <v>0</v>
      </c>
      <c r="F911" s="2" t="str">
        <f>VLOOKUP($B911,[2]BOLETIM_SEL!$A:$H,6,0)</f>
        <v>m²</v>
      </c>
      <c r="G911" s="1407">
        <f>VLOOKUP($B911,[2]BOLETIM_SEL!$A:$H,7,0)</f>
        <v>3.38</v>
      </c>
      <c r="H911" s="1608">
        <f>+Orçamento_Não_Deson!H911</f>
        <v>0</v>
      </c>
      <c r="I911" s="132">
        <f t="shared" si="174"/>
        <v>4.33</v>
      </c>
      <c r="J911" s="1607">
        <f t="shared" si="175"/>
        <v>0</v>
      </c>
      <c r="K911" s="2069">
        <f t="shared" ca="1" si="172"/>
        <v>0</v>
      </c>
      <c r="L911" s="1570" t="e">
        <f t="shared" si="173"/>
        <v>#DIV/0!</v>
      </c>
      <c r="M911" s="1826"/>
      <c r="N911" s="3"/>
      <c r="O911" s="3"/>
      <c r="Q911" s="3"/>
      <c r="R911" s="3"/>
      <c r="S911" s="3"/>
      <c r="T911" s="3"/>
      <c r="U911" s="3"/>
      <c r="V911" s="3"/>
      <c r="W911" s="3"/>
      <c r="X911" s="3"/>
    </row>
    <row r="912" spans="1:24" s="4" customFormat="1" ht="39.950000000000003" hidden="1" customHeight="1" x14ac:dyDescent="0.15">
      <c r="A912" s="2072">
        <f ca="1">+Orçamento_Não_Deson!A912</f>
        <v>12</v>
      </c>
      <c r="B912" s="833" t="str">
        <f>+Orçamento_Não_Deson!B912</f>
        <v>PIU0006</v>
      </c>
      <c r="C912" s="2" t="str">
        <f>VLOOKUP($B912,[2]BOLETIM_SEL!$A:$H,2,0)</f>
        <v>COMPOSIÇÃO</v>
      </c>
      <c r="D912" s="315" t="str">
        <f>VLOOKUP($B912,[2]BOLETIM_SEL!$A:$H,4,0)</f>
        <v>Projeto executivo de terraplenagem, geométrico, pavimentação, sinalização viária e acessibilidade. Exclusive projeto de galeria de água pluvial</v>
      </c>
      <c r="E912" s="2">
        <f>+Orçamento_Não_Deson!E912</f>
        <v>0</v>
      </c>
      <c r="F912" s="2" t="str">
        <f>VLOOKUP($B912,[2]BOLETIM_SEL!$A:$H,6,0)</f>
        <v>m²</v>
      </c>
      <c r="G912" s="1407">
        <f>VLOOKUP($B912,[2]BOLETIM_SEL!$A:$H,7,0)</f>
        <v>2.61</v>
      </c>
      <c r="H912" s="1608">
        <f>+Orçamento_Não_Deson!H912</f>
        <v>0</v>
      </c>
      <c r="I912" s="132">
        <f t="shared" si="174"/>
        <v>3.34</v>
      </c>
      <c r="J912" s="1607">
        <f t="shared" si="175"/>
        <v>0</v>
      </c>
      <c r="K912" s="2069">
        <f t="shared" ca="1" si="172"/>
        <v>0</v>
      </c>
      <c r="L912" s="1570" t="e">
        <f t="shared" si="173"/>
        <v>#DIV/0!</v>
      </c>
      <c r="M912" s="1826"/>
      <c r="N912" s="3"/>
      <c r="O912" s="3"/>
      <c r="Q912" s="3"/>
      <c r="R912" s="3"/>
      <c r="S912" s="3"/>
      <c r="T912" s="3"/>
      <c r="U912" s="3"/>
      <c r="V912" s="3"/>
      <c r="W912" s="3"/>
      <c r="X912" s="3"/>
    </row>
    <row r="913" spans="1:24" s="4" customFormat="1" ht="30" hidden="1" customHeight="1" x14ac:dyDescent="0.15">
      <c r="A913" s="2072">
        <f ca="1">+Orçamento_Não_Deson!A913</f>
        <v>12</v>
      </c>
      <c r="B913" s="833" t="str">
        <f>+Orçamento_Não_Deson!B913</f>
        <v>PIU0004</v>
      </c>
      <c r="C913" s="2" t="str">
        <f>VLOOKUP($B913,[2]BOLETIM_SEL!$A:$H,2,0)</f>
        <v>COMPOSIÇÃO</v>
      </c>
      <c r="D913" s="315" t="str">
        <f>VLOOKUP($B913,[2]BOLETIM_SEL!$A:$H,4,0)</f>
        <v>Elaboração de projeto executivo de galerias de drenagem de águas pluviais. Exclusive serviços topográficos e geotécnicos</v>
      </c>
      <c r="E913" s="2">
        <f>+Orçamento_Não_Deson!E913</f>
        <v>0</v>
      </c>
      <c r="F913" s="2" t="str">
        <f>VLOOKUP($B913,[2]BOLETIM_SEL!$A:$H,6,0)</f>
        <v>m</v>
      </c>
      <c r="G913" s="1407">
        <f>VLOOKUP($B913,[2]BOLETIM_SEL!$A:$H,7,0)</f>
        <v>7.76</v>
      </c>
      <c r="H913" s="1608">
        <f>+Orçamento_Não_Deson!H913</f>
        <v>0</v>
      </c>
      <c r="I913" s="132">
        <f t="shared" si="174"/>
        <v>9.94</v>
      </c>
      <c r="J913" s="1607">
        <f t="shared" si="175"/>
        <v>0</v>
      </c>
      <c r="K913" s="2069">
        <f t="shared" ca="1" si="172"/>
        <v>0</v>
      </c>
      <c r="L913" s="1570" t="e">
        <f t="shared" si="173"/>
        <v>#DIV/0!</v>
      </c>
      <c r="M913" s="1826"/>
      <c r="N913" s="3"/>
      <c r="O913" s="3"/>
      <c r="Q913" s="3"/>
      <c r="R913" s="3"/>
      <c r="S913" s="3"/>
      <c r="T913" s="3"/>
      <c r="U913" s="3"/>
      <c r="V913" s="3"/>
      <c r="W913" s="3"/>
      <c r="X913" s="3"/>
    </row>
    <row r="914" spans="1:24" s="4" customFormat="1" ht="50.1" hidden="1" customHeight="1" x14ac:dyDescent="0.15">
      <c r="A914" s="2072">
        <f ca="1">+Orçamento_Não_Deson!A914</f>
        <v>12</v>
      </c>
      <c r="B914" s="833" t="str">
        <f>+Orçamento_Não_Deson!B914</f>
        <v>PIU0003</v>
      </c>
      <c r="C914" s="2" t="str">
        <f>VLOOKUP($B914,[2]BOLETIM_SEL!$A:$H,2,0)</f>
        <v>COMPOSIÇÃO</v>
      </c>
      <c r="D914" s="315" t="str">
        <f>VLOOKUP($B914,[2]BOLETIM_SEL!$A:$H,4,0)</f>
        <v>Elaboração de projetos executivo de interseção e adequação viária em até 3.000m² de área de intervenção. Incluindo projetos geométrico, terraplenagem, pavimentação, drenagem superficial e bueiros, sinalização viária e acessibilidade. Exclusive serviços topográficos e geotécnicos</v>
      </c>
      <c r="E914" s="2">
        <f>+Orçamento_Não_Deson!E914</f>
        <v>0</v>
      </c>
      <c r="F914" s="2" t="str">
        <f>VLOOKUP($B914,[2]BOLETIM_SEL!$A:$H,6,0)</f>
        <v xml:space="preserve">un </v>
      </c>
      <c r="G914" s="1407">
        <f>VLOOKUP($B914,[2]BOLETIM_SEL!$A:$H,7,0)</f>
        <v>38004.49</v>
      </c>
      <c r="H914" s="1608">
        <f>+Orçamento_Não_Deson!H914</f>
        <v>0</v>
      </c>
      <c r="I914" s="132">
        <f t="shared" si="174"/>
        <v>48710.35</v>
      </c>
      <c r="J914" s="1607">
        <f t="shared" si="175"/>
        <v>0</v>
      </c>
      <c r="K914" s="2069">
        <f t="shared" ca="1" si="172"/>
        <v>0</v>
      </c>
      <c r="L914" s="1570" t="e">
        <f t="shared" si="173"/>
        <v>#DIV/0!</v>
      </c>
      <c r="M914" s="1826"/>
      <c r="N914" s="3"/>
      <c r="O914" s="3"/>
      <c r="Q914" s="3"/>
      <c r="R914" s="3"/>
      <c r="S914" s="3"/>
      <c r="T914" s="3"/>
      <c r="U914" s="3"/>
      <c r="V914" s="3"/>
      <c r="W914" s="3"/>
      <c r="X914" s="3"/>
    </row>
    <row r="915" spans="1:24" s="4" customFormat="1" ht="30" hidden="1" customHeight="1" x14ac:dyDescent="0.15">
      <c r="A915" s="2072">
        <f ca="1">+Orçamento_Não_Deson!A915</f>
        <v>12</v>
      </c>
      <c r="B915" s="833" t="str">
        <f>+Orçamento_Não_Deson!B915</f>
        <v>PIU0014</v>
      </c>
      <c r="C915" s="2" t="str">
        <f>VLOOKUP($B915,[2]BOLETIM_SEL!$A:$H,2,0)</f>
        <v>COMPOSIÇÃO</v>
      </c>
      <c r="D915" s="315" t="str">
        <f>VLOOKUP($B915,[2]BOLETIM_SEL!$A:$H,4,0)</f>
        <v>Elaboração projeto executivo de calçada em via urbana, incluindo estudos topográficos e acessibilidade</v>
      </c>
      <c r="E915" s="2">
        <f>+Orçamento_Não_Deson!E915</f>
        <v>0</v>
      </c>
      <c r="F915" s="2" t="str">
        <f>VLOOKUP($B915,[2]BOLETIM_SEL!$A:$H,6,0)</f>
        <v>km</v>
      </c>
      <c r="G915" s="1407">
        <f>VLOOKUP($B915,[2]BOLETIM_SEL!$A:$H,7,0)</f>
        <v>3279.22</v>
      </c>
      <c r="H915" s="1608">
        <f>+Orçamento_Não_Deson!H915</f>
        <v>0</v>
      </c>
      <c r="I915" s="132">
        <f t="shared" si="174"/>
        <v>4202.97</v>
      </c>
      <c r="J915" s="1607">
        <f t="shared" si="175"/>
        <v>0</v>
      </c>
      <c r="K915" s="2069">
        <f t="shared" ca="1" si="172"/>
        <v>0</v>
      </c>
      <c r="L915" s="1570" t="e">
        <f t="shared" si="173"/>
        <v>#DIV/0!</v>
      </c>
      <c r="M915" s="1826"/>
      <c r="N915" s="3"/>
      <c r="O915" s="3"/>
      <c r="Q915" s="3"/>
      <c r="R915" s="3"/>
      <c r="S915" s="3"/>
      <c r="T915" s="3"/>
      <c r="U915" s="3"/>
      <c r="V915" s="3"/>
      <c r="W915" s="3"/>
      <c r="X915" s="3"/>
    </row>
    <row r="916" spans="1:24" s="4" customFormat="1" ht="39.950000000000003" hidden="1" customHeight="1" x14ac:dyDescent="0.15">
      <c r="A916" s="2072">
        <f ca="1">+Orçamento_Não_Deson!A916</f>
        <v>12</v>
      </c>
      <c r="B916" s="833" t="str">
        <f>+Orçamento_Não_Deson!B916</f>
        <v>PIU0015</v>
      </c>
      <c r="C916" s="2" t="str">
        <f>VLOOKUP($B916,[2]BOLETIM_SEL!$A:$H,2,0)</f>
        <v>COMPOSIÇÃO</v>
      </c>
      <c r="D916" s="315" t="str">
        <f>VLOOKUP($B916,[2]BOLETIM_SEL!$A:$H,4,0)</f>
        <v>Elaboração projeto executivo de ciclovia e ciclofaixa em via urbana, incluindo estudos topográficos e projeto de sinalização viária e acessibilidade</v>
      </c>
      <c r="E916" s="2">
        <f>+Orçamento_Não_Deson!E916</f>
        <v>0</v>
      </c>
      <c r="F916" s="2" t="str">
        <f>VLOOKUP($B916,[2]BOLETIM_SEL!$A:$H,6,0)</f>
        <v>km</v>
      </c>
      <c r="G916" s="1407">
        <f>VLOOKUP($B916,[2]BOLETIM_SEL!$A:$H,7,0)</f>
        <v>3697</v>
      </c>
      <c r="H916" s="1608">
        <f>+Orçamento_Não_Deson!H916</f>
        <v>0</v>
      </c>
      <c r="I916" s="132">
        <f t="shared" si="174"/>
        <v>4738.4399999999996</v>
      </c>
      <c r="J916" s="1607">
        <f t="shared" si="175"/>
        <v>0</v>
      </c>
      <c r="K916" s="2069">
        <f t="shared" ca="1" si="172"/>
        <v>0</v>
      </c>
      <c r="L916" s="1570" t="e">
        <f t="shared" si="173"/>
        <v>#DIV/0!</v>
      </c>
      <c r="M916" s="1826"/>
      <c r="N916" s="3"/>
      <c r="O916" s="3"/>
      <c r="Q916" s="3"/>
      <c r="R916" s="3"/>
      <c r="S916" s="3"/>
      <c r="T916" s="3"/>
      <c r="U916" s="3"/>
      <c r="V916" s="3"/>
      <c r="W916" s="3"/>
      <c r="X916" s="3"/>
    </row>
    <row r="917" spans="1:24" s="4" customFormat="1" ht="39.950000000000003" hidden="1" customHeight="1" x14ac:dyDescent="0.15">
      <c r="A917" s="2072">
        <f ca="1">+Orçamento_Não_Deson!A917</f>
        <v>12</v>
      </c>
      <c r="B917" s="833" t="str">
        <f>+Orçamento_Não_Deson!B917</f>
        <v>PRIU003</v>
      </c>
      <c r="C917" s="2" t="str">
        <f>VLOOKUP($B917,[2]BOLETIM_SEL!$A:$H,2,0)</f>
        <v>COMPOSIÇÃO</v>
      </c>
      <c r="D917" s="315" t="str">
        <f>VLOOKUP($B917,[2]BOLETIM_SEL!$A:$H,4,0)</f>
        <v>Elaboração de estudo de avaliação estrutural do pavimento – viga benkelman e/ou Falling Weight Deflectometer - FWD. Extensão mínima 20 km</v>
      </c>
      <c r="E917" s="2">
        <f>+Orçamento_Não_Deson!E917</f>
        <v>0</v>
      </c>
      <c r="F917" s="2" t="str">
        <f>VLOOKUP($B917,[2]BOLETIM_SEL!$A:$H,6,0)</f>
        <v>km.faixa</v>
      </c>
      <c r="G917" s="1407">
        <f>VLOOKUP($B917,[2]BOLETIM_SEL!$A:$H,7,0)</f>
        <v>337.55</v>
      </c>
      <c r="H917" s="1608">
        <f>+Orçamento_Não_Deson!H917</f>
        <v>0</v>
      </c>
      <c r="I917" s="132">
        <f t="shared" si="174"/>
        <v>432.63</v>
      </c>
      <c r="J917" s="1607">
        <f t="shared" si="175"/>
        <v>0</v>
      </c>
      <c r="K917" s="2069">
        <f t="shared" ca="1" si="172"/>
        <v>0</v>
      </c>
      <c r="L917" s="1570" t="e">
        <f t="shared" si="173"/>
        <v>#DIV/0!</v>
      </c>
      <c r="M917" s="1826"/>
      <c r="N917" s="3"/>
      <c r="O917" s="3"/>
      <c r="Q917" s="3"/>
      <c r="R917" s="3"/>
      <c r="S917" s="3"/>
      <c r="T917" s="3"/>
      <c r="U917" s="3"/>
      <c r="V917" s="3"/>
      <c r="W917" s="3"/>
      <c r="X917" s="3"/>
    </row>
    <row r="918" spans="1:24" s="4" customFormat="1" ht="39.950000000000003" hidden="1" customHeight="1" x14ac:dyDescent="0.15">
      <c r="A918" s="2072">
        <f ca="1">+Orçamento_Não_Deson!A918</f>
        <v>12</v>
      </c>
      <c r="B918" s="833" t="str">
        <f>+Orçamento_Não_Deson!B918</f>
        <v>PRIU002</v>
      </c>
      <c r="C918" s="2" t="str">
        <f>VLOOKUP($B918,[2]BOLETIM_SEL!$A:$H,2,0)</f>
        <v>COMPOSIÇÃO</v>
      </c>
      <c r="D918" s="315" t="str">
        <f>VLOOKUP($B918,[2]BOLETIM_SEL!$A:$H,4,0)</f>
        <v>Elaboração projeto de restauração funcional do pavimento, incluindo estudos topográficos e geotécnicos, projetos drenagem superficial, sinalização viária e acessibilidade</v>
      </c>
      <c r="E918" s="2">
        <f>+Orçamento_Não_Deson!E918</f>
        <v>0</v>
      </c>
      <c r="F918" s="2" t="str">
        <f>VLOOKUP($B918,[2]BOLETIM_SEL!$A:$H,6,0)</f>
        <v>m²</v>
      </c>
      <c r="G918" s="1407">
        <f>VLOOKUP($B918,[2]BOLETIM_SEL!$A:$H,7,0)</f>
        <v>2.0699999999999998</v>
      </c>
      <c r="H918" s="1608">
        <f>+Orçamento_Não_Deson!H918</f>
        <v>0</v>
      </c>
      <c r="I918" s="132">
        <f t="shared" si="174"/>
        <v>2.65</v>
      </c>
      <c r="J918" s="1607">
        <f t="shared" si="175"/>
        <v>0</v>
      </c>
      <c r="K918" s="2069">
        <f t="shared" ca="1" si="172"/>
        <v>0</v>
      </c>
      <c r="L918" s="1570" t="e">
        <f t="shared" si="173"/>
        <v>#DIV/0!</v>
      </c>
      <c r="M918" s="1826"/>
      <c r="N918" s="3"/>
      <c r="O918" s="3"/>
      <c r="Q918" s="3"/>
      <c r="R918" s="3"/>
      <c r="S918" s="3"/>
      <c r="T918" s="3"/>
      <c r="U918" s="3"/>
      <c r="V918" s="3"/>
      <c r="W918" s="3"/>
      <c r="X918" s="3"/>
    </row>
    <row r="919" spans="1:24" s="4" customFormat="1" ht="30" hidden="1" customHeight="1" x14ac:dyDescent="0.15">
      <c r="A919" s="2072">
        <f ca="1">+Orçamento_Não_Deson!A919</f>
        <v>12</v>
      </c>
      <c r="B919" s="833" t="str">
        <f>+Orçamento_Não_Deson!B919</f>
        <v>PIP001</v>
      </c>
      <c r="C919" s="2" t="str">
        <f>VLOOKUP($B919,[2]BOLETIM_SEL!$A:$H,2,0)</f>
        <v>COMPOSIÇÃO</v>
      </c>
      <c r="D919" s="315" t="str">
        <f>VLOOKUP($B919,[2]BOLETIM_SEL!$A:$H,4,0)</f>
        <v>Elaboração projeto executivo de iluminação pública</v>
      </c>
      <c r="E919" s="2">
        <f>+Orçamento_Não_Deson!E919</f>
        <v>0</v>
      </c>
      <c r="F919" s="2" t="str">
        <f>VLOOKUP($B919,[2]BOLETIM_SEL!$A:$H,6,0)</f>
        <v>km</v>
      </c>
      <c r="G919" s="1407">
        <f>VLOOKUP($B919,[2]BOLETIM_SEL!$A:$H,7,0)</f>
        <v>3616.6</v>
      </c>
      <c r="H919" s="1608">
        <f>+Orçamento_Não_Deson!H919</f>
        <v>0</v>
      </c>
      <c r="I919" s="132">
        <f t="shared" si="174"/>
        <v>4635.3900000000003</v>
      </c>
      <c r="J919" s="1607">
        <f t="shared" si="175"/>
        <v>0</v>
      </c>
      <c r="K919" s="2069">
        <f t="shared" ca="1" si="172"/>
        <v>0</v>
      </c>
      <c r="L919" s="1570" t="e">
        <f t="shared" si="173"/>
        <v>#DIV/0!</v>
      </c>
      <c r="M919" s="1826"/>
      <c r="N919" s="3"/>
      <c r="O919" s="3"/>
      <c r="Q919" s="3"/>
      <c r="R919" s="3"/>
      <c r="S919" s="3"/>
      <c r="T919" s="3"/>
      <c r="U919" s="3"/>
      <c r="V919" s="3"/>
      <c r="W919" s="3"/>
      <c r="X919" s="3"/>
    </row>
    <row r="920" spans="1:24" s="4" customFormat="1" ht="39.950000000000003" hidden="1" customHeight="1" x14ac:dyDescent="0.15">
      <c r="A920" s="2072">
        <f ca="1">+Orçamento_Não_Deson!A920</f>
        <v>12</v>
      </c>
      <c r="B920" s="833" t="str">
        <f>+Orçamento_Não_Deson!B920</f>
        <v>PEPC001</v>
      </c>
      <c r="C920" s="2" t="str">
        <f>VLOOKUP($B920,[2]BOLETIM_SEL!$A:$H,2,0)</f>
        <v>COMPOSIÇÃO</v>
      </c>
      <c r="D920" s="315" t="str">
        <f>VLOOKUP($B920,[2]BOLETIM_SEL!$A:$H,4,0)</f>
        <v>Elaboração de projeto estrutural de OAE (ponte) em concreto armado inclusive estudos hidrológico e projeto de acessibilidade e sinalização viária. Exclusive serviços topográficos e geotécnicos</v>
      </c>
      <c r="E920" s="2">
        <f>+Orçamento_Não_Deson!E920</f>
        <v>0</v>
      </c>
      <c r="F920" s="2" t="str">
        <f>VLOOKUP($B920,[2]BOLETIM_SEL!$A:$H,6,0)</f>
        <v>m²</v>
      </c>
      <c r="G920" s="1407">
        <f>VLOOKUP($B920,[2]BOLETIM_SEL!$A:$H,7,0)</f>
        <v>120.98</v>
      </c>
      <c r="H920" s="1608">
        <f>+Orçamento_Não_Deson!H920</f>
        <v>0</v>
      </c>
      <c r="I920" s="132">
        <f t="shared" si="174"/>
        <v>155.06</v>
      </c>
      <c r="J920" s="1607">
        <f t="shared" si="175"/>
        <v>0</v>
      </c>
      <c r="K920" s="2069">
        <f t="shared" ca="1" si="172"/>
        <v>0</v>
      </c>
      <c r="L920" s="1570" t="e">
        <f t="shared" si="173"/>
        <v>#DIV/0!</v>
      </c>
      <c r="M920" s="1826"/>
      <c r="N920" s="3"/>
      <c r="O920" s="3"/>
      <c r="Q920" s="3"/>
      <c r="R920" s="3"/>
      <c r="S920" s="3"/>
      <c r="T920" s="3"/>
      <c r="U920" s="3"/>
      <c r="V920" s="3"/>
      <c r="W920" s="3"/>
      <c r="X920" s="3"/>
    </row>
    <row r="921" spans="1:24" s="4" customFormat="1" ht="50.1" hidden="1" customHeight="1" x14ac:dyDescent="0.15">
      <c r="A921" s="2072">
        <f ca="1">+Orçamento_Não_Deson!A921</f>
        <v>12</v>
      </c>
      <c r="B921" s="833" t="str">
        <f>+Orçamento_Não_Deson!B921</f>
        <v>PIU0008</v>
      </c>
      <c r="C921" s="2" t="str">
        <f>VLOOKUP($B921,[2]BOLETIM_SEL!$A:$H,2,0)</f>
        <v>COMPOSIÇÃO</v>
      </c>
      <c r="D921" s="315" t="str">
        <f>VLOOKUP($B921,[2]BOLETIM_SEL!$A:$H,4,0)</f>
        <v>Elaboração de projeto executivo de controle de erosão, compreendendo concepção de obras estruturantes, terraplenagem, geometria e drenagem, incluindo serviços topográficos e geotécnicos (3 ensaios completos e 3 SPT). Exclusive levantamento aerofotogramétrico</v>
      </c>
      <c r="E921" s="2">
        <f>+Orçamento_Não_Deson!E921</f>
        <v>0</v>
      </c>
      <c r="F921" s="2" t="str">
        <f>VLOOKUP($B921,[2]BOLETIM_SEL!$A:$H,6,0)</f>
        <v xml:space="preserve">ha </v>
      </c>
      <c r="G921" s="1407">
        <f>VLOOKUP($B921,[2]BOLETIM_SEL!$A:$H,7,0)</f>
        <v>11483.07</v>
      </c>
      <c r="H921" s="1608">
        <f>+Orçamento_Não_Deson!H921</f>
        <v>0</v>
      </c>
      <c r="I921" s="132">
        <f t="shared" si="174"/>
        <v>14717.85</v>
      </c>
      <c r="J921" s="1607">
        <f t="shared" si="175"/>
        <v>0</v>
      </c>
      <c r="K921" s="2069">
        <f t="shared" ca="1" si="172"/>
        <v>0</v>
      </c>
      <c r="L921" s="1570" t="e">
        <f t="shared" si="173"/>
        <v>#DIV/0!</v>
      </c>
      <c r="M921" s="1826"/>
      <c r="N921" s="3"/>
      <c r="O921" s="3"/>
      <c r="Q921" s="3"/>
      <c r="R921" s="3"/>
      <c r="S921" s="3"/>
      <c r="T921" s="3"/>
      <c r="U921" s="3"/>
      <c r="V921" s="3"/>
      <c r="W921" s="3"/>
      <c r="X921" s="3"/>
    </row>
    <row r="922" spans="1:24" s="4" customFormat="1" ht="39.950000000000003" hidden="1" customHeight="1" x14ac:dyDescent="0.15">
      <c r="A922" s="2072">
        <f ca="1">+Orçamento_Não_Deson!A922</f>
        <v>12</v>
      </c>
      <c r="B922" s="833" t="str">
        <f>+Orçamento_Não_Deson!B922</f>
        <v>PIU0011</v>
      </c>
      <c r="C922" s="2" t="str">
        <f>VLOOKUP($B922,[2]BOLETIM_SEL!$A:$H,2,0)</f>
        <v>COMPOSIÇÃO</v>
      </c>
      <c r="D922" s="315" t="str">
        <f>VLOOKUP($B922,[2]BOLETIM_SEL!$A:$H,4,0)</f>
        <v>Elaboração de projeto executivo de bacia de amortecimento de drenagem de águas pluviais. Exclusive serviços topográficos e geotécnicos e projeto estrutural de contenção de talude</v>
      </c>
      <c r="E922" s="2">
        <f>+Orçamento_Não_Deson!E922</f>
        <v>0</v>
      </c>
      <c r="F922" s="2" t="str">
        <f>VLOOKUP($B922,[2]BOLETIM_SEL!$A:$H,6,0)</f>
        <v>m³</v>
      </c>
      <c r="G922" s="1407">
        <f>VLOOKUP($B922,[2]BOLETIM_SEL!$A:$H,7,0)</f>
        <v>2.21</v>
      </c>
      <c r="H922" s="1608">
        <f>+Orçamento_Não_Deson!H922</f>
        <v>0</v>
      </c>
      <c r="I922" s="132">
        <f t="shared" si="174"/>
        <v>2.83</v>
      </c>
      <c r="J922" s="1607">
        <f t="shared" si="175"/>
        <v>0</v>
      </c>
      <c r="K922" s="2069">
        <f t="shared" ca="1" si="172"/>
        <v>0</v>
      </c>
      <c r="L922" s="1570" t="e">
        <f t="shared" si="173"/>
        <v>#DIV/0!</v>
      </c>
      <c r="M922" s="1826"/>
      <c r="N922" s="3"/>
      <c r="O922" s="3"/>
      <c r="Q922" s="3"/>
      <c r="R922" s="3"/>
      <c r="S922" s="3"/>
      <c r="T922" s="3"/>
      <c r="U922" s="3"/>
      <c r="V922" s="3"/>
      <c r="W922" s="3"/>
      <c r="X922" s="3"/>
    </row>
    <row r="923" spans="1:24" s="4" customFormat="1" ht="39.950000000000003" hidden="1" customHeight="1" x14ac:dyDescent="0.15">
      <c r="A923" s="2072">
        <f ca="1">+Orçamento_Não_Deson!A923</f>
        <v>12</v>
      </c>
      <c r="B923" s="833" t="str">
        <f>+Orçamento_Não_Deson!B923</f>
        <v>PIU0005</v>
      </c>
      <c r="C923" s="2" t="str">
        <f>VLOOKUP($B923,[2]BOLETIM_SEL!$A:$H,2,0)</f>
        <v>COMPOSIÇÃO</v>
      </c>
      <c r="D923" s="315" t="str">
        <f>VLOOKUP($B923,[2]BOLETIM_SEL!$A:$H,4,0)</f>
        <v>Elaboração de projeto executivo estrutural e hidráulico de dispositivos de controle de velocidade e vazão de águas pluviais em concreto ou similar, até 50 m³</v>
      </c>
      <c r="E923" s="2">
        <f>+Orçamento_Não_Deson!E923</f>
        <v>0</v>
      </c>
      <c r="F923" s="2" t="str">
        <f>VLOOKUP($B923,[2]BOLETIM_SEL!$A:$H,6,0)</f>
        <v>m³</v>
      </c>
      <c r="G923" s="1407">
        <f>VLOOKUP($B923,[2]BOLETIM_SEL!$A:$H,7,0)</f>
        <v>190.15</v>
      </c>
      <c r="H923" s="1608">
        <f>+Orçamento_Não_Deson!H923</f>
        <v>0</v>
      </c>
      <c r="I923" s="132">
        <f t="shared" si="174"/>
        <v>243.71</v>
      </c>
      <c r="J923" s="1607">
        <f t="shared" si="175"/>
        <v>0</v>
      </c>
      <c r="K923" s="2069">
        <f t="shared" ca="1" si="172"/>
        <v>0</v>
      </c>
      <c r="L923" s="1570" t="e">
        <f t="shared" si="173"/>
        <v>#DIV/0!</v>
      </c>
      <c r="M923" s="1826"/>
      <c r="N923" s="3"/>
      <c r="O923" s="3"/>
      <c r="Q923" s="3"/>
      <c r="R923" s="3"/>
      <c r="S923" s="3"/>
      <c r="T923" s="3"/>
      <c r="U923" s="3"/>
      <c r="V923" s="3"/>
      <c r="W923" s="3"/>
      <c r="X923" s="3"/>
    </row>
    <row r="924" spans="1:24" s="4" customFormat="1" ht="39.950000000000003" hidden="1" customHeight="1" x14ac:dyDescent="0.15">
      <c r="A924" s="2072">
        <f ca="1">+Orçamento_Não_Deson!A924</f>
        <v>12</v>
      </c>
      <c r="B924" s="833" t="str">
        <f>+Orçamento_Não_Deson!B924</f>
        <v>PIU0009</v>
      </c>
      <c r="C924" s="2" t="str">
        <f>VLOOKUP($B924,[2]BOLETIM_SEL!$A:$H,2,0)</f>
        <v>COMPOSIÇÃO</v>
      </c>
      <c r="D924" s="315" t="str">
        <f>VLOOKUP($B924,[2]BOLETIM_SEL!$A:$H,4,0)</f>
        <v>Elaboração de projeto estrutural de estabilização de taludes através de muro de arrimo de peso e/ou gabião. Exclusive serviços topográficos e geotécnicos</v>
      </c>
      <c r="E924" s="2">
        <f>+Orçamento_Não_Deson!E924</f>
        <v>0</v>
      </c>
      <c r="F924" s="2" t="str">
        <f>VLOOKUP($B924,[2]BOLETIM_SEL!$A:$H,6,0)</f>
        <v>m²</v>
      </c>
      <c r="G924" s="1407">
        <f>VLOOKUP($B924,[2]BOLETIM_SEL!$A:$H,7,0)</f>
        <v>12.28</v>
      </c>
      <c r="H924" s="1608">
        <f>+Orçamento_Não_Deson!H924</f>
        <v>0</v>
      </c>
      <c r="I924" s="132">
        <f t="shared" si="174"/>
        <v>15.73</v>
      </c>
      <c r="J924" s="1607">
        <f t="shared" si="175"/>
        <v>0</v>
      </c>
      <c r="K924" s="2069">
        <f t="shared" ca="1" si="172"/>
        <v>0</v>
      </c>
      <c r="L924" s="1570" t="e">
        <f t="shared" si="173"/>
        <v>#DIV/0!</v>
      </c>
      <c r="M924" s="1826"/>
      <c r="N924" s="3"/>
      <c r="O924" s="3"/>
      <c r="Q924" s="3"/>
      <c r="R924" s="3"/>
      <c r="S924" s="3"/>
      <c r="T924" s="3"/>
      <c r="U924" s="3"/>
      <c r="V924" s="3"/>
      <c r="W924" s="3"/>
      <c r="X924" s="3"/>
    </row>
    <row r="925" spans="1:24" s="4" customFormat="1" ht="39.950000000000003" hidden="1" customHeight="1" x14ac:dyDescent="0.15">
      <c r="A925" s="2072">
        <f ca="1">+Orçamento_Não_Deson!A925</f>
        <v>12</v>
      </c>
      <c r="B925" s="833" t="str">
        <f>+Orçamento_Não_Deson!B925</f>
        <v>PIU0010</v>
      </c>
      <c r="C925" s="2" t="str">
        <f>VLOOKUP($B925,[2]BOLETIM_SEL!$A:$H,2,0)</f>
        <v>COMPOSIÇÃO</v>
      </c>
      <c r="D925" s="315" t="str">
        <f>VLOOKUP($B925,[2]BOLETIM_SEL!$A:$H,4,0)</f>
        <v>Elaboração de projeto estrutural de estabilização de taludes através de muro em concreto armado e/ou cortina atirantada. Exclusive serviços topográficos e geotécnicos</v>
      </c>
      <c r="E925" s="2">
        <f>+Orçamento_Não_Deson!E925</f>
        <v>0</v>
      </c>
      <c r="F925" s="2" t="str">
        <f>VLOOKUP($B925,[2]BOLETIM_SEL!$A:$H,6,0)</f>
        <v>m²</v>
      </c>
      <c r="G925" s="1407">
        <f>VLOOKUP($B925,[2]BOLETIM_SEL!$A:$H,7,0)</f>
        <v>39.31</v>
      </c>
      <c r="H925" s="1608">
        <f>+Orçamento_Não_Deson!H925</f>
        <v>0</v>
      </c>
      <c r="I925" s="132">
        <f t="shared" si="174"/>
        <v>50.38</v>
      </c>
      <c r="J925" s="1607">
        <f t="shared" si="175"/>
        <v>0</v>
      </c>
      <c r="K925" s="2069">
        <f t="shared" ca="1" si="172"/>
        <v>0</v>
      </c>
      <c r="L925" s="1570" t="e">
        <f t="shared" si="173"/>
        <v>#DIV/0!</v>
      </c>
      <c r="M925" s="1826"/>
      <c r="N925" s="3"/>
      <c r="O925" s="3"/>
      <c r="Q925" s="3"/>
      <c r="R925" s="3"/>
      <c r="S925" s="3"/>
      <c r="T925" s="3"/>
      <c r="U925" s="3"/>
      <c r="V925" s="3"/>
      <c r="W925" s="3"/>
      <c r="X925" s="3"/>
    </row>
    <row r="926" spans="1:24" s="4" customFormat="1" ht="30" hidden="1" customHeight="1" x14ac:dyDescent="0.15">
      <c r="A926" s="2072">
        <f ca="1">+Orçamento_Não_Deson!A926</f>
        <v>12</v>
      </c>
      <c r="B926" s="833" t="str">
        <f>+Orçamento_Não_Deson!B926</f>
        <v>ORINF</v>
      </c>
      <c r="C926" s="2" t="str">
        <f>VLOOKUP($B926,[2]BOLETIM_SEL!$A:$H,2,0)</f>
        <v>COMPOSIÇÃO</v>
      </c>
      <c r="D926" s="315" t="str">
        <f>VLOOKUP($B926,[2]BOLETIM_SEL!$A:$H,4,0)</f>
        <v>Orçamento de obras, cronograma, composições, cotações e plano de execução das obras</v>
      </c>
      <c r="E926" s="2">
        <f>+Orçamento_Não_Deson!E926</f>
        <v>0</v>
      </c>
      <c r="F926" s="2" t="str">
        <f>VLOOKUP($B926,[2]BOLETIM_SEL!$A:$H,6,0)</f>
        <v>km</v>
      </c>
      <c r="G926" s="1407">
        <f>VLOOKUP($B926,[2]BOLETIM_SEL!$A:$H,7,0)</f>
        <v>1292.8900000000001</v>
      </c>
      <c r="H926" s="1608">
        <f>+Orçamento_Não_Deson!H926</f>
        <v>0</v>
      </c>
      <c r="I926" s="132">
        <f t="shared" ref="I926:I927" si="176">+TRUNC(G926*(1+$J$5),2)</f>
        <v>1657.09</v>
      </c>
      <c r="J926" s="1607">
        <f t="shared" ref="J926:J927" si="177">TRUNC(H926*I926,2)</f>
        <v>0</v>
      </c>
      <c r="K926" s="2069">
        <f t="shared" ref="K926:K927" ca="1" si="178">+J926/J$930</f>
        <v>0</v>
      </c>
      <c r="L926" s="1570" t="e">
        <f t="shared" ref="L926:L927" si="179">+J926/J$891</f>
        <v>#DIV/0!</v>
      </c>
      <c r="M926" s="1826"/>
      <c r="N926" s="3"/>
      <c r="O926" s="3"/>
      <c r="Q926" s="3"/>
      <c r="R926" s="3"/>
      <c r="S926" s="3"/>
      <c r="T926" s="3"/>
      <c r="U926" s="3"/>
      <c r="V926" s="3"/>
      <c r="W926" s="3"/>
      <c r="X926" s="3"/>
    </row>
    <row r="927" spans="1:24" s="4" customFormat="1" ht="30" hidden="1" customHeight="1" x14ac:dyDescent="0.15">
      <c r="A927" s="2072">
        <f ca="1">+Orçamento_Não_Deson!A927</f>
        <v>12</v>
      </c>
      <c r="B927" s="833" t="str">
        <f>+Orçamento_Não_Deson!B927</f>
        <v>LI-AMB</v>
      </c>
      <c r="C927" s="2" t="str">
        <f>VLOOKUP($B927,[2]BOLETIM_SEL!$A:$H,2,0)</f>
        <v>COMPOSIÇÃO</v>
      </c>
      <c r="D927" s="315" t="str">
        <f>VLOOKUP($B927,[2]BOLETIM_SEL!$A:$H,4,0)</f>
        <v>Licenciamento Ambiental para projeto de lançamento de drenagem de águas pluviais</v>
      </c>
      <c r="E927" s="2">
        <f>+Orçamento_Não_Deson!E927</f>
        <v>0</v>
      </c>
      <c r="F927" s="2" t="str">
        <f>VLOOKUP($B927,[2]BOLETIM_SEL!$A:$H,6,0)</f>
        <v xml:space="preserve">un </v>
      </c>
      <c r="G927" s="1407">
        <f>VLOOKUP($B927,[2]BOLETIM_SEL!$A:$H,7,0)</f>
        <v>26144.77</v>
      </c>
      <c r="H927" s="1608">
        <f>+Orçamento_Não_Deson!H927</f>
        <v>0</v>
      </c>
      <c r="I927" s="132">
        <f t="shared" si="176"/>
        <v>33509.75</v>
      </c>
      <c r="J927" s="1607">
        <f t="shared" si="177"/>
        <v>0</v>
      </c>
      <c r="K927" s="2069">
        <f t="shared" ca="1" si="178"/>
        <v>0</v>
      </c>
      <c r="L927" s="1570" t="e">
        <f t="shared" si="179"/>
        <v>#DIV/0!</v>
      </c>
      <c r="M927" s="1826"/>
      <c r="N927" s="3"/>
      <c r="O927" s="3"/>
      <c r="Q927" s="3"/>
      <c r="R927" s="3"/>
      <c r="S927" s="3"/>
      <c r="T927" s="3"/>
      <c r="U927" s="3"/>
      <c r="V927" s="3"/>
      <c r="W927" s="3"/>
      <c r="X927" s="3"/>
    </row>
    <row r="928" spans="1:24" s="4" customFormat="1" ht="39.950000000000003" hidden="1" customHeight="1" x14ac:dyDescent="0.15">
      <c r="A928" s="2072">
        <f ca="1">+Orçamento_Não_Deson!A928</f>
        <v>12</v>
      </c>
      <c r="B928" s="833" t="str">
        <f>+Orçamento_Não_Deson!B928</f>
        <v>PIU0013</v>
      </c>
      <c r="C928" s="2" t="str">
        <f>VLOOKUP($B928,[2]BOLETIM_SEL!$A:$H,2,0)</f>
        <v>COMPOSIÇÃO</v>
      </c>
      <c r="D928" s="315" t="str">
        <f>VLOOKUP($B928,[2]BOLETIM_SEL!$A:$H,4,0)</f>
        <v>Elaboração de estudos e projetos executivo de adequação de capacidade hidráulica e estrutural de bueiro rodoviário. Exclusive serviços topográficos e geotécnicos</v>
      </c>
      <c r="E928" s="2">
        <f>+Orçamento_Não_Deson!E928</f>
        <v>0</v>
      </c>
      <c r="F928" s="2" t="str">
        <f>VLOOKUP($B928,[2]BOLETIM_SEL!$A:$H,6,0)</f>
        <v xml:space="preserve">un </v>
      </c>
      <c r="G928" s="1407">
        <f>VLOOKUP($B928,[2]BOLETIM_SEL!$A:$H,7,0)</f>
        <v>6637.32</v>
      </c>
      <c r="H928" s="1608">
        <f>+Orçamento_Não_Deson!H928</f>
        <v>0</v>
      </c>
      <c r="I928" s="132">
        <f t="shared" si="174"/>
        <v>8507.0499999999993</v>
      </c>
      <c r="J928" s="1607">
        <f t="shared" si="175"/>
        <v>0</v>
      </c>
      <c r="K928" s="2069">
        <f t="shared" ca="1" si="172"/>
        <v>0</v>
      </c>
      <c r="L928" s="1570" t="e">
        <f t="shared" si="173"/>
        <v>#DIV/0!</v>
      </c>
      <c r="M928" s="1826"/>
      <c r="N928" s="3"/>
      <c r="O928" s="3"/>
      <c r="Q928" s="3"/>
      <c r="R928" s="3"/>
      <c r="S928" s="3"/>
      <c r="T928" s="3"/>
      <c r="U928" s="3"/>
      <c r="V928" s="3"/>
      <c r="W928" s="3"/>
      <c r="X928" s="3"/>
    </row>
    <row r="929" spans="1:24" s="812" customFormat="1" ht="24.95" hidden="1" customHeight="1" x14ac:dyDescent="0.15">
      <c r="A929" s="2072"/>
      <c r="B929" s="833"/>
      <c r="C929" s="833"/>
      <c r="D929" s="834"/>
      <c r="E929" s="2"/>
      <c r="F929" s="833"/>
      <c r="G929" s="2"/>
      <c r="H929" s="836"/>
      <c r="I929" s="837"/>
      <c r="J929" s="838">
        <f>+IF(J891=0,0,"")</f>
        <v>0</v>
      </c>
      <c r="K929" s="2069"/>
      <c r="L929" s="1613"/>
      <c r="M929" s="832"/>
      <c r="N929" s="832"/>
      <c r="O929" s="832"/>
      <c r="Q929" s="832"/>
      <c r="R929" s="832"/>
      <c r="S929" s="832"/>
      <c r="T929" s="832"/>
      <c r="U929" s="832"/>
      <c r="V929" s="832"/>
      <c r="W929" s="832"/>
      <c r="X929" s="832"/>
    </row>
    <row r="930" spans="1:24" s="832" customFormat="1" ht="24.95" customHeight="1" x14ac:dyDescent="0.15">
      <c r="A930" s="1636"/>
      <c r="B930" s="1637"/>
      <c r="C930" s="1637"/>
      <c r="D930" s="1638"/>
      <c r="E930" s="1825"/>
      <c r="F930" s="1639"/>
      <c r="G930" s="1807"/>
      <c r="H930" s="1640"/>
      <c r="I930" s="1641" t="s">
        <v>37</v>
      </c>
      <c r="J930" s="1642">
        <f ca="1">SUM(J34:J929)/2</f>
        <v>3778233.399999999</v>
      </c>
      <c r="K930" s="1643">
        <f ca="1">+J930/J$930</f>
        <v>1</v>
      </c>
    </row>
    <row r="931" spans="1:24" s="843" customFormat="1" ht="24.95" customHeight="1" x14ac:dyDescent="0.15">
      <c r="A931" s="844"/>
      <c r="B931" s="844"/>
      <c r="C931" s="845"/>
      <c r="D931" s="844"/>
      <c r="E931" s="325"/>
      <c r="F931" s="844"/>
      <c r="G931" s="1808"/>
      <c r="H931" s="844"/>
      <c r="I931" s="844"/>
      <c r="J931" s="844"/>
      <c r="K931" s="1611"/>
      <c r="O931" s="832"/>
      <c r="Q931" s="832"/>
      <c r="R931" s="832"/>
      <c r="S931" s="832"/>
      <c r="T931" s="832"/>
      <c r="U931" s="832"/>
      <c r="V931" s="832"/>
      <c r="W931" s="832"/>
      <c r="X931" s="832"/>
    </row>
    <row r="932" spans="1:24" x14ac:dyDescent="0.15">
      <c r="E932" s="325"/>
      <c r="G932" s="1808"/>
    </row>
    <row r="933" spans="1:24" x14ac:dyDescent="0.15">
      <c r="E933" s="325"/>
      <c r="G933" s="1808"/>
    </row>
    <row r="934" spans="1:24" x14ac:dyDescent="0.15">
      <c r="E934" s="325"/>
      <c r="G934" s="1808"/>
    </row>
    <row r="935" spans="1:24" x14ac:dyDescent="0.15">
      <c r="E935" s="325"/>
      <c r="G935" s="1808"/>
    </row>
    <row r="936" spans="1:24" x14ac:dyDescent="0.15">
      <c r="E936" s="325"/>
      <c r="G936" s="1808"/>
    </row>
    <row r="937" spans="1:24" x14ac:dyDescent="0.15">
      <c r="E937" s="325"/>
      <c r="G937" s="1808"/>
    </row>
    <row r="938" spans="1:24" x14ac:dyDescent="0.15">
      <c r="E938" s="325"/>
      <c r="G938" s="1808"/>
    </row>
    <row r="939" spans="1:24" x14ac:dyDescent="0.15">
      <c r="E939" s="325"/>
      <c r="G939" s="1808"/>
    </row>
    <row r="940" spans="1:24" x14ac:dyDescent="0.15">
      <c r="E940" s="325"/>
      <c r="G940" s="1808"/>
    </row>
    <row r="941" spans="1:24" x14ac:dyDescent="0.15">
      <c r="E941" s="325"/>
      <c r="G941" s="1808"/>
    </row>
    <row r="942" spans="1:24" x14ac:dyDescent="0.15">
      <c r="E942" s="325"/>
      <c r="G942" s="1808"/>
    </row>
    <row r="943" spans="1:24" x14ac:dyDescent="0.15">
      <c r="E943" s="325"/>
      <c r="G943" s="1808"/>
    </row>
    <row r="944" spans="1:24" x14ac:dyDescent="0.15">
      <c r="E944" s="325"/>
    </row>
    <row r="945" spans="5:24" x14ac:dyDescent="0.15">
      <c r="E945" s="325"/>
    </row>
    <row r="946" spans="5:24" x14ac:dyDescent="0.15">
      <c r="E946" s="325"/>
    </row>
    <row r="947" spans="5:24" x14ac:dyDescent="0.15">
      <c r="E947" s="325"/>
    </row>
    <row r="948" spans="5:24" x14ac:dyDescent="0.15">
      <c r="E948" s="325"/>
    </row>
    <row r="949" spans="5:24" x14ac:dyDescent="0.15">
      <c r="E949" s="325"/>
    </row>
    <row r="950" spans="5:24" x14ac:dyDescent="0.15">
      <c r="E950" s="325"/>
    </row>
    <row r="951" spans="5:24" x14ac:dyDescent="0.15">
      <c r="E951" s="325"/>
      <c r="G951" s="844"/>
      <c r="O951" s="832"/>
      <c r="Q951" s="832"/>
      <c r="R951" s="832"/>
      <c r="S951" s="832"/>
      <c r="T951" s="832"/>
      <c r="U951" s="832"/>
      <c r="V951" s="832"/>
      <c r="W951" s="832"/>
      <c r="X951" s="832"/>
    </row>
    <row r="952" spans="5:24" x14ac:dyDescent="0.15">
      <c r="E952" s="325"/>
      <c r="G952" s="844"/>
      <c r="I952" s="197"/>
      <c r="J952" s="902"/>
      <c r="O952" s="832"/>
      <c r="Q952" s="832"/>
      <c r="R952" s="832"/>
      <c r="S952" s="832"/>
      <c r="T952" s="832"/>
      <c r="U952" s="832"/>
      <c r="V952" s="832"/>
      <c r="W952" s="832"/>
      <c r="X952" s="832"/>
    </row>
    <row r="953" spans="5:24" x14ac:dyDescent="0.15">
      <c r="E953" s="325"/>
      <c r="G953" s="844"/>
      <c r="I953" s="197"/>
      <c r="J953" s="902"/>
      <c r="O953" s="832"/>
      <c r="Q953" s="832"/>
      <c r="R953" s="832"/>
      <c r="S953" s="832"/>
      <c r="T953" s="832"/>
      <c r="U953" s="832"/>
      <c r="V953" s="832"/>
      <c r="W953" s="832"/>
      <c r="X953" s="832"/>
    </row>
    <row r="954" spans="5:24" x14ac:dyDescent="0.15">
      <c r="E954" s="325"/>
      <c r="G954" s="844"/>
      <c r="O954" s="832"/>
      <c r="Q954" s="832"/>
      <c r="R954" s="832"/>
      <c r="S954" s="832"/>
      <c r="T954" s="832"/>
      <c r="U954" s="832"/>
      <c r="V954" s="832"/>
      <c r="W954" s="832"/>
      <c r="X954" s="832"/>
    </row>
    <row r="955" spans="5:24" x14ac:dyDescent="0.15">
      <c r="E955" s="325"/>
      <c r="G955" s="844"/>
      <c r="O955" s="832"/>
      <c r="Q955" s="832"/>
      <c r="R955" s="832"/>
      <c r="S955" s="832"/>
      <c r="T955" s="832"/>
      <c r="U955" s="832"/>
      <c r="V955" s="832"/>
      <c r="W955" s="832"/>
      <c r="X955" s="832"/>
    </row>
    <row r="956" spans="5:24" x14ac:dyDescent="0.15">
      <c r="E956" s="325"/>
    </row>
    <row r="957" spans="5:24" x14ac:dyDescent="0.15">
      <c r="E957" s="325"/>
    </row>
    <row r="958" spans="5:24" x14ac:dyDescent="0.15">
      <c r="E958" s="325"/>
    </row>
    <row r="959" spans="5:24" x14ac:dyDescent="0.15">
      <c r="E959" s="325"/>
    </row>
    <row r="960" spans="5:24" x14ac:dyDescent="0.15">
      <c r="E960" s="325"/>
    </row>
    <row r="961" spans="5:5" x14ac:dyDescent="0.15">
      <c r="E961" s="325"/>
    </row>
    <row r="962" spans="5:5" x14ac:dyDescent="0.15">
      <c r="E962" s="325"/>
    </row>
    <row r="963" spans="5:5" x14ac:dyDescent="0.15">
      <c r="E963" s="325"/>
    </row>
    <row r="964" spans="5:5" x14ac:dyDescent="0.15">
      <c r="E964" s="325"/>
    </row>
    <row r="965" spans="5:5" x14ac:dyDescent="0.15">
      <c r="E965" s="325"/>
    </row>
    <row r="966" spans="5:5" x14ac:dyDescent="0.15">
      <c r="E966" s="325"/>
    </row>
    <row r="967" spans="5:5" x14ac:dyDescent="0.15">
      <c r="E967" s="325"/>
    </row>
    <row r="968" spans="5:5" x14ac:dyDescent="0.15">
      <c r="E968" s="325"/>
    </row>
    <row r="969" spans="5:5" x14ac:dyDescent="0.15">
      <c r="E969" s="325"/>
    </row>
    <row r="970" spans="5:5" x14ac:dyDescent="0.15">
      <c r="E970" s="325"/>
    </row>
    <row r="971" spans="5:5" x14ac:dyDescent="0.15">
      <c r="E971" s="325"/>
    </row>
    <row r="972" spans="5:5" x14ac:dyDescent="0.15">
      <c r="E972" s="325"/>
    </row>
    <row r="973" spans="5:5" x14ac:dyDescent="0.15">
      <c r="E973" s="325"/>
    </row>
    <row r="974" spans="5:5" x14ac:dyDescent="0.15">
      <c r="E974" s="325"/>
    </row>
    <row r="975" spans="5:5" x14ac:dyDescent="0.15">
      <c r="E975" s="325"/>
    </row>
    <row r="976" spans="5:5" x14ac:dyDescent="0.15">
      <c r="E976" s="325"/>
    </row>
    <row r="977" spans="5:5" x14ac:dyDescent="0.15">
      <c r="E977" s="325"/>
    </row>
    <row r="978" spans="5:5" x14ac:dyDescent="0.15">
      <c r="E978" s="325"/>
    </row>
    <row r="979" spans="5:5" x14ac:dyDescent="0.15">
      <c r="E979" s="325"/>
    </row>
    <row r="980" spans="5:5" x14ac:dyDescent="0.15">
      <c r="E980" s="325"/>
    </row>
    <row r="981" spans="5:5" x14ac:dyDescent="0.15">
      <c r="E981" s="325"/>
    </row>
    <row r="982" spans="5:5" x14ac:dyDescent="0.15">
      <c r="E982" s="325"/>
    </row>
    <row r="983" spans="5:5" x14ac:dyDescent="0.15">
      <c r="E983" s="325"/>
    </row>
    <row r="984" spans="5:5" x14ac:dyDescent="0.15">
      <c r="E984" s="325"/>
    </row>
    <row r="985" spans="5:5" x14ac:dyDescent="0.15">
      <c r="E985" s="325"/>
    </row>
    <row r="986" spans="5:5" x14ac:dyDescent="0.15">
      <c r="E986" s="325"/>
    </row>
    <row r="987" spans="5:5" x14ac:dyDescent="0.15">
      <c r="E987" s="325"/>
    </row>
    <row r="988" spans="5:5" x14ac:dyDescent="0.15">
      <c r="E988" s="325"/>
    </row>
    <row r="989" spans="5:5" x14ac:dyDescent="0.15">
      <c r="E989" s="325"/>
    </row>
    <row r="990" spans="5:5" x14ac:dyDescent="0.15">
      <c r="E990" s="325"/>
    </row>
    <row r="991" spans="5:5" x14ac:dyDescent="0.15">
      <c r="E991" s="325"/>
    </row>
    <row r="992" spans="5:5" x14ac:dyDescent="0.15">
      <c r="E992" s="325"/>
    </row>
    <row r="993" spans="5:5" x14ac:dyDescent="0.15">
      <c r="E993" s="325"/>
    </row>
    <row r="994" spans="5:5" x14ac:dyDescent="0.15">
      <c r="E994" s="325"/>
    </row>
    <row r="995" spans="5:5" x14ac:dyDescent="0.15">
      <c r="E995" s="325"/>
    </row>
    <row r="996" spans="5:5" x14ac:dyDescent="0.15">
      <c r="E996" s="325"/>
    </row>
    <row r="997" spans="5:5" x14ac:dyDescent="0.15">
      <c r="E997" s="325"/>
    </row>
    <row r="998" spans="5:5" x14ac:dyDescent="0.15">
      <c r="E998" s="325"/>
    </row>
    <row r="999" spans="5:5" x14ac:dyDescent="0.15">
      <c r="E999" s="325"/>
    </row>
    <row r="1000" spans="5:5" x14ac:dyDescent="0.15">
      <c r="E1000" s="325"/>
    </row>
    <row r="1001" spans="5:5" x14ac:dyDescent="0.15">
      <c r="E1001" s="325"/>
    </row>
    <row r="1002" spans="5:5" x14ac:dyDescent="0.15">
      <c r="E1002" s="325"/>
    </row>
    <row r="1003" spans="5:5" x14ac:dyDescent="0.15">
      <c r="E1003" s="325"/>
    </row>
    <row r="1004" spans="5:5" x14ac:dyDescent="0.15">
      <c r="E1004" s="325"/>
    </row>
    <row r="1005" spans="5:5" x14ac:dyDescent="0.15">
      <c r="E1005" s="325"/>
    </row>
    <row r="1006" spans="5:5" x14ac:dyDescent="0.15">
      <c r="E1006" s="325"/>
    </row>
    <row r="1007" spans="5:5" x14ac:dyDescent="0.15">
      <c r="E1007" s="325"/>
    </row>
    <row r="1008" spans="5:5" x14ac:dyDescent="0.15">
      <c r="E1008" s="325"/>
    </row>
    <row r="1009" spans="5:5" x14ac:dyDescent="0.15">
      <c r="E1009" s="325"/>
    </row>
    <row r="1010" spans="5:5" x14ac:dyDescent="0.15">
      <c r="E1010" s="325"/>
    </row>
    <row r="1011" spans="5:5" x14ac:dyDescent="0.15">
      <c r="E1011" s="325"/>
    </row>
    <row r="1012" spans="5:5" x14ac:dyDescent="0.15">
      <c r="E1012" s="325"/>
    </row>
    <row r="1013" spans="5:5" x14ac:dyDescent="0.15">
      <c r="E1013" s="325"/>
    </row>
    <row r="1014" spans="5:5" x14ac:dyDescent="0.15">
      <c r="E1014" s="325"/>
    </row>
    <row r="1015" spans="5:5" x14ac:dyDescent="0.15">
      <c r="E1015" s="325"/>
    </row>
    <row r="1016" spans="5:5" x14ac:dyDescent="0.15">
      <c r="E1016" s="325"/>
    </row>
    <row r="1017" spans="5:5" x14ac:dyDescent="0.15">
      <c r="E1017" s="325"/>
    </row>
    <row r="1018" spans="5:5" x14ac:dyDescent="0.15">
      <c r="E1018" s="325"/>
    </row>
    <row r="1019" spans="5:5" x14ac:dyDescent="0.15">
      <c r="E1019" s="325"/>
    </row>
    <row r="1020" spans="5:5" x14ac:dyDescent="0.15">
      <c r="E1020" s="325"/>
    </row>
    <row r="1021" spans="5:5" x14ac:dyDescent="0.15">
      <c r="E1021" s="325"/>
    </row>
    <row r="1022" spans="5:5" x14ac:dyDescent="0.15">
      <c r="E1022" s="325"/>
    </row>
    <row r="1023" spans="5:5" x14ac:dyDescent="0.15">
      <c r="E1023" s="325"/>
    </row>
    <row r="1024" spans="5:5" x14ac:dyDescent="0.15">
      <c r="E1024" s="325"/>
    </row>
    <row r="1025" spans="5:5" x14ac:dyDescent="0.15">
      <c r="E1025" s="325"/>
    </row>
    <row r="1026" spans="5:5" x14ac:dyDescent="0.15">
      <c r="E1026" s="325"/>
    </row>
    <row r="1027" spans="5:5" x14ac:dyDescent="0.15">
      <c r="E1027" s="325"/>
    </row>
    <row r="1028" spans="5:5" x14ac:dyDescent="0.15">
      <c r="E1028" s="325"/>
    </row>
    <row r="1029" spans="5:5" x14ac:dyDescent="0.15">
      <c r="E1029" s="325"/>
    </row>
    <row r="1030" spans="5:5" x14ac:dyDescent="0.15">
      <c r="E1030" s="325"/>
    </row>
    <row r="1031" spans="5:5" x14ac:dyDescent="0.15">
      <c r="E1031" s="325"/>
    </row>
    <row r="1032" spans="5:5" x14ac:dyDescent="0.15">
      <c r="E1032" s="325"/>
    </row>
    <row r="1033" spans="5:5" x14ac:dyDescent="0.15">
      <c r="E1033" s="325"/>
    </row>
    <row r="1034" spans="5:5" x14ac:dyDescent="0.15">
      <c r="E1034" s="325"/>
    </row>
    <row r="1035" spans="5:5" x14ac:dyDescent="0.15">
      <c r="E1035" s="325"/>
    </row>
    <row r="1036" spans="5:5" x14ac:dyDescent="0.15">
      <c r="E1036" s="325"/>
    </row>
    <row r="1037" spans="5:5" x14ac:dyDescent="0.15">
      <c r="E1037" s="325"/>
    </row>
    <row r="1038" spans="5:5" x14ac:dyDescent="0.15">
      <c r="E1038" s="325"/>
    </row>
    <row r="1039" spans="5:5" x14ac:dyDescent="0.15">
      <c r="E1039" s="325"/>
    </row>
    <row r="1040" spans="5:5" x14ac:dyDescent="0.15">
      <c r="E1040" s="325"/>
    </row>
    <row r="1041" spans="5:5" x14ac:dyDescent="0.15">
      <c r="E1041" s="325"/>
    </row>
    <row r="1042" spans="5:5" x14ac:dyDescent="0.15">
      <c r="E1042" s="325"/>
    </row>
    <row r="1043" spans="5:5" x14ac:dyDescent="0.15">
      <c r="E1043" s="325"/>
    </row>
    <row r="1044" spans="5:5" x14ac:dyDescent="0.15">
      <c r="E1044" s="325"/>
    </row>
    <row r="1045" spans="5:5" x14ac:dyDescent="0.15">
      <c r="E1045" s="325"/>
    </row>
    <row r="1046" spans="5:5" x14ac:dyDescent="0.15">
      <c r="E1046" s="325"/>
    </row>
    <row r="1047" spans="5:5" x14ac:dyDescent="0.15">
      <c r="E1047" s="325"/>
    </row>
    <row r="1048" spans="5:5" x14ac:dyDescent="0.15">
      <c r="E1048" s="325"/>
    </row>
    <row r="1049" spans="5:5" x14ac:dyDescent="0.15">
      <c r="E1049" s="325"/>
    </row>
    <row r="1050" spans="5:5" x14ac:dyDescent="0.15">
      <c r="E1050" s="325"/>
    </row>
    <row r="1051" spans="5:5" x14ac:dyDescent="0.15">
      <c r="E1051" s="325"/>
    </row>
    <row r="1052" spans="5:5" x14ac:dyDescent="0.15">
      <c r="E1052" s="325"/>
    </row>
    <row r="1053" spans="5:5" x14ac:dyDescent="0.15">
      <c r="E1053" s="325"/>
    </row>
    <row r="1054" spans="5:5" x14ac:dyDescent="0.15">
      <c r="E1054" s="325"/>
    </row>
    <row r="1055" spans="5:5" x14ac:dyDescent="0.15">
      <c r="E1055" s="325"/>
    </row>
    <row r="1056" spans="5:5" x14ac:dyDescent="0.15">
      <c r="E1056" s="325"/>
    </row>
    <row r="1057" spans="5:5" x14ac:dyDescent="0.15">
      <c r="E1057" s="325"/>
    </row>
    <row r="1058" spans="5:5" x14ac:dyDescent="0.15">
      <c r="E1058" s="325"/>
    </row>
    <row r="1059" spans="5:5" x14ac:dyDescent="0.15">
      <c r="E1059" s="325"/>
    </row>
    <row r="1060" spans="5:5" x14ac:dyDescent="0.15">
      <c r="E1060" s="325"/>
    </row>
    <row r="1061" spans="5:5" x14ac:dyDescent="0.15">
      <c r="E1061" s="325"/>
    </row>
    <row r="1062" spans="5:5" x14ac:dyDescent="0.15">
      <c r="E1062" s="325"/>
    </row>
    <row r="1063" spans="5:5" x14ac:dyDescent="0.15">
      <c r="E1063" s="325"/>
    </row>
    <row r="1064" spans="5:5" x14ac:dyDescent="0.15">
      <c r="E1064" s="325"/>
    </row>
    <row r="1065" spans="5:5" x14ac:dyDescent="0.15">
      <c r="E1065" s="325"/>
    </row>
    <row r="1066" spans="5:5" x14ac:dyDescent="0.15">
      <c r="E1066" s="325"/>
    </row>
    <row r="1067" spans="5:5" x14ac:dyDescent="0.15">
      <c r="E1067" s="325"/>
    </row>
    <row r="1068" spans="5:5" x14ac:dyDescent="0.15">
      <c r="E1068" s="325"/>
    </row>
    <row r="1069" spans="5:5" x14ac:dyDescent="0.15">
      <c r="E1069" s="325"/>
    </row>
    <row r="1070" spans="5:5" x14ac:dyDescent="0.15">
      <c r="E1070" s="325"/>
    </row>
    <row r="1071" spans="5:5" x14ac:dyDescent="0.15">
      <c r="E1071" s="325"/>
    </row>
    <row r="1072" spans="5:5" x14ac:dyDescent="0.15">
      <c r="E1072" s="325"/>
    </row>
    <row r="1073" spans="5:5" x14ac:dyDescent="0.15">
      <c r="E1073" s="325"/>
    </row>
    <row r="1074" spans="5:5" x14ac:dyDescent="0.15">
      <c r="E1074" s="325"/>
    </row>
    <row r="1075" spans="5:5" x14ac:dyDescent="0.15">
      <c r="E1075" s="325"/>
    </row>
    <row r="1076" spans="5:5" x14ac:dyDescent="0.15">
      <c r="E1076" s="325"/>
    </row>
    <row r="1077" spans="5:5" x14ac:dyDescent="0.15">
      <c r="E1077" s="325"/>
    </row>
    <row r="1078" spans="5:5" x14ac:dyDescent="0.15">
      <c r="E1078" s="325"/>
    </row>
    <row r="1079" spans="5:5" x14ac:dyDescent="0.15">
      <c r="E1079" s="325"/>
    </row>
    <row r="1080" spans="5:5" x14ac:dyDescent="0.15">
      <c r="E1080" s="325"/>
    </row>
    <row r="1081" spans="5:5" x14ac:dyDescent="0.15">
      <c r="E1081" s="325"/>
    </row>
    <row r="1082" spans="5:5" x14ac:dyDescent="0.15">
      <c r="E1082" s="325"/>
    </row>
    <row r="1083" spans="5:5" x14ac:dyDescent="0.15">
      <c r="E1083" s="325"/>
    </row>
    <row r="1084" spans="5:5" x14ac:dyDescent="0.15">
      <c r="E1084" s="325"/>
    </row>
    <row r="1085" spans="5:5" x14ac:dyDescent="0.15">
      <c r="E1085" s="325"/>
    </row>
    <row r="1086" spans="5:5" x14ac:dyDescent="0.15">
      <c r="E1086" s="325"/>
    </row>
    <row r="1087" spans="5:5" x14ac:dyDescent="0.15">
      <c r="E1087" s="325"/>
    </row>
    <row r="1088" spans="5:5" x14ac:dyDescent="0.15">
      <c r="E1088" s="325"/>
    </row>
    <row r="1089" spans="5:5" x14ac:dyDescent="0.15">
      <c r="E1089" s="325"/>
    </row>
    <row r="1090" spans="5:5" x14ac:dyDescent="0.15">
      <c r="E1090" s="325"/>
    </row>
    <row r="1091" spans="5:5" x14ac:dyDescent="0.15">
      <c r="E1091" s="325"/>
    </row>
    <row r="1092" spans="5:5" x14ac:dyDescent="0.15">
      <c r="E1092" s="325"/>
    </row>
    <row r="1093" spans="5:5" x14ac:dyDescent="0.15">
      <c r="E1093" s="325"/>
    </row>
    <row r="1094" spans="5:5" x14ac:dyDescent="0.15">
      <c r="E1094" s="325"/>
    </row>
    <row r="1095" spans="5:5" x14ac:dyDescent="0.15">
      <c r="E1095" s="325"/>
    </row>
    <row r="1096" spans="5:5" x14ac:dyDescent="0.15">
      <c r="E1096" s="325"/>
    </row>
    <row r="1097" spans="5:5" x14ac:dyDescent="0.15">
      <c r="E1097" s="325"/>
    </row>
    <row r="1098" spans="5:5" x14ac:dyDescent="0.15">
      <c r="E1098" s="325"/>
    </row>
    <row r="1099" spans="5:5" x14ac:dyDescent="0.15">
      <c r="E1099" s="325"/>
    </row>
    <row r="1100" spans="5:5" x14ac:dyDescent="0.15">
      <c r="E1100" s="325"/>
    </row>
    <row r="1101" spans="5:5" x14ac:dyDescent="0.15">
      <c r="E1101" s="325"/>
    </row>
    <row r="1102" spans="5:5" x14ac:dyDescent="0.15">
      <c r="E1102" s="325"/>
    </row>
    <row r="1103" spans="5:5" x14ac:dyDescent="0.15">
      <c r="E1103" s="325"/>
    </row>
    <row r="1104" spans="5:5" x14ac:dyDescent="0.15">
      <c r="E1104" s="325"/>
    </row>
    <row r="1105" spans="5:5" x14ac:dyDescent="0.15">
      <c r="E1105" s="325"/>
    </row>
    <row r="1106" spans="5:5" x14ac:dyDescent="0.15">
      <c r="E1106" s="325"/>
    </row>
    <row r="1107" spans="5:5" x14ac:dyDescent="0.15">
      <c r="E1107" s="325"/>
    </row>
    <row r="1108" spans="5:5" x14ac:dyDescent="0.15">
      <c r="E1108" s="325"/>
    </row>
    <row r="1109" spans="5:5" x14ac:dyDescent="0.15">
      <c r="E1109" s="325"/>
    </row>
    <row r="1110" spans="5:5" x14ac:dyDescent="0.15">
      <c r="E1110" s="325"/>
    </row>
    <row r="1111" spans="5:5" x14ac:dyDescent="0.15">
      <c r="E1111" s="325"/>
    </row>
    <row r="1112" spans="5:5" x14ac:dyDescent="0.15">
      <c r="E1112" s="325"/>
    </row>
    <row r="1113" spans="5:5" x14ac:dyDescent="0.15">
      <c r="E1113" s="325"/>
    </row>
    <row r="1114" spans="5:5" x14ac:dyDescent="0.15">
      <c r="E1114" s="325"/>
    </row>
    <row r="1115" spans="5:5" x14ac:dyDescent="0.15">
      <c r="E1115" s="325"/>
    </row>
    <row r="1116" spans="5:5" x14ac:dyDescent="0.15">
      <c r="E1116" s="325"/>
    </row>
    <row r="1117" spans="5:5" x14ac:dyDescent="0.15">
      <c r="E1117" s="325"/>
    </row>
    <row r="1118" spans="5:5" x14ac:dyDescent="0.15">
      <c r="E1118" s="325"/>
    </row>
    <row r="1119" spans="5:5" x14ac:dyDescent="0.15">
      <c r="E1119" s="325"/>
    </row>
    <row r="1120" spans="5:5" x14ac:dyDescent="0.15">
      <c r="E1120" s="325"/>
    </row>
    <row r="1121" spans="5:5" x14ac:dyDescent="0.15">
      <c r="E1121" s="325"/>
    </row>
    <row r="1122" spans="5:5" x14ac:dyDescent="0.15">
      <c r="E1122" s="325"/>
    </row>
    <row r="1123" spans="5:5" x14ac:dyDescent="0.15">
      <c r="E1123" s="325"/>
    </row>
    <row r="1124" spans="5:5" x14ac:dyDescent="0.15">
      <c r="E1124" s="325"/>
    </row>
    <row r="1125" spans="5:5" x14ac:dyDescent="0.15">
      <c r="E1125" s="325"/>
    </row>
    <row r="1126" spans="5:5" x14ac:dyDescent="0.15">
      <c r="E1126" s="325"/>
    </row>
    <row r="1127" spans="5:5" x14ac:dyDescent="0.15">
      <c r="E1127" s="325"/>
    </row>
    <row r="1128" spans="5:5" x14ac:dyDescent="0.15">
      <c r="E1128" s="325"/>
    </row>
    <row r="1129" spans="5:5" x14ac:dyDescent="0.15">
      <c r="E1129" s="325"/>
    </row>
    <row r="1130" spans="5:5" x14ac:dyDescent="0.15">
      <c r="E1130" s="325"/>
    </row>
    <row r="1131" spans="5:5" x14ac:dyDescent="0.15">
      <c r="E1131" s="325"/>
    </row>
    <row r="1132" spans="5:5" x14ac:dyDescent="0.15">
      <c r="E1132" s="325"/>
    </row>
    <row r="1133" spans="5:5" x14ac:dyDescent="0.15">
      <c r="E1133" s="325"/>
    </row>
    <row r="1134" spans="5:5" x14ac:dyDescent="0.15">
      <c r="E1134" s="325"/>
    </row>
    <row r="1135" spans="5:5" x14ac:dyDescent="0.15">
      <c r="E1135" s="325"/>
    </row>
    <row r="1136" spans="5:5" x14ac:dyDescent="0.15">
      <c r="E1136" s="325"/>
    </row>
    <row r="1137" spans="5:5" x14ac:dyDescent="0.15">
      <c r="E1137" s="325"/>
    </row>
    <row r="1138" spans="5:5" x14ac:dyDescent="0.15">
      <c r="E1138" s="325"/>
    </row>
    <row r="1139" spans="5:5" x14ac:dyDescent="0.15">
      <c r="E1139" s="325"/>
    </row>
    <row r="1140" spans="5:5" x14ac:dyDescent="0.15">
      <c r="E1140" s="325"/>
    </row>
    <row r="1141" spans="5:5" x14ac:dyDescent="0.15">
      <c r="E1141" s="325"/>
    </row>
    <row r="1142" spans="5:5" x14ac:dyDescent="0.15">
      <c r="E1142" s="325"/>
    </row>
    <row r="1143" spans="5:5" x14ac:dyDescent="0.15">
      <c r="E1143" s="325"/>
    </row>
    <row r="1144" spans="5:5" x14ac:dyDescent="0.15">
      <c r="E1144" s="325"/>
    </row>
    <row r="1145" spans="5:5" x14ac:dyDescent="0.15">
      <c r="E1145" s="325"/>
    </row>
    <row r="1146" spans="5:5" x14ac:dyDescent="0.15">
      <c r="E1146" s="325"/>
    </row>
    <row r="1147" spans="5:5" x14ac:dyDescent="0.15">
      <c r="E1147" s="325"/>
    </row>
    <row r="1148" spans="5:5" x14ac:dyDescent="0.15">
      <c r="E1148" s="325"/>
    </row>
    <row r="1149" spans="5:5" x14ac:dyDescent="0.15">
      <c r="E1149" s="325"/>
    </row>
    <row r="1150" spans="5:5" x14ac:dyDescent="0.15">
      <c r="E1150" s="325"/>
    </row>
    <row r="1151" spans="5:5" x14ac:dyDescent="0.15">
      <c r="E1151" s="325"/>
    </row>
    <row r="1152" spans="5:5" x14ac:dyDescent="0.15">
      <c r="E1152" s="325"/>
    </row>
    <row r="1153" spans="5:5" x14ac:dyDescent="0.15">
      <c r="E1153" s="325"/>
    </row>
    <row r="1154" spans="5:5" x14ac:dyDescent="0.15">
      <c r="E1154" s="325"/>
    </row>
    <row r="1155" spans="5:5" x14ac:dyDescent="0.15">
      <c r="E1155" s="325"/>
    </row>
    <row r="1156" spans="5:5" x14ac:dyDescent="0.15">
      <c r="E1156" s="325"/>
    </row>
    <row r="1157" spans="5:5" x14ac:dyDescent="0.15">
      <c r="E1157" s="325"/>
    </row>
    <row r="1158" spans="5:5" x14ac:dyDescent="0.15">
      <c r="E1158" s="325"/>
    </row>
    <row r="1159" spans="5:5" x14ac:dyDescent="0.15">
      <c r="E1159" s="325"/>
    </row>
    <row r="1160" spans="5:5" x14ac:dyDescent="0.15">
      <c r="E1160" s="325"/>
    </row>
    <row r="1161" spans="5:5" x14ac:dyDescent="0.15">
      <c r="E1161" s="325"/>
    </row>
    <row r="1162" spans="5:5" x14ac:dyDescent="0.15">
      <c r="E1162" s="325"/>
    </row>
    <row r="1163" spans="5:5" x14ac:dyDescent="0.15">
      <c r="E1163" s="325"/>
    </row>
    <row r="1164" spans="5:5" x14ac:dyDescent="0.15">
      <c r="E1164" s="325"/>
    </row>
    <row r="1165" spans="5:5" x14ac:dyDescent="0.15">
      <c r="E1165" s="325"/>
    </row>
    <row r="1166" spans="5:5" x14ac:dyDescent="0.15">
      <c r="E1166" s="325"/>
    </row>
    <row r="1167" spans="5:5" x14ac:dyDescent="0.15">
      <c r="E1167" s="325"/>
    </row>
    <row r="1168" spans="5:5" x14ac:dyDescent="0.15">
      <c r="E1168" s="325"/>
    </row>
    <row r="1169" spans="5:5" x14ac:dyDescent="0.15">
      <c r="E1169" s="325"/>
    </row>
    <row r="1170" spans="5:5" x14ac:dyDescent="0.15">
      <c r="E1170" s="325"/>
    </row>
    <row r="1171" spans="5:5" x14ac:dyDescent="0.15">
      <c r="E1171" s="325"/>
    </row>
    <row r="1172" spans="5:5" x14ac:dyDescent="0.15">
      <c r="E1172" s="325"/>
    </row>
    <row r="1173" spans="5:5" x14ac:dyDescent="0.15">
      <c r="E1173" s="325"/>
    </row>
    <row r="1174" spans="5:5" x14ac:dyDescent="0.15">
      <c r="E1174" s="325"/>
    </row>
    <row r="1175" spans="5:5" x14ac:dyDescent="0.15">
      <c r="E1175" s="325"/>
    </row>
    <row r="1176" spans="5:5" x14ac:dyDescent="0.15">
      <c r="E1176" s="325"/>
    </row>
    <row r="1177" spans="5:5" x14ac:dyDescent="0.15">
      <c r="E1177" s="325"/>
    </row>
    <row r="1178" spans="5:5" x14ac:dyDescent="0.15">
      <c r="E1178" s="325"/>
    </row>
    <row r="1179" spans="5:5" x14ac:dyDescent="0.15">
      <c r="E1179" s="325"/>
    </row>
    <row r="1180" spans="5:5" x14ac:dyDescent="0.15">
      <c r="E1180" s="325"/>
    </row>
    <row r="1181" spans="5:5" x14ac:dyDescent="0.15">
      <c r="E1181" s="325"/>
    </row>
    <row r="1182" spans="5:5" x14ac:dyDescent="0.15">
      <c r="E1182" s="325"/>
    </row>
    <row r="1183" spans="5:5" x14ac:dyDescent="0.15">
      <c r="E1183" s="325"/>
    </row>
    <row r="1184" spans="5:5" x14ac:dyDescent="0.15">
      <c r="E1184" s="325"/>
    </row>
    <row r="1185" spans="5:5" x14ac:dyDescent="0.15">
      <c r="E1185" s="325"/>
    </row>
    <row r="1186" spans="5:5" x14ac:dyDescent="0.15">
      <c r="E1186" s="325"/>
    </row>
    <row r="1187" spans="5:5" x14ac:dyDescent="0.15">
      <c r="E1187" s="325"/>
    </row>
    <row r="1188" spans="5:5" x14ac:dyDescent="0.15">
      <c r="E1188" s="325"/>
    </row>
    <row r="1189" spans="5:5" x14ac:dyDescent="0.15">
      <c r="E1189" s="325"/>
    </row>
    <row r="1190" spans="5:5" x14ac:dyDescent="0.15">
      <c r="E1190" s="325"/>
    </row>
    <row r="1191" spans="5:5" x14ac:dyDescent="0.15">
      <c r="E1191" s="325"/>
    </row>
    <row r="1192" spans="5:5" x14ac:dyDescent="0.15">
      <c r="E1192" s="325"/>
    </row>
    <row r="1193" spans="5:5" x14ac:dyDescent="0.15">
      <c r="E1193" s="325"/>
    </row>
    <row r="1194" spans="5:5" x14ac:dyDescent="0.15">
      <c r="E1194" s="325"/>
    </row>
    <row r="1195" spans="5:5" x14ac:dyDescent="0.15">
      <c r="E1195" s="325"/>
    </row>
    <row r="1196" spans="5:5" x14ac:dyDescent="0.15">
      <c r="E1196" s="325"/>
    </row>
    <row r="1197" spans="5:5" x14ac:dyDescent="0.15">
      <c r="E1197" s="325"/>
    </row>
    <row r="1198" spans="5:5" x14ac:dyDescent="0.15">
      <c r="E1198" s="325"/>
    </row>
    <row r="1199" spans="5:5" x14ac:dyDescent="0.15">
      <c r="E1199" s="325"/>
    </row>
    <row r="1200" spans="5:5" x14ac:dyDescent="0.15">
      <c r="E1200" s="325"/>
    </row>
    <row r="1201" spans="5:5" x14ac:dyDescent="0.15">
      <c r="E1201" s="325"/>
    </row>
    <row r="1202" spans="5:5" x14ac:dyDescent="0.15">
      <c r="E1202" s="325"/>
    </row>
    <row r="1203" spans="5:5" x14ac:dyDescent="0.15">
      <c r="E1203" s="325"/>
    </row>
    <row r="1204" spans="5:5" x14ac:dyDescent="0.15">
      <c r="E1204" s="325"/>
    </row>
    <row r="1205" spans="5:5" x14ac:dyDescent="0.15">
      <c r="E1205" s="325"/>
    </row>
    <row r="1206" spans="5:5" x14ac:dyDescent="0.15">
      <c r="E1206" s="325"/>
    </row>
    <row r="1207" spans="5:5" x14ac:dyDescent="0.15">
      <c r="E1207" s="325"/>
    </row>
    <row r="1208" spans="5:5" x14ac:dyDescent="0.15">
      <c r="E1208" s="325"/>
    </row>
    <row r="1209" spans="5:5" x14ac:dyDescent="0.15">
      <c r="E1209" s="325"/>
    </row>
    <row r="1210" spans="5:5" x14ac:dyDescent="0.15">
      <c r="E1210" s="325"/>
    </row>
    <row r="1211" spans="5:5" x14ac:dyDescent="0.15">
      <c r="E1211" s="325"/>
    </row>
    <row r="1212" spans="5:5" x14ac:dyDescent="0.15">
      <c r="E1212" s="325"/>
    </row>
    <row r="1213" spans="5:5" x14ac:dyDescent="0.15">
      <c r="E1213" s="325"/>
    </row>
    <row r="1214" spans="5:5" x14ac:dyDescent="0.15">
      <c r="E1214" s="325"/>
    </row>
    <row r="1215" spans="5:5" x14ac:dyDescent="0.15">
      <c r="E1215" s="325"/>
    </row>
    <row r="1216" spans="5:5" x14ac:dyDescent="0.15">
      <c r="E1216" s="325"/>
    </row>
    <row r="1217" spans="5:5" x14ac:dyDescent="0.15">
      <c r="E1217" s="325"/>
    </row>
    <row r="1218" spans="5:5" x14ac:dyDescent="0.15">
      <c r="E1218" s="325"/>
    </row>
    <row r="1219" spans="5:5" x14ac:dyDescent="0.15">
      <c r="E1219" s="325"/>
    </row>
    <row r="1220" spans="5:5" x14ac:dyDescent="0.15">
      <c r="E1220" s="325"/>
    </row>
    <row r="1221" spans="5:5" x14ac:dyDescent="0.15">
      <c r="E1221" s="325"/>
    </row>
    <row r="1222" spans="5:5" x14ac:dyDescent="0.15">
      <c r="E1222" s="325"/>
    </row>
    <row r="1223" spans="5:5" x14ac:dyDescent="0.15">
      <c r="E1223" s="325"/>
    </row>
    <row r="1224" spans="5:5" x14ac:dyDescent="0.15">
      <c r="E1224" s="325"/>
    </row>
    <row r="1225" spans="5:5" x14ac:dyDescent="0.15">
      <c r="E1225" s="325"/>
    </row>
    <row r="1226" spans="5:5" x14ac:dyDescent="0.15">
      <c r="E1226" s="325"/>
    </row>
    <row r="1227" spans="5:5" x14ac:dyDescent="0.15">
      <c r="E1227" s="325"/>
    </row>
    <row r="1228" spans="5:5" x14ac:dyDescent="0.15">
      <c r="E1228" s="325"/>
    </row>
    <row r="1229" spans="5:5" x14ac:dyDescent="0.15">
      <c r="E1229" s="325"/>
    </row>
    <row r="1230" spans="5:5" x14ac:dyDescent="0.15">
      <c r="E1230" s="325"/>
    </row>
    <row r="1231" spans="5:5" x14ac:dyDescent="0.15">
      <c r="E1231" s="325"/>
    </row>
    <row r="1232" spans="5:5" x14ac:dyDescent="0.15">
      <c r="E1232" s="325"/>
    </row>
    <row r="1233" spans="5:5" x14ac:dyDescent="0.15">
      <c r="E1233" s="325"/>
    </row>
    <row r="1234" spans="5:5" x14ac:dyDescent="0.15">
      <c r="E1234" s="325"/>
    </row>
    <row r="1235" spans="5:5" x14ac:dyDescent="0.15">
      <c r="E1235" s="325"/>
    </row>
    <row r="1236" spans="5:5" x14ac:dyDescent="0.15">
      <c r="E1236" s="325"/>
    </row>
    <row r="1237" spans="5:5" x14ac:dyDescent="0.15">
      <c r="E1237" s="325"/>
    </row>
    <row r="1238" spans="5:5" x14ac:dyDescent="0.15">
      <c r="E1238" s="325"/>
    </row>
    <row r="1239" spans="5:5" x14ac:dyDescent="0.15">
      <c r="E1239" s="325"/>
    </row>
    <row r="1240" spans="5:5" x14ac:dyDescent="0.15">
      <c r="E1240" s="325"/>
    </row>
    <row r="1241" spans="5:5" x14ac:dyDescent="0.15">
      <c r="E1241" s="325"/>
    </row>
    <row r="1242" spans="5:5" x14ac:dyDescent="0.15">
      <c r="E1242" s="325"/>
    </row>
    <row r="1243" spans="5:5" x14ac:dyDescent="0.15">
      <c r="E1243" s="325"/>
    </row>
    <row r="1244" spans="5:5" x14ac:dyDescent="0.15">
      <c r="E1244" s="325"/>
    </row>
    <row r="1245" spans="5:5" x14ac:dyDescent="0.15">
      <c r="E1245" s="325"/>
    </row>
    <row r="1246" spans="5:5" x14ac:dyDescent="0.15">
      <c r="E1246" s="325"/>
    </row>
    <row r="1247" spans="5:5" x14ac:dyDescent="0.15">
      <c r="E1247" s="325"/>
    </row>
    <row r="1248" spans="5:5" x14ac:dyDescent="0.15">
      <c r="E1248" s="325"/>
    </row>
    <row r="1249" spans="5:5" x14ac:dyDescent="0.15">
      <c r="E1249" s="325"/>
    </row>
    <row r="1250" spans="5:5" x14ac:dyDescent="0.15">
      <c r="E1250" s="325"/>
    </row>
    <row r="1251" spans="5:5" x14ac:dyDescent="0.15">
      <c r="E1251" s="325"/>
    </row>
    <row r="1252" spans="5:5" x14ac:dyDescent="0.15">
      <c r="E1252" s="325"/>
    </row>
    <row r="1253" spans="5:5" x14ac:dyDescent="0.15">
      <c r="E1253" s="325"/>
    </row>
    <row r="1254" spans="5:5" x14ac:dyDescent="0.15">
      <c r="E1254" s="325"/>
    </row>
    <row r="1255" spans="5:5" x14ac:dyDescent="0.15">
      <c r="E1255" s="325"/>
    </row>
    <row r="1256" spans="5:5" x14ac:dyDescent="0.15">
      <c r="E1256" s="325"/>
    </row>
    <row r="1257" spans="5:5" x14ac:dyDescent="0.15">
      <c r="E1257" s="325"/>
    </row>
    <row r="1258" spans="5:5" x14ac:dyDescent="0.15">
      <c r="E1258" s="325"/>
    </row>
    <row r="1259" spans="5:5" x14ac:dyDescent="0.15">
      <c r="E1259" s="325"/>
    </row>
    <row r="1260" spans="5:5" x14ac:dyDescent="0.15">
      <c r="E1260" s="325"/>
    </row>
    <row r="1261" spans="5:5" x14ac:dyDescent="0.15">
      <c r="E1261" s="325"/>
    </row>
    <row r="1262" spans="5:5" x14ac:dyDescent="0.15">
      <c r="E1262" s="325"/>
    </row>
    <row r="1263" spans="5:5" x14ac:dyDescent="0.15">
      <c r="E1263" s="325"/>
    </row>
    <row r="1264" spans="5:5" x14ac:dyDescent="0.15">
      <c r="E1264" s="325"/>
    </row>
    <row r="1265" spans="5:5" x14ac:dyDescent="0.15">
      <c r="E1265" s="325"/>
    </row>
    <row r="1266" spans="5:5" x14ac:dyDescent="0.15">
      <c r="E1266" s="325"/>
    </row>
    <row r="1267" spans="5:5" x14ac:dyDescent="0.15">
      <c r="E1267" s="325"/>
    </row>
    <row r="1268" spans="5:5" x14ac:dyDescent="0.15">
      <c r="E1268" s="325"/>
    </row>
    <row r="1269" spans="5:5" x14ac:dyDescent="0.15">
      <c r="E1269" s="325"/>
    </row>
    <row r="1270" spans="5:5" x14ac:dyDescent="0.15">
      <c r="E1270" s="325"/>
    </row>
    <row r="1271" spans="5:5" x14ac:dyDescent="0.15">
      <c r="E1271" s="325"/>
    </row>
    <row r="1272" spans="5:5" x14ac:dyDescent="0.15">
      <c r="E1272" s="325"/>
    </row>
    <row r="1273" spans="5:5" x14ac:dyDescent="0.15">
      <c r="E1273" s="325"/>
    </row>
    <row r="1274" spans="5:5" x14ac:dyDescent="0.15">
      <c r="E1274" s="325"/>
    </row>
    <row r="1275" spans="5:5" x14ac:dyDescent="0.15">
      <c r="E1275" s="325"/>
    </row>
    <row r="1276" spans="5:5" x14ac:dyDescent="0.15">
      <c r="E1276" s="325"/>
    </row>
    <row r="1277" spans="5:5" x14ac:dyDescent="0.15">
      <c r="E1277" s="325"/>
    </row>
    <row r="1278" spans="5:5" x14ac:dyDescent="0.15">
      <c r="E1278" s="325"/>
    </row>
    <row r="1279" spans="5:5" x14ac:dyDescent="0.15">
      <c r="E1279" s="325"/>
    </row>
    <row r="1280" spans="5:5" x14ac:dyDescent="0.15">
      <c r="E1280" s="325"/>
    </row>
    <row r="1281" spans="5:5" x14ac:dyDescent="0.15">
      <c r="E1281" s="325"/>
    </row>
    <row r="1282" spans="5:5" x14ac:dyDescent="0.15">
      <c r="E1282" s="325"/>
    </row>
    <row r="1283" spans="5:5" x14ac:dyDescent="0.15">
      <c r="E1283" s="325"/>
    </row>
    <row r="1284" spans="5:5" x14ac:dyDescent="0.15">
      <c r="E1284" s="325"/>
    </row>
    <row r="1285" spans="5:5" x14ac:dyDescent="0.15">
      <c r="E1285" s="325"/>
    </row>
    <row r="1286" spans="5:5" x14ac:dyDescent="0.15">
      <c r="E1286" s="325"/>
    </row>
    <row r="1287" spans="5:5" x14ac:dyDescent="0.15">
      <c r="E1287" s="325"/>
    </row>
    <row r="1288" spans="5:5" x14ac:dyDescent="0.15">
      <c r="E1288" s="325"/>
    </row>
    <row r="1289" spans="5:5" x14ac:dyDescent="0.15">
      <c r="E1289" s="325"/>
    </row>
    <row r="1290" spans="5:5" x14ac:dyDescent="0.15">
      <c r="E1290" s="325"/>
    </row>
    <row r="1291" spans="5:5" x14ac:dyDescent="0.15">
      <c r="E1291" s="325"/>
    </row>
    <row r="1292" spans="5:5" x14ac:dyDescent="0.15">
      <c r="E1292" s="325"/>
    </row>
    <row r="1293" spans="5:5" x14ac:dyDescent="0.15">
      <c r="E1293" s="325"/>
    </row>
    <row r="1294" spans="5:5" x14ac:dyDescent="0.15">
      <c r="E1294" s="325"/>
    </row>
    <row r="1295" spans="5:5" x14ac:dyDescent="0.15">
      <c r="E1295" s="325"/>
    </row>
    <row r="1296" spans="5:5" x14ac:dyDescent="0.15">
      <c r="E1296" s="325"/>
    </row>
    <row r="1297" spans="5:5" x14ac:dyDescent="0.15">
      <c r="E1297" s="325"/>
    </row>
    <row r="1298" spans="5:5" x14ac:dyDescent="0.15">
      <c r="E1298" s="325"/>
    </row>
    <row r="1299" spans="5:5" x14ac:dyDescent="0.15">
      <c r="E1299" s="325"/>
    </row>
    <row r="1300" spans="5:5" x14ac:dyDescent="0.15">
      <c r="E1300" s="325"/>
    </row>
    <row r="1301" spans="5:5" x14ac:dyDescent="0.15">
      <c r="E1301" s="325"/>
    </row>
    <row r="1302" spans="5:5" x14ac:dyDescent="0.15">
      <c r="E1302" s="325"/>
    </row>
    <row r="1303" spans="5:5" x14ac:dyDescent="0.15">
      <c r="E1303" s="325"/>
    </row>
    <row r="1304" spans="5:5" x14ac:dyDescent="0.15">
      <c r="E1304" s="325"/>
    </row>
    <row r="1305" spans="5:5" x14ac:dyDescent="0.15">
      <c r="E1305" s="325"/>
    </row>
    <row r="1306" spans="5:5" x14ac:dyDescent="0.15">
      <c r="E1306" s="325"/>
    </row>
    <row r="1307" spans="5:5" x14ac:dyDescent="0.15">
      <c r="E1307" s="325"/>
    </row>
    <row r="1308" spans="5:5" x14ac:dyDescent="0.15">
      <c r="E1308" s="325"/>
    </row>
    <row r="1309" spans="5:5" x14ac:dyDescent="0.15">
      <c r="E1309" s="325"/>
    </row>
    <row r="1310" spans="5:5" x14ac:dyDescent="0.15">
      <c r="E1310" s="325"/>
    </row>
    <row r="1311" spans="5:5" x14ac:dyDescent="0.15">
      <c r="E1311" s="325"/>
    </row>
    <row r="1312" spans="5:5" x14ac:dyDescent="0.15">
      <c r="E1312" s="325"/>
    </row>
    <row r="1313" spans="5:5" x14ac:dyDescent="0.15">
      <c r="E1313" s="325"/>
    </row>
    <row r="1314" spans="5:5" x14ac:dyDescent="0.15">
      <c r="E1314" s="325"/>
    </row>
    <row r="1315" spans="5:5" x14ac:dyDescent="0.15">
      <c r="E1315" s="325"/>
    </row>
    <row r="1316" spans="5:5" x14ac:dyDescent="0.15">
      <c r="E1316" s="325"/>
    </row>
    <row r="1317" spans="5:5" x14ac:dyDescent="0.15">
      <c r="E1317" s="325"/>
    </row>
    <row r="1318" spans="5:5" x14ac:dyDescent="0.15">
      <c r="E1318" s="325"/>
    </row>
    <row r="1319" spans="5:5" x14ac:dyDescent="0.15">
      <c r="E1319" s="325"/>
    </row>
    <row r="1320" spans="5:5" x14ac:dyDescent="0.15">
      <c r="E1320" s="325"/>
    </row>
    <row r="1321" spans="5:5" x14ac:dyDescent="0.15">
      <c r="E1321" s="325"/>
    </row>
    <row r="1322" spans="5:5" x14ac:dyDescent="0.15">
      <c r="E1322" s="325"/>
    </row>
    <row r="1323" spans="5:5" x14ac:dyDescent="0.15">
      <c r="E1323" s="325"/>
    </row>
    <row r="1324" spans="5:5" x14ac:dyDescent="0.15">
      <c r="E1324" s="325"/>
    </row>
    <row r="1325" spans="5:5" x14ac:dyDescent="0.15">
      <c r="E1325" s="325"/>
    </row>
    <row r="1326" spans="5:5" x14ac:dyDescent="0.15">
      <c r="E1326" s="325"/>
    </row>
    <row r="1327" spans="5:5" x14ac:dyDescent="0.15">
      <c r="E1327" s="325"/>
    </row>
    <row r="1328" spans="5:5" x14ac:dyDescent="0.15">
      <c r="E1328" s="325"/>
    </row>
    <row r="1329" spans="5:5" x14ac:dyDescent="0.15">
      <c r="E1329" s="325"/>
    </row>
    <row r="1330" spans="5:5" x14ac:dyDescent="0.15">
      <c r="E1330" s="325"/>
    </row>
    <row r="1331" spans="5:5" x14ac:dyDescent="0.15">
      <c r="E1331" s="325"/>
    </row>
    <row r="1332" spans="5:5" x14ac:dyDescent="0.15">
      <c r="E1332" s="325"/>
    </row>
    <row r="1333" spans="5:5" x14ac:dyDescent="0.15">
      <c r="E1333" s="325"/>
    </row>
    <row r="1334" spans="5:5" x14ac:dyDescent="0.15">
      <c r="E1334" s="325"/>
    </row>
    <row r="1335" spans="5:5" x14ac:dyDescent="0.15">
      <c r="E1335" s="325"/>
    </row>
    <row r="1336" spans="5:5" x14ac:dyDescent="0.15">
      <c r="E1336" s="325"/>
    </row>
    <row r="1337" spans="5:5" x14ac:dyDescent="0.15">
      <c r="E1337" s="325"/>
    </row>
    <row r="1338" spans="5:5" x14ac:dyDescent="0.15">
      <c r="E1338" s="325"/>
    </row>
    <row r="1339" spans="5:5" x14ac:dyDescent="0.15">
      <c r="E1339" s="325"/>
    </row>
    <row r="1340" spans="5:5" x14ac:dyDescent="0.15">
      <c r="E1340" s="325"/>
    </row>
    <row r="1341" spans="5:5" x14ac:dyDescent="0.15">
      <c r="E1341" s="325"/>
    </row>
    <row r="1342" spans="5:5" x14ac:dyDescent="0.15">
      <c r="E1342" s="325"/>
    </row>
    <row r="1343" spans="5:5" x14ac:dyDescent="0.15">
      <c r="E1343" s="325"/>
    </row>
    <row r="1344" spans="5:5" x14ac:dyDescent="0.15">
      <c r="E1344" s="325"/>
    </row>
    <row r="1345" spans="5:5" x14ac:dyDescent="0.15">
      <c r="E1345" s="325"/>
    </row>
    <row r="1346" spans="5:5" x14ac:dyDescent="0.15">
      <c r="E1346" s="325"/>
    </row>
    <row r="1347" spans="5:5" x14ac:dyDescent="0.15">
      <c r="E1347" s="325"/>
    </row>
    <row r="1348" spans="5:5" x14ac:dyDescent="0.15">
      <c r="E1348" s="325"/>
    </row>
    <row r="1349" spans="5:5" x14ac:dyDescent="0.15">
      <c r="E1349" s="325"/>
    </row>
    <row r="1350" spans="5:5" x14ac:dyDescent="0.15">
      <c r="E1350" s="325"/>
    </row>
    <row r="1351" spans="5:5" x14ac:dyDescent="0.15">
      <c r="E1351" s="325"/>
    </row>
    <row r="1352" spans="5:5" x14ac:dyDescent="0.15">
      <c r="E1352" s="325"/>
    </row>
    <row r="1353" spans="5:5" x14ac:dyDescent="0.15">
      <c r="E1353" s="325"/>
    </row>
    <row r="1354" spans="5:5" x14ac:dyDescent="0.15">
      <c r="E1354" s="325"/>
    </row>
    <row r="1355" spans="5:5" x14ac:dyDescent="0.15">
      <c r="E1355" s="325"/>
    </row>
    <row r="1356" spans="5:5" x14ac:dyDescent="0.15">
      <c r="E1356" s="325"/>
    </row>
    <row r="1357" spans="5:5" x14ac:dyDescent="0.15">
      <c r="E1357" s="325"/>
    </row>
    <row r="1358" spans="5:5" x14ac:dyDescent="0.15">
      <c r="E1358" s="325"/>
    </row>
    <row r="1359" spans="5:5" x14ac:dyDescent="0.15">
      <c r="E1359" s="325"/>
    </row>
    <row r="1360" spans="5:5" x14ac:dyDescent="0.15">
      <c r="E1360" s="325"/>
    </row>
    <row r="1361" spans="5:5" x14ac:dyDescent="0.15">
      <c r="E1361" s="325"/>
    </row>
    <row r="1362" spans="5:5" x14ac:dyDescent="0.15">
      <c r="E1362" s="325"/>
    </row>
    <row r="1363" spans="5:5" x14ac:dyDescent="0.15">
      <c r="E1363" s="325"/>
    </row>
    <row r="1364" spans="5:5" x14ac:dyDescent="0.15">
      <c r="E1364" s="325"/>
    </row>
    <row r="1365" spans="5:5" x14ac:dyDescent="0.15">
      <c r="E1365" s="325"/>
    </row>
    <row r="1366" spans="5:5" x14ac:dyDescent="0.15">
      <c r="E1366" s="325"/>
    </row>
    <row r="1367" spans="5:5" x14ac:dyDescent="0.15">
      <c r="E1367" s="325"/>
    </row>
    <row r="1368" spans="5:5" x14ac:dyDescent="0.15">
      <c r="E1368" s="325"/>
    </row>
    <row r="1369" spans="5:5" x14ac:dyDescent="0.15">
      <c r="E1369" s="325"/>
    </row>
    <row r="1370" spans="5:5" x14ac:dyDescent="0.15">
      <c r="E1370" s="325"/>
    </row>
    <row r="1371" spans="5:5" x14ac:dyDescent="0.15">
      <c r="E1371" s="325"/>
    </row>
    <row r="1372" spans="5:5" x14ac:dyDescent="0.15">
      <c r="E1372" s="325"/>
    </row>
    <row r="1373" spans="5:5" x14ac:dyDescent="0.15">
      <c r="E1373" s="325"/>
    </row>
    <row r="1374" spans="5:5" x14ac:dyDescent="0.15">
      <c r="E1374" s="325"/>
    </row>
    <row r="1375" spans="5:5" x14ac:dyDescent="0.15">
      <c r="E1375" s="325"/>
    </row>
    <row r="1376" spans="5:5" x14ac:dyDescent="0.15">
      <c r="E1376" s="325"/>
    </row>
    <row r="1377" spans="5:5" x14ac:dyDescent="0.15">
      <c r="E1377" s="325"/>
    </row>
    <row r="1378" spans="5:5" x14ac:dyDescent="0.15">
      <c r="E1378" s="325"/>
    </row>
    <row r="1379" spans="5:5" x14ac:dyDescent="0.15">
      <c r="E1379" s="325"/>
    </row>
    <row r="1380" spans="5:5" x14ac:dyDescent="0.15">
      <c r="E1380" s="325"/>
    </row>
    <row r="1381" spans="5:5" x14ac:dyDescent="0.15">
      <c r="E1381" s="325"/>
    </row>
    <row r="1382" spans="5:5" x14ac:dyDescent="0.15">
      <c r="E1382" s="325"/>
    </row>
    <row r="1383" spans="5:5" x14ac:dyDescent="0.15">
      <c r="E1383" s="325"/>
    </row>
    <row r="1384" spans="5:5" x14ac:dyDescent="0.15">
      <c r="E1384" s="325"/>
    </row>
    <row r="1385" spans="5:5" x14ac:dyDescent="0.15">
      <c r="E1385" s="325"/>
    </row>
    <row r="1386" spans="5:5" x14ac:dyDescent="0.15">
      <c r="E1386" s="325"/>
    </row>
    <row r="1387" spans="5:5" x14ac:dyDescent="0.15">
      <c r="E1387" s="325"/>
    </row>
    <row r="1388" spans="5:5" x14ac:dyDescent="0.15">
      <c r="E1388" s="325"/>
    </row>
    <row r="1389" spans="5:5" x14ac:dyDescent="0.15">
      <c r="E1389" s="325"/>
    </row>
    <row r="1390" spans="5:5" x14ac:dyDescent="0.15">
      <c r="E1390" s="325"/>
    </row>
    <row r="1391" spans="5:5" x14ac:dyDescent="0.15">
      <c r="E1391" s="325"/>
    </row>
    <row r="1392" spans="5:5" x14ac:dyDescent="0.15">
      <c r="E1392" s="325"/>
    </row>
    <row r="1393" spans="5:5" x14ac:dyDescent="0.15">
      <c r="E1393" s="325"/>
    </row>
    <row r="1394" spans="5:5" x14ac:dyDescent="0.15">
      <c r="E1394" s="325"/>
    </row>
    <row r="1395" spans="5:5" x14ac:dyDescent="0.15">
      <c r="E1395" s="325"/>
    </row>
    <row r="1396" spans="5:5" x14ac:dyDescent="0.15">
      <c r="E1396" s="325"/>
    </row>
    <row r="1397" spans="5:5" x14ac:dyDescent="0.15">
      <c r="E1397" s="325"/>
    </row>
    <row r="1398" spans="5:5" x14ac:dyDescent="0.15">
      <c r="E1398" s="325"/>
    </row>
    <row r="1399" spans="5:5" x14ac:dyDescent="0.15">
      <c r="E1399" s="325"/>
    </row>
    <row r="1400" spans="5:5" x14ac:dyDescent="0.15">
      <c r="E1400" s="325"/>
    </row>
    <row r="1401" spans="5:5" x14ac:dyDescent="0.15">
      <c r="E1401" s="325"/>
    </row>
    <row r="1402" spans="5:5" x14ac:dyDescent="0.15">
      <c r="E1402" s="325"/>
    </row>
    <row r="1403" spans="5:5" x14ac:dyDescent="0.15">
      <c r="E1403" s="325"/>
    </row>
    <row r="1404" spans="5:5" x14ac:dyDescent="0.15">
      <c r="E1404" s="325"/>
    </row>
    <row r="1405" spans="5:5" x14ac:dyDescent="0.15">
      <c r="E1405" s="325"/>
    </row>
    <row r="1406" spans="5:5" x14ac:dyDescent="0.15">
      <c r="E1406" s="325"/>
    </row>
    <row r="1407" spans="5:5" x14ac:dyDescent="0.15">
      <c r="E1407" s="325"/>
    </row>
    <row r="1408" spans="5:5" x14ac:dyDescent="0.15">
      <c r="E1408" s="325"/>
    </row>
    <row r="1409" spans="5:5" x14ac:dyDescent="0.15">
      <c r="E1409" s="325"/>
    </row>
    <row r="1410" spans="5:5" x14ac:dyDescent="0.15">
      <c r="E1410" s="325"/>
    </row>
    <row r="1411" spans="5:5" x14ac:dyDescent="0.15">
      <c r="E1411" s="325"/>
    </row>
    <row r="1412" spans="5:5" x14ac:dyDescent="0.15">
      <c r="E1412" s="325"/>
    </row>
    <row r="1413" spans="5:5" x14ac:dyDescent="0.15">
      <c r="E1413" s="325"/>
    </row>
    <row r="1414" spans="5:5" x14ac:dyDescent="0.15">
      <c r="E1414" s="325"/>
    </row>
    <row r="1415" spans="5:5" x14ac:dyDescent="0.15">
      <c r="E1415" s="325"/>
    </row>
    <row r="1416" spans="5:5" x14ac:dyDescent="0.15">
      <c r="E1416" s="325"/>
    </row>
    <row r="1417" spans="5:5" x14ac:dyDescent="0.15">
      <c r="E1417" s="325"/>
    </row>
    <row r="1418" spans="5:5" x14ac:dyDescent="0.15">
      <c r="E1418" s="325"/>
    </row>
    <row r="1419" spans="5:5" x14ac:dyDescent="0.15">
      <c r="E1419" s="325"/>
    </row>
    <row r="1420" spans="5:5" x14ac:dyDescent="0.15">
      <c r="E1420" s="325"/>
    </row>
    <row r="1421" spans="5:5" x14ac:dyDescent="0.15">
      <c r="E1421" s="325"/>
    </row>
    <row r="1422" spans="5:5" x14ac:dyDescent="0.15">
      <c r="E1422" s="325"/>
    </row>
    <row r="1423" spans="5:5" x14ac:dyDescent="0.15">
      <c r="E1423" s="325"/>
    </row>
    <row r="1424" spans="5:5" x14ac:dyDescent="0.15">
      <c r="E1424" s="325"/>
    </row>
    <row r="1425" spans="5:5" x14ac:dyDescent="0.15">
      <c r="E1425" s="325"/>
    </row>
    <row r="1426" spans="5:5" x14ac:dyDescent="0.15">
      <c r="E1426" s="325"/>
    </row>
    <row r="1427" spans="5:5" x14ac:dyDescent="0.15">
      <c r="E1427" s="325"/>
    </row>
    <row r="1428" spans="5:5" x14ac:dyDescent="0.15">
      <c r="E1428" s="325"/>
    </row>
    <row r="1429" spans="5:5" x14ac:dyDescent="0.15">
      <c r="E1429" s="325"/>
    </row>
    <row r="1430" spans="5:5" x14ac:dyDescent="0.15">
      <c r="E1430" s="325"/>
    </row>
    <row r="1431" spans="5:5" x14ac:dyDescent="0.15">
      <c r="E1431" s="325"/>
    </row>
    <row r="1432" spans="5:5" x14ac:dyDescent="0.15">
      <c r="E1432" s="325"/>
    </row>
    <row r="1433" spans="5:5" x14ac:dyDescent="0.15">
      <c r="E1433" s="325"/>
    </row>
    <row r="1434" spans="5:5" x14ac:dyDescent="0.15">
      <c r="E1434" s="325"/>
    </row>
    <row r="1435" spans="5:5" x14ac:dyDescent="0.15">
      <c r="E1435" s="325"/>
    </row>
    <row r="1436" spans="5:5" x14ac:dyDescent="0.15">
      <c r="E1436" s="325"/>
    </row>
    <row r="1437" spans="5:5" x14ac:dyDescent="0.15">
      <c r="E1437" s="325"/>
    </row>
    <row r="1438" spans="5:5" x14ac:dyDescent="0.15">
      <c r="E1438" s="325"/>
    </row>
    <row r="1439" spans="5:5" x14ac:dyDescent="0.15">
      <c r="E1439" s="325"/>
    </row>
    <row r="1440" spans="5:5" x14ac:dyDescent="0.15">
      <c r="E1440" s="325"/>
    </row>
    <row r="1441" spans="5:5" x14ac:dyDescent="0.15">
      <c r="E1441" s="325"/>
    </row>
    <row r="1442" spans="5:5" x14ac:dyDescent="0.15">
      <c r="E1442" s="325"/>
    </row>
    <row r="1443" spans="5:5" x14ac:dyDescent="0.15">
      <c r="E1443" s="325"/>
    </row>
    <row r="1444" spans="5:5" x14ac:dyDescent="0.15">
      <c r="E1444" s="325"/>
    </row>
    <row r="1445" spans="5:5" x14ac:dyDescent="0.15">
      <c r="E1445" s="325"/>
    </row>
    <row r="1446" spans="5:5" x14ac:dyDescent="0.15">
      <c r="E1446" s="325"/>
    </row>
    <row r="1447" spans="5:5" x14ac:dyDescent="0.15">
      <c r="E1447" s="325"/>
    </row>
    <row r="1448" spans="5:5" x14ac:dyDescent="0.15">
      <c r="E1448" s="325"/>
    </row>
    <row r="1449" spans="5:5" x14ac:dyDescent="0.15">
      <c r="E1449" s="325"/>
    </row>
    <row r="1450" spans="5:5" x14ac:dyDescent="0.15">
      <c r="E1450" s="325"/>
    </row>
    <row r="1451" spans="5:5" x14ac:dyDescent="0.15">
      <c r="E1451" s="325"/>
    </row>
    <row r="1452" spans="5:5" x14ac:dyDescent="0.15">
      <c r="E1452" s="325"/>
    </row>
    <row r="1453" spans="5:5" x14ac:dyDescent="0.15">
      <c r="E1453" s="325"/>
    </row>
    <row r="1454" spans="5:5" x14ac:dyDescent="0.15">
      <c r="E1454" s="325"/>
    </row>
    <row r="1455" spans="5:5" x14ac:dyDescent="0.15">
      <c r="E1455" s="325"/>
    </row>
    <row r="1456" spans="5:5" x14ac:dyDescent="0.15">
      <c r="E1456" s="325"/>
    </row>
    <row r="1457" spans="5:5" x14ac:dyDescent="0.15">
      <c r="E1457" s="325"/>
    </row>
    <row r="1458" spans="5:5" x14ac:dyDescent="0.15">
      <c r="E1458" s="325"/>
    </row>
    <row r="1459" spans="5:5" x14ac:dyDescent="0.15">
      <c r="E1459" s="325"/>
    </row>
    <row r="1460" spans="5:5" x14ac:dyDescent="0.15">
      <c r="E1460" s="325"/>
    </row>
    <row r="1461" spans="5:5" x14ac:dyDescent="0.15">
      <c r="E1461" s="325"/>
    </row>
    <row r="1462" spans="5:5" x14ac:dyDescent="0.15">
      <c r="E1462" s="325"/>
    </row>
    <row r="1463" spans="5:5" x14ac:dyDescent="0.15">
      <c r="E1463" s="325"/>
    </row>
    <row r="1464" spans="5:5" x14ac:dyDescent="0.15">
      <c r="E1464" s="325"/>
    </row>
    <row r="1465" spans="5:5" x14ac:dyDescent="0.15">
      <c r="E1465" s="325"/>
    </row>
    <row r="1466" spans="5:5" x14ac:dyDescent="0.15">
      <c r="E1466" s="325"/>
    </row>
    <row r="1467" spans="5:5" x14ac:dyDescent="0.15">
      <c r="E1467" s="325"/>
    </row>
    <row r="1468" spans="5:5" x14ac:dyDescent="0.15">
      <c r="E1468" s="325"/>
    </row>
    <row r="1469" spans="5:5" x14ac:dyDescent="0.15">
      <c r="E1469" s="325"/>
    </row>
    <row r="1470" spans="5:5" x14ac:dyDescent="0.15">
      <c r="E1470" s="325"/>
    </row>
    <row r="1471" spans="5:5" x14ac:dyDescent="0.15">
      <c r="E1471" s="325"/>
    </row>
    <row r="1472" spans="5:5" x14ac:dyDescent="0.15">
      <c r="E1472" s="325"/>
    </row>
    <row r="1473" spans="5:5" x14ac:dyDescent="0.15">
      <c r="E1473" s="325"/>
    </row>
    <row r="1474" spans="5:5" x14ac:dyDescent="0.15">
      <c r="E1474" s="325"/>
    </row>
    <row r="1475" spans="5:5" x14ac:dyDescent="0.15">
      <c r="E1475" s="325"/>
    </row>
    <row r="1476" spans="5:5" x14ac:dyDescent="0.15">
      <c r="E1476" s="325"/>
    </row>
    <row r="1477" spans="5:5" x14ac:dyDescent="0.15">
      <c r="E1477" s="325"/>
    </row>
    <row r="1478" spans="5:5" x14ac:dyDescent="0.15">
      <c r="E1478" s="325"/>
    </row>
    <row r="1479" spans="5:5" x14ac:dyDescent="0.15">
      <c r="E1479" s="325"/>
    </row>
    <row r="1480" spans="5:5" x14ac:dyDescent="0.15">
      <c r="E1480" s="325"/>
    </row>
    <row r="1481" spans="5:5" x14ac:dyDescent="0.15">
      <c r="E1481" s="325"/>
    </row>
    <row r="1482" spans="5:5" x14ac:dyDescent="0.15">
      <c r="E1482" s="325"/>
    </row>
  </sheetData>
  <autoFilter ref="A1:N1482">
    <filterColumn colId="9">
      <filters blank="1">
        <filter val="0,42"/>
        <filter val="1.086,56"/>
        <filter val="1.230,80"/>
        <filter val="1.329,76"/>
        <filter val="1.796,04"/>
        <filter val="1.889.260,16"/>
        <filter val="1.985,49"/>
        <filter val="10,52"/>
        <filter val="11.923,22"/>
        <filter val="129,00"/>
        <filter val="13,99"/>
        <filter val="13.112,49"/>
        <filter val="130,16"/>
        <filter val="138,51"/>
        <filter val="14,37"/>
        <filter val="14.859,06"/>
        <filter val="143.847,81"/>
        <filter val="149.693,73"/>
        <filter val="15,28%"/>
        <filter val="15.553,79"/>
        <filter val="15.601,50"/>
        <filter val="15.777,06"/>
        <filter val="16.260,00"/>
        <filter val="16.953,84"/>
        <filter val="17.084,00"/>
        <filter val="17.425,00"/>
        <filter val="17.653,68"/>
        <filter val="17.706,99"/>
        <filter val="176.026,60"/>
        <filter val="176.819,20"/>
        <filter val="191.918,91"/>
        <filter val="2.013,12"/>
        <filter val="2.056,88"/>
        <filter val="2.162,47"/>
        <filter val="2.260,96"/>
        <filter val="2.873,11"/>
        <filter val="2.936,29"/>
        <filter val="21.407,90"/>
        <filter val="210,16"/>
        <filter val="212,80"/>
        <filter val="212.644,30"/>
        <filter val="214.707,21"/>
        <filter val="222.898,83"/>
        <filter val="23.625,01"/>
        <filter val="23.643,81"/>
        <filter val="259.364,17"/>
        <filter val="259.930,97"/>
        <filter val="26,30"/>
        <filter val="26.055,30"/>
        <filter val="27.604,73"/>
        <filter val="28,17%"/>
        <filter val="28.480,44"/>
        <filter val="3.424,86"/>
        <filter val="3.513,48"/>
        <filter val="3.548,45"/>
        <filter val="3.558,22"/>
        <filter val="3.780.252,53"/>
        <filter val="3.791,30"/>
        <filter val="3.806,64"/>
        <filter val="3.904,76"/>
        <filter val="32.612,10"/>
        <filter val="336,02"/>
        <filter val="348,40"/>
        <filter val="36.757,33"/>
        <filter val="365.361,93"/>
        <filter val="37,12"/>
        <filter val="37.032,14"/>
        <filter val="37.537,73"/>
        <filter val="374,80"/>
        <filter val="375.958,69"/>
        <filter val="378.037,26"/>
        <filter val="39.545,10"/>
        <filter val="4.358,97"/>
        <filter val="4.400,00"/>
        <filter val="4.410,85"/>
        <filter val="4.930,53"/>
        <filter val="40.076,92"/>
        <filter val="41.187,18"/>
        <filter val="41.760,00"/>
        <filter val="41.919,15"/>
        <filter val="43.483,93"/>
        <filter val="47,23%"/>
        <filter val="483,53"/>
        <filter val="49.488,31"/>
        <filter val="5.086,85"/>
        <filter val="5.377,02"/>
        <filter val="5.449,36"/>
        <filter val="5.556,84"/>
        <filter val="5.968,76"/>
        <filter val="51.400,52"/>
        <filter val="54.295,62"/>
        <filter val="6.193,84"/>
        <filter val="6.227,45"/>
        <filter val="6.569,14"/>
        <filter val="6.576,60"/>
        <filter val="6.650,28"/>
        <filter val="6.882,72"/>
        <filter val="641,00"/>
        <filter val="657,54"/>
        <filter val="7.230,08"/>
        <filter val="7.814,70"/>
        <filter val="70,64"/>
        <filter val="73,26"/>
        <filter val="8.212,71"/>
        <filter val="8.684,77"/>
        <filter val="8.720,56"/>
        <filter val="8.976,21"/>
        <filter val="82.199,90"/>
        <filter val="84.085,43"/>
        <filter val="85,28%"/>
        <filter val="85.892,68"/>
        <filter val="878,49"/>
        <filter val="89.732,70"/>
        <filter val="9.156,44"/>
        <filter val="9.177,35"/>
        <filter val="9.228,24"/>
        <filter val="9.765,10"/>
        <filter val="911.584,85"/>
        <filter val="913,49"/>
        <filter val="934,05"/>
        <filter val="94,48"/>
        <filter val="96,88"/>
        <filter val="978,79"/>
        <filter val="DESONERADA"/>
        <filter val="PREÇO TOTAL (R$)"/>
      </filters>
    </filterColumn>
    <filterColumn colId="11" showButton="0"/>
  </autoFilter>
  <mergeCells count="24">
    <mergeCell ref="M269:M271"/>
    <mergeCell ref="M136:M137"/>
    <mergeCell ref="M138:M141"/>
    <mergeCell ref="M154:M156"/>
    <mergeCell ref="M147:M149"/>
    <mergeCell ref="M150:M151"/>
    <mergeCell ref="M152:M153"/>
    <mergeCell ref="M157:M159"/>
    <mergeCell ref="M160:M161"/>
    <mergeCell ref="M162:M163"/>
    <mergeCell ref="M266:M268"/>
    <mergeCell ref="L1:M1"/>
    <mergeCell ref="C12:G12"/>
    <mergeCell ref="G15:G27"/>
    <mergeCell ref="M107:M109"/>
    <mergeCell ref="M110:M111"/>
    <mergeCell ref="M104:M106"/>
    <mergeCell ref="M112:M113"/>
    <mergeCell ref="M114:M116"/>
    <mergeCell ref="M144:M146"/>
    <mergeCell ref="M117:M119"/>
    <mergeCell ref="M120:M121"/>
    <mergeCell ref="M122:M123"/>
    <mergeCell ref="M126:M129"/>
  </mergeCells>
  <conditionalFormatting sqref="H35:H57 H889">
    <cfRule type="expression" dxfId="382" priority="520">
      <formula>H35=0</formula>
    </cfRule>
  </conditionalFormatting>
  <conditionalFormatting sqref="H59">
    <cfRule type="expression" dxfId="381" priority="456">
      <formula>H59=0</formula>
    </cfRule>
  </conditionalFormatting>
  <conditionalFormatting sqref="H61">
    <cfRule type="expression" dxfId="380" priority="328">
      <formula>H61=0</formula>
    </cfRule>
  </conditionalFormatting>
  <conditionalFormatting sqref="H64:H90">
    <cfRule type="expression" dxfId="379" priority="276">
      <formula>H64=0</formula>
    </cfRule>
  </conditionalFormatting>
  <conditionalFormatting sqref="H92">
    <cfRule type="expression" dxfId="378" priority="275">
      <formula>H92=0</formula>
    </cfRule>
  </conditionalFormatting>
  <conditionalFormatting sqref="H94">
    <cfRule type="expression" dxfId="377" priority="274">
      <formula>H94=0</formula>
    </cfRule>
  </conditionalFormatting>
  <conditionalFormatting sqref="H96">
    <cfRule type="expression" dxfId="376" priority="273">
      <formula>H96=0</formula>
    </cfRule>
  </conditionalFormatting>
  <conditionalFormatting sqref="H98">
    <cfRule type="expression" dxfId="375" priority="272">
      <formula>H98=0</formula>
    </cfRule>
  </conditionalFormatting>
  <conditionalFormatting sqref="H101:H169">
    <cfRule type="expression" dxfId="374" priority="94">
      <formula>H101=0</formula>
    </cfRule>
  </conditionalFormatting>
  <conditionalFormatting sqref="H171">
    <cfRule type="expression" dxfId="373" priority="270">
      <formula>H171=0</formula>
    </cfRule>
  </conditionalFormatting>
  <conditionalFormatting sqref="H173">
    <cfRule type="expression" dxfId="372" priority="269">
      <formula>H173=0</formula>
    </cfRule>
  </conditionalFormatting>
  <conditionalFormatting sqref="H175">
    <cfRule type="expression" dxfId="371" priority="268">
      <formula>H175=0</formula>
    </cfRule>
  </conditionalFormatting>
  <conditionalFormatting sqref="H177">
    <cfRule type="expression" dxfId="370" priority="267">
      <formula>H177=0</formula>
    </cfRule>
  </conditionalFormatting>
  <conditionalFormatting sqref="H179">
    <cfRule type="expression" dxfId="369" priority="266">
      <formula>H179=0</formula>
    </cfRule>
  </conditionalFormatting>
  <conditionalFormatting sqref="H181">
    <cfRule type="expression" dxfId="368" priority="265">
      <formula>H181=0</formula>
    </cfRule>
  </conditionalFormatting>
  <conditionalFormatting sqref="H184:H242">
    <cfRule type="expression" dxfId="367" priority="264">
      <formula>H184=0</formula>
    </cfRule>
  </conditionalFormatting>
  <conditionalFormatting sqref="H245:H288">
    <cfRule type="expression" dxfId="366" priority="263">
      <formula>H245=0</formula>
    </cfRule>
  </conditionalFormatting>
  <conditionalFormatting sqref="H290">
    <cfRule type="expression" dxfId="365" priority="89">
      <formula>H290=0</formula>
    </cfRule>
  </conditionalFormatting>
  <conditionalFormatting sqref="H292">
    <cfRule type="expression" dxfId="364" priority="262">
      <formula>H292=0</formula>
    </cfRule>
  </conditionalFormatting>
  <conditionalFormatting sqref="H295:H312">
    <cfRule type="expression" dxfId="363" priority="261">
      <formula>H295=0</formula>
    </cfRule>
  </conditionalFormatting>
  <conditionalFormatting sqref="H316:H321">
    <cfRule type="expression" dxfId="362" priority="259">
      <formula>H316=0</formula>
    </cfRule>
  </conditionalFormatting>
  <conditionalFormatting sqref="H323:H344">
    <cfRule type="expression" dxfId="361" priority="51">
      <formula>H323=0</formula>
    </cfRule>
  </conditionalFormatting>
  <conditionalFormatting sqref="H346:H385">
    <cfRule type="expression" dxfId="360" priority="257">
      <formula>H346=0</formula>
    </cfRule>
  </conditionalFormatting>
  <conditionalFormatting sqref="H387:H399">
    <cfRule type="expression" dxfId="359" priority="53">
      <formula>H387=0</formula>
    </cfRule>
  </conditionalFormatting>
  <conditionalFormatting sqref="H401">
    <cfRule type="expression" dxfId="358" priority="255">
      <formula>H401=0</formula>
    </cfRule>
  </conditionalFormatting>
  <conditionalFormatting sqref="H403">
    <cfRule type="expression" dxfId="357" priority="254">
      <formula>H403=0</formula>
    </cfRule>
  </conditionalFormatting>
  <conditionalFormatting sqref="H405">
    <cfRule type="expression" dxfId="356" priority="253">
      <formula>H405=0</formula>
    </cfRule>
  </conditionalFormatting>
  <conditionalFormatting sqref="H407">
    <cfRule type="expression" dxfId="355" priority="252">
      <formula>H407=0</formula>
    </cfRule>
  </conditionalFormatting>
  <conditionalFormatting sqref="H409">
    <cfRule type="expression" dxfId="354" priority="251">
      <formula>H409=0</formula>
    </cfRule>
  </conditionalFormatting>
  <conditionalFormatting sqref="H411">
    <cfRule type="expression" dxfId="353" priority="250">
      <formula>H411=0</formula>
    </cfRule>
  </conditionalFormatting>
  <conditionalFormatting sqref="H414:H438">
    <cfRule type="expression" dxfId="352" priority="249">
      <formula>H414=0</formula>
    </cfRule>
  </conditionalFormatting>
  <conditionalFormatting sqref="H440">
    <cfRule type="expression" dxfId="351" priority="248">
      <formula>H440=0</formula>
    </cfRule>
  </conditionalFormatting>
  <conditionalFormatting sqref="H442">
    <cfRule type="expression" dxfId="350" priority="247">
      <formula>H442=0</formula>
    </cfRule>
  </conditionalFormatting>
  <conditionalFormatting sqref="H444">
    <cfRule type="expression" dxfId="349" priority="246">
      <formula>H444=0</formula>
    </cfRule>
  </conditionalFormatting>
  <conditionalFormatting sqref="H446">
    <cfRule type="expression" dxfId="348" priority="245">
      <formula>H446=0</formula>
    </cfRule>
  </conditionalFormatting>
  <conditionalFormatting sqref="H449:H466">
    <cfRule type="expression" dxfId="347" priority="65">
      <formula>H449=0</formula>
    </cfRule>
  </conditionalFormatting>
  <conditionalFormatting sqref="H468">
    <cfRule type="expression" dxfId="346" priority="223">
      <formula>H468=0</formula>
    </cfRule>
  </conditionalFormatting>
  <conditionalFormatting sqref="H470">
    <cfRule type="expression" dxfId="345" priority="222">
      <formula>H470=0</formula>
    </cfRule>
  </conditionalFormatting>
  <conditionalFormatting sqref="H472">
    <cfRule type="expression" dxfId="344" priority="221">
      <formula>H472=0</formula>
    </cfRule>
  </conditionalFormatting>
  <conditionalFormatting sqref="H474">
    <cfRule type="expression" dxfId="343" priority="220">
      <formula>H474=0</formula>
    </cfRule>
  </conditionalFormatting>
  <conditionalFormatting sqref="H476">
    <cfRule type="expression" dxfId="342" priority="219">
      <formula>H476=0</formula>
    </cfRule>
  </conditionalFormatting>
  <conditionalFormatting sqref="H478">
    <cfRule type="expression" dxfId="341" priority="218">
      <formula>H478=0</formula>
    </cfRule>
  </conditionalFormatting>
  <conditionalFormatting sqref="H480">
    <cfRule type="expression" dxfId="340" priority="217">
      <formula>H480=0</formula>
    </cfRule>
  </conditionalFormatting>
  <conditionalFormatting sqref="H482">
    <cfRule type="expression" dxfId="339" priority="216">
      <formula>H482=0</formula>
    </cfRule>
  </conditionalFormatting>
  <conditionalFormatting sqref="H484">
    <cfRule type="expression" dxfId="338" priority="215">
      <formula>H484=0</formula>
    </cfRule>
  </conditionalFormatting>
  <conditionalFormatting sqref="H486">
    <cfRule type="expression" dxfId="337" priority="214">
      <formula>H486=0</formula>
    </cfRule>
  </conditionalFormatting>
  <conditionalFormatting sqref="H488">
    <cfRule type="expression" dxfId="336" priority="213">
      <formula>H488=0</formula>
    </cfRule>
  </conditionalFormatting>
  <conditionalFormatting sqref="H490">
    <cfRule type="expression" dxfId="335" priority="212">
      <formula>H490=0</formula>
    </cfRule>
  </conditionalFormatting>
  <conditionalFormatting sqref="H492">
    <cfRule type="expression" dxfId="334" priority="211">
      <formula>H492=0</formula>
    </cfRule>
  </conditionalFormatting>
  <conditionalFormatting sqref="H494">
    <cfRule type="expression" dxfId="333" priority="210">
      <formula>H494=0</formula>
    </cfRule>
  </conditionalFormatting>
  <conditionalFormatting sqref="H496">
    <cfRule type="expression" dxfId="332" priority="209">
      <formula>H496=0</formula>
    </cfRule>
  </conditionalFormatting>
  <conditionalFormatting sqref="H498">
    <cfRule type="expression" dxfId="331" priority="208">
      <formula>H498=0</formula>
    </cfRule>
  </conditionalFormatting>
  <conditionalFormatting sqref="H500">
    <cfRule type="expression" dxfId="330" priority="207">
      <formula>H500=0</formula>
    </cfRule>
  </conditionalFormatting>
  <conditionalFormatting sqref="H502">
    <cfRule type="expression" dxfId="329" priority="206">
      <formula>H502=0</formula>
    </cfRule>
  </conditionalFormatting>
  <conditionalFormatting sqref="H504">
    <cfRule type="expression" dxfId="328" priority="205">
      <formula>H504=0</formula>
    </cfRule>
  </conditionalFormatting>
  <conditionalFormatting sqref="H507:H542">
    <cfRule type="expression" dxfId="327" priority="203">
      <formula>H507=0</formula>
    </cfRule>
  </conditionalFormatting>
  <conditionalFormatting sqref="H544">
    <cfRule type="expression" dxfId="326" priority="202">
      <formula>H544=0</formula>
    </cfRule>
  </conditionalFormatting>
  <conditionalFormatting sqref="H546">
    <cfRule type="expression" dxfId="325" priority="201">
      <formula>H546=0</formula>
    </cfRule>
  </conditionalFormatting>
  <conditionalFormatting sqref="H548">
    <cfRule type="expression" dxfId="324" priority="200">
      <formula>H548=0</formula>
    </cfRule>
  </conditionalFormatting>
  <conditionalFormatting sqref="H550">
    <cfRule type="expression" dxfId="323" priority="199">
      <formula>H550=0</formula>
    </cfRule>
  </conditionalFormatting>
  <conditionalFormatting sqref="H552">
    <cfRule type="expression" dxfId="322" priority="198">
      <formula>H552=0</formula>
    </cfRule>
  </conditionalFormatting>
  <conditionalFormatting sqref="H554">
    <cfRule type="expression" dxfId="321" priority="197">
      <formula>H554=0</formula>
    </cfRule>
  </conditionalFormatting>
  <conditionalFormatting sqref="H556">
    <cfRule type="expression" dxfId="320" priority="196">
      <formula>H556=0</formula>
    </cfRule>
  </conditionalFormatting>
  <conditionalFormatting sqref="H558">
    <cfRule type="expression" dxfId="319" priority="195">
      <formula>H558=0</formula>
    </cfRule>
  </conditionalFormatting>
  <conditionalFormatting sqref="H560">
    <cfRule type="expression" dxfId="318" priority="194">
      <formula>H560=0</formula>
    </cfRule>
  </conditionalFormatting>
  <conditionalFormatting sqref="H562">
    <cfRule type="expression" dxfId="317" priority="193">
      <formula>H562=0</formula>
    </cfRule>
  </conditionalFormatting>
  <conditionalFormatting sqref="H564">
    <cfRule type="expression" dxfId="316" priority="192">
      <formula>H564=0</formula>
    </cfRule>
  </conditionalFormatting>
  <conditionalFormatting sqref="H566">
    <cfRule type="expression" dxfId="315" priority="191">
      <formula>H566=0</formula>
    </cfRule>
  </conditionalFormatting>
  <conditionalFormatting sqref="H568">
    <cfRule type="expression" dxfId="314" priority="190">
      <formula>H568=0</formula>
    </cfRule>
  </conditionalFormatting>
  <conditionalFormatting sqref="H570">
    <cfRule type="expression" dxfId="313" priority="189">
      <formula>H570=0</formula>
    </cfRule>
  </conditionalFormatting>
  <conditionalFormatting sqref="H572">
    <cfRule type="expression" dxfId="312" priority="188">
      <formula>H572=0</formula>
    </cfRule>
  </conditionalFormatting>
  <conditionalFormatting sqref="H574">
    <cfRule type="expression" dxfId="311" priority="187">
      <formula>H574=0</formula>
    </cfRule>
  </conditionalFormatting>
  <conditionalFormatting sqref="H576">
    <cfRule type="expression" dxfId="310" priority="185">
      <formula>H576=0</formula>
    </cfRule>
  </conditionalFormatting>
  <conditionalFormatting sqref="H578">
    <cfRule type="expression" dxfId="309" priority="184">
      <formula>H578=0</formula>
    </cfRule>
  </conditionalFormatting>
  <conditionalFormatting sqref="H580">
    <cfRule type="expression" dxfId="308" priority="183">
      <formula>H580=0</formula>
    </cfRule>
  </conditionalFormatting>
  <conditionalFormatting sqref="H583:H598">
    <cfRule type="expression" dxfId="307" priority="182">
      <formula>H583=0</formula>
    </cfRule>
  </conditionalFormatting>
  <conditionalFormatting sqref="H600">
    <cfRule type="expression" dxfId="306" priority="181">
      <formula>H600=0</formula>
    </cfRule>
  </conditionalFormatting>
  <conditionalFormatting sqref="H602">
    <cfRule type="expression" dxfId="305" priority="180">
      <formula>H602=0</formula>
    </cfRule>
  </conditionalFormatting>
  <conditionalFormatting sqref="H604">
    <cfRule type="expression" dxfId="304" priority="179">
      <formula>H604=0</formula>
    </cfRule>
  </conditionalFormatting>
  <conditionalFormatting sqref="H606">
    <cfRule type="expression" dxfId="303" priority="178">
      <formula>H606=0</formula>
    </cfRule>
  </conditionalFormatting>
  <conditionalFormatting sqref="H608">
    <cfRule type="expression" dxfId="302" priority="177">
      <formula>H608=0</formula>
    </cfRule>
  </conditionalFormatting>
  <conditionalFormatting sqref="H610">
    <cfRule type="expression" dxfId="301" priority="176">
      <formula>H610=0</formula>
    </cfRule>
  </conditionalFormatting>
  <conditionalFormatting sqref="H612">
    <cfRule type="expression" dxfId="300" priority="175">
      <formula>H612=0</formula>
    </cfRule>
  </conditionalFormatting>
  <conditionalFormatting sqref="H614">
    <cfRule type="expression" dxfId="299" priority="174">
      <formula>H614=0</formula>
    </cfRule>
  </conditionalFormatting>
  <conditionalFormatting sqref="H616">
    <cfRule type="expression" dxfId="298" priority="173">
      <formula>H616=0</formula>
    </cfRule>
  </conditionalFormatting>
  <conditionalFormatting sqref="H618">
    <cfRule type="expression" dxfId="297" priority="172">
      <formula>H618=0</formula>
    </cfRule>
  </conditionalFormatting>
  <conditionalFormatting sqref="H620">
    <cfRule type="expression" dxfId="296" priority="171">
      <formula>H620=0</formula>
    </cfRule>
  </conditionalFormatting>
  <conditionalFormatting sqref="H622">
    <cfRule type="expression" dxfId="295" priority="170">
      <formula>H622=0</formula>
    </cfRule>
  </conditionalFormatting>
  <conditionalFormatting sqref="H625:H633">
    <cfRule type="expression" dxfId="294" priority="48">
      <formula>H625=0</formula>
    </cfRule>
  </conditionalFormatting>
  <conditionalFormatting sqref="H635">
    <cfRule type="expression" dxfId="293" priority="168">
      <formula>H635=0</formula>
    </cfRule>
  </conditionalFormatting>
  <conditionalFormatting sqref="H637">
    <cfRule type="expression" dxfId="292" priority="167">
      <formula>H637=0</formula>
    </cfRule>
  </conditionalFormatting>
  <conditionalFormatting sqref="H639">
    <cfRule type="expression" dxfId="291" priority="166">
      <formula>H639=0</formula>
    </cfRule>
  </conditionalFormatting>
  <conditionalFormatting sqref="H641">
    <cfRule type="expression" dxfId="290" priority="165">
      <formula>H641=0</formula>
    </cfRule>
  </conditionalFormatting>
  <conditionalFormatting sqref="H643">
    <cfRule type="expression" dxfId="289" priority="164">
      <formula>H643=0</formula>
    </cfRule>
  </conditionalFormatting>
  <conditionalFormatting sqref="H646:H675">
    <cfRule type="expression" dxfId="288" priority="63">
      <formula>H646=0</formula>
    </cfRule>
  </conditionalFormatting>
  <conditionalFormatting sqref="H677">
    <cfRule type="expression" dxfId="287" priority="162">
      <formula>H677=0</formula>
    </cfRule>
  </conditionalFormatting>
  <conditionalFormatting sqref="H679">
    <cfRule type="expression" dxfId="286" priority="161">
      <formula>H679=0</formula>
    </cfRule>
  </conditionalFormatting>
  <conditionalFormatting sqref="H681">
    <cfRule type="expression" dxfId="285" priority="160">
      <formula>H681=0</formula>
    </cfRule>
  </conditionalFormatting>
  <conditionalFormatting sqref="H683">
    <cfRule type="expression" dxfId="284" priority="159">
      <formula>H683=0</formula>
    </cfRule>
  </conditionalFormatting>
  <conditionalFormatting sqref="H685">
    <cfRule type="expression" dxfId="283" priority="158">
      <formula>H685=0</formula>
    </cfRule>
  </conditionalFormatting>
  <conditionalFormatting sqref="H687">
    <cfRule type="expression" dxfId="282" priority="157">
      <formula>H687=0</formula>
    </cfRule>
  </conditionalFormatting>
  <conditionalFormatting sqref="H689">
    <cfRule type="expression" dxfId="281" priority="156">
      <formula>H689=0</formula>
    </cfRule>
  </conditionalFormatting>
  <conditionalFormatting sqref="H691">
    <cfRule type="expression" dxfId="280" priority="155">
      <formula>H691=0</formula>
    </cfRule>
  </conditionalFormatting>
  <conditionalFormatting sqref="H693">
    <cfRule type="expression" dxfId="279" priority="154">
      <formula>H693=0</formula>
    </cfRule>
  </conditionalFormatting>
  <conditionalFormatting sqref="H695">
    <cfRule type="expression" dxfId="278" priority="153">
      <formula>H695=0</formula>
    </cfRule>
  </conditionalFormatting>
  <conditionalFormatting sqref="H697">
    <cfRule type="expression" dxfId="277" priority="152">
      <formula>H697=0</formula>
    </cfRule>
  </conditionalFormatting>
  <conditionalFormatting sqref="H699">
    <cfRule type="expression" dxfId="276" priority="151">
      <formula>H699=0</formula>
    </cfRule>
  </conditionalFormatting>
  <conditionalFormatting sqref="H701">
    <cfRule type="expression" dxfId="275" priority="150">
      <formula>H701=0</formula>
    </cfRule>
  </conditionalFormatting>
  <conditionalFormatting sqref="H703">
    <cfRule type="expression" dxfId="274" priority="149">
      <formula>H703=0</formula>
    </cfRule>
  </conditionalFormatting>
  <conditionalFormatting sqref="H705">
    <cfRule type="expression" dxfId="273" priority="148">
      <formula>H705=0</formula>
    </cfRule>
  </conditionalFormatting>
  <conditionalFormatting sqref="H707">
    <cfRule type="expression" dxfId="272" priority="147">
      <formula>H707=0</formula>
    </cfRule>
  </conditionalFormatting>
  <conditionalFormatting sqref="H709">
    <cfRule type="expression" dxfId="271" priority="146">
      <formula>H709=0</formula>
    </cfRule>
  </conditionalFormatting>
  <conditionalFormatting sqref="H711">
    <cfRule type="expression" dxfId="270" priority="145">
      <formula>H711=0</formula>
    </cfRule>
  </conditionalFormatting>
  <conditionalFormatting sqref="H713">
    <cfRule type="expression" dxfId="269" priority="144">
      <formula>H713=0</formula>
    </cfRule>
  </conditionalFormatting>
  <conditionalFormatting sqref="H715">
    <cfRule type="expression" dxfId="268" priority="143">
      <formula>H715=0</formula>
    </cfRule>
  </conditionalFormatting>
  <conditionalFormatting sqref="H717">
    <cfRule type="expression" dxfId="267" priority="142">
      <formula>H717=0</formula>
    </cfRule>
  </conditionalFormatting>
  <conditionalFormatting sqref="H720:H748">
    <cfRule type="expression" dxfId="266" priority="141">
      <formula>H720=0</formula>
    </cfRule>
  </conditionalFormatting>
  <conditionalFormatting sqref="H750">
    <cfRule type="expression" dxfId="265" priority="140">
      <formula>H750=0</formula>
    </cfRule>
  </conditionalFormatting>
  <conditionalFormatting sqref="H753:H784">
    <cfRule type="expression" dxfId="264" priority="102">
      <formula>H753=0</formula>
    </cfRule>
  </conditionalFormatting>
  <conditionalFormatting sqref="H786">
    <cfRule type="expression" dxfId="263" priority="138">
      <formula>H786=0</formula>
    </cfRule>
  </conditionalFormatting>
  <conditionalFormatting sqref="H788">
    <cfRule type="expression" dxfId="262" priority="137">
      <formula>H788=0</formula>
    </cfRule>
  </conditionalFormatting>
  <conditionalFormatting sqref="H790">
    <cfRule type="expression" dxfId="261" priority="91">
      <formula>H790=0</formula>
    </cfRule>
  </conditionalFormatting>
  <conditionalFormatting sqref="H792">
    <cfRule type="expression" dxfId="260" priority="99">
      <formula>H792=0</formula>
    </cfRule>
  </conditionalFormatting>
  <conditionalFormatting sqref="H794">
    <cfRule type="expression" dxfId="259" priority="136">
      <formula>H794=0</formula>
    </cfRule>
  </conditionalFormatting>
  <conditionalFormatting sqref="H797:H826">
    <cfRule type="expression" dxfId="258" priority="125">
      <formula>H797=0</formula>
    </cfRule>
  </conditionalFormatting>
  <conditionalFormatting sqref="H828">
    <cfRule type="expression" dxfId="257" priority="124">
      <formula>H828=0</formula>
    </cfRule>
  </conditionalFormatting>
  <conditionalFormatting sqref="H830">
    <cfRule type="expression" dxfId="256" priority="123">
      <formula>H830=0</formula>
    </cfRule>
  </conditionalFormatting>
  <conditionalFormatting sqref="H832">
    <cfRule type="expression" dxfId="255" priority="122">
      <formula>H832=0</formula>
    </cfRule>
  </conditionalFormatting>
  <conditionalFormatting sqref="H834">
    <cfRule type="expression" dxfId="254" priority="121">
      <formula>H834=0</formula>
    </cfRule>
  </conditionalFormatting>
  <conditionalFormatting sqref="H836">
    <cfRule type="expression" dxfId="253" priority="120">
      <formula>H836=0</formula>
    </cfRule>
  </conditionalFormatting>
  <conditionalFormatting sqref="H838">
    <cfRule type="expression" dxfId="252" priority="119">
      <formula>H838=0</formula>
    </cfRule>
  </conditionalFormatting>
  <conditionalFormatting sqref="H840">
    <cfRule type="expression" dxfId="251" priority="118">
      <formula>H840=0</formula>
    </cfRule>
  </conditionalFormatting>
  <conditionalFormatting sqref="H842">
    <cfRule type="expression" dxfId="250" priority="117">
      <formula>H842=0</formula>
    </cfRule>
  </conditionalFormatting>
  <conditionalFormatting sqref="H844">
    <cfRule type="expression" dxfId="249" priority="116">
      <formula>H844=0</formula>
    </cfRule>
  </conditionalFormatting>
  <conditionalFormatting sqref="H846">
    <cfRule type="expression" dxfId="248" priority="115">
      <formula>H846=0</formula>
    </cfRule>
  </conditionalFormatting>
  <conditionalFormatting sqref="H848">
    <cfRule type="expression" dxfId="247" priority="114">
      <formula>H848=0</formula>
    </cfRule>
  </conditionalFormatting>
  <conditionalFormatting sqref="H850">
    <cfRule type="expression" dxfId="246" priority="113">
      <formula>H850=0</formula>
    </cfRule>
  </conditionalFormatting>
  <conditionalFormatting sqref="H852">
    <cfRule type="expression" dxfId="245" priority="112">
      <formula>H852=0</formula>
    </cfRule>
  </conditionalFormatting>
  <conditionalFormatting sqref="H854">
    <cfRule type="expression" dxfId="244" priority="111">
      <formula>H854=0</formula>
    </cfRule>
  </conditionalFormatting>
  <conditionalFormatting sqref="H856">
    <cfRule type="expression" dxfId="243" priority="110">
      <formula>H856=0</formula>
    </cfRule>
  </conditionalFormatting>
  <conditionalFormatting sqref="H859:H886">
    <cfRule type="expression" dxfId="242" priority="109">
      <formula>H859=0</formula>
    </cfRule>
  </conditionalFormatting>
  <conditionalFormatting sqref="H892:H928">
    <cfRule type="expression" dxfId="241" priority="108">
      <formula>H892=0</formula>
    </cfRule>
  </conditionalFormatting>
  <conditionalFormatting sqref="I35:I57">
    <cfRule type="cellIs" dxfId="240" priority="327" operator="equal">
      <formula>G35</formula>
    </cfRule>
  </conditionalFormatting>
  <conditionalFormatting sqref="I59 I64:I89 I92 I94 I96 I171 I173 I175 I177 I179 I181 I472 I476 I486 I500 I548 I556 I562 I566 I635 I637 I639 I641 I643 I856">
    <cfRule type="cellIs" dxfId="239" priority="748" operator="equal">
      <formula>G59</formula>
    </cfRule>
  </conditionalFormatting>
  <conditionalFormatting sqref="I61">
    <cfRule type="cellIs" dxfId="238" priority="329" operator="equal">
      <formula>G61</formula>
    </cfRule>
  </conditionalFormatting>
  <conditionalFormatting sqref="I98">
    <cfRule type="cellIs" dxfId="237" priority="673" operator="equal">
      <formula>G98</formula>
    </cfRule>
  </conditionalFormatting>
  <conditionalFormatting sqref="I101:I169">
    <cfRule type="cellIs" dxfId="236" priority="7" operator="equal">
      <formula>G101</formula>
    </cfRule>
  </conditionalFormatting>
  <conditionalFormatting sqref="I184:I242">
    <cfRule type="cellIs" dxfId="235" priority="55" operator="equal">
      <formula>G184</formula>
    </cfRule>
  </conditionalFormatting>
  <conditionalFormatting sqref="I245:I288 I750">
    <cfRule type="cellIs" dxfId="234" priority="552" operator="equal">
      <formula>G245</formula>
    </cfRule>
  </conditionalFormatting>
  <conditionalFormatting sqref="I290">
    <cfRule type="cellIs" dxfId="233" priority="90" operator="equal">
      <formula>G290</formula>
    </cfRule>
  </conditionalFormatting>
  <conditionalFormatting sqref="I292">
    <cfRule type="cellIs" dxfId="232" priority="667" operator="equal">
      <formula>G292</formula>
    </cfRule>
  </conditionalFormatting>
  <conditionalFormatting sqref="I295:I312">
    <cfRule type="cellIs" dxfId="231" priority="665" operator="equal">
      <formula>G295</formula>
    </cfRule>
  </conditionalFormatting>
  <conditionalFormatting sqref="I316:I321">
    <cfRule type="cellIs" dxfId="230" priority="323" operator="equal">
      <formula>G316</formula>
    </cfRule>
  </conditionalFormatting>
  <conditionalFormatting sqref="I323:I344">
    <cfRule type="cellIs" dxfId="229" priority="52" operator="equal">
      <formula>G323</formula>
    </cfRule>
  </conditionalFormatting>
  <conditionalFormatting sqref="I346:I385">
    <cfRule type="cellIs" dxfId="228" priority="293" operator="equal">
      <formula>G346</formula>
    </cfRule>
  </conditionalFormatting>
  <conditionalFormatting sqref="I387:I399">
    <cfRule type="cellIs" dxfId="227" priority="54" operator="equal">
      <formula>G387</formula>
    </cfRule>
  </conditionalFormatting>
  <conditionalFormatting sqref="I401">
    <cfRule type="cellIs" dxfId="226" priority="319" operator="equal">
      <formula>G401</formula>
    </cfRule>
  </conditionalFormatting>
  <conditionalFormatting sqref="I403">
    <cfRule type="cellIs" dxfId="225" priority="317" operator="equal">
      <formula>G403</formula>
    </cfRule>
  </conditionalFormatting>
  <conditionalFormatting sqref="I405">
    <cfRule type="cellIs" dxfId="224" priority="315" operator="equal">
      <formula>G405</formula>
    </cfRule>
  </conditionalFormatting>
  <conditionalFormatting sqref="I407">
    <cfRule type="cellIs" dxfId="223" priority="309" operator="equal">
      <formula>G407</formula>
    </cfRule>
  </conditionalFormatting>
  <conditionalFormatting sqref="I409">
    <cfRule type="cellIs" dxfId="222" priority="314" operator="equal">
      <formula>G409</formula>
    </cfRule>
  </conditionalFormatting>
  <conditionalFormatting sqref="I411">
    <cfRule type="cellIs" dxfId="221" priority="313" operator="equal">
      <formula>G411</formula>
    </cfRule>
  </conditionalFormatting>
  <conditionalFormatting sqref="I414:I438">
    <cfRule type="cellIs" dxfId="220" priority="6" operator="equal">
      <formula>G414</formula>
    </cfRule>
  </conditionalFormatting>
  <conditionalFormatting sqref="I440">
    <cfRule type="cellIs" dxfId="219" priority="18" operator="equal">
      <formula>G440</formula>
    </cfRule>
  </conditionalFormatting>
  <conditionalFormatting sqref="I442">
    <cfRule type="cellIs" dxfId="218" priority="15" operator="equal">
      <formula>G442</formula>
    </cfRule>
  </conditionalFormatting>
  <conditionalFormatting sqref="I444">
    <cfRule type="cellIs" dxfId="217" priority="12" operator="equal">
      <formula>G444</formula>
    </cfRule>
  </conditionalFormatting>
  <conditionalFormatting sqref="I446">
    <cfRule type="cellIs" dxfId="216" priority="9" operator="equal">
      <formula>G446</formula>
    </cfRule>
  </conditionalFormatting>
  <conditionalFormatting sqref="I449:I466">
    <cfRule type="cellIs" dxfId="215" priority="4" operator="equal">
      <formula>G449</formula>
    </cfRule>
  </conditionalFormatting>
  <conditionalFormatting sqref="I468">
    <cfRule type="cellIs" dxfId="214" priority="636" operator="equal">
      <formula>G468</formula>
    </cfRule>
  </conditionalFormatting>
  <conditionalFormatting sqref="I470">
    <cfRule type="cellIs" dxfId="213" priority="661" operator="equal">
      <formula>G470</formula>
    </cfRule>
  </conditionalFormatting>
  <conditionalFormatting sqref="I474">
    <cfRule type="cellIs" dxfId="212" priority="664" operator="equal">
      <formula>G474</formula>
    </cfRule>
  </conditionalFormatting>
  <conditionalFormatting sqref="I478">
    <cfRule type="cellIs" dxfId="211" priority="663" operator="equal">
      <formula>G478</formula>
    </cfRule>
  </conditionalFormatting>
  <conditionalFormatting sqref="I480">
    <cfRule type="cellIs" dxfId="210" priority="662" operator="equal">
      <formula>G480</formula>
    </cfRule>
  </conditionalFormatting>
  <conditionalFormatting sqref="I482">
    <cfRule type="cellIs" dxfId="209" priority="658" operator="equal">
      <formula>G482</formula>
    </cfRule>
  </conditionalFormatting>
  <conditionalFormatting sqref="I484">
    <cfRule type="cellIs" dxfId="208" priority="654" operator="equal">
      <formula>G484</formula>
    </cfRule>
  </conditionalFormatting>
  <conditionalFormatting sqref="I488">
    <cfRule type="cellIs" dxfId="207" priority="749" operator="equal">
      <formula>G488</formula>
    </cfRule>
  </conditionalFormatting>
  <conditionalFormatting sqref="I490">
    <cfRule type="cellIs" dxfId="206" priority="655" operator="equal">
      <formula>G490</formula>
    </cfRule>
  </conditionalFormatting>
  <conditionalFormatting sqref="I492">
    <cfRule type="cellIs" dxfId="205" priority="653" operator="equal">
      <formula>G492</formula>
    </cfRule>
  </conditionalFormatting>
  <conditionalFormatting sqref="I494">
    <cfRule type="cellIs" dxfId="204" priority="657" operator="equal">
      <formula>G494</formula>
    </cfRule>
  </conditionalFormatting>
  <conditionalFormatting sqref="I496">
    <cfRule type="cellIs" dxfId="203" priority="656" operator="equal">
      <formula>G496</formula>
    </cfRule>
  </conditionalFormatting>
  <conditionalFormatting sqref="I498">
    <cfRule type="cellIs" dxfId="202" priority="660" operator="equal">
      <formula>G498</formula>
    </cfRule>
  </conditionalFormatting>
  <conditionalFormatting sqref="I502">
    <cfRule type="cellIs" dxfId="201" priority="622" operator="equal">
      <formula>G502</formula>
    </cfRule>
  </conditionalFormatting>
  <conditionalFormatting sqref="I504">
    <cfRule type="cellIs" dxfId="200" priority="659" operator="equal">
      <formula>G504</formula>
    </cfRule>
  </conditionalFormatting>
  <conditionalFormatting sqref="I507:I542">
    <cfRule type="cellIs" dxfId="199" priority="3" operator="equal">
      <formula>G507</formula>
    </cfRule>
  </conditionalFormatting>
  <conditionalFormatting sqref="I544">
    <cfRule type="cellIs" dxfId="198" priority="635" operator="equal">
      <formula>G544</formula>
    </cfRule>
  </conditionalFormatting>
  <conditionalFormatting sqref="I546">
    <cfRule type="cellIs" dxfId="197" priority="618" operator="equal">
      <formula>G546</formula>
    </cfRule>
  </conditionalFormatting>
  <conditionalFormatting sqref="I550">
    <cfRule type="cellIs" dxfId="196" priority="647" operator="equal">
      <formula>G550</formula>
    </cfRule>
  </conditionalFormatting>
  <conditionalFormatting sqref="I552">
    <cfRule type="cellIs" dxfId="195" priority="639" operator="equal">
      <formula>G552</formula>
    </cfRule>
  </conditionalFormatting>
  <conditionalFormatting sqref="I554">
    <cfRule type="cellIs" dxfId="194" priority="646" operator="equal">
      <formula>G554</formula>
    </cfRule>
  </conditionalFormatting>
  <conditionalFormatting sqref="I558">
    <cfRule type="cellIs" dxfId="193" priority="640" operator="equal">
      <formula>G558</formula>
    </cfRule>
  </conditionalFormatting>
  <conditionalFormatting sqref="I560 I576">
    <cfRule type="cellIs" dxfId="192" priority="648" operator="equal">
      <formula>G560</formula>
    </cfRule>
  </conditionalFormatting>
  <conditionalFormatting sqref="I564">
    <cfRule type="cellIs" dxfId="191" priority="641" operator="equal">
      <formula>G564</formula>
    </cfRule>
  </conditionalFormatting>
  <conditionalFormatting sqref="I568">
    <cfRule type="cellIs" dxfId="190" priority="633" operator="equal">
      <formula>G568</formula>
    </cfRule>
  </conditionalFormatting>
  <conditionalFormatting sqref="I570">
    <cfRule type="cellIs" dxfId="189" priority="643" operator="equal">
      <formula>G570</formula>
    </cfRule>
  </conditionalFormatting>
  <conditionalFormatting sqref="I572">
    <cfRule type="cellIs" dxfId="188" priority="642" operator="equal">
      <formula>G572</formula>
    </cfRule>
  </conditionalFormatting>
  <conditionalFormatting sqref="I574">
    <cfRule type="cellIs" dxfId="187" priority="645" operator="equal">
      <formula>G574</formula>
    </cfRule>
  </conditionalFormatting>
  <conditionalFormatting sqref="I578">
    <cfRule type="cellIs" dxfId="186" priority="621" operator="equal">
      <formula>G578</formula>
    </cfRule>
  </conditionalFormatting>
  <conditionalFormatting sqref="I580">
    <cfRule type="cellIs" dxfId="185" priority="644" operator="equal">
      <formula>G580</formula>
    </cfRule>
  </conditionalFormatting>
  <conditionalFormatting sqref="I583:I598">
    <cfRule type="cellIs" dxfId="184" priority="626" operator="equal">
      <formula>G583</formula>
    </cfRule>
  </conditionalFormatting>
  <conditionalFormatting sqref="I600 I602 I604 I606">
    <cfRule type="cellIs" dxfId="183" priority="624" operator="equal">
      <formula>G600</formula>
    </cfRule>
  </conditionalFormatting>
  <conditionalFormatting sqref="I608">
    <cfRule type="cellIs" dxfId="182" priority="623" operator="equal">
      <formula>G608</formula>
    </cfRule>
  </conditionalFormatting>
  <conditionalFormatting sqref="I610">
    <cfRule type="cellIs" dxfId="181" priority="625" operator="equal">
      <formula>G610</formula>
    </cfRule>
  </conditionalFormatting>
  <conditionalFormatting sqref="I612">
    <cfRule type="cellIs" dxfId="180" priority="631" operator="equal">
      <formula>G612</formula>
    </cfRule>
  </conditionalFormatting>
  <conditionalFormatting sqref="I614">
    <cfRule type="cellIs" dxfId="179" priority="630" operator="equal">
      <formula>G614</formula>
    </cfRule>
  </conditionalFormatting>
  <conditionalFormatting sqref="I616">
    <cfRule type="cellIs" dxfId="178" priority="629" operator="equal">
      <formula>G616</formula>
    </cfRule>
  </conditionalFormatting>
  <conditionalFormatting sqref="I618">
    <cfRule type="cellIs" dxfId="177" priority="632" operator="equal">
      <formula>G618</formula>
    </cfRule>
  </conditionalFormatting>
  <conditionalFormatting sqref="I620">
    <cfRule type="cellIs" dxfId="176" priority="619" operator="equal">
      <formula>G620</formula>
    </cfRule>
  </conditionalFormatting>
  <conditionalFormatting sqref="I622">
    <cfRule type="cellIs" dxfId="175" priority="628" operator="equal">
      <formula>G622</formula>
    </cfRule>
  </conditionalFormatting>
  <conditionalFormatting sqref="I625:I633">
    <cfRule type="cellIs" dxfId="174" priority="2" operator="equal">
      <formula>G625</formula>
    </cfRule>
  </conditionalFormatting>
  <conditionalFormatting sqref="I646:I675">
    <cfRule type="cellIs" dxfId="173" priority="43" operator="equal">
      <formula>G646</formula>
    </cfRule>
  </conditionalFormatting>
  <conditionalFormatting sqref="I677">
    <cfRule type="cellIs" dxfId="172" priority="528" operator="equal">
      <formula>G677</formula>
    </cfRule>
  </conditionalFormatting>
  <conditionalFormatting sqref="I679">
    <cfRule type="cellIs" dxfId="171" priority="525" operator="equal">
      <formula>G679</formula>
    </cfRule>
  </conditionalFormatting>
  <conditionalFormatting sqref="I681">
    <cfRule type="cellIs" dxfId="170" priority="522" operator="equal">
      <formula>G681</formula>
    </cfRule>
  </conditionalFormatting>
  <conditionalFormatting sqref="I683">
    <cfRule type="cellIs" dxfId="169" priority="609" operator="equal">
      <formula>G683</formula>
    </cfRule>
  </conditionalFormatting>
  <conditionalFormatting sqref="I685">
    <cfRule type="cellIs" dxfId="168" priority="606" operator="equal">
      <formula>G685</formula>
    </cfRule>
  </conditionalFormatting>
  <conditionalFormatting sqref="I687">
    <cfRule type="cellIs" dxfId="167" priority="603" operator="equal">
      <formula>G687</formula>
    </cfRule>
  </conditionalFormatting>
  <conditionalFormatting sqref="I689">
    <cfRule type="cellIs" dxfId="166" priority="600" operator="equal">
      <formula>G689</formula>
    </cfRule>
  </conditionalFormatting>
  <conditionalFormatting sqref="I691">
    <cfRule type="cellIs" dxfId="165" priority="597" operator="equal">
      <formula>G691</formula>
    </cfRule>
  </conditionalFormatting>
  <conditionalFormatting sqref="I693">
    <cfRule type="cellIs" dxfId="164" priority="594" operator="equal">
      <formula>G693</formula>
    </cfRule>
  </conditionalFormatting>
  <conditionalFormatting sqref="I695">
    <cfRule type="cellIs" dxfId="163" priority="591" operator="equal">
      <formula>G695</formula>
    </cfRule>
  </conditionalFormatting>
  <conditionalFormatting sqref="I697">
    <cfRule type="cellIs" dxfId="162" priority="588" operator="equal">
      <formula>G697</formula>
    </cfRule>
  </conditionalFormatting>
  <conditionalFormatting sqref="I699">
    <cfRule type="cellIs" dxfId="161" priority="585" operator="equal">
      <formula>G699</formula>
    </cfRule>
  </conditionalFormatting>
  <conditionalFormatting sqref="I701">
    <cfRule type="cellIs" dxfId="160" priority="582" operator="equal">
      <formula>G701</formula>
    </cfRule>
  </conditionalFormatting>
  <conditionalFormatting sqref="I703">
    <cfRule type="cellIs" dxfId="159" priority="579" operator="equal">
      <formula>G703</formula>
    </cfRule>
  </conditionalFormatting>
  <conditionalFormatting sqref="I705">
    <cfRule type="cellIs" dxfId="158" priority="576" operator="equal">
      <formula>G705</formula>
    </cfRule>
  </conditionalFormatting>
  <conditionalFormatting sqref="I707">
    <cfRule type="cellIs" dxfId="157" priority="573" operator="equal">
      <formula>G707</formula>
    </cfRule>
  </conditionalFormatting>
  <conditionalFormatting sqref="I709">
    <cfRule type="cellIs" dxfId="156" priority="570" operator="equal">
      <formula>G709</formula>
    </cfRule>
  </conditionalFormatting>
  <conditionalFormatting sqref="I711">
    <cfRule type="cellIs" dxfId="155" priority="567" operator="equal">
      <formula>G711</formula>
    </cfRule>
  </conditionalFormatting>
  <conditionalFormatting sqref="I713">
    <cfRule type="cellIs" dxfId="154" priority="564" operator="equal">
      <formula>G713</formula>
    </cfRule>
  </conditionalFormatting>
  <conditionalFormatting sqref="I715">
    <cfRule type="cellIs" dxfId="153" priority="561" operator="equal">
      <formula>G715</formula>
    </cfRule>
  </conditionalFormatting>
  <conditionalFormatting sqref="I717">
    <cfRule type="cellIs" dxfId="152" priority="558" operator="equal">
      <formula>G717</formula>
    </cfRule>
  </conditionalFormatting>
  <conditionalFormatting sqref="I720:I748">
    <cfRule type="cellIs" dxfId="151" priority="337" operator="equal">
      <formula>G720</formula>
    </cfRule>
  </conditionalFormatting>
  <conditionalFormatting sqref="I753:I784">
    <cfRule type="cellIs" dxfId="150" priority="103" operator="equal">
      <formula>G753</formula>
    </cfRule>
  </conditionalFormatting>
  <conditionalFormatting sqref="I786 I788 I794">
    <cfRule type="cellIs" dxfId="149" priority="539" operator="equal">
      <formula>G786</formula>
    </cfRule>
  </conditionalFormatting>
  <conditionalFormatting sqref="I790">
    <cfRule type="cellIs" dxfId="148" priority="92" operator="equal">
      <formula>G790</formula>
    </cfRule>
  </conditionalFormatting>
  <conditionalFormatting sqref="I792">
    <cfRule type="cellIs" dxfId="147" priority="100" operator="equal">
      <formula>G792</formula>
    </cfRule>
  </conditionalFormatting>
  <conditionalFormatting sqref="I797:I826">
    <cfRule type="cellIs" dxfId="146" priority="1" operator="equal">
      <formula>G797</formula>
    </cfRule>
  </conditionalFormatting>
  <conditionalFormatting sqref="I828">
    <cfRule type="cellIs" dxfId="145" priority="501" operator="equal">
      <formula>G828</formula>
    </cfRule>
  </conditionalFormatting>
  <conditionalFormatting sqref="I830">
    <cfRule type="cellIs" dxfId="144" priority="697" operator="equal">
      <formula>G830</formula>
    </cfRule>
  </conditionalFormatting>
  <conditionalFormatting sqref="I832">
    <cfRule type="cellIs" dxfId="143" priority="729" operator="equal">
      <formula>G832</formula>
    </cfRule>
  </conditionalFormatting>
  <conditionalFormatting sqref="I834">
    <cfRule type="cellIs" dxfId="142" priority="731" operator="equal">
      <formula>G834</formula>
    </cfRule>
  </conditionalFormatting>
  <conditionalFormatting sqref="I836">
    <cfRule type="cellIs" dxfId="141" priority="728" operator="equal">
      <formula>G836</formula>
    </cfRule>
  </conditionalFormatting>
  <conditionalFormatting sqref="I838">
    <cfRule type="cellIs" dxfId="140" priority="730" operator="equal">
      <formula>G838</formula>
    </cfRule>
  </conditionalFormatting>
  <conditionalFormatting sqref="I840 I842 I844 I846 I848 I850">
    <cfRule type="cellIs" dxfId="139" priority="708" operator="equal">
      <formula>G840</formula>
    </cfRule>
  </conditionalFormatting>
  <conditionalFormatting sqref="I852 I854">
    <cfRule type="cellIs" dxfId="138" priority="513" operator="equal">
      <formula>G852</formula>
    </cfRule>
  </conditionalFormatting>
  <conditionalFormatting sqref="I859:I886">
    <cfRule type="cellIs" dxfId="137" priority="279" operator="equal">
      <formula>G859</formula>
    </cfRule>
  </conditionalFormatting>
  <conditionalFormatting sqref="I889">
    <cfRule type="cellIs" dxfId="136" priority="747" operator="equal">
      <formula>G889</formula>
    </cfRule>
  </conditionalFormatting>
  <conditionalFormatting sqref="I892:I928">
    <cfRule type="cellIs" dxfId="135" priority="283" operator="equal">
      <formula>G892</formula>
    </cfRule>
  </conditionalFormatting>
  <conditionalFormatting sqref="J5:J6">
    <cfRule type="cellIs" dxfId="134" priority="750" operator="equal">
      <formula>G8</formula>
    </cfRule>
  </conditionalFormatting>
  <dataValidations disablePrompts="1" count="1">
    <dataValidation allowBlank="1" showInputMessage="1" showErrorMessage="1" prompt="Confirmar_x000a_DMT" sqref="E32:E33"/>
  </dataValidations>
  <hyperlinks>
    <hyperlink ref="G100" location="Dre_Terraplenagem!A1" display="Dre_Terraplenagem!A1"/>
    <hyperlink ref="G183" location="Dre_Disp_Estruturais!A1" display="Dre_Disp_Estruturais!A1"/>
    <hyperlink ref="G294" location="Dre_Disp_Estruturais!A1" display="Dre_Disp_Estruturais!A1"/>
    <hyperlink ref="G506" location="Recap_Previo!A1" display="Recap_Previo!A1"/>
    <hyperlink ref="G582" location="Recap_Final!A1" display="Recap_Final!A1"/>
    <hyperlink ref="G624" location="Pav_Terraplenagem!A1" display="Pav_Terraplenagem!A1"/>
    <hyperlink ref="G645" location="Pav_Estrutura!A1" display="Pav_Estrutura!A1"/>
    <hyperlink ref="G413" location="Dre_Profunda!A1" display="Dre_Profunda!A1"/>
    <hyperlink ref="G752" location="Acessibilidade!A1" display="Acessibilidade!A1"/>
    <hyperlink ref="G858" location="Sinalizacao!A1" display="Sinalizacao!A1"/>
    <hyperlink ref="G796" location="Ciclovia!A1" display="Ciclovia!A1"/>
    <hyperlink ref="G63" location="Demolicao!A1" display="Demolicao!A1"/>
    <hyperlink ref="G719" location="Pav_Estrutura!A1" display="Pav_Estrutura!A1"/>
    <hyperlink ref="G448" location="Dre_Fecha_Vala!A1" display="Dre_Fecha_Vala!A1"/>
    <hyperlink ref="G34" location="S_Preliminares!A1" display="S_Preliminares!A1"/>
    <hyperlink ref="G314" location="Bacia_Amortecimento!A1" display="Bacia_Amortecimento!A1"/>
    <hyperlink ref="G244" location="Dre_Disp_Estruturais!A1" display="Dre_Disp_Estruturais!A1"/>
    <hyperlink ref="M832" location="'CPU Adm Local'!A1" display="'CPU Adm Local'!A1"/>
  </hyperlinks>
  <printOptions horizontalCentered="1"/>
  <pageMargins left="0.39370078740157483" right="0.39370078740157483" top="0.59055118110236227" bottom="0.59055118110236227" header="0.31496062992125984" footer="0.23622047244094491"/>
  <pageSetup paperSize="9" scale="66" fitToHeight="47" orientation="landscape" r:id="rId1"/>
  <headerFooter>
    <oddFooter>&amp;L&amp;"Arial,Normal"&amp;8 &amp;F                          &amp;C&amp;"Arial,Normal"&amp;8APROVADO
Eng. Civil&amp;R&amp;"Cambria,Regular"&amp;8 &amp;P / &amp;N                                        Ricardo Schettini Figueiredo&amp;10
&amp;8Eng. Civil - CREA-RJ 52.656/D</oddFooter>
  </headerFooter>
  <ignoredErrors>
    <ignoredError sqref="I791:J793 J170:J180 J640:J642 J289:J291 J58:J75 I831:J854 I827:J829 I755 J749 J676:J716 I631:J639 J570:J579 J543:J554 J467:J503 J439:J445 I430 J400:J410 J386 J345 J322 J77:J97 J556:J568 J599:J620 I785:J789 J830 J855" formula="1"/>
  </ignoredErrors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13">
    <tabColor rgb="FF00B0F0"/>
    <pageSetUpPr fitToPage="1"/>
  </sheetPr>
  <dimension ref="A1:AD163"/>
  <sheetViews>
    <sheetView showZeros="0" zoomScaleNormal="100" zoomScaleSheetLayoutView="80" workbookViewId="0"/>
  </sheetViews>
  <sheetFormatPr defaultColWidth="9" defaultRowHeight="12" x14ac:dyDescent="0.15"/>
  <cols>
    <col min="1" max="1" width="10.625" style="104" customWidth="1"/>
    <col min="2" max="2" width="45.625" style="104" customWidth="1"/>
    <col min="3" max="3" width="11.25" style="104" hidden="1" customWidth="1"/>
    <col min="4" max="4" width="14.625" style="104" customWidth="1"/>
    <col min="5" max="5" width="14.625" style="128" customWidth="1"/>
    <col min="6" max="11" width="14.625" style="104" customWidth="1"/>
    <col min="12" max="23" width="14.625" style="104" hidden="1" customWidth="1"/>
    <col min="24" max="24" width="16.625" style="104" customWidth="1"/>
    <col min="25" max="25" width="12.375" style="104" hidden="1" customWidth="1"/>
    <col min="26" max="26" width="10.5" style="104" hidden="1" customWidth="1"/>
    <col min="27" max="30" width="9" style="104" hidden="1" customWidth="1"/>
    <col min="31" max="31" width="0" style="104" hidden="1" customWidth="1"/>
    <col min="32" max="32" width="18.125" style="104" customWidth="1"/>
    <col min="33" max="16384" width="9" style="104"/>
  </cols>
  <sheetData>
    <row r="1" spans="1:28" s="97" customFormat="1" ht="24.95" customHeight="1" x14ac:dyDescent="0.15">
      <c r="A1" s="538" t="str">
        <f>Orçamento_Deson!B1</f>
        <v>PREFEITURA MUNICIPAL DE CAMPO GRANDE - MS</v>
      </c>
      <c r="B1" s="94"/>
      <c r="C1" s="94"/>
      <c r="D1" s="95"/>
      <c r="E1" s="96"/>
      <c r="F1" s="96"/>
      <c r="G1" s="2248" t="str">
        <f>Orçamento_Deson!B5</f>
        <v>OBRA :</v>
      </c>
      <c r="H1" s="2249" t="str">
        <f>Orçamento_Deson!C5</f>
        <v xml:space="preserve">INFRAESTRUTURA URBANA - PAVIMENTAÇÃO ASFÁLTICA E DRENAGEM DE ÁGUAS PLUVIAIS </v>
      </c>
      <c r="I1" s="164"/>
      <c r="J1" s="164"/>
      <c r="K1" s="164"/>
      <c r="M1" s="164"/>
      <c r="N1" s="873"/>
      <c r="O1" s="164"/>
      <c r="P1" s="164"/>
      <c r="Q1" s="164"/>
      <c r="R1" s="164"/>
      <c r="S1" s="164"/>
      <c r="T1" s="164"/>
      <c r="U1" s="164"/>
      <c r="V1" s="164"/>
      <c r="W1" s="164"/>
      <c r="X1" s="164"/>
    </row>
    <row r="2" spans="1:28" s="97" customFormat="1" ht="35.25" customHeight="1" x14ac:dyDescent="0.15">
      <c r="A2" s="460" t="str">
        <f>Orçamento_Deson!B2</f>
        <v>SECRETARIA MUNICIPAL DE INFRAESTRUTURA E SERVIÇOS PÚBLICOS - SISEP</v>
      </c>
      <c r="B2" s="94"/>
      <c r="C2" s="94"/>
      <c r="D2" s="95"/>
      <c r="E2" s="96"/>
      <c r="F2" s="96"/>
      <c r="G2" s="2248" t="str">
        <f>Orçamento_Deson!B6</f>
        <v>LOCAL :</v>
      </c>
      <c r="H2" s="2496" t="str">
        <f>Orçamento_Deson!C6</f>
        <v>JARDIM NASHIVILLE - ETAPA "B" - FASE 2</v>
      </c>
      <c r="I2" s="2496"/>
      <c r="J2" s="2496"/>
      <c r="K2" s="2496"/>
      <c r="L2" s="2496"/>
      <c r="M2" s="2496"/>
      <c r="N2" s="2496"/>
      <c r="O2" s="2496"/>
      <c r="X2" s="164"/>
    </row>
    <row r="3" spans="1:28" s="98" customFormat="1" ht="18" customHeight="1" x14ac:dyDescent="0.2">
      <c r="A3" s="189"/>
      <c r="E3" s="99"/>
      <c r="F3" s="100"/>
      <c r="G3" s="129"/>
      <c r="H3" s="164"/>
      <c r="I3" s="164"/>
      <c r="J3" s="164"/>
      <c r="K3" s="164"/>
      <c r="M3" s="164"/>
      <c r="N3" s="164"/>
      <c r="X3" s="164"/>
    </row>
    <row r="4" spans="1:28" s="98" customFormat="1" ht="18" customHeight="1" x14ac:dyDescent="0.2">
      <c r="A4" s="189"/>
      <c r="E4" s="99"/>
      <c r="F4" s="100"/>
      <c r="G4" s="129"/>
      <c r="H4" s="164"/>
      <c r="I4" s="164"/>
      <c r="J4" s="164"/>
      <c r="K4" s="164"/>
      <c r="M4" s="164"/>
      <c r="N4" s="164"/>
      <c r="O4" s="164"/>
      <c r="P4" s="164"/>
      <c r="Q4" s="164"/>
      <c r="R4" s="164"/>
      <c r="S4" s="164"/>
      <c r="T4" s="164"/>
      <c r="U4" s="164"/>
      <c r="V4" s="164"/>
      <c r="W4" s="164"/>
      <c r="X4" s="164"/>
    </row>
    <row r="5" spans="1:28" s="98" customFormat="1" ht="24.95" customHeight="1" x14ac:dyDescent="0.2">
      <c r="A5" s="189" t="s">
        <v>137</v>
      </c>
      <c r="B5" s="101"/>
      <c r="C5" s="101"/>
      <c r="D5" s="101"/>
      <c r="E5" s="101"/>
      <c r="F5" s="102"/>
      <c r="G5" s="1665" t="s">
        <v>114</v>
      </c>
      <c r="H5" s="1692" t="str">
        <f>Orçamento_Deson!J1</f>
        <v>Agosto/2023</v>
      </c>
      <c r="I5" s="129"/>
      <c r="J5" s="164"/>
      <c r="M5" s="101"/>
      <c r="N5" s="129"/>
      <c r="O5" s="175"/>
      <c r="P5" s="175"/>
      <c r="Q5" s="175"/>
      <c r="R5" s="175"/>
      <c r="S5" s="175"/>
      <c r="T5" s="175"/>
      <c r="U5" s="175"/>
      <c r="V5" s="175"/>
      <c r="W5" s="175"/>
      <c r="X5" s="175"/>
    </row>
    <row r="6" spans="1:28" ht="18" customHeight="1" thickBot="1" x14ac:dyDescent="0.2">
      <c r="A6" s="103"/>
      <c r="D6" s="105"/>
      <c r="E6" s="106"/>
      <c r="G6" s="1665" t="s">
        <v>420</v>
      </c>
      <c r="H6" s="1679" t="str">
        <f>Orçamento_Deson!J2</f>
        <v>DESONERADA</v>
      </c>
      <c r="I6" s="103"/>
      <c r="N6" s="130"/>
      <c r="O6" s="176"/>
      <c r="P6" s="176"/>
      <c r="Q6" s="176"/>
      <c r="R6" s="176"/>
      <c r="S6" s="176"/>
      <c r="T6" s="176"/>
      <c r="U6" s="176"/>
      <c r="V6" s="176"/>
      <c r="W6" s="176"/>
      <c r="X6" s="176"/>
    </row>
    <row r="7" spans="1:28" s="110" customFormat="1" ht="24.95" customHeight="1" x14ac:dyDescent="0.15">
      <c r="A7" s="2441" t="s">
        <v>31</v>
      </c>
      <c r="B7" s="2443" t="s">
        <v>1952</v>
      </c>
      <c r="C7" s="1661" t="s">
        <v>1948</v>
      </c>
      <c r="D7" s="2445" t="s">
        <v>138</v>
      </c>
      <c r="E7" s="2446"/>
      <c r="F7" s="107">
        <v>1</v>
      </c>
      <c r="G7" s="108">
        <v>2</v>
      </c>
      <c r="H7" s="108">
        <v>3</v>
      </c>
      <c r="I7" s="108">
        <v>4</v>
      </c>
      <c r="J7" s="107">
        <v>5</v>
      </c>
      <c r="K7" s="108">
        <v>6</v>
      </c>
      <c r="L7" s="107">
        <v>7</v>
      </c>
      <c r="M7" s="108">
        <v>8</v>
      </c>
      <c r="N7" s="108">
        <v>9</v>
      </c>
      <c r="O7" s="108">
        <v>10</v>
      </c>
      <c r="P7" s="107">
        <v>11</v>
      </c>
      <c r="Q7" s="108">
        <v>12</v>
      </c>
      <c r="R7" s="108">
        <v>13</v>
      </c>
      <c r="S7" s="108">
        <v>14</v>
      </c>
      <c r="T7" s="108">
        <v>15</v>
      </c>
      <c r="U7" s="108">
        <v>16</v>
      </c>
      <c r="V7" s="108">
        <v>17</v>
      </c>
      <c r="W7" s="108">
        <v>18</v>
      </c>
      <c r="X7" s="2433" t="s">
        <v>139</v>
      </c>
      <c r="Y7" s="109"/>
      <c r="Z7" s="446" t="s">
        <v>599</v>
      </c>
      <c r="AA7" s="447"/>
      <c r="AB7" s="447"/>
    </row>
    <row r="8" spans="1:28" s="114" customFormat="1" ht="24.95" customHeight="1" thickBot="1" x14ac:dyDescent="0.2">
      <c r="A8" s="2442"/>
      <c r="B8" s="2444"/>
      <c r="C8" s="1662" t="s">
        <v>1953</v>
      </c>
      <c r="D8" s="2435" t="s">
        <v>140</v>
      </c>
      <c r="E8" s="2436"/>
      <c r="F8" s="111">
        <v>30</v>
      </c>
      <c r="G8" s="112">
        <v>60</v>
      </c>
      <c r="H8" s="112">
        <v>90</v>
      </c>
      <c r="I8" s="112">
        <v>120</v>
      </c>
      <c r="J8" s="111">
        <v>150</v>
      </c>
      <c r="K8" s="112">
        <v>180</v>
      </c>
      <c r="L8" s="111">
        <v>210</v>
      </c>
      <c r="M8" s="112">
        <v>240</v>
      </c>
      <c r="N8" s="112">
        <v>270</v>
      </c>
      <c r="O8" s="112">
        <v>300</v>
      </c>
      <c r="P8" s="111">
        <v>330</v>
      </c>
      <c r="Q8" s="112">
        <v>360</v>
      </c>
      <c r="R8" s="112">
        <v>390</v>
      </c>
      <c r="S8" s="112">
        <v>420</v>
      </c>
      <c r="T8" s="112">
        <v>450</v>
      </c>
      <c r="U8" s="112">
        <v>480</v>
      </c>
      <c r="V8" s="112">
        <v>510</v>
      </c>
      <c r="W8" s="112">
        <v>540</v>
      </c>
      <c r="X8" s="2434"/>
      <c r="Y8" s="113"/>
      <c r="Z8" s="793">
        <f ca="1">+Orçamento_Deson!J35+Orçamento_Deson!J41+Orçamento_Deson!J43+Orçamento_Deson!J44</f>
        <v>24273.019999999997</v>
      </c>
      <c r="AA8" s="449" t="s">
        <v>600</v>
      </c>
      <c r="AB8" s="448">
        <f ca="1">+Z8/D10</f>
        <v>0.13733167152699191</v>
      </c>
    </row>
    <row r="9" spans="1:28" s="119" customFormat="1" ht="9.9499999999999993" customHeight="1" x14ac:dyDescent="0.15">
      <c r="A9" s="2415">
        <f>Orçamento_Deson!B13</f>
        <v>1</v>
      </c>
      <c r="B9" s="2418" t="str">
        <f>Orçamento_Deson!C13</f>
        <v>SERVIÇOS PRELIMINARES</v>
      </c>
      <c r="C9" s="1655"/>
      <c r="D9" s="115"/>
      <c r="E9" s="116"/>
      <c r="F9" s="870">
        <f t="shared" ref="F9:M9" si="0">F10</f>
        <v>0.3</v>
      </c>
      <c r="G9" s="870">
        <f t="shared" si="0"/>
        <v>0.2</v>
      </c>
      <c r="H9" s="870">
        <f t="shared" si="0"/>
        <v>0.2</v>
      </c>
      <c r="I9" s="870">
        <f t="shared" si="0"/>
        <v>0.1</v>
      </c>
      <c r="J9" s="870">
        <f t="shared" si="0"/>
        <v>0.1</v>
      </c>
      <c r="K9" s="870">
        <f t="shared" si="0"/>
        <v>0.1</v>
      </c>
      <c r="L9" s="870">
        <f t="shared" si="0"/>
        <v>0</v>
      </c>
      <c r="M9" s="870">
        <f t="shared" si="0"/>
        <v>0</v>
      </c>
      <c r="N9" s="870">
        <f>N10</f>
        <v>0</v>
      </c>
      <c r="O9" s="870">
        <f t="shared" ref="O9:W9" si="1">O10</f>
        <v>0</v>
      </c>
      <c r="P9" s="870">
        <f t="shared" si="1"/>
        <v>0</v>
      </c>
      <c r="Q9" s="870">
        <f t="shared" si="1"/>
        <v>0</v>
      </c>
      <c r="R9" s="870">
        <f t="shared" si="1"/>
        <v>0</v>
      </c>
      <c r="S9" s="870">
        <f t="shared" si="1"/>
        <v>0</v>
      </c>
      <c r="T9" s="870">
        <f t="shared" si="1"/>
        <v>0</v>
      </c>
      <c r="U9" s="870">
        <f t="shared" si="1"/>
        <v>0</v>
      </c>
      <c r="V9" s="870">
        <f t="shared" si="1"/>
        <v>0</v>
      </c>
      <c r="W9" s="870">
        <f t="shared" si="1"/>
        <v>0</v>
      </c>
      <c r="X9" s="117"/>
      <c r="Y9" s="707">
        <f ca="1">+D10-X11-X12</f>
        <v>2.9103830456733704E-11</v>
      </c>
    </row>
    <row r="10" spans="1:28" s="119" customFormat="1" ht="18" customHeight="1" x14ac:dyDescent="0.15">
      <c r="A10" s="2416"/>
      <c r="B10" s="2419"/>
      <c r="C10" s="1656" t="str">
        <f>CONCATENATE(Orçamento_Deson!H13," ",Orçamento_Deson!I13)</f>
        <v>16 M2</v>
      </c>
      <c r="D10" s="2437">
        <f ca="1">Orçamento_Deson!J13</f>
        <v>176747.43</v>
      </c>
      <c r="E10" s="2438"/>
      <c r="F10" s="694">
        <f>Cronograma_Não_Deson!F10</f>
        <v>0.3</v>
      </c>
      <c r="G10" s="694">
        <f>Cronograma_Não_Deson!G10</f>
        <v>0.2</v>
      </c>
      <c r="H10" s="694">
        <f>Cronograma_Não_Deson!H10</f>
        <v>0.2</v>
      </c>
      <c r="I10" s="694">
        <f>Cronograma_Não_Deson!I10</f>
        <v>0.1</v>
      </c>
      <c r="J10" s="694">
        <f>Cronograma_Não_Deson!J10</f>
        <v>0.1</v>
      </c>
      <c r="K10" s="694">
        <f>Cronograma_Não_Deson!K10</f>
        <v>0.1</v>
      </c>
      <c r="L10" s="694">
        <f>Cronograma_Não_Deson!L10</f>
        <v>0</v>
      </c>
      <c r="M10" s="694">
        <f>Cronograma_Não_Deson!M10</f>
        <v>0</v>
      </c>
      <c r="N10" s="694">
        <f>Cronograma_Não_Deson!N10</f>
        <v>0</v>
      </c>
      <c r="O10" s="694">
        <f>Cronograma_Não_Deson!O10</f>
        <v>0</v>
      </c>
      <c r="P10" s="694">
        <f>Cronograma_Não_Deson!P10</f>
        <v>0</v>
      </c>
      <c r="Q10" s="694">
        <f>+Cronograma_Não_Deson!Q10</f>
        <v>0</v>
      </c>
      <c r="R10" s="694">
        <f>+Cronograma_Não_Deson!R10</f>
        <v>0</v>
      </c>
      <c r="S10" s="694">
        <f>+Cronograma_Não_Deson!S10</f>
        <v>0</v>
      </c>
      <c r="T10" s="694">
        <f>+Cronograma_Não_Deson!T10</f>
        <v>0</v>
      </c>
      <c r="U10" s="694">
        <f>+Cronograma_Não_Deson!U10</f>
        <v>0</v>
      </c>
      <c r="V10" s="694">
        <f>+Cronograma_Não_Deson!V10</f>
        <v>0</v>
      </c>
      <c r="W10" s="694">
        <f>+Cronograma_Não_Deson!W10</f>
        <v>0</v>
      </c>
      <c r="X10" s="120">
        <f>SUM(F10:W10)</f>
        <v>0.99999999999999989</v>
      </c>
      <c r="Y10" s="585">
        <f>1-X10</f>
        <v>0</v>
      </c>
      <c r="AA10" s="710">
        <f>+COUNT(F10:W10)</f>
        <v>18</v>
      </c>
    </row>
    <row r="11" spans="1:28" s="119" customFormat="1" ht="18" customHeight="1" thickBot="1" x14ac:dyDescent="0.2">
      <c r="A11" s="2416"/>
      <c r="B11" s="2419"/>
      <c r="C11" s="1656"/>
      <c r="D11" s="1687" t="s">
        <v>141</v>
      </c>
      <c r="E11" s="1688">
        <f>D$88</f>
        <v>1</v>
      </c>
      <c r="F11" s="869">
        <f t="shared" ref="F11:W11" ca="1" si="2">IF($D10=0,0,IF(F10=0,0,($E11*$D10*F10)+$AA$92))</f>
        <v>53024.228999999999</v>
      </c>
      <c r="G11" s="869">
        <f t="shared" ca="1" si="2"/>
        <v>35349.485999999997</v>
      </c>
      <c r="H11" s="869">
        <f t="shared" ca="1" si="2"/>
        <v>35349.485999999997</v>
      </c>
      <c r="I11" s="869">
        <f t="shared" ca="1" si="2"/>
        <v>17674.742999999999</v>
      </c>
      <c r="J11" s="869">
        <f t="shared" ca="1" si="2"/>
        <v>17674.742999999999</v>
      </c>
      <c r="K11" s="869">
        <f t="shared" ca="1" si="2"/>
        <v>17674.742999999999</v>
      </c>
      <c r="L11" s="869">
        <f t="shared" ca="1" si="2"/>
        <v>0</v>
      </c>
      <c r="M11" s="869">
        <f t="shared" ca="1" si="2"/>
        <v>0</v>
      </c>
      <c r="N11" s="869">
        <f t="shared" ca="1" si="2"/>
        <v>0</v>
      </c>
      <c r="O11" s="869">
        <f t="shared" ca="1" si="2"/>
        <v>0</v>
      </c>
      <c r="P11" s="869">
        <f t="shared" ca="1" si="2"/>
        <v>0</v>
      </c>
      <c r="Q11" s="869">
        <f t="shared" ca="1" si="2"/>
        <v>0</v>
      </c>
      <c r="R11" s="869">
        <f t="shared" ca="1" si="2"/>
        <v>0</v>
      </c>
      <c r="S11" s="869">
        <f t="shared" ca="1" si="2"/>
        <v>0</v>
      </c>
      <c r="T11" s="869">
        <f t="shared" ca="1" si="2"/>
        <v>0</v>
      </c>
      <c r="U11" s="869">
        <f t="shared" ca="1" si="2"/>
        <v>0</v>
      </c>
      <c r="V11" s="869">
        <f t="shared" ca="1" si="2"/>
        <v>0</v>
      </c>
      <c r="W11" s="869">
        <f t="shared" ca="1" si="2"/>
        <v>0</v>
      </c>
      <c r="X11" s="121">
        <f ca="1">SUM(F11:W11)</f>
        <v>176747.42999999996</v>
      </c>
      <c r="Y11" s="118">
        <f ca="1">TRUNC(X11-D10*E11,2)</f>
        <v>0</v>
      </c>
      <c r="Z11" s="709">
        <f ca="1">+X11/D10</f>
        <v>0.99999999999999989</v>
      </c>
    </row>
    <row r="12" spans="1:28" s="119" customFormat="1" ht="18" hidden="1" customHeight="1" thickBot="1" x14ac:dyDescent="0.2">
      <c r="A12" s="2417"/>
      <c r="B12" s="2420"/>
      <c r="C12" s="1657"/>
      <c r="D12" s="1651" t="s">
        <v>142</v>
      </c>
      <c r="E12" s="708">
        <f>1-E11</f>
        <v>0</v>
      </c>
      <c r="F12" s="868">
        <f ca="1">($D10*F10-F11)</f>
        <v>0</v>
      </c>
      <c r="G12" s="868">
        <f t="shared" ref="G12:W12" ca="1" si="3">($D10*G10-G11)</f>
        <v>0</v>
      </c>
      <c r="H12" s="868">
        <f t="shared" ca="1" si="3"/>
        <v>0</v>
      </c>
      <c r="I12" s="868">
        <f t="shared" ca="1" si="3"/>
        <v>0</v>
      </c>
      <c r="J12" s="868">
        <f t="shared" ca="1" si="3"/>
        <v>0</v>
      </c>
      <c r="K12" s="868">
        <f t="shared" ca="1" si="3"/>
        <v>0</v>
      </c>
      <c r="L12" s="868">
        <f t="shared" ca="1" si="3"/>
        <v>0</v>
      </c>
      <c r="M12" s="868">
        <f t="shared" ca="1" si="3"/>
        <v>0</v>
      </c>
      <c r="N12" s="868">
        <f t="shared" ca="1" si="3"/>
        <v>0</v>
      </c>
      <c r="O12" s="868">
        <f t="shared" ca="1" si="3"/>
        <v>0</v>
      </c>
      <c r="P12" s="868">
        <f t="shared" ca="1" si="3"/>
        <v>0</v>
      </c>
      <c r="Q12" s="868">
        <f t="shared" ca="1" si="3"/>
        <v>0</v>
      </c>
      <c r="R12" s="868">
        <f t="shared" ca="1" si="3"/>
        <v>0</v>
      </c>
      <c r="S12" s="868">
        <f t="shared" ca="1" si="3"/>
        <v>0</v>
      </c>
      <c r="T12" s="868">
        <f t="shared" ca="1" si="3"/>
        <v>0</v>
      </c>
      <c r="U12" s="868">
        <f t="shared" ca="1" si="3"/>
        <v>0</v>
      </c>
      <c r="V12" s="868">
        <f t="shared" ca="1" si="3"/>
        <v>0</v>
      </c>
      <c r="W12" s="868">
        <f t="shared" ca="1" si="3"/>
        <v>0</v>
      </c>
      <c r="X12" s="122">
        <f ca="1">SUM(F12:W12)</f>
        <v>0</v>
      </c>
      <c r="Y12" s="118">
        <f ca="1">+D10-X11-X12</f>
        <v>2.9103830456733704E-11</v>
      </c>
    </row>
    <row r="13" spans="1:28" s="119" customFormat="1" ht="9.9499999999999993" customHeight="1" x14ac:dyDescent="0.15">
      <c r="A13" s="2415">
        <f ca="1">Orçamento_Deson!B14</f>
        <v>2</v>
      </c>
      <c r="B13" s="2418" t="str">
        <f>Orçamento_Deson!C14</f>
        <v>REMOÇÕES, DEMOLIÇÕES E SUPRESSÕES</v>
      </c>
      <c r="C13" s="1656"/>
      <c r="D13" s="1652"/>
      <c r="E13" s="116"/>
      <c r="F13" s="870">
        <f t="shared" ref="F13:M13" si="4">F14</f>
        <v>0.5</v>
      </c>
      <c r="G13" s="870">
        <f t="shared" si="4"/>
        <v>0.5</v>
      </c>
      <c r="H13" s="870">
        <f t="shared" si="4"/>
        <v>0</v>
      </c>
      <c r="I13" s="870">
        <f t="shared" si="4"/>
        <v>0</v>
      </c>
      <c r="J13" s="870">
        <f t="shared" si="4"/>
        <v>0</v>
      </c>
      <c r="K13" s="870">
        <f t="shared" si="4"/>
        <v>0</v>
      </c>
      <c r="L13" s="870">
        <f t="shared" si="4"/>
        <v>0</v>
      </c>
      <c r="M13" s="870">
        <f t="shared" si="4"/>
        <v>0</v>
      </c>
      <c r="N13" s="870">
        <f>N14</f>
        <v>0</v>
      </c>
      <c r="O13" s="870">
        <f t="shared" ref="O13:W13" si="5">O14</f>
        <v>0</v>
      </c>
      <c r="P13" s="870">
        <f t="shared" si="5"/>
        <v>0</v>
      </c>
      <c r="Q13" s="870">
        <f t="shared" si="5"/>
        <v>0</v>
      </c>
      <c r="R13" s="870">
        <f t="shared" si="5"/>
        <v>0</v>
      </c>
      <c r="S13" s="870">
        <f t="shared" si="5"/>
        <v>0</v>
      </c>
      <c r="T13" s="870">
        <f t="shared" si="5"/>
        <v>0</v>
      </c>
      <c r="U13" s="870">
        <f t="shared" si="5"/>
        <v>0</v>
      </c>
      <c r="V13" s="870">
        <f t="shared" si="5"/>
        <v>0</v>
      </c>
      <c r="W13" s="870">
        <f t="shared" si="5"/>
        <v>0</v>
      </c>
      <c r="X13" s="117"/>
      <c r="Y13" s="707">
        <f>+D14-X15-X16</f>
        <v>0</v>
      </c>
    </row>
    <row r="14" spans="1:28" s="119" customFormat="1" ht="18" customHeight="1" x14ac:dyDescent="0.15">
      <c r="A14" s="2416"/>
      <c r="B14" s="2419"/>
      <c r="C14" s="1656" t="str">
        <f>CONCATENATE(Orçamento_Deson!H14," ",Orçamento_Deson!I14)</f>
        <v>858,19 M</v>
      </c>
      <c r="D14" s="2437">
        <f>Orçamento_Deson!J14</f>
        <v>39545.100000000006</v>
      </c>
      <c r="E14" s="2438"/>
      <c r="F14" s="694">
        <f>Cronograma_Não_Deson!F14</f>
        <v>0.5</v>
      </c>
      <c r="G14" s="694">
        <f>Cronograma_Não_Deson!G14</f>
        <v>0.5</v>
      </c>
      <c r="H14" s="694">
        <f>Cronograma_Não_Deson!H14</f>
        <v>0</v>
      </c>
      <c r="I14" s="694">
        <f>Cronograma_Não_Deson!I14</f>
        <v>0</v>
      </c>
      <c r="J14" s="694">
        <f>Cronograma_Não_Deson!J14</f>
        <v>0</v>
      </c>
      <c r="K14" s="694">
        <f>Cronograma_Não_Deson!K14</f>
        <v>0</v>
      </c>
      <c r="L14" s="694">
        <f>Cronograma_Não_Deson!L14</f>
        <v>0</v>
      </c>
      <c r="M14" s="694">
        <f>Cronograma_Não_Deson!M14</f>
        <v>0</v>
      </c>
      <c r="N14" s="694">
        <f>Cronograma_Não_Deson!N14</f>
        <v>0</v>
      </c>
      <c r="O14" s="694">
        <f>Cronograma_Não_Deson!O14</f>
        <v>0</v>
      </c>
      <c r="P14" s="694">
        <f>Cronograma_Não_Deson!P14</f>
        <v>0</v>
      </c>
      <c r="Q14" s="694">
        <f>+Cronograma_Não_Deson!Q14</f>
        <v>0</v>
      </c>
      <c r="R14" s="694">
        <f>+Cronograma_Não_Deson!R14</f>
        <v>0</v>
      </c>
      <c r="S14" s="694">
        <f>+Cronograma_Não_Deson!S14</f>
        <v>0</v>
      </c>
      <c r="T14" s="694">
        <f>+Cronograma_Não_Deson!T14</f>
        <v>0</v>
      </c>
      <c r="U14" s="694">
        <f>+Cronograma_Não_Deson!U14</f>
        <v>0</v>
      </c>
      <c r="V14" s="694">
        <f>+Cronograma_Não_Deson!V14</f>
        <v>0</v>
      </c>
      <c r="W14" s="694">
        <f>+Cronograma_Não_Deson!W14</f>
        <v>0</v>
      </c>
      <c r="X14" s="120">
        <f>SUM(F14:W14)</f>
        <v>1</v>
      </c>
      <c r="Y14" s="585">
        <f>1-X14</f>
        <v>0</v>
      </c>
      <c r="AA14" s="710">
        <f>+COUNT(F14:W14)</f>
        <v>18</v>
      </c>
    </row>
    <row r="15" spans="1:28" s="119" customFormat="1" ht="18" customHeight="1" thickBot="1" x14ac:dyDescent="0.2">
      <c r="A15" s="2416"/>
      <c r="B15" s="2419"/>
      <c r="C15" s="1658">
        <f>INT(SUM(Orçamento_Deson!O64:O73)/240)+1</f>
        <v>1</v>
      </c>
      <c r="D15" s="1687" t="s">
        <v>141</v>
      </c>
      <c r="E15" s="1688">
        <f>D$88</f>
        <v>1</v>
      </c>
      <c r="F15" s="869">
        <f t="shared" ref="F15:W15" si="6">IF($D14=0,0,IF(F14=0,0,($E15*$D14*F14)+$AA$92))</f>
        <v>19772.550000000003</v>
      </c>
      <c r="G15" s="869">
        <f t="shared" si="6"/>
        <v>19772.550000000003</v>
      </c>
      <c r="H15" s="869">
        <f t="shared" si="6"/>
        <v>0</v>
      </c>
      <c r="I15" s="869">
        <f t="shared" si="6"/>
        <v>0</v>
      </c>
      <c r="J15" s="869">
        <f t="shared" si="6"/>
        <v>0</v>
      </c>
      <c r="K15" s="869">
        <f t="shared" si="6"/>
        <v>0</v>
      </c>
      <c r="L15" s="869">
        <f t="shared" si="6"/>
        <v>0</v>
      </c>
      <c r="M15" s="869">
        <f t="shared" si="6"/>
        <v>0</v>
      </c>
      <c r="N15" s="869">
        <f t="shared" si="6"/>
        <v>0</v>
      </c>
      <c r="O15" s="869">
        <f t="shared" si="6"/>
        <v>0</v>
      </c>
      <c r="P15" s="869">
        <f t="shared" si="6"/>
        <v>0</v>
      </c>
      <c r="Q15" s="869">
        <f t="shared" si="6"/>
        <v>0</v>
      </c>
      <c r="R15" s="869">
        <f t="shared" si="6"/>
        <v>0</v>
      </c>
      <c r="S15" s="869">
        <f t="shared" si="6"/>
        <v>0</v>
      </c>
      <c r="T15" s="869">
        <f t="shared" si="6"/>
        <v>0</v>
      </c>
      <c r="U15" s="869">
        <f t="shared" si="6"/>
        <v>0</v>
      </c>
      <c r="V15" s="869">
        <f t="shared" si="6"/>
        <v>0</v>
      </c>
      <c r="W15" s="869">
        <f t="shared" si="6"/>
        <v>0</v>
      </c>
      <c r="X15" s="121">
        <f>SUM(F15:W15)</f>
        <v>39545.100000000006</v>
      </c>
      <c r="Y15" s="118">
        <f>TRUNC(X15-D14*E15,2)</f>
        <v>0</v>
      </c>
      <c r="Z15" s="709">
        <f>+X15/D14</f>
        <v>1</v>
      </c>
    </row>
    <row r="16" spans="1:28" s="119" customFormat="1" ht="18" hidden="1" customHeight="1" thickBot="1" x14ac:dyDescent="0.2">
      <c r="A16" s="2417"/>
      <c r="B16" s="2420"/>
      <c r="C16" s="1657"/>
      <c r="D16" s="1651" t="s">
        <v>142</v>
      </c>
      <c r="E16" s="708">
        <f>1-E15</f>
        <v>0</v>
      </c>
      <c r="F16" s="868">
        <f>($D14*F14-F15)</f>
        <v>0</v>
      </c>
      <c r="G16" s="868">
        <f t="shared" ref="G16:W16" si="7">($D14*G14-G15)</f>
        <v>0</v>
      </c>
      <c r="H16" s="868">
        <f t="shared" si="7"/>
        <v>0</v>
      </c>
      <c r="I16" s="868">
        <f t="shared" si="7"/>
        <v>0</v>
      </c>
      <c r="J16" s="868">
        <f t="shared" si="7"/>
        <v>0</v>
      </c>
      <c r="K16" s="868">
        <f t="shared" si="7"/>
        <v>0</v>
      </c>
      <c r="L16" s="868">
        <f t="shared" si="7"/>
        <v>0</v>
      </c>
      <c r="M16" s="868">
        <f t="shared" si="7"/>
        <v>0</v>
      </c>
      <c r="N16" s="868">
        <f t="shared" si="7"/>
        <v>0</v>
      </c>
      <c r="O16" s="868">
        <f t="shared" si="7"/>
        <v>0</v>
      </c>
      <c r="P16" s="868">
        <f t="shared" si="7"/>
        <v>0</v>
      </c>
      <c r="Q16" s="868">
        <f t="shared" si="7"/>
        <v>0</v>
      </c>
      <c r="R16" s="868">
        <f t="shared" si="7"/>
        <v>0</v>
      </c>
      <c r="S16" s="868">
        <f t="shared" si="7"/>
        <v>0</v>
      </c>
      <c r="T16" s="868">
        <f t="shared" si="7"/>
        <v>0</v>
      </c>
      <c r="U16" s="868">
        <f t="shared" si="7"/>
        <v>0</v>
      </c>
      <c r="V16" s="868">
        <f t="shared" si="7"/>
        <v>0</v>
      </c>
      <c r="W16" s="868">
        <f t="shared" si="7"/>
        <v>0</v>
      </c>
      <c r="X16" s="122">
        <f>SUM(F16:W16)</f>
        <v>0</v>
      </c>
      <c r="Y16" s="118">
        <f>+D14-X15-X16</f>
        <v>0</v>
      </c>
    </row>
    <row r="17" spans="1:27" s="119" customFormat="1" ht="9.9499999999999993" customHeight="1" x14ac:dyDescent="0.15">
      <c r="A17" s="2415">
        <f ca="1">Orçamento_Deson!B15</f>
        <v>3</v>
      </c>
      <c r="B17" s="2418" t="str">
        <f>Orçamento_Deson!C15</f>
        <v>MICRODRENAGEM - TERRAPLENAGEM</v>
      </c>
      <c r="C17" s="1656"/>
      <c r="D17" s="1652"/>
      <c r="E17" s="116"/>
      <c r="F17" s="870">
        <f t="shared" ref="F17:M17" si="8">F18</f>
        <v>0.25</v>
      </c>
      <c r="G17" s="870">
        <f t="shared" si="8"/>
        <v>0.2</v>
      </c>
      <c r="H17" s="870">
        <f t="shared" si="8"/>
        <v>0.2</v>
      </c>
      <c r="I17" s="870">
        <f t="shared" si="8"/>
        <v>0.15</v>
      </c>
      <c r="J17" s="870">
        <f t="shared" si="8"/>
        <v>0.1</v>
      </c>
      <c r="K17" s="870">
        <f t="shared" si="8"/>
        <v>0.1</v>
      </c>
      <c r="L17" s="870">
        <f t="shared" si="8"/>
        <v>0</v>
      </c>
      <c r="M17" s="870">
        <f t="shared" si="8"/>
        <v>0</v>
      </c>
      <c r="N17" s="870">
        <f>N18</f>
        <v>0</v>
      </c>
      <c r="O17" s="870">
        <f t="shared" ref="O17:W17" si="9">O18</f>
        <v>0</v>
      </c>
      <c r="P17" s="870">
        <f t="shared" si="9"/>
        <v>0</v>
      </c>
      <c r="Q17" s="870">
        <f t="shared" si="9"/>
        <v>0</v>
      </c>
      <c r="R17" s="870">
        <f t="shared" si="9"/>
        <v>0</v>
      </c>
      <c r="S17" s="870">
        <f t="shared" si="9"/>
        <v>0</v>
      </c>
      <c r="T17" s="870">
        <f t="shared" si="9"/>
        <v>0</v>
      </c>
      <c r="U17" s="870">
        <f t="shared" si="9"/>
        <v>0</v>
      </c>
      <c r="V17" s="870">
        <f t="shared" si="9"/>
        <v>0</v>
      </c>
      <c r="W17" s="870">
        <f t="shared" si="9"/>
        <v>0</v>
      </c>
      <c r="X17" s="117"/>
      <c r="Y17" s="707">
        <f ca="1">+D18-X19-X20</f>
        <v>0</v>
      </c>
    </row>
    <row r="18" spans="1:27" s="119" customFormat="1" ht="18" customHeight="1" x14ac:dyDescent="0.15">
      <c r="A18" s="2416"/>
      <c r="B18" s="2419"/>
      <c r="C18" s="1656" t="str">
        <f>CONCATENATE(Orçamento_Deson!H15," ",Orçamento_Deson!I15)</f>
        <v>819,46 M3</v>
      </c>
      <c r="D18" s="2437">
        <f ca="1">Orçamento_Deson!J15</f>
        <v>143847.81</v>
      </c>
      <c r="E18" s="2438"/>
      <c r="F18" s="694">
        <f>Cronograma_Não_Deson!F18</f>
        <v>0.25</v>
      </c>
      <c r="G18" s="694">
        <f>Cronograma_Não_Deson!G18</f>
        <v>0.2</v>
      </c>
      <c r="H18" s="694">
        <f>Cronograma_Não_Deson!H18</f>
        <v>0.2</v>
      </c>
      <c r="I18" s="694">
        <f>Cronograma_Não_Deson!I18</f>
        <v>0.15</v>
      </c>
      <c r="J18" s="694">
        <f>Cronograma_Não_Deson!J18</f>
        <v>0.1</v>
      </c>
      <c r="K18" s="694">
        <f>Cronograma_Não_Deson!K18</f>
        <v>0.1</v>
      </c>
      <c r="L18" s="694">
        <f>Cronograma_Não_Deson!L18</f>
        <v>0</v>
      </c>
      <c r="M18" s="694">
        <f>Cronograma_Não_Deson!M18</f>
        <v>0</v>
      </c>
      <c r="N18" s="694">
        <f>Cronograma_Não_Deson!N18</f>
        <v>0</v>
      </c>
      <c r="O18" s="694">
        <f>Cronograma_Não_Deson!O18</f>
        <v>0</v>
      </c>
      <c r="P18" s="694">
        <f>Cronograma_Não_Deson!P18</f>
        <v>0</v>
      </c>
      <c r="Q18" s="694">
        <f>+Cronograma_Não_Deson!Q18</f>
        <v>0</v>
      </c>
      <c r="R18" s="694">
        <f>+Cronograma_Não_Deson!R18</f>
        <v>0</v>
      </c>
      <c r="S18" s="694">
        <f>+Cronograma_Não_Deson!S18</f>
        <v>0</v>
      </c>
      <c r="T18" s="694">
        <f>+Cronograma_Não_Deson!T18</f>
        <v>0</v>
      </c>
      <c r="U18" s="694">
        <f>+Cronograma_Não_Deson!U18</f>
        <v>0</v>
      </c>
      <c r="V18" s="694">
        <f>+Cronograma_Não_Deson!V18</f>
        <v>0</v>
      </c>
      <c r="W18" s="694">
        <f>+Cronograma_Não_Deson!W18</f>
        <v>0</v>
      </c>
      <c r="X18" s="120">
        <f>SUM(F18:W18)</f>
        <v>1</v>
      </c>
      <c r="Y18" s="585">
        <f>1-X18</f>
        <v>0</v>
      </c>
      <c r="AA18" s="710">
        <f>+COUNT(F18:W18)</f>
        <v>18</v>
      </c>
    </row>
    <row r="19" spans="1:27" s="119" customFormat="1" ht="18" customHeight="1" thickBot="1" x14ac:dyDescent="0.2">
      <c r="A19" s="2416"/>
      <c r="B19" s="2419"/>
      <c r="C19" s="1658">
        <f ca="1">ROUND(SUM(Orçamento_Deson!O104:O125)/240,1)</f>
        <v>0.6</v>
      </c>
      <c r="D19" s="1687" t="s">
        <v>141</v>
      </c>
      <c r="E19" s="1688">
        <f>D$88</f>
        <v>1</v>
      </c>
      <c r="F19" s="869">
        <f t="shared" ref="F19:W19" ca="1" si="10">IF($D18=0,0,IF(F18=0,0,($E19*$D18*F18)+$AA$92))</f>
        <v>35961.952499999999</v>
      </c>
      <c r="G19" s="869">
        <f t="shared" ca="1" si="10"/>
        <v>28769.562000000002</v>
      </c>
      <c r="H19" s="869">
        <f t="shared" ca="1" si="10"/>
        <v>28769.562000000002</v>
      </c>
      <c r="I19" s="869">
        <f t="shared" ca="1" si="10"/>
        <v>21577.1715</v>
      </c>
      <c r="J19" s="869">
        <f t="shared" ca="1" si="10"/>
        <v>14384.781000000001</v>
      </c>
      <c r="K19" s="869">
        <f t="shared" ca="1" si="10"/>
        <v>14384.781000000001</v>
      </c>
      <c r="L19" s="869">
        <f t="shared" ca="1" si="10"/>
        <v>0</v>
      </c>
      <c r="M19" s="869">
        <f t="shared" ca="1" si="10"/>
        <v>0</v>
      </c>
      <c r="N19" s="869">
        <f t="shared" ca="1" si="10"/>
        <v>0</v>
      </c>
      <c r="O19" s="869">
        <f t="shared" ca="1" si="10"/>
        <v>0</v>
      </c>
      <c r="P19" s="869">
        <f t="shared" ca="1" si="10"/>
        <v>0</v>
      </c>
      <c r="Q19" s="869">
        <f t="shared" ca="1" si="10"/>
        <v>0</v>
      </c>
      <c r="R19" s="869">
        <f t="shared" ca="1" si="10"/>
        <v>0</v>
      </c>
      <c r="S19" s="869">
        <f t="shared" ca="1" si="10"/>
        <v>0</v>
      </c>
      <c r="T19" s="869">
        <f t="shared" ca="1" si="10"/>
        <v>0</v>
      </c>
      <c r="U19" s="869">
        <f t="shared" ca="1" si="10"/>
        <v>0</v>
      </c>
      <c r="V19" s="869">
        <f t="shared" ca="1" si="10"/>
        <v>0</v>
      </c>
      <c r="W19" s="869">
        <f t="shared" ca="1" si="10"/>
        <v>0</v>
      </c>
      <c r="X19" s="121">
        <f ca="1">SUM(F19:W19)</f>
        <v>143847.81</v>
      </c>
      <c r="Y19" s="118">
        <f ca="1">TRUNC(X19-D18*E19,2)</f>
        <v>0</v>
      </c>
      <c r="Z19" s="709">
        <f ca="1">+X19/D18</f>
        <v>1</v>
      </c>
    </row>
    <row r="20" spans="1:27" s="119" customFormat="1" ht="18" hidden="1" customHeight="1" thickBot="1" x14ac:dyDescent="0.2">
      <c r="A20" s="2417"/>
      <c r="B20" s="2420"/>
      <c r="C20" s="1657"/>
      <c r="D20" s="1651" t="s">
        <v>142</v>
      </c>
      <c r="E20" s="708">
        <f>1-E19</f>
        <v>0</v>
      </c>
      <c r="F20" s="868">
        <f ca="1">($D18*F18-F19)</f>
        <v>0</v>
      </c>
      <c r="G20" s="868">
        <f t="shared" ref="G20:W20" ca="1" si="11">($D18*G18-G19)</f>
        <v>0</v>
      </c>
      <c r="H20" s="868">
        <f t="shared" ca="1" si="11"/>
        <v>0</v>
      </c>
      <c r="I20" s="868">
        <f t="shared" ca="1" si="11"/>
        <v>0</v>
      </c>
      <c r="J20" s="868">
        <f t="shared" ca="1" si="11"/>
        <v>0</v>
      </c>
      <c r="K20" s="868">
        <f t="shared" ca="1" si="11"/>
        <v>0</v>
      </c>
      <c r="L20" s="868">
        <f t="shared" ca="1" si="11"/>
        <v>0</v>
      </c>
      <c r="M20" s="868">
        <f t="shared" ca="1" si="11"/>
        <v>0</v>
      </c>
      <c r="N20" s="868">
        <f t="shared" ca="1" si="11"/>
        <v>0</v>
      </c>
      <c r="O20" s="868">
        <f t="shared" ca="1" si="11"/>
        <v>0</v>
      </c>
      <c r="P20" s="868">
        <f t="shared" ca="1" si="11"/>
        <v>0</v>
      </c>
      <c r="Q20" s="868">
        <f t="shared" ca="1" si="11"/>
        <v>0</v>
      </c>
      <c r="R20" s="868">
        <f t="shared" ca="1" si="11"/>
        <v>0</v>
      </c>
      <c r="S20" s="868">
        <f t="shared" ca="1" si="11"/>
        <v>0</v>
      </c>
      <c r="T20" s="868">
        <f t="shared" ca="1" si="11"/>
        <v>0</v>
      </c>
      <c r="U20" s="868">
        <f t="shared" ca="1" si="11"/>
        <v>0</v>
      </c>
      <c r="V20" s="868">
        <f t="shared" ca="1" si="11"/>
        <v>0</v>
      </c>
      <c r="W20" s="868">
        <f t="shared" ca="1" si="11"/>
        <v>0</v>
      </c>
      <c r="X20" s="122">
        <f ca="1">SUM(F20:W20)</f>
        <v>0</v>
      </c>
      <c r="Y20" s="118">
        <f ca="1">+D18-X19-X20</f>
        <v>0</v>
      </c>
    </row>
    <row r="21" spans="1:27" s="119" customFormat="1" ht="9.9499999999999993" customHeight="1" x14ac:dyDescent="0.15">
      <c r="A21" s="2415">
        <f ca="1">Orçamento_Deson!B16</f>
        <v>4</v>
      </c>
      <c r="B21" s="2418" t="str">
        <f>Orçamento_Deson!C16</f>
        <v>MICRODRENAGEM - GALERIAS</v>
      </c>
      <c r="C21" s="1656"/>
      <c r="D21" s="1652"/>
      <c r="E21" s="116"/>
      <c r="F21" s="870">
        <f t="shared" ref="F21:M21" si="12">F22</f>
        <v>0.25</v>
      </c>
      <c r="G21" s="870">
        <f t="shared" si="12"/>
        <v>0.2</v>
      </c>
      <c r="H21" s="870">
        <f t="shared" si="12"/>
        <v>0.2</v>
      </c>
      <c r="I21" s="870">
        <f t="shared" si="12"/>
        <v>0.15</v>
      </c>
      <c r="J21" s="870">
        <f t="shared" si="12"/>
        <v>0.1</v>
      </c>
      <c r="K21" s="870">
        <f t="shared" si="12"/>
        <v>0.1</v>
      </c>
      <c r="L21" s="870">
        <f t="shared" si="12"/>
        <v>0</v>
      </c>
      <c r="M21" s="870">
        <f t="shared" si="12"/>
        <v>0</v>
      </c>
      <c r="N21" s="870">
        <f>N22</f>
        <v>0</v>
      </c>
      <c r="O21" s="870">
        <f t="shared" ref="O21:W21" si="13">O22</f>
        <v>0</v>
      </c>
      <c r="P21" s="870">
        <f t="shared" si="13"/>
        <v>0</v>
      </c>
      <c r="Q21" s="870">
        <f t="shared" si="13"/>
        <v>0</v>
      </c>
      <c r="R21" s="870">
        <f t="shared" si="13"/>
        <v>0</v>
      </c>
      <c r="S21" s="870">
        <f t="shared" si="13"/>
        <v>0</v>
      </c>
      <c r="T21" s="870">
        <f t="shared" si="13"/>
        <v>0</v>
      </c>
      <c r="U21" s="870">
        <f t="shared" si="13"/>
        <v>0</v>
      </c>
      <c r="V21" s="870">
        <f t="shared" si="13"/>
        <v>0</v>
      </c>
      <c r="W21" s="870">
        <f t="shared" si="13"/>
        <v>0</v>
      </c>
      <c r="X21" s="117"/>
      <c r="Y21" s="707">
        <f ca="1">+D22-X23-X24</f>
        <v>2.9103830456733704E-11</v>
      </c>
    </row>
    <row r="22" spans="1:27" s="119" customFormat="1" ht="18" customHeight="1" x14ac:dyDescent="0.15">
      <c r="A22" s="2416"/>
      <c r="B22" s="2419"/>
      <c r="C22" s="1656" t="str">
        <f ca="1">CONCATENATE(Orçamento_Deson!H16," ",Orçamento_Deson!I16)</f>
        <v>604,81 M</v>
      </c>
      <c r="D22" s="2437">
        <f ca="1">Orçamento_Deson!J16</f>
        <v>212644.3</v>
      </c>
      <c r="E22" s="2438"/>
      <c r="F22" s="694">
        <f>Cronograma_Não_Deson!F22</f>
        <v>0.25</v>
      </c>
      <c r="G22" s="694">
        <f>Cronograma_Não_Deson!G22</f>
        <v>0.2</v>
      </c>
      <c r="H22" s="694">
        <f>Cronograma_Não_Deson!H22</f>
        <v>0.2</v>
      </c>
      <c r="I22" s="694">
        <f>Cronograma_Não_Deson!I22</f>
        <v>0.15</v>
      </c>
      <c r="J22" s="694">
        <f>Cronograma_Não_Deson!J22</f>
        <v>0.1</v>
      </c>
      <c r="K22" s="694">
        <f>Cronograma_Não_Deson!K22</f>
        <v>0.1</v>
      </c>
      <c r="L22" s="694">
        <f>Cronograma_Não_Deson!L22</f>
        <v>0</v>
      </c>
      <c r="M22" s="694">
        <f>Cronograma_Não_Deson!M22</f>
        <v>0</v>
      </c>
      <c r="N22" s="694">
        <f>Cronograma_Não_Deson!N22</f>
        <v>0</v>
      </c>
      <c r="O22" s="694">
        <f>Cronograma_Não_Deson!O22</f>
        <v>0</v>
      </c>
      <c r="P22" s="694">
        <f>Cronograma_Não_Deson!P22</f>
        <v>0</v>
      </c>
      <c r="Q22" s="694">
        <f>+Cronograma_Não_Deson!Q22</f>
        <v>0</v>
      </c>
      <c r="R22" s="694">
        <f>+Cronograma_Não_Deson!R22</f>
        <v>0</v>
      </c>
      <c r="S22" s="694">
        <f>+Cronograma_Não_Deson!S22</f>
        <v>0</v>
      </c>
      <c r="T22" s="694">
        <f>+Cronograma_Não_Deson!T22</f>
        <v>0</v>
      </c>
      <c r="U22" s="694">
        <f>+Cronograma_Não_Deson!U22</f>
        <v>0</v>
      </c>
      <c r="V22" s="694">
        <f>+Cronograma_Não_Deson!V22</f>
        <v>0</v>
      </c>
      <c r="W22" s="694">
        <f>+Cronograma_Não_Deson!W22</f>
        <v>0</v>
      </c>
      <c r="X22" s="120">
        <f>SUM(F22:W22)</f>
        <v>1</v>
      </c>
      <c r="Y22" s="585">
        <f>1-X22</f>
        <v>0</v>
      </c>
      <c r="AA22" s="710">
        <f>+COUNT(F22:W22)</f>
        <v>18</v>
      </c>
    </row>
    <row r="23" spans="1:27" s="119" customFormat="1" ht="18" customHeight="1" thickBot="1" x14ac:dyDescent="0.2">
      <c r="A23" s="2416"/>
      <c r="B23" s="2419"/>
      <c r="C23" s="1658" t="e">
        <f>ROUND((SUM(Orçamento_Deson!O196:O207)+SUM(Orçamento_Deson!O217:O241))/240,1)</f>
        <v>#VALUE!</v>
      </c>
      <c r="D23" s="1687" t="s">
        <v>141</v>
      </c>
      <c r="E23" s="1688">
        <f>D$88</f>
        <v>1</v>
      </c>
      <c r="F23" s="869">
        <f t="shared" ref="F23:W23" ca="1" si="14">IF($D22=0,0,IF(F22=0,0,($E23*$D22*F22)+$AA$92))</f>
        <v>53161.074999999997</v>
      </c>
      <c r="G23" s="869">
        <f t="shared" ca="1" si="14"/>
        <v>42528.86</v>
      </c>
      <c r="H23" s="869">
        <f t="shared" ca="1" si="14"/>
        <v>42528.86</v>
      </c>
      <c r="I23" s="869">
        <f t="shared" ca="1" si="14"/>
        <v>31896.644999999997</v>
      </c>
      <c r="J23" s="869">
        <f t="shared" ca="1" si="14"/>
        <v>21264.43</v>
      </c>
      <c r="K23" s="869">
        <f t="shared" ca="1" si="14"/>
        <v>21264.43</v>
      </c>
      <c r="L23" s="869">
        <f t="shared" ca="1" si="14"/>
        <v>0</v>
      </c>
      <c r="M23" s="869">
        <f t="shared" ca="1" si="14"/>
        <v>0</v>
      </c>
      <c r="N23" s="869">
        <f t="shared" ca="1" si="14"/>
        <v>0</v>
      </c>
      <c r="O23" s="869">
        <f t="shared" ca="1" si="14"/>
        <v>0</v>
      </c>
      <c r="P23" s="869">
        <f t="shared" ca="1" si="14"/>
        <v>0</v>
      </c>
      <c r="Q23" s="869">
        <f t="shared" ca="1" si="14"/>
        <v>0</v>
      </c>
      <c r="R23" s="869">
        <f t="shared" ca="1" si="14"/>
        <v>0</v>
      </c>
      <c r="S23" s="869">
        <f t="shared" ca="1" si="14"/>
        <v>0</v>
      </c>
      <c r="T23" s="869">
        <f t="shared" ca="1" si="14"/>
        <v>0</v>
      </c>
      <c r="U23" s="869">
        <f t="shared" ca="1" si="14"/>
        <v>0</v>
      </c>
      <c r="V23" s="869">
        <f t="shared" ca="1" si="14"/>
        <v>0</v>
      </c>
      <c r="W23" s="869">
        <f t="shared" ca="1" si="14"/>
        <v>0</v>
      </c>
      <c r="X23" s="121">
        <f ca="1">SUM(F23:W23)</f>
        <v>212644.29999999996</v>
      </c>
      <c r="Y23" s="118">
        <f ca="1">TRUNC(X23-D22*E23,2)</f>
        <v>0</v>
      </c>
      <c r="Z23" s="709">
        <f ca="1">+X23/D22</f>
        <v>0.99999999999999989</v>
      </c>
    </row>
    <row r="24" spans="1:27" s="119" customFormat="1" ht="18" hidden="1" customHeight="1" thickBot="1" x14ac:dyDescent="0.2">
      <c r="A24" s="2417"/>
      <c r="B24" s="2420"/>
      <c r="C24" s="1657"/>
      <c r="D24" s="1651" t="s">
        <v>142</v>
      </c>
      <c r="E24" s="708">
        <f>1-E23</f>
        <v>0</v>
      </c>
      <c r="F24" s="868">
        <f ca="1">($D22*F22-F23)</f>
        <v>0</v>
      </c>
      <c r="G24" s="868">
        <f t="shared" ref="G24:W24" ca="1" si="15">($D22*G22-G23)</f>
        <v>0</v>
      </c>
      <c r="H24" s="868">
        <f t="shared" ca="1" si="15"/>
        <v>0</v>
      </c>
      <c r="I24" s="868">
        <f t="shared" ca="1" si="15"/>
        <v>0</v>
      </c>
      <c r="J24" s="868">
        <f t="shared" ca="1" si="15"/>
        <v>0</v>
      </c>
      <c r="K24" s="868">
        <f t="shared" ca="1" si="15"/>
        <v>0</v>
      </c>
      <c r="L24" s="868">
        <f t="shared" ca="1" si="15"/>
        <v>0</v>
      </c>
      <c r="M24" s="868">
        <f t="shared" ca="1" si="15"/>
        <v>0</v>
      </c>
      <c r="N24" s="868">
        <f t="shared" ca="1" si="15"/>
        <v>0</v>
      </c>
      <c r="O24" s="868">
        <f t="shared" ca="1" si="15"/>
        <v>0</v>
      </c>
      <c r="P24" s="868">
        <f t="shared" ca="1" si="15"/>
        <v>0</v>
      </c>
      <c r="Q24" s="868">
        <f t="shared" ca="1" si="15"/>
        <v>0</v>
      </c>
      <c r="R24" s="868">
        <f t="shared" ca="1" si="15"/>
        <v>0</v>
      </c>
      <c r="S24" s="868">
        <f t="shared" ca="1" si="15"/>
        <v>0</v>
      </c>
      <c r="T24" s="868">
        <f t="shared" ca="1" si="15"/>
        <v>0</v>
      </c>
      <c r="U24" s="868">
        <f t="shared" ca="1" si="15"/>
        <v>0</v>
      </c>
      <c r="V24" s="868">
        <f t="shared" ca="1" si="15"/>
        <v>0</v>
      </c>
      <c r="W24" s="868">
        <f t="shared" ca="1" si="15"/>
        <v>0</v>
      </c>
      <c r="X24" s="122">
        <f ca="1">SUM(F24:W24)</f>
        <v>0</v>
      </c>
      <c r="Y24" s="118">
        <f ca="1">+D22-X23-X24</f>
        <v>2.9103830456733704E-11</v>
      </c>
    </row>
    <row r="25" spans="1:27" s="119" customFormat="1" ht="9.9499999999999993" customHeight="1" x14ac:dyDescent="0.15">
      <c r="A25" s="2415">
        <f ca="1">Orçamento_Deson!B17</f>
        <v>5</v>
      </c>
      <c r="B25" s="2418" t="str">
        <f>Orçamento_Deson!C17</f>
        <v>MICRODRENAGEM - DISPOSITIVOS AUXILIARES</v>
      </c>
      <c r="C25" s="1656"/>
      <c r="D25" s="1652"/>
      <c r="E25" s="116"/>
      <c r="F25" s="870">
        <f t="shared" ref="F25:M25" si="16">F26</f>
        <v>0.25</v>
      </c>
      <c r="G25" s="870">
        <f t="shared" si="16"/>
        <v>0.2</v>
      </c>
      <c r="H25" s="870">
        <f t="shared" si="16"/>
        <v>0.2</v>
      </c>
      <c r="I25" s="870">
        <f t="shared" si="16"/>
        <v>0.15</v>
      </c>
      <c r="J25" s="870">
        <f t="shared" si="16"/>
        <v>0.1</v>
      </c>
      <c r="K25" s="870">
        <f t="shared" si="16"/>
        <v>0.1</v>
      </c>
      <c r="L25" s="870">
        <f t="shared" si="16"/>
        <v>0</v>
      </c>
      <c r="M25" s="870">
        <f t="shared" si="16"/>
        <v>0</v>
      </c>
      <c r="N25" s="870">
        <f>N26</f>
        <v>0</v>
      </c>
      <c r="O25" s="870">
        <f t="shared" ref="O25:W25" si="17">O26</f>
        <v>0</v>
      </c>
      <c r="P25" s="870">
        <f t="shared" si="17"/>
        <v>0</v>
      </c>
      <c r="Q25" s="870">
        <f t="shared" si="17"/>
        <v>0</v>
      </c>
      <c r="R25" s="870">
        <f t="shared" si="17"/>
        <v>0</v>
      </c>
      <c r="S25" s="870">
        <f t="shared" si="17"/>
        <v>0</v>
      </c>
      <c r="T25" s="870">
        <f t="shared" si="17"/>
        <v>0</v>
      </c>
      <c r="U25" s="870">
        <f t="shared" si="17"/>
        <v>0</v>
      </c>
      <c r="V25" s="870">
        <f t="shared" si="17"/>
        <v>0</v>
      </c>
      <c r="W25" s="870">
        <f t="shared" si="17"/>
        <v>0</v>
      </c>
      <c r="X25" s="117"/>
      <c r="Y25" s="707">
        <f ca="1">+D26-X27-X28</f>
        <v>0</v>
      </c>
    </row>
    <row r="26" spans="1:27" s="119" customFormat="1" ht="18" customHeight="1" x14ac:dyDescent="0.15">
      <c r="A26" s="2416"/>
      <c r="B26" s="2419"/>
      <c r="C26" s="1656" t="str">
        <f>CONCATENATE(Orçamento_Deson!H17," ",Orçamento_Deson!I17)</f>
        <v>42 UN</v>
      </c>
      <c r="D26" s="2437">
        <f ca="1">Orçamento_Deson!J17</f>
        <v>259192.69999999995</v>
      </c>
      <c r="E26" s="2438"/>
      <c r="F26" s="694">
        <f>Cronograma_Não_Deson!F26</f>
        <v>0.25</v>
      </c>
      <c r="G26" s="694">
        <f>Cronograma_Não_Deson!G26</f>
        <v>0.2</v>
      </c>
      <c r="H26" s="694">
        <f>Cronograma_Não_Deson!H26</f>
        <v>0.2</v>
      </c>
      <c r="I26" s="694">
        <f>Cronograma_Não_Deson!I26</f>
        <v>0.15</v>
      </c>
      <c r="J26" s="694">
        <f>Cronograma_Não_Deson!J26</f>
        <v>0.1</v>
      </c>
      <c r="K26" s="694">
        <f>Cronograma_Não_Deson!K26</f>
        <v>0.1</v>
      </c>
      <c r="L26" s="694">
        <f>Cronograma_Não_Deson!L26</f>
        <v>0</v>
      </c>
      <c r="M26" s="694">
        <f>Cronograma_Não_Deson!M26</f>
        <v>0</v>
      </c>
      <c r="N26" s="694">
        <f>Cronograma_Não_Deson!N26</f>
        <v>0</v>
      </c>
      <c r="O26" s="694">
        <f>Cronograma_Não_Deson!O26</f>
        <v>0</v>
      </c>
      <c r="P26" s="694">
        <f>Cronograma_Não_Deson!P26</f>
        <v>0</v>
      </c>
      <c r="Q26" s="694">
        <f>+Cronograma_Não_Deson!Q26</f>
        <v>0</v>
      </c>
      <c r="R26" s="694">
        <f>+Cronograma_Não_Deson!R26</f>
        <v>0</v>
      </c>
      <c r="S26" s="694">
        <f>+Cronograma_Não_Deson!S26</f>
        <v>0</v>
      </c>
      <c r="T26" s="694">
        <f>+Cronograma_Não_Deson!T26</f>
        <v>0</v>
      </c>
      <c r="U26" s="694">
        <f>+Cronograma_Não_Deson!U26</f>
        <v>0</v>
      </c>
      <c r="V26" s="694">
        <f>+Cronograma_Não_Deson!V26</f>
        <v>0</v>
      </c>
      <c r="W26" s="694">
        <f>+Cronograma_Não_Deson!W26</f>
        <v>0</v>
      </c>
      <c r="X26" s="120">
        <f>SUM(F26:W26)</f>
        <v>1</v>
      </c>
      <c r="Y26" s="585">
        <f>1-X26</f>
        <v>0</v>
      </c>
      <c r="AA26" s="710">
        <f>+COUNT(F26:W26)</f>
        <v>18</v>
      </c>
    </row>
    <row r="27" spans="1:27" s="119" customFormat="1" ht="18" customHeight="1" thickBot="1" x14ac:dyDescent="0.2">
      <c r="A27" s="2416"/>
      <c r="B27" s="2419"/>
      <c r="C27" s="1658" t="e">
        <f>Orçamento_Deson!N17</f>
        <v>#VALUE!</v>
      </c>
      <c r="D27" s="1687" t="s">
        <v>141</v>
      </c>
      <c r="E27" s="1688">
        <f>D$88</f>
        <v>1</v>
      </c>
      <c r="F27" s="869">
        <f t="shared" ref="F27:W27" ca="1" si="18">IF($D26=0,0,IF(F26=0,0,($E27*$D26*F26)+$AA$92))</f>
        <v>64798.174999999988</v>
      </c>
      <c r="G27" s="869">
        <f t="shared" ca="1" si="18"/>
        <v>51838.539999999994</v>
      </c>
      <c r="H27" s="869">
        <f t="shared" ca="1" si="18"/>
        <v>51838.539999999994</v>
      </c>
      <c r="I27" s="869">
        <f t="shared" ca="1" si="18"/>
        <v>38878.904999999992</v>
      </c>
      <c r="J27" s="869">
        <f t="shared" ca="1" si="18"/>
        <v>25919.269999999997</v>
      </c>
      <c r="K27" s="869">
        <f t="shared" ca="1" si="18"/>
        <v>25919.269999999997</v>
      </c>
      <c r="L27" s="869">
        <f t="shared" ca="1" si="18"/>
        <v>0</v>
      </c>
      <c r="M27" s="869">
        <f t="shared" ca="1" si="18"/>
        <v>0</v>
      </c>
      <c r="N27" s="869">
        <f t="shared" ca="1" si="18"/>
        <v>0</v>
      </c>
      <c r="O27" s="869">
        <f t="shared" ca="1" si="18"/>
        <v>0</v>
      </c>
      <c r="P27" s="869">
        <f t="shared" ca="1" si="18"/>
        <v>0</v>
      </c>
      <c r="Q27" s="869">
        <f t="shared" ca="1" si="18"/>
        <v>0</v>
      </c>
      <c r="R27" s="869">
        <f t="shared" ca="1" si="18"/>
        <v>0</v>
      </c>
      <c r="S27" s="869">
        <f t="shared" ca="1" si="18"/>
        <v>0</v>
      </c>
      <c r="T27" s="869">
        <f t="shared" ca="1" si="18"/>
        <v>0</v>
      </c>
      <c r="U27" s="869">
        <f t="shared" ca="1" si="18"/>
        <v>0</v>
      </c>
      <c r="V27" s="869">
        <f t="shared" ca="1" si="18"/>
        <v>0</v>
      </c>
      <c r="W27" s="869">
        <f t="shared" ca="1" si="18"/>
        <v>0</v>
      </c>
      <c r="X27" s="121">
        <f ca="1">SUM(F27:W27)</f>
        <v>259192.69999999995</v>
      </c>
      <c r="Y27" s="118">
        <f ca="1">TRUNC(X27-D26*E27,2)</f>
        <v>0</v>
      </c>
      <c r="Z27" s="709">
        <f ca="1">+X27/D26</f>
        <v>1</v>
      </c>
    </row>
    <row r="28" spans="1:27" s="119" customFormat="1" ht="18" hidden="1" customHeight="1" thickBot="1" x14ac:dyDescent="0.2">
      <c r="A28" s="2417"/>
      <c r="B28" s="2420"/>
      <c r="C28" s="1657"/>
      <c r="D28" s="1651" t="s">
        <v>142</v>
      </c>
      <c r="E28" s="708">
        <f>1-E27</f>
        <v>0</v>
      </c>
      <c r="F28" s="868">
        <f ca="1">($D26*F26-F27)</f>
        <v>0</v>
      </c>
      <c r="G28" s="868">
        <f t="shared" ref="G28:W28" ca="1" si="19">($D26*G26-G27)</f>
        <v>0</v>
      </c>
      <c r="H28" s="868">
        <f t="shared" ca="1" si="19"/>
        <v>0</v>
      </c>
      <c r="I28" s="868">
        <f t="shared" ca="1" si="19"/>
        <v>0</v>
      </c>
      <c r="J28" s="868">
        <f t="shared" ca="1" si="19"/>
        <v>0</v>
      </c>
      <c r="K28" s="868">
        <f t="shared" ca="1" si="19"/>
        <v>0</v>
      </c>
      <c r="L28" s="868">
        <f t="shared" ca="1" si="19"/>
        <v>0</v>
      </c>
      <c r="M28" s="868">
        <f t="shared" ca="1" si="19"/>
        <v>0</v>
      </c>
      <c r="N28" s="868">
        <f t="shared" ca="1" si="19"/>
        <v>0</v>
      </c>
      <c r="O28" s="868">
        <f t="shared" ca="1" si="19"/>
        <v>0</v>
      </c>
      <c r="P28" s="868">
        <f t="shared" ca="1" si="19"/>
        <v>0</v>
      </c>
      <c r="Q28" s="868">
        <f t="shared" ca="1" si="19"/>
        <v>0</v>
      </c>
      <c r="R28" s="868">
        <f t="shared" ca="1" si="19"/>
        <v>0</v>
      </c>
      <c r="S28" s="868">
        <f t="shared" ca="1" si="19"/>
        <v>0</v>
      </c>
      <c r="T28" s="868">
        <f t="shared" ca="1" si="19"/>
        <v>0</v>
      </c>
      <c r="U28" s="868">
        <f t="shared" ca="1" si="19"/>
        <v>0</v>
      </c>
      <c r="V28" s="868">
        <f t="shared" ca="1" si="19"/>
        <v>0</v>
      </c>
      <c r="W28" s="868">
        <f t="shared" ca="1" si="19"/>
        <v>0</v>
      </c>
      <c r="X28" s="122">
        <f ca="1">SUM(F28:W28)</f>
        <v>0</v>
      </c>
      <c r="Y28" s="118">
        <f ca="1">+D26-X27-X28</f>
        <v>0</v>
      </c>
    </row>
    <row r="29" spans="1:27" s="119" customFormat="1" ht="9.9499999999999993" hidden="1" customHeight="1" x14ac:dyDescent="0.15">
      <c r="A29" s="2415">
        <f ca="1">Orçamento_Deson!B18</f>
        <v>5</v>
      </c>
      <c r="B29" s="2418" t="str">
        <f>Orçamento_Deson!C18</f>
        <v>MICRODRENAGEM - SERVIÇOS DE ESTRUTURAS</v>
      </c>
      <c r="C29" s="1656"/>
      <c r="D29" s="1652"/>
      <c r="E29" s="116"/>
      <c r="F29" s="870">
        <f t="shared" ref="F29:M29" si="20">F30</f>
        <v>0</v>
      </c>
      <c r="G29" s="870">
        <f t="shared" si="20"/>
        <v>0</v>
      </c>
      <c r="H29" s="870">
        <f t="shared" si="20"/>
        <v>0</v>
      </c>
      <c r="I29" s="870">
        <f t="shared" si="20"/>
        <v>0</v>
      </c>
      <c r="J29" s="870">
        <f t="shared" si="20"/>
        <v>0</v>
      </c>
      <c r="K29" s="870">
        <f t="shared" si="20"/>
        <v>0</v>
      </c>
      <c r="L29" s="870">
        <f t="shared" si="20"/>
        <v>0</v>
      </c>
      <c r="M29" s="870">
        <f t="shared" si="20"/>
        <v>0</v>
      </c>
      <c r="N29" s="870">
        <f>N30</f>
        <v>0</v>
      </c>
      <c r="O29" s="870">
        <f t="shared" ref="O29:W29" si="21">O30</f>
        <v>0</v>
      </c>
      <c r="P29" s="870">
        <f t="shared" si="21"/>
        <v>0</v>
      </c>
      <c r="Q29" s="870">
        <f t="shared" si="21"/>
        <v>0</v>
      </c>
      <c r="R29" s="870">
        <f t="shared" si="21"/>
        <v>0</v>
      </c>
      <c r="S29" s="870">
        <f t="shared" si="21"/>
        <v>0</v>
      </c>
      <c r="T29" s="870">
        <f t="shared" si="21"/>
        <v>0</v>
      </c>
      <c r="U29" s="870">
        <f t="shared" si="21"/>
        <v>0</v>
      </c>
      <c r="V29" s="870">
        <f t="shared" si="21"/>
        <v>0</v>
      </c>
      <c r="W29" s="870">
        <f t="shared" si="21"/>
        <v>0</v>
      </c>
      <c r="X29" s="117"/>
      <c r="Y29" s="707">
        <f>+D30-X31-X32</f>
        <v>0</v>
      </c>
    </row>
    <row r="30" spans="1:27" s="119" customFormat="1" ht="18" hidden="1" customHeight="1" x14ac:dyDescent="0.15">
      <c r="A30" s="2416"/>
      <c r="B30" s="2419"/>
      <c r="C30" s="1656" t="str">
        <f>CONCATENATE(Orçamento_Deson!H18," ",Orçamento_Deson!I18)</f>
        <v>0 M3</v>
      </c>
      <c r="D30" s="2437">
        <f>Orçamento_Deson!J18</f>
        <v>0</v>
      </c>
      <c r="E30" s="2438"/>
      <c r="F30" s="694">
        <f>Cronograma_Não_Deson!F30</f>
        <v>0</v>
      </c>
      <c r="G30" s="694">
        <f>Cronograma_Não_Deson!G30</f>
        <v>0</v>
      </c>
      <c r="H30" s="694">
        <f>Cronograma_Não_Deson!H30</f>
        <v>0</v>
      </c>
      <c r="I30" s="694">
        <f>Cronograma_Não_Deson!I30</f>
        <v>0</v>
      </c>
      <c r="J30" s="694">
        <f>Cronograma_Não_Deson!J30</f>
        <v>0</v>
      </c>
      <c r="K30" s="694">
        <f>Cronograma_Não_Deson!K30</f>
        <v>0</v>
      </c>
      <c r="L30" s="694">
        <f>Cronograma_Não_Deson!L30</f>
        <v>0</v>
      </c>
      <c r="M30" s="694">
        <f>Cronograma_Não_Deson!M30</f>
        <v>0</v>
      </c>
      <c r="N30" s="694">
        <f>Cronograma_Não_Deson!N30</f>
        <v>0</v>
      </c>
      <c r="O30" s="694">
        <f>Cronograma_Não_Deson!O30</f>
        <v>0</v>
      </c>
      <c r="P30" s="694">
        <f>Cronograma_Não_Deson!P30</f>
        <v>0</v>
      </c>
      <c r="Q30" s="694">
        <f>+Cronograma_Não_Deson!Q30</f>
        <v>0</v>
      </c>
      <c r="R30" s="694">
        <f>+Cronograma_Não_Deson!R30</f>
        <v>0</v>
      </c>
      <c r="S30" s="694">
        <f>+Cronograma_Não_Deson!S30</f>
        <v>0</v>
      </c>
      <c r="T30" s="694">
        <f>+Cronograma_Não_Deson!T30</f>
        <v>0</v>
      </c>
      <c r="U30" s="694">
        <f>+Cronograma_Não_Deson!U30</f>
        <v>0</v>
      </c>
      <c r="V30" s="694">
        <f>+Cronograma_Não_Deson!V30</f>
        <v>0</v>
      </c>
      <c r="W30" s="694">
        <f>+Cronograma_Não_Deson!W30</f>
        <v>0</v>
      </c>
      <c r="X30" s="120">
        <f>SUM(F30:W30)</f>
        <v>0</v>
      </c>
      <c r="Y30" s="585">
        <f>1-X30</f>
        <v>1</v>
      </c>
      <c r="AA30" s="710">
        <f>+COUNT(F30:W30)</f>
        <v>18</v>
      </c>
    </row>
    <row r="31" spans="1:27" s="119" customFormat="1" ht="18" hidden="1" customHeight="1" x14ac:dyDescent="0.15">
      <c r="A31" s="2416"/>
      <c r="B31" s="2419"/>
      <c r="C31" s="1656"/>
      <c r="D31" s="1687" t="s">
        <v>141</v>
      </c>
      <c r="E31" s="1688">
        <f>D$88</f>
        <v>1</v>
      </c>
      <c r="F31" s="869">
        <f t="shared" ref="F31:W31" si="22">IF($D30=0,0,IF(F30=0,0,($E31*$D30*F30)+$AA$92))</f>
        <v>0</v>
      </c>
      <c r="G31" s="869">
        <f t="shared" si="22"/>
        <v>0</v>
      </c>
      <c r="H31" s="869">
        <f t="shared" si="22"/>
        <v>0</v>
      </c>
      <c r="I31" s="869">
        <f t="shared" si="22"/>
        <v>0</v>
      </c>
      <c r="J31" s="869">
        <f t="shared" si="22"/>
        <v>0</v>
      </c>
      <c r="K31" s="869">
        <f t="shared" si="22"/>
        <v>0</v>
      </c>
      <c r="L31" s="869">
        <f t="shared" si="22"/>
        <v>0</v>
      </c>
      <c r="M31" s="869">
        <f t="shared" si="22"/>
        <v>0</v>
      </c>
      <c r="N31" s="869">
        <f t="shared" si="22"/>
        <v>0</v>
      </c>
      <c r="O31" s="869">
        <f t="shared" si="22"/>
        <v>0</v>
      </c>
      <c r="P31" s="869">
        <f t="shared" si="22"/>
        <v>0</v>
      </c>
      <c r="Q31" s="869">
        <f t="shared" si="22"/>
        <v>0</v>
      </c>
      <c r="R31" s="869">
        <f t="shared" si="22"/>
        <v>0</v>
      </c>
      <c r="S31" s="869">
        <f t="shared" si="22"/>
        <v>0</v>
      </c>
      <c r="T31" s="869">
        <f t="shared" si="22"/>
        <v>0</v>
      </c>
      <c r="U31" s="869">
        <f t="shared" si="22"/>
        <v>0</v>
      </c>
      <c r="V31" s="869">
        <f t="shared" si="22"/>
        <v>0</v>
      </c>
      <c r="W31" s="869">
        <f t="shared" si="22"/>
        <v>0</v>
      </c>
      <c r="X31" s="121">
        <f>SUM(F31:W31)</f>
        <v>0</v>
      </c>
      <c r="Y31" s="118">
        <f>TRUNC(X31-D30*E31,2)</f>
        <v>0</v>
      </c>
      <c r="Z31" s="709" t="e">
        <f>+X31/D30</f>
        <v>#DIV/0!</v>
      </c>
    </row>
    <row r="32" spans="1:27" s="119" customFormat="1" ht="18" hidden="1" customHeight="1" thickBot="1" x14ac:dyDescent="0.2">
      <c r="A32" s="2417"/>
      <c r="B32" s="2420"/>
      <c r="C32" s="1657"/>
      <c r="D32" s="1651" t="s">
        <v>142</v>
      </c>
      <c r="E32" s="708">
        <f>1-E31</f>
        <v>0</v>
      </c>
      <c r="F32" s="868">
        <f>($D30*F30-F31)</f>
        <v>0</v>
      </c>
      <c r="G32" s="868">
        <f t="shared" ref="G32:W32" si="23">($D30*G30-G31)</f>
        <v>0</v>
      </c>
      <c r="H32" s="868">
        <f t="shared" si="23"/>
        <v>0</v>
      </c>
      <c r="I32" s="868">
        <f t="shared" si="23"/>
        <v>0</v>
      </c>
      <c r="J32" s="868">
        <f t="shared" si="23"/>
        <v>0</v>
      </c>
      <c r="K32" s="868">
        <f t="shared" si="23"/>
        <v>0</v>
      </c>
      <c r="L32" s="868">
        <f t="shared" si="23"/>
        <v>0</v>
      </c>
      <c r="M32" s="868">
        <f t="shared" si="23"/>
        <v>0</v>
      </c>
      <c r="N32" s="868">
        <f t="shared" si="23"/>
        <v>0</v>
      </c>
      <c r="O32" s="868">
        <f t="shared" si="23"/>
        <v>0</v>
      </c>
      <c r="P32" s="868">
        <f t="shared" si="23"/>
        <v>0</v>
      </c>
      <c r="Q32" s="868">
        <f t="shared" si="23"/>
        <v>0</v>
      </c>
      <c r="R32" s="868">
        <f t="shared" si="23"/>
        <v>0</v>
      </c>
      <c r="S32" s="868">
        <f t="shared" si="23"/>
        <v>0</v>
      </c>
      <c r="T32" s="868">
        <f t="shared" si="23"/>
        <v>0</v>
      </c>
      <c r="U32" s="868">
        <f t="shared" si="23"/>
        <v>0</v>
      </c>
      <c r="V32" s="868">
        <f t="shared" si="23"/>
        <v>0</v>
      </c>
      <c r="W32" s="868">
        <f t="shared" si="23"/>
        <v>0</v>
      </c>
      <c r="X32" s="122">
        <f>SUM(F32:W32)</f>
        <v>0</v>
      </c>
      <c r="Y32" s="118">
        <f>+D30-X31-X32</f>
        <v>0</v>
      </c>
    </row>
    <row r="33" spans="1:27" s="119" customFormat="1" ht="9.9499999999999993" hidden="1" customHeight="1" x14ac:dyDescent="0.15">
      <c r="A33" s="2415">
        <f ca="1">Orçamento_Deson!B19</f>
        <v>5</v>
      </c>
      <c r="B33" s="2418" t="str">
        <f>Orçamento_Deson!C19</f>
        <v>MICRODRENAGEM - BACIA DE AMORTECIMENTO</v>
      </c>
      <c r="C33" s="1656"/>
      <c r="D33" s="1652"/>
      <c r="E33" s="116"/>
      <c r="F33" s="870">
        <f t="shared" ref="F33:W33" si="24">F34</f>
        <v>0</v>
      </c>
      <c r="G33" s="870">
        <f t="shared" si="24"/>
        <v>0</v>
      </c>
      <c r="H33" s="870">
        <f t="shared" si="24"/>
        <v>0</v>
      </c>
      <c r="I33" s="870">
        <f t="shared" si="24"/>
        <v>0</v>
      </c>
      <c r="J33" s="870">
        <f t="shared" si="24"/>
        <v>0</v>
      </c>
      <c r="K33" s="870">
        <f t="shared" si="24"/>
        <v>0</v>
      </c>
      <c r="L33" s="870">
        <f t="shared" si="24"/>
        <v>0</v>
      </c>
      <c r="M33" s="870">
        <f t="shared" si="24"/>
        <v>0</v>
      </c>
      <c r="N33" s="870">
        <f t="shared" si="24"/>
        <v>0</v>
      </c>
      <c r="O33" s="870">
        <f t="shared" si="24"/>
        <v>0</v>
      </c>
      <c r="P33" s="870">
        <f t="shared" si="24"/>
        <v>0</v>
      </c>
      <c r="Q33" s="870">
        <f t="shared" si="24"/>
        <v>0</v>
      </c>
      <c r="R33" s="870">
        <f t="shared" si="24"/>
        <v>0</v>
      </c>
      <c r="S33" s="870">
        <f t="shared" si="24"/>
        <v>0</v>
      </c>
      <c r="T33" s="870">
        <f t="shared" si="24"/>
        <v>0</v>
      </c>
      <c r="U33" s="870">
        <f t="shared" si="24"/>
        <v>0</v>
      </c>
      <c r="V33" s="870">
        <f t="shared" si="24"/>
        <v>0</v>
      </c>
      <c r="W33" s="870">
        <f t="shared" si="24"/>
        <v>0</v>
      </c>
      <c r="X33" s="117"/>
      <c r="Y33" s="707">
        <f>+D34-X35-X36</f>
        <v>0</v>
      </c>
    </row>
    <row r="34" spans="1:27" s="119" customFormat="1" ht="18" hidden="1" customHeight="1" x14ac:dyDescent="0.15">
      <c r="A34" s="2416"/>
      <c r="B34" s="2419"/>
      <c r="C34" s="1656" t="str">
        <f>CONCATENATE(Orçamento_Deson!H19," ",Orçamento_Deson!I19)</f>
        <v>0 M3</v>
      </c>
      <c r="D34" s="2437">
        <f>Orçamento_Deson!J19</f>
        <v>0</v>
      </c>
      <c r="E34" s="2438"/>
      <c r="F34" s="694">
        <f>Cronograma_Não_Deson!F34</f>
        <v>0</v>
      </c>
      <c r="G34" s="694">
        <f>Cronograma_Não_Deson!G34</f>
        <v>0</v>
      </c>
      <c r="H34" s="694">
        <f>Cronograma_Não_Deson!H34</f>
        <v>0</v>
      </c>
      <c r="I34" s="694">
        <f>Cronograma_Não_Deson!I34</f>
        <v>0</v>
      </c>
      <c r="J34" s="694">
        <f>Cronograma_Não_Deson!J34</f>
        <v>0</v>
      </c>
      <c r="K34" s="694">
        <f>Cronograma_Não_Deson!K34</f>
        <v>0</v>
      </c>
      <c r="L34" s="694">
        <f>Cronograma_Não_Deson!L34</f>
        <v>0</v>
      </c>
      <c r="M34" s="694">
        <f>Cronograma_Não_Deson!M34</f>
        <v>0</v>
      </c>
      <c r="N34" s="694">
        <f>Cronograma_Não_Deson!N34</f>
        <v>0</v>
      </c>
      <c r="O34" s="694">
        <f>Cronograma_Não_Deson!O34</f>
        <v>0</v>
      </c>
      <c r="P34" s="694">
        <f>Cronograma_Não_Deson!P34</f>
        <v>0</v>
      </c>
      <c r="Q34" s="694">
        <f>+Cronograma_Não_Deson!Q34</f>
        <v>0</v>
      </c>
      <c r="R34" s="694">
        <f>+Cronograma_Não_Deson!R34</f>
        <v>0</v>
      </c>
      <c r="S34" s="694">
        <f>+Cronograma_Não_Deson!S34</f>
        <v>0</v>
      </c>
      <c r="T34" s="694">
        <f>+Cronograma_Não_Deson!T34</f>
        <v>0</v>
      </c>
      <c r="U34" s="694">
        <f>+Cronograma_Não_Deson!U34</f>
        <v>0</v>
      </c>
      <c r="V34" s="694">
        <f>+Cronograma_Não_Deson!V34</f>
        <v>0</v>
      </c>
      <c r="W34" s="694">
        <f>+Cronograma_Não_Deson!W34</f>
        <v>0</v>
      </c>
      <c r="X34" s="120">
        <f>SUM(F34:W34)</f>
        <v>0</v>
      </c>
      <c r="Y34" s="585">
        <f>1-X34</f>
        <v>1</v>
      </c>
      <c r="AA34" s="710">
        <f>+COUNT(F34:W34)</f>
        <v>18</v>
      </c>
    </row>
    <row r="35" spans="1:27" s="119" customFormat="1" ht="18" hidden="1" customHeight="1" x14ac:dyDescent="0.15">
      <c r="A35" s="2416"/>
      <c r="B35" s="2419"/>
      <c r="C35" s="1658">
        <f>Orçamento_Deson!N19</f>
        <v>0</v>
      </c>
      <c r="D35" s="1687" t="s">
        <v>141</v>
      </c>
      <c r="E35" s="1688">
        <f>D$88</f>
        <v>1</v>
      </c>
      <c r="F35" s="869">
        <f t="shared" ref="F35:W35" si="25">IF($D34=0,0,IF(F34=0,0,($E35*$D34*F34)+$AA$92))</f>
        <v>0</v>
      </c>
      <c r="G35" s="869">
        <f t="shared" si="25"/>
        <v>0</v>
      </c>
      <c r="H35" s="869">
        <f t="shared" si="25"/>
        <v>0</v>
      </c>
      <c r="I35" s="869">
        <f t="shared" si="25"/>
        <v>0</v>
      </c>
      <c r="J35" s="869">
        <f t="shared" si="25"/>
        <v>0</v>
      </c>
      <c r="K35" s="869">
        <f t="shared" si="25"/>
        <v>0</v>
      </c>
      <c r="L35" s="869">
        <f t="shared" si="25"/>
        <v>0</v>
      </c>
      <c r="M35" s="869">
        <f t="shared" si="25"/>
        <v>0</v>
      </c>
      <c r="N35" s="869">
        <f t="shared" si="25"/>
        <v>0</v>
      </c>
      <c r="O35" s="869">
        <f t="shared" si="25"/>
        <v>0</v>
      </c>
      <c r="P35" s="869">
        <f t="shared" si="25"/>
        <v>0</v>
      </c>
      <c r="Q35" s="869">
        <f t="shared" si="25"/>
        <v>0</v>
      </c>
      <c r="R35" s="869">
        <f t="shared" si="25"/>
        <v>0</v>
      </c>
      <c r="S35" s="869">
        <f t="shared" si="25"/>
        <v>0</v>
      </c>
      <c r="T35" s="869">
        <f t="shared" si="25"/>
        <v>0</v>
      </c>
      <c r="U35" s="869">
        <f t="shared" si="25"/>
        <v>0</v>
      </c>
      <c r="V35" s="869">
        <f t="shared" si="25"/>
        <v>0</v>
      </c>
      <c r="W35" s="869">
        <f t="shared" si="25"/>
        <v>0</v>
      </c>
      <c r="X35" s="121">
        <f>SUM(F35:W35)</f>
        <v>0</v>
      </c>
      <c r="Y35" s="118">
        <f>TRUNC(X35-D34*E35,2)</f>
        <v>0</v>
      </c>
      <c r="Z35" s="709" t="e">
        <f>+X35/D34</f>
        <v>#DIV/0!</v>
      </c>
    </row>
    <row r="36" spans="1:27" s="119" customFormat="1" ht="18" hidden="1" customHeight="1" thickBot="1" x14ac:dyDescent="0.2">
      <c r="A36" s="2417"/>
      <c r="B36" s="2420"/>
      <c r="C36" s="1657"/>
      <c r="D36" s="1651" t="s">
        <v>142</v>
      </c>
      <c r="E36" s="708">
        <f>1-E35</f>
        <v>0</v>
      </c>
      <c r="F36" s="868">
        <f>($D34*F34-F35)</f>
        <v>0</v>
      </c>
      <c r="G36" s="868">
        <f t="shared" ref="G36:W36" si="26">($D34*G34-G35)</f>
        <v>0</v>
      </c>
      <c r="H36" s="868">
        <f t="shared" si="26"/>
        <v>0</v>
      </c>
      <c r="I36" s="868">
        <f t="shared" si="26"/>
        <v>0</v>
      </c>
      <c r="J36" s="868">
        <f t="shared" si="26"/>
        <v>0</v>
      </c>
      <c r="K36" s="868">
        <f t="shared" si="26"/>
        <v>0</v>
      </c>
      <c r="L36" s="868">
        <f t="shared" si="26"/>
        <v>0</v>
      </c>
      <c r="M36" s="868">
        <f t="shared" si="26"/>
        <v>0</v>
      </c>
      <c r="N36" s="868">
        <f t="shared" si="26"/>
        <v>0</v>
      </c>
      <c r="O36" s="868">
        <f t="shared" si="26"/>
        <v>0</v>
      </c>
      <c r="P36" s="868">
        <f t="shared" si="26"/>
        <v>0</v>
      </c>
      <c r="Q36" s="868">
        <f t="shared" si="26"/>
        <v>0</v>
      </c>
      <c r="R36" s="868">
        <f t="shared" si="26"/>
        <v>0</v>
      </c>
      <c r="S36" s="868">
        <f t="shared" si="26"/>
        <v>0</v>
      </c>
      <c r="T36" s="868">
        <f t="shared" si="26"/>
        <v>0</v>
      </c>
      <c r="U36" s="868">
        <f t="shared" si="26"/>
        <v>0</v>
      </c>
      <c r="V36" s="868">
        <f t="shared" si="26"/>
        <v>0</v>
      </c>
      <c r="W36" s="868">
        <f t="shared" si="26"/>
        <v>0</v>
      </c>
      <c r="X36" s="122">
        <f>SUM(F36:W36)</f>
        <v>0</v>
      </c>
      <c r="Y36" s="118">
        <f>+D34-X35-X36</f>
        <v>0</v>
      </c>
    </row>
    <row r="37" spans="1:27" s="119" customFormat="1" ht="9.9499999999999993" hidden="1" customHeight="1" x14ac:dyDescent="0.15">
      <c r="A37" s="2415">
        <f ca="1">Orçamento_Deson!B20</f>
        <v>5</v>
      </c>
      <c r="B37" s="2418" t="str">
        <f>Orçamento_Deson!C20</f>
        <v>DRENAGEM DE LENÇOL FREÁTICO</v>
      </c>
      <c r="C37" s="1656"/>
      <c r="D37" s="1652"/>
      <c r="E37" s="116"/>
      <c r="F37" s="870">
        <f t="shared" ref="F37:M37" si="27">F38</f>
        <v>0</v>
      </c>
      <c r="G37" s="870">
        <f t="shared" si="27"/>
        <v>0</v>
      </c>
      <c r="H37" s="870">
        <f t="shared" si="27"/>
        <v>0</v>
      </c>
      <c r="I37" s="870">
        <f t="shared" si="27"/>
        <v>0</v>
      </c>
      <c r="J37" s="870">
        <f t="shared" si="27"/>
        <v>0</v>
      </c>
      <c r="K37" s="870">
        <f t="shared" si="27"/>
        <v>0</v>
      </c>
      <c r="L37" s="870">
        <f t="shared" si="27"/>
        <v>0</v>
      </c>
      <c r="M37" s="870">
        <f t="shared" si="27"/>
        <v>0</v>
      </c>
      <c r="N37" s="870">
        <f>N38</f>
        <v>0</v>
      </c>
      <c r="O37" s="870">
        <f t="shared" ref="O37:W37" si="28">O38</f>
        <v>0</v>
      </c>
      <c r="P37" s="870">
        <f t="shared" si="28"/>
        <v>0</v>
      </c>
      <c r="Q37" s="870">
        <f t="shared" si="28"/>
        <v>0</v>
      </c>
      <c r="R37" s="870">
        <f t="shared" si="28"/>
        <v>0</v>
      </c>
      <c r="S37" s="870">
        <f t="shared" si="28"/>
        <v>0</v>
      </c>
      <c r="T37" s="870">
        <f t="shared" si="28"/>
        <v>0</v>
      </c>
      <c r="U37" s="870">
        <f t="shared" si="28"/>
        <v>0</v>
      </c>
      <c r="V37" s="870">
        <f t="shared" si="28"/>
        <v>0</v>
      </c>
      <c r="W37" s="870">
        <f t="shared" si="28"/>
        <v>0</v>
      </c>
      <c r="X37" s="117"/>
      <c r="Y37" s="707">
        <f>+D38-X39-X40</f>
        <v>0</v>
      </c>
    </row>
    <row r="38" spans="1:27" s="119" customFormat="1" ht="18" hidden="1" customHeight="1" x14ac:dyDescent="0.15">
      <c r="A38" s="2416"/>
      <c r="B38" s="2419"/>
      <c r="C38" s="1656" t="str">
        <f>CONCATENATE(Orçamento_Deson!H20," ",Orçamento_Deson!I20)</f>
        <v>0 M</v>
      </c>
      <c r="D38" s="2437">
        <f>Orçamento_Deson!J20</f>
        <v>0</v>
      </c>
      <c r="E38" s="2438"/>
      <c r="F38" s="694">
        <f>Cronograma_Não_Deson!F38</f>
        <v>0</v>
      </c>
      <c r="G38" s="694">
        <f>Cronograma_Não_Deson!G38</f>
        <v>0</v>
      </c>
      <c r="H38" s="694">
        <f>Cronograma_Não_Deson!H38</f>
        <v>0</v>
      </c>
      <c r="I38" s="694">
        <f>Cronograma_Não_Deson!I38</f>
        <v>0</v>
      </c>
      <c r="J38" s="694">
        <f>Cronograma_Não_Deson!J38</f>
        <v>0</v>
      </c>
      <c r="K38" s="694">
        <f>Cronograma_Não_Deson!K38</f>
        <v>0</v>
      </c>
      <c r="L38" s="694">
        <f>Cronograma_Não_Deson!L38</f>
        <v>0</v>
      </c>
      <c r="M38" s="694">
        <f>Cronograma_Não_Deson!M38</f>
        <v>0</v>
      </c>
      <c r="N38" s="694">
        <f>Cronograma_Não_Deson!N38</f>
        <v>0</v>
      </c>
      <c r="O38" s="694">
        <f>Cronograma_Não_Deson!O38</f>
        <v>0</v>
      </c>
      <c r="P38" s="694">
        <f>Cronograma_Não_Deson!P38</f>
        <v>0</v>
      </c>
      <c r="Q38" s="694">
        <f>+Cronograma_Não_Deson!Q38</f>
        <v>0</v>
      </c>
      <c r="R38" s="694">
        <f>+Cronograma_Não_Deson!R38</f>
        <v>0</v>
      </c>
      <c r="S38" s="694">
        <f>+Cronograma_Não_Deson!S38</f>
        <v>0</v>
      </c>
      <c r="T38" s="694">
        <f>+Cronograma_Não_Deson!T38</f>
        <v>0</v>
      </c>
      <c r="U38" s="694">
        <f>+Cronograma_Não_Deson!U38</f>
        <v>0</v>
      </c>
      <c r="V38" s="694">
        <f>+Cronograma_Não_Deson!V38</f>
        <v>0</v>
      </c>
      <c r="W38" s="694">
        <f>+Cronograma_Não_Deson!W38</f>
        <v>0</v>
      </c>
      <c r="X38" s="120">
        <f>SUM(F38:W38)</f>
        <v>0</v>
      </c>
      <c r="Y38" s="585">
        <f>1-X38</f>
        <v>1</v>
      </c>
      <c r="AA38" s="710">
        <f>+COUNT(F38:W38)</f>
        <v>18</v>
      </c>
    </row>
    <row r="39" spans="1:27" s="119" customFormat="1" ht="18" hidden="1" customHeight="1" x14ac:dyDescent="0.15">
      <c r="A39" s="2416"/>
      <c r="B39" s="2419"/>
      <c r="C39" s="1658">
        <f>ROUND(SUM(Orçamento_Deson!O414:O423)/240,1)</f>
        <v>0</v>
      </c>
      <c r="D39" s="1687" t="s">
        <v>141</v>
      </c>
      <c r="E39" s="1688">
        <f>D$88</f>
        <v>1</v>
      </c>
      <c r="F39" s="869">
        <f t="shared" ref="F39:W39" si="29">IF($D38=0,0,IF(F38=0,0,($E39*$D38*F38)+$AA$92))</f>
        <v>0</v>
      </c>
      <c r="G39" s="869">
        <f t="shared" si="29"/>
        <v>0</v>
      </c>
      <c r="H39" s="869">
        <f t="shared" si="29"/>
        <v>0</v>
      </c>
      <c r="I39" s="869">
        <f t="shared" si="29"/>
        <v>0</v>
      </c>
      <c r="J39" s="869">
        <f t="shared" si="29"/>
        <v>0</v>
      </c>
      <c r="K39" s="869">
        <f t="shared" si="29"/>
        <v>0</v>
      </c>
      <c r="L39" s="869">
        <f t="shared" si="29"/>
        <v>0</v>
      </c>
      <c r="M39" s="869">
        <f t="shared" si="29"/>
        <v>0</v>
      </c>
      <c r="N39" s="869">
        <f t="shared" si="29"/>
        <v>0</v>
      </c>
      <c r="O39" s="869">
        <f t="shared" si="29"/>
        <v>0</v>
      </c>
      <c r="P39" s="869">
        <f t="shared" si="29"/>
        <v>0</v>
      </c>
      <c r="Q39" s="869">
        <f t="shared" si="29"/>
        <v>0</v>
      </c>
      <c r="R39" s="869">
        <f t="shared" si="29"/>
        <v>0</v>
      </c>
      <c r="S39" s="869">
        <f t="shared" si="29"/>
        <v>0</v>
      </c>
      <c r="T39" s="869">
        <f t="shared" si="29"/>
        <v>0</v>
      </c>
      <c r="U39" s="869">
        <f t="shared" si="29"/>
        <v>0</v>
      </c>
      <c r="V39" s="869">
        <f t="shared" si="29"/>
        <v>0</v>
      </c>
      <c r="W39" s="869">
        <f t="shared" si="29"/>
        <v>0</v>
      </c>
      <c r="X39" s="121">
        <f>SUM(F39:W39)</f>
        <v>0</v>
      </c>
      <c r="Y39" s="118">
        <f>TRUNC(X39-D38*E39,2)</f>
        <v>0</v>
      </c>
      <c r="Z39" s="709" t="e">
        <f>+X39/D38</f>
        <v>#DIV/0!</v>
      </c>
    </row>
    <row r="40" spans="1:27" s="119" customFormat="1" ht="18" hidden="1" customHeight="1" thickBot="1" x14ac:dyDescent="0.2">
      <c r="A40" s="2417"/>
      <c r="B40" s="2420"/>
      <c r="C40" s="1657"/>
      <c r="D40" s="1651" t="s">
        <v>142</v>
      </c>
      <c r="E40" s="708">
        <f>1-E39</f>
        <v>0</v>
      </c>
      <c r="F40" s="868">
        <f>($D38*F38-F39)</f>
        <v>0</v>
      </c>
      <c r="G40" s="868">
        <f t="shared" ref="G40:W40" si="30">($D38*G38-G39)</f>
        <v>0</v>
      </c>
      <c r="H40" s="868">
        <f t="shared" si="30"/>
        <v>0</v>
      </c>
      <c r="I40" s="868">
        <f t="shared" si="30"/>
        <v>0</v>
      </c>
      <c r="J40" s="868">
        <f t="shared" si="30"/>
        <v>0</v>
      </c>
      <c r="K40" s="868">
        <f t="shared" si="30"/>
        <v>0</v>
      </c>
      <c r="L40" s="868">
        <f t="shared" si="30"/>
        <v>0</v>
      </c>
      <c r="M40" s="868">
        <f t="shared" si="30"/>
        <v>0</v>
      </c>
      <c r="N40" s="868">
        <f t="shared" si="30"/>
        <v>0</v>
      </c>
      <c r="O40" s="868">
        <f t="shared" si="30"/>
        <v>0</v>
      </c>
      <c r="P40" s="868">
        <f t="shared" si="30"/>
        <v>0</v>
      </c>
      <c r="Q40" s="868">
        <f t="shared" si="30"/>
        <v>0</v>
      </c>
      <c r="R40" s="868">
        <f t="shared" si="30"/>
        <v>0</v>
      </c>
      <c r="S40" s="868">
        <f t="shared" si="30"/>
        <v>0</v>
      </c>
      <c r="T40" s="868">
        <f t="shared" si="30"/>
        <v>0</v>
      </c>
      <c r="U40" s="868">
        <f t="shared" si="30"/>
        <v>0</v>
      </c>
      <c r="V40" s="868">
        <f t="shared" si="30"/>
        <v>0</v>
      </c>
      <c r="W40" s="868">
        <f t="shared" si="30"/>
        <v>0</v>
      </c>
      <c r="X40" s="122">
        <f>SUM(F40:W40)</f>
        <v>0</v>
      </c>
      <c r="Y40" s="118">
        <f>+D38-X39-X40</f>
        <v>0</v>
      </c>
    </row>
    <row r="41" spans="1:27" s="119" customFormat="1" ht="9.9499999999999993" customHeight="1" x14ac:dyDescent="0.15">
      <c r="A41" s="2415">
        <f ca="1">Orçamento_Deson!B21</f>
        <v>6</v>
      </c>
      <c r="B41" s="2418" t="str">
        <f>Orçamento_Deson!C21</f>
        <v>MICRODRENAGEM - RECOMPOSIÇÃO DO PAVIMENTO</v>
      </c>
      <c r="C41" s="1656"/>
      <c r="D41" s="1652"/>
      <c r="E41" s="116"/>
      <c r="F41" s="870">
        <f t="shared" ref="F41:M41" si="31">F42</f>
        <v>0.5</v>
      </c>
      <c r="G41" s="870">
        <f t="shared" si="31"/>
        <v>0.5</v>
      </c>
      <c r="H41" s="870">
        <f t="shared" si="31"/>
        <v>0</v>
      </c>
      <c r="I41" s="870">
        <f t="shared" si="31"/>
        <v>0</v>
      </c>
      <c r="J41" s="870">
        <f t="shared" si="31"/>
        <v>0</v>
      </c>
      <c r="K41" s="870">
        <f t="shared" si="31"/>
        <v>0</v>
      </c>
      <c r="L41" s="870">
        <f t="shared" si="31"/>
        <v>0</v>
      </c>
      <c r="M41" s="870">
        <f t="shared" si="31"/>
        <v>0</v>
      </c>
      <c r="N41" s="870">
        <f>N42</f>
        <v>0</v>
      </c>
      <c r="O41" s="870">
        <f t="shared" ref="O41:W41" si="32">O42</f>
        <v>0</v>
      </c>
      <c r="P41" s="870">
        <f t="shared" si="32"/>
        <v>0</v>
      </c>
      <c r="Q41" s="870">
        <f t="shared" si="32"/>
        <v>0</v>
      </c>
      <c r="R41" s="870">
        <f t="shared" si="32"/>
        <v>0</v>
      </c>
      <c r="S41" s="870">
        <f t="shared" si="32"/>
        <v>0</v>
      </c>
      <c r="T41" s="870">
        <f t="shared" si="32"/>
        <v>0</v>
      </c>
      <c r="U41" s="870">
        <f t="shared" si="32"/>
        <v>0</v>
      </c>
      <c r="V41" s="870">
        <f t="shared" si="32"/>
        <v>0</v>
      </c>
      <c r="W41" s="870">
        <f t="shared" si="32"/>
        <v>0</v>
      </c>
      <c r="X41" s="117"/>
      <c r="Y41" s="707">
        <f>+D42-X43-X44</f>
        <v>0</v>
      </c>
    </row>
    <row r="42" spans="1:27" s="119" customFormat="1" ht="18" customHeight="1" x14ac:dyDescent="0.15">
      <c r="A42" s="2416"/>
      <c r="B42" s="2419"/>
      <c r="C42" s="1656" t="str">
        <f>CONCATENATE(Orçamento_Deson!H21," ",Orçamento_Deson!I21)</f>
        <v>5,6 M2</v>
      </c>
      <c r="D42" s="2427">
        <f>Orçamento_Deson!J21</f>
        <v>640.39999999999986</v>
      </c>
      <c r="E42" s="2428"/>
      <c r="F42" s="694">
        <f>Cronograma_Não_Deson!F42</f>
        <v>0.5</v>
      </c>
      <c r="G42" s="694">
        <f>Cronograma_Não_Deson!G42</f>
        <v>0.5</v>
      </c>
      <c r="H42" s="694">
        <f>Cronograma_Não_Deson!H42</f>
        <v>0</v>
      </c>
      <c r="I42" s="694">
        <f>Cronograma_Não_Deson!I42</f>
        <v>0</v>
      </c>
      <c r="J42" s="694">
        <f>Cronograma_Não_Deson!J42</f>
        <v>0</v>
      </c>
      <c r="K42" s="694">
        <f>Cronograma_Não_Deson!K42</f>
        <v>0</v>
      </c>
      <c r="L42" s="694">
        <f>Cronograma_Não_Deson!L42</f>
        <v>0</v>
      </c>
      <c r="M42" s="694">
        <f>Cronograma_Não_Deson!M42</f>
        <v>0</v>
      </c>
      <c r="N42" s="694">
        <f>Cronograma_Não_Deson!N42</f>
        <v>0</v>
      </c>
      <c r="O42" s="694">
        <f>Cronograma_Não_Deson!O42</f>
        <v>0</v>
      </c>
      <c r="P42" s="694">
        <f>Cronograma_Não_Deson!P42</f>
        <v>0</v>
      </c>
      <c r="Q42" s="694">
        <f>+Cronograma_Não_Deson!Q42</f>
        <v>0</v>
      </c>
      <c r="R42" s="694">
        <f>+Cronograma_Não_Deson!R42</f>
        <v>0</v>
      </c>
      <c r="S42" s="694">
        <f>+Cronograma_Não_Deson!S42</f>
        <v>0</v>
      </c>
      <c r="T42" s="694">
        <f>+Cronograma_Não_Deson!T42</f>
        <v>0</v>
      </c>
      <c r="U42" s="694">
        <f>+Cronograma_Não_Deson!U42</f>
        <v>0</v>
      </c>
      <c r="V42" s="694">
        <f>+Cronograma_Não_Deson!V42</f>
        <v>0</v>
      </c>
      <c r="W42" s="694">
        <f>+Cronograma_Não_Deson!W42</f>
        <v>0</v>
      </c>
      <c r="X42" s="120">
        <f>SUM(F42:W42)</f>
        <v>1</v>
      </c>
      <c r="Y42" s="585">
        <f>1-X42</f>
        <v>0</v>
      </c>
      <c r="AA42" s="710">
        <f>+COUNT(F42:W42)</f>
        <v>18</v>
      </c>
    </row>
    <row r="43" spans="1:27" s="119" customFormat="1" ht="18" customHeight="1" thickBot="1" x14ac:dyDescent="0.2">
      <c r="A43" s="2416"/>
      <c r="B43" s="2419"/>
      <c r="C43" s="1656"/>
      <c r="D43" s="1687" t="s">
        <v>141</v>
      </c>
      <c r="E43" s="1688">
        <f>D$88</f>
        <v>1</v>
      </c>
      <c r="F43" s="869">
        <f t="shared" ref="F43:W43" si="33">IF($D42=0,0,IF(F42=0,0,($E43*$D42*F42)+$AA$92))</f>
        <v>320.19999999999993</v>
      </c>
      <c r="G43" s="869">
        <f t="shared" si="33"/>
        <v>320.19999999999993</v>
      </c>
      <c r="H43" s="869">
        <f t="shared" si="33"/>
        <v>0</v>
      </c>
      <c r="I43" s="869">
        <f t="shared" si="33"/>
        <v>0</v>
      </c>
      <c r="J43" s="869">
        <f t="shared" si="33"/>
        <v>0</v>
      </c>
      <c r="K43" s="869">
        <f t="shared" si="33"/>
        <v>0</v>
      </c>
      <c r="L43" s="869">
        <f t="shared" si="33"/>
        <v>0</v>
      </c>
      <c r="M43" s="869">
        <f t="shared" si="33"/>
        <v>0</v>
      </c>
      <c r="N43" s="869">
        <f t="shared" si="33"/>
        <v>0</v>
      </c>
      <c r="O43" s="869">
        <f t="shared" si="33"/>
        <v>0</v>
      </c>
      <c r="P43" s="869">
        <f t="shared" si="33"/>
        <v>0</v>
      </c>
      <c r="Q43" s="869">
        <f t="shared" si="33"/>
        <v>0</v>
      </c>
      <c r="R43" s="869">
        <f t="shared" si="33"/>
        <v>0</v>
      </c>
      <c r="S43" s="869">
        <f t="shared" si="33"/>
        <v>0</v>
      </c>
      <c r="T43" s="869">
        <f t="shared" si="33"/>
        <v>0</v>
      </c>
      <c r="U43" s="869">
        <f t="shared" si="33"/>
        <v>0</v>
      </c>
      <c r="V43" s="869">
        <f t="shared" si="33"/>
        <v>0</v>
      </c>
      <c r="W43" s="869">
        <f t="shared" si="33"/>
        <v>0</v>
      </c>
      <c r="X43" s="121">
        <f>SUM(F43:W43)</f>
        <v>640.39999999999986</v>
      </c>
      <c r="Y43" s="118">
        <f>TRUNC(X43-D42*E43,2)</f>
        <v>0</v>
      </c>
      <c r="Z43" s="709">
        <f>+X43/D42</f>
        <v>1</v>
      </c>
    </row>
    <row r="44" spans="1:27" s="119" customFormat="1" ht="18" hidden="1" customHeight="1" thickBot="1" x14ac:dyDescent="0.2">
      <c r="A44" s="2417"/>
      <c r="B44" s="2420"/>
      <c r="C44" s="1657"/>
      <c r="D44" s="1653" t="s">
        <v>142</v>
      </c>
      <c r="E44" s="708">
        <f>1-E43</f>
        <v>0</v>
      </c>
      <c r="F44" s="868">
        <f>($D42*F42-F43)</f>
        <v>0</v>
      </c>
      <c r="G44" s="868">
        <f t="shared" ref="G44:W44" si="34">($D42*G42-G43)</f>
        <v>0</v>
      </c>
      <c r="H44" s="868">
        <f t="shared" si="34"/>
        <v>0</v>
      </c>
      <c r="I44" s="868">
        <f t="shared" si="34"/>
        <v>0</v>
      </c>
      <c r="J44" s="868">
        <f t="shared" si="34"/>
        <v>0</v>
      </c>
      <c r="K44" s="868">
        <f t="shared" si="34"/>
        <v>0</v>
      </c>
      <c r="L44" s="868">
        <f t="shared" si="34"/>
        <v>0</v>
      </c>
      <c r="M44" s="868">
        <f t="shared" si="34"/>
        <v>0</v>
      </c>
      <c r="N44" s="868">
        <f t="shared" si="34"/>
        <v>0</v>
      </c>
      <c r="O44" s="868">
        <f t="shared" si="34"/>
        <v>0</v>
      </c>
      <c r="P44" s="868">
        <f t="shared" si="34"/>
        <v>0</v>
      </c>
      <c r="Q44" s="868">
        <f t="shared" si="34"/>
        <v>0</v>
      </c>
      <c r="R44" s="868">
        <f t="shared" si="34"/>
        <v>0</v>
      </c>
      <c r="S44" s="868">
        <f t="shared" si="34"/>
        <v>0</v>
      </c>
      <c r="T44" s="868">
        <f t="shared" si="34"/>
        <v>0</v>
      </c>
      <c r="U44" s="868">
        <f t="shared" si="34"/>
        <v>0</v>
      </c>
      <c r="V44" s="868">
        <f t="shared" si="34"/>
        <v>0</v>
      </c>
      <c r="W44" s="868">
        <f t="shared" si="34"/>
        <v>0</v>
      </c>
      <c r="X44" s="122">
        <f>SUM(F44:W44)</f>
        <v>0</v>
      </c>
      <c r="Y44" s="118">
        <f>+D42-X43-X44</f>
        <v>0</v>
      </c>
    </row>
    <row r="45" spans="1:27" s="119" customFormat="1" ht="9.9499999999999993" hidden="1" customHeight="1" x14ac:dyDescent="0.15">
      <c r="A45" s="2415">
        <f ca="1">Orçamento_Deson!B22</f>
        <v>6</v>
      </c>
      <c r="B45" s="2418" t="str">
        <f>Orçamento_Deson!C22</f>
        <v>RESTAURAÇÃO DO PAVIMENTO - RECUPERAÇÃO PRÉVIA DO PAVIMENTO</v>
      </c>
      <c r="C45" s="1656"/>
      <c r="D45" s="1652"/>
      <c r="E45" s="116"/>
      <c r="F45" s="870">
        <f t="shared" ref="F45:M45" si="35">F46</f>
        <v>0</v>
      </c>
      <c r="G45" s="870">
        <f t="shared" si="35"/>
        <v>0</v>
      </c>
      <c r="H45" s="870">
        <f t="shared" si="35"/>
        <v>0</v>
      </c>
      <c r="I45" s="870">
        <f t="shared" si="35"/>
        <v>0</v>
      </c>
      <c r="J45" s="870">
        <f t="shared" si="35"/>
        <v>0</v>
      </c>
      <c r="K45" s="870">
        <f t="shared" si="35"/>
        <v>0</v>
      </c>
      <c r="L45" s="870">
        <f t="shared" si="35"/>
        <v>0</v>
      </c>
      <c r="M45" s="870">
        <f t="shared" si="35"/>
        <v>0</v>
      </c>
      <c r="N45" s="870">
        <f>N46</f>
        <v>0</v>
      </c>
      <c r="O45" s="870">
        <f t="shared" ref="O45:W45" si="36">O46</f>
        <v>0</v>
      </c>
      <c r="P45" s="870">
        <f t="shared" si="36"/>
        <v>0</v>
      </c>
      <c r="Q45" s="870">
        <f t="shared" si="36"/>
        <v>0</v>
      </c>
      <c r="R45" s="870">
        <f t="shared" si="36"/>
        <v>0</v>
      </c>
      <c r="S45" s="870">
        <f t="shared" si="36"/>
        <v>0</v>
      </c>
      <c r="T45" s="870">
        <f t="shared" si="36"/>
        <v>0</v>
      </c>
      <c r="U45" s="870">
        <f t="shared" si="36"/>
        <v>0</v>
      </c>
      <c r="V45" s="870">
        <f t="shared" si="36"/>
        <v>0</v>
      </c>
      <c r="W45" s="870">
        <f t="shared" si="36"/>
        <v>0</v>
      </c>
      <c r="X45" s="117"/>
      <c r="Y45" s="707">
        <f>+D46-X47-X48</f>
        <v>0</v>
      </c>
    </row>
    <row r="46" spans="1:27" s="119" customFormat="1" ht="18" hidden="1" customHeight="1" x14ac:dyDescent="0.15">
      <c r="A46" s="2416"/>
      <c r="B46" s="2419"/>
      <c r="C46" s="1656" t="str">
        <f>CONCATENATE(Orçamento_Deson!H22," ",Orçamento_Deson!I22)</f>
        <v>0 M2</v>
      </c>
      <c r="D46" s="2427">
        <f>Orçamento_Deson!J22</f>
        <v>0</v>
      </c>
      <c r="E46" s="2428"/>
      <c r="F46" s="694">
        <f>Cronograma_Não_Deson!F46</f>
        <v>0</v>
      </c>
      <c r="G46" s="694">
        <f>Cronograma_Não_Deson!G46</f>
        <v>0</v>
      </c>
      <c r="H46" s="694">
        <f>Cronograma_Não_Deson!H46</f>
        <v>0</v>
      </c>
      <c r="I46" s="694">
        <f>Cronograma_Não_Deson!I46</f>
        <v>0</v>
      </c>
      <c r="J46" s="694">
        <f>Cronograma_Não_Deson!J46</f>
        <v>0</v>
      </c>
      <c r="K46" s="694">
        <f>Cronograma_Não_Deson!K46</f>
        <v>0</v>
      </c>
      <c r="L46" s="694">
        <f>Cronograma_Não_Deson!L46</f>
        <v>0</v>
      </c>
      <c r="M46" s="694">
        <f>Cronograma_Não_Deson!M46</f>
        <v>0</v>
      </c>
      <c r="N46" s="694">
        <f>Cronograma_Não_Deson!N46</f>
        <v>0</v>
      </c>
      <c r="O46" s="694">
        <f>Cronograma_Não_Deson!O46</f>
        <v>0</v>
      </c>
      <c r="P46" s="694">
        <f>Cronograma_Não_Deson!P46</f>
        <v>0</v>
      </c>
      <c r="Q46" s="694">
        <f>+Cronograma_Não_Deson!Q46</f>
        <v>0</v>
      </c>
      <c r="R46" s="694">
        <f>+Cronograma_Não_Deson!R46</f>
        <v>0</v>
      </c>
      <c r="S46" s="694">
        <f>+Cronograma_Não_Deson!S46</f>
        <v>0</v>
      </c>
      <c r="T46" s="694">
        <f>+Cronograma_Não_Deson!T46</f>
        <v>0</v>
      </c>
      <c r="U46" s="694">
        <f>+Cronograma_Não_Deson!U46</f>
        <v>0</v>
      </c>
      <c r="V46" s="694">
        <f>+Cronograma_Não_Deson!V46</f>
        <v>0</v>
      </c>
      <c r="W46" s="694">
        <f>+Cronograma_Não_Deson!W46</f>
        <v>0</v>
      </c>
      <c r="X46" s="120">
        <f>SUM(F46:W46)</f>
        <v>0</v>
      </c>
      <c r="Y46" s="585">
        <f>1-X46</f>
        <v>1</v>
      </c>
      <c r="AA46" s="710">
        <f>+COUNT(F46:W46)</f>
        <v>18</v>
      </c>
    </row>
    <row r="47" spans="1:27" s="119" customFormat="1" ht="18" hidden="1" customHeight="1" x14ac:dyDescent="0.15">
      <c r="A47" s="2416"/>
      <c r="B47" s="2419"/>
      <c r="C47" s="1656"/>
      <c r="D47" s="1687" t="s">
        <v>141</v>
      </c>
      <c r="E47" s="1688">
        <f>D$88</f>
        <v>1</v>
      </c>
      <c r="F47" s="869">
        <f t="shared" ref="F47:W47" si="37">IF($D46=0,0,IF(F46=0,0,($E47*$D46*F46)+$AA$92))</f>
        <v>0</v>
      </c>
      <c r="G47" s="869">
        <f t="shared" si="37"/>
        <v>0</v>
      </c>
      <c r="H47" s="869">
        <f t="shared" si="37"/>
        <v>0</v>
      </c>
      <c r="I47" s="869">
        <f t="shared" si="37"/>
        <v>0</v>
      </c>
      <c r="J47" s="869">
        <f t="shared" si="37"/>
        <v>0</v>
      </c>
      <c r="K47" s="869">
        <f t="shared" si="37"/>
        <v>0</v>
      </c>
      <c r="L47" s="869">
        <f t="shared" si="37"/>
        <v>0</v>
      </c>
      <c r="M47" s="869">
        <f t="shared" si="37"/>
        <v>0</v>
      </c>
      <c r="N47" s="869">
        <f t="shared" si="37"/>
        <v>0</v>
      </c>
      <c r="O47" s="869">
        <f t="shared" si="37"/>
        <v>0</v>
      </c>
      <c r="P47" s="869">
        <f t="shared" si="37"/>
        <v>0</v>
      </c>
      <c r="Q47" s="869">
        <f t="shared" si="37"/>
        <v>0</v>
      </c>
      <c r="R47" s="869">
        <f t="shared" si="37"/>
        <v>0</v>
      </c>
      <c r="S47" s="869">
        <f t="shared" si="37"/>
        <v>0</v>
      </c>
      <c r="T47" s="869">
        <f t="shared" si="37"/>
        <v>0</v>
      </c>
      <c r="U47" s="869">
        <f t="shared" si="37"/>
        <v>0</v>
      </c>
      <c r="V47" s="869">
        <f t="shared" si="37"/>
        <v>0</v>
      </c>
      <c r="W47" s="869">
        <f t="shared" si="37"/>
        <v>0</v>
      </c>
      <c r="X47" s="121">
        <f>SUM(F47:W47)</f>
        <v>0</v>
      </c>
      <c r="Y47" s="118">
        <f>TRUNC(X47-D46*E47,2)</f>
        <v>0</v>
      </c>
      <c r="Z47" s="709" t="e">
        <f>+X47/D46</f>
        <v>#DIV/0!</v>
      </c>
    </row>
    <row r="48" spans="1:27" s="119" customFormat="1" ht="18" hidden="1" customHeight="1" thickBot="1" x14ac:dyDescent="0.2">
      <c r="A48" s="2417"/>
      <c r="B48" s="2420"/>
      <c r="C48" s="1657"/>
      <c r="D48" s="1653" t="s">
        <v>142</v>
      </c>
      <c r="E48" s="708">
        <f>1-E47</f>
        <v>0</v>
      </c>
      <c r="F48" s="868">
        <f>($D46*F46-F47)</f>
        <v>0</v>
      </c>
      <c r="G48" s="868">
        <f t="shared" ref="G48:W48" si="38">($D46*G46-G47)</f>
        <v>0</v>
      </c>
      <c r="H48" s="868">
        <f t="shared" si="38"/>
        <v>0</v>
      </c>
      <c r="I48" s="868">
        <f t="shared" si="38"/>
        <v>0</v>
      </c>
      <c r="J48" s="868">
        <f t="shared" si="38"/>
        <v>0</v>
      </c>
      <c r="K48" s="868">
        <f t="shared" si="38"/>
        <v>0</v>
      </c>
      <c r="L48" s="868">
        <f t="shared" si="38"/>
        <v>0</v>
      </c>
      <c r="M48" s="868">
        <f t="shared" si="38"/>
        <v>0</v>
      </c>
      <c r="N48" s="868">
        <f t="shared" si="38"/>
        <v>0</v>
      </c>
      <c r="O48" s="868">
        <f t="shared" si="38"/>
        <v>0</v>
      </c>
      <c r="P48" s="868">
        <f t="shared" si="38"/>
        <v>0</v>
      </c>
      <c r="Q48" s="868">
        <f t="shared" si="38"/>
        <v>0</v>
      </c>
      <c r="R48" s="868">
        <f t="shared" si="38"/>
        <v>0</v>
      </c>
      <c r="S48" s="868">
        <f t="shared" si="38"/>
        <v>0</v>
      </c>
      <c r="T48" s="868">
        <f t="shared" si="38"/>
        <v>0</v>
      </c>
      <c r="U48" s="868">
        <f t="shared" si="38"/>
        <v>0</v>
      </c>
      <c r="V48" s="868">
        <f t="shared" si="38"/>
        <v>0</v>
      </c>
      <c r="W48" s="868">
        <f t="shared" si="38"/>
        <v>0</v>
      </c>
      <c r="X48" s="122">
        <f>SUM(F48:W48)</f>
        <v>0</v>
      </c>
      <c r="Y48" s="118">
        <f>+D46-X47-X48</f>
        <v>0</v>
      </c>
    </row>
    <row r="49" spans="1:27" s="119" customFormat="1" ht="9.9499999999999993" hidden="1" customHeight="1" x14ac:dyDescent="0.15">
      <c r="A49" s="2415">
        <f ca="1">Orçamento_Deson!B23</f>
        <v>6</v>
      </c>
      <c r="B49" s="2418" t="str">
        <f>Orçamento_Deson!C23</f>
        <v>RESTAURAÇÃO DO PAVIMENTO - RECAPEAMENTO ASFÁLTICO</v>
      </c>
      <c r="C49" s="1656"/>
      <c r="D49" s="1652"/>
      <c r="E49" s="116"/>
      <c r="F49" s="870">
        <f t="shared" ref="F49:M49" si="39">F50</f>
        <v>0</v>
      </c>
      <c r="G49" s="870">
        <f t="shared" si="39"/>
        <v>0</v>
      </c>
      <c r="H49" s="870">
        <f t="shared" si="39"/>
        <v>0</v>
      </c>
      <c r="I49" s="870">
        <f t="shared" si="39"/>
        <v>0</v>
      </c>
      <c r="J49" s="870">
        <f t="shared" si="39"/>
        <v>0</v>
      </c>
      <c r="K49" s="870">
        <f t="shared" si="39"/>
        <v>0</v>
      </c>
      <c r="L49" s="870">
        <f t="shared" si="39"/>
        <v>0</v>
      </c>
      <c r="M49" s="870">
        <f t="shared" si="39"/>
        <v>0</v>
      </c>
      <c r="N49" s="870">
        <f>N50</f>
        <v>0</v>
      </c>
      <c r="O49" s="870">
        <f t="shared" ref="O49:W49" si="40">O50</f>
        <v>0</v>
      </c>
      <c r="P49" s="870">
        <f t="shared" si="40"/>
        <v>0</v>
      </c>
      <c r="Q49" s="870">
        <f t="shared" si="40"/>
        <v>0</v>
      </c>
      <c r="R49" s="870">
        <f t="shared" si="40"/>
        <v>0</v>
      </c>
      <c r="S49" s="870">
        <f t="shared" si="40"/>
        <v>0</v>
      </c>
      <c r="T49" s="870">
        <f t="shared" si="40"/>
        <v>0</v>
      </c>
      <c r="U49" s="870">
        <f t="shared" si="40"/>
        <v>0</v>
      </c>
      <c r="V49" s="870">
        <f t="shared" si="40"/>
        <v>0</v>
      </c>
      <c r="W49" s="870">
        <f t="shared" si="40"/>
        <v>0</v>
      </c>
      <c r="X49" s="117"/>
      <c r="Y49" s="707">
        <f>+D50-X51-X52</f>
        <v>0</v>
      </c>
    </row>
    <row r="50" spans="1:27" s="119" customFormat="1" ht="18" hidden="1" customHeight="1" x14ac:dyDescent="0.15">
      <c r="A50" s="2416"/>
      <c r="B50" s="2419"/>
      <c r="C50" s="1656" t="str">
        <f>CONCATENATE(Orçamento_Deson!H23," ",Orçamento_Deson!I23)</f>
        <v>0 M2</v>
      </c>
      <c r="D50" s="2427">
        <f>Orçamento_Deson!J23</f>
        <v>0</v>
      </c>
      <c r="E50" s="2428"/>
      <c r="F50" s="694">
        <f>Cronograma_Não_Deson!F50</f>
        <v>0</v>
      </c>
      <c r="G50" s="694">
        <f>Cronograma_Não_Deson!G50</f>
        <v>0</v>
      </c>
      <c r="H50" s="694">
        <f>Cronograma_Não_Deson!H50</f>
        <v>0</v>
      </c>
      <c r="I50" s="694">
        <f>Cronograma_Não_Deson!I50</f>
        <v>0</v>
      </c>
      <c r="J50" s="694">
        <f>Cronograma_Não_Deson!J50</f>
        <v>0</v>
      </c>
      <c r="K50" s="694">
        <f>Cronograma_Não_Deson!K50</f>
        <v>0</v>
      </c>
      <c r="L50" s="694">
        <f>Cronograma_Não_Deson!L50</f>
        <v>0</v>
      </c>
      <c r="M50" s="694">
        <f>Cronograma_Não_Deson!M50</f>
        <v>0</v>
      </c>
      <c r="N50" s="694">
        <f>Cronograma_Não_Deson!N50</f>
        <v>0</v>
      </c>
      <c r="O50" s="694">
        <f>Cronograma_Não_Deson!O50</f>
        <v>0</v>
      </c>
      <c r="P50" s="694">
        <f>Cronograma_Não_Deson!P50</f>
        <v>0</v>
      </c>
      <c r="Q50" s="694">
        <f>+Cronograma_Não_Deson!Q50</f>
        <v>0</v>
      </c>
      <c r="R50" s="694">
        <f>+Cronograma_Não_Deson!R50</f>
        <v>0</v>
      </c>
      <c r="S50" s="694">
        <f>+Cronograma_Não_Deson!S50</f>
        <v>0</v>
      </c>
      <c r="T50" s="694">
        <f>+Cronograma_Não_Deson!T50</f>
        <v>0</v>
      </c>
      <c r="U50" s="694">
        <f>+Cronograma_Não_Deson!U50</f>
        <v>0</v>
      </c>
      <c r="V50" s="694">
        <f>+Cronograma_Não_Deson!V50</f>
        <v>0</v>
      </c>
      <c r="W50" s="694">
        <f>+Cronograma_Não_Deson!W50</f>
        <v>0</v>
      </c>
      <c r="X50" s="120">
        <f>SUM(F50:W50)</f>
        <v>0</v>
      </c>
      <c r="Y50" s="585">
        <f>1-X50</f>
        <v>1</v>
      </c>
      <c r="AA50" s="710">
        <f>+COUNT(F50:W50)</f>
        <v>18</v>
      </c>
    </row>
    <row r="51" spans="1:27" s="119" customFormat="1" ht="18" hidden="1" customHeight="1" x14ac:dyDescent="0.15">
      <c r="A51" s="2416"/>
      <c r="B51" s="2419"/>
      <c r="C51" s="1658">
        <f>INT(+Orçamento_Deson!H23/C52)+1</f>
        <v>1</v>
      </c>
      <c r="D51" s="1687" t="s">
        <v>141</v>
      </c>
      <c r="E51" s="1688">
        <f>D$88</f>
        <v>1</v>
      </c>
      <c r="F51" s="869">
        <f t="shared" ref="F51:W51" si="41">IF($D50=0,0,IF(F50=0,0,($E51*$D50*F50)+$AA$92))</f>
        <v>0</v>
      </c>
      <c r="G51" s="869">
        <f t="shared" si="41"/>
        <v>0</v>
      </c>
      <c r="H51" s="869">
        <f t="shared" si="41"/>
        <v>0</v>
      </c>
      <c r="I51" s="869">
        <f t="shared" si="41"/>
        <v>0</v>
      </c>
      <c r="J51" s="869">
        <f t="shared" si="41"/>
        <v>0</v>
      </c>
      <c r="K51" s="869">
        <f t="shared" si="41"/>
        <v>0</v>
      </c>
      <c r="L51" s="869">
        <f t="shared" si="41"/>
        <v>0</v>
      </c>
      <c r="M51" s="869">
        <f t="shared" si="41"/>
        <v>0</v>
      </c>
      <c r="N51" s="869">
        <f t="shared" si="41"/>
        <v>0</v>
      </c>
      <c r="O51" s="869">
        <f t="shared" si="41"/>
        <v>0</v>
      </c>
      <c r="P51" s="869">
        <f t="shared" si="41"/>
        <v>0</v>
      </c>
      <c r="Q51" s="869">
        <f t="shared" si="41"/>
        <v>0</v>
      </c>
      <c r="R51" s="869">
        <f t="shared" si="41"/>
        <v>0</v>
      </c>
      <c r="S51" s="869">
        <f t="shared" si="41"/>
        <v>0</v>
      </c>
      <c r="T51" s="869">
        <f t="shared" si="41"/>
        <v>0</v>
      </c>
      <c r="U51" s="869">
        <f t="shared" si="41"/>
        <v>0</v>
      </c>
      <c r="V51" s="869">
        <f t="shared" si="41"/>
        <v>0</v>
      </c>
      <c r="W51" s="869">
        <f t="shared" si="41"/>
        <v>0</v>
      </c>
      <c r="X51" s="121">
        <f>SUM(F51:W51)</f>
        <v>0</v>
      </c>
      <c r="Y51" s="118">
        <f>TRUNC(X51-D50*E51,2)</f>
        <v>0</v>
      </c>
      <c r="Z51" s="709" t="e">
        <f>+X51/D50</f>
        <v>#DIV/0!</v>
      </c>
    </row>
    <row r="52" spans="1:27" s="119" customFormat="1" ht="18" hidden="1" customHeight="1" thickBot="1" x14ac:dyDescent="0.2">
      <c r="A52" s="2417"/>
      <c r="B52" s="2420"/>
      <c r="C52" s="1659">
        <v>30000</v>
      </c>
      <c r="D52" s="1653" t="s">
        <v>142</v>
      </c>
      <c r="E52" s="708">
        <f>1-E51</f>
        <v>0</v>
      </c>
      <c r="F52" s="868">
        <f>($D50*F50-F51)</f>
        <v>0</v>
      </c>
      <c r="G52" s="868">
        <f t="shared" ref="G52:W52" si="42">($D50*G50-G51)</f>
        <v>0</v>
      </c>
      <c r="H52" s="868">
        <f t="shared" si="42"/>
        <v>0</v>
      </c>
      <c r="I52" s="868">
        <f t="shared" si="42"/>
        <v>0</v>
      </c>
      <c r="J52" s="868">
        <f t="shared" si="42"/>
        <v>0</v>
      </c>
      <c r="K52" s="868">
        <f t="shared" si="42"/>
        <v>0</v>
      </c>
      <c r="L52" s="868">
        <f t="shared" si="42"/>
        <v>0</v>
      </c>
      <c r="M52" s="868">
        <f t="shared" si="42"/>
        <v>0</v>
      </c>
      <c r="N52" s="868">
        <f t="shared" si="42"/>
        <v>0</v>
      </c>
      <c r="O52" s="868">
        <f t="shared" si="42"/>
        <v>0</v>
      </c>
      <c r="P52" s="868">
        <f t="shared" si="42"/>
        <v>0</v>
      </c>
      <c r="Q52" s="868">
        <f t="shared" si="42"/>
        <v>0</v>
      </c>
      <c r="R52" s="868">
        <f t="shared" si="42"/>
        <v>0</v>
      </c>
      <c r="S52" s="868">
        <f t="shared" si="42"/>
        <v>0</v>
      </c>
      <c r="T52" s="868">
        <f t="shared" si="42"/>
        <v>0</v>
      </c>
      <c r="U52" s="868">
        <f t="shared" si="42"/>
        <v>0</v>
      </c>
      <c r="V52" s="868">
        <f t="shared" si="42"/>
        <v>0</v>
      </c>
      <c r="W52" s="868">
        <f t="shared" si="42"/>
        <v>0</v>
      </c>
      <c r="X52" s="122">
        <f>SUM(F52:W52)</f>
        <v>0</v>
      </c>
      <c r="Y52" s="118">
        <f>+D50-X51-X52</f>
        <v>0</v>
      </c>
    </row>
    <row r="53" spans="1:27" s="119" customFormat="1" ht="9.9499999999999993" customHeight="1" x14ac:dyDescent="0.15">
      <c r="A53" s="2415">
        <f ca="1">Orçamento_Deson!B24</f>
        <v>7</v>
      </c>
      <c r="B53" s="2418" t="str">
        <f>Orçamento_Deson!C24</f>
        <v>IMPLANTAÇÃO ASFÁLTICA - TERRAPLENAGEM</v>
      </c>
      <c r="C53" s="1656"/>
      <c r="D53" s="1652"/>
      <c r="E53" s="116"/>
      <c r="F53" s="870">
        <f t="shared" ref="F53:M53" si="43">F54</f>
        <v>0.1</v>
      </c>
      <c r="G53" s="870">
        <f t="shared" si="43"/>
        <v>0.2</v>
      </c>
      <c r="H53" s="870">
        <f t="shared" si="43"/>
        <v>0.2</v>
      </c>
      <c r="I53" s="870">
        <f t="shared" si="43"/>
        <v>0.2</v>
      </c>
      <c r="J53" s="870">
        <f t="shared" si="43"/>
        <v>0.2</v>
      </c>
      <c r="K53" s="870">
        <f t="shared" si="43"/>
        <v>0.1</v>
      </c>
      <c r="L53" s="870">
        <f t="shared" si="43"/>
        <v>0</v>
      </c>
      <c r="M53" s="870">
        <f t="shared" si="43"/>
        <v>0</v>
      </c>
      <c r="N53" s="870">
        <f>N54</f>
        <v>0</v>
      </c>
      <c r="O53" s="870">
        <f t="shared" ref="O53:W53" si="44">O54</f>
        <v>0</v>
      </c>
      <c r="P53" s="870">
        <f t="shared" si="44"/>
        <v>0</v>
      </c>
      <c r="Q53" s="870">
        <f t="shared" si="44"/>
        <v>0</v>
      </c>
      <c r="R53" s="870">
        <f t="shared" si="44"/>
        <v>0</v>
      </c>
      <c r="S53" s="870">
        <f t="shared" si="44"/>
        <v>0</v>
      </c>
      <c r="T53" s="870">
        <f t="shared" si="44"/>
        <v>0</v>
      </c>
      <c r="U53" s="870">
        <f t="shared" si="44"/>
        <v>0</v>
      </c>
      <c r="V53" s="870">
        <f t="shared" si="44"/>
        <v>0</v>
      </c>
      <c r="W53" s="870">
        <f t="shared" si="44"/>
        <v>0</v>
      </c>
      <c r="X53" s="117"/>
      <c r="Y53" s="707">
        <f>+D54-X55-X56</f>
        <v>0</v>
      </c>
    </row>
    <row r="54" spans="1:27" s="119" customFormat="1" ht="18" customHeight="1" x14ac:dyDescent="0.15">
      <c r="A54" s="2416"/>
      <c r="B54" s="2419"/>
      <c r="C54" s="1656" t="str">
        <f>CONCATENATE(Orçamento_Deson!H24," ",Orçamento_Deson!I24)</f>
        <v>5749,3 M3</v>
      </c>
      <c r="D54" s="2427">
        <f>Orçamento_Deson!J24</f>
        <v>191918.91</v>
      </c>
      <c r="E54" s="2428"/>
      <c r="F54" s="694">
        <f>Cronograma_Não_Deson!F54</f>
        <v>0.1</v>
      </c>
      <c r="G54" s="694">
        <f>Cronograma_Não_Deson!G54</f>
        <v>0.2</v>
      </c>
      <c r="H54" s="694">
        <f>Cronograma_Não_Deson!H54</f>
        <v>0.2</v>
      </c>
      <c r="I54" s="694">
        <f>Cronograma_Não_Deson!I54</f>
        <v>0.2</v>
      </c>
      <c r="J54" s="694">
        <f>Cronograma_Não_Deson!J54</f>
        <v>0.2</v>
      </c>
      <c r="K54" s="694">
        <f>Cronograma_Não_Deson!K54</f>
        <v>0.1</v>
      </c>
      <c r="L54" s="694">
        <f>Cronograma_Não_Deson!L54</f>
        <v>0</v>
      </c>
      <c r="M54" s="694">
        <f>Cronograma_Não_Deson!M54</f>
        <v>0</v>
      </c>
      <c r="N54" s="694">
        <f>Cronograma_Não_Deson!N54</f>
        <v>0</v>
      </c>
      <c r="O54" s="694">
        <f>Cronograma_Não_Deson!O54</f>
        <v>0</v>
      </c>
      <c r="P54" s="694">
        <f>Cronograma_Não_Deson!P54</f>
        <v>0</v>
      </c>
      <c r="Q54" s="694">
        <f>+Cronograma_Não_Deson!Q54</f>
        <v>0</v>
      </c>
      <c r="R54" s="694">
        <f>+Cronograma_Não_Deson!R54</f>
        <v>0</v>
      </c>
      <c r="S54" s="694">
        <f>+Cronograma_Não_Deson!S54</f>
        <v>0</v>
      </c>
      <c r="T54" s="694">
        <f>+Cronograma_Não_Deson!T54</f>
        <v>0</v>
      </c>
      <c r="U54" s="694">
        <f>+Cronograma_Não_Deson!U54</f>
        <v>0</v>
      </c>
      <c r="V54" s="694">
        <f>+Cronograma_Não_Deson!V54</f>
        <v>0</v>
      </c>
      <c r="W54" s="694">
        <f>+Cronograma_Não_Deson!W54</f>
        <v>0</v>
      </c>
      <c r="X54" s="120">
        <f>SUM(F54:W54)</f>
        <v>0.99999999999999989</v>
      </c>
      <c r="Y54" s="585">
        <f>1-X54</f>
        <v>0</v>
      </c>
      <c r="AA54" s="710">
        <f>+COUNT(F54:W54)</f>
        <v>18</v>
      </c>
    </row>
    <row r="55" spans="1:27" s="119" customFormat="1" ht="18" customHeight="1" thickBot="1" x14ac:dyDescent="0.2">
      <c r="A55" s="2416"/>
      <c r="B55" s="2419"/>
      <c r="C55" s="1658">
        <f>Orçamento_Deson!N24</f>
        <v>1</v>
      </c>
      <c r="D55" s="1687" t="s">
        <v>141</v>
      </c>
      <c r="E55" s="1688">
        <f>D$88</f>
        <v>1</v>
      </c>
      <c r="F55" s="869">
        <f t="shared" ref="F55:W55" si="45">IF($D54=0,0,IF(F54=0,0,($E55*$D54*F54)+$AA$92))</f>
        <v>19191.891</v>
      </c>
      <c r="G55" s="869">
        <f t="shared" si="45"/>
        <v>38383.781999999999</v>
      </c>
      <c r="H55" s="869">
        <f t="shared" si="45"/>
        <v>38383.781999999999</v>
      </c>
      <c r="I55" s="869">
        <f t="shared" si="45"/>
        <v>38383.781999999999</v>
      </c>
      <c r="J55" s="869">
        <f t="shared" si="45"/>
        <v>38383.781999999999</v>
      </c>
      <c r="K55" s="869">
        <f t="shared" si="45"/>
        <v>19191.891</v>
      </c>
      <c r="L55" s="869">
        <f t="shared" si="45"/>
        <v>0</v>
      </c>
      <c r="M55" s="869">
        <f t="shared" si="45"/>
        <v>0</v>
      </c>
      <c r="N55" s="869">
        <f t="shared" si="45"/>
        <v>0</v>
      </c>
      <c r="O55" s="869">
        <f t="shared" si="45"/>
        <v>0</v>
      </c>
      <c r="P55" s="869">
        <f t="shared" si="45"/>
        <v>0</v>
      </c>
      <c r="Q55" s="869">
        <f t="shared" si="45"/>
        <v>0</v>
      </c>
      <c r="R55" s="869">
        <f t="shared" si="45"/>
        <v>0</v>
      </c>
      <c r="S55" s="869">
        <f t="shared" si="45"/>
        <v>0</v>
      </c>
      <c r="T55" s="869">
        <f t="shared" si="45"/>
        <v>0</v>
      </c>
      <c r="U55" s="869">
        <f t="shared" si="45"/>
        <v>0</v>
      </c>
      <c r="V55" s="869">
        <f t="shared" si="45"/>
        <v>0</v>
      </c>
      <c r="W55" s="869">
        <f t="shared" si="45"/>
        <v>0</v>
      </c>
      <c r="X55" s="121">
        <f>SUM(F55:W55)</f>
        <v>191918.91</v>
      </c>
      <c r="Y55" s="118">
        <f>TRUNC(X55-D54*E55,2)</f>
        <v>0</v>
      </c>
      <c r="Z55" s="709">
        <f>+X55/D54</f>
        <v>1</v>
      </c>
    </row>
    <row r="56" spans="1:27" s="119" customFormat="1" ht="18" hidden="1" customHeight="1" thickBot="1" x14ac:dyDescent="0.2">
      <c r="A56" s="2417"/>
      <c r="B56" s="2420"/>
      <c r="C56" s="1657"/>
      <c r="D56" s="1653" t="s">
        <v>142</v>
      </c>
      <c r="E56" s="708">
        <f>1-E55</f>
        <v>0</v>
      </c>
      <c r="F56" s="868">
        <f>($D54*F54-F55)</f>
        <v>0</v>
      </c>
      <c r="G56" s="868">
        <f t="shared" ref="G56:W56" si="46">($D54*G54-G55)</f>
        <v>0</v>
      </c>
      <c r="H56" s="868">
        <f t="shared" si="46"/>
        <v>0</v>
      </c>
      <c r="I56" s="868">
        <f t="shared" si="46"/>
        <v>0</v>
      </c>
      <c r="J56" s="868">
        <f t="shared" si="46"/>
        <v>0</v>
      </c>
      <c r="K56" s="868">
        <f t="shared" si="46"/>
        <v>0</v>
      </c>
      <c r="L56" s="868">
        <f t="shared" si="46"/>
        <v>0</v>
      </c>
      <c r="M56" s="868">
        <f t="shared" si="46"/>
        <v>0</v>
      </c>
      <c r="N56" s="868">
        <f t="shared" si="46"/>
        <v>0</v>
      </c>
      <c r="O56" s="868">
        <f t="shared" si="46"/>
        <v>0</v>
      </c>
      <c r="P56" s="868">
        <f t="shared" si="46"/>
        <v>0</v>
      </c>
      <c r="Q56" s="868">
        <f t="shared" si="46"/>
        <v>0</v>
      </c>
      <c r="R56" s="868">
        <f t="shared" si="46"/>
        <v>0</v>
      </c>
      <c r="S56" s="868">
        <f t="shared" si="46"/>
        <v>0</v>
      </c>
      <c r="T56" s="868">
        <f t="shared" si="46"/>
        <v>0</v>
      </c>
      <c r="U56" s="868">
        <f t="shared" si="46"/>
        <v>0</v>
      </c>
      <c r="V56" s="868">
        <f t="shared" si="46"/>
        <v>0</v>
      </c>
      <c r="W56" s="868">
        <f t="shared" si="46"/>
        <v>0</v>
      </c>
      <c r="X56" s="122">
        <f>SUM(F56:W56)</f>
        <v>0</v>
      </c>
      <c r="Y56" s="118">
        <f>+D54-X55-X56</f>
        <v>0</v>
      </c>
    </row>
    <row r="57" spans="1:27" s="119" customFormat="1" ht="9.9499999999999993" customHeight="1" x14ac:dyDescent="0.15">
      <c r="A57" s="2415">
        <f ca="1">Orçamento_Deson!B25</f>
        <v>8</v>
      </c>
      <c r="B57" s="2418" t="str">
        <f>Orçamento_Deson!C25</f>
        <v>IMPLANTAÇÃO ASFÁLTICA - PAVIMENTAÇÃO</v>
      </c>
      <c r="C57" s="1656"/>
      <c r="D57" s="1652"/>
      <c r="E57" s="116"/>
      <c r="F57" s="870">
        <f t="shared" ref="F57:M57" si="47">F58</f>
        <v>0.1</v>
      </c>
      <c r="G57" s="870">
        <f t="shared" si="47"/>
        <v>0.2</v>
      </c>
      <c r="H57" s="870">
        <f t="shared" si="47"/>
        <v>0.2</v>
      </c>
      <c r="I57" s="870">
        <f t="shared" si="47"/>
        <v>0.2</v>
      </c>
      <c r="J57" s="870">
        <f t="shared" si="47"/>
        <v>0.2</v>
      </c>
      <c r="K57" s="870">
        <f t="shared" si="47"/>
        <v>0.1</v>
      </c>
      <c r="L57" s="870">
        <f t="shared" si="47"/>
        <v>0</v>
      </c>
      <c r="M57" s="870">
        <f t="shared" si="47"/>
        <v>0</v>
      </c>
      <c r="N57" s="870">
        <f>N58</f>
        <v>0</v>
      </c>
      <c r="O57" s="870">
        <f t="shared" ref="O57:W57" si="48">O58</f>
        <v>0</v>
      </c>
      <c r="P57" s="870">
        <f t="shared" si="48"/>
        <v>0</v>
      </c>
      <c r="Q57" s="870">
        <f t="shared" si="48"/>
        <v>0</v>
      </c>
      <c r="R57" s="870">
        <f t="shared" si="48"/>
        <v>0</v>
      </c>
      <c r="S57" s="870">
        <f t="shared" si="48"/>
        <v>0</v>
      </c>
      <c r="T57" s="870">
        <f t="shared" si="48"/>
        <v>0</v>
      </c>
      <c r="U57" s="870">
        <f t="shared" si="48"/>
        <v>0</v>
      </c>
      <c r="V57" s="870">
        <f t="shared" si="48"/>
        <v>0</v>
      </c>
      <c r="W57" s="870">
        <f t="shared" si="48"/>
        <v>0</v>
      </c>
      <c r="X57" s="117"/>
      <c r="Y57" s="707">
        <f>+D58-X59-X60</f>
        <v>0</v>
      </c>
    </row>
    <row r="58" spans="1:27" s="119" customFormat="1" ht="18" customHeight="1" x14ac:dyDescent="0.15">
      <c r="A58" s="2416"/>
      <c r="B58" s="2419"/>
      <c r="C58" s="1656" t="str">
        <f>CONCATENATE(Orçamento_Deson!H25," ",Orçamento_Deson!I25)</f>
        <v>12682,57 M2</v>
      </c>
      <c r="D58" s="2427">
        <f>Orçamento_Deson!J25</f>
        <v>1887485.7200000002</v>
      </c>
      <c r="E58" s="2428"/>
      <c r="F58" s="694">
        <f>Cronograma_Não_Deson!F58</f>
        <v>0.1</v>
      </c>
      <c r="G58" s="694">
        <f>Cronograma_Não_Deson!G58</f>
        <v>0.2</v>
      </c>
      <c r="H58" s="694">
        <f>Cronograma_Não_Deson!H58</f>
        <v>0.2</v>
      </c>
      <c r="I58" s="694">
        <f>Cronograma_Não_Deson!I58</f>
        <v>0.2</v>
      </c>
      <c r="J58" s="694">
        <f>Cronograma_Não_Deson!J58</f>
        <v>0.2</v>
      </c>
      <c r="K58" s="694">
        <f>Cronograma_Não_Deson!K58</f>
        <v>0.1</v>
      </c>
      <c r="L58" s="694">
        <f>Cronograma_Não_Deson!L58</f>
        <v>0</v>
      </c>
      <c r="M58" s="694">
        <f>Cronograma_Não_Deson!M58</f>
        <v>0</v>
      </c>
      <c r="N58" s="694">
        <f>Cronograma_Não_Deson!N58</f>
        <v>0</v>
      </c>
      <c r="O58" s="694">
        <f>Cronograma_Não_Deson!O58</f>
        <v>0</v>
      </c>
      <c r="P58" s="694">
        <f>Cronograma_Não_Deson!P58</f>
        <v>0</v>
      </c>
      <c r="Q58" s="694">
        <f>+Cronograma_Não_Deson!Q58</f>
        <v>0</v>
      </c>
      <c r="R58" s="694">
        <f>+Cronograma_Não_Deson!R58</f>
        <v>0</v>
      </c>
      <c r="S58" s="694">
        <f>+Cronograma_Não_Deson!S58</f>
        <v>0</v>
      </c>
      <c r="T58" s="694">
        <f>+Cronograma_Não_Deson!T58</f>
        <v>0</v>
      </c>
      <c r="U58" s="694">
        <f>+Cronograma_Não_Deson!U58</f>
        <v>0</v>
      </c>
      <c r="V58" s="694">
        <f>+Cronograma_Não_Deson!V58</f>
        <v>0</v>
      </c>
      <c r="W58" s="694">
        <f>+Cronograma_Não_Deson!W58</f>
        <v>0</v>
      </c>
      <c r="X58" s="120">
        <f>SUM(F58:W58)</f>
        <v>0.99999999999999989</v>
      </c>
      <c r="Y58" s="585">
        <f>1-X58</f>
        <v>0</v>
      </c>
      <c r="AA58" s="710">
        <f>+COUNT(F58:W58)</f>
        <v>18</v>
      </c>
    </row>
    <row r="59" spans="1:27" s="119" customFormat="1" ht="18" customHeight="1" thickBot="1" x14ac:dyDescent="0.2">
      <c r="A59" s="2416"/>
      <c r="B59" s="2419"/>
      <c r="C59" s="1658">
        <f>Orçamento_Deson!N25</f>
        <v>0</v>
      </c>
      <c r="D59" s="1687" t="s">
        <v>141</v>
      </c>
      <c r="E59" s="1688">
        <f>D$88</f>
        <v>1</v>
      </c>
      <c r="F59" s="869">
        <f t="shared" ref="F59:W59" si="49">IF($D58=0,0,IF(F58=0,0,($E59*$D58*F58)+$AA$92))</f>
        <v>188748.57200000004</v>
      </c>
      <c r="G59" s="869">
        <f t="shared" si="49"/>
        <v>377497.14400000009</v>
      </c>
      <c r="H59" s="869">
        <f t="shared" si="49"/>
        <v>377497.14400000009</v>
      </c>
      <c r="I59" s="869">
        <f t="shared" si="49"/>
        <v>377497.14400000009</v>
      </c>
      <c r="J59" s="869">
        <f t="shared" si="49"/>
        <v>377497.14400000009</v>
      </c>
      <c r="K59" s="869">
        <f t="shared" si="49"/>
        <v>188748.57200000004</v>
      </c>
      <c r="L59" s="869">
        <f t="shared" si="49"/>
        <v>0</v>
      </c>
      <c r="M59" s="869">
        <f t="shared" si="49"/>
        <v>0</v>
      </c>
      <c r="N59" s="869">
        <f t="shared" si="49"/>
        <v>0</v>
      </c>
      <c r="O59" s="869">
        <f t="shared" si="49"/>
        <v>0</v>
      </c>
      <c r="P59" s="869">
        <f t="shared" si="49"/>
        <v>0</v>
      </c>
      <c r="Q59" s="869">
        <f t="shared" si="49"/>
        <v>0</v>
      </c>
      <c r="R59" s="869">
        <f t="shared" si="49"/>
        <v>0</v>
      </c>
      <c r="S59" s="869">
        <f t="shared" si="49"/>
        <v>0</v>
      </c>
      <c r="T59" s="869">
        <f t="shared" si="49"/>
        <v>0</v>
      </c>
      <c r="U59" s="869">
        <f t="shared" si="49"/>
        <v>0</v>
      </c>
      <c r="V59" s="869">
        <f t="shared" si="49"/>
        <v>0</v>
      </c>
      <c r="W59" s="869">
        <f t="shared" si="49"/>
        <v>0</v>
      </c>
      <c r="X59" s="121">
        <f>SUM(F59:W59)</f>
        <v>1887485.7200000002</v>
      </c>
      <c r="Y59" s="118">
        <f>+X59-D58*E59</f>
        <v>0</v>
      </c>
      <c r="Z59" s="709">
        <f>+X59/D58</f>
        <v>1</v>
      </c>
    </row>
    <row r="60" spans="1:27" s="119" customFormat="1" ht="18" hidden="1" customHeight="1" thickBot="1" x14ac:dyDescent="0.2">
      <c r="A60" s="2417"/>
      <c r="B60" s="2420"/>
      <c r="C60" s="1659">
        <v>15000</v>
      </c>
      <c r="D60" s="1653" t="s">
        <v>142</v>
      </c>
      <c r="E60" s="708">
        <f>1-E59</f>
        <v>0</v>
      </c>
      <c r="F60" s="868">
        <f>($D58*F58-F59)</f>
        <v>0</v>
      </c>
      <c r="G60" s="868">
        <f t="shared" ref="G60:W60" si="50">($D58*G58-G59)</f>
        <v>0</v>
      </c>
      <c r="H60" s="868">
        <f t="shared" si="50"/>
        <v>0</v>
      </c>
      <c r="I60" s="868">
        <f t="shared" si="50"/>
        <v>0</v>
      </c>
      <c r="J60" s="868">
        <f t="shared" si="50"/>
        <v>0</v>
      </c>
      <c r="K60" s="868">
        <f t="shared" si="50"/>
        <v>0</v>
      </c>
      <c r="L60" s="868">
        <f t="shared" si="50"/>
        <v>0</v>
      </c>
      <c r="M60" s="868">
        <f t="shared" si="50"/>
        <v>0</v>
      </c>
      <c r="N60" s="868">
        <f t="shared" si="50"/>
        <v>0</v>
      </c>
      <c r="O60" s="868">
        <f t="shared" si="50"/>
        <v>0</v>
      </c>
      <c r="P60" s="868">
        <f t="shared" si="50"/>
        <v>0</v>
      </c>
      <c r="Q60" s="868">
        <f t="shared" si="50"/>
        <v>0</v>
      </c>
      <c r="R60" s="868">
        <f t="shared" si="50"/>
        <v>0</v>
      </c>
      <c r="S60" s="868">
        <f t="shared" si="50"/>
        <v>0</v>
      </c>
      <c r="T60" s="868">
        <f t="shared" si="50"/>
        <v>0</v>
      </c>
      <c r="U60" s="868">
        <f t="shared" si="50"/>
        <v>0</v>
      </c>
      <c r="V60" s="868">
        <f t="shared" si="50"/>
        <v>0</v>
      </c>
      <c r="W60" s="868">
        <f t="shared" si="50"/>
        <v>0</v>
      </c>
      <c r="X60" s="122">
        <f>SUM(F60:W60)</f>
        <v>0</v>
      </c>
      <c r="Y60" s="118">
        <f>+X60-E60*D58</f>
        <v>0</v>
      </c>
    </row>
    <row r="61" spans="1:27" s="119" customFormat="1" ht="9.9499999999999993" customHeight="1" x14ac:dyDescent="0.15">
      <c r="A61" s="2415">
        <f ca="1">Orçamento_Deson!B26</f>
        <v>9</v>
      </c>
      <c r="B61" s="2418" t="str">
        <f>Orçamento_Deson!C26</f>
        <v>SERVIÇOS COMPLEMENTARES</v>
      </c>
      <c r="C61" s="1656"/>
      <c r="D61" s="1652"/>
      <c r="E61" s="116"/>
      <c r="F61" s="870">
        <f t="shared" ref="F61:M61" si="51">F62</f>
        <v>0</v>
      </c>
      <c r="G61" s="870">
        <f t="shared" si="51"/>
        <v>0.2</v>
      </c>
      <c r="H61" s="870">
        <f t="shared" si="51"/>
        <v>0.2</v>
      </c>
      <c r="I61" s="870">
        <f t="shared" si="51"/>
        <v>0.2</v>
      </c>
      <c r="J61" s="870">
        <f t="shared" si="51"/>
        <v>0.2</v>
      </c>
      <c r="K61" s="870">
        <f t="shared" si="51"/>
        <v>0.2</v>
      </c>
      <c r="L61" s="870">
        <f t="shared" si="51"/>
        <v>0</v>
      </c>
      <c r="M61" s="870">
        <f t="shared" si="51"/>
        <v>0</v>
      </c>
      <c r="N61" s="870">
        <f>N62</f>
        <v>0</v>
      </c>
      <c r="O61" s="870">
        <f t="shared" ref="O61:W61" si="52">O62</f>
        <v>0</v>
      </c>
      <c r="P61" s="870">
        <f t="shared" si="52"/>
        <v>0</v>
      </c>
      <c r="Q61" s="870">
        <f t="shared" si="52"/>
        <v>0</v>
      </c>
      <c r="R61" s="870">
        <f t="shared" si="52"/>
        <v>0</v>
      </c>
      <c r="S61" s="870">
        <f t="shared" si="52"/>
        <v>0</v>
      </c>
      <c r="T61" s="870">
        <f t="shared" si="52"/>
        <v>0</v>
      </c>
      <c r="U61" s="870">
        <f t="shared" si="52"/>
        <v>0</v>
      </c>
      <c r="V61" s="870">
        <f t="shared" si="52"/>
        <v>0</v>
      </c>
      <c r="W61" s="870">
        <f t="shared" si="52"/>
        <v>0</v>
      </c>
      <c r="X61" s="117"/>
      <c r="Y61" s="707">
        <f>+D62-X63-X64</f>
        <v>0</v>
      </c>
    </row>
    <row r="62" spans="1:27" s="119" customFormat="1" ht="18" customHeight="1" x14ac:dyDescent="0.15">
      <c r="A62" s="2416"/>
      <c r="B62" s="2419"/>
      <c r="C62" s="1656" t="str">
        <f>CONCATENATE(Orçamento_Deson!H26," ",Orçamento_Deson!I26)</f>
        <v>3392,16 M</v>
      </c>
      <c r="D62" s="2427">
        <f>Orçamento_Deson!J26</f>
        <v>259930.96999999997</v>
      </c>
      <c r="E62" s="2428"/>
      <c r="F62" s="694">
        <f>Cronograma_Não_Deson!F62</f>
        <v>0</v>
      </c>
      <c r="G62" s="694">
        <f>Cronograma_Não_Deson!G62</f>
        <v>0.2</v>
      </c>
      <c r="H62" s="694">
        <f>Cronograma_Não_Deson!H62</f>
        <v>0.2</v>
      </c>
      <c r="I62" s="694">
        <f>Cronograma_Não_Deson!I62</f>
        <v>0.2</v>
      </c>
      <c r="J62" s="694">
        <f>Cronograma_Não_Deson!J62</f>
        <v>0.2</v>
      </c>
      <c r="K62" s="694">
        <f>Cronograma_Não_Deson!K62</f>
        <v>0.2</v>
      </c>
      <c r="L62" s="694">
        <f>Cronograma_Não_Deson!L62</f>
        <v>0</v>
      </c>
      <c r="M62" s="694">
        <f>Cronograma_Não_Deson!M62</f>
        <v>0</v>
      </c>
      <c r="N62" s="694">
        <f>Cronograma_Não_Deson!N62</f>
        <v>0</v>
      </c>
      <c r="O62" s="694">
        <f>Cronograma_Não_Deson!O62</f>
        <v>0</v>
      </c>
      <c r="P62" s="694">
        <f>Cronograma_Não_Deson!P62</f>
        <v>0</v>
      </c>
      <c r="Q62" s="694">
        <f>+Cronograma_Não_Deson!Q62</f>
        <v>0</v>
      </c>
      <c r="R62" s="694">
        <f>+Cronograma_Não_Deson!R62</f>
        <v>0</v>
      </c>
      <c r="S62" s="694">
        <f>+Cronograma_Não_Deson!S62</f>
        <v>0</v>
      </c>
      <c r="T62" s="694">
        <f>+Cronograma_Não_Deson!T62</f>
        <v>0</v>
      </c>
      <c r="U62" s="694">
        <f>+Cronograma_Não_Deson!U62</f>
        <v>0</v>
      </c>
      <c r="V62" s="694">
        <f>+Cronograma_Não_Deson!V62</f>
        <v>0</v>
      </c>
      <c r="W62" s="694">
        <f>+Cronograma_Não_Deson!W62</f>
        <v>0</v>
      </c>
      <c r="X62" s="120">
        <f>SUM(F62:W62)</f>
        <v>1</v>
      </c>
      <c r="Y62" s="585">
        <f>1-X62</f>
        <v>0</v>
      </c>
      <c r="AA62" s="710">
        <f>+COUNT(F62:W62)</f>
        <v>18</v>
      </c>
    </row>
    <row r="63" spans="1:27" s="119" customFormat="1" ht="18" customHeight="1" thickBot="1" x14ac:dyDescent="0.2">
      <c r="A63" s="2416"/>
      <c r="B63" s="2419"/>
      <c r="C63" s="1658">
        <f>ROUND(SUM(Orçamento_Deson!O720:O726)/240,1)</f>
        <v>1.3</v>
      </c>
      <c r="D63" s="1687" t="s">
        <v>141</v>
      </c>
      <c r="E63" s="1688">
        <f>D$88</f>
        <v>1</v>
      </c>
      <c r="F63" s="869">
        <f t="shared" ref="F63:W63" si="53">IF($D62=0,0,IF(F62=0,0,($E63*$D62*F62)+$AA$92))</f>
        <v>0</v>
      </c>
      <c r="G63" s="869">
        <f t="shared" si="53"/>
        <v>51986.193999999996</v>
      </c>
      <c r="H63" s="869">
        <f t="shared" si="53"/>
        <v>51986.193999999996</v>
      </c>
      <c r="I63" s="869">
        <f t="shared" si="53"/>
        <v>51986.193999999996</v>
      </c>
      <c r="J63" s="869">
        <f t="shared" si="53"/>
        <v>51986.193999999996</v>
      </c>
      <c r="K63" s="869">
        <f t="shared" si="53"/>
        <v>51986.193999999996</v>
      </c>
      <c r="L63" s="869">
        <f t="shared" si="53"/>
        <v>0</v>
      </c>
      <c r="M63" s="869">
        <f t="shared" si="53"/>
        <v>0</v>
      </c>
      <c r="N63" s="869">
        <f t="shared" si="53"/>
        <v>0</v>
      </c>
      <c r="O63" s="869">
        <f t="shared" si="53"/>
        <v>0</v>
      </c>
      <c r="P63" s="869">
        <f t="shared" si="53"/>
        <v>0</v>
      </c>
      <c r="Q63" s="869">
        <f t="shared" si="53"/>
        <v>0</v>
      </c>
      <c r="R63" s="869">
        <f t="shared" si="53"/>
        <v>0</v>
      </c>
      <c r="S63" s="869">
        <f t="shared" si="53"/>
        <v>0</v>
      </c>
      <c r="T63" s="869">
        <f t="shared" si="53"/>
        <v>0</v>
      </c>
      <c r="U63" s="869">
        <f t="shared" si="53"/>
        <v>0</v>
      </c>
      <c r="V63" s="869">
        <f t="shared" si="53"/>
        <v>0</v>
      </c>
      <c r="W63" s="869">
        <f t="shared" si="53"/>
        <v>0</v>
      </c>
      <c r="X63" s="121">
        <f>SUM(F63:W63)</f>
        <v>259930.96999999997</v>
      </c>
      <c r="Y63" s="118">
        <f>TRUNC(X63-D62*E63,2)</f>
        <v>0</v>
      </c>
      <c r="Z63" s="709">
        <f>+X63/D62</f>
        <v>1</v>
      </c>
    </row>
    <row r="64" spans="1:27" s="119" customFormat="1" ht="18" hidden="1" customHeight="1" thickBot="1" x14ac:dyDescent="0.2">
      <c r="A64" s="2417"/>
      <c r="B64" s="2420"/>
      <c r="C64" s="1657"/>
      <c r="D64" s="1653" t="s">
        <v>142</v>
      </c>
      <c r="E64" s="708">
        <f>1-E63</f>
        <v>0</v>
      </c>
      <c r="F64" s="868">
        <f>($D62*F62-F63)</f>
        <v>0</v>
      </c>
      <c r="G64" s="868">
        <f t="shared" ref="G64:W64" si="54">($D62*G62-G63)</f>
        <v>0</v>
      </c>
      <c r="H64" s="868">
        <f t="shared" si="54"/>
        <v>0</v>
      </c>
      <c r="I64" s="868">
        <f t="shared" si="54"/>
        <v>0</v>
      </c>
      <c r="J64" s="868">
        <f t="shared" si="54"/>
        <v>0</v>
      </c>
      <c r="K64" s="868">
        <f t="shared" si="54"/>
        <v>0</v>
      </c>
      <c r="L64" s="868">
        <f t="shared" si="54"/>
        <v>0</v>
      </c>
      <c r="M64" s="868">
        <f t="shared" si="54"/>
        <v>0</v>
      </c>
      <c r="N64" s="868">
        <f t="shared" si="54"/>
        <v>0</v>
      </c>
      <c r="O64" s="868">
        <f t="shared" si="54"/>
        <v>0</v>
      </c>
      <c r="P64" s="868">
        <f t="shared" si="54"/>
        <v>0</v>
      </c>
      <c r="Q64" s="868">
        <f t="shared" si="54"/>
        <v>0</v>
      </c>
      <c r="R64" s="868">
        <f t="shared" si="54"/>
        <v>0</v>
      </c>
      <c r="S64" s="868">
        <f t="shared" si="54"/>
        <v>0</v>
      </c>
      <c r="T64" s="868">
        <f t="shared" si="54"/>
        <v>0</v>
      </c>
      <c r="U64" s="868">
        <f t="shared" si="54"/>
        <v>0</v>
      </c>
      <c r="V64" s="868">
        <f t="shared" si="54"/>
        <v>0</v>
      </c>
      <c r="W64" s="868">
        <f t="shared" si="54"/>
        <v>0</v>
      </c>
      <c r="X64" s="122">
        <f>SUM(F64:W64)</f>
        <v>0</v>
      </c>
      <c r="Y64" s="118">
        <f>+D62-X63-X64</f>
        <v>0</v>
      </c>
    </row>
    <row r="65" spans="1:27" s="119" customFormat="1" ht="9.9499999999999993" customHeight="1" x14ac:dyDescent="0.15">
      <c r="A65" s="2415">
        <f ca="1">Orçamento_Deson!B27</f>
        <v>10</v>
      </c>
      <c r="B65" s="2418" t="str">
        <f>Orçamento_Deson!C27</f>
        <v>PASSEIO COM ACESSIBILIDADE</v>
      </c>
      <c r="C65" s="1656"/>
      <c r="D65" s="1652"/>
      <c r="E65" s="116"/>
      <c r="F65" s="870">
        <f t="shared" ref="F65:M65" si="55">F66</f>
        <v>0</v>
      </c>
      <c r="G65" s="870">
        <f t="shared" si="55"/>
        <v>0.2</v>
      </c>
      <c r="H65" s="870">
        <f t="shared" si="55"/>
        <v>0.2</v>
      </c>
      <c r="I65" s="870">
        <f t="shared" si="55"/>
        <v>0.2</v>
      </c>
      <c r="J65" s="870">
        <f t="shared" si="55"/>
        <v>0.2</v>
      </c>
      <c r="K65" s="870">
        <f t="shared" si="55"/>
        <v>0.2</v>
      </c>
      <c r="L65" s="870">
        <f t="shared" si="55"/>
        <v>0</v>
      </c>
      <c r="M65" s="870">
        <f t="shared" si="55"/>
        <v>0</v>
      </c>
      <c r="N65" s="870">
        <f>N66</f>
        <v>0</v>
      </c>
      <c r="O65" s="870">
        <f t="shared" ref="O65:W65" si="56">O66</f>
        <v>0</v>
      </c>
      <c r="P65" s="870">
        <f t="shared" si="56"/>
        <v>0</v>
      </c>
      <c r="Q65" s="870">
        <f t="shared" si="56"/>
        <v>0</v>
      </c>
      <c r="R65" s="870">
        <f t="shared" si="56"/>
        <v>0</v>
      </c>
      <c r="S65" s="870">
        <f t="shared" si="56"/>
        <v>0</v>
      </c>
      <c r="T65" s="870">
        <f t="shared" si="56"/>
        <v>0</v>
      </c>
      <c r="U65" s="870">
        <f t="shared" si="56"/>
        <v>0</v>
      </c>
      <c r="V65" s="870">
        <f t="shared" si="56"/>
        <v>0</v>
      </c>
      <c r="W65" s="870">
        <f t="shared" si="56"/>
        <v>0</v>
      </c>
      <c r="X65" s="117"/>
      <c r="Y65" s="707">
        <f>+D66-X67-X68</f>
        <v>-5.8207660913467407E-11</v>
      </c>
    </row>
    <row r="66" spans="1:27" s="119" customFormat="1" ht="18" customHeight="1" x14ac:dyDescent="0.15">
      <c r="A66" s="2416"/>
      <c r="B66" s="2419"/>
      <c r="C66" s="1656" t="str">
        <f>CONCATENATE(Orçamento_Deson!H27," ",Orçamento_Deson!I27)</f>
        <v>5339,87 M2</v>
      </c>
      <c r="D66" s="2427">
        <f>Orçamento_Deson!J27</f>
        <v>375957.84</v>
      </c>
      <c r="E66" s="2428"/>
      <c r="F66" s="694">
        <f>Cronograma_Não_Deson!F66</f>
        <v>0</v>
      </c>
      <c r="G66" s="694">
        <f>Cronograma_Não_Deson!G66</f>
        <v>0.2</v>
      </c>
      <c r="H66" s="694">
        <f>Cronograma_Não_Deson!H66</f>
        <v>0.2</v>
      </c>
      <c r="I66" s="694">
        <f>Cronograma_Não_Deson!I66</f>
        <v>0.2</v>
      </c>
      <c r="J66" s="694">
        <f>Cronograma_Não_Deson!J66</f>
        <v>0.2</v>
      </c>
      <c r="K66" s="694">
        <f>Cronograma_Não_Deson!K66</f>
        <v>0.2</v>
      </c>
      <c r="L66" s="694">
        <f>Cronograma_Não_Deson!L66</f>
        <v>0</v>
      </c>
      <c r="M66" s="694">
        <f>Cronograma_Não_Deson!M66</f>
        <v>0</v>
      </c>
      <c r="N66" s="694">
        <f>Cronograma_Não_Deson!N66</f>
        <v>0</v>
      </c>
      <c r="O66" s="694">
        <f>Cronograma_Não_Deson!O66</f>
        <v>0</v>
      </c>
      <c r="P66" s="694">
        <f>Cronograma_Não_Deson!P66</f>
        <v>0</v>
      </c>
      <c r="Q66" s="694">
        <f>+Cronograma_Não_Deson!Q66</f>
        <v>0</v>
      </c>
      <c r="R66" s="694">
        <f>+Cronograma_Não_Deson!R66</f>
        <v>0</v>
      </c>
      <c r="S66" s="694">
        <f>+Cronograma_Não_Deson!S66</f>
        <v>0</v>
      </c>
      <c r="T66" s="694">
        <f>+Cronograma_Não_Deson!T66</f>
        <v>0</v>
      </c>
      <c r="U66" s="694">
        <f>+Cronograma_Não_Deson!U66</f>
        <v>0</v>
      </c>
      <c r="V66" s="694">
        <f>+Cronograma_Não_Deson!V66</f>
        <v>0</v>
      </c>
      <c r="W66" s="694">
        <f>+Cronograma_Não_Deson!W66</f>
        <v>0</v>
      </c>
      <c r="X66" s="120">
        <f>SUM(F66:W66)</f>
        <v>1</v>
      </c>
      <c r="Y66" s="585">
        <f>1-X66</f>
        <v>0</v>
      </c>
      <c r="AA66" s="710">
        <f>+COUNT(F66:W66)</f>
        <v>18</v>
      </c>
    </row>
    <row r="67" spans="1:27" s="119" customFormat="1" ht="18" customHeight="1" thickBot="1" x14ac:dyDescent="0.2">
      <c r="A67" s="2416"/>
      <c r="B67" s="2419"/>
      <c r="C67" s="1658" t="e">
        <f>Orçamento_Deson!N27</f>
        <v>#DIV/0!</v>
      </c>
      <c r="D67" s="1687" t="s">
        <v>141</v>
      </c>
      <c r="E67" s="1688">
        <f>D$88</f>
        <v>1</v>
      </c>
      <c r="F67" s="869">
        <f t="shared" ref="F67:W67" si="57">IF($D66=0,0,IF(F66=0,0,($E67*$D66*F66)+$AA$92))</f>
        <v>0</v>
      </c>
      <c r="G67" s="869">
        <f t="shared" si="57"/>
        <v>75191.568000000014</v>
      </c>
      <c r="H67" s="869">
        <f t="shared" si="57"/>
        <v>75191.568000000014</v>
      </c>
      <c r="I67" s="869">
        <f t="shared" si="57"/>
        <v>75191.568000000014</v>
      </c>
      <c r="J67" s="869">
        <f t="shared" si="57"/>
        <v>75191.568000000014</v>
      </c>
      <c r="K67" s="869">
        <f t="shared" si="57"/>
        <v>75191.568000000014</v>
      </c>
      <c r="L67" s="869">
        <f t="shared" si="57"/>
        <v>0</v>
      </c>
      <c r="M67" s="869">
        <f t="shared" si="57"/>
        <v>0</v>
      </c>
      <c r="N67" s="869">
        <f t="shared" si="57"/>
        <v>0</v>
      </c>
      <c r="O67" s="869">
        <f t="shared" si="57"/>
        <v>0</v>
      </c>
      <c r="P67" s="869">
        <f t="shared" si="57"/>
        <v>0</v>
      </c>
      <c r="Q67" s="869">
        <f t="shared" si="57"/>
        <v>0</v>
      </c>
      <c r="R67" s="869">
        <f t="shared" si="57"/>
        <v>0</v>
      </c>
      <c r="S67" s="869">
        <f t="shared" si="57"/>
        <v>0</v>
      </c>
      <c r="T67" s="869">
        <f t="shared" si="57"/>
        <v>0</v>
      </c>
      <c r="U67" s="869">
        <f t="shared" si="57"/>
        <v>0</v>
      </c>
      <c r="V67" s="869">
        <f t="shared" si="57"/>
        <v>0</v>
      </c>
      <c r="W67" s="869">
        <f t="shared" si="57"/>
        <v>0</v>
      </c>
      <c r="X67" s="121">
        <f>SUM(F67:W67)</f>
        <v>375957.84000000008</v>
      </c>
      <c r="Y67" s="118">
        <f>TRUNC(X67-D66*E67,2)</f>
        <v>0</v>
      </c>
      <c r="Z67" s="709">
        <f>+X67/D66</f>
        <v>1.0000000000000002</v>
      </c>
    </row>
    <row r="68" spans="1:27" s="119" customFormat="1" ht="18" hidden="1" customHeight="1" thickBot="1" x14ac:dyDescent="0.2">
      <c r="A68" s="2417"/>
      <c r="B68" s="2420"/>
      <c r="C68" s="1657"/>
      <c r="D68" s="1653" t="s">
        <v>142</v>
      </c>
      <c r="E68" s="708">
        <f>1-E67</f>
        <v>0</v>
      </c>
      <c r="F68" s="868">
        <f>($D66*F66-F67)</f>
        <v>0</v>
      </c>
      <c r="G68" s="868">
        <f t="shared" ref="G68:W68" si="58">($D66*G66-G67)</f>
        <v>0</v>
      </c>
      <c r="H68" s="868">
        <f t="shared" si="58"/>
        <v>0</v>
      </c>
      <c r="I68" s="868">
        <f t="shared" si="58"/>
        <v>0</v>
      </c>
      <c r="J68" s="868">
        <f t="shared" si="58"/>
        <v>0</v>
      </c>
      <c r="K68" s="868">
        <f t="shared" si="58"/>
        <v>0</v>
      </c>
      <c r="L68" s="868">
        <f t="shared" si="58"/>
        <v>0</v>
      </c>
      <c r="M68" s="868">
        <f t="shared" si="58"/>
        <v>0</v>
      </c>
      <c r="N68" s="868">
        <f t="shared" si="58"/>
        <v>0</v>
      </c>
      <c r="O68" s="868">
        <f t="shared" si="58"/>
        <v>0</v>
      </c>
      <c r="P68" s="868">
        <f t="shared" si="58"/>
        <v>0</v>
      </c>
      <c r="Q68" s="868">
        <f t="shared" si="58"/>
        <v>0</v>
      </c>
      <c r="R68" s="868">
        <f t="shared" si="58"/>
        <v>0</v>
      </c>
      <c r="S68" s="868">
        <f t="shared" si="58"/>
        <v>0</v>
      </c>
      <c r="T68" s="868">
        <f t="shared" si="58"/>
        <v>0</v>
      </c>
      <c r="U68" s="868">
        <f t="shared" si="58"/>
        <v>0</v>
      </c>
      <c r="V68" s="868">
        <f t="shared" si="58"/>
        <v>0</v>
      </c>
      <c r="W68" s="868">
        <f t="shared" si="58"/>
        <v>0</v>
      </c>
      <c r="X68" s="122">
        <f>SUM(F68:W68)</f>
        <v>0</v>
      </c>
      <c r="Y68" s="118">
        <f>+D66-X67-X68</f>
        <v>-5.8207660913467407E-11</v>
      </c>
    </row>
    <row r="69" spans="1:27" s="119" customFormat="1" ht="9.9499999999999993" hidden="1" customHeight="1" x14ac:dyDescent="0.15">
      <c r="A69" s="2415">
        <f ca="1">Orçamento_Deson!B28</f>
        <v>10</v>
      </c>
      <c r="B69" s="2418" t="str">
        <f>Orçamento_Deson!C28</f>
        <v>IMPLANTAÇÃO / ADEQUAÇÃO GEOMÉTRICA DE CICLOVIA</v>
      </c>
      <c r="C69" s="1656"/>
      <c r="D69" s="1652"/>
      <c r="E69" s="116"/>
      <c r="F69" s="870">
        <f t="shared" ref="F69:M69" si="59">F70</f>
        <v>0</v>
      </c>
      <c r="G69" s="870">
        <f t="shared" si="59"/>
        <v>0</v>
      </c>
      <c r="H69" s="870">
        <f t="shared" si="59"/>
        <v>0</v>
      </c>
      <c r="I69" s="870">
        <f t="shared" si="59"/>
        <v>0</v>
      </c>
      <c r="J69" s="870">
        <f t="shared" si="59"/>
        <v>0</v>
      </c>
      <c r="K69" s="870">
        <f t="shared" si="59"/>
        <v>0</v>
      </c>
      <c r="L69" s="870">
        <f t="shared" si="59"/>
        <v>0</v>
      </c>
      <c r="M69" s="870">
        <f t="shared" si="59"/>
        <v>0</v>
      </c>
      <c r="N69" s="870">
        <f>N70</f>
        <v>0</v>
      </c>
      <c r="O69" s="870">
        <f t="shared" ref="O69:W69" si="60">O70</f>
        <v>0</v>
      </c>
      <c r="P69" s="870">
        <f t="shared" si="60"/>
        <v>0</v>
      </c>
      <c r="Q69" s="870">
        <f t="shared" si="60"/>
        <v>0</v>
      </c>
      <c r="R69" s="870">
        <f t="shared" si="60"/>
        <v>0</v>
      </c>
      <c r="S69" s="870">
        <f t="shared" si="60"/>
        <v>0</v>
      </c>
      <c r="T69" s="870">
        <f t="shared" si="60"/>
        <v>0</v>
      </c>
      <c r="U69" s="870">
        <f t="shared" si="60"/>
        <v>0</v>
      </c>
      <c r="V69" s="870">
        <f t="shared" si="60"/>
        <v>0</v>
      </c>
      <c r="W69" s="870">
        <f t="shared" si="60"/>
        <v>0</v>
      </c>
      <c r="X69" s="117"/>
      <c r="Y69" s="707">
        <f>+D70-X71-X72</f>
        <v>0</v>
      </c>
    </row>
    <row r="70" spans="1:27" s="119" customFormat="1" ht="18" hidden="1" customHeight="1" x14ac:dyDescent="0.15">
      <c r="A70" s="2416"/>
      <c r="B70" s="2419"/>
      <c r="C70" s="1656" t="str">
        <f>CONCATENATE(Orçamento_Deson!H28," ",Orçamento_Deson!I28)</f>
        <v>0 M</v>
      </c>
      <c r="D70" s="2427">
        <f>Orçamento_Deson!J28</f>
        <v>0</v>
      </c>
      <c r="E70" s="2428"/>
      <c r="F70" s="694">
        <f>Cronograma_Não_Deson!F70</f>
        <v>0</v>
      </c>
      <c r="G70" s="694">
        <f>Cronograma_Não_Deson!G70</f>
        <v>0</v>
      </c>
      <c r="H70" s="694">
        <f>Cronograma_Não_Deson!H70</f>
        <v>0</v>
      </c>
      <c r="I70" s="694">
        <f>Cronograma_Não_Deson!I70</f>
        <v>0</v>
      </c>
      <c r="J70" s="694">
        <f>Cronograma_Não_Deson!J70</f>
        <v>0</v>
      </c>
      <c r="K70" s="694">
        <f>Cronograma_Não_Deson!K70</f>
        <v>0</v>
      </c>
      <c r="L70" s="694">
        <f>Cronograma_Não_Deson!L70</f>
        <v>0</v>
      </c>
      <c r="M70" s="694">
        <f>Cronograma_Não_Deson!M70</f>
        <v>0</v>
      </c>
      <c r="N70" s="694">
        <f>Cronograma_Não_Deson!N70</f>
        <v>0</v>
      </c>
      <c r="O70" s="694">
        <f>Cronograma_Não_Deson!O70</f>
        <v>0</v>
      </c>
      <c r="P70" s="694">
        <f>Cronograma_Não_Deson!P70</f>
        <v>0</v>
      </c>
      <c r="Q70" s="694">
        <f>+Cronograma_Não_Deson!Q70</f>
        <v>0</v>
      </c>
      <c r="R70" s="694">
        <f>+Cronograma_Não_Deson!R70</f>
        <v>0</v>
      </c>
      <c r="S70" s="694">
        <f>+Cronograma_Não_Deson!S70</f>
        <v>0</v>
      </c>
      <c r="T70" s="694">
        <f>+Cronograma_Não_Deson!T70</f>
        <v>0</v>
      </c>
      <c r="U70" s="694">
        <f>+Cronograma_Não_Deson!U70</f>
        <v>0</v>
      </c>
      <c r="V70" s="694">
        <f>+Cronograma_Não_Deson!V70</f>
        <v>0</v>
      </c>
      <c r="W70" s="694">
        <f>+Cronograma_Não_Deson!W70</f>
        <v>0</v>
      </c>
      <c r="X70" s="120">
        <f>SUM(F70:W70)</f>
        <v>0</v>
      </c>
      <c r="Y70" s="585">
        <f>1-X70</f>
        <v>1</v>
      </c>
      <c r="AA70" s="710">
        <f>+COUNT(F70:W70)</f>
        <v>18</v>
      </c>
    </row>
    <row r="71" spans="1:27" s="119" customFormat="1" ht="18" hidden="1" customHeight="1" x14ac:dyDescent="0.15">
      <c r="A71" s="2416"/>
      <c r="B71" s="2419"/>
      <c r="C71" s="1658" t="e">
        <f>Orçamento_Deson!N28</f>
        <v>#VALUE!</v>
      </c>
      <c r="D71" s="1687" t="s">
        <v>141</v>
      </c>
      <c r="E71" s="1688">
        <f>D$88</f>
        <v>1</v>
      </c>
      <c r="F71" s="869">
        <f>IF($D70=0,0,IF(F70=0,0,($E71*$D70*F70)+$AA$92))</f>
        <v>0</v>
      </c>
      <c r="G71" s="869">
        <f t="shared" ref="G71:W71" si="61">IF($D70=0,0,IF(G70=0,0,($E71*$D70*G70)+$AA$92))</f>
        <v>0</v>
      </c>
      <c r="H71" s="869">
        <f t="shared" si="61"/>
        <v>0</v>
      </c>
      <c r="I71" s="869">
        <f t="shared" si="61"/>
        <v>0</v>
      </c>
      <c r="J71" s="869">
        <f t="shared" si="61"/>
        <v>0</v>
      </c>
      <c r="K71" s="869">
        <f t="shared" si="61"/>
        <v>0</v>
      </c>
      <c r="L71" s="869">
        <f t="shared" si="61"/>
        <v>0</v>
      </c>
      <c r="M71" s="869">
        <f t="shared" si="61"/>
        <v>0</v>
      </c>
      <c r="N71" s="869">
        <f t="shared" si="61"/>
        <v>0</v>
      </c>
      <c r="O71" s="869">
        <f t="shared" si="61"/>
        <v>0</v>
      </c>
      <c r="P71" s="869">
        <f t="shared" si="61"/>
        <v>0</v>
      </c>
      <c r="Q71" s="869">
        <f t="shared" si="61"/>
        <v>0</v>
      </c>
      <c r="R71" s="869">
        <f t="shared" si="61"/>
        <v>0</v>
      </c>
      <c r="S71" s="869">
        <f t="shared" si="61"/>
        <v>0</v>
      </c>
      <c r="T71" s="869">
        <f t="shared" si="61"/>
        <v>0</v>
      </c>
      <c r="U71" s="869">
        <f t="shared" si="61"/>
        <v>0</v>
      </c>
      <c r="V71" s="869">
        <f t="shared" si="61"/>
        <v>0</v>
      </c>
      <c r="W71" s="869">
        <f t="shared" si="61"/>
        <v>0</v>
      </c>
      <c r="X71" s="121">
        <f>SUM(F71:W71)</f>
        <v>0</v>
      </c>
      <c r="Y71" s="118">
        <f>+X71-D70*E71</f>
        <v>0</v>
      </c>
      <c r="Z71" s="709" t="e">
        <f>+X71/D70</f>
        <v>#DIV/0!</v>
      </c>
    </row>
    <row r="72" spans="1:27" s="119" customFormat="1" ht="18" hidden="1" customHeight="1" thickBot="1" x14ac:dyDescent="0.2">
      <c r="A72" s="2417"/>
      <c r="B72" s="2420"/>
      <c r="C72" s="1657"/>
      <c r="D72" s="1653" t="s">
        <v>142</v>
      </c>
      <c r="E72" s="708">
        <f>1-E71</f>
        <v>0</v>
      </c>
      <c r="F72" s="868">
        <f>($D70*F70-F71)</f>
        <v>0</v>
      </c>
      <c r="G72" s="868">
        <f t="shared" ref="G72:W72" si="62">($D70*G70-G71)</f>
        <v>0</v>
      </c>
      <c r="H72" s="868">
        <f t="shared" si="62"/>
        <v>0</v>
      </c>
      <c r="I72" s="868">
        <f t="shared" si="62"/>
        <v>0</v>
      </c>
      <c r="J72" s="868">
        <f t="shared" si="62"/>
        <v>0</v>
      </c>
      <c r="K72" s="868">
        <f t="shared" si="62"/>
        <v>0</v>
      </c>
      <c r="L72" s="868">
        <f t="shared" si="62"/>
        <v>0</v>
      </c>
      <c r="M72" s="868">
        <f t="shared" si="62"/>
        <v>0</v>
      </c>
      <c r="N72" s="868">
        <f t="shared" si="62"/>
        <v>0</v>
      </c>
      <c r="O72" s="868">
        <f t="shared" si="62"/>
        <v>0</v>
      </c>
      <c r="P72" s="868">
        <f t="shared" si="62"/>
        <v>0</v>
      </c>
      <c r="Q72" s="868">
        <f t="shared" si="62"/>
        <v>0</v>
      </c>
      <c r="R72" s="868">
        <f t="shared" si="62"/>
        <v>0</v>
      </c>
      <c r="S72" s="868">
        <f t="shared" si="62"/>
        <v>0</v>
      </c>
      <c r="T72" s="868">
        <f t="shared" si="62"/>
        <v>0</v>
      </c>
      <c r="U72" s="868">
        <f t="shared" si="62"/>
        <v>0</v>
      </c>
      <c r="V72" s="868">
        <f t="shared" si="62"/>
        <v>0</v>
      </c>
      <c r="W72" s="868">
        <f t="shared" si="62"/>
        <v>0</v>
      </c>
      <c r="X72" s="122">
        <f>SUM(F72:W72)</f>
        <v>0</v>
      </c>
      <c r="Y72" s="118">
        <f>+X72-E72*D70</f>
        <v>0</v>
      </c>
    </row>
    <row r="73" spans="1:27" s="119" customFormat="1" ht="9.9499999999999993" customHeight="1" x14ac:dyDescent="0.15">
      <c r="A73" s="2415">
        <f ca="1">Orçamento_Deson!B29</f>
        <v>11</v>
      </c>
      <c r="B73" s="2418" t="str">
        <f>Orçamento_Deson!C29</f>
        <v>SINALIZAÇÃO VIÁRIA DEFINITIVA HORIZONTAL E VERTICAL E DISPOSITIVOS DE SEGURANÇA</v>
      </c>
      <c r="C73" s="1656"/>
      <c r="D73" s="1652"/>
      <c r="E73" s="116"/>
      <c r="F73" s="870">
        <f t="shared" ref="F73:M73" si="63">F74</f>
        <v>0</v>
      </c>
      <c r="G73" s="870">
        <f t="shared" si="63"/>
        <v>0</v>
      </c>
      <c r="H73" s="870">
        <f t="shared" si="63"/>
        <v>0</v>
      </c>
      <c r="I73" s="870">
        <f t="shared" si="63"/>
        <v>0</v>
      </c>
      <c r="J73" s="870">
        <f t="shared" si="63"/>
        <v>0.5</v>
      </c>
      <c r="K73" s="870">
        <f t="shared" si="63"/>
        <v>0.5</v>
      </c>
      <c r="L73" s="870">
        <f t="shared" si="63"/>
        <v>0</v>
      </c>
      <c r="M73" s="870">
        <f t="shared" si="63"/>
        <v>0</v>
      </c>
      <c r="N73" s="870">
        <f>N74</f>
        <v>0</v>
      </c>
      <c r="O73" s="870">
        <f t="shared" ref="O73:W73" si="64">O74</f>
        <v>0</v>
      </c>
      <c r="P73" s="870">
        <f t="shared" si="64"/>
        <v>0</v>
      </c>
      <c r="Q73" s="870">
        <f t="shared" si="64"/>
        <v>0</v>
      </c>
      <c r="R73" s="870">
        <f t="shared" si="64"/>
        <v>0</v>
      </c>
      <c r="S73" s="870">
        <f t="shared" si="64"/>
        <v>0</v>
      </c>
      <c r="T73" s="870">
        <f t="shared" si="64"/>
        <v>0</v>
      </c>
      <c r="U73" s="870">
        <f t="shared" si="64"/>
        <v>0</v>
      </c>
      <c r="V73" s="870">
        <f t="shared" si="64"/>
        <v>0</v>
      </c>
      <c r="W73" s="870">
        <f t="shared" si="64"/>
        <v>0</v>
      </c>
      <c r="X73" s="117"/>
      <c r="Y73" s="707">
        <f>+D74-X75-X76</f>
        <v>0</v>
      </c>
    </row>
    <row r="74" spans="1:27" s="119" customFormat="1" ht="18" customHeight="1" x14ac:dyDescent="0.15">
      <c r="A74" s="2416"/>
      <c r="B74" s="2419"/>
      <c r="C74" s="1656"/>
      <c r="D74" s="2427">
        <f>Orçamento_Deson!J29</f>
        <v>54295.62</v>
      </c>
      <c r="E74" s="2428"/>
      <c r="F74" s="694">
        <f>Cronograma_Não_Deson!F74</f>
        <v>0</v>
      </c>
      <c r="G74" s="694">
        <f>Cronograma_Não_Deson!G74</f>
        <v>0</v>
      </c>
      <c r="H74" s="694">
        <f>Cronograma_Não_Deson!H74</f>
        <v>0</v>
      </c>
      <c r="I74" s="694">
        <f>Cronograma_Não_Deson!I74</f>
        <v>0</v>
      </c>
      <c r="J74" s="694">
        <f>Cronograma_Não_Deson!J74</f>
        <v>0.5</v>
      </c>
      <c r="K74" s="694">
        <f>Cronograma_Não_Deson!K74</f>
        <v>0.5</v>
      </c>
      <c r="L74" s="694">
        <f>Cronograma_Não_Deson!L74</f>
        <v>0</v>
      </c>
      <c r="M74" s="694">
        <f>Cronograma_Não_Deson!M74</f>
        <v>0</v>
      </c>
      <c r="N74" s="694">
        <f>Cronograma_Não_Deson!N74</f>
        <v>0</v>
      </c>
      <c r="O74" s="694">
        <f>Cronograma_Não_Deson!O74</f>
        <v>0</v>
      </c>
      <c r="P74" s="694">
        <f>Cronograma_Não_Deson!P74</f>
        <v>0</v>
      </c>
      <c r="Q74" s="694">
        <f>+Cronograma_Não_Deson!Q74</f>
        <v>0</v>
      </c>
      <c r="R74" s="694">
        <f>+Cronograma_Não_Deson!R74</f>
        <v>0</v>
      </c>
      <c r="S74" s="694">
        <f>+Cronograma_Não_Deson!S74</f>
        <v>0</v>
      </c>
      <c r="T74" s="694">
        <f>+Cronograma_Não_Deson!T74</f>
        <v>0</v>
      </c>
      <c r="U74" s="694">
        <f>+Cronograma_Não_Deson!U74</f>
        <v>0</v>
      </c>
      <c r="V74" s="694">
        <f>+Cronograma_Não_Deson!V74</f>
        <v>0</v>
      </c>
      <c r="W74" s="694">
        <f>+Cronograma_Não_Deson!W74</f>
        <v>0</v>
      </c>
      <c r="X74" s="120">
        <f>SUM(F74:W74)</f>
        <v>1</v>
      </c>
      <c r="Y74" s="585">
        <f>1-X74</f>
        <v>0</v>
      </c>
      <c r="AA74" s="710">
        <f>+COUNT(F74:W74)</f>
        <v>18</v>
      </c>
    </row>
    <row r="75" spans="1:27" s="119" customFormat="1" ht="18" customHeight="1" thickBot="1" x14ac:dyDescent="0.2">
      <c r="A75" s="2416"/>
      <c r="B75" s="2419"/>
      <c r="C75" s="1656"/>
      <c r="D75" s="1687" t="s">
        <v>141</v>
      </c>
      <c r="E75" s="1688">
        <f>D$88</f>
        <v>1</v>
      </c>
      <c r="F75" s="869">
        <f>IF($D74=0,0,IF(F74=0,0,($E75*$D74*F74)+$AA$92))</f>
        <v>0</v>
      </c>
      <c r="G75" s="869">
        <f t="shared" ref="G75:W75" si="65">IF($D74=0,0,IF(G74=0,0,($E75*$D74*G74)+$AA$92))</f>
        <v>0</v>
      </c>
      <c r="H75" s="869">
        <f t="shared" si="65"/>
        <v>0</v>
      </c>
      <c r="I75" s="869">
        <f t="shared" si="65"/>
        <v>0</v>
      </c>
      <c r="J75" s="869">
        <f t="shared" si="65"/>
        <v>27147.81</v>
      </c>
      <c r="K75" s="869">
        <f t="shared" si="65"/>
        <v>27147.81</v>
      </c>
      <c r="L75" s="869">
        <f t="shared" si="65"/>
        <v>0</v>
      </c>
      <c r="M75" s="869">
        <f t="shared" si="65"/>
        <v>0</v>
      </c>
      <c r="N75" s="869">
        <f t="shared" si="65"/>
        <v>0</v>
      </c>
      <c r="O75" s="869">
        <f t="shared" si="65"/>
        <v>0</v>
      </c>
      <c r="P75" s="869">
        <f t="shared" si="65"/>
        <v>0</v>
      </c>
      <c r="Q75" s="869">
        <f t="shared" si="65"/>
        <v>0</v>
      </c>
      <c r="R75" s="869">
        <f t="shared" si="65"/>
        <v>0</v>
      </c>
      <c r="S75" s="869">
        <f t="shared" si="65"/>
        <v>0</v>
      </c>
      <c r="T75" s="869">
        <f t="shared" si="65"/>
        <v>0</v>
      </c>
      <c r="U75" s="869">
        <f t="shared" si="65"/>
        <v>0</v>
      </c>
      <c r="V75" s="869">
        <f t="shared" si="65"/>
        <v>0</v>
      </c>
      <c r="W75" s="869">
        <f t="shared" si="65"/>
        <v>0</v>
      </c>
      <c r="X75" s="121">
        <f>SUM(F75:W75)</f>
        <v>54295.62</v>
      </c>
      <c r="Y75" s="118">
        <f>+X75-D74*E75</f>
        <v>0</v>
      </c>
      <c r="Z75" s="709">
        <f>+X75/D74</f>
        <v>1</v>
      </c>
    </row>
    <row r="76" spans="1:27" s="119" customFormat="1" ht="18" hidden="1" customHeight="1" thickBot="1" x14ac:dyDescent="0.2">
      <c r="A76" s="2417"/>
      <c r="B76" s="2420"/>
      <c r="C76" s="1657"/>
      <c r="D76" s="1653" t="s">
        <v>142</v>
      </c>
      <c r="E76" s="708">
        <f>1-E75</f>
        <v>0</v>
      </c>
      <c r="F76" s="868">
        <f>($D74*F74-F75)</f>
        <v>0</v>
      </c>
      <c r="G76" s="868">
        <f t="shared" ref="G76:W76" si="66">($D74*G74-G75)</f>
        <v>0</v>
      </c>
      <c r="H76" s="868">
        <f t="shared" si="66"/>
        <v>0</v>
      </c>
      <c r="I76" s="868">
        <f t="shared" si="66"/>
        <v>0</v>
      </c>
      <c r="J76" s="868">
        <f t="shared" si="66"/>
        <v>0</v>
      </c>
      <c r="K76" s="868">
        <f t="shared" si="66"/>
        <v>0</v>
      </c>
      <c r="L76" s="868">
        <f t="shared" si="66"/>
        <v>0</v>
      </c>
      <c r="M76" s="868">
        <f t="shared" si="66"/>
        <v>0</v>
      </c>
      <c r="N76" s="868">
        <f t="shared" si="66"/>
        <v>0</v>
      </c>
      <c r="O76" s="868">
        <f t="shared" si="66"/>
        <v>0</v>
      </c>
      <c r="P76" s="868">
        <f t="shared" si="66"/>
        <v>0</v>
      </c>
      <c r="Q76" s="868">
        <f t="shared" si="66"/>
        <v>0</v>
      </c>
      <c r="R76" s="868">
        <f t="shared" si="66"/>
        <v>0</v>
      </c>
      <c r="S76" s="868">
        <f t="shared" si="66"/>
        <v>0</v>
      </c>
      <c r="T76" s="868">
        <f t="shared" si="66"/>
        <v>0</v>
      </c>
      <c r="U76" s="868">
        <f t="shared" si="66"/>
        <v>0</v>
      </c>
      <c r="V76" s="868">
        <f t="shared" si="66"/>
        <v>0</v>
      </c>
      <c r="W76" s="868">
        <f t="shared" si="66"/>
        <v>0</v>
      </c>
      <c r="X76" s="122">
        <f>SUM(F76:W76)</f>
        <v>0</v>
      </c>
      <c r="Y76" s="118">
        <f>+X76-E76*D74</f>
        <v>0</v>
      </c>
    </row>
    <row r="77" spans="1:27" s="119" customFormat="1" ht="9.9499999999999993" customHeight="1" x14ac:dyDescent="0.15">
      <c r="A77" s="2415">
        <f ca="1">Orçamento_Deson!B30</f>
        <v>12</v>
      </c>
      <c r="B77" s="2418" t="str">
        <f>Orçamento_Deson!C30</f>
        <v>ADMINISTRAÇÃO LOCAL</v>
      </c>
      <c r="C77" s="1656"/>
      <c r="D77" s="1652"/>
      <c r="E77" s="116"/>
      <c r="F77" s="870">
        <f t="shared" ref="F77:M77" si="67">F78</f>
        <v>0.122</v>
      </c>
      <c r="G77" s="870">
        <f t="shared" si="67"/>
        <v>0.2</v>
      </c>
      <c r="H77" s="870">
        <f t="shared" si="67"/>
        <v>0.19500000000000001</v>
      </c>
      <c r="I77" s="870">
        <f t="shared" si="67"/>
        <v>0.182</v>
      </c>
      <c r="J77" s="870">
        <f t="shared" si="67"/>
        <v>0.17899999999999999</v>
      </c>
      <c r="K77" s="870">
        <f t="shared" si="67"/>
        <v>0.122</v>
      </c>
      <c r="L77" s="870">
        <f t="shared" si="67"/>
        <v>0</v>
      </c>
      <c r="M77" s="870">
        <f t="shared" si="67"/>
        <v>0</v>
      </c>
      <c r="N77" s="870">
        <f>N78</f>
        <v>0</v>
      </c>
      <c r="O77" s="870">
        <f t="shared" ref="O77:W77" si="68">O78</f>
        <v>0</v>
      </c>
      <c r="P77" s="870">
        <f t="shared" si="68"/>
        <v>0</v>
      </c>
      <c r="Q77" s="870">
        <f t="shared" si="68"/>
        <v>0</v>
      </c>
      <c r="R77" s="870">
        <f t="shared" si="68"/>
        <v>0</v>
      </c>
      <c r="S77" s="870">
        <f t="shared" si="68"/>
        <v>0</v>
      </c>
      <c r="T77" s="870">
        <f t="shared" si="68"/>
        <v>0</v>
      </c>
      <c r="U77" s="870">
        <f t="shared" si="68"/>
        <v>0</v>
      </c>
      <c r="V77" s="870">
        <f t="shared" si="68"/>
        <v>0</v>
      </c>
      <c r="W77" s="870">
        <f t="shared" si="68"/>
        <v>0</v>
      </c>
      <c r="X77" s="117"/>
      <c r="Y77" s="707">
        <f>+D78-X79-X80</f>
        <v>0</v>
      </c>
    </row>
    <row r="78" spans="1:27" s="119" customFormat="1" ht="18" customHeight="1" x14ac:dyDescent="0.15">
      <c r="A78" s="2416"/>
      <c r="B78" s="2419"/>
      <c r="C78" s="1656" t="str">
        <f>CONCATENATE(Orçamento_Deson!H30," ",Orçamento_Deson!I30)</f>
        <v>6 MÊS</v>
      </c>
      <c r="D78" s="2427">
        <f>Orçamento_Deson!J30</f>
        <v>176026.6</v>
      </c>
      <c r="E78" s="2428"/>
      <c r="F78" s="694">
        <f>Cronograma_Não_Deson!F78</f>
        <v>0.122</v>
      </c>
      <c r="G78" s="694">
        <f>Cronograma_Não_Deson!G78</f>
        <v>0.2</v>
      </c>
      <c r="H78" s="694">
        <f>Cronograma_Não_Deson!H78</f>
        <v>0.19500000000000001</v>
      </c>
      <c r="I78" s="694">
        <f>Cronograma_Não_Deson!I78</f>
        <v>0.182</v>
      </c>
      <c r="J78" s="694">
        <f>Cronograma_Não_Deson!J78</f>
        <v>0.17899999999999999</v>
      </c>
      <c r="K78" s="694">
        <f>Cronograma_Não_Deson!K78</f>
        <v>0.122</v>
      </c>
      <c r="L78" s="694">
        <f>Cronograma_Não_Deson!L78</f>
        <v>0</v>
      </c>
      <c r="M78" s="694">
        <f>Cronograma_Não_Deson!M78</f>
        <v>0</v>
      </c>
      <c r="N78" s="694">
        <f>Cronograma_Não_Deson!N78</f>
        <v>0</v>
      </c>
      <c r="O78" s="694">
        <f>Cronograma_Não_Deson!O78</f>
        <v>0</v>
      </c>
      <c r="P78" s="694">
        <f>Cronograma_Não_Deson!P78</f>
        <v>0</v>
      </c>
      <c r="Q78" s="694">
        <f>+Cronograma_Não_Deson!Q78</f>
        <v>0</v>
      </c>
      <c r="R78" s="694">
        <f>+Cronograma_Não_Deson!R78</f>
        <v>0</v>
      </c>
      <c r="S78" s="694">
        <f>+Cronograma_Não_Deson!S78</f>
        <v>0</v>
      </c>
      <c r="T78" s="694">
        <f>+Cronograma_Não_Deson!T78</f>
        <v>0</v>
      </c>
      <c r="U78" s="694">
        <f>+Cronograma_Não_Deson!U78</f>
        <v>0</v>
      </c>
      <c r="V78" s="694">
        <f>+Cronograma_Não_Deson!V78</f>
        <v>0</v>
      </c>
      <c r="W78" s="694">
        <f>+Cronograma_Não_Deson!W78</f>
        <v>0</v>
      </c>
      <c r="X78" s="120">
        <f>SUM(F78:W78)</f>
        <v>1</v>
      </c>
      <c r="Y78" s="585">
        <f>1-X78</f>
        <v>0</v>
      </c>
      <c r="AA78" s="710">
        <f>+COUNT(F78:W78)</f>
        <v>18</v>
      </c>
    </row>
    <row r="79" spans="1:27" s="119" customFormat="1" ht="18" customHeight="1" thickBot="1" x14ac:dyDescent="0.2">
      <c r="A79" s="2416"/>
      <c r="B79" s="2419"/>
      <c r="C79" s="1656"/>
      <c r="D79" s="1687" t="s">
        <v>141</v>
      </c>
      <c r="E79" s="1688">
        <f>D$88</f>
        <v>1</v>
      </c>
      <c r="F79" s="869">
        <f>IF($D78=0,0,IF(F78=0,0,($E79*$D78*F78)+$AA$92))</f>
        <v>21475.245200000001</v>
      </c>
      <c r="G79" s="869">
        <f t="shared" ref="G79:W79" si="69">IF($D78=0,0,IF(G78=0,0,($E79*$D78*G78)+$AA$92))</f>
        <v>35205.32</v>
      </c>
      <c r="H79" s="869">
        <f t="shared" si="69"/>
        <v>34325.187000000005</v>
      </c>
      <c r="I79" s="869">
        <f t="shared" si="69"/>
        <v>32036.841199999999</v>
      </c>
      <c r="J79" s="869">
        <f t="shared" si="69"/>
        <v>31508.761399999999</v>
      </c>
      <c r="K79" s="869">
        <f t="shared" si="69"/>
        <v>21475.245200000001</v>
      </c>
      <c r="L79" s="869">
        <f t="shared" si="69"/>
        <v>0</v>
      </c>
      <c r="M79" s="869">
        <f t="shared" si="69"/>
        <v>0</v>
      </c>
      <c r="N79" s="869">
        <f t="shared" si="69"/>
        <v>0</v>
      </c>
      <c r="O79" s="869">
        <f t="shared" si="69"/>
        <v>0</v>
      </c>
      <c r="P79" s="869">
        <f t="shared" si="69"/>
        <v>0</v>
      </c>
      <c r="Q79" s="869">
        <f t="shared" si="69"/>
        <v>0</v>
      </c>
      <c r="R79" s="869">
        <f t="shared" si="69"/>
        <v>0</v>
      </c>
      <c r="S79" s="869">
        <f t="shared" si="69"/>
        <v>0</v>
      </c>
      <c r="T79" s="869">
        <f t="shared" si="69"/>
        <v>0</v>
      </c>
      <c r="U79" s="869">
        <f t="shared" si="69"/>
        <v>0</v>
      </c>
      <c r="V79" s="869">
        <f t="shared" si="69"/>
        <v>0</v>
      </c>
      <c r="W79" s="869">
        <f t="shared" si="69"/>
        <v>0</v>
      </c>
      <c r="X79" s="121">
        <f>SUM(F79:W79)</f>
        <v>176026.6</v>
      </c>
      <c r="Y79" s="118">
        <f>TRUNC(X79-D78*E79,2)</f>
        <v>0</v>
      </c>
      <c r="Z79" s="709">
        <f>+X79/D78</f>
        <v>1</v>
      </c>
    </row>
    <row r="80" spans="1:27" s="119" customFormat="1" ht="18" hidden="1" customHeight="1" thickBot="1" x14ac:dyDescent="0.2">
      <c r="A80" s="2417"/>
      <c r="B80" s="2420"/>
      <c r="C80" s="1657"/>
      <c r="D80" s="1653" t="s">
        <v>142</v>
      </c>
      <c r="E80" s="708">
        <f>1-E79</f>
        <v>0</v>
      </c>
      <c r="F80" s="868">
        <f>($D78*F78-F79)</f>
        <v>0</v>
      </c>
      <c r="G80" s="868">
        <f t="shared" ref="G80:W80" si="70">($D78*G78-G79)</f>
        <v>0</v>
      </c>
      <c r="H80" s="868">
        <f t="shared" si="70"/>
        <v>0</v>
      </c>
      <c r="I80" s="868">
        <f t="shared" si="70"/>
        <v>0</v>
      </c>
      <c r="J80" s="868">
        <f t="shared" si="70"/>
        <v>0</v>
      </c>
      <c r="K80" s="868">
        <f t="shared" si="70"/>
        <v>0</v>
      </c>
      <c r="L80" s="868">
        <f t="shared" si="70"/>
        <v>0</v>
      </c>
      <c r="M80" s="868">
        <f t="shared" si="70"/>
        <v>0</v>
      </c>
      <c r="N80" s="868">
        <f t="shared" si="70"/>
        <v>0</v>
      </c>
      <c r="O80" s="868">
        <f t="shared" si="70"/>
        <v>0</v>
      </c>
      <c r="P80" s="868">
        <f t="shared" si="70"/>
        <v>0</v>
      </c>
      <c r="Q80" s="868">
        <f t="shared" si="70"/>
        <v>0</v>
      </c>
      <c r="R80" s="868">
        <f t="shared" si="70"/>
        <v>0</v>
      </c>
      <c r="S80" s="868">
        <f t="shared" si="70"/>
        <v>0</v>
      </c>
      <c r="T80" s="868">
        <f t="shared" si="70"/>
        <v>0</v>
      </c>
      <c r="U80" s="868">
        <f t="shared" si="70"/>
        <v>0</v>
      </c>
      <c r="V80" s="868">
        <f t="shared" si="70"/>
        <v>0</v>
      </c>
      <c r="W80" s="868">
        <f t="shared" si="70"/>
        <v>0</v>
      </c>
      <c r="X80" s="122">
        <f>SUM(F80:W80)</f>
        <v>0</v>
      </c>
      <c r="Y80" s="118">
        <f>+D78-X79-X80</f>
        <v>0</v>
      </c>
    </row>
    <row r="81" spans="1:27" s="119" customFormat="1" ht="9.9499999999999993" hidden="1" customHeight="1" x14ac:dyDescent="0.15">
      <c r="A81" s="2415">
        <f ca="1">Orçamento_Deson!B31</f>
        <v>12</v>
      </c>
      <c r="B81" s="2418" t="str">
        <f>Orçamento_Deson!C31</f>
        <v>SERVIÇOS DE ENGENHARIA</v>
      </c>
      <c r="C81" s="1660"/>
      <c r="D81" s="1652"/>
      <c r="E81" s="116"/>
      <c r="F81" s="870">
        <f t="shared" ref="F81:M81" si="71">F82</f>
        <v>0</v>
      </c>
      <c r="G81" s="870">
        <f t="shared" si="71"/>
        <v>0</v>
      </c>
      <c r="H81" s="870">
        <f t="shared" si="71"/>
        <v>0</v>
      </c>
      <c r="I81" s="870">
        <f t="shared" si="71"/>
        <v>0</v>
      </c>
      <c r="J81" s="870">
        <f t="shared" si="71"/>
        <v>0</v>
      </c>
      <c r="K81" s="870">
        <f t="shared" si="71"/>
        <v>0</v>
      </c>
      <c r="L81" s="870">
        <f t="shared" si="71"/>
        <v>0</v>
      </c>
      <c r="M81" s="870">
        <f t="shared" si="71"/>
        <v>0</v>
      </c>
      <c r="N81" s="870">
        <f>N82</f>
        <v>0</v>
      </c>
      <c r="O81" s="870">
        <f t="shared" ref="O81:W81" si="72">O82</f>
        <v>0</v>
      </c>
      <c r="P81" s="870">
        <f t="shared" si="72"/>
        <v>0</v>
      </c>
      <c r="Q81" s="870">
        <f t="shared" si="72"/>
        <v>0</v>
      </c>
      <c r="R81" s="870">
        <f t="shared" si="72"/>
        <v>0</v>
      </c>
      <c r="S81" s="870">
        <f t="shared" si="72"/>
        <v>0</v>
      </c>
      <c r="T81" s="870">
        <f t="shared" si="72"/>
        <v>0</v>
      </c>
      <c r="U81" s="870">
        <f t="shared" si="72"/>
        <v>0</v>
      </c>
      <c r="V81" s="870">
        <f t="shared" si="72"/>
        <v>0</v>
      </c>
      <c r="W81" s="870">
        <f t="shared" si="72"/>
        <v>0</v>
      </c>
      <c r="X81" s="117"/>
      <c r="Y81" s="707">
        <f>+D82-X83-X84</f>
        <v>0</v>
      </c>
    </row>
    <row r="82" spans="1:27" s="119" customFormat="1" ht="18" hidden="1" customHeight="1" x14ac:dyDescent="0.15">
      <c r="A82" s="2416"/>
      <c r="B82" s="2419"/>
      <c r="C82" s="1656" t="str">
        <f>CONCATENATE(Orçamento_Deson!H31," ",Orçamento_Deson!I31)</f>
        <v>0 m²</v>
      </c>
      <c r="D82" s="2427">
        <f>Orçamento_Deson!J31</f>
        <v>0</v>
      </c>
      <c r="E82" s="2428"/>
      <c r="F82" s="694">
        <f>Cronograma_Não_Deson!F82</f>
        <v>0</v>
      </c>
      <c r="G82" s="694">
        <f>Cronograma_Não_Deson!G82</f>
        <v>0</v>
      </c>
      <c r="H82" s="694">
        <f>Cronograma_Não_Deson!H82</f>
        <v>0</v>
      </c>
      <c r="I82" s="694">
        <f>Cronograma_Não_Deson!I82</f>
        <v>0</v>
      </c>
      <c r="J82" s="694">
        <f>Cronograma_Não_Deson!J82</f>
        <v>0</v>
      </c>
      <c r="K82" s="694">
        <f>Cronograma_Não_Deson!K82</f>
        <v>0</v>
      </c>
      <c r="L82" s="694">
        <f>Cronograma_Não_Deson!L82</f>
        <v>0</v>
      </c>
      <c r="M82" s="694">
        <f>Cronograma_Não_Deson!M82</f>
        <v>0</v>
      </c>
      <c r="N82" s="694">
        <f>Cronograma_Não_Deson!N82</f>
        <v>0</v>
      </c>
      <c r="O82" s="694">
        <f>Cronograma_Não_Deson!O82</f>
        <v>0</v>
      </c>
      <c r="P82" s="694">
        <f>Cronograma_Não_Deson!P82</f>
        <v>0</v>
      </c>
      <c r="Q82" s="694">
        <f>+Cronograma_Não_Deson!Q82</f>
        <v>0</v>
      </c>
      <c r="R82" s="694">
        <f>+Cronograma_Não_Deson!R82</f>
        <v>0</v>
      </c>
      <c r="S82" s="694">
        <f>+Cronograma_Não_Deson!S82</f>
        <v>0</v>
      </c>
      <c r="T82" s="694">
        <f>+Cronograma_Não_Deson!T82</f>
        <v>0</v>
      </c>
      <c r="U82" s="694">
        <f>+Cronograma_Não_Deson!U82</f>
        <v>0</v>
      </c>
      <c r="V82" s="694">
        <f>+Cronograma_Não_Deson!V82</f>
        <v>0</v>
      </c>
      <c r="W82" s="694">
        <f>+Cronograma_Não_Deson!W82</f>
        <v>0</v>
      </c>
      <c r="X82" s="120">
        <f>SUM(F82:W82)</f>
        <v>0</v>
      </c>
      <c r="Y82" s="585">
        <f>1-X82</f>
        <v>1</v>
      </c>
      <c r="AA82" s="710">
        <f>+COUNT(F82:W82)</f>
        <v>18</v>
      </c>
    </row>
    <row r="83" spans="1:27" s="119" customFormat="1" ht="18" hidden="1" customHeight="1" thickBot="1" x14ac:dyDescent="0.2">
      <c r="A83" s="2416"/>
      <c r="B83" s="2419"/>
      <c r="C83" s="1656"/>
      <c r="D83" s="1687" t="s">
        <v>141</v>
      </c>
      <c r="E83" s="1688">
        <f>D$88</f>
        <v>1</v>
      </c>
      <c r="F83" s="869">
        <f>IF($D82=0,0,IF(F82=0,0,($E83*$D82*F82)+$AA$92))</f>
        <v>0</v>
      </c>
      <c r="G83" s="869">
        <f t="shared" ref="G83:W83" si="73">IF($D82=0,0,IF(G82=0,0,($E83*$D82*G82)+$AA$92))</f>
        <v>0</v>
      </c>
      <c r="H83" s="869">
        <f t="shared" si="73"/>
        <v>0</v>
      </c>
      <c r="I83" s="869">
        <f t="shared" si="73"/>
        <v>0</v>
      </c>
      <c r="J83" s="869">
        <f t="shared" si="73"/>
        <v>0</v>
      </c>
      <c r="K83" s="869">
        <f t="shared" si="73"/>
        <v>0</v>
      </c>
      <c r="L83" s="869">
        <f t="shared" si="73"/>
        <v>0</v>
      </c>
      <c r="M83" s="869">
        <f t="shared" si="73"/>
        <v>0</v>
      </c>
      <c r="N83" s="869">
        <f t="shared" si="73"/>
        <v>0</v>
      </c>
      <c r="O83" s="869">
        <f t="shared" si="73"/>
        <v>0</v>
      </c>
      <c r="P83" s="869">
        <f t="shared" si="73"/>
        <v>0</v>
      </c>
      <c r="Q83" s="869">
        <f t="shared" si="73"/>
        <v>0</v>
      </c>
      <c r="R83" s="869">
        <f t="shared" si="73"/>
        <v>0</v>
      </c>
      <c r="S83" s="869">
        <f t="shared" si="73"/>
        <v>0</v>
      </c>
      <c r="T83" s="869">
        <f t="shared" si="73"/>
        <v>0</v>
      </c>
      <c r="U83" s="869">
        <f t="shared" si="73"/>
        <v>0</v>
      </c>
      <c r="V83" s="869">
        <f t="shared" si="73"/>
        <v>0</v>
      </c>
      <c r="W83" s="869">
        <f t="shared" si="73"/>
        <v>0</v>
      </c>
      <c r="X83" s="121">
        <f>SUM(F83:W83)</f>
        <v>0</v>
      </c>
      <c r="Y83" s="118">
        <f>TRUNC(X83-D82*E83,2)</f>
        <v>0</v>
      </c>
      <c r="Z83" s="709" t="e">
        <f>+X83/D82</f>
        <v>#DIV/0!</v>
      </c>
    </row>
    <row r="84" spans="1:27" s="119" customFormat="1" ht="18" hidden="1" customHeight="1" thickBot="1" x14ac:dyDescent="0.2">
      <c r="A84" s="2417"/>
      <c r="B84" s="2420"/>
      <c r="C84" s="1657"/>
      <c r="D84" s="1653" t="s">
        <v>142</v>
      </c>
      <c r="E84" s="708">
        <f>1-E83</f>
        <v>0</v>
      </c>
      <c r="F84" s="868">
        <f>($D82*F82-F83)</f>
        <v>0</v>
      </c>
      <c r="G84" s="868">
        <f t="shared" ref="G84:W84" si="74">($D82*G82-G83)</f>
        <v>0</v>
      </c>
      <c r="H84" s="868">
        <f t="shared" si="74"/>
        <v>0</v>
      </c>
      <c r="I84" s="868">
        <f t="shared" si="74"/>
        <v>0</v>
      </c>
      <c r="J84" s="868">
        <f t="shared" si="74"/>
        <v>0</v>
      </c>
      <c r="K84" s="868">
        <f t="shared" si="74"/>
        <v>0</v>
      </c>
      <c r="L84" s="868">
        <f t="shared" si="74"/>
        <v>0</v>
      </c>
      <c r="M84" s="868">
        <f t="shared" si="74"/>
        <v>0</v>
      </c>
      <c r="N84" s="868">
        <f t="shared" si="74"/>
        <v>0</v>
      </c>
      <c r="O84" s="868">
        <f t="shared" si="74"/>
        <v>0</v>
      </c>
      <c r="P84" s="868">
        <f t="shared" si="74"/>
        <v>0</v>
      </c>
      <c r="Q84" s="868">
        <f t="shared" si="74"/>
        <v>0</v>
      </c>
      <c r="R84" s="868">
        <f t="shared" si="74"/>
        <v>0</v>
      </c>
      <c r="S84" s="868">
        <f t="shared" si="74"/>
        <v>0</v>
      </c>
      <c r="T84" s="868">
        <f t="shared" si="74"/>
        <v>0</v>
      </c>
      <c r="U84" s="868">
        <f t="shared" si="74"/>
        <v>0</v>
      </c>
      <c r="V84" s="868">
        <f t="shared" si="74"/>
        <v>0</v>
      </c>
      <c r="W84" s="868">
        <f t="shared" si="74"/>
        <v>0</v>
      </c>
      <c r="X84" s="122">
        <f>SUM(F84:W84)</f>
        <v>0</v>
      </c>
      <c r="Y84" s="118">
        <f>+D82-X83-X84</f>
        <v>0</v>
      </c>
    </row>
    <row r="85" spans="1:27" s="123" customFormat="1" ht="18" customHeight="1" x14ac:dyDescent="0.15">
      <c r="A85" s="178"/>
      <c r="B85" s="2429" t="s">
        <v>70</v>
      </c>
      <c r="C85" s="1681"/>
      <c r="D85" s="2431">
        <f ca="1">SUM(D10:D84)</f>
        <v>3778233.4</v>
      </c>
      <c r="E85" s="2432"/>
      <c r="F85" s="131">
        <f t="shared" ref="F85:W85" ca="1" si="75">F87+F89</f>
        <v>456453.88970000006</v>
      </c>
      <c r="G85" s="131">
        <f t="shared" ca="1" si="75"/>
        <v>756843.20600000001</v>
      </c>
      <c r="H85" s="131">
        <f t="shared" ca="1" si="75"/>
        <v>735870.32300000009</v>
      </c>
      <c r="I85" s="131">
        <f t="shared" ca="1" si="75"/>
        <v>685122.99370000011</v>
      </c>
      <c r="J85" s="131">
        <f t="shared" ca="1" si="75"/>
        <v>680958.48340000003</v>
      </c>
      <c r="K85" s="131">
        <f t="shared" ca="1" si="75"/>
        <v>462984.50420000008</v>
      </c>
      <c r="L85" s="131">
        <f t="shared" ca="1" si="75"/>
        <v>0</v>
      </c>
      <c r="M85" s="131">
        <f t="shared" ca="1" si="75"/>
        <v>0</v>
      </c>
      <c r="N85" s="131">
        <f t="shared" ca="1" si="75"/>
        <v>0</v>
      </c>
      <c r="O85" s="131">
        <f t="shared" ca="1" si="75"/>
        <v>0</v>
      </c>
      <c r="P85" s="131">
        <f t="shared" ca="1" si="75"/>
        <v>0</v>
      </c>
      <c r="Q85" s="131">
        <f t="shared" ca="1" si="75"/>
        <v>0</v>
      </c>
      <c r="R85" s="131">
        <f t="shared" ca="1" si="75"/>
        <v>0</v>
      </c>
      <c r="S85" s="131">
        <f t="shared" ca="1" si="75"/>
        <v>0</v>
      </c>
      <c r="T85" s="131">
        <f t="shared" ca="1" si="75"/>
        <v>0</v>
      </c>
      <c r="U85" s="131">
        <f t="shared" ca="1" si="75"/>
        <v>0</v>
      </c>
      <c r="V85" s="131">
        <f t="shared" ca="1" si="75"/>
        <v>0</v>
      </c>
      <c r="W85" s="131">
        <f t="shared" ca="1" si="75"/>
        <v>0</v>
      </c>
      <c r="X85" s="181">
        <f t="shared" ref="X85:X90" ca="1" si="76">SUM(F85:W85)</f>
        <v>3778233.4000000004</v>
      </c>
      <c r="Y85" s="118">
        <f ca="1">+X85-D85</f>
        <v>0</v>
      </c>
    </row>
    <row r="86" spans="1:27" s="123" customFormat="1" ht="18" customHeight="1" x14ac:dyDescent="0.15">
      <c r="A86" s="179"/>
      <c r="B86" s="2430"/>
      <c r="C86" s="1682"/>
      <c r="D86" s="2425">
        <v>1</v>
      </c>
      <c r="E86" s="2426"/>
      <c r="F86" s="186">
        <f t="shared" ref="F86:W86" ca="1" si="77">F85/$D85</f>
        <v>0.12081145905385307</v>
      </c>
      <c r="G86" s="186">
        <f t="shared" ca="1" si="77"/>
        <v>0.20031668927599869</v>
      </c>
      <c r="H86" s="186">
        <f t="shared" ca="1" si="77"/>
        <v>0.19476571325635947</v>
      </c>
      <c r="I86" s="186">
        <f t="shared" ca="1" si="77"/>
        <v>0.18133421659445395</v>
      </c>
      <c r="J86" s="186">
        <f t="shared" ca="1" si="77"/>
        <v>0.18023197915724318</v>
      </c>
      <c r="K86" s="186">
        <f t="shared" ca="1" si="77"/>
        <v>0.12253994266209178</v>
      </c>
      <c r="L86" s="186">
        <f t="shared" ca="1" si="77"/>
        <v>0</v>
      </c>
      <c r="M86" s="186">
        <f t="shared" ca="1" si="77"/>
        <v>0</v>
      </c>
      <c r="N86" s="186">
        <f t="shared" ca="1" si="77"/>
        <v>0</v>
      </c>
      <c r="O86" s="186">
        <f t="shared" ca="1" si="77"/>
        <v>0</v>
      </c>
      <c r="P86" s="186">
        <f t="shared" ca="1" si="77"/>
        <v>0</v>
      </c>
      <c r="Q86" s="186">
        <f t="shared" ca="1" si="77"/>
        <v>0</v>
      </c>
      <c r="R86" s="186">
        <f t="shared" ca="1" si="77"/>
        <v>0</v>
      </c>
      <c r="S86" s="186">
        <f t="shared" ca="1" si="77"/>
        <v>0</v>
      </c>
      <c r="T86" s="186">
        <f t="shared" ca="1" si="77"/>
        <v>0</v>
      </c>
      <c r="U86" s="186">
        <f t="shared" ca="1" si="77"/>
        <v>0</v>
      </c>
      <c r="V86" s="186">
        <f t="shared" ca="1" si="77"/>
        <v>0</v>
      </c>
      <c r="W86" s="186">
        <f t="shared" ca="1" si="77"/>
        <v>0</v>
      </c>
      <c r="X86" s="182">
        <f t="shared" ca="1" si="76"/>
        <v>1</v>
      </c>
      <c r="Y86" s="118"/>
    </row>
    <row r="87" spans="1:27" s="123" customFormat="1" ht="18" hidden="1" customHeight="1" x14ac:dyDescent="0.15">
      <c r="A87" s="180"/>
      <c r="B87" s="2423" t="s">
        <v>68</v>
      </c>
      <c r="C87" s="1683"/>
      <c r="D87" s="2421">
        <f ca="1">TRUNC(D85*D88,2)</f>
        <v>3778233.4</v>
      </c>
      <c r="E87" s="2422"/>
      <c r="F87" s="177">
        <f ca="1">+F11+F15+F19+F23+F27+F31+F35+F39+F43+F47+F51+F55+F59+F63+F67+F71+F75+F79+F83</f>
        <v>456453.88970000006</v>
      </c>
      <c r="G87" s="177">
        <f t="shared" ref="G87:W87" ca="1" si="78">+G11+G15+G19+G23+G27+G31+G35+G39+G43+G47+G51+G55+G59+G63+G67+G71+G75+G79+G83</f>
        <v>756843.20600000001</v>
      </c>
      <c r="H87" s="177">
        <f t="shared" ca="1" si="78"/>
        <v>735870.32300000009</v>
      </c>
      <c r="I87" s="177">
        <f t="shared" ca="1" si="78"/>
        <v>685122.99370000011</v>
      </c>
      <c r="J87" s="177">
        <f t="shared" ca="1" si="78"/>
        <v>680958.48340000003</v>
      </c>
      <c r="K87" s="177">
        <f t="shared" ca="1" si="78"/>
        <v>462984.50420000008</v>
      </c>
      <c r="L87" s="177">
        <f t="shared" ca="1" si="78"/>
        <v>0</v>
      </c>
      <c r="M87" s="177">
        <f t="shared" ca="1" si="78"/>
        <v>0</v>
      </c>
      <c r="N87" s="177">
        <f t="shared" ca="1" si="78"/>
        <v>0</v>
      </c>
      <c r="O87" s="177">
        <f t="shared" ca="1" si="78"/>
        <v>0</v>
      </c>
      <c r="P87" s="177">
        <f t="shared" ca="1" si="78"/>
        <v>0</v>
      </c>
      <c r="Q87" s="177">
        <f t="shared" ca="1" si="78"/>
        <v>0</v>
      </c>
      <c r="R87" s="177">
        <f t="shared" ca="1" si="78"/>
        <v>0</v>
      </c>
      <c r="S87" s="177">
        <f t="shared" ca="1" si="78"/>
        <v>0</v>
      </c>
      <c r="T87" s="177">
        <f t="shared" ca="1" si="78"/>
        <v>0</v>
      </c>
      <c r="U87" s="177">
        <f t="shared" ca="1" si="78"/>
        <v>0</v>
      </c>
      <c r="V87" s="177">
        <f t="shared" ca="1" si="78"/>
        <v>0</v>
      </c>
      <c r="W87" s="177">
        <f t="shared" ca="1" si="78"/>
        <v>0</v>
      </c>
      <c r="X87" s="124">
        <f t="shared" ca="1" si="76"/>
        <v>3778233.4000000004</v>
      </c>
      <c r="Y87" s="118">
        <f ca="1">+X87-D87</f>
        <v>0</v>
      </c>
      <c r="Z87" s="709">
        <f ca="1">+X87/X85</f>
        <v>1</v>
      </c>
      <c r="AA87" s="711">
        <f>SUM(AA10:AA83)</f>
        <v>342</v>
      </c>
    </row>
    <row r="88" spans="1:27" s="123" customFormat="1" ht="18" hidden="1" customHeight="1" x14ac:dyDescent="0.15">
      <c r="A88" s="179"/>
      <c r="B88" s="2424"/>
      <c r="C88" s="1684"/>
      <c r="D88" s="2447">
        <v>1</v>
      </c>
      <c r="E88" s="2448"/>
      <c r="F88" s="186">
        <f t="shared" ref="F88:W88" ca="1" si="79">F87/$D87</f>
        <v>0.12081145905385307</v>
      </c>
      <c r="G88" s="186">
        <f t="shared" ca="1" si="79"/>
        <v>0.20031668927599869</v>
      </c>
      <c r="H88" s="186">
        <f t="shared" ca="1" si="79"/>
        <v>0.19476571325635947</v>
      </c>
      <c r="I88" s="186">
        <f t="shared" ca="1" si="79"/>
        <v>0.18133421659445395</v>
      </c>
      <c r="J88" s="186">
        <f t="shared" ca="1" si="79"/>
        <v>0.18023197915724318</v>
      </c>
      <c r="K88" s="186">
        <f t="shared" ca="1" si="79"/>
        <v>0.12253994266209178</v>
      </c>
      <c r="L88" s="186">
        <f t="shared" ca="1" si="79"/>
        <v>0</v>
      </c>
      <c r="M88" s="186">
        <f t="shared" ca="1" si="79"/>
        <v>0</v>
      </c>
      <c r="N88" s="186">
        <f t="shared" ca="1" si="79"/>
        <v>0</v>
      </c>
      <c r="O88" s="186">
        <f t="shared" ca="1" si="79"/>
        <v>0</v>
      </c>
      <c r="P88" s="186">
        <f t="shared" ca="1" si="79"/>
        <v>0</v>
      </c>
      <c r="Q88" s="186">
        <f t="shared" ca="1" si="79"/>
        <v>0</v>
      </c>
      <c r="R88" s="186">
        <f t="shared" ca="1" si="79"/>
        <v>0</v>
      </c>
      <c r="S88" s="186">
        <f t="shared" ca="1" si="79"/>
        <v>0</v>
      </c>
      <c r="T88" s="186">
        <f t="shared" ca="1" si="79"/>
        <v>0</v>
      </c>
      <c r="U88" s="186">
        <f t="shared" ca="1" si="79"/>
        <v>0</v>
      </c>
      <c r="V88" s="186">
        <f t="shared" ca="1" si="79"/>
        <v>0</v>
      </c>
      <c r="W88" s="186">
        <f t="shared" ca="1" si="79"/>
        <v>0</v>
      </c>
      <c r="X88" s="182">
        <f t="shared" ca="1" si="76"/>
        <v>1</v>
      </c>
      <c r="Y88" s="118"/>
      <c r="Z88" s="712">
        <f ca="1">+Y87/AA87</f>
        <v>0</v>
      </c>
      <c r="AA88" s="711"/>
    </row>
    <row r="89" spans="1:27" s="123" customFormat="1" ht="18" hidden="1" customHeight="1" x14ac:dyDescent="0.15">
      <c r="A89" s="180"/>
      <c r="B89" s="2423" t="s">
        <v>67</v>
      </c>
      <c r="C89" s="1683"/>
      <c r="D89" s="2421">
        <f ca="1">D85-D87</f>
        <v>0</v>
      </c>
      <c r="E89" s="2422"/>
      <c r="F89" s="177">
        <f ca="1">+F12+F16+F20+F24+F28+F32+F36+F40+F44+F48+F52+F56+F60+F64+F68+F72+F76+F80+F84</f>
        <v>0</v>
      </c>
      <c r="G89" s="177">
        <f t="shared" ref="G89:W89" ca="1" si="80">+G12+G16+G20+G24+G28+G32+G36+G40+G44+G48+G52+G56+G60+G64+G68+G72+G76+G80+G84</f>
        <v>0</v>
      </c>
      <c r="H89" s="177">
        <f t="shared" ca="1" si="80"/>
        <v>0</v>
      </c>
      <c r="I89" s="177">
        <f t="shared" ca="1" si="80"/>
        <v>0</v>
      </c>
      <c r="J89" s="177">
        <f t="shared" ca="1" si="80"/>
        <v>0</v>
      </c>
      <c r="K89" s="177">
        <f t="shared" ca="1" si="80"/>
        <v>0</v>
      </c>
      <c r="L89" s="177">
        <f t="shared" ca="1" si="80"/>
        <v>0</v>
      </c>
      <c r="M89" s="177">
        <f t="shared" ca="1" si="80"/>
        <v>0</v>
      </c>
      <c r="N89" s="177">
        <f t="shared" ca="1" si="80"/>
        <v>0</v>
      </c>
      <c r="O89" s="177">
        <f t="shared" ca="1" si="80"/>
        <v>0</v>
      </c>
      <c r="P89" s="177">
        <f t="shared" ca="1" si="80"/>
        <v>0</v>
      </c>
      <c r="Q89" s="177">
        <f t="shared" ca="1" si="80"/>
        <v>0</v>
      </c>
      <c r="R89" s="177">
        <f t="shared" ca="1" si="80"/>
        <v>0</v>
      </c>
      <c r="S89" s="177">
        <f t="shared" ca="1" si="80"/>
        <v>0</v>
      </c>
      <c r="T89" s="177">
        <f t="shared" ca="1" si="80"/>
        <v>0</v>
      </c>
      <c r="U89" s="177">
        <f t="shared" ca="1" si="80"/>
        <v>0</v>
      </c>
      <c r="V89" s="177">
        <f t="shared" ca="1" si="80"/>
        <v>0</v>
      </c>
      <c r="W89" s="177">
        <f t="shared" ca="1" si="80"/>
        <v>0</v>
      </c>
      <c r="X89" s="124">
        <f t="shared" ca="1" si="76"/>
        <v>0</v>
      </c>
      <c r="Y89" s="118">
        <f ca="1">+X89-D89</f>
        <v>0</v>
      </c>
    </row>
    <row r="90" spans="1:27" s="123" customFormat="1" ht="18" hidden="1" customHeight="1" x14ac:dyDescent="0.15">
      <c r="A90" s="179"/>
      <c r="B90" s="2424"/>
      <c r="C90" s="1684"/>
      <c r="D90" s="2447">
        <f>D86-D88</f>
        <v>0</v>
      </c>
      <c r="E90" s="2448"/>
      <c r="F90" s="186">
        <f t="shared" ref="F90:W90" ca="1" si="81">IF(F89=0,0,F89/$D89)</f>
        <v>0</v>
      </c>
      <c r="G90" s="186">
        <f t="shared" ca="1" si="81"/>
        <v>0</v>
      </c>
      <c r="H90" s="186">
        <f t="shared" ca="1" si="81"/>
        <v>0</v>
      </c>
      <c r="I90" s="186">
        <f t="shared" ca="1" si="81"/>
        <v>0</v>
      </c>
      <c r="J90" s="186">
        <f t="shared" ca="1" si="81"/>
        <v>0</v>
      </c>
      <c r="K90" s="186">
        <f t="shared" ca="1" si="81"/>
        <v>0</v>
      </c>
      <c r="L90" s="186">
        <f t="shared" ca="1" si="81"/>
        <v>0</v>
      </c>
      <c r="M90" s="186">
        <f t="shared" ca="1" si="81"/>
        <v>0</v>
      </c>
      <c r="N90" s="186">
        <f t="shared" ca="1" si="81"/>
        <v>0</v>
      </c>
      <c r="O90" s="186">
        <f t="shared" ca="1" si="81"/>
        <v>0</v>
      </c>
      <c r="P90" s="186">
        <f t="shared" ca="1" si="81"/>
        <v>0</v>
      </c>
      <c r="Q90" s="186">
        <f t="shared" ca="1" si="81"/>
        <v>0</v>
      </c>
      <c r="R90" s="186">
        <f t="shared" ca="1" si="81"/>
        <v>0</v>
      </c>
      <c r="S90" s="186">
        <f t="shared" ca="1" si="81"/>
        <v>0</v>
      </c>
      <c r="T90" s="186">
        <f t="shared" ca="1" si="81"/>
        <v>0</v>
      </c>
      <c r="U90" s="186">
        <f t="shared" ca="1" si="81"/>
        <v>0</v>
      </c>
      <c r="V90" s="186">
        <f t="shared" ca="1" si="81"/>
        <v>0</v>
      </c>
      <c r="W90" s="186">
        <f t="shared" ca="1" si="81"/>
        <v>0</v>
      </c>
      <c r="X90" s="182">
        <f t="shared" ca="1" si="76"/>
        <v>0</v>
      </c>
      <c r="Y90" s="118"/>
    </row>
    <row r="91" spans="1:27" s="123" customFormat="1" ht="18" customHeight="1" thickBot="1" x14ac:dyDescent="0.2">
      <c r="A91" s="180"/>
      <c r="B91" s="2423" t="s">
        <v>69</v>
      </c>
      <c r="C91" s="1685"/>
      <c r="D91" s="125"/>
      <c r="E91" s="184" t="s">
        <v>199</v>
      </c>
      <c r="F91" s="177">
        <f ca="1">F85</f>
        <v>456453.88970000006</v>
      </c>
      <c r="G91" s="177">
        <f t="shared" ref="G91:W91" ca="1" si="82">G85</f>
        <v>756843.20600000001</v>
      </c>
      <c r="H91" s="177">
        <f t="shared" ca="1" si="82"/>
        <v>735870.32300000009</v>
      </c>
      <c r="I91" s="177">
        <f t="shared" ca="1" si="82"/>
        <v>685122.99370000011</v>
      </c>
      <c r="J91" s="177">
        <f t="shared" ca="1" si="82"/>
        <v>680958.48340000003</v>
      </c>
      <c r="K91" s="177">
        <f t="shared" ca="1" si="82"/>
        <v>462984.50420000008</v>
      </c>
      <c r="L91" s="177">
        <f t="shared" ca="1" si="82"/>
        <v>0</v>
      </c>
      <c r="M91" s="177">
        <f t="shared" ca="1" si="82"/>
        <v>0</v>
      </c>
      <c r="N91" s="177">
        <f t="shared" ca="1" si="82"/>
        <v>0</v>
      </c>
      <c r="O91" s="177">
        <f t="shared" ca="1" si="82"/>
        <v>0</v>
      </c>
      <c r="P91" s="177">
        <f t="shared" ca="1" si="82"/>
        <v>0</v>
      </c>
      <c r="Q91" s="177">
        <f t="shared" ca="1" si="82"/>
        <v>0</v>
      </c>
      <c r="R91" s="177">
        <f t="shared" ca="1" si="82"/>
        <v>0</v>
      </c>
      <c r="S91" s="177">
        <f t="shared" ca="1" si="82"/>
        <v>0</v>
      </c>
      <c r="T91" s="177">
        <f t="shared" ca="1" si="82"/>
        <v>0</v>
      </c>
      <c r="U91" s="177">
        <f t="shared" ca="1" si="82"/>
        <v>0</v>
      </c>
      <c r="V91" s="177">
        <f t="shared" ca="1" si="82"/>
        <v>0</v>
      </c>
      <c r="W91" s="177">
        <f t="shared" ca="1" si="82"/>
        <v>0</v>
      </c>
      <c r="X91" s="126"/>
      <c r="Y91" s="118">
        <f ca="1">+X89+X87-X85</f>
        <v>0</v>
      </c>
    </row>
    <row r="92" spans="1:27" ht="18" customHeight="1" thickBot="1" x14ac:dyDescent="0.2">
      <c r="A92" s="183"/>
      <c r="B92" s="2449"/>
      <c r="C92" s="1686"/>
      <c r="D92" s="125"/>
      <c r="E92" s="185" t="s">
        <v>200</v>
      </c>
      <c r="F92" s="2250">
        <f t="shared" ref="F92:W92" ca="1" si="83">F91/$D85</f>
        <v>0.12081145905385307</v>
      </c>
      <c r="G92" s="2250">
        <f t="shared" ca="1" si="83"/>
        <v>0.20031668927599869</v>
      </c>
      <c r="H92" s="2250">
        <f t="shared" ca="1" si="83"/>
        <v>0.19476571325635947</v>
      </c>
      <c r="I92" s="2250">
        <f t="shared" ca="1" si="83"/>
        <v>0.18133421659445395</v>
      </c>
      <c r="J92" s="2250">
        <f t="shared" ca="1" si="83"/>
        <v>0.18023197915724318</v>
      </c>
      <c r="K92" s="2250">
        <f t="shared" ca="1" si="83"/>
        <v>0.12253994266209178</v>
      </c>
      <c r="L92" s="2250">
        <f t="shared" ca="1" si="83"/>
        <v>0</v>
      </c>
      <c r="M92" s="2250">
        <f t="shared" ca="1" si="83"/>
        <v>0</v>
      </c>
      <c r="N92" s="2250">
        <f t="shared" ca="1" si="83"/>
        <v>0</v>
      </c>
      <c r="O92" s="2250">
        <f t="shared" ca="1" si="83"/>
        <v>0</v>
      </c>
      <c r="P92" s="2250">
        <f t="shared" ca="1" si="83"/>
        <v>0</v>
      </c>
      <c r="Q92" s="2250">
        <f t="shared" ca="1" si="83"/>
        <v>0</v>
      </c>
      <c r="R92" s="2250">
        <f t="shared" ca="1" si="83"/>
        <v>0</v>
      </c>
      <c r="S92" s="2250">
        <f t="shared" ca="1" si="83"/>
        <v>0</v>
      </c>
      <c r="T92" s="2250">
        <f t="shared" ca="1" si="83"/>
        <v>0</v>
      </c>
      <c r="U92" s="2250">
        <f t="shared" ca="1" si="83"/>
        <v>0</v>
      </c>
      <c r="V92" s="2250">
        <f t="shared" ca="1" si="83"/>
        <v>0</v>
      </c>
      <c r="W92" s="2250">
        <f t="shared" ca="1" si="83"/>
        <v>0</v>
      </c>
      <c r="X92" s="126"/>
    </row>
    <row r="93" spans="1:27" s="110" customFormat="1" ht="18" hidden="1" customHeight="1" x14ac:dyDescent="0.15">
      <c r="A93" s="109"/>
      <c r="B93" s="109"/>
      <c r="C93" s="109"/>
      <c r="D93" s="109"/>
      <c r="E93" s="127"/>
      <c r="F93" s="109"/>
      <c r="G93" s="109"/>
      <c r="H93" s="109"/>
      <c r="I93" s="109"/>
      <c r="J93" s="109"/>
      <c r="K93" s="109"/>
      <c r="L93" s="109"/>
      <c r="M93" s="109"/>
      <c r="N93" s="109"/>
      <c r="O93" s="109"/>
      <c r="P93" s="109"/>
      <c r="Q93" s="109"/>
      <c r="R93" s="109"/>
      <c r="S93" s="109"/>
      <c r="T93" s="109"/>
      <c r="U93" s="109"/>
      <c r="V93" s="109"/>
      <c r="W93" s="109"/>
      <c r="X93" s="109"/>
      <c r="Y93" s="118"/>
    </row>
    <row r="94" spans="1:27" s="110" customFormat="1" ht="18" hidden="1" customHeight="1" x14ac:dyDescent="0.15">
      <c r="A94" s="109"/>
      <c r="B94" s="109"/>
      <c r="C94" s="109"/>
      <c r="D94" s="109"/>
      <c r="E94" s="127"/>
      <c r="F94" s="109"/>
      <c r="G94" s="109"/>
      <c r="H94" s="109"/>
      <c r="I94" s="109"/>
      <c r="J94" s="109"/>
      <c r="K94" s="109"/>
      <c r="L94" s="109"/>
      <c r="M94" s="109"/>
      <c r="N94" s="109"/>
      <c r="O94" s="109"/>
      <c r="P94" s="109"/>
      <c r="Q94" s="109"/>
      <c r="R94" s="109"/>
      <c r="S94" s="109"/>
      <c r="T94" s="109"/>
      <c r="U94" s="109"/>
      <c r="V94" s="109"/>
      <c r="W94" s="109"/>
      <c r="X94" s="109"/>
      <c r="Y94" s="118"/>
    </row>
    <row r="95" spans="1:27" s="110" customFormat="1" ht="18" hidden="1" customHeight="1" x14ac:dyDescent="0.15">
      <c r="F95" s="2439" t="s">
        <v>668</v>
      </c>
      <c r="G95" s="2439"/>
      <c r="H95" s="2439"/>
      <c r="I95" s="2439"/>
      <c r="J95" s="2440" t="s">
        <v>201</v>
      </c>
      <c r="K95" s="2440"/>
      <c r="L95" s="2440"/>
      <c r="M95" s="2440"/>
    </row>
    <row r="96" spans="1:27" s="110" customFormat="1" ht="18" hidden="1" customHeight="1" x14ac:dyDescent="0.15">
      <c r="B96" s="163" t="str">
        <f>IF(B95=B84,"PLANILHA CORRETA","PLANILHA ERRADA")</f>
        <v>PLANILHA CORRETA</v>
      </c>
      <c r="C96" s="163"/>
      <c r="D96" s="123">
        <f ca="1">Orçamento_Deson!J12</f>
        <v>3778233.4</v>
      </c>
      <c r="F96" s="2439"/>
      <c r="G96" s="2439"/>
      <c r="H96" s="2439"/>
      <c r="I96" s="2439"/>
      <c r="J96" s="2440"/>
      <c r="K96" s="2440"/>
      <c r="L96" s="2440"/>
      <c r="M96" s="2440"/>
    </row>
    <row r="97" spans="4:5" s="110" customFormat="1" ht="18" hidden="1" customHeight="1" x14ac:dyDescent="0.15"/>
    <row r="98" spans="4:5" ht="18" hidden="1" customHeight="1" x14ac:dyDescent="0.15">
      <c r="E98" s="104"/>
    </row>
    <row r="99" spans="4:5" x14ac:dyDescent="0.15">
      <c r="E99" s="104"/>
    </row>
    <row r="100" spans="4:5" x14ac:dyDescent="0.15">
      <c r="E100" s="104"/>
    </row>
    <row r="101" spans="4:5" x14ac:dyDescent="0.15">
      <c r="E101" s="104"/>
    </row>
    <row r="102" spans="4:5" x14ac:dyDescent="0.15">
      <c r="E102" s="104"/>
    </row>
    <row r="103" spans="4:5" x14ac:dyDescent="0.15">
      <c r="E103" s="104"/>
    </row>
    <row r="104" spans="4:5" x14ac:dyDescent="0.15">
      <c r="D104" s="1650"/>
    </row>
    <row r="105" spans="4:5" x14ac:dyDescent="0.15">
      <c r="D105" s="1650"/>
    </row>
    <row r="106" spans="4:5" ht="12.75" x14ac:dyDescent="0.15">
      <c r="E106" s="850"/>
    </row>
    <row r="107" spans="4:5" ht="12.75" x14ac:dyDescent="0.15">
      <c r="D107" s="850"/>
      <c r="E107" s="850"/>
    </row>
    <row r="108" spans="4:5" ht="12.75" x14ac:dyDescent="0.15">
      <c r="D108" s="850"/>
      <c r="E108" s="850"/>
    </row>
    <row r="109" spans="4:5" ht="12.75" x14ac:dyDescent="0.15">
      <c r="D109" s="850"/>
      <c r="E109" s="850"/>
    </row>
    <row r="110" spans="4:5" ht="12.75" x14ac:dyDescent="0.15">
      <c r="E110" s="850"/>
    </row>
    <row r="111" spans="4:5" ht="12.75" x14ac:dyDescent="0.15">
      <c r="D111" s="850"/>
      <c r="E111" s="850"/>
    </row>
    <row r="112" spans="4:5" ht="12.75" x14ac:dyDescent="0.15">
      <c r="D112" s="850"/>
      <c r="E112" s="850"/>
    </row>
    <row r="113" spans="4:5" ht="12.75" x14ac:dyDescent="0.15">
      <c r="D113" s="850"/>
      <c r="E113" s="850"/>
    </row>
    <row r="114" spans="4:5" ht="12.75" x14ac:dyDescent="0.15">
      <c r="D114" s="832"/>
      <c r="E114" s="815"/>
    </row>
    <row r="115" spans="4:5" ht="12.75" x14ac:dyDescent="0.15">
      <c r="D115" s="832"/>
      <c r="E115" s="815"/>
    </row>
    <row r="116" spans="4:5" ht="12.75" x14ac:dyDescent="0.15">
      <c r="D116" s="832"/>
      <c r="E116" s="815"/>
    </row>
    <row r="117" spans="4:5" ht="12.75" x14ac:dyDescent="0.15">
      <c r="D117" s="832"/>
      <c r="E117" s="815"/>
    </row>
    <row r="118" spans="4:5" ht="12.75" x14ac:dyDescent="0.15">
      <c r="E118" s="815"/>
    </row>
    <row r="119" spans="4:5" ht="12.75" x14ac:dyDescent="0.15">
      <c r="D119" s="850"/>
      <c r="E119" s="815"/>
    </row>
    <row r="120" spans="4:5" ht="12.75" x14ac:dyDescent="0.15">
      <c r="D120" s="850"/>
      <c r="E120" s="815"/>
    </row>
    <row r="121" spans="4:5" ht="12.75" x14ac:dyDescent="0.15">
      <c r="D121" s="850"/>
      <c r="E121" s="815"/>
    </row>
    <row r="122" spans="4:5" ht="12.75" x14ac:dyDescent="0.15">
      <c r="D122" s="815"/>
      <c r="E122" s="815"/>
    </row>
    <row r="123" spans="4:5" ht="12.75" x14ac:dyDescent="0.15">
      <c r="D123" s="815"/>
      <c r="E123" s="815"/>
    </row>
    <row r="124" spans="4:5" ht="12.75" x14ac:dyDescent="0.15">
      <c r="D124" s="815"/>
      <c r="E124" s="815"/>
    </row>
    <row r="125" spans="4:5" ht="12.75" x14ac:dyDescent="0.15">
      <c r="D125" s="815"/>
      <c r="E125" s="815"/>
    </row>
    <row r="126" spans="4:5" ht="12.75" x14ac:dyDescent="0.15">
      <c r="D126" s="815"/>
      <c r="E126" s="815"/>
    </row>
    <row r="127" spans="4:5" ht="12.75" x14ac:dyDescent="0.15">
      <c r="D127" s="815"/>
      <c r="E127" s="815"/>
    </row>
    <row r="128" spans="4:5" ht="12.75" x14ac:dyDescent="0.15">
      <c r="D128" s="815"/>
      <c r="E128" s="815"/>
    </row>
    <row r="129" spans="4:5" ht="12.75" x14ac:dyDescent="0.15">
      <c r="D129" s="815"/>
      <c r="E129" s="815"/>
    </row>
    <row r="130" spans="4:5" x14ac:dyDescent="0.15">
      <c r="E130" s="104"/>
    </row>
    <row r="131" spans="4:5" ht="12.75" x14ac:dyDescent="0.15">
      <c r="D131" s="851"/>
      <c r="E131" s="850"/>
    </row>
    <row r="132" spans="4:5" ht="12.75" x14ac:dyDescent="0.15">
      <c r="D132" s="851"/>
      <c r="E132" s="850"/>
    </row>
    <row r="133" spans="4:5" ht="12.75" x14ac:dyDescent="0.15">
      <c r="D133" s="851"/>
      <c r="E133" s="850"/>
    </row>
    <row r="134" spans="4:5" ht="12.75" x14ac:dyDescent="0.15">
      <c r="D134" s="815"/>
      <c r="E134" s="815"/>
    </row>
    <row r="135" spans="4:5" ht="12.75" x14ac:dyDescent="0.15">
      <c r="D135" s="815"/>
      <c r="E135" s="815"/>
    </row>
    <row r="136" spans="4:5" ht="12.75" x14ac:dyDescent="0.15">
      <c r="D136" s="815"/>
      <c r="E136" s="815"/>
    </row>
    <row r="137" spans="4:5" ht="12.75" x14ac:dyDescent="0.15">
      <c r="D137" s="815"/>
      <c r="E137" s="815"/>
    </row>
    <row r="138" spans="4:5" x14ac:dyDescent="0.15">
      <c r="E138" s="104"/>
    </row>
    <row r="139" spans="4:5" ht="12.75" x14ac:dyDescent="0.15">
      <c r="D139" s="851"/>
      <c r="E139" s="850"/>
    </row>
    <row r="140" spans="4:5" ht="12.75" x14ac:dyDescent="0.15">
      <c r="D140" s="851"/>
      <c r="E140" s="850"/>
    </row>
    <row r="141" spans="4:5" ht="12.75" x14ac:dyDescent="0.15">
      <c r="D141" s="851"/>
      <c r="E141" s="850"/>
    </row>
    <row r="142" spans="4:5" x14ac:dyDescent="0.15">
      <c r="D142" s="1615"/>
    </row>
    <row r="143" spans="4:5" x14ac:dyDescent="0.15">
      <c r="D143" s="1615"/>
    </row>
    <row r="144" spans="4:5" x14ac:dyDescent="0.15">
      <c r="D144" s="1615"/>
    </row>
    <row r="145" spans="4:4" x14ac:dyDescent="0.15">
      <c r="D145" s="1615"/>
    </row>
    <row r="146" spans="4:4" x14ac:dyDescent="0.15">
      <c r="D146" s="1615"/>
    </row>
    <row r="147" spans="4:4" x14ac:dyDescent="0.15">
      <c r="D147" s="1615"/>
    </row>
    <row r="148" spans="4:4" x14ac:dyDescent="0.15">
      <c r="D148" s="1615"/>
    </row>
    <row r="149" spans="4:4" x14ac:dyDescent="0.15">
      <c r="D149" s="1615"/>
    </row>
    <row r="150" spans="4:4" x14ac:dyDescent="0.15">
      <c r="D150" s="1615"/>
    </row>
    <row r="151" spans="4:4" x14ac:dyDescent="0.15">
      <c r="D151" s="1615"/>
    </row>
    <row r="152" spans="4:4" x14ac:dyDescent="0.15">
      <c r="D152" s="1615"/>
    </row>
    <row r="153" spans="4:4" x14ac:dyDescent="0.15">
      <c r="D153" s="1615"/>
    </row>
    <row r="154" spans="4:4" x14ac:dyDescent="0.15">
      <c r="D154" s="1615"/>
    </row>
    <row r="155" spans="4:4" x14ac:dyDescent="0.15">
      <c r="D155" s="1615"/>
    </row>
    <row r="156" spans="4:4" x14ac:dyDescent="0.15">
      <c r="D156" s="1615"/>
    </row>
    <row r="157" spans="4:4" x14ac:dyDescent="0.15">
      <c r="D157" s="1615"/>
    </row>
    <row r="158" spans="4:4" x14ac:dyDescent="0.15">
      <c r="D158" s="1615"/>
    </row>
    <row r="159" spans="4:4" x14ac:dyDescent="0.15">
      <c r="D159" s="1615"/>
    </row>
    <row r="160" spans="4:4" x14ac:dyDescent="0.15">
      <c r="D160" s="1615"/>
    </row>
    <row r="161" spans="4:4" x14ac:dyDescent="0.15">
      <c r="D161" s="1615"/>
    </row>
    <row r="162" spans="4:4" x14ac:dyDescent="0.15">
      <c r="D162" s="1615"/>
    </row>
    <row r="163" spans="4:4" x14ac:dyDescent="0.15">
      <c r="D163" s="1615"/>
    </row>
  </sheetData>
  <mergeCells count="75">
    <mergeCell ref="X7:X8"/>
    <mergeCell ref="D8:E8"/>
    <mergeCell ref="A13:A16"/>
    <mergeCell ref="B13:B16"/>
    <mergeCell ref="D14:E14"/>
    <mergeCell ref="A9:A12"/>
    <mergeCell ref="B9:B12"/>
    <mergeCell ref="D10:E10"/>
    <mergeCell ref="A7:A8"/>
    <mergeCell ref="B7:B8"/>
    <mergeCell ref="D7:E7"/>
    <mergeCell ref="A17:A20"/>
    <mergeCell ref="B17:B20"/>
    <mergeCell ref="D18:E18"/>
    <mergeCell ref="A21:A24"/>
    <mergeCell ref="B21:B24"/>
    <mergeCell ref="D22:E22"/>
    <mergeCell ref="A25:A28"/>
    <mergeCell ref="B25:B28"/>
    <mergeCell ref="D26:E26"/>
    <mergeCell ref="A29:A32"/>
    <mergeCell ref="B29:B32"/>
    <mergeCell ref="D30:E30"/>
    <mergeCell ref="A33:A36"/>
    <mergeCell ref="B33:B36"/>
    <mergeCell ref="D34:E34"/>
    <mergeCell ref="A37:A40"/>
    <mergeCell ref="B37:B40"/>
    <mergeCell ref="D38:E38"/>
    <mergeCell ref="A41:A44"/>
    <mergeCell ref="B41:B44"/>
    <mergeCell ref="D42:E42"/>
    <mergeCell ref="A45:A48"/>
    <mergeCell ref="B45:B48"/>
    <mergeCell ref="D46:E46"/>
    <mergeCell ref="A49:A52"/>
    <mergeCell ref="B49:B52"/>
    <mergeCell ref="D50:E50"/>
    <mergeCell ref="A53:A56"/>
    <mergeCell ref="B53:B56"/>
    <mergeCell ref="D54:E54"/>
    <mergeCell ref="A65:A68"/>
    <mergeCell ref="B65:B68"/>
    <mergeCell ref="D66:E66"/>
    <mergeCell ref="A57:A60"/>
    <mergeCell ref="B57:B60"/>
    <mergeCell ref="D58:E58"/>
    <mergeCell ref="A61:A64"/>
    <mergeCell ref="B61:B64"/>
    <mergeCell ref="D62:E62"/>
    <mergeCell ref="A69:A72"/>
    <mergeCell ref="B69:B72"/>
    <mergeCell ref="D70:E70"/>
    <mergeCell ref="A73:A76"/>
    <mergeCell ref="B73:B76"/>
    <mergeCell ref="D74:E74"/>
    <mergeCell ref="A77:A80"/>
    <mergeCell ref="B77:B80"/>
    <mergeCell ref="D78:E78"/>
    <mergeCell ref="A81:A84"/>
    <mergeCell ref="B81:B84"/>
    <mergeCell ref="D82:E82"/>
    <mergeCell ref="H2:O2"/>
    <mergeCell ref="J95:M96"/>
    <mergeCell ref="B87:B88"/>
    <mergeCell ref="D87:E87"/>
    <mergeCell ref="D88:E88"/>
    <mergeCell ref="B89:B90"/>
    <mergeCell ref="D89:E89"/>
    <mergeCell ref="D90:E90"/>
    <mergeCell ref="B85:B86"/>
    <mergeCell ref="D85:E85"/>
    <mergeCell ref="D86:E86"/>
    <mergeCell ref="B91:B92"/>
    <mergeCell ref="F95:I96"/>
  </mergeCells>
  <conditionalFormatting sqref="F9:W9">
    <cfRule type="cellIs" dxfId="133" priority="29" operator="greaterThan">
      <formula>0</formula>
    </cfRule>
  </conditionalFormatting>
  <conditionalFormatting sqref="F13:W13">
    <cfRule type="cellIs" dxfId="132" priority="28" operator="greaterThan">
      <formula>0</formula>
    </cfRule>
  </conditionalFormatting>
  <conditionalFormatting sqref="F17:W17">
    <cfRule type="cellIs" dxfId="131" priority="27" operator="greaterThan">
      <formula>0</formula>
    </cfRule>
  </conditionalFormatting>
  <conditionalFormatting sqref="F21:W21">
    <cfRule type="cellIs" dxfId="130" priority="26" operator="greaterThan">
      <formula>0</formula>
    </cfRule>
  </conditionalFormatting>
  <conditionalFormatting sqref="F25:W25">
    <cfRule type="cellIs" dxfId="129" priority="25" operator="greaterThan">
      <formula>0</formula>
    </cfRule>
  </conditionalFormatting>
  <conditionalFormatting sqref="F29:W29">
    <cfRule type="cellIs" dxfId="128" priority="24" operator="greaterThan">
      <formula>0</formula>
    </cfRule>
  </conditionalFormatting>
  <conditionalFormatting sqref="F33:W33">
    <cfRule type="cellIs" dxfId="127" priority="23" operator="greaterThan">
      <formula>0</formula>
    </cfRule>
  </conditionalFormatting>
  <conditionalFormatting sqref="F37:W37">
    <cfRule type="cellIs" dxfId="126" priority="22" operator="greaterThan">
      <formula>0</formula>
    </cfRule>
  </conditionalFormatting>
  <conditionalFormatting sqref="F41:W41">
    <cfRule type="cellIs" dxfId="125" priority="21" operator="greaterThan">
      <formula>0</formula>
    </cfRule>
  </conditionalFormatting>
  <conditionalFormatting sqref="F45:W45">
    <cfRule type="cellIs" dxfId="124" priority="20" operator="greaterThan">
      <formula>0</formula>
    </cfRule>
  </conditionalFormatting>
  <conditionalFormatting sqref="F49:W49">
    <cfRule type="cellIs" dxfId="123" priority="19" operator="greaterThan">
      <formula>0</formula>
    </cfRule>
  </conditionalFormatting>
  <conditionalFormatting sqref="F53:W53">
    <cfRule type="cellIs" dxfId="122" priority="18" operator="greaterThan">
      <formula>0</formula>
    </cfRule>
  </conditionalFormatting>
  <conditionalFormatting sqref="F57:W57">
    <cfRule type="cellIs" dxfId="121" priority="17" operator="greaterThan">
      <formula>0</formula>
    </cfRule>
  </conditionalFormatting>
  <conditionalFormatting sqref="F61:W61">
    <cfRule type="cellIs" dxfId="120" priority="16" operator="greaterThan">
      <formula>0</formula>
    </cfRule>
  </conditionalFormatting>
  <conditionalFormatting sqref="F65:W65">
    <cfRule type="cellIs" dxfId="119" priority="15" operator="greaterThan">
      <formula>0</formula>
    </cfRule>
  </conditionalFormatting>
  <conditionalFormatting sqref="F69:W69">
    <cfRule type="cellIs" dxfId="118" priority="12" operator="greaterThan">
      <formula>0</formula>
    </cfRule>
  </conditionalFormatting>
  <conditionalFormatting sqref="F73:W73">
    <cfRule type="cellIs" dxfId="117" priority="11" operator="greaterThan">
      <formula>0</formula>
    </cfRule>
  </conditionalFormatting>
  <conditionalFormatting sqref="F77:W77">
    <cfRule type="cellIs" dxfId="116" priority="10" operator="greaterThan">
      <formula>0</formula>
    </cfRule>
  </conditionalFormatting>
  <conditionalFormatting sqref="F81:W81">
    <cfRule type="cellIs" dxfId="115" priority="9" operator="greaterThan">
      <formula>0</formula>
    </cfRule>
  </conditionalFormatting>
  <conditionalFormatting sqref="Y12 Y16 Y20 Y24 Y32 Y40 Y44 Y48 Y52 Y56 Y60 Y64 Y68 Y80 Y84">
    <cfRule type="cellIs" dxfId="114" priority="82" operator="lessThan">
      <formula>0</formula>
    </cfRule>
    <cfRule type="cellIs" dxfId="113" priority="83" operator="greaterThan">
      <formula>0</formula>
    </cfRule>
  </conditionalFormatting>
  <conditionalFormatting sqref="Y28">
    <cfRule type="cellIs" dxfId="112" priority="40" operator="lessThan">
      <formula>0</formula>
    </cfRule>
    <cfRule type="cellIs" dxfId="111" priority="41" operator="greaterThan">
      <formula>0</formula>
    </cfRule>
  </conditionalFormatting>
  <conditionalFormatting sqref="Y36">
    <cfRule type="cellIs" dxfId="110" priority="36" operator="lessThan">
      <formula>0</formula>
    </cfRule>
    <cfRule type="cellIs" dxfId="109" priority="37" operator="greaterThan">
      <formula>0</formula>
    </cfRule>
  </conditionalFormatting>
  <conditionalFormatting sqref="Y72">
    <cfRule type="cellIs" dxfId="108" priority="80" operator="lessThan">
      <formula>0</formula>
    </cfRule>
    <cfRule type="cellIs" dxfId="107" priority="81" operator="greaterThan">
      <formula>0</formula>
    </cfRule>
  </conditionalFormatting>
  <conditionalFormatting sqref="Y76">
    <cfRule type="cellIs" dxfId="106" priority="78" operator="lessThan">
      <formula>0</formula>
    </cfRule>
    <cfRule type="cellIs" dxfId="105" priority="79" operator="greaterThan">
      <formula>0</formula>
    </cfRule>
  </conditionalFormatting>
  <hyperlinks>
    <hyperlink ref="A7:A8" location="PAINEL!A1" display="ITEM"/>
  </hyperlinks>
  <printOptions horizontalCentered="1"/>
  <pageMargins left="0.39370078740157483" right="0.39370078740157483" top="0.59055118110236227" bottom="0.59055118110236227" header="0.31496062992125984" footer="0.23622047244094491"/>
  <pageSetup paperSize="9" scale="66" orientation="landscape" r:id="rId1"/>
  <headerFooter>
    <oddFooter>&amp;L&amp;"Arial,Normal"&amp;8&amp;F&amp;C&amp;"Arial,Normal"&amp;8&amp;P / &amp;N&amp;R&amp;"Cambria,Regular"&amp;8Ricardo Schettini Figueiredo&amp;10
&amp;8Eng. Civil - CREA-RJ 52.656/D</oddFooter>
  </headerFooter>
  <ignoredErrors>
    <ignoredError sqref="X87" formula="1"/>
  </ignoredErrors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14">
    <tabColor rgb="FF00B0F0"/>
    <pageSetUpPr fitToPage="1"/>
  </sheetPr>
  <dimension ref="A1:Q70"/>
  <sheetViews>
    <sheetView showZeros="0" zoomScaleNormal="100" workbookViewId="0"/>
  </sheetViews>
  <sheetFormatPr defaultColWidth="10" defaultRowHeight="12.75" x14ac:dyDescent="0.2"/>
  <cols>
    <col min="1" max="1" width="9.875" style="378" customWidth="1"/>
    <col min="2" max="2" width="41.5" style="375" customWidth="1"/>
    <col min="3" max="3" width="7.875" style="409" customWidth="1"/>
    <col min="4" max="4" width="11.625" style="409" customWidth="1"/>
    <col min="5" max="5" width="8.5" style="410" customWidth="1"/>
    <col min="6" max="6" width="9.875" style="375" customWidth="1"/>
    <col min="7" max="7" width="9.875" style="409" customWidth="1"/>
    <col min="8" max="8" width="12.625" style="409" customWidth="1"/>
    <col min="9" max="16384" width="10" style="375"/>
  </cols>
  <sheetData>
    <row r="1" spans="1:17" s="35" customFormat="1" ht="21.95" customHeight="1" x14ac:dyDescent="0.15">
      <c r="A1" s="369" t="s">
        <v>520</v>
      </c>
      <c r="B1" s="369"/>
      <c r="C1" s="369"/>
      <c r="D1" s="369"/>
      <c r="E1" s="369"/>
      <c r="F1" s="369"/>
      <c r="G1" s="369"/>
      <c r="H1" s="369"/>
    </row>
    <row r="2" spans="1:17" s="35" customFormat="1" ht="18" customHeight="1" x14ac:dyDescent="0.15">
      <c r="A2" s="35" t="s">
        <v>596</v>
      </c>
      <c r="B2" s="35" t="s">
        <v>597</v>
      </c>
      <c r="C2" s="370"/>
      <c r="D2" s="370"/>
      <c r="E2" s="371"/>
    </row>
    <row r="3" spans="1:17" s="35" customFormat="1" ht="18" customHeight="1" x14ac:dyDescent="0.15">
      <c r="A3" s="35" t="s">
        <v>595</v>
      </c>
      <c r="B3" s="35" t="str">
        <f>+CCU_Adm_Local_Não_Deson!B3</f>
        <v>Campo Grande/MS</v>
      </c>
      <c r="C3" s="2454" t="str">
        <f>Orçamento_Deson!J2</f>
        <v>DESONERADA</v>
      </c>
      <c r="D3" s="2454"/>
      <c r="E3" s="2454"/>
    </row>
    <row r="4" spans="1:17" s="35" customFormat="1" ht="18" customHeight="1" x14ac:dyDescent="0.15">
      <c r="A4" s="35" t="s">
        <v>594</v>
      </c>
      <c r="B4" s="1691" t="str">
        <f>Orçamento_Deson!$J$1</f>
        <v>Agosto/2023</v>
      </c>
      <c r="C4" s="47"/>
      <c r="D4" s="372" t="s">
        <v>521</v>
      </c>
      <c r="E4" s="373">
        <f>Orçamento_Deson!J3</f>
        <v>0.8528</v>
      </c>
    </row>
    <row r="5" spans="1:17" s="35" customFormat="1" ht="18" customHeight="1" thickBot="1" x14ac:dyDescent="0.2">
      <c r="D5" s="372" t="s">
        <v>697</v>
      </c>
      <c r="E5" s="373">
        <f>Orçamento_Deson!J4</f>
        <v>0.4723</v>
      </c>
    </row>
    <row r="6" spans="1:17" s="377" customFormat="1" ht="18" customHeight="1" thickTop="1" x14ac:dyDescent="0.15">
      <c r="A6" s="374" t="s">
        <v>186</v>
      </c>
      <c r="B6" s="2455" t="s">
        <v>522</v>
      </c>
      <c r="C6" s="2456"/>
      <c r="D6" s="2457"/>
      <c r="E6" s="2463" t="s">
        <v>523</v>
      </c>
      <c r="F6" s="2464"/>
      <c r="G6" s="2465"/>
      <c r="H6" s="856" t="s">
        <v>536</v>
      </c>
      <c r="J6" s="35"/>
      <c r="K6" s="35"/>
      <c r="L6" s="35"/>
      <c r="M6" s="35"/>
      <c r="N6" s="35"/>
      <c r="O6" s="35"/>
      <c r="P6" s="35"/>
      <c r="Q6" s="35"/>
    </row>
    <row r="7" spans="1:17" s="377" customFormat="1" ht="35.1" customHeight="1" thickBot="1" x14ac:dyDescent="0.2">
      <c r="A7" s="413" t="s">
        <v>535</v>
      </c>
      <c r="B7" s="2458" t="s">
        <v>537</v>
      </c>
      <c r="C7" s="2459"/>
      <c r="D7" s="2460"/>
      <c r="E7" s="2466" t="s">
        <v>534</v>
      </c>
      <c r="F7" s="2467"/>
      <c r="G7" s="411">
        <f>CCU_Adm_Local_Não_Deson!G7</f>
        <v>6</v>
      </c>
      <c r="H7" s="376" t="s">
        <v>205</v>
      </c>
      <c r="J7" s="35"/>
      <c r="K7" s="35"/>
      <c r="L7" s="35"/>
      <c r="M7" s="35"/>
      <c r="N7" s="35"/>
      <c r="O7" s="35"/>
      <c r="P7" s="35"/>
      <c r="Q7" s="35"/>
    </row>
    <row r="8" spans="1:17" ht="18" customHeight="1" thickTop="1" thickBot="1" x14ac:dyDescent="0.25">
      <c r="C8" s="375"/>
      <c r="D8" s="375"/>
      <c r="E8" s="375"/>
      <c r="G8" s="375"/>
      <c r="H8" s="375"/>
      <c r="J8" s="35"/>
      <c r="K8" s="35"/>
      <c r="L8" s="35"/>
      <c r="M8" s="35"/>
      <c r="N8" s="35"/>
      <c r="O8" s="35"/>
      <c r="P8" s="35"/>
      <c r="Q8" s="35"/>
    </row>
    <row r="9" spans="1:17" s="35" customFormat="1" ht="18" customHeight="1" thickTop="1" x14ac:dyDescent="0.15">
      <c r="A9" s="2472" t="s">
        <v>186</v>
      </c>
      <c r="B9" s="2468" t="s">
        <v>524</v>
      </c>
      <c r="C9" s="2469"/>
      <c r="D9" s="2461" t="s">
        <v>187</v>
      </c>
      <c r="E9" s="2461" t="s">
        <v>33</v>
      </c>
      <c r="F9" s="2461" t="s">
        <v>526</v>
      </c>
      <c r="G9" s="2487" t="s">
        <v>336</v>
      </c>
      <c r="H9" s="2484" t="s">
        <v>917</v>
      </c>
    </row>
    <row r="10" spans="1:17" s="35" customFormat="1" ht="18" customHeight="1" x14ac:dyDescent="0.15">
      <c r="A10" s="2473"/>
      <c r="B10" s="2470"/>
      <c r="C10" s="2471"/>
      <c r="D10" s="2462"/>
      <c r="E10" s="2462"/>
      <c r="F10" s="2462"/>
      <c r="G10" s="2462"/>
      <c r="H10" s="2485"/>
    </row>
    <row r="11" spans="1:17" s="382" customFormat="1" ht="30" hidden="1" customHeight="1" x14ac:dyDescent="0.15">
      <c r="A11" s="412" t="str">
        <f>CCU_Adm_Local_Não_Deson!A11</f>
        <v>AD/0002</v>
      </c>
      <c r="B11" s="801" t="str">
        <f>VLOOKUP($A11,[2]BOLETIM_SEL!$A:$G,4,0)</f>
        <v xml:space="preserve"> VEÍCULO LEVE - 53 KW (SEM MOTORISTA) (116,49h CPI + 66h CHP - 182,49h MDO)(REF. SICRO COD. E9512)</v>
      </c>
      <c r="C11" s="802"/>
      <c r="D11" s="805" t="str">
        <f>VLOOKUP($A11,[2]BOLETIM_SEL!$A:$G,2,0)</f>
        <v>COMPOSIÇÃO</v>
      </c>
      <c r="E11" s="804" t="str">
        <f>VLOOKUP($A11,[2]BOLETIM_SEL!$A:$G,6,0)</f>
        <v>UN.MÊS</v>
      </c>
      <c r="F11" s="804">
        <f>VLOOKUP($A11,[2]BOLETIM_SEL!$A:$G,7,0)</f>
        <v>2914.22</v>
      </c>
      <c r="G11" s="804">
        <f>CCU_Adm_Local_Não_Deson!G11</f>
        <v>0</v>
      </c>
      <c r="H11" s="662">
        <f>F11*G11</f>
        <v>0</v>
      </c>
    </row>
    <row r="12" spans="1:17" s="382" customFormat="1" ht="30" hidden="1" customHeight="1" x14ac:dyDescent="0.15">
      <c r="A12" s="412" t="str">
        <f>CCU_Adm_Local_Não_Deson!A12</f>
        <v>AD/0003</v>
      </c>
      <c r="B12" s="801" t="str">
        <f>VLOOKUP($A12,[2]BOLETIM_SEL!$A:$G,4,0)</f>
        <v xml:space="preserve"> CAMINHONETE - 101/104 CV (SEM MOTORISTA) (116,49h CPI + 66h CHP)(REF. SINAPI COD. 92145 E 92146)</v>
      </c>
      <c r="C12" s="802"/>
      <c r="D12" s="805" t="str">
        <f>VLOOKUP($A12,[2]BOLETIM_SEL!$A:$G,2,0)</f>
        <v>COMPOSIÇÃO</v>
      </c>
      <c r="E12" s="804" t="str">
        <f>VLOOKUP($A12,[2]BOLETIM_SEL!$A:$G,6,0)</f>
        <v>UN.MÊS</v>
      </c>
      <c r="F12" s="804">
        <f>VLOOKUP($A12,[2]BOLETIM_SEL!$A:$G,7,0)</f>
        <v>4030.05</v>
      </c>
      <c r="G12" s="804"/>
      <c r="H12" s="662">
        <f t="shared" ref="H12:H13" si="0">F12*G12</f>
        <v>0</v>
      </c>
    </row>
    <row r="13" spans="1:17" s="382" customFormat="1" ht="30" hidden="1" customHeight="1" x14ac:dyDescent="0.15">
      <c r="A13" s="412" t="str">
        <f>CCU_Adm_Local_Não_Deson!A13</f>
        <v>AD/0005</v>
      </c>
      <c r="B13" s="801" t="str">
        <f>VLOOKUP($A13,[2]BOLETIM_SEL!$A:$G,4,0)</f>
        <v xml:space="preserve"> VAN - 93 KW (COM MOTORISTA) (116,49h CPI + 66h CHP). CAPACIDADE DE 10 PESSOAS (REF. SICRO COD. E9125)</v>
      </c>
      <c r="C13" s="802"/>
      <c r="D13" s="805" t="str">
        <f>VLOOKUP($A13,[2]BOLETIM_SEL!$A:$G,2,0)</f>
        <v>COMPOSIÇÃO</v>
      </c>
      <c r="E13" s="804" t="str">
        <f>VLOOKUP($A13,[2]BOLETIM_SEL!$A:$G,6,0)</f>
        <v>UN.MÊS</v>
      </c>
      <c r="F13" s="804">
        <f>VLOOKUP($A13,[2]BOLETIM_SEL!$A:$G,7,0)</f>
        <v>9532.91</v>
      </c>
      <c r="G13" s="804"/>
      <c r="H13" s="662">
        <f t="shared" si="0"/>
        <v>0</v>
      </c>
    </row>
    <row r="14" spans="1:17" s="382" customFormat="1" ht="30" customHeight="1" x14ac:dyDescent="0.15">
      <c r="A14" s="412" t="str">
        <f>CCU_Adm_Local_Não_Deson!A14</f>
        <v>B8958</v>
      </c>
      <c r="B14" s="801" t="str">
        <f>VLOOKUP($A14,[2]BOLETIM_SEL!$A:$G,4,0)</f>
        <v xml:space="preserve">Topografia </v>
      </c>
      <c r="C14" s="802"/>
      <c r="D14" s="805" t="str">
        <f>VLOOKUP($A14,[2]BOLETIM_SEL!$A:$G,2,0)</f>
        <v>DNIT/Consultoria</v>
      </c>
      <c r="E14" s="804" t="str">
        <f>VLOOKUP($A14,[2]BOLETIM_SEL!$A:$G,6,0)</f>
        <v>mês</v>
      </c>
      <c r="F14" s="804">
        <f>VLOOKUP($A14,[2]BOLETIM_SEL!$A:$G,7,0)</f>
        <v>3265.25</v>
      </c>
      <c r="G14" s="804">
        <f>G27</f>
        <v>3</v>
      </c>
      <c r="H14" s="662">
        <f>F14*G14</f>
        <v>9795.75</v>
      </c>
    </row>
    <row r="15" spans="1:17" s="382" customFormat="1" ht="30" customHeight="1" x14ac:dyDescent="0.15">
      <c r="A15" s="412" t="str">
        <f>CCU_Adm_Local_Não_Deson!A15</f>
        <v>B8957</v>
      </c>
      <c r="B15" s="801" t="str">
        <f>VLOOKUP($A15,[2]BOLETIM_SEL!$A:$G,4,0)</f>
        <v xml:space="preserve">Laboratório de solos </v>
      </c>
      <c r="C15" s="802"/>
      <c r="D15" s="805" t="str">
        <f>VLOOKUP($A15,[2]BOLETIM_SEL!$A:$G,2,0)</f>
        <v>DNIT/Consultoria</v>
      </c>
      <c r="E15" s="804" t="str">
        <f>VLOOKUP($A15,[2]BOLETIM_SEL!$A:$G,6,0)</f>
        <v>mês</v>
      </c>
      <c r="F15" s="804">
        <f>VLOOKUP($A15,[2]BOLETIM_SEL!$A:$G,7,0)</f>
        <v>4491.67</v>
      </c>
      <c r="G15" s="804">
        <f>G28</f>
        <v>3</v>
      </c>
      <c r="H15" s="662">
        <f>F15*G15</f>
        <v>13475.01</v>
      </c>
    </row>
    <row r="16" spans="1:17" s="35" customFormat="1" ht="15.95" customHeight="1" thickBot="1" x14ac:dyDescent="0.2">
      <c r="A16" s="384"/>
      <c r="B16" s="385"/>
      <c r="C16" s="1693"/>
      <c r="D16" s="1694"/>
      <c r="E16" s="386"/>
      <c r="F16" s="387"/>
      <c r="G16" s="388"/>
      <c r="H16" s="389"/>
    </row>
    <row r="17" spans="1:15" s="35" customFormat="1" ht="18" customHeight="1" thickTop="1" x14ac:dyDescent="0.15">
      <c r="A17" s="390"/>
      <c r="B17" s="391"/>
      <c r="C17" s="31"/>
      <c r="D17" s="31" t="s">
        <v>527</v>
      </c>
      <c r="E17" s="393"/>
      <c r="F17" s="393"/>
      <c r="G17" s="392"/>
      <c r="H17" s="392">
        <f>SUM(H11:H16)</f>
        <v>23270.760000000002</v>
      </c>
    </row>
    <row r="18" spans="1:15" s="35" customFormat="1" ht="18" customHeight="1" thickBot="1" x14ac:dyDescent="0.2">
      <c r="A18" s="394"/>
      <c r="B18" s="371"/>
      <c r="C18" s="31"/>
      <c r="D18" s="31"/>
      <c r="G18" s="31"/>
      <c r="H18" s="31"/>
    </row>
    <row r="19" spans="1:15" s="35" customFormat="1" ht="18" customHeight="1" thickTop="1" x14ac:dyDescent="0.15">
      <c r="A19" s="2472" t="s">
        <v>186</v>
      </c>
      <c r="B19" s="2474" t="s">
        <v>528</v>
      </c>
      <c r="C19" s="2475"/>
      <c r="D19" s="2476"/>
      <c r="E19" s="2487" t="s">
        <v>33</v>
      </c>
      <c r="F19" s="2486" t="s">
        <v>916</v>
      </c>
      <c r="G19" s="2487" t="s">
        <v>336</v>
      </c>
      <c r="H19" s="2484" t="s">
        <v>915</v>
      </c>
      <c r="J19" s="514">
        <f ca="1">Orçamento_Deson!K889</f>
        <v>4.6589657483838892E-2</v>
      </c>
    </row>
    <row r="20" spans="1:15" s="35" customFormat="1" ht="18" customHeight="1" x14ac:dyDescent="0.15">
      <c r="A20" s="2473"/>
      <c r="B20" s="2477"/>
      <c r="C20" s="2478"/>
      <c r="D20" s="2479"/>
      <c r="E20" s="2462"/>
      <c r="F20" s="2462"/>
      <c r="G20" s="2462"/>
      <c r="H20" s="2485"/>
      <c r="I20" s="382"/>
      <c r="J20" s="382"/>
      <c r="K20" s="382"/>
      <c r="L20" s="382"/>
      <c r="M20" s="395"/>
      <c r="N20" s="396"/>
      <c r="O20" s="397"/>
    </row>
    <row r="21" spans="1:15" s="382" customFormat="1" ht="18" customHeight="1" x14ac:dyDescent="0.15">
      <c r="A21" s="379">
        <v>93567</v>
      </c>
      <c r="B21" s="2480" t="str">
        <f>VLOOKUP($A21,[2]BOLETIM_SEL!$A:$G,4,0)</f>
        <v>Engenheiro civil de obra pleno com encargos complementares (mensalista)</v>
      </c>
      <c r="C21" s="2481"/>
      <c r="D21" s="2481"/>
      <c r="E21" s="804" t="str">
        <f>VLOOKUP($A21,[2]BOLETIM_SEL!$A:$G,6,0)</f>
        <v>MES</v>
      </c>
      <c r="F21" s="380">
        <f>VLOOKUP(A21,[2]BOLETIM_SEL!$A:$G,7,0)</f>
        <v>19385.919999999998</v>
      </c>
      <c r="G21" s="380">
        <v>1</v>
      </c>
      <c r="H21" s="580">
        <f t="shared" ref="H21:H31" si="1">F21*G21</f>
        <v>19385.919999999998</v>
      </c>
      <c r="I21" s="691"/>
      <c r="J21" s="691"/>
      <c r="K21" s="691"/>
      <c r="L21" s="691"/>
    </row>
    <row r="22" spans="1:15" s="382" customFormat="1" ht="18" hidden="1" customHeight="1" x14ac:dyDescent="0.15">
      <c r="A22" s="379">
        <v>93565</v>
      </c>
      <c r="B22" s="2451" t="str">
        <f>VLOOKUP($A22,[2]BOLETIM_SEL!$A:$G,4,0)</f>
        <v>Engenheiro civil de obra júnior com encargos complementares (mensalista)</v>
      </c>
      <c r="C22" s="2452"/>
      <c r="D22" s="2453"/>
      <c r="E22" s="804" t="str">
        <f>VLOOKUP($A22,[2]BOLETIM_SEL!$A:$G,6,0)</f>
        <v>MES</v>
      </c>
      <c r="F22" s="380">
        <f>VLOOKUP(A22,[2]BOLETIM_SEL!$A:$G,7,0)</f>
        <v>17076.25</v>
      </c>
      <c r="G22" s="380"/>
      <c r="H22" s="381">
        <f t="shared" si="1"/>
        <v>0</v>
      </c>
      <c r="I22" s="691"/>
      <c r="J22" s="691"/>
      <c r="K22" s="691"/>
      <c r="L22" s="691"/>
    </row>
    <row r="23" spans="1:15" s="382" customFormat="1" ht="18" customHeight="1" x14ac:dyDescent="0.15">
      <c r="A23" s="379">
        <v>93563</v>
      </c>
      <c r="B23" s="2451" t="str">
        <f>VLOOKUP($A23,[2]BOLETIM_SEL!$A:$G,4,0)</f>
        <v>Almoxarife com encargos complementares (mensalista)</v>
      </c>
      <c r="C23" s="2452"/>
      <c r="D23" s="2453"/>
      <c r="E23" s="804" t="str">
        <f>VLOOKUP($A23,[2]BOLETIM_SEL!$A:$G,6,0)</f>
        <v>MES</v>
      </c>
      <c r="F23" s="380">
        <f>VLOOKUP(A23,[2]BOLETIM_SEL!$A:$G,7,0)</f>
        <v>3293.59</v>
      </c>
      <c r="G23" s="380">
        <v>2</v>
      </c>
      <c r="H23" s="381">
        <f t="shared" si="1"/>
        <v>6587.18</v>
      </c>
      <c r="I23" s="691"/>
      <c r="J23" s="691"/>
      <c r="K23" s="691"/>
      <c r="L23" s="691"/>
    </row>
    <row r="24" spans="1:15" s="382" customFormat="1" ht="18" customHeight="1" x14ac:dyDescent="0.15">
      <c r="A24" s="379">
        <v>93564</v>
      </c>
      <c r="B24" s="2451" t="str">
        <f>VLOOKUP($A24,[2]BOLETIM_SEL!$A:$G,4,0)</f>
        <v>Apontador ou apropriador com encargos complementares (mensalista)</v>
      </c>
      <c r="C24" s="2452"/>
      <c r="D24" s="2453"/>
      <c r="E24" s="804" t="str">
        <f>VLOOKUP($A24,[2]BOLETIM_SEL!$A:$G,6,0)</f>
        <v>MES</v>
      </c>
      <c r="F24" s="380">
        <f>VLOOKUP(A24,[2]BOLETIM_SEL!$A:$G,7,0)</f>
        <v>3219.81</v>
      </c>
      <c r="G24" s="380">
        <v>2</v>
      </c>
      <c r="H24" s="381">
        <f t="shared" si="1"/>
        <v>6439.62</v>
      </c>
      <c r="I24" s="691"/>
      <c r="J24" s="691"/>
      <c r="K24" s="691"/>
      <c r="L24" s="691"/>
    </row>
    <row r="25" spans="1:15" s="382" customFormat="1" ht="18" customHeight="1" x14ac:dyDescent="0.15">
      <c r="A25" s="379">
        <v>94295</v>
      </c>
      <c r="B25" s="2451" t="str">
        <f>VLOOKUP($A25,[2]BOLETIM_SEL!$A:$G,4,0)</f>
        <v>Mestre de obras com encargos complementares (mensalista)</v>
      </c>
      <c r="C25" s="2452"/>
      <c r="D25" s="2453"/>
      <c r="E25" s="804" t="str">
        <f>VLOOKUP($A25,[2]BOLETIM_SEL!$A:$G,6,0)</f>
        <v>MES</v>
      </c>
      <c r="F25" s="380">
        <f>VLOOKUP(A25,[2]BOLETIM_SEL!$A:$G,7,0)</f>
        <v>5500.99</v>
      </c>
      <c r="G25" s="380">
        <v>2</v>
      </c>
      <c r="H25" s="381">
        <f t="shared" si="1"/>
        <v>11001.98</v>
      </c>
      <c r="I25" s="691"/>
      <c r="J25" s="691"/>
      <c r="K25" s="691"/>
      <c r="L25" s="691"/>
    </row>
    <row r="26" spans="1:15" s="382" customFormat="1" ht="18" customHeight="1" x14ac:dyDescent="0.15">
      <c r="A26" s="379">
        <v>100321</v>
      </c>
      <c r="B26" s="2451" t="str">
        <f>VLOOKUP($A26,[2]BOLETIM_SEL!$A:$G,4,0)</f>
        <v>Técnico de segurança do trabalho com encargos complementares (mensalista)</v>
      </c>
      <c r="C26" s="2452"/>
      <c r="D26" s="2453"/>
      <c r="E26" s="804" t="str">
        <f>VLOOKUP($A26,[2]BOLETIM_SEL!$A:$G,6,0)</f>
        <v>MES</v>
      </c>
      <c r="F26" s="380">
        <f>VLOOKUP(A26,[2]BOLETIM_SEL!$A:$G,7,0)</f>
        <v>4642.7299999999996</v>
      </c>
      <c r="G26" s="380">
        <v>3</v>
      </c>
      <c r="H26" s="381">
        <f>F26*G26</f>
        <v>13928.189999999999</v>
      </c>
      <c r="I26" s="691"/>
      <c r="J26" s="691"/>
      <c r="K26" s="691"/>
      <c r="L26" s="691"/>
    </row>
    <row r="27" spans="1:15" s="382" customFormat="1" ht="18" customHeight="1" x14ac:dyDescent="0.15">
      <c r="A27" s="379">
        <v>94296</v>
      </c>
      <c r="B27" s="2451" t="str">
        <f>VLOOKUP($A27,[2]BOLETIM_SEL!$A:$G,4,0)</f>
        <v>Topografo com encargos complementares (mensalista)</v>
      </c>
      <c r="C27" s="2452"/>
      <c r="D27" s="2453"/>
      <c r="E27" s="804" t="str">
        <f>VLOOKUP($A27,[2]BOLETIM_SEL!$A:$G,6,0)</f>
        <v>MES</v>
      </c>
      <c r="F27" s="380">
        <f>VLOOKUP(A27,[2]BOLETIM_SEL!$A:$G,7,0)</f>
        <v>3865.41</v>
      </c>
      <c r="G27" s="380">
        <v>3</v>
      </c>
      <c r="H27" s="381">
        <f t="shared" si="1"/>
        <v>11596.23</v>
      </c>
      <c r="I27" s="691"/>
      <c r="J27" s="691"/>
      <c r="K27" s="691"/>
      <c r="L27" s="691"/>
    </row>
    <row r="28" spans="1:15" s="382" customFormat="1" ht="18" customHeight="1" x14ac:dyDescent="0.15">
      <c r="A28" s="379">
        <v>101456</v>
      </c>
      <c r="B28" s="2451" t="str">
        <f>VLOOKUP($A28,[2]BOLETIM_SEL!$A:$G,4,0)</f>
        <v>Técnico de laboratório e campo de construção com encargos complementares (mensalista)</v>
      </c>
      <c r="C28" s="2452"/>
      <c r="D28" s="2453"/>
      <c r="E28" s="804" t="str">
        <f>VLOOKUP($A28,[2]BOLETIM_SEL!$A:$G,6,0)</f>
        <v>MES</v>
      </c>
      <c r="F28" s="380">
        <f>VLOOKUP(A28,[2]BOLETIM_SEL!$A:$G,7,0)</f>
        <v>4779.8900000000003</v>
      </c>
      <c r="G28" s="380">
        <v>3</v>
      </c>
      <c r="H28" s="381">
        <f t="shared" si="1"/>
        <v>14339.670000000002</v>
      </c>
      <c r="I28" s="691"/>
      <c r="J28" s="691"/>
      <c r="K28" s="691"/>
      <c r="L28" s="691"/>
    </row>
    <row r="29" spans="1:15" s="382" customFormat="1" ht="18" customHeight="1" x14ac:dyDescent="0.15">
      <c r="A29" s="379">
        <v>101389</v>
      </c>
      <c r="B29" s="2451" t="str">
        <f>VLOOKUP($A29,[2]BOLETIM_SEL!$A:$G,4,0)</f>
        <v>Auxiliar de topógrafo com encargos complementares (mensalista)</v>
      </c>
      <c r="C29" s="2452"/>
      <c r="D29" s="2453"/>
      <c r="E29" s="804" t="str">
        <f>VLOOKUP($A29,[2]BOLETIM_SEL!$A:$G,6,0)</f>
        <v>MES</v>
      </c>
      <c r="F29" s="380">
        <f>VLOOKUP(A29,[2]BOLETIM_SEL!$A:$G,7,0)</f>
        <v>1943.21</v>
      </c>
      <c r="G29" s="380">
        <v>2</v>
      </c>
      <c r="H29" s="381">
        <f t="shared" si="1"/>
        <v>3886.42</v>
      </c>
      <c r="I29" s="691"/>
      <c r="J29" s="691"/>
      <c r="K29" s="691"/>
      <c r="L29" s="691"/>
    </row>
    <row r="30" spans="1:15" s="382" customFormat="1" ht="18" customHeight="1" x14ac:dyDescent="0.15">
      <c r="A30" s="379">
        <v>101385</v>
      </c>
      <c r="B30" s="2451" t="str">
        <f>VLOOKUP($A30,[2]BOLETIM_SEL!$A:$G,4,0)</f>
        <v>Auxiliar de laboratorista de solos e de concreto com encargos complementares (mensalista)</v>
      </c>
      <c r="C30" s="2452"/>
      <c r="D30" s="2453"/>
      <c r="E30" s="804" t="str">
        <f>VLOOKUP($A30,[2]BOLETIM_SEL!$A:$G,6,0)</f>
        <v>MES</v>
      </c>
      <c r="F30" s="380">
        <f>VLOOKUP(A30,[2]BOLETIM_SEL!$A:$G,7,0)</f>
        <v>4031.31</v>
      </c>
      <c r="G30" s="380">
        <v>2</v>
      </c>
      <c r="H30" s="381">
        <f t="shared" si="1"/>
        <v>8062.62</v>
      </c>
      <c r="I30" s="691"/>
      <c r="J30" s="691"/>
      <c r="K30" s="691"/>
      <c r="L30" s="691"/>
    </row>
    <row r="31" spans="1:15" s="382" customFormat="1" ht="18" customHeight="1" x14ac:dyDescent="0.15">
      <c r="A31" s="383">
        <v>101460</v>
      </c>
      <c r="B31" s="2451" t="str">
        <f>VLOOKUP($A31,[2]BOLETIM_SEL!$A:$G,4,0)</f>
        <v>Vigia Diurno com encargos complementares (mensalista)</v>
      </c>
      <c r="C31" s="2452"/>
      <c r="D31" s="2453"/>
      <c r="E31" s="804" t="str">
        <f>VLOOKUP($A31,[2]BOLETIM_SEL!$A:$G,6,0)</f>
        <v>MES</v>
      </c>
      <c r="F31" s="380">
        <f>VLOOKUP(A31,[2]BOLETIM_SEL!$A:$G,7,0)</f>
        <v>3139.97</v>
      </c>
      <c r="G31" s="380">
        <v>6</v>
      </c>
      <c r="H31" s="381">
        <f t="shared" si="1"/>
        <v>18839.82</v>
      </c>
      <c r="I31" s="691"/>
      <c r="J31" s="691"/>
      <c r="K31" s="691"/>
      <c r="L31" s="691"/>
    </row>
    <row r="32" spans="1:15" s="382" customFormat="1" ht="18" hidden="1" customHeight="1" x14ac:dyDescent="0.15">
      <c r="A32" s="383"/>
      <c r="B32" s="2012"/>
      <c r="C32" s="2017"/>
      <c r="D32" s="2017"/>
      <c r="E32" s="803"/>
      <c r="F32" s="380"/>
      <c r="G32" s="380"/>
      <c r="H32" s="381"/>
      <c r="I32" s="691"/>
      <c r="J32" s="691"/>
      <c r="K32" s="691"/>
      <c r="L32" s="691"/>
    </row>
    <row r="33" spans="1:12" s="382" customFormat="1" ht="18" hidden="1" customHeight="1" x14ac:dyDescent="0.15">
      <c r="A33" s="383"/>
      <c r="B33" s="2012"/>
      <c r="C33" s="2017"/>
      <c r="D33" s="2017"/>
      <c r="E33" s="803"/>
      <c r="F33" s="380"/>
      <c r="G33" s="380"/>
      <c r="H33" s="381"/>
      <c r="I33" s="691"/>
      <c r="J33" s="691"/>
      <c r="K33" s="691"/>
      <c r="L33" s="691"/>
    </row>
    <row r="34" spans="1:12" s="382" customFormat="1" ht="18" hidden="1" customHeight="1" x14ac:dyDescent="0.15">
      <c r="A34" s="383"/>
      <c r="B34" s="2012"/>
      <c r="C34" s="2017"/>
      <c r="D34" s="2017"/>
      <c r="E34" s="803"/>
      <c r="F34" s="380"/>
      <c r="G34" s="380"/>
      <c r="H34" s="381"/>
      <c r="I34" s="691"/>
      <c r="J34" s="691"/>
      <c r="K34" s="691"/>
      <c r="L34" s="691"/>
    </row>
    <row r="35" spans="1:12" s="382" customFormat="1" ht="18" hidden="1" customHeight="1" x14ac:dyDescent="0.15">
      <c r="A35" s="383"/>
      <c r="B35" s="2012"/>
      <c r="C35" s="2017"/>
      <c r="D35" s="2017"/>
      <c r="E35" s="803"/>
      <c r="F35" s="380"/>
      <c r="G35" s="380"/>
      <c r="H35" s="381"/>
      <c r="I35" s="691"/>
      <c r="J35" s="691"/>
      <c r="K35" s="691"/>
      <c r="L35" s="691"/>
    </row>
    <row r="36" spans="1:12" s="382" customFormat="1" ht="18" hidden="1" customHeight="1" x14ac:dyDescent="0.15">
      <c r="A36" s="383"/>
      <c r="B36" s="2012"/>
      <c r="C36" s="2017"/>
      <c r="D36" s="2017"/>
      <c r="E36" s="803"/>
      <c r="F36" s="380"/>
      <c r="G36" s="380"/>
      <c r="H36" s="381"/>
      <c r="I36" s="691"/>
      <c r="J36" s="691"/>
      <c r="K36" s="691"/>
      <c r="L36" s="691"/>
    </row>
    <row r="37" spans="1:12" s="382" customFormat="1" ht="18" hidden="1" customHeight="1" x14ac:dyDescent="0.15">
      <c r="A37" s="383"/>
      <c r="B37" s="2012"/>
      <c r="C37" s="2017"/>
      <c r="D37" s="2017"/>
      <c r="E37" s="803"/>
      <c r="F37" s="380"/>
      <c r="G37" s="380"/>
      <c r="H37" s="381"/>
      <c r="I37" s="691"/>
      <c r="J37" s="691"/>
      <c r="K37" s="691"/>
      <c r="L37" s="691"/>
    </row>
    <row r="38" spans="1:12" s="382" customFormat="1" ht="18" hidden="1" customHeight="1" x14ac:dyDescent="0.15">
      <c r="A38" s="383"/>
      <c r="B38" s="2012"/>
      <c r="C38" s="2017"/>
      <c r="D38" s="2017"/>
      <c r="E38" s="803"/>
      <c r="F38" s="380"/>
      <c r="G38" s="380"/>
      <c r="H38" s="381"/>
      <c r="I38" s="691"/>
      <c r="J38" s="691"/>
      <c r="K38" s="691"/>
      <c r="L38" s="691"/>
    </row>
    <row r="39" spans="1:12" s="382" customFormat="1" ht="18" hidden="1" customHeight="1" x14ac:dyDescent="0.15">
      <c r="A39" s="383"/>
      <c r="B39" s="2012"/>
      <c r="C39" s="2017"/>
      <c r="D39" s="2017"/>
      <c r="E39" s="803"/>
      <c r="F39" s="380"/>
      <c r="G39" s="380"/>
      <c r="H39" s="381"/>
      <c r="I39" s="691"/>
      <c r="J39" s="691"/>
      <c r="K39" s="691"/>
      <c r="L39" s="691"/>
    </row>
    <row r="40" spans="1:12" s="382" customFormat="1" ht="18" hidden="1" customHeight="1" x14ac:dyDescent="0.15">
      <c r="A40" s="383"/>
      <c r="B40" s="2012"/>
      <c r="C40" s="2017"/>
      <c r="D40" s="2017"/>
      <c r="E40" s="803"/>
      <c r="F40" s="380"/>
      <c r="G40" s="380"/>
      <c r="H40" s="381"/>
      <c r="I40" s="691"/>
      <c r="J40" s="691"/>
      <c r="K40" s="691"/>
      <c r="L40" s="691"/>
    </row>
    <row r="41" spans="1:12" s="382" customFormat="1" ht="18" hidden="1" customHeight="1" x14ac:dyDescent="0.15">
      <c r="A41" s="383"/>
      <c r="B41" s="2012"/>
      <c r="C41" s="2017"/>
      <c r="D41" s="2017"/>
      <c r="E41" s="803"/>
      <c r="F41" s="380"/>
      <c r="G41" s="380"/>
      <c r="H41" s="381"/>
      <c r="I41" s="691"/>
      <c r="J41" s="691"/>
      <c r="K41" s="691"/>
      <c r="L41" s="691"/>
    </row>
    <row r="42" spans="1:12" s="382" customFormat="1" ht="18" hidden="1" customHeight="1" x14ac:dyDescent="0.15">
      <c r="A42" s="383"/>
      <c r="B42" s="2012"/>
      <c r="C42" s="2017"/>
      <c r="D42" s="2017"/>
      <c r="E42" s="803"/>
      <c r="F42" s="380"/>
      <c r="G42" s="380"/>
      <c r="H42" s="381"/>
      <c r="I42" s="691"/>
      <c r="J42" s="691"/>
      <c r="K42" s="691"/>
      <c r="L42" s="691"/>
    </row>
    <row r="43" spans="1:12" s="382" customFormat="1" ht="18" hidden="1" customHeight="1" x14ac:dyDescent="0.15">
      <c r="A43" s="383"/>
      <c r="B43" s="2012"/>
      <c r="C43" s="2017"/>
      <c r="D43" s="2017"/>
      <c r="E43" s="803"/>
      <c r="F43" s="380"/>
      <c r="G43" s="380"/>
      <c r="H43" s="381"/>
      <c r="I43" s="691"/>
      <c r="J43" s="691"/>
      <c r="K43" s="691"/>
      <c r="L43" s="691"/>
    </row>
    <row r="44" spans="1:12" s="382" customFormat="1" ht="18" hidden="1" customHeight="1" x14ac:dyDescent="0.15">
      <c r="A44" s="383"/>
      <c r="B44" s="2012"/>
      <c r="C44" s="2017"/>
      <c r="D44" s="2017"/>
      <c r="E44" s="803"/>
      <c r="F44" s="380"/>
      <c r="G44" s="380"/>
      <c r="H44" s="381"/>
      <c r="I44" s="691"/>
      <c r="J44" s="691"/>
      <c r="K44" s="691"/>
      <c r="L44" s="691"/>
    </row>
    <row r="45" spans="1:12" s="382" customFormat="1" ht="18" hidden="1" customHeight="1" x14ac:dyDescent="0.15">
      <c r="A45" s="383"/>
      <c r="B45" s="2012"/>
      <c r="C45" s="2017"/>
      <c r="D45" s="2017"/>
      <c r="E45" s="803"/>
      <c r="F45" s="380"/>
      <c r="G45" s="380"/>
      <c r="H45" s="381"/>
      <c r="I45" s="691"/>
      <c r="J45" s="691"/>
      <c r="K45" s="691"/>
      <c r="L45" s="691"/>
    </row>
    <row r="46" spans="1:12" s="382" customFormat="1" ht="18" hidden="1" customHeight="1" x14ac:dyDescent="0.15">
      <c r="A46" s="383"/>
      <c r="B46" s="2012"/>
      <c r="C46" s="2017"/>
      <c r="D46" s="2017"/>
      <c r="E46" s="803"/>
      <c r="F46" s="380"/>
      <c r="G46" s="380"/>
      <c r="H46" s="381"/>
      <c r="I46" s="691"/>
      <c r="J46" s="691"/>
      <c r="K46" s="691"/>
      <c r="L46" s="691"/>
    </row>
    <row r="47" spans="1:12" s="382" customFormat="1" ht="18" hidden="1" customHeight="1" x14ac:dyDescent="0.15">
      <c r="A47" s="383"/>
      <c r="B47" s="2012"/>
      <c r="C47" s="2017"/>
      <c r="D47" s="2017"/>
      <c r="E47" s="803"/>
      <c r="F47" s="380"/>
      <c r="G47" s="380"/>
      <c r="H47" s="381"/>
      <c r="I47" s="691"/>
      <c r="J47" s="691"/>
      <c r="K47" s="691"/>
      <c r="L47" s="691"/>
    </row>
    <row r="48" spans="1:12" s="382" customFormat="1" ht="18" hidden="1" customHeight="1" x14ac:dyDescent="0.15">
      <c r="A48" s="383"/>
      <c r="B48" s="2012"/>
      <c r="C48" s="2017"/>
      <c r="D48" s="2017"/>
      <c r="E48" s="803"/>
      <c r="F48" s="380"/>
      <c r="G48" s="380"/>
      <c r="H48" s="381"/>
      <c r="I48" s="691"/>
      <c r="J48" s="691"/>
      <c r="K48" s="691"/>
      <c r="L48" s="691"/>
    </row>
    <row r="49" spans="1:12" s="382" customFormat="1" ht="18" hidden="1" customHeight="1" x14ac:dyDescent="0.15">
      <c r="A49" s="383"/>
      <c r="B49" s="2012"/>
      <c r="C49" s="2017"/>
      <c r="D49" s="2017"/>
      <c r="E49" s="803"/>
      <c r="F49" s="380"/>
      <c r="G49" s="380"/>
      <c r="H49" s="381"/>
      <c r="I49" s="691"/>
      <c r="J49" s="691"/>
      <c r="K49" s="691"/>
      <c r="L49" s="691"/>
    </row>
    <row r="50" spans="1:12" s="382" customFormat="1" ht="18" hidden="1" customHeight="1" x14ac:dyDescent="0.15">
      <c r="A50" s="383"/>
      <c r="B50" s="2012"/>
      <c r="C50" s="2017"/>
      <c r="D50" s="2017"/>
      <c r="E50" s="803"/>
      <c r="F50" s="380"/>
      <c r="G50" s="380"/>
      <c r="H50" s="381"/>
      <c r="I50" s="691"/>
      <c r="J50" s="691"/>
      <c r="K50" s="691"/>
      <c r="L50" s="691"/>
    </row>
    <row r="51" spans="1:12" s="382" customFormat="1" ht="18" hidden="1" customHeight="1" x14ac:dyDescent="0.15">
      <c r="A51" s="383"/>
      <c r="B51" s="2012"/>
      <c r="C51" s="2017"/>
      <c r="D51" s="2017"/>
      <c r="E51" s="803"/>
      <c r="F51" s="380"/>
      <c r="G51" s="380"/>
      <c r="H51" s="381"/>
      <c r="I51" s="691"/>
      <c r="J51" s="691"/>
      <c r="K51" s="691"/>
      <c r="L51" s="691"/>
    </row>
    <row r="52" spans="1:12" s="382" customFormat="1" ht="18" hidden="1" customHeight="1" x14ac:dyDescent="0.15">
      <c r="A52" s="383"/>
      <c r="B52" s="2012"/>
      <c r="C52" s="2017"/>
      <c r="D52" s="2017"/>
      <c r="E52" s="803"/>
      <c r="F52" s="380"/>
      <c r="G52" s="380"/>
      <c r="H52" s="381"/>
      <c r="I52" s="691"/>
      <c r="J52" s="691"/>
      <c r="K52" s="691"/>
      <c r="L52" s="691"/>
    </row>
    <row r="53" spans="1:12" s="382" customFormat="1" ht="18" hidden="1" customHeight="1" x14ac:dyDescent="0.15">
      <c r="A53" s="383"/>
      <c r="B53" s="2012"/>
      <c r="C53" s="2017"/>
      <c r="D53" s="2017"/>
      <c r="E53" s="803"/>
      <c r="F53" s="380"/>
      <c r="G53" s="380"/>
      <c r="H53" s="381"/>
      <c r="I53" s="691"/>
      <c r="J53" s="691"/>
      <c r="K53" s="691"/>
      <c r="L53" s="691"/>
    </row>
    <row r="54" spans="1:12" s="382" customFormat="1" ht="18" hidden="1" customHeight="1" x14ac:dyDescent="0.15">
      <c r="A54" s="383"/>
      <c r="B54" s="2012"/>
      <c r="C54" s="2017"/>
      <c r="D54" s="2017"/>
      <c r="E54" s="803"/>
      <c r="F54" s="380"/>
      <c r="G54" s="380"/>
      <c r="H54" s="381"/>
      <c r="I54" s="691"/>
      <c r="J54" s="691"/>
      <c r="K54" s="691"/>
      <c r="L54" s="691"/>
    </row>
    <row r="55" spans="1:12" s="382" customFormat="1" ht="18" hidden="1" customHeight="1" x14ac:dyDescent="0.15">
      <c r="A55" s="383"/>
      <c r="B55" s="2012"/>
      <c r="C55" s="2017"/>
      <c r="D55" s="2017"/>
      <c r="E55" s="803"/>
      <c r="F55" s="380"/>
      <c r="G55" s="380"/>
      <c r="H55" s="381"/>
      <c r="I55" s="691"/>
      <c r="J55" s="691"/>
      <c r="K55" s="691"/>
      <c r="L55" s="691"/>
    </row>
    <row r="56" spans="1:12" s="382" customFormat="1" ht="18" hidden="1" customHeight="1" x14ac:dyDescent="0.15">
      <c r="A56" s="383"/>
      <c r="B56" s="2012"/>
      <c r="C56" s="2017"/>
      <c r="D56" s="2017"/>
      <c r="E56" s="803"/>
      <c r="F56" s="380"/>
      <c r="G56" s="380"/>
      <c r="H56" s="381"/>
      <c r="I56" s="691"/>
      <c r="J56" s="691"/>
      <c r="K56" s="691"/>
      <c r="L56" s="691"/>
    </row>
    <row r="57" spans="1:12" s="382" customFormat="1" ht="18" hidden="1" customHeight="1" x14ac:dyDescent="0.15">
      <c r="A57" s="383"/>
      <c r="B57" s="2012"/>
      <c r="C57" s="2017"/>
      <c r="D57" s="2017"/>
      <c r="E57" s="803"/>
      <c r="F57" s="380"/>
      <c r="G57" s="380"/>
      <c r="H57" s="381"/>
      <c r="I57" s="691"/>
      <c r="J57" s="691"/>
      <c r="K57" s="691"/>
      <c r="L57" s="691"/>
    </row>
    <row r="58" spans="1:12" s="382" customFormat="1" ht="18" hidden="1" customHeight="1" x14ac:dyDescent="0.15">
      <c r="A58" s="383"/>
      <c r="B58" s="2012"/>
      <c r="C58" s="2017"/>
      <c r="D58" s="2017"/>
      <c r="E58" s="803"/>
      <c r="F58" s="380"/>
      <c r="G58" s="380"/>
      <c r="H58" s="381"/>
      <c r="I58" s="691"/>
      <c r="J58" s="691"/>
      <c r="K58" s="691"/>
      <c r="L58" s="691"/>
    </row>
    <row r="59" spans="1:12" s="382" customFormat="1" ht="18" hidden="1" customHeight="1" x14ac:dyDescent="0.15">
      <c r="A59" s="383"/>
      <c r="B59" s="2012"/>
      <c r="C59" s="2017"/>
      <c r="D59" s="2017"/>
      <c r="E59" s="803"/>
      <c r="F59" s="380"/>
      <c r="G59" s="380"/>
      <c r="H59" s="381"/>
      <c r="I59" s="691"/>
      <c r="J59" s="691"/>
      <c r="K59" s="691"/>
      <c r="L59" s="691"/>
    </row>
    <row r="60" spans="1:12" s="382" customFormat="1" ht="18" hidden="1" customHeight="1" x14ac:dyDescent="0.15">
      <c r="A60" s="383"/>
      <c r="B60" s="2012"/>
      <c r="C60" s="2017"/>
      <c r="D60" s="2017"/>
      <c r="E60" s="803"/>
      <c r="F60" s="380"/>
      <c r="G60" s="380"/>
      <c r="H60" s="381"/>
      <c r="I60" s="691"/>
      <c r="J60" s="691"/>
      <c r="K60" s="691"/>
      <c r="L60" s="691"/>
    </row>
    <row r="61" spans="1:12" s="382" customFormat="1" ht="18" customHeight="1" x14ac:dyDescent="0.15">
      <c r="A61" s="383"/>
      <c r="B61" s="2012"/>
      <c r="C61" s="2017"/>
      <c r="D61" s="2017"/>
      <c r="E61" s="803"/>
      <c r="F61" s="380"/>
      <c r="G61" s="380"/>
      <c r="H61" s="381"/>
      <c r="I61" s="691"/>
      <c r="J61" s="691"/>
      <c r="K61" s="691"/>
      <c r="L61" s="691"/>
    </row>
    <row r="62" spans="1:12" s="382" customFormat="1" ht="18" customHeight="1" x14ac:dyDescent="0.15">
      <c r="A62" s="383"/>
      <c r="B62" s="2012"/>
      <c r="C62" s="2017"/>
      <c r="D62" s="2017"/>
      <c r="E62" s="803"/>
      <c r="F62" s="380"/>
      <c r="G62" s="380"/>
      <c r="H62" s="381"/>
      <c r="I62" s="691"/>
      <c r="J62" s="691"/>
      <c r="K62" s="691"/>
      <c r="L62" s="691"/>
    </row>
    <row r="63" spans="1:12" s="382" customFormat="1" ht="18" customHeight="1" thickBot="1" x14ac:dyDescent="0.2">
      <c r="A63" s="398"/>
      <c r="B63" s="2482"/>
      <c r="C63" s="2483"/>
      <c r="D63" s="2483"/>
      <c r="E63" s="1695"/>
      <c r="F63" s="1696"/>
      <c r="G63" s="1696"/>
      <c r="H63" s="1697"/>
      <c r="I63" s="691"/>
      <c r="J63" s="691"/>
      <c r="K63" s="691"/>
      <c r="L63" s="691"/>
    </row>
    <row r="64" spans="1:12" s="35" customFormat="1" ht="18" customHeight="1" thickTop="1" x14ac:dyDescent="0.15">
      <c r="A64" s="203"/>
      <c r="B64" s="371"/>
      <c r="C64" s="399"/>
      <c r="D64" s="400" t="s">
        <v>529</v>
      </c>
      <c r="G64" s="399"/>
      <c r="H64" s="370">
        <f>SUM(H21:H63)</f>
        <v>114067.65</v>
      </c>
      <c r="I64" s="382"/>
      <c r="J64" s="382"/>
      <c r="K64" s="382"/>
      <c r="L64" s="382"/>
    </row>
    <row r="65" spans="1:12" s="35" customFormat="1" ht="18" customHeight="1" x14ac:dyDescent="0.15">
      <c r="A65" s="394"/>
      <c r="B65" s="371"/>
      <c r="D65" s="46" t="s">
        <v>530</v>
      </c>
      <c r="G65" s="370"/>
      <c r="H65" s="370">
        <f>H17+H64</f>
        <v>137338.41</v>
      </c>
      <c r="I65" s="382"/>
      <c r="J65" s="382"/>
      <c r="K65" s="382"/>
      <c r="L65" s="382"/>
    </row>
    <row r="66" spans="1:12" s="35" customFormat="1" ht="18" customHeight="1" x14ac:dyDescent="0.2">
      <c r="A66" s="203"/>
      <c r="B66" s="371"/>
      <c r="C66" s="401"/>
      <c r="D66" s="46" t="s">
        <v>531</v>
      </c>
      <c r="H66" s="402">
        <f>H65/G7</f>
        <v>22889.735000000001</v>
      </c>
      <c r="I66" s="382"/>
      <c r="J66" s="382"/>
      <c r="K66" s="382"/>
      <c r="L66" s="382"/>
    </row>
    <row r="67" spans="1:12" s="35" customFormat="1" ht="19.5" customHeight="1" thickBot="1" x14ac:dyDescent="0.2">
      <c r="A67" s="203"/>
      <c r="B67" s="2018"/>
      <c r="C67" s="2018"/>
      <c r="D67" s="2018"/>
      <c r="E67" s="2018"/>
      <c r="F67" s="2018"/>
      <c r="G67" s="1698"/>
      <c r="H67" s="1699"/>
    </row>
    <row r="68" spans="1:12" s="35" customFormat="1" ht="18" customHeight="1" thickTop="1" thickBot="1" x14ac:dyDescent="0.2">
      <c r="A68" s="403" t="s">
        <v>752</v>
      </c>
      <c r="B68" s="404"/>
      <c r="C68" s="405"/>
      <c r="D68" s="405"/>
      <c r="E68" s="405"/>
      <c r="F68" s="406"/>
      <c r="G68" s="407" t="s">
        <v>199</v>
      </c>
      <c r="H68" s="408">
        <f>TRUNC(H66,2)</f>
        <v>22889.73</v>
      </c>
    </row>
    <row r="69" spans="1:12" s="35" customFormat="1" ht="18" customHeight="1" thickTop="1" thickBot="1" x14ac:dyDescent="0.2">
      <c r="A69" s="403" t="str">
        <f>CONCATENATE("CUSTO DIRETO TOTAL PARA ",G7," MESES DE OBRA:")</f>
        <v>CUSTO DIRETO TOTAL PARA 6 MESES DE OBRA:</v>
      </c>
      <c r="B69" s="404"/>
      <c r="C69" s="405"/>
      <c r="D69" s="405"/>
      <c r="E69" s="405"/>
      <c r="F69" s="406"/>
      <c r="G69" s="407" t="s">
        <v>199</v>
      </c>
      <c r="H69" s="408">
        <f>TRUNC(+H68*G7,2)</f>
        <v>137338.38</v>
      </c>
    </row>
    <row r="70" spans="1:12" s="35" customFormat="1" ht="18" customHeight="1" thickTop="1" x14ac:dyDescent="0.15">
      <c r="A70" s="855" t="s">
        <v>533</v>
      </c>
      <c r="C70" s="370"/>
      <c r="D70" s="370"/>
      <c r="E70" s="371"/>
      <c r="G70" s="370"/>
      <c r="H70" s="370"/>
    </row>
  </sheetData>
  <mergeCells count="30">
    <mergeCell ref="B21:D21"/>
    <mergeCell ref="B22:D22"/>
    <mergeCell ref="C3:E3"/>
    <mergeCell ref="B6:D6"/>
    <mergeCell ref="E6:G6"/>
    <mergeCell ref="B7:D7"/>
    <mergeCell ref="E7:F7"/>
    <mergeCell ref="G9:G10"/>
    <mergeCell ref="B9:C10"/>
    <mergeCell ref="H9:H10"/>
    <mergeCell ref="A19:A20"/>
    <mergeCell ref="B19:D20"/>
    <mergeCell ref="E19:E20"/>
    <mergeCell ref="F19:F20"/>
    <mergeCell ref="G19:G20"/>
    <mergeCell ref="H19:H20"/>
    <mergeCell ref="A9:A10"/>
    <mergeCell ref="D9:D10"/>
    <mergeCell ref="E9:E10"/>
    <mergeCell ref="F9:F10"/>
    <mergeCell ref="B23:D23"/>
    <mergeCell ref="B24:D24"/>
    <mergeCell ref="B25:D25"/>
    <mergeCell ref="B27:D27"/>
    <mergeCell ref="B28:D28"/>
    <mergeCell ref="B29:D29"/>
    <mergeCell ref="B30:D30"/>
    <mergeCell ref="B31:D31"/>
    <mergeCell ref="B26:D26"/>
    <mergeCell ref="B63:D63"/>
  </mergeCells>
  <printOptions horizontalCentered="1"/>
  <pageMargins left="0.39370078740157483" right="0.39370078740157483" top="0.59055118110236227" bottom="0.59055118110236227" header="0.23622047244094491" footer="0.23622047244094491"/>
  <pageSetup paperSize="9" scale="80" orientation="portrait" r:id="rId1"/>
  <headerFooter>
    <oddFooter>&amp;L&amp;"Arial,Normal"&amp;8&amp;F&amp;C&amp;"Arial,Normal"&amp;8&amp;P/&amp;N&amp;R&amp;"+,Regular"&amp;8Ricardo Schettini Figueiredo
Eng. Civil - CREA-RJ 52.656/D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19"/>
  <dimension ref="A1:O38"/>
  <sheetViews>
    <sheetView showZeros="0" zoomScale="85" zoomScaleNormal="85" workbookViewId="0">
      <selection activeCell="C38" sqref="C38"/>
    </sheetView>
  </sheetViews>
  <sheetFormatPr defaultRowHeight="34.5" customHeight="1" x14ac:dyDescent="0.2"/>
  <cols>
    <col min="1" max="1" width="24" bestFit="1" customWidth="1"/>
    <col min="2" max="2" width="7.375" customWidth="1"/>
    <col min="3" max="3" width="23.625" customWidth="1"/>
    <col min="4" max="4" width="7.375" customWidth="1"/>
    <col min="5" max="5" width="18.25" customWidth="1"/>
    <col min="6" max="6" width="7.375" customWidth="1"/>
    <col min="7" max="7" width="18.5" customWidth="1"/>
    <col min="8" max="8" width="7.375" customWidth="1"/>
    <col min="9" max="9" width="12.625" customWidth="1"/>
    <col min="10" max="10" width="7.375" customWidth="1"/>
    <col min="11" max="11" width="12.625" customWidth="1"/>
    <col min="12" max="12" width="7.375" customWidth="1"/>
    <col min="13" max="13" width="7.5" customWidth="1"/>
  </cols>
  <sheetData>
    <row r="1" spans="1:15" ht="24.95" customHeight="1" x14ac:dyDescent="0.2">
      <c r="A1" s="853" t="str">
        <f>Orçamento_Não_Deson!B1</f>
        <v>PREFEITURA MUNICIPAL DE CAMPO GRANDE - MS</v>
      </c>
      <c r="B1" s="810"/>
    </row>
    <row r="2" spans="1:15" ht="24.95" customHeight="1" x14ac:dyDescent="0.2">
      <c r="A2" s="460" t="str">
        <f>Orçamento_Não_Deson!B2</f>
        <v>SECRETARIA MUNICIPAL DE INFRAESTRUTURA E SERVIÇOS PÚBLICOS - SISEP</v>
      </c>
      <c r="B2" s="816"/>
    </row>
    <row r="3" spans="1:15" ht="20.100000000000001" customHeight="1" x14ac:dyDescent="0.2">
      <c r="A3" s="816"/>
      <c r="B3" s="818"/>
    </row>
    <row r="4" spans="1:15" ht="20.100000000000001" customHeight="1" x14ac:dyDescent="0.2">
      <c r="A4" s="865">
        <f>Orçamento_Não_Deson!B4</f>
        <v>0</v>
      </c>
      <c r="B4" s="874">
        <f>Orçamento_Não_Deson!C4</f>
        <v>0</v>
      </c>
    </row>
    <row r="5" spans="1:15" ht="20.100000000000001" customHeight="1" x14ac:dyDescent="0.2">
      <c r="A5" s="865" t="str">
        <f>Orçamento_Não_Deson!B5</f>
        <v>OBRA :</v>
      </c>
      <c r="B5" s="874" t="str">
        <f>Orçamento_Não_Deson!C5</f>
        <v xml:space="preserve">INFRAESTRUTURA URBANA - PAVIMENTAÇÃO ASFÁLTICA E DRENAGEM DE ÁGUAS PLUVIAIS </v>
      </c>
    </row>
    <row r="6" spans="1:15" ht="20.100000000000001" customHeight="1" x14ac:dyDescent="0.2">
      <c r="A6" s="865" t="str">
        <f>Orçamento_Não_Deson!B6</f>
        <v>LOCAL :</v>
      </c>
      <c r="B6" s="874" t="str">
        <f>Orçamento_Não_Deson!C6</f>
        <v>JARDIM NASHIVILLE - ETAPA "B" - FASE 2</v>
      </c>
    </row>
    <row r="7" spans="1:15" ht="20.100000000000001" customHeight="1" x14ac:dyDescent="0.2">
      <c r="A7" s="865" t="str">
        <f>Orçamento_Não_Deson!B7</f>
        <v>MUNICÍPIO :</v>
      </c>
      <c r="B7" s="874" t="str">
        <f>Orçamento_Não_Deson!C7</f>
        <v>CAMPO GRANDE / MS</v>
      </c>
    </row>
    <row r="8" spans="1:15" ht="20.100000000000001" customHeight="1" x14ac:dyDescent="0.2">
      <c r="A8" s="865"/>
      <c r="B8" s="874"/>
    </row>
    <row r="9" spans="1:15" ht="20.100000000000001" customHeight="1" x14ac:dyDescent="0.2">
      <c r="A9" s="1618" t="s">
        <v>1949</v>
      </c>
      <c r="B9" s="1616"/>
      <c r="C9" s="1617"/>
      <c r="D9" s="1617"/>
      <c r="E9" s="1617"/>
      <c r="F9" s="1617"/>
      <c r="G9" s="1617"/>
      <c r="H9" s="1617"/>
      <c r="I9" s="1617"/>
      <c r="J9" s="1617"/>
      <c r="K9" s="1617"/>
      <c r="L9" s="1617"/>
    </row>
    <row r="10" spans="1:15" ht="20.100000000000001" customHeight="1" thickBot="1" x14ac:dyDescent="0.25"/>
    <row r="11" spans="1:15" ht="20.100000000000001" customHeight="1" thickTop="1" x14ac:dyDescent="0.2">
      <c r="A11" s="2500" t="s">
        <v>1662</v>
      </c>
      <c r="B11" s="2502" t="s">
        <v>1702</v>
      </c>
      <c r="C11" s="2499" t="s">
        <v>1340</v>
      </c>
      <c r="D11" s="2497"/>
      <c r="E11" s="2497" t="s">
        <v>1704</v>
      </c>
      <c r="F11" s="2497"/>
      <c r="G11" s="2497" t="s">
        <v>1705</v>
      </c>
      <c r="H11" s="2497"/>
      <c r="I11" s="2497" t="s">
        <v>1706</v>
      </c>
      <c r="J11" s="2497"/>
      <c r="K11" s="2497" t="s">
        <v>1707</v>
      </c>
      <c r="L11" s="2498"/>
      <c r="M11" s="815"/>
      <c r="N11" s="812"/>
      <c r="O11" s="812"/>
    </row>
    <row r="12" spans="1:15" ht="20.100000000000001" customHeight="1" thickBot="1" x14ac:dyDescent="0.25">
      <c r="A12" s="2501"/>
      <c r="B12" s="2503"/>
      <c r="C12" s="1619" t="s">
        <v>1703</v>
      </c>
      <c r="D12" s="1620" t="s">
        <v>532</v>
      </c>
      <c r="E12" s="1620" t="s">
        <v>1703</v>
      </c>
      <c r="F12" s="1620" t="s">
        <v>532</v>
      </c>
      <c r="G12" s="1620" t="s">
        <v>1703</v>
      </c>
      <c r="H12" s="1620" t="s">
        <v>532</v>
      </c>
      <c r="I12" s="1620" t="s">
        <v>1703</v>
      </c>
      <c r="J12" s="1620" t="s">
        <v>532</v>
      </c>
      <c r="K12" s="1620" t="s">
        <v>1703</v>
      </c>
      <c r="L12" s="1621" t="s">
        <v>532</v>
      </c>
      <c r="M12" s="812"/>
      <c r="N12" s="812"/>
      <c r="O12" s="812"/>
    </row>
    <row r="13" spans="1:15" ht="37.5" customHeight="1" thickTop="1" x14ac:dyDescent="0.2">
      <c r="A13" s="1700" t="s">
        <v>711</v>
      </c>
      <c r="B13" s="1622">
        <f>IF(D13=0,0,TRUNC(AVERAGE(C13:L13)))</f>
        <v>22</v>
      </c>
      <c r="C13" s="2385" t="s">
        <v>2787</v>
      </c>
      <c r="D13" s="2386">
        <v>18.5</v>
      </c>
      <c r="E13" s="2386" t="s">
        <v>2788</v>
      </c>
      <c r="F13" s="2386">
        <v>22.1</v>
      </c>
      <c r="G13" s="2386" t="s">
        <v>2789</v>
      </c>
      <c r="H13" s="2386">
        <v>26</v>
      </c>
      <c r="I13" s="2386"/>
      <c r="J13" s="2386"/>
      <c r="K13" s="1623"/>
      <c r="L13" s="1701"/>
      <c r="M13" s="815" t="s">
        <v>1681</v>
      </c>
      <c r="N13" s="812"/>
      <c r="O13" s="812"/>
    </row>
    <row r="14" spans="1:15" ht="37.5" customHeight="1" x14ac:dyDescent="0.2">
      <c r="A14" s="1424" t="s">
        <v>1938</v>
      </c>
      <c r="B14" s="1425">
        <f t="shared" ref="B14:B36" si="0">IF(D14=0,0,TRUNC(AVERAGE(C14:L14),1))</f>
        <v>7</v>
      </c>
      <c r="C14" s="1289" t="s">
        <v>2790</v>
      </c>
      <c r="D14" s="2387">
        <v>7</v>
      </c>
      <c r="E14" s="2387"/>
      <c r="F14" s="2387"/>
      <c r="G14" s="2387"/>
      <c r="H14" s="2387"/>
      <c r="I14" s="2387"/>
      <c r="J14" s="2387"/>
      <c r="K14" s="1426"/>
      <c r="L14" s="1427"/>
      <c r="M14" s="815" t="s">
        <v>1682</v>
      </c>
      <c r="N14" s="812"/>
      <c r="O14" s="812"/>
    </row>
    <row r="15" spans="1:15" ht="37.5" customHeight="1" x14ac:dyDescent="0.2">
      <c r="A15" s="1428" t="s">
        <v>1669</v>
      </c>
      <c r="B15" s="1425">
        <f t="shared" si="0"/>
        <v>1</v>
      </c>
      <c r="C15" s="1289" t="s">
        <v>1703</v>
      </c>
      <c r="D15" s="2387">
        <v>1</v>
      </c>
      <c r="E15" s="2387"/>
      <c r="F15" s="2387"/>
      <c r="G15" s="2387"/>
      <c r="H15" s="2387"/>
      <c r="I15" s="2387"/>
      <c r="J15" s="2387"/>
      <c r="K15" s="1426"/>
      <c r="L15" s="1427"/>
      <c r="M15" s="815" t="s">
        <v>1683</v>
      </c>
      <c r="N15" s="812"/>
      <c r="O15" s="812"/>
    </row>
    <row r="16" spans="1:15" ht="37.5" hidden="1" customHeight="1" x14ac:dyDescent="0.2">
      <c r="A16" s="1424" t="s">
        <v>2637</v>
      </c>
      <c r="B16" s="1425">
        <f t="shared" ref="B16" si="1">IF(D16=0,0,TRUNC(AVERAGE(C16:L16),1))</f>
        <v>0</v>
      </c>
      <c r="C16" s="1289"/>
      <c r="D16" s="2387"/>
      <c r="E16" s="2387"/>
      <c r="F16" s="2387"/>
      <c r="G16" s="2387"/>
      <c r="H16" s="2387"/>
      <c r="I16" s="2387"/>
      <c r="J16" s="2387"/>
      <c r="K16" s="1426"/>
      <c r="L16" s="1427"/>
      <c r="M16" s="815" t="s">
        <v>1684</v>
      </c>
      <c r="N16" s="812"/>
      <c r="O16" s="812"/>
    </row>
    <row r="17" spans="1:15" ht="37.5" customHeight="1" x14ac:dyDescent="0.2">
      <c r="A17" s="1429" t="s">
        <v>1793</v>
      </c>
      <c r="B17" s="1425">
        <f t="shared" si="0"/>
        <v>8</v>
      </c>
      <c r="C17" s="1289" t="s">
        <v>2791</v>
      </c>
      <c r="D17" s="2387">
        <v>8</v>
      </c>
      <c r="E17" s="2387"/>
      <c r="F17" s="2387"/>
      <c r="G17" s="2387"/>
      <c r="H17" s="2387"/>
      <c r="I17" s="2387"/>
      <c r="J17" s="2387"/>
      <c r="K17" s="1426"/>
      <c r="L17" s="1427"/>
      <c r="M17" s="815" t="s">
        <v>1685</v>
      </c>
      <c r="N17" s="812"/>
      <c r="O17" s="812"/>
    </row>
    <row r="18" spans="1:15" ht="37.5" hidden="1" customHeight="1" x14ac:dyDescent="0.2">
      <c r="A18" s="1429" t="s">
        <v>1794</v>
      </c>
      <c r="B18" s="1425">
        <f t="shared" si="0"/>
        <v>0</v>
      </c>
      <c r="C18" s="1289"/>
      <c r="D18" s="2387"/>
      <c r="E18" s="2387"/>
      <c r="F18" s="2387"/>
      <c r="G18" s="2387"/>
      <c r="H18" s="2387"/>
      <c r="I18" s="2387"/>
      <c r="J18" s="2387"/>
      <c r="K18" s="1426"/>
      <c r="L18" s="1427"/>
      <c r="M18" s="815" t="s">
        <v>1686</v>
      </c>
      <c r="N18" s="812"/>
      <c r="O18" s="812"/>
    </row>
    <row r="19" spans="1:15" ht="37.5" hidden="1" customHeight="1" x14ac:dyDescent="0.2">
      <c r="A19" s="1429" t="s">
        <v>1795</v>
      </c>
      <c r="B19" s="1425"/>
      <c r="C19" s="1289"/>
      <c r="D19" s="2387"/>
      <c r="E19" s="2387"/>
      <c r="F19" s="2387"/>
      <c r="G19" s="2387"/>
      <c r="H19" s="2387"/>
      <c r="I19" s="2387"/>
      <c r="J19" s="2387"/>
      <c r="K19" s="1426"/>
      <c r="L19" s="1427"/>
      <c r="M19" s="815" t="s">
        <v>1687</v>
      </c>
      <c r="N19" s="812"/>
      <c r="O19" s="812"/>
    </row>
    <row r="20" spans="1:15" ht="37.5" hidden="1" customHeight="1" x14ac:dyDescent="0.2">
      <c r="A20" s="1429" t="s">
        <v>1796</v>
      </c>
      <c r="B20" s="1425">
        <f t="shared" si="0"/>
        <v>0</v>
      </c>
      <c r="C20" s="1289"/>
      <c r="D20" s="2387"/>
      <c r="E20" s="2387"/>
      <c r="F20" s="2387"/>
      <c r="G20" s="2387"/>
      <c r="H20" s="2387"/>
      <c r="I20" s="2387"/>
      <c r="J20" s="2387"/>
      <c r="K20" s="1426"/>
      <c r="L20" s="1427"/>
      <c r="M20" s="815" t="s">
        <v>1688</v>
      </c>
      <c r="N20" s="812"/>
      <c r="O20" s="812"/>
    </row>
    <row r="21" spans="1:15" ht="37.5" hidden="1" customHeight="1" x14ac:dyDescent="0.2">
      <c r="A21" s="1428" t="s">
        <v>1925</v>
      </c>
      <c r="B21" s="1425">
        <f t="shared" si="0"/>
        <v>0</v>
      </c>
      <c r="C21" s="1289"/>
      <c r="D21" s="2387"/>
      <c r="E21" s="2387"/>
      <c r="F21" s="2387"/>
      <c r="G21" s="2387"/>
      <c r="H21" s="2387"/>
      <c r="I21" s="2387"/>
      <c r="J21" s="2387"/>
      <c r="K21" s="1426"/>
      <c r="L21" s="1427"/>
      <c r="M21" s="815" t="s">
        <v>1689</v>
      </c>
      <c r="N21" s="812"/>
      <c r="O21" s="812"/>
    </row>
    <row r="22" spans="1:15" ht="37.5" hidden="1" customHeight="1" x14ac:dyDescent="0.2">
      <c r="A22" s="1428" t="s">
        <v>1926</v>
      </c>
      <c r="B22" s="1425">
        <f t="shared" si="0"/>
        <v>0</v>
      </c>
      <c r="C22" s="1289"/>
      <c r="D22" s="2387"/>
      <c r="E22" s="2387"/>
      <c r="F22" s="2387"/>
      <c r="G22" s="2387"/>
      <c r="H22" s="2387"/>
      <c r="I22" s="2387"/>
      <c r="J22" s="2387"/>
      <c r="K22" s="1426"/>
      <c r="L22" s="1427"/>
      <c r="M22" s="815" t="s">
        <v>1690</v>
      </c>
      <c r="N22" s="812"/>
      <c r="O22" s="812"/>
    </row>
    <row r="23" spans="1:15" ht="37.5" hidden="1" customHeight="1" x14ac:dyDescent="0.2">
      <c r="A23" s="1428" t="s">
        <v>1927</v>
      </c>
      <c r="B23" s="1425">
        <f t="shared" si="0"/>
        <v>0</v>
      </c>
      <c r="C23" s="1289"/>
      <c r="D23" s="2387"/>
      <c r="E23" s="2387"/>
      <c r="F23" s="2387"/>
      <c r="G23" s="2387"/>
      <c r="H23" s="2387"/>
      <c r="I23" s="2387"/>
      <c r="J23" s="2387"/>
      <c r="K23" s="1426"/>
      <c r="L23" s="1427"/>
      <c r="M23" s="815" t="s">
        <v>1691</v>
      </c>
      <c r="N23" s="812"/>
      <c r="O23" s="832"/>
    </row>
    <row r="24" spans="1:15" ht="37.5" hidden="1" customHeight="1" x14ac:dyDescent="0.2">
      <c r="A24" s="1424" t="s">
        <v>1950</v>
      </c>
      <c r="B24" s="1425">
        <f t="shared" si="0"/>
        <v>0</v>
      </c>
      <c r="C24" s="1289"/>
      <c r="D24" s="2387"/>
      <c r="E24" s="2387"/>
      <c r="F24" s="2387"/>
      <c r="G24" s="2387"/>
      <c r="H24" s="2387"/>
      <c r="I24" s="2387"/>
      <c r="J24" s="2387"/>
      <c r="K24" s="1430"/>
      <c r="L24" s="1431"/>
      <c r="M24" s="815" t="s">
        <v>1692</v>
      </c>
      <c r="N24" s="832"/>
      <c r="O24" s="832"/>
    </row>
    <row r="25" spans="1:15" ht="37.5" customHeight="1" x14ac:dyDescent="0.2">
      <c r="A25" s="2224" t="s">
        <v>2735</v>
      </c>
      <c r="B25" s="1425">
        <f t="shared" si="0"/>
        <v>19</v>
      </c>
      <c r="C25" s="1289" t="s">
        <v>2792</v>
      </c>
      <c r="D25" s="2387">
        <v>20.9</v>
      </c>
      <c r="E25" s="2387" t="s">
        <v>2793</v>
      </c>
      <c r="F25" s="2387">
        <v>16.600000000000001</v>
      </c>
      <c r="G25" s="2387" t="s">
        <v>2794</v>
      </c>
      <c r="H25" s="2387">
        <v>19.7</v>
      </c>
      <c r="I25" s="2387"/>
      <c r="J25" s="2387"/>
      <c r="K25" s="1426"/>
      <c r="L25" s="1427"/>
      <c r="M25" s="1418" t="s">
        <v>1693</v>
      </c>
      <c r="N25" s="832"/>
      <c r="O25" s="832"/>
    </row>
    <row r="26" spans="1:15" ht="37.5" hidden="1" customHeight="1" x14ac:dyDescent="0.2">
      <c r="A26" s="1424" t="s">
        <v>1928</v>
      </c>
      <c r="B26" s="1425">
        <f t="shared" si="0"/>
        <v>0</v>
      </c>
      <c r="C26" s="1289"/>
      <c r="D26" s="2387"/>
      <c r="E26" s="2387"/>
      <c r="F26" s="2387"/>
      <c r="G26" s="2387"/>
      <c r="H26" s="2387"/>
      <c r="I26" s="2387"/>
      <c r="J26" s="2387"/>
      <c r="K26" s="1430"/>
      <c r="L26" s="1431"/>
      <c r="M26" s="1418" t="s">
        <v>1694</v>
      </c>
      <c r="N26" s="812"/>
      <c r="O26" s="832"/>
    </row>
    <row r="27" spans="1:15" ht="37.5" hidden="1" customHeight="1" x14ac:dyDescent="0.2">
      <c r="A27" s="1424" t="s">
        <v>1929</v>
      </c>
      <c r="B27" s="1425">
        <f t="shared" si="0"/>
        <v>0</v>
      </c>
      <c r="C27" s="1289"/>
      <c r="D27" s="2387"/>
      <c r="E27" s="2387"/>
      <c r="F27" s="2387"/>
      <c r="G27" s="2387"/>
      <c r="H27" s="2387"/>
      <c r="I27" s="2387"/>
      <c r="J27" s="2387"/>
      <c r="K27" s="1430"/>
      <c r="L27" s="1431"/>
      <c r="M27" s="1418" t="s">
        <v>1695</v>
      </c>
      <c r="N27" s="812"/>
      <c r="O27" s="832"/>
    </row>
    <row r="28" spans="1:15" ht="37.5" hidden="1" customHeight="1" x14ac:dyDescent="0.2">
      <c r="A28" s="1424" t="s">
        <v>1930</v>
      </c>
      <c r="B28" s="1425">
        <f t="shared" si="0"/>
        <v>0</v>
      </c>
      <c r="C28" s="1289"/>
      <c r="D28" s="2387"/>
      <c r="E28" s="2387"/>
      <c r="F28" s="2387"/>
      <c r="G28" s="2387"/>
      <c r="H28" s="2387"/>
      <c r="I28" s="2387"/>
      <c r="J28" s="2387"/>
      <c r="K28" s="1430"/>
      <c r="L28" s="1431"/>
      <c r="M28" s="1418" t="s">
        <v>1696</v>
      </c>
      <c r="N28" s="812"/>
      <c r="O28" s="832"/>
    </row>
    <row r="29" spans="1:15" ht="37.5" hidden="1" customHeight="1" x14ac:dyDescent="0.2">
      <c r="A29" s="1424" t="s">
        <v>1931</v>
      </c>
      <c r="B29" s="1425">
        <f t="shared" si="0"/>
        <v>0</v>
      </c>
      <c r="C29" s="1289"/>
      <c r="D29" s="2387"/>
      <c r="E29" s="2387"/>
      <c r="F29" s="2387"/>
      <c r="G29" s="2387"/>
      <c r="H29" s="2387"/>
      <c r="I29" s="2387"/>
      <c r="J29" s="2387"/>
      <c r="K29" s="1430"/>
      <c r="L29" s="1431"/>
      <c r="M29" s="1418" t="s">
        <v>1697</v>
      </c>
      <c r="N29" s="812"/>
      <c r="O29" s="832"/>
    </row>
    <row r="30" spans="1:15" ht="37.5" customHeight="1" x14ac:dyDescent="0.2">
      <c r="A30" s="1424" t="s">
        <v>1932</v>
      </c>
      <c r="B30" s="1425">
        <f t="shared" si="0"/>
        <v>19</v>
      </c>
      <c r="C30" s="1289" t="s">
        <v>2792</v>
      </c>
      <c r="D30" s="2387">
        <v>20.9</v>
      </c>
      <c r="E30" s="2387" t="s">
        <v>2793</v>
      </c>
      <c r="F30" s="2387">
        <v>16.600000000000001</v>
      </c>
      <c r="G30" s="2387" t="s">
        <v>2794</v>
      </c>
      <c r="H30" s="2387">
        <v>19.7</v>
      </c>
      <c r="I30" s="2387"/>
      <c r="J30" s="2387"/>
      <c r="K30" s="1430"/>
      <c r="L30" s="1431"/>
      <c r="M30" s="815" t="s">
        <v>1698</v>
      </c>
      <c r="N30" s="812"/>
      <c r="O30" s="832"/>
    </row>
    <row r="31" spans="1:15" ht="37.5" hidden="1" customHeight="1" x14ac:dyDescent="0.2">
      <c r="A31" s="1424" t="s">
        <v>1933</v>
      </c>
      <c r="B31" s="1425">
        <f t="shared" si="0"/>
        <v>0</v>
      </c>
      <c r="C31" s="1289"/>
      <c r="D31" s="2387"/>
      <c r="E31" s="2387"/>
      <c r="F31" s="2387"/>
      <c r="G31" s="2387"/>
      <c r="H31" s="2387"/>
      <c r="I31" s="2387"/>
      <c r="J31" s="2387"/>
      <c r="K31" s="1430"/>
      <c r="L31" s="1431"/>
      <c r="M31" s="815" t="s">
        <v>1699</v>
      </c>
      <c r="N31" s="812"/>
      <c r="O31" s="832"/>
    </row>
    <row r="32" spans="1:15" ht="37.5" hidden="1" customHeight="1" x14ac:dyDescent="0.2">
      <c r="A32" s="1424" t="s">
        <v>1934</v>
      </c>
      <c r="B32" s="1425">
        <f t="shared" si="0"/>
        <v>0</v>
      </c>
      <c r="C32" s="1289"/>
      <c r="D32" s="2387"/>
      <c r="E32" s="2387"/>
      <c r="F32" s="2387"/>
      <c r="G32" s="2387"/>
      <c r="H32" s="2387"/>
      <c r="I32" s="2387"/>
      <c r="J32" s="2387"/>
      <c r="K32" s="1430"/>
      <c r="L32" s="1431"/>
      <c r="M32" s="815" t="s">
        <v>1700</v>
      </c>
      <c r="N32" s="812"/>
      <c r="O32" s="832"/>
    </row>
    <row r="33" spans="1:15" ht="37.5" hidden="1" customHeight="1" x14ac:dyDescent="0.2">
      <c r="A33" s="1424" t="s">
        <v>1935</v>
      </c>
      <c r="B33" s="1425">
        <f t="shared" si="0"/>
        <v>0</v>
      </c>
      <c r="C33" s="1289"/>
      <c r="D33" s="2387"/>
      <c r="E33" s="2387"/>
      <c r="F33" s="2387"/>
      <c r="G33" s="2387"/>
      <c r="H33" s="2387"/>
      <c r="I33" s="2387"/>
      <c r="J33" s="2387"/>
      <c r="K33" s="1430"/>
      <c r="L33" s="1431"/>
      <c r="M33" s="815" t="s">
        <v>1701</v>
      </c>
      <c r="N33" s="812"/>
      <c r="O33" s="832"/>
    </row>
    <row r="34" spans="1:15" ht="37.5" customHeight="1" thickBot="1" x14ac:dyDescent="0.25">
      <c r="A34" s="1788" t="s">
        <v>1936</v>
      </c>
      <c r="B34" s="1432">
        <f>IF(D34=0,0,TRUNC(AVERAGE(C34:L34)))</f>
        <v>24</v>
      </c>
      <c r="C34" s="2388" t="s">
        <v>2795</v>
      </c>
      <c r="D34" s="2390">
        <v>20.9</v>
      </c>
      <c r="E34" s="2390" t="s">
        <v>2796</v>
      </c>
      <c r="F34" s="2390">
        <v>25.9</v>
      </c>
      <c r="G34" s="2390" t="s">
        <v>2789</v>
      </c>
      <c r="H34" s="2390">
        <v>26</v>
      </c>
      <c r="I34" s="2390"/>
      <c r="J34" s="2390"/>
      <c r="K34" s="1433"/>
      <c r="L34" s="1434"/>
      <c r="M34" s="815" t="s">
        <v>1775</v>
      </c>
      <c r="N34" s="812"/>
      <c r="O34" s="832"/>
    </row>
    <row r="35" spans="1:15" ht="37.5" hidden="1" customHeight="1" thickBot="1" x14ac:dyDescent="0.25">
      <c r="A35" s="1788" t="s">
        <v>1937</v>
      </c>
      <c r="B35" s="1432">
        <f t="shared" si="0"/>
        <v>0</v>
      </c>
      <c r="C35" s="2388"/>
      <c r="D35" s="2389"/>
      <c r="E35" s="2390"/>
      <c r="F35" s="2389"/>
      <c r="G35" s="2390"/>
      <c r="H35" s="2389"/>
      <c r="I35" s="2390"/>
      <c r="J35" s="2389"/>
      <c r="K35" s="1433"/>
      <c r="L35" s="1434"/>
      <c r="M35" s="815" t="s">
        <v>2638</v>
      </c>
      <c r="N35" s="812"/>
      <c r="O35" s="832"/>
    </row>
    <row r="36" spans="1:15" ht="37.5" hidden="1" customHeight="1" thickBot="1" x14ac:dyDescent="0.25">
      <c r="A36" s="1788" t="s">
        <v>2742</v>
      </c>
      <c r="B36" s="1432">
        <f t="shared" si="0"/>
        <v>0</v>
      </c>
      <c r="C36" s="2388"/>
      <c r="D36" s="2389"/>
      <c r="E36" s="2390"/>
      <c r="F36" s="2389"/>
      <c r="G36" s="2390"/>
      <c r="H36" s="2389"/>
      <c r="I36" s="2390"/>
      <c r="J36" s="2389"/>
      <c r="K36" s="1433"/>
      <c r="L36" s="1434"/>
      <c r="M36" s="815"/>
      <c r="N36" s="812"/>
      <c r="O36" s="832"/>
    </row>
    <row r="37" spans="1:15" ht="13.5" thickBot="1" x14ac:dyDescent="0.25"/>
    <row r="38" spans="1:15" ht="34.5" customHeight="1" thickTop="1" x14ac:dyDescent="0.2">
      <c r="B38" s="1622">
        <f>IF(D38=0,0,TRUNC(AVERAGE(C38:L38),1))</f>
        <v>0</v>
      </c>
    </row>
  </sheetData>
  <mergeCells count="7">
    <mergeCell ref="K11:L11"/>
    <mergeCell ref="C11:D11"/>
    <mergeCell ref="A11:A12"/>
    <mergeCell ref="B11:B12"/>
    <mergeCell ref="E11:F11"/>
    <mergeCell ref="G11:H11"/>
    <mergeCell ref="I11:J11"/>
  </mergeCells>
  <phoneticPr fontId="140" type="noConversion"/>
  <pageMargins left="0.511811024" right="0.511811024" top="0.78740157499999996" bottom="0.78740157499999996" header="0.31496062000000002" footer="0.31496062000000002"/>
  <pageSetup paperSize="9" scale="61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20"/>
  <dimension ref="B1:Y37"/>
  <sheetViews>
    <sheetView showZeros="0" zoomScale="85" zoomScaleNormal="85" workbookViewId="0">
      <selection activeCell="D18" sqref="B13:I28"/>
    </sheetView>
  </sheetViews>
  <sheetFormatPr defaultRowHeight="12.75" x14ac:dyDescent="0.2"/>
  <cols>
    <col min="2" max="2" width="16.25" customWidth="1"/>
    <col min="3" max="3" width="53.375" customWidth="1"/>
    <col min="4" max="4" width="12" customWidth="1"/>
    <col min="5" max="5" width="12.375" customWidth="1"/>
    <col min="6" max="7" width="17" customWidth="1"/>
    <col min="8" max="8" width="21.625" customWidth="1"/>
  </cols>
  <sheetData>
    <row r="1" spans="2:25" ht="21" thickTop="1" x14ac:dyDescent="0.2">
      <c r="B1" s="853" t="str">
        <f>Orçamento_Não_Deson!B1</f>
        <v>PREFEITURA MUNICIPAL DE CAMPO GRANDE - MS</v>
      </c>
      <c r="C1" s="810"/>
      <c r="D1" s="810"/>
      <c r="E1" s="1582"/>
      <c r="F1" s="1744" t="s">
        <v>114</v>
      </c>
      <c r="G1" s="1745" t="str">
        <f>Orçamento_Não_Deson!J1</f>
        <v>Agosto/2023</v>
      </c>
      <c r="H1" s="1746"/>
      <c r="I1" s="812"/>
    </row>
    <row r="2" spans="2:25" ht="15.75" x14ac:dyDescent="0.2">
      <c r="B2" s="460" t="str">
        <f>Orçamento_Não_Deson!B2</f>
        <v>SECRETARIA MUNICIPAL DE INFRAESTRUTURA E SERVIÇOS PÚBLICOS - SISEP</v>
      </c>
      <c r="C2" s="816"/>
      <c r="D2" s="816"/>
      <c r="E2" s="1582"/>
      <c r="F2" s="1747" t="s">
        <v>420</v>
      </c>
      <c r="G2" s="1748" t="str">
        <f>Orçamento_Não_Deson!J2</f>
        <v>NÃO DESONERADA</v>
      </c>
      <c r="H2" s="1749" t="str">
        <f>Orçamento_Deson!J2</f>
        <v>DESONERADA</v>
      </c>
      <c r="I2" s="812"/>
    </row>
    <row r="3" spans="2:25" ht="15.75" x14ac:dyDescent="0.2">
      <c r="B3" s="816"/>
      <c r="C3" s="818"/>
      <c r="D3" s="818"/>
      <c r="E3" s="1441"/>
      <c r="F3" s="1747" t="s">
        <v>270</v>
      </c>
      <c r="G3" s="1750">
        <f>Orçamento_Não_Deson!J3</f>
        <v>1.1544000000000001</v>
      </c>
      <c r="H3" s="1751">
        <f>Orçamento_Deson!J3</f>
        <v>0.8528</v>
      </c>
      <c r="I3" s="1678"/>
    </row>
    <row r="4" spans="2:25" x14ac:dyDescent="0.2">
      <c r="B4" s="865" t="s">
        <v>995</v>
      </c>
      <c r="C4" s="874">
        <f>Orçamento_Não_Deson!C4</f>
        <v>0</v>
      </c>
      <c r="D4" s="812"/>
      <c r="E4" s="1441"/>
      <c r="F4" s="1747" t="s">
        <v>269</v>
      </c>
      <c r="G4" s="1750">
        <f>Orçamento_Não_Deson!J4</f>
        <v>0.71260000000000001</v>
      </c>
      <c r="H4" s="1751">
        <f>Orçamento_Deson!J4</f>
        <v>0.4723</v>
      </c>
      <c r="I4" s="812"/>
    </row>
    <row r="5" spans="2:25" x14ac:dyDescent="0.2">
      <c r="B5" s="865" t="s">
        <v>220</v>
      </c>
      <c r="C5" s="874" t="str">
        <f>Orçamento_Não_Deson!C5</f>
        <v xml:space="preserve">INFRAESTRUTURA URBANA - PAVIMENTAÇÃO ASFÁLTICA E DRENAGEM DE ÁGUAS PLUVIAIS </v>
      </c>
      <c r="D5" s="894"/>
      <c r="E5" s="1583"/>
      <c r="F5" s="1747" t="s">
        <v>421</v>
      </c>
      <c r="G5" s="1750">
        <f>Orçamento_Não_Deson!J5</f>
        <v>0.22</v>
      </c>
      <c r="H5" s="1751">
        <f>Orçamento_Deson!J5</f>
        <v>0.28170000000000001</v>
      </c>
      <c r="I5" s="812"/>
    </row>
    <row r="6" spans="2:25" ht="13.5" thickBot="1" x14ac:dyDescent="0.25">
      <c r="B6" s="865" t="s">
        <v>1004</v>
      </c>
      <c r="C6" s="874" t="str">
        <f>Orçamento_Não_Deson!C6</f>
        <v>JARDIM NASHIVILLE - ETAPA "B" - FASE 2</v>
      </c>
      <c r="D6" s="821"/>
      <c r="E6" s="1441"/>
      <c r="F6" s="1752" t="s">
        <v>937</v>
      </c>
      <c r="G6" s="1753">
        <f>Orçamento_Não_Deson!J6</f>
        <v>0.15279999999999999</v>
      </c>
      <c r="H6" s="1754">
        <f>Orçamento_Deson!J6</f>
        <v>0.15279999999999999</v>
      </c>
      <c r="I6" s="812"/>
    </row>
    <row r="7" spans="2:25" ht="13.5" thickTop="1" x14ac:dyDescent="0.2">
      <c r="B7" s="865" t="s">
        <v>996</v>
      </c>
      <c r="C7" s="874" t="str">
        <f>Orçamento_Não_Deson!C7</f>
        <v>CAMPO GRANDE / MS</v>
      </c>
      <c r="D7" s="821"/>
      <c r="E7" s="1441"/>
      <c r="F7" s="823"/>
      <c r="G7" s="823"/>
      <c r="H7" s="819"/>
      <c r="I7" s="812"/>
      <c r="J7" s="812"/>
      <c r="K7" s="812"/>
    </row>
    <row r="10" spans="2:25" s="4" customFormat="1" ht="16.5" x14ac:dyDescent="0.15">
      <c r="B10" s="1737" t="s">
        <v>2019</v>
      </c>
      <c r="C10" s="1724"/>
      <c r="D10" s="1724"/>
      <c r="E10" s="1724"/>
      <c r="F10" s="1724"/>
      <c r="G10" s="1724"/>
      <c r="H10" s="1724"/>
    </row>
    <row r="11" spans="2:25" ht="13.5" thickBot="1" x14ac:dyDescent="0.25">
      <c r="G11" s="535"/>
      <c r="H11" s="536"/>
    </row>
    <row r="12" spans="2:25" s="3" customFormat="1" ht="27" thickTop="1" thickBot="1" x14ac:dyDescent="0.2">
      <c r="B12" s="1675" t="s">
        <v>31</v>
      </c>
      <c r="C12" s="666" t="s">
        <v>38</v>
      </c>
      <c r="D12" s="665" t="s">
        <v>336</v>
      </c>
      <c r="E12" s="666" t="s">
        <v>33</v>
      </c>
      <c r="F12" s="524" t="s">
        <v>2017</v>
      </c>
      <c r="G12" s="524" t="s">
        <v>2016</v>
      </c>
      <c r="H12" s="1742" t="s">
        <v>2018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2:25" s="3" customFormat="1" ht="9.75" customHeight="1" thickTop="1" x14ac:dyDescent="0.15">
      <c r="B13" s="1663"/>
      <c r="C13" s="1663"/>
      <c r="D13" s="1755"/>
      <c r="E13" s="1663"/>
      <c r="F13" s="1756"/>
      <c r="G13" s="1756"/>
      <c r="H13" s="1755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2:25" s="1739" customFormat="1" ht="26.25" customHeight="1" x14ac:dyDescent="0.15">
      <c r="B14" s="1738">
        <f>Orçamento_Não_Deson!B13</f>
        <v>1</v>
      </c>
      <c r="C14" s="1739" t="str">
        <f>Orçamento_Não_Deson!C13</f>
        <v>SERVIÇOS PRELIMINARES</v>
      </c>
      <c r="D14" s="1740">
        <f>Orçamento_Não_Deson!H13</f>
        <v>16</v>
      </c>
      <c r="E14" s="1741" t="str">
        <f>Orçamento_Não_Deson!I13</f>
        <v>M2</v>
      </c>
      <c r="F14" s="1739">
        <f ca="1">Orçamento_Não_Deson!J13</f>
        <v>171715.34999999998</v>
      </c>
      <c r="G14" s="1739">
        <f ca="1">Orçamento_Deson!J13</f>
        <v>176747.43</v>
      </c>
      <c r="H14" s="1743">
        <f ca="1">(F14/G14)-1</f>
        <v>-2.84704564021101E-2</v>
      </c>
    </row>
    <row r="15" spans="2:25" s="1739" customFormat="1" ht="26.25" customHeight="1" x14ac:dyDescent="0.15">
      <c r="B15" s="1738">
        <f ca="1">Orçamento_Não_Deson!B14</f>
        <v>2</v>
      </c>
      <c r="C15" s="1739" t="str">
        <f>Orçamento_Não_Deson!C14</f>
        <v>REMOÇÕES, DEMOLIÇÕES E SUPRESSÕES</v>
      </c>
      <c r="D15" s="1740">
        <f>Orçamento_Não_Deson!H14</f>
        <v>858.19</v>
      </c>
      <c r="E15" s="1741" t="str">
        <f>Orçamento_Não_Deson!I14</f>
        <v>M</v>
      </c>
      <c r="F15" s="1739">
        <f>Orçamento_Não_Deson!J14</f>
        <v>39105.550000000003</v>
      </c>
      <c r="G15" s="1739">
        <f>Orçamento_Deson!J14</f>
        <v>39545.100000000006</v>
      </c>
      <c r="H15" s="1743">
        <f t="shared" ref="H15:H34" si="0">(F15/G15)-1</f>
        <v>-1.1115157124397257E-2</v>
      </c>
    </row>
    <row r="16" spans="2:25" s="1739" customFormat="1" ht="26.25" customHeight="1" x14ac:dyDescent="0.15">
      <c r="B16" s="1738">
        <f ca="1">Orçamento_Não_Deson!B15</f>
        <v>3</v>
      </c>
      <c r="C16" s="1739" t="str">
        <f>Orçamento_Não_Deson!C15</f>
        <v>MICRODRENAGEM - TERRAPLENAGEM</v>
      </c>
      <c r="D16" s="1740">
        <f ca="1">Orçamento_Não_Deson!H15</f>
        <v>2041.07</v>
      </c>
      <c r="E16" s="1741" t="str">
        <f>Orçamento_Não_Deson!I15</f>
        <v>M3</v>
      </c>
      <c r="F16" s="1739">
        <f ca="1">Orçamento_Não_Deson!J15</f>
        <v>143972.27999999997</v>
      </c>
      <c r="G16" s="1739">
        <f ca="1">Orçamento_Deson!J15</f>
        <v>143847.81</v>
      </c>
      <c r="H16" s="1743">
        <f t="shared" ref="H16:H33" ca="1" si="1">(F16/G16)-1</f>
        <v>8.6528950284314732E-4</v>
      </c>
    </row>
    <row r="17" spans="2:8" s="1739" customFormat="1" ht="26.25" customHeight="1" x14ac:dyDescent="0.15">
      <c r="B17" s="1738">
        <f ca="1">Orçamento_Não_Deson!B16</f>
        <v>4</v>
      </c>
      <c r="C17" s="1739" t="str">
        <f>Orçamento_Não_Deson!C16</f>
        <v>MICRODRENAGEM - GALERIAS</v>
      </c>
      <c r="D17" s="1740">
        <f ca="1">Orçamento_Não_Deson!H16</f>
        <v>604.80999999999995</v>
      </c>
      <c r="E17" s="1741" t="str">
        <f>Orçamento_Não_Deson!I16</f>
        <v>M</v>
      </c>
      <c r="F17" s="1739">
        <f ca="1">Orçamento_Não_Deson!J16</f>
        <v>213732.21</v>
      </c>
      <c r="G17" s="1739">
        <f ca="1">Orçamento_Deson!J16</f>
        <v>212644.3</v>
      </c>
      <c r="H17" s="1743">
        <f t="shared" ca="1" si="1"/>
        <v>5.1161023361547819E-3</v>
      </c>
    </row>
    <row r="18" spans="2:8" s="1739" customFormat="1" ht="26.25" customHeight="1" x14ac:dyDescent="0.15">
      <c r="B18" s="1738">
        <f ca="1">Orçamento_Não_Deson!B17</f>
        <v>5</v>
      </c>
      <c r="C18" s="1739" t="str">
        <f>Orçamento_Não_Deson!C17</f>
        <v>MICRODRENAGEM - DISPOSITIVOS AUXILIARES</v>
      </c>
      <c r="D18" s="1740">
        <f>Orçamento_Não_Deson!H17</f>
        <v>42</v>
      </c>
      <c r="E18" s="1741" t="str">
        <f>Orçamento_Não_Deson!I17</f>
        <v>UN</v>
      </c>
      <c r="F18" s="1739">
        <f ca="1">Orçamento_Não_Deson!J17</f>
        <v>254417.2</v>
      </c>
      <c r="G18" s="1739">
        <f ca="1">Orçamento_Deson!J17</f>
        <v>259192.69999999995</v>
      </c>
      <c r="H18" s="1743">
        <f t="shared" ca="1" si="1"/>
        <v>-1.8424515813909692E-2</v>
      </c>
    </row>
    <row r="19" spans="2:8" s="1739" customFormat="1" ht="26.25" customHeight="1" x14ac:dyDescent="0.15">
      <c r="B19" s="1738">
        <f ca="1">Orçamento_Não_Deson!B18</f>
        <v>5</v>
      </c>
      <c r="C19" s="1739" t="str">
        <f>Orçamento_Não_Deson!C18</f>
        <v>MICRODRENAGEM - SERVIÇOS DE ESTRUTURAS</v>
      </c>
      <c r="D19" s="1740">
        <f>Orçamento_Não_Deson!H18</f>
        <v>0</v>
      </c>
      <c r="E19" s="1741" t="str">
        <f>Orçamento_Não_Deson!I18</f>
        <v>M3</v>
      </c>
      <c r="F19" s="1739">
        <f>Orçamento_Não_Deson!J18</f>
        <v>0</v>
      </c>
      <c r="G19" s="1739">
        <f>Orçamento_Deson!J18</f>
        <v>0</v>
      </c>
      <c r="H19" s="1743" t="e">
        <f t="shared" si="1"/>
        <v>#DIV/0!</v>
      </c>
    </row>
    <row r="20" spans="2:8" s="1739" customFormat="1" ht="26.25" customHeight="1" x14ac:dyDescent="0.15">
      <c r="B20" s="1738">
        <f ca="1">Orçamento_Não_Deson!B19</f>
        <v>5</v>
      </c>
      <c r="C20" s="1739" t="str">
        <f>Orçamento_Não_Deson!C19</f>
        <v>MICRODRENAGEM - BACIA DE AMORTECIMENTO</v>
      </c>
      <c r="D20" s="1740">
        <f>Orçamento_Não_Deson!H19</f>
        <v>0</v>
      </c>
      <c r="E20" s="1741" t="str">
        <f>Orçamento_Não_Deson!I19</f>
        <v>M3</v>
      </c>
      <c r="F20" s="1739">
        <f>Orçamento_Não_Deson!J19</f>
        <v>0</v>
      </c>
      <c r="G20" s="1739">
        <f>Orçamento_Deson!J19</f>
        <v>0</v>
      </c>
      <c r="H20" s="1743" t="e">
        <f t="shared" si="1"/>
        <v>#DIV/0!</v>
      </c>
    </row>
    <row r="21" spans="2:8" s="1739" customFormat="1" ht="26.25" customHeight="1" x14ac:dyDescent="0.15">
      <c r="B21" s="1738">
        <f ca="1">Orçamento_Não_Deson!B20</f>
        <v>5</v>
      </c>
      <c r="C21" s="1739" t="str">
        <f>Orçamento_Não_Deson!C20</f>
        <v>DRENAGEM DE LENÇOL FREÁTICO</v>
      </c>
      <c r="D21" s="1740">
        <f>Orçamento_Não_Deson!H20</f>
        <v>0</v>
      </c>
      <c r="E21" s="1741" t="str">
        <f>Orçamento_Não_Deson!I20</f>
        <v>M</v>
      </c>
      <c r="F21" s="1739">
        <f>Orçamento_Não_Deson!J20</f>
        <v>0</v>
      </c>
      <c r="G21" s="1739">
        <f>Orçamento_Deson!J20</f>
        <v>0</v>
      </c>
      <c r="H21" s="1743" t="e">
        <f t="shared" si="1"/>
        <v>#DIV/0!</v>
      </c>
    </row>
    <row r="22" spans="2:8" s="1739" customFormat="1" ht="26.25" customHeight="1" x14ac:dyDescent="0.15">
      <c r="B22" s="1738">
        <f ca="1">Orçamento_Não_Deson!B21</f>
        <v>6</v>
      </c>
      <c r="C22" s="1739" t="str">
        <f>Orçamento_Não_Deson!C21</f>
        <v>MICRODRENAGEM - RECOMPOSIÇÃO DO PAVIMENTO</v>
      </c>
      <c r="D22" s="1740">
        <f>Orçamento_Não_Deson!H21</f>
        <v>5.6</v>
      </c>
      <c r="E22" s="1741" t="str">
        <f>Orçamento_Não_Deson!I21</f>
        <v>M2</v>
      </c>
      <c r="F22" s="1739">
        <f>Orçamento_Não_Deson!J21</f>
        <v>618.7399999999999</v>
      </c>
      <c r="G22" s="1739">
        <f>Orçamento_Deson!J21</f>
        <v>640.39999999999986</v>
      </c>
      <c r="H22" s="1743">
        <f t="shared" si="1"/>
        <v>-3.382261086820737E-2</v>
      </c>
    </row>
    <row r="23" spans="2:8" s="1739" customFormat="1" ht="26.25" customHeight="1" x14ac:dyDescent="0.15">
      <c r="B23" s="1738">
        <f ca="1">Orçamento_Não_Deson!B22</f>
        <v>6</v>
      </c>
      <c r="C23" s="1739" t="str">
        <f>Orçamento_Não_Deson!C22</f>
        <v>RESTAURAÇÃO DO PAVIMENTO - RECUPERAÇÃO PRÉVIA DO PAVIMENTO</v>
      </c>
      <c r="D23" s="1740">
        <f>Orçamento_Não_Deson!H22</f>
        <v>0</v>
      </c>
      <c r="E23" s="1741" t="str">
        <f>Orçamento_Não_Deson!I22</f>
        <v>M2</v>
      </c>
      <c r="F23" s="1739">
        <f>Orçamento_Não_Deson!J22</f>
        <v>0</v>
      </c>
      <c r="G23" s="1739">
        <f>Orçamento_Deson!J22</f>
        <v>0</v>
      </c>
      <c r="H23" s="1743" t="e">
        <f t="shared" si="1"/>
        <v>#DIV/0!</v>
      </c>
    </row>
    <row r="24" spans="2:8" s="1739" customFormat="1" ht="26.25" customHeight="1" x14ac:dyDescent="0.15">
      <c r="B24" s="1738">
        <f ca="1">Orçamento_Não_Deson!B23</f>
        <v>6</v>
      </c>
      <c r="C24" s="1739" t="str">
        <f>Orçamento_Não_Deson!C23</f>
        <v>RESTAURAÇÃO DO PAVIMENTO - RECAPEAMENTO ASFÁLTICO</v>
      </c>
      <c r="D24" s="1740">
        <f>Orçamento_Não_Deson!H23</f>
        <v>0</v>
      </c>
      <c r="E24" s="1741" t="str">
        <f>Orçamento_Não_Deson!I23</f>
        <v>M2</v>
      </c>
      <c r="F24" s="1739">
        <f>Orçamento_Não_Deson!J23</f>
        <v>0</v>
      </c>
      <c r="G24" s="1739">
        <f>Orçamento_Deson!J23</f>
        <v>0</v>
      </c>
      <c r="H24" s="1743" t="e">
        <f t="shared" si="1"/>
        <v>#DIV/0!</v>
      </c>
    </row>
    <row r="25" spans="2:8" s="1739" customFormat="1" ht="26.25" customHeight="1" x14ac:dyDescent="0.15">
      <c r="B25" s="1738">
        <f ca="1">Orçamento_Não_Deson!B24</f>
        <v>7</v>
      </c>
      <c r="C25" s="1739" t="str">
        <f>Orçamento_Não_Deson!C24</f>
        <v>IMPLANTAÇÃO ASFÁLTICA - TERRAPLENAGEM</v>
      </c>
      <c r="D25" s="1740">
        <f>Orçamento_Não_Deson!H24</f>
        <v>5749.3</v>
      </c>
      <c r="E25" s="1741" t="str">
        <f>Orçamento_Não_Deson!I24</f>
        <v>M3</v>
      </c>
      <c r="F25" s="1739">
        <f>Orçamento_Não_Deson!J24</f>
        <v>186288.82</v>
      </c>
      <c r="G25" s="1739">
        <f>Orçamento_Deson!J24</f>
        <v>191918.91</v>
      </c>
      <c r="H25" s="1743">
        <f t="shared" si="1"/>
        <v>-2.9335775197972924E-2</v>
      </c>
    </row>
    <row r="26" spans="2:8" s="1739" customFormat="1" ht="26.25" customHeight="1" x14ac:dyDescent="0.15">
      <c r="B26" s="1738">
        <f ca="1">Orçamento_Não_Deson!B25</f>
        <v>8</v>
      </c>
      <c r="C26" s="1739" t="str">
        <f>Orçamento_Não_Deson!C25</f>
        <v>IMPLANTAÇÃO ASFÁLTICA - PAVIMENTAÇÃO</v>
      </c>
      <c r="D26" s="1740">
        <f>Orçamento_Não_Deson!H25</f>
        <v>12682.57</v>
      </c>
      <c r="E26" s="1741" t="str">
        <f>Orçamento_Não_Deson!I25</f>
        <v>M2</v>
      </c>
      <c r="F26" s="1739">
        <f>Orçamento_Não_Deson!J25</f>
        <v>1827993.5500000003</v>
      </c>
      <c r="G26" s="1739">
        <f>Orçamento_Deson!J25</f>
        <v>1887485.7200000002</v>
      </c>
      <c r="H26" s="1743">
        <f t="shared" si="1"/>
        <v>-3.1519268924588117E-2</v>
      </c>
    </row>
    <row r="27" spans="2:8" s="1739" customFormat="1" ht="26.25" customHeight="1" x14ac:dyDescent="0.15">
      <c r="B27" s="1738">
        <f ca="1">Orçamento_Não_Deson!B26</f>
        <v>9</v>
      </c>
      <c r="C27" s="1739" t="str">
        <f>Orçamento_Não_Deson!C26</f>
        <v>SERVIÇOS COMPLEMENTARES</v>
      </c>
      <c r="D27" s="1740">
        <f>Orçamento_Não_Deson!H26</f>
        <v>3392.16</v>
      </c>
      <c r="E27" s="1741" t="str">
        <f>Orçamento_Não_Deson!I26</f>
        <v>M</v>
      </c>
      <c r="F27" s="1739">
        <f>Orçamento_Não_Deson!J26</f>
        <v>259559.26</v>
      </c>
      <c r="G27" s="1739">
        <f>Orçamento_Deson!J26</f>
        <v>259930.96999999997</v>
      </c>
      <c r="H27" s="1743">
        <f t="shared" si="1"/>
        <v>-1.430033520053331E-3</v>
      </c>
    </row>
    <row r="28" spans="2:8" s="1739" customFormat="1" ht="26.25" customHeight="1" x14ac:dyDescent="0.15">
      <c r="B28" s="1738">
        <f ca="1">Orçamento_Não_Deson!B27</f>
        <v>10</v>
      </c>
      <c r="C28" s="1739" t="str">
        <f>Orçamento_Não_Deson!C27</f>
        <v>PASSEIO COM ACESSIBILIDADE</v>
      </c>
      <c r="D28" s="1740">
        <f>Orçamento_Não_Deson!H27</f>
        <v>5339.87</v>
      </c>
      <c r="E28" s="1741" t="str">
        <f>Orçamento_Não_Deson!I27</f>
        <v>M2</v>
      </c>
      <c r="F28" s="1739">
        <f>Orçamento_Não_Deson!J27</f>
        <v>362370.94</v>
      </c>
      <c r="G28" s="1739">
        <f>Orçamento_Deson!J27</f>
        <v>375957.84</v>
      </c>
      <c r="H28" s="1743">
        <f t="shared" si="1"/>
        <v>-3.6139424569520906E-2</v>
      </c>
    </row>
    <row r="29" spans="2:8" s="1739" customFormat="1" ht="26.25" customHeight="1" x14ac:dyDescent="0.15">
      <c r="B29" s="1738" t="e">
        <f>Orçamento_Não_Deson!#REF!</f>
        <v>#REF!</v>
      </c>
      <c r="C29" s="1739" t="e">
        <f>Orçamento_Não_Deson!#REF!</f>
        <v>#REF!</v>
      </c>
      <c r="D29" s="1740" t="e">
        <f>Orçamento_Não_Deson!#REF!</f>
        <v>#REF!</v>
      </c>
      <c r="E29" s="1741" t="e">
        <f>Orçamento_Não_Deson!#REF!</f>
        <v>#REF!</v>
      </c>
      <c r="F29" s="1739" t="e">
        <f>Orçamento_Não_Deson!#REF!</f>
        <v>#REF!</v>
      </c>
      <c r="G29" s="1739" t="e">
        <f>Orçamento_Deson!#REF!</f>
        <v>#REF!</v>
      </c>
      <c r="H29" s="1743" t="e">
        <f t="shared" si="1"/>
        <v>#REF!</v>
      </c>
    </row>
    <row r="30" spans="2:8" s="1739" customFormat="1" ht="26.25" customHeight="1" x14ac:dyDescent="0.15">
      <c r="B30" s="1738">
        <f ca="1">Orçamento_Não_Deson!B28</f>
        <v>10</v>
      </c>
      <c r="C30" s="1739" t="str">
        <f>Orçamento_Não_Deson!C28</f>
        <v>IMPLANTAÇÃO / ADEQUAÇÃO GEOMÉTRICA DE CICLOVIA</v>
      </c>
      <c r="D30" s="1740">
        <f>Orçamento_Não_Deson!H28</f>
        <v>0</v>
      </c>
      <c r="E30" s="1741" t="str">
        <f>Orçamento_Não_Deson!I28</f>
        <v>M</v>
      </c>
      <c r="F30" s="1739">
        <f>Orçamento_Não_Deson!J28</f>
        <v>0</v>
      </c>
      <c r="G30" s="1739">
        <f>Orçamento_Deson!J28</f>
        <v>0</v>
      </c>
      <c r="H30" s="1743" t="e">
        <f t="shared" si="1"/>
        <v>#DIV/0!</v>
      </c>
    </row>
    <row r="31" spans="2:8" s="1739" customFormat="1" ht="26.25" customHeight="1" x14ac:dyDescent="0.15">
      <c r="B31" s="1738">
        <f ca="1">Orçamento_Não_Deson!B29</f>
        <v>11</v>
      </c>
      <c r="C31" s="1739" t="str">
        <f>Orçamento_Não_Deson!C29</f>
        <v>SINALIZAÇÃO VIÁRIA DEFINITIVA HORIZONTAL E VERTICAL E DISPOSITIVOS DE SEGURANÇA</v>
      </c>
      <c r="D31" s="1740">
        <f>Orçamento_Não_Deson!H29</f>
        <v>148.22</v>
      </c>
      <c r="E31" s="1741" t="str">
        <f>Orçamento_Não_Deson!I29</f>
        <v>M2</v>
      </c>
      <c r="F31" s="1739">
        <f>Orçamento_Não_Deson!J29</f>
        <v>52013.98</v>
      </c>
      <c r="G31" s="1739">
        <f>Orçamento_Deson!J29</f>
        <v>54295.62</v>
      </c>
      <c r="H31" s="1743">
        <f t="shared" si="1"/>
        <v>-4.202254251816262E-2</v>
      </c>
    </row>
    <row r="32" spans="2:8" s="1739" customFormat="1" ht="26.25" customHeight="1" x14ac:dyDescent="0.15">
      <c r="B32" s="1738">
        <f ca="1">Orçamento_Não_Deson!B30</f>
        <v>12</v>
      </c>
      <c r="C32" s="1739" t="str">
        <f>Orçamento_Não_Deson!C30</f>
        <v>ADMINISTRAÇÃO LOCAL</v>
      </c>
      <c r="D32" s="1740">
        <f>Orçamento_Não_Deson!H30</f>
        <v>6</v>
      </c>
      <c r="E32" s="1741" t="str">
        <f>Orçamento_Não_Deson!I30</f>
        <v>MÊS</v>
      </c>
      <c r="F32" s="1739">
        <f>Orçamento_Não_Deson!J30</f>
        <v>167267.70000000001</v>
      </c>
      <c r="G32" s="1739">
        <f>Orçamento_Deson!J30</f>
        <v>176026.6</v>
      </c>
      <c r="H32" s="1743">
        <f t="shared" si="1"/>
        <v>-4.9758956884925265E-2</v>
      </c>
    </row>
    <row r="33" spans="2:8" s="1739" customFormat="1" ht="26.25" customHeight="1" x14ac:dyDescent="0.15">
      <c r="B33" s="1738">
        <f ca="1">Orçamento_Não_Deson!B31</f>
        <v>12</v>
      </c>
      <c r="C33" s="1739" t="str">
        <f>Orçamento_Não_Deson!C31</f>
        <v>SERVIÇOS DE ENGENHARIA</v>
      </c>
      <c r="D33" s="1740">
        <f>Orçamento_Não_Deson!H31</f>
        <v>0</v>
      </c>
      <c r="E33" s="1741" t="str">
        <f>Orçamento_Não_Deson!I31</f>
        <v>m²</v>
      </c>
      <c r="F33" s="1739">
        <f>Orçamento_Não_Deson!J31</f>
        <v>0</v>
      </c>
      <c r="G33" s="1739">
        <f>Orçamento_Deson!J31</f>
        <v>0</v>
      </c>
      <c r="H33" s="1743" t="e">
        <f t="shared" si="1"/>
        <v>#DIV/0!</v>
      </c>
    </row>
    <row r="34" spans="2:8" s="1739" customFormat="1" ht="26.25" customHeight="1" x14ac:dyDescent="0.15">
      <c r="B34" s="1738"/>
      <c r="C34" s="1739" t="s">
        <v>37</v>
      </c>
      <c r="D34" s="1740"/>
      <c r="E34" s="1741"/>
      <c r="F34" s="1739" t="e">
        <f ca="1">SUM(F14:F33)</f>
        <v>#REF!</v>
      </c>
      <c r="G34" s="1739" t="e">
        <f ca="1">SUM(G14:G33)</f>
        <v>#REF!</v>
      </c>
      <c r="H34" s="1743" t="e">
        <f t="shared" ca="1" si="0"/>
        <v>#REF!</v>
      </c>
    </row>
    <row r="35" spans="2:8" s="21" customFormat="1" x14ac:dyDescent="0.2"/>
    <row r="36" spans="2:8" s="21" customFormat="1" x14ac:dyDescent="0.2"/>
    <row r="37" spans="2:8" s="21" customFormat="1" x14ac:dyDescent="0.2"/>
  </sheetData>
  <conditionalFormatting sqref="G5:G6">
    <cfRule type="cellIs" dxfId="104" priority="2" operator="equal">
      <formula>H8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21">
    <pageSetUpPr fitToPage="1"/>
  </sheetPr>
  <dimension ref="A1:Y62"/>
  <sheetViews>
    <sheetView showZeros="0" workbookViewId="0">
      <selection activeCell="D18" sqref="B13:I28"/>
    </sheetView>
  </sheetViews>
  <sheetFormatPr defaultColWidth="9" defaultRowHeight="12.75" x14ac:dyDescent="0.15"/>
  <cols>
    <col min="1" max="1" width="15.875" style="325" customWidth="1"/>
    <col min="2" max="2" width="70.5" style="325" customWidth="1"/>
    <col min="3" max="3" width="10.625" style="325" customWidth="1"/>
    <col min="4" max="4" width="5.375" style="325" bestFit="1" customWidth="1"/>
    <col min="5" max="5" width="13" style="325" customWidth="1"/>
    <col min="6" max="6" width="8.625" style="325" bestFit="1" customWidth="1"/>
    <col min="7" max="8" width="16.75" style="325" customWidth="1"/>
    <col min="9" max="9" width="17.75" style="325" customWidth="1"/>
    <col min="10" max="16384" width="9" style="325"/>
  </cols>
  <sheetData>
    <row r="1" spans="1:25" s="4" customFormat="1" ht="23.1" customHeight="1" x14ac:dyDescent="0.15">
      <c r="A1" s="459" t="str">
        <f>Orçamento_Não_Deson!B1</f>
        <v>PREFEITURA MUNICIPAL DE CAMPO GRANDE - MS</v>
      </c>
      <c r="B1" s="459"/>
      <c r="C1" s="316"/>
      <c r="H1" s="535" t="str">
        <f>Orçamento_Não_Deson!I1</f>
        <v>DATA BASE:</v>
      </c>
      <c r="I1" s="1758" t="str">
        <f>Orçamento_Não_Deson!J1</f>
        <v>Agosto/2023</v>
      </c>
    </row>
    <row r="2" spans="1:25" s="4" customFormat="1" ht="23.1" customHeight="1" x14ac:dyDescent="0.15">
      <c r="A2" s="460" t="s">
        <v>612</v>
      </c>
      <c r="B2" s="460"/>
      <c r="C2" s="318"/>
      <c r="D2" s="319"/>
      <c r="H2" s="535" t="str">
        <f>Orçamento_Não_Deson!I2</f>
        <v>E.S.S.M.O.:</v>
      </c>
      <c r="I2" s="536" t="str">
        <f>Orçamento_Não_Deson!J2</f>
        <v>NÃO DESONERADA</v>
      </c>
    </row>
    <row r="3" spans="1:25" s="4" customFormat="1" ht="23.1" customHeight="1" x14ac:dyDescent="0.15">
      <c r="A3" s="437"/>
      <c r="B3" s="437"/>
      <c r="C3" s="318"/>
      <c r="D3" s="319"/>
      <c r="H3" s="535" t="str">
        <f>Orçamento_Não_Deson!I3</f>
        <v>E.S.D. (HORA):</v>
      </c>
      <c r="I3" s="537">
        <f>Orçamento_Não_Deson!J3</f>
        <v>1.1544000000000001</v>
      </c>
    </row>
    <row r="4" spans="1:25" s="4" customFormat="1" ht="23.1" customHeight="1" x14ac:dyDescent="0.15">
      <c r="A4" s="323" t="str">
        <f>Orçamento_Não_Deson!B5</f>
        <v>OBRA :</v>
      </c>
      <c r="B4" s="323" t="str">
        <f>Orçamento_Não_Deson!C5</f>
        <v xml:space="preserve">INFRAESTRUTURA URBANA - PAVIMENTAÇÃO ASFÁLTICA E DRENAGEM DE ÁGUAS PLUVIAIS </v>
      </c>
      <c r="C4" s="438"/>
      <c r="D4" s="323"/>
      <c r="H4" s="535" t="str">
        <f>Orçamento_Não_Deson!I4</f>
        <v>E.S.D. (MÊS):</v>
      </c>
      <c r="I4" s="537">
        <f>Orçamento_Não_Deson!J4</f>
        <v>0.71260000000000001</v>
      </c>
    </row>
    <row r="5" spans="1:25" s="4" customFormat="1" ht="23.1" customHeight="1" x14ac:dyDescent="0.15">
      <c r="A5" s="323" t="str">
        <f>Orçamento_Não_Deson!B6</f>
        <v>LOCAL :</v>
      </c>
      <c r="B5" s="323" t="str">
        <f>Orçamento_Não_Deson!C6</f>
        <v>JARDIM NASHIVILLE - ETAPA "B" - FASE 2</v>
      </c>
      <c r="C5" s="438"/>
      <c r="D5" s="321"/>
      <c r="H5" s="535" t="str">
        <f>Orçamento_Não_Deson!I5</f>
        <v>BDI SERVIÇOS:</v>
      </c>
      <c r="I5" s="537">
        <f>Orçamento_Não_Deson!J5</f>
        <v>0.22</v>
      </c>
    </row>
    <row r="6" spans="1:25" s="4" customFormat="1" ht="23.1" customHeight="1" x14ac:dyDescent="0.15">
      <c r="A6" s="323" t="str">
        <f>Orçamento_Não_Deson!B7</f>
        <v>MUNICÍPIO :</v>
      </c>
      <c r="B6" s="323" t="str">
        <f>Orçamento_Não_Deson!C7</f>
        <v>CAMPO GRANDE / MS</v>
      </c>
      <c r="C6" s="439"/>
      <c r="D6" s="321"/>
      <c r="H6" s="535" t="str">
        <f>Orçamento_Não_Deson!I6</f>
        <v>BDI INSUMO (*):</v>
      </c>
      <c r="I6" s="537">
        <f>Orçamento_Não_Deson!J6</f>
        <v>0.15279999999999999</v>
      </c>
    </row>
    <row r="7" spans="1:25" s="4" customFormat="1" ht="23.1" customHeight="1" x14ac:dyDescent="0.15">
      <c r="A7" s="323"/>
      <c r="B7" s="323"/>
      <c r="D7" s="322"/>
    </row>
    <row r="8" spans="1:25" s="4" customFormat="1" ht="23.1" customHeight="1" x14ac:dyDescent="0.15">
      <c r="A8" s="2504" t="s">
        <v>615</v>
      </c>
      <c r="B8" s="2504"/>
      <c r="C8" s="2504"/>
      <c r="D8" s="2504"/>
      <c r="E8" s="2504"/>
      <c r="F8" s="2504"/>
      <c r="G8" s="2504"/>
    </row>
    <row r="9" spans="1:25" s="4" customFormat="1" ht="23.1" customHeight="1" thickBot="1" x14ac:dyDescent="0.2">
      <c r="B9" s="479"/>
      <c r="C9" s="479"/>
      <c r="D9" s="479"/>
      <c r="E9" s="479"/>
      <c r="F9" s="479"/>
    </row>
    <row r="10" spans="1:25" s="3" customFormat="1" ht="21.75" customHeight="1" thickTop="1" x14ac:dyDescent="0.15">
      <c r="A10" s="2510" t="s">
        <v>31</v>
      </c>
      <c r="B10" s="2510" t="s">
        <v>40</v>
      </c>
      <c r="C10" s="2507" t="s">
        <v>613</v>
      </c>
      <c r="D10" s="2508"/>
      <c r="E10" s="2508"/>
      <c r="F10" s="2509"/>
      <c r="G10" s="2505" t="s">
        <v>619</v>
      </c>
      <c r="H10" s="2505"/>
      <c r="I10" s="2506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s="3" customFormat="1" ht="24.75" customHeight="1" thickBot="1" x14ac:dyDescent="0.2">
      <c r="A11" s="2511"/>
      <c r="B11" s="2511"/>
      <c r="C11" s="463" t="s">
        <v>336</v>
      </c>
      <c r="D11" s="464" t="s">
        <v>525</v>
      </c>
      <c r="E11" s="465" t="s">
        <v>337</v>
      </c>
      <c r="F11" s="466" t="s">
        <v>614</v>
      </c>
      <c r="G11" s="471" t="str">
        <f>CONCATENATE("EXT. DA OBRA = ",C15,"m"," (R$/m)")</f>
        <v>EXT. DA OBRA = 1741,78m (R$/m)</v>
      </c>
      <c r="H11" s="471" t="str">
        <f ca="1">CONCATENATE("EXT. DA DREN. = ",C22,"m"," (R$/m)")</f>
        <v>EXT. DA DREN. = 398,81m (R$/m)</v>
      </c>
      <c r="I11" s="472" t="str">
        <f>CONCATENATE("ÁREA DA OBRA = ",C28,"m"," (R$/m²)")</f>
        <v>ÁREA DA OBRA = 12682,57m (R$/m²)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1:25" s="3" customFormat="1" ht="21.95" customHeight="1" thickTop="1" x14ac:dyDescent="0.15">
      <c r="A12" s="205">
        <f>Orçamento_Não_Deson!B13</f>
        <v>1</v>
      </c>
      <c r="B12" s="467" t="str">
        <f>Orçamento_Não_Deson!C13</f>
        <v>SERVIÇOS PRELIMINARES</v>
      </c>
      <c r="C12" s="370">
        <f>Orçamento_Não_Deson!H13</f>
        <v>16</v>
      </c>
      <c r="D12" s="702" t="str">
        <f>Orçamento_Não_Deson!I13</f>
        <v>M2</v>
      </c>
      <c r="E12" s="468">
        <f ca="1">Orçamento_Não_Deson!J13</f>
        <v>171715.34999999998</v>
      </c>
      <c r="F12" s="469">
        <f ca="1">Orçamento_Não_Deson!K13</f>
        <v>4.6673758051787827E-2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 s="3" customFormat="1" ht="21.95" customHeight="1" x14ac:dyDescent="0.15">
      <c r="A13" s="205">
        <f ca="1">Orçamento_Não_Deson!B30</f>
        <v>12</v>
      </c>
      <c r="B13" s="467" t="str">
        <f>Orçamento_Não_Deson!C30</f>
        <v>ADMINISTRAÇÃO LOCAL</v>
      </c>
      <c r="C13" s="370">
        <f>Orçamento_Não_Deson!H30</f>
        <v>6</v>
      </c>
      <c r="D13" s="702" t="str">
        <f>Orçamento_Não_Deson!I30</f>
        <v>MÊS</v>
      </c>
      <c r="E13" s="468">
        <f>Orçamento_Não_Deson!J30</f>
        <v>167267.70000000001</v>
      </c>
      <c r="F13" s="469">
        <f ca="1">Orçamento_Não_Deson!K30</f>
        <v>4.54648472584369E-2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 s="3" customFormat="1" ht="21.95" customHeight="1" x14ac:dyDescent="0.15">
      <c r="A14" s="205">
        <f ca="1">Orçamento_Não_Deson!B31</f>
        <v>12</v>
      </c>
      <c r="B14" s="467" t="str">
        <f>Orçamento_Não_Deson!C31</f>
        <v>SERVIÇOS DE ENGENHARIA</v>
      </c>
      <c r="C14" s="370">
        <f>Orçamento_Não_Deson!H31</f>
        <v>0</v>
      </c>
      <c r="D14" s="702" t="str">
        <f>Orçamento_Não_Deson!I31</f>
        <v>m²</v>
      </c>
      <c r="E14" s="468">
        <f>Orçamento_Não_Deson!J31</f>
        <v>0</v>
      </c>
      <c r="F14" s="469">
        <f ca="1">Orçamento_Não_Deson!K31</f>
        <v>0</v>
      </c>
      <c r="G14" s="867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1:25" s="462" customFormat="1" ht="21.95" customHeight="1" x14ac:dyDescent="0.15">
      <c r="A15" s="477"/>
      <c r="B15" s="478" t="s">
        <v>939</v>
      </c>
      <c r="C15" s="473">
        <f>Pav_Terraplenagem!M2</f>
        <v>1741.78</v>
      </c>
      <c r="D15" s="703" t="str">
        <f>D22</f>
        <v>M</v>
      </c>
      <c r="E15" s="474">
        <f ca="1">SUM(E12:E14)</f>
        <v>338983.05</v>
      </c>
      <c r="F15" s="475" t="e">
        <f ca="1">E15/E$33</f>
        <v>#REF!</v>
      </c>
      <c r="G15" s="474">
        <f ca="1">E15/C$15</f>
        <v>194.61875208120429</v>
      </c>
      <c r="H15" s="476"/>
      <c r="I15" s="474">
        <f ca="1">E15/$C$28</f>
        <v>26.728261700901314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s="3" customFormat="1" ht="21.95" customHeight="1" x14ac:dyDescent="0.15">
      <c r="A16" s="205">
        <f ca="1">Orçamento_Não_Deson!B15</f>
        <v>3</v>
      </c>
      <c r="B16" s="467" t="str">
        <f>Orçamento_Não_Deson!C15</f>
        <v>MICRODRENAGEM - TERRAPLENAGEM</v>
      </c>
      <c r="C16" s="370">
        <f ca="1">Orçamento_Não_Deson!H15</f>
        <v>2041.07</v>
      </c>
      <c r="D16" s="704" t="str">
        <f>Orçamento_Não_Deson!I15</f>
        <v>M3</v>
      </c>
      <c r="E16" s="468">
        <f ca="1">Orçamento_Não_Deson!J15</f>
        <v>143972.27999999997</v>
      </c>
      <c r="F16" s="469">
        <f ca="1">Orçamento_Não_Deson!K15</f>
        <v>3.9132945091305181E-2</v>
      </c>
      <c r="K16" s="4"/>
      <c r="L16" s="4"/>
      <c r="M16" s="4"/>
      <c r="N16" s="4"/>
      <c r="O16" s="4"/>
    </row>
    <row r="17" spans="1:15" s="3" customFormat="1" ht="21.95" customHeight="1" x14ac:dyDescent="0.15">
      <c r="A17" s="205">
        <f ca="1">Orçamento_Não_Deson!B16</f>
        <v>4</v>
      </c>
      <c r="B17" s="467" t="str">
        <f>Orçamento_Não_Deson!C16</f>
        <v>MICRODRENAGEM - GALERIAS</v>
      </c>
      <c r="C17" s="3">
        <f ca="1">Orçamento_Não_Deson!H16</f>
        <v>604.80999999999995</v>
      </c>
      <c r="D17" s="704" t="str">
        <f>Orçamento_Não_Deson!I16</f>
        <v>M</v>
      </c>
      <c r="E17" s="468">
        <f ca="1">Orçamento_Não_Deson!J16</f>
        <v>213732.21</v>
      </c>
      <c r="F17" s="469">
        <f ca="1">Orçamento_Não_Deson!K16</f>
        <v>5.8094313976088378E-2</v>
      </c>
      <c r="K17" s="4"/>
      <c r="L17" s="4"/>
      <c r="M17" s="4"/>
      <c r="N17" s="4"/>
      <c r="O17" s="4"/>
    </row>
    <row r="18" spans="1:15" s="3" customFormat="1" ht="21.95" customHeight="1" x14ac:dyDescent="0.15">
      <c r="A18" s="205">
        <f ca="1">Orçamento_Não_Deson!B17</f>
        <v>5</v>
      </c>
      <c r="B18" s="467" t="str">
        <f>Orçamento_Não_Deson!C17</f>
        <v>MICRODRENAGEM - DISPOSITIVOS AUXILIARES</v>
      </c>
      <c r="C18" s="3">
        <f>Orçamento_Não_Deson!H17</f>
        <v>42</v>
      </c>
      <c r="D18" s="704" t="str">
        <f>Orçamento_Não_Deson!I17</f>
        <v>UN</v>
      </c>
      <c r="E18" s="468">
        <f ca="1">Orçamento_Não_Deson!J17</f>
        <v>254417.2</v>
      </c>
      <c r="F18" s="469">
        <f ca="1">Orçamento_Não_Deson!K17</f>
        <v>6.915285579893303E-2</v>
      </c>
      <c r="K18" s="4"/>
      <c r="L18" s="4"/>
      <c r="M18" s="4"/>
      <c r="N18" s="4"/>
      <c r="O18" s="4"/>
    </row>
    <row r="19" spans="1:15" s="3" customFormat="1" ht="21.95" customHeight="1" x14ac:dyDescent="0.15">
      <c r="A19" s="205">
        <f ca="1">Orçamento_Não_Deson!B18</f>
        <v>5</v>
      </c>
      <c r="B19" s="467" t="str">
        <f>Orçamento_Não_Deson!C18</f>
        <v>MICRODRENAGEM - SERVIÇOS DE ESTRUTURAS</v>
      </c>
      <c r="C19" s="370">
        <f>Orçamento_Não_Deson!H18</f>
        <v>0</v>
      </c>
      <c r="D19" s="704" t="str">
        <f>Orçamento_Não_Deson!I18</f>
        <v>M3</v>
      </c>
      <c r="E19" s="468">
        <f>Orçamento_Não_Deson!J18</f>
        <v>0</v>
      </c>
      <c r="F19" s="469">
        <f ca="1">Orçamento_Não_Deson!K18</f>
        <v>0</v>
      </c>
      <c r="K19" s="4"/>
      <c r="L19" s="4"/>
      <c r="M19" s="4"/>
      <c r="N19" s="4"/>
      <c r="O19" s="4"/>
    </row>
    <row r="20" spans="1:15" s="3" customFormat="1" ht="21.95" customHeight="1" x14ac:dyDescent="0.15">
      <c r="A20" s="205">
        <f ca="1">Orçamento_Não_Deson!B19</f>
        <v>5</v>
      </c>
      <c r="B20" s="467" t="str">
        <f>Orçamento_Não_Deson!C19</f>
        <v>MICRODRENAGEM - BACIA DE AMORTECIMENTO</v>
      </c>
      <c r="C20" s="370">
        <f>Orçamento_Não_Deson!H19</f>
        <v>0</v>
      </c>
      <c r="D20" s="704" t="str">
        <f>Orçamento_Não_Deson!I19</f>
        <v>M3</v>
      </c>
      <c r="E20" s="468">
        <f>Orçamento_Não_Deson!J19</f>
        <v>0</v>
      </c>
      <c r="F20" s="469">
        <f ca="1">Orçamento_Não_Deson!K19</f>
        <v>0</v>
      </c>
      <c r="K20" s="4"/>
      <c r="L20" s="4"/>
      <c r="M20" s="4"/>
      <c r="N20" s="4"/>
      <c r="O20" s="4"/>
    </row>
    <row r="21" spans="1:15" s="3" customFormat="1" ht="21.95" customHeight="1" x14ac:dyDescent="0.15">
      <c r="A21" s="205">
        <f ca="1">Orçamento_Não_Deson!B21</f>
        <v>6</v>
      </c>
      <c r="B21" s="467" t="str">
        <f>Orçamento_Não_Deson!C21</f>
        <v>MICRODRENAGEM - RECOMPOSIÇÃO DO PAVIMENTO</v>
      </c>
      <c r="C21" s="370">
        <f>Orçamento_Não_Deson!H21</f>
        <v>5.6</v>
      </c>
      <c r="D21" s="704" t="str">
        <f>Orçamento_Não_Deson!I21</f>
        <v>M2</v>
      </c>
      <c r="E21" s="468">
        <f>Orçamento_Não_Deson!J21</f>
        <v>618.7399999999999</v>
      </c>
      <c r="F21" s="469">
        <f ca="1">Orçamento_Não_Deson!K21</f>
        <v>1.6817903033691046E-4</v>
      </c>
      <c r="K21" s="4"/>
      <c r="L21" s="4"/>
      <c r="M21" s="4"/>
      <c r="N21" s="4"/>
      <c r="O21" s="4"/>
    </row>
    <row r="22" spans="1:15" s="462" customFormat="1" ht="21.95" customHeight="1" x14ac:dyDescent="0.15">
      <c r="A22" s="477"/>
      <c r="B22" s="478" t="s">
        <v>616</v>
      </c>
      <c r="C22" s="473">
        <f ca="1">SUM(Orçamento_Não_Deson!H197:H249)</f>
        <v>398.81</v>
      </c>
      <c r="D22" s="705" t="str">
        <f>D17</f>
        <v>M</v>
      </c>
      <c r="E22" s="474">
        <f ca="1">SUM(E16:E21)</f>
        <v>612740.42999999993</v>
      </c>
      <c r="F22" s="475" t="e">
        <f ca="1">E22/E$33</f>
        <v>#REF!</v>
      </c>
      <c r="G22" s="474">
        <f ca="1">E22/C$15</f>
        <v>351.78979549656094</v>
      </c>
      <c r="H22" s="474">
        <f ca="1">E22/C22</f>
        <v>1536.4219302424713</v>
      </c>
      <c r="I22" s="474">
        <f ca="1">E22/$C$28</f>
        <v>48.313585495684229</v>
      </c>
      <c r="K22" s="4"/>
      <c r="L22" s="4"/>
      <c r="M22" s="4"/>
      <c r="N22" s="4"/>
      <c r="O22" s="4"/>
    </row>
    <row r="23" spans="1:15" s="3" customFormat="1" ht="21.95" customHeight="1" x14ac:dyDescent="0.15">
      <c r="A23" s="205">
        <f ca="1">Orçamento_Não_Deson!B24</f>
        <v>7</v>
      </c>
      <c r="B23" s="467" t="str">
        <f>Orçamento_Não_Deson!C24</f>
        <v>IMPLANTAÇÃO ASFÁLTICA - TERRAPLENAGEM</v>
      </c>
      <c r="C23" s="370">
        <f>Orçamento_Não_Deson!H24</f>
        <v>5749.3</v>
      </c>
      <c r="D23" s="704" t="str">
        <f>Orçamento_Não_Deson!I24</f>
        <v>M3</v>
      </c>
      <c r="E23" s="468">
        <f>Orçamento_Não_Deson!J24</f>
        <v>186288.82</v>
      </c>
      <c r="F23" s="469">
        <f ca="1">Orçamento_Não_Deson!K24</f>
        <v>5.0634956702665511E-2</v>
      </c>
      <c r="K23" s="4"/>
      <c r="L23" s="4"/>
      <c r="M23" s="4"/>
      <c r="N23" s="4"/>
      <c r="O23" s="4"/>
    </row>
    <row r="24" spans="1:15" s="3" customFormat="1" ht="21.95" customHeight="1" x14ac:dyDescent="0.15">
      <c r="A24" s="205">
        <f ca="1">Orçamento_Não_Deson!B25</f>
        <v>8</v>
      </c>
      <c r="B24" s="467" t="str">
        <f>Orçamento_Não_Deson!C25</f>
        <v>IMPLANTAÇÃO ASFÁLTICA - PAVIMENTAÇÃO</v>
      </c>
      <c r="C24" s="370">
        <f>Orçamento_Não_Deson!H25</f>
        <v>12682.57</v>
      </c>
      <c r="D24" s="704" t="str">
        <f>Orçamento_Não_Deson!I25</f>
        <v>M2</v>
      </c>
      <c r="E24" s="468">
        <f>Orçamento_Não_Deson!J25</f>
        <v>1827993.5500000003</v>
      </c>
      <c r="F24" s="469">
        <f ca="1">Orçamento_Não_Deson!K25</f>
        <v>0.49686489107076764</v>
      </c>
      <c r="K24" s="4"/>
      <c r="L24" s="4"/>
      <c r="M24" s="4"/>
      <c r="N24" s="4"/>
      <c r="O24" s="4"/>
    </row>
    <row r="25" spans="1:15" s="3" customFormat="1" ht="21.95" customHeight="1" x14ac:dyDescent="0.15">
      <c r="A25" s="205">
        <f ca="1">Orçamento_Não_Deson!B26</f>
        <v>9</v>
      </c>
      <c r="B25" s="467" t="str">
        <f>Orçamento_Não_Deson!C26</f>
        <v>SERVIÇOS COMPLEMENTARES</v>
      </c>
      <c r="C25" s="370">
        <f>Orçamento_Não_Deson!H26</f>
        <v>3392.16</v>
      </c>
      <c r="D25" s="704" t="str">
        <f>Orçamento_Não_Deson!I26</f>
        <v>M</v>
      </c>
      <c r="E25" s="468">
        <f>Orçamento_Não_Deson!J26</f>
        <v>259559.26</v>
      </c>
      <c r="F25" s="469">
        <f ca="1">Orçamento_Não_Deson!K26</f>
        <v>7.0550513401050591E-2</v>
      </c>
      <c r="I25" s="470">
        <f>SUM(E23:E25)/$C$28</f>
        <v>179.28871119970168</v>
      </c>
      <c r="K25" s="4"/>
      <c r="L25" s="4"/>
      <c r="M25" s="4"/>
      <c r="N25" s="4"/>
      <c r="O25" s="4"/>
    </row>
    <row r="26" spans="1:15" s="3" customFormat="1" ht="21.95" customHeight="1" x14ac:dyDescent="0.15">
      <c r="A26" s="205">
        <f ca="1">Orçamento_Não_Deson!B27</f>
        <v>10</v>
      </c>
      <c r="B26" s="467" t="str">
        <f>Orçamento_Não_Deson!C27</f>
        <v>PASSEIO COM ACESSIBILIDADE</v>
      </c>
      <c r="C26" s="370">
        <f>Orçamento_Não_Deson!H27</f>
        <v>5339.87</v>
      </c>
      <c r="D26" s="704" t="str">
        <f>Orçamento_Não_Deson!I27</f>
        <v>M2</v>
      </c>
      <c r="E26" s="468">
        <f>Orçamento_Não_Deson!J27</f>
        <v>362370.94</v>
      </c>
      <c r="F26" s="469">
        <f ca="1">Orçamento_Não_Deson!K27</f>
        <v>9.8495641645076723E-2</v>
      </c>
      <c r="G26" s="470">
        <f>E26/C$15</f>
        <v>208.04633191333005</v>
      </c>
      <c r="I26" s="470">
        <f>E26/$C$28</f>
        <v>28.572358756939643</v>
      </c>
      <c r="K26" s="4"/>
      <c r="L26" s="4"/>
      <c r="M26" s="4"/>
      <c r="N26" s="4"/>
      <c r="O26" s="4"/>
    </row>
    <row r="27" spans="1:15" s="3" customFormat="1" ht="21.95" customHeight="1" x14ac:dyDescent="0.15">
      <c r="A27" s="205">
        <f ca="1">Orçamento_Não_Deson!B29</f>
        <v>11</v>
      </c>
      <c r="B27" s="467" t="str">
        <f>Orçamento_Não_Deson!C29</f>
        <v>SINALIZAÇÃO VIÁRIA DEFINITIVA HORIZONTAL E VERTICAL E DISPOSITIVOS DE SEGURANÇA</v>
      </c>
      <c r="C27" s="370">
        <f>Orçamento_Não_Deson!H29</f>
        <v>148.22</v>
      </c>
      <c r="D27" s="702" t="str">
        <f>Orçamento_Não_Deson!I29</f>
        <v>M2</v>
      </c>
      <c r="E27" s="468">
        <f>Orçamento_Não_Deson!J29</f>
        <v>52013.98</v>
      </c>
      <c r="F27" s="469">
        <f ca="1">Orçamento_Não_Deson!K29</f>
        <v>1.4137861978154727E-2</v>
      </c>
      <c r="G27" s="470">
        <f>E27/C$15</f>
        <v>29.862542915867678</v>
      </c>
      <c r="I27" s="470">
        <f>E27/$C$28</f>
        <v>4.1012176554121131</v>
      </c>
      <c r="K27" s="4"/>
      <c r="L27" s="4"/>
      <c r="M27" s="4"/>
      <c r="N27" s="4"/>
      <c r="O27" s="4"/>
    </row>
    <row r="28" spans="1:15" s="462" customFormat="1" ht="21.95" customHeight="1" x14ac:dyDescent="0.15">
      <c r="A28" s="477"/>
      <c r="B28" s="478" t="s">
        <v>618</v>
      </c>
      <c r="C28" s="473">
        <f>C24</f>
        <v>12682.57</v>
      </c>
      <c r="D28" s="705"/>
      <c r="E28" s="474">
        <f>SUM(E23:E27)</f>
        <v>2688226.5500000003</v>
      </c>
      <c r="F28" s="475" t="e">
        <f ca="1">E28/E$33</f>
        <v>#REF!</v>
      </c>
      <c r="G28" s="474">
        <f>E28/C$15</f>
        <v>1543.3789284525028</v>
      </c>
      <c r="H28" s="476"/>
      <c r="I28" s="474">
        <f>E28/$C$28</f>
        <v>211.96228761205342</v>
      </c>
      <c r="J28" s="515">
        <f ca="1">I28+I15</f>
        <v>238.69054931295472</v>
      </c>
      <c r="K28" s="4"/>
      <c r="L28" s="4"/>
      <c r="M28" s="4"/>
      <c r="N28" s="4"/>
      <c r="O28" s="4"/>
    </row>
    <row r="29" spans="1:15" s="462" customFormat="1" ht="21.95" customHeight="1" x14ac:dyDescent="0.15">
      <c r="A29" s="205">
        <f ca="1">Orçamento_Não_Deson!B14</f>
        <v>2</v>
      </c>
      <c r="B29" s="467" t="str">
        <f>Orçamento_Não_Deson!C14</f>
        <v>REMOÇÕES, DEMOLIÇÕES E SUPRESSÕES</v>
      </c>
      <c r="C29" s="370">
        <f>Orçamento_Não_Deson!H14</f>
        <v>858.19</v>
      </c>
      <c r="D29" s="702" t="str">
        <f>Orçamento_Não_Deson!I14</f>
        <v>M</v>
      </c>
      <c r="E29" s="468">
        <f>Orçamento_Não_Deson!J14</f>
        <v>39105.550000000003</v>
      </c>
      <c r="F29" s="469">
        <f ca="1">Orçamento_Não_Deson!K14</f>
        <v>1.0629235995396403E-2</v>
      </c>
      <c r="G29" s="470"/>
      <c r="H29" s="3"/>
      <c r="I29" s="470"/>
      <c r="J29" s="515"/>
      <c r="K29" s="4"/>
      <c r="L29" s="4"/>
      <c r="M29" s="4"/>
      <c r="N29" s="4"/>
      <c r="O29" s="4"/>
    </row>
    <row r="30" spans="1:15" s="3" customFormat="1" ht="21.95" customHeight="1" x14ac:dyDescent="0.15">
      <c r="A30" s="205">
        <f ca="1">Orçamento_Não_Deson!B20</f>
        <v>5</v>
      </c>
      <c r="B30" s="467" t="str">
        <f>Orçamento_Não_Deson!C20</f>
        <v>DRENAGEM DE LENÇOL FREÁTICO</v>
      </c>
      <c r="C30" s="370">
        <f>Orçamento_Não_Deson!H20</f>
        <v>0</v>
      </c>
      <c r="D30" s="702" t="str">
        <f>Orçamento_Não_Deson!I20</f>
        <v>M</v>
      </c>
      <c r="E30" s="468">
        <f>Orçamento_Não_Deson!J20</f>
        <v>0</v>
      </c>
      <c r="F30" s="469">
        <f ca="1">Orçamento_Não_Deson!K20</f>
        <v>0</v>
      </c>
      <c r="G30" s="470"/>
      <c r="I30" s="470"/>
      <c r="K30" s="4"/>
      <c r="L30" s="4"/>
      <c r="M30" s="4"/>
      <c r="N30" s="4"/>
      <c r="O30" s="4"/>
    </row>
    <row r="31" spans="1:15" s="3" customFormat="1" ht="21.95" customHeight="1" x14ac:dyDescent="0.15">
      <c r="A31" s="205">
        <f ca="1">Orçamento_Não_Deson!B28</f>
        <v>10</v>
      </c>
      <c r="B31" s="467" t="str">
        <f>Orçamento_Não_Deson!C28</f>
        <v>IMPLANTAÇÃO / ADEQUAÇÃO GEOMÉTRICA DE CICLOVIA</v>
      </c>
      <c r="C31" s="370">
        <f>Orçamento_Não_Deson!H28</f>
        <v>0</v>
      </c>
      <c r="D31" s="704" t="str">
        <f>Orçamento_Não_Deson!I28</f>
        <v>M</v>
      </c>
      <c r="E31" s="468">
        <f>Orçamento_Não_Deson!J28</f>
        <v>0</v>
      </c>
      <c r="F31" s="469">
        <f ca="1">Orçamento_Não_Deson!K28</f>
        <v>0</v>
      </c>
      <c r="G31" s="462"/>
      <c r="I31" s="470"/>
      <c r="K31" s="4"/>
      <c r="L31" s="4"/>
      <c r="M31" s="4"/>
      <c r="N31" s="4"/>
      <c r="O31" s="4"/>
    </row>
    <row r="32" spans="1:15" s="3" customFormat="1" ht="21.95" customHeight="1" x14ac:dyDescent="0.15">
      <c r="A32" s="205" t="e">
        <f>Orçamento_Não_Deson!#REF!</f>
        <v>#REF!</v>
      </c>
      <c r="B32" s="467" t="e">
        <f>Orçamento_Não_Deson!#REF!</f>
        <v>#REF!</v>
      </c>
      <c r="C32" s="370" t="e">
        <f>Orçamento_Não_Deson!#REF!</f>
        <v>#REF!</v>
      </c>
      <c r="D32" s="704" t="e">
        <f>Orçamento_Não_Deson!#REF!</f>
        <v>#REF!</v>
      </c>
      <c r="E32" s="468" t="e">
        <f>Orçamento_Não_Deson!#REF!</f>
        <v>#REF!</v>
      </c>
      <c r="F32" s="469" t="e">
        <f>Orçamento_Não_Deson!#REF!</f>
        <v>#REF!</v>
      </c>
      <c r="G32" s="470"/>
      <c r="I32" s="470"/>
      <c r="K32" s="4"/>
      <c r="L32" s="4"/>
      <c r="M32" s="4"/>
      <c r="N32" s="4"/>
      <c r="O32" s="4"/>
    </row>
    <row r="33" spans="1:15" s="462" customFormat="1" ht="21.95" customHeight="1" x14ac:dyDescent="0.15">
      <c r="A33" s="696"/>
      <c r="B33" s="697" t="s">
        <v>938</v>
      </c>
      <c r="C33" s="698"/>
      <c r="D33" s="706"/>
      <c r="E33" s="699" t="e">
        <f ca="1">E15+E22+E28+E29+E30+E31+E32</f>
        <v>#REF!</v>
      </c>
      <c r="F33" s="700" t="e">
        <f ca="1">E33/E37</f>
        <v>#REF!</v>
      </c>
      <c r="G33" s="699" t="e">
        <f ca="1">E33/C$15</f>
        <v>#REF!</v>
      </c>
      <c r="H33" s="701"/>
      <c r="I33" s="699" t="e">
        <f ca="1">E33/$C$28</f>
        <v>#REF!</v>
      </c>
      <c r="K33" s="4"/>
      <c r="L33" s="4"/>
      <c r="M33" s="4"/>
      <c r="N33" s="4"/>
      <c r="O33" s="4"/>
    </row>
    <row r="34" spans="1:15" s="3" customFormat="1" ht="30" customHeight="1" x14ac:dyDescent="0.15">
      <c r="A34" s="205">
        <f ca="1">Orçamento_Não_Deson!B22</f>
        <v>6</v>
      </c>
      <c r="B34" s="695" t="str">
        <f>Orçamento_Não_Deson!C22</f>
        <v>RESTAURAÇÃO DO PAVIMENTO - RECUPERAÇÃO PRÉVIA DO PAVIMENTO</v>
      </c>
      <c r="C34" s="370">
        <f>Orçamento_Não_Deson!H22</f>
        <v>0</v>
      </c>
      <c r="D34" s="702" t="str">
        <f>Orçamento_Não_Deson!I22</f>
        <v>M2</v>
      </c>
      <c r="E34" s="468">
        <f>Orçamento_Não_Deson!J22</f>
        <v>0</v>
      </c>
      <c r="F34" s="469">
        <f ca="1">Orçamento_Não_Deson!K22</f>
        <v>0</v>
      </c>
      <c r="K34" s="4"/>
      <c r="L34" s="4"/>
      <c r="M34" s="4"/>
      <c r="N34" s="4"/>
      <c r="O34" s="4"/>
    </row>
    <row r="35" spans="1:15" s="3" customFormat="1" ht="21.95" customHeight="1" x14ac:dyDescent="0.15">
      <c r="A35" s="205">
        <f ca="1">Orçamento_Não_Deson!B23</f>
        <v>6</v>
      </c>
      <c r="B35" s="467" t="str">
        <f>Orçamento_Não_Deson!C23</f>
        <v>RESTAURAÇÃO DO PAVIMENTO - RECAPEAMENTO ASFÁLTICO</v>
      </c>
      <c r="C35" s="370">
        <f>Orçamento_Não_Deson!H23</f>
        <v>0</v>
      </c>
      <c r="D35" s="702" t="str">
        <f>Orçamento_Não_Deson!I23</f>
        <v>M2</v>
      </c>
      <c r="E35" s="468">
        <f>Orçamento_Não_Deson!J23</f>
        <v>0</v>
      </c>
      <c r="F35" s="469">
        <f ca="1">Orçamento_Não_Deson!K23</f>
        <v>0</v>
      </c>
      <c r="K35" s="4"/>
      <c r="L35" s="4"/>
      <c r="M35" s="4"/>
      <c r="N35" s="4"/>
      <c r="O35" s="4"/>
    </row>
    <row r="36" spans="1:15" s="462" customFormat="1" ht="21.95" customHeight="1" x14ac:dyDescent="0.15">
      <c r="A36" s="477"/>
      <c r="B36" s="478" t="s">
        <v>617</v>
      </c>
      <c r="C36" s="473">
        <f>C35</f>
        <v>0</v>
      </c>
      <c r="D36" s="705" t="str">
        <f>D35</f>
        <v>M2</v>
      </c>
      <c r="E36" s="474">
        <f>SUM(E34:E35)</f>
        <v>0</v>
      </c>
      <c r="F36" s="475" t="e">
        <f ca="1">E36/E37</f>
        <v>#REF!</v>
      </c>
      <c r="G36" s="474"/>
      <c r="H36" s="476"/>
      <c r="I36" s="474">
        <f>IF(E36=0,0,+E36/C36)</f>
        <v>0</v>
      </c>
    </row>
    <row r="37" spans="1:15" s="462" customFormat="1" ht="21.95" customHeight="1" x14ac:dyDescent="0.15">
      <c r="A37" s="696"/>
      <c r="B37" s="697" t="s">
        <v>768</v>
      </c>
      <c r="C37" s="698"/>
      <c r="D37" s="706"/>
      <c r="E37" s="699" t="e">
        <f ca="1">E36+E33</f>
        <v>#REF!</v>
      </c>
      <c r="F37" s="700" t="e">
        <f ca="1">E37/E37</f>
        <v>#REF!</v>
      </c>
      <c r="G37" s="699"/>
      <c r="H37" s="701"/>
      <c r="I37" s="699"/>
    </row>
    <row r="38" spans="1:15" x14ac:dyDescent="0.15">
      <c r="E38" s="525" t="e">
        <f ca="1">IF(E37=E39,"OK","ERRO")</f>
        <v>#REF!</v>
      </c>
    </row>
    <row r="39" spans="1:15" x14ac:dyDescent="0.15">
      <c r="E39" s="871">
        <f ca="1">Orçamento_Não_Deson!J12</f>
        <v>3679055.58</v>
      </c>
    </row>
    <row r="43" spans="1:15" s="3" customFormat="1" ht="24.95" customHeight="1" x14ac:dyDescent="0.15"/>
    <row r="44" spans="1:15" s="3" customFormat="1" ht="35.1" customHeight="1" x14ac:dyDescent="0.15"/>
    <row r="46" spans="1:15" x14ac:dyDescent="0.15">
      <c r="A46" s="325">
        <v>1</v>
      </c>
    </row>
    <row r="47" spans="1:15" x14ac:dyDescent="0.15">
      <c r="A47" s="325">
        <v>3</v>
      </c>
      <c r="B47" s="325">
        <v>2</v>
      </c>
    </row>
    <row r="48" spans="1:15" x14ac:dyDescent="0.15">
      <c r="A48" s="325">
        <v>4</v>
      </c>
    </row>
    <row r="49" spans="1:2" x14ac:dyDescent="0.15">
      <c r="A49" s="325">
        <v>6</v>
      </c>
      <c r="B49" s="325">
        <v>5</v>
      </c>
    </row>
    <row r="50" spans="1:2" x14ac:dyDescent="0.15">
      <c r="A50" s="325">
        <v>8</v>
      </c>
      <c r="B50" s="325">
        <v>7</v>
      </c>
    </row>
    <row r="51" spans="1:2" x14ac:dyDescent="0.15">
      <c r="A51" s="325">
        <v>9</v>
      </c>
    </row>
    <row r="52" spans="1:2" x14ac:dyDescent="0.15">
      <c r="A52" s="325">
        <v>10</v>
      </c>
    </row>
    <row r="53" spans="1:2" x14ac:dyDescent="0.15">
      <c r="A53" s="325">
        <v>11</v>
      </c>
    </row>
    <row r="54" spans="1:2" x14ac:dyDescent="0.15">
      <c r="A54" s="325">
        <v>12</v>
      </c>
    </row>
    <row r="55" spans="1:2" x14ac:dyDescent="0.15">
      <c r="A55" s="325">
        <v>13</v>
      </c>
    </row>
    <row r="56" spans="1:2" x14ac:dyDescent="0.15">
      <c r="A56" s="325">
        <v>14</v>
      </c>
    </row>
    <row r="57" spans="1:2" x14ac:dyDescent="0.15">
      <c r="A57" s="325">
        <v>15</v>
      </c>
    </row>
    <row r="58" spans="1:2" x14ac:dyDescent="0.15">
      <c r="A58" s="325">
        <v>15</v>
      </c>
    </row>
    <row r="59" spans="1:2" x14ac:dyDescent="0.15">
      <c r="A59" s="325">
        <v>16</v>
      </c>
    </row>
    <row r="60" spans="1:2" x14ac:dyDescent="0.15">
      <c r="A60" s="325">
        <v>17</v>
      </c>
    </row>
    <row r="61" spans="1:2" x14ac:dyDescent="0.15">
      <c r="A61" s="325">
        <v>18</v>
      </c>
    </row>
    <row r="62" spans="1:2" x14ac:dyDescent="0.15">
      <c r="A62" s="325">
        <v>19</v>
      </c>
    </row>
  </sheetData>
  <sortState ref="A46:A66">
    <sortCondition ref="A46:A66"/>
  </sortState>
  <mergeCells count="5">
    <mergeCell ref="A8:G8"/>
    <mergeCell ref="G10:I10"/>
    <mergeCell ref="C10:F10"/>
    <mergeCell ref="A10:A11"/>
    <mergeCell ref="B10:B11"/>
  </mergeCells>
  <printOptions horizontalCentered="1"/>
  <pageMargins left="0.39370078740157483" right="0.39370078740157483" top="0.78740157480314965" bottom="0.55118110236220474" header="0.31496062992125984" footer="0.23622047244094491"/>
  <pageSetup paperSize="9" scale="63" orientation="landscape" r:id="rId1"/>
  <headerFooter>
    <oddFooter>&amp;L&amp;"Arial,Normal"&amp;8&amp;F&amp;C&amp;"Arial,Normal"&amp;8&amp;P / &amp;N&amp;R&amp;"Cambria,Regular"&amp;8Ricardo Schettini Figueiredo&amp;10
&amp;8Eng. Civil - CREA-RJ 52.656/D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22">
    <tabColor rgb="FFFFFF99"/>
    <pageSetUpPr fitToPage="1"/>
  </sheetPr>
  <dimension ref="A1:N44"/>
  <sheetViews>
    <sheetView showZeros="0" topLeftCell="A19" zoomScaleNormal="100" zoomScaleSheetLayoutView="100" workbookViewId="0">
      <selection sqref="A1:A28"/>
    </sheetView>
  </sheetViews>
  <sheetFormatPr defaultColWidth="9" defaultRowHeight="12.75" x14ac:dyDescent="0.15"/>
  <cols>
    <col min="1" max="1" width="9.75" style="5" customWidth="1"/>
    <col min="2" max="2" width="29" style="9" customWidth="1"/>
    <col min="3" max="3" width="30.625" style="9" customWidth="1"/>
    <col min="4" max="9" width="11.875" style="5" customWidth="1"/>
    <col min="10" max="10" width="11.875" style="210" customWidth="1"/>
    <col min="11" max="13" width="11.875" style="5" customWidth="1"/>
    <col min="14" max="14" width="14.625" style="5" customWidth="1"/>
    <col min="15" max="18" width="9" style="5"/>
    <col min="19" max="19" width="30.875" style="5" customWidth="1"/>
    <col min="20" max="16384" width="9" style="5"/>
  </cols>
  <sheetData>
    <row r="1" spans="1:14" s="10" customFormat="1" ht="48" customHeight="1" thickTop="1" thickBot="1" x14ac:dyDescent="0.2">
      <c r="A1" s="2512" t="s">
        <v>288</v>
      </c>
      <c r="B1" s="581" t="s">
        <v>349</v>
      </c>
      <c r="C1" s="584" t="s">
        <v>700</v>
      </c>
      <c r="D1" s="211" t="s">
        <v>990</v>
      </c>
      <c r="E1" s="212" t="s">
        <v>289</v>
      </c>
      <c r="F1" s="212" t="s">
        <v>989</v>
      </c>
      <c r="G1" s="212" t="s">
        <v>290</v>
      </c>
      <c r="H1" s="212" t="s">
        <v>1636</v>
      </c>
      <c r="I1" s="212" t="s">
        <v>1637</v>
      </c>
      <c r="J1" s="213" t="s">
        <v>60</v>
      </c>
      <c r="K1" s="212" t="s">
        <v>58</v>
      </c>
      <c r="L1" s="212" t="s">
        <v>1635</v>
      </c>
      <c r="M1" s="212" t="s">
        <v>64</v>
      </c>
      <c r="N1" s="214" t="s">
        <v>0</v>
      </c>
    </row>
    <row r="2" spans="1:14" ht="37.5" customHeight="1" thickTop="1" x14ac:dyDescent="0.15">
      <c r="A2" s="2513"/>
      <c r="B2" s="582" t="s">
        <v>2424</v>
      </c>
      <c r="C2" s="2265"/>
      <c r="D2" s="431">
        <f ca="1">SUM(Dre_Disp_Estruturais!AE12:AE59)</f>
        <v>331.81</v>
      </c>
      <c r="E2" s="431">
        <f>Pav_Terraplenagem!M2</f>
        <v>1741.78</v>
      </c>
      <c r="F2" s="431">
        <f>Dre_Profunda!I2</f>
        <v>0</v>
      </c>
      <c r="G2" s="431">
        <f>Recap_Final!K2</f>
        <v>0</v>
      </c>
      <c r="H2" s="431">
        <f>Passeio!N3</f>
        <v>0</v>
      </c>
      <c r="I2" s="1408">
        <f>Ciclovia!J2</f>
        <v>0</v>
      </c>
      <c r="J2" s="1406"/>
      <c r="K2" s="2324"/>
      <c r="L2" s="2324"/>
      <c r="M2" s="431"/>
      <c r="N2" s="887">
        <f ca="1">TRUNC(SUM(D2:M2),2)</f>
        <v>2073.59</v>
      </c>
    </row>
    <row r="3" spans="1:14" ht="37.5" customHeight="1" x14ac:dyDescent="0.15">
      <c r="A3" s="2513"/>
      <c r="B3" s="583" t="s">
        <v>2416</v>
      </c>
      <c r="C3" s="2260" t="s">
        <v>701</v>
      </c>
      <c r="D3" s="910"/>
      <c r="E3" s="910"/>
      <c r="F3" s="910"/>
      <c r="G3" s="910"/>
      <c r="H3" s="910"/>
      <c r="I3" s="910"/>
      <c r="J3" s="2251">
        <v>2</v>
      </c>
      <c r="K3" s="2252">
        <v>4</v>
      </c>
      <c r="L3" s="2252">
        <v>2</v>
      </c>
      <c r="M3" s="432"/>
      <c r="N3" s="888">
        <f>TRUNC(+J3*K3*L3,2)</f>
        <v>16</v>
      </c>
    </row>
    <row r="4" spans="1:14" ht="37.5" customHeight="1" x14ac:dyDescent="0.15">
      <c r="A4" s="2513"/>
      <c r="B4" s="583" t="s">
        <v>2417</v>
      </c>
      <c r="C4" s="2260" t="s">
        <v>702</v>
      </c>
      <c r="D4" s="910"/>
      <c r="E4" s="910"/>
      <c r="F4" s="910"/>
      <c r="G4" s="910"/>
      <c r="H4" s="910"/>
      <c r="I4" s="910"/>
      <c r="J4" s="909"/>
      <c r="K4" s="910"/>
      <c r="L4" s="910"/>
      <c r="M4" s="432"/>
      <c r="N4" s="435">
        <f>TRUNC(COUNTA(Cronograma_Não_Deson!F78:W78),0)</f>
        <v>6</v>
      </c>
    </row>
    <row r="5" spans="1:14" ht="39.950000000000003" hidden="1" customHeight="1" x14ac:dyDescent="0.15">
      <c r="A5" s="2513"/>
      <c r="B5" s="2515" t="s">
        <v>2418</v>
      </c>
      <c r="C5" s="2260" t="s">
        <v>1625</v>
      </c>
      <c r="D5" s="2519" t="s">
        <v>2400</v>
      </c>
      <c r="E5" s="2519"/>
      <c r="F5" s="910"/>
      <c r="G5" s="908"/>
      <c r="H5" s="909"/>
      <c r="I5" s="2518"/>
      <c r="J5" s="909">
        <f>IF(I5="ok",IF(SUM(D2:E2)&lt;=1000,1,2),0)</f>
        <v>0</v>
      </c>
      <c r="K5" s="910">
        <f>IF(J5&gt;0,2.3,0)</f>
        <v>0</v>
      </c>
      <c r="L5" s="910"/>
      <c r="M5" s="432">
        <f>IF(J5&gt;0,6,0)</f>
        <v>0</v>
      </c>
      <c r="N5" s="434">
        <f>J5*K5*M5</f>
        <v>0</v>
      </c>
    </row>
    <row r="6" spans="1:14" ht="39.950000000000003" hidden="1" customHeight="1" x14ac:dyDescent="0.15">
      <c r="A6" s="2513"/>
      <c r="B6" s="2516"/>
      <c r="C6" s="2260" t="s">
        <v>1626</v>
      </c>
      <c r="D6" s="2519" t="s">
        <v>1629</v>
      </c>
      <c r="E6" s="2519"/>
      <c r="F6" s="910"/>
      <c r="G6" s="908"/>
      <c r="H6" s="909"/>
      <c r="I6" s="2518"/>
      <c r="J6" s="909">
        <f>IF(I5="ok",IF(SUM(D2:E2)&lt;5000,1,IF(SUM(D2:E2)&gt;=10000,3,2)),0)</f>
        <v>0</v>
      </c>
      <c r="K6" s="910">
        <f>IF(J6&gt;0,2.3,0)</f>
        <v>0</v>
      </c>
      <c r="L6" s="910"/>
      <c r="M6" s="432">
        <f>IF(J6&gt;0,6,0)</f>
        <v>0</v>
      </c>
      <c r="N6" s="434">
        <f>J6*K6*M6</f>
        <v>0</v>
      </c>
    </row>
    <row r="7" spans="1:14" ht="39.950000000000003" hidden="1" customHeight="1" x14ac:dyDescent="0.15">
      <c r="A7" s="2513"/>
      <c r="B7" s="2517"/>
      <c r="C7" s="2260" t="s">
        <v>1627</v>
      </c>
      <c r="D7" s="2519" t="s">
        <v>1630</v>
      </c>
      <c r="E7" s="2519"/>
      <c r="F7" s="910"/>
      <c r="G7" s="908"/>
      <c r="H7" s="909"/>
      <c r="I7" s="2518"/>
      <c r="J7" s="909">
        <f>IF(I5="ok",IF(SUM(D8:E8)&lt;10000,1,IF(SUM(D8:E8)&gt;=15000,3,2)),0)</f>
        <v>0</v>
      </c>
      <c r="K7" s="910">
        <f>IF(J7&gt;0,2.3,0)</f>
        <v>0</v>
      </c>
      <c r="L7" s="910"/>
      <c r="M7" s="432">
        <f>IF(J7&gt;0,6,0)</f>
        <v>0</v>
      </c>
      <c r="N7" s="434">
        <f>J7*K7*M7</f>
        <v>0</v>
      </c>
    </row>
    <row r="8" spans="1:14" ht="39.950000000000003" customHeight="1" x14ac:dyDescent="0.15">
      <c r="A8" s="2513"/>
      <c r="B8" s="2515" t="s">
        <v>285</v>
      </c>
      <c r="C8" s="2260" t="s">
        <v>1622</v>
      </c>
      <c r="D8" s="2519" t="s">
        <v>2400</v>
      </c>
      <c r="E8" s="2519"/>
      <c r="F8" s="909"/>
      <c r="G8" s="908"/>
      <c r="H8" s="909"/>
      <c r="I8" s="2518" t="s">
        <v>1628</v>
      </c>
      <c r="J8" s="909">
        <f ca="1">IF(I8="ok",IF(SUM(D2:E2)&lt;=10000,1,2),0)</f>
        <v>1</v>
      </c>
      <c r="K8" s="910"/>
      <c r="L8" s="910"/>
      <c r="M8" s="432"/>
      <c r="N8" s="435">
        <f ca="1">TRUNC(+$N$4*J8,0)</f>
        <v>6</v>
      </c>
    </row>
    <row r="9" spans="1:14" ht="39.950000000000003" customHeight="1" x14ac:dyDescent="0.15">
      <c r="A9" s="2513"/>
      <c r="B9" s="2516"/>
      <c r="C9" s="2260" t="s">
        <v>1623</v>
      </c>
      <c r="D9" s="2519" t="s">
        <v>1629</v>
      </c>
      <c r="E9" s="2519"/>
      <c r="F9" s="909"/>
      <c r="G9" s="908"/>
      <c r="H9" s="909"/>
      <c r="I9" s="2518"/>
      <c r="J9" s="909">
        <f ca="1">IF(I8="ok",IF(SUM(D2:E2)&lt;5000,1,IF(SUM(D2:E2)&gt;=10000,3,2)),0)</f>
        <v>1</v>
      </c>
      <c r="K9" s="910"/>
      <c r="L9" s="910"/>
      <c r="M9" s="432"/>
      <c r="N9" s="435">
        <f ca="1">TRUNC(+$N$4*J9,0)</f>
        <v>6</v>
      </c>
    </row>
    <row r="10" spans="1:14" ht="39.950000000000003" customHeight="1" x14ac:dyDescent="0.15">
      <c r="A10" s="2513"/>
      <c r="B10" s="2517"/>
      <c r="C10" s="2260" t="s">
        <v>1624</v>
      </c>
      <c r="D10" s="2519" t="s">
        <v>1630</v>
      </c>
      <c r="E10" s="2519"/>
      <c r="F10" s="909"/>
      <c r="G10" s="908"/>
      <c r="H10" s="909"/>
      <c r="I10" s="2518"/>
      <c r="J10" s="909">
        <f ca="1">IF(I8="ok",IF(SUM(D2:E2)&lt;10000,1,IF(SUM(D2:E2)&gt;=15000,3,2)),0)</f>
        <v>1</v>
      </c>
      <c r="K10" s="910"/>
      <c r="L10" s="910"/>
      <c r="M10" s="432"/>
      <c r="N10" s="435">
        <f ca="1">TRUNC(+$N$4*J10,0)</f>
        <v>6</v>
      </c>
    </row>
    <row r="11" spans="1:14" ht="37.5" customHeight="1" x14ac:dyDescent="0.15">
      <c r="A11" s="2513"/>
      <c r="B11" s="582" t="s">
        <v>1634</v>
      </c>
      <c r="C11" s="2259" t="s">
        <v>1634</v>
      </c>
      <c r="D11" s="910"/>
      <c r="E11" s="910"/>
      <c r="F11" s="910"/>
      <c r="G11" s="910"/>
      <c r="H11" s="910"/>
      <c r="I11" s="910"/>
      <c r="J11" s="909">
        <v>1</v>
      </c>
      <c r="K11" s="2252">
        <v>2</v>
      </c>
      <c r="L11" s="910"/>
      <c r="M11" s="433">
        <v>2</v>
      </c>
      <c r="N11" s="434">
        <f>J11*K11*M11</f>
        <v>4</v>
      </c>
    </row>
    <row r="12" spans="1:14" ht="37.5" customHeight="1" x14ac:dyDescent="0.15">
      <c r="A12" s="2513"/>
      <c r="B12" s="583" t="s">
        <v>2419</v>
      </c>
      <c r="C12" s="2259" t="s">
        <v>2419</v>
      </c>
      <c r="D12" s="2365"/>
      <c r="E12" s="2365"/>
      <c r="F12" s="910"/>
      <c r="G12" s="910"/>
      <c r="H12" s="910"/>
      <c r="I12" s="910"/>
      <c r="J12" s="909">
        <v>1</v>
      </c>
      <c r="K12" s="910"/>
      <c r="L12" s="910"/>
      <c r="M12" s="432"/>
      <c r="N12" s="435">
        <f>N4*J12</f>
        <v>6</v>
      </c>
    </row>
    <row r="13" spans="1:14" ht="37.5" customHeight="1" x14ac:dyDescent="0.15">
      <c r="A13" s="2513"/>
      <c r="B13" s="583" t="s">
        <v>1028</v>
      </c>
      <c r="C13" s="2259" t="s">
        <v>1028</v>
      </c>
      <c r="D13" s="910"/>
      <c r="E13" s="910"/>
      <c r="F13" s="910"/>
      <c r="G13" s="910"/>
      <c r="H13" s="910"/>
      <c r="I13" s="910"/>
      <c r="J13" s="909" t="s">
        <v>72</v>
      </c>
      <c r="K13" s="2252">
        <v>100</v>
      </c>
      <c r="L13" s="910"/>
      <c r="M13" s="433">
        <v>100</v>
      </c>
      <c r="N13" s="888">
        <f>(K13+M13)*2</f>
        <v>400</v>
      </c>
    </row>
    <row r="14" spans="1:14" ht="37.5" customHeight="1" x14ac:dyDescent="0.15">
      <c r="A14" s="2513"/>
      <c r="B14" s="583" t="s">
        <v>2038</v>
      </c>
      <c r="C14" s="2260" t="s">
        <v>2038</v>
      </c>
      <c r="D14" s="910"/>
      <c r="E14" s="910"/>
      <c r="F14" s="910"/>
      <c r="G14" s="910"/>
      <c r="H14" s="910"/>
      <c r="I14" s="910"/>
      <c r="J14" s="2252">
        <v>1</v>
      </c>
      <c r="K14" s="2252">
        <v>4</v>
      </c>
      <c r="L14" s="2252">
        <v>1.8</v>
      </c>
      <c r="M14" s="432"/>
      <c r="N14" s="888">
        <f>L14*K14*J14</f>
        <v>7.2</v>
      </c>
    </row>
    <row r="15" spans="1:14" ht="37.5" customHeight="1" x14ac:dyDescent="0.15">
      <c r="A15" s="2513"/>
      <c r="B15" s="583" t="s">
        <v>991</v>
      </c>
      <c r="C15" s="2260" t="s">
        <v>991</v>
      </c>
      <c r="D15" s="910"/>
      <c r="E15" s="910"/>
      <c r="F15" s="910"/>
      <c r="G15" s="910"/>
      <c r="H15" s="910"/>
      <c r="I15" s="910"/>
      <c r="J15" s="909"/>
      <c r="K15" s="2252">
        <f>K13</f>
        <v>100</v>
      </c>
      <c r="L15" s="910"/>
      <c r="M15" s="433">
        <f>+M13</f>
        <v>100</v>
      </c>
      <c r="N15" s="888">
        <f>M15*K15</f>
        <v>10000</v>
      </c>
    </row>
    <row r="16" spans="1:14" ht="37.5" customHeight="1" x14ac:dyDescent="0.15">
      <c r="A16" s="2513"/>
      <c r="B16" s="583" t="s">
        <v>2097</v>
      </c>
      <c r="C16" s="2260" t="s">
        <v>2097</v>
      </c>
      <c r="D16" s="910"/>
      <c r="E16" s="910"/>
      <c r="F16" s="910"/>
      <c r="G16" s="910"/>
      <c r="H16" s="910"/>
      <c r="I16" s="910"/>
      <c r="J16" s="909"/>
      <c r="K16" s="2252">
        <v>50</v>
      </c>
      <c r="L16" s="910"/>
      <c r="M16" s="433">
        <v>50</v>
      </c>
      <c r="N16" s="888">
        <f>M16*K16</f>
        <v>2500</v>
      </c>
    </row>
    <row r="17" spans="1:14" ht="50.1" customHeight="1" x14ac:dyDescent="0.15">
      <c r="A17" s="2513"/>
      <c r="B17" s="583" t="s">
        <v>2096</v>
      </c>
      <c r="C17" s="2260" t="s">
        <v>2096</v>
      </c>
      <c r="D17" s="910"/>
      <c r="E17" s="910"/>
      <c r="F17" s="910"/>
      <c r="G17" s="910"/>
      <c r="H17" s="910"/>
      <c r="I17" s="910"/>
      <c r="J17" s="909"/>
      <c r="K17" s="2252">
        <f>K16</f>
        <v>50</v>
      </c>
      <c r="L17" s="2252">
        <v>0.05</v>
      </c>
      <c r="M17" s="433">
        <f>+M16</f>
        <v>50</v>
      </c>
      <c r="N17" s="888">
        <f>ROUND(K17*L17*M17,2)</f>
        <v>125</v>
      </c>
    </row>
    <row r="18" spans="1:14" ht="39.950000000000003" customHeight="1" x14ac:dyDescent="0.15">
      <c r="A18" s="2513"/>
      <c r="B18" s="583" t="s">
        <v>286</v>
      </c>
      <c r="C18" s="2260" t="s">
        <v>1638</v>
      </c>
      <c r="D18" s="909">
        <f t="shared" ref="D18:I18" ca="1" si="0">INT(D2/150)</f>
        <v>2</v>
      </c>
      <c r="E18" s="909">
        <f t="shared" si="0"/>
        <v>11</v>
      </c>
      <c r="F18" s="909">
        <f t="shared" si="0"/>
        <v>0</v>
      </c>
      <c r="G18" s="909">
        <f t="shared" si="0"/>
        <v>0</v>
      </c>
      <c r="H18" s="909">
        <f t="shared" si="0"/>
        <v>0</v>
      </c>
      <c r="I18" s="909">
        <f t="shared" si="0"/>
        <v>0</v>
      </c>
      <c r="J18" s="909">
        <f ca="1">SUM(D18:I18)</f>
        <v>13</v>
      </c>
      <c r="K18" s="2252">
        <v>1</v>
      </c>
      <c r="L18" s="2252">
        <v>1</v>
      </c>
      <c r="M18" s="432"/>
      <c r="N18" s="888">
        <f ca="1">TRUNC(J18*K18*L18,2)</f>
        <v>13</v>
      </c>
    </row>
    <row r="19" spans="1:14" ht="39.950000000000003" customHeight="1" x14ac:dyDescent="0.15">
      <c r="A19" s="2513"/>
      <c r="B19" s="583" t="s">
        <v>287</v>
      </c>
      <c r="C19" s="2260" t="s">
        <v>992</v>
      </c>
      <c r="D19" s="910">
        <f ca="1">D20</f>
        <v>302.41000000000003</v>
      </c>
      <c r="E19" s="910"/>
      <c r="F19" s="910"/>
      <c r="G19" s="910"/>
      <c r="H19" s="910"/>
      <c r="I19" s="910"/>
      <c r="J19" s="909"/>
      <c r="K19" s="910"/>
      <c r="L19" s="910"/>
      <c r="M19" s="432"/>
      <c r="N19" s="888">
        <f t="shared" ref="N19:N24" ca="1" si="1">ROUND(SUM(D19:I19),2)</f>
        <v>302.41000000000003</v>
      </c>
    </row>
    <row r="20" spans="1:14" ht="54.95" customHeight="1" x14ac:dyDescent="0.15">
      <c r="A20" s="2513"/>
      <c r="B20" s="583" t="s">
        <v>2420</v>
      </c>
      <c r="C20" s="2260" t="s">
        <v>1639</v>
      </c>
      <c r="D20" s="910">
        <f ca="1">Dre_Ser_Prelim!AE8</f>
        <v>302.41000000000003</v>
      </c>
      <c r="E20" s="910">
        <f>ROUND(E2*20%,2)</f>
        <v>348.36</v>
      </c>
      <c r="F20" s="910">
        <f>Dre_Profunda!I59</f>
        <v>0</v>
      </c>
      <c r="G20" s="910">
        <f>ROUND(G2*20%,2)</f>
        <v>0</v>
      </c>
      <c r="H20" s="910">
        <f>Passeio!N5</f>
        <v>0</v>
      </c>
      <c r="I20" s="910">
        <f>Ciclovia!J9</f>
        <v>0</v>
      </c>
      <c r="J20" s="909"/>
      <c r="K20" s="910"/>
      <c r="L20" s="910"/>
      <c r="M20" s="432"/>
      <c r="N20" s="888">
        <f ca="1">ROUND(SUM(D20:I20),2)</f>
        <v>650.77</v>
      </c>
    </row>
    <row r="21" spans="1:14" ht="39.950000000000003" customHeight="1" x14ac:dyDescent="0.15">
      <c r="A21" s="2513"/>
      <c r="B21" s="583" t="s">
        <v>2421</v>
      </c>
      <c r="C21" s="2260" t="s">
        <v>2415</v>
      </c>
      <c r="D21" s="909">
        <f t="shared" ref="D21:I21" ca="1" si="2">INT(D2/75)</f>
        <v>4</v>
      </c>
      <c r="E21" s="909">
        <f t="shared" si="2"/>
        <v>23</v>
      </c>
      <c r="F21" s="909">
        <f t="shared" si="2"/>
        <v>0</v>
      </c>
      <c r="G21" s="909">
        <f t="shared" si="2"/>
        <v>0</v>
      </c>
      <c r="H21" s="909">
        <f t="shared" si="2"/>
        <v>0</v>
      </c>
      <c r="I21" s="909">
        <f t="shared" si="2"/>
        <v>0</v>
      </c>
      <c r="J21" s="909"/>
      <c r="K21" s="910"/>
      <c r="L21" s="910"/>
      <c r="M21" s="432"/>
      <c r="N21" s="888">
        <f t="shared" ca="1" si="1"/>
        <v>27</v>
      </c>
    </row>
    <row r="22" spans="1:14" ht="39.950000000000003" customHeight="1" x14ac:dyDescent="0.15">
      <c r="A22" s="2513"/>
      <c r="B22" s="1354" t="s">
        <v>2422</v>
      </c>
      <c r="C22" s="1353" t="s">
        <v>1641</v>
      </c>
      <c r="D22" s="909">
        <f ca="1">Dre_Ser_Prelim!AE40</f>
        <v>6</v>
      </c>
      <c r="E22" s="909"/>
      <c r="F22" s="909"/>
      <c r="G22" s="909"/>
      <c r="H22" s="909"/>
      <c r="I22" s="909"/>
      <c r="J22" s="909"/>
      <c r="K22" s="910"/>
      <c r="L22" s="910"/>
      <c r="M22" s="1412"/>
      <c r="N22" s="435">
        <f t="shared" ca="1" si="1"/>
        <v>6</v>
      </c>
    </row>
    <row r="23" spans="1:14" ht="39.950000000000003" customHeight="1" x14ac:dyDescent="0.15">
      <c r="A23" s="2513"/>
      <c r="B23" s="1354" t="s">
        <v>2423</v>
      </c>
      <c r="C23" s="1353" t="s">
        <v>1642</v>
      </c>
      <c r="D23" s="909">
        <f ca="1">Dre_Ser_Prelim!AE41</f>
        <v>12</v>
      </c>
      <c r="E23" s="909"/>
      <c r="F23" s="909"/>
      <c r="G23" s="909"/>
      <c r="H23" s="909"/>
      <c r="I23" s="909"/>
      <c r="J23" s="909"/>
      <c r="K23" s="910"/>
      <c r="L23" s="910"/>
      <c r="M23" s="432"/>
      <c r="N23" s="435">
        <f ca="1">ROUND(SUM(D23:I23),2)</f>
        <v>12</v>
      </c>
    </row>
    <row r="24" spans="1:14" ht="50.1" customHeight="1" x14ac:dyDescent="0.15">
      <c r="A24" s="2513"/>
      <c r="B24" s="1354" t="s">
        <v>1644</v>
      </c>
      <c r="C24" s="2260" t="s">
        <v>1645</v>
      </c>
      <c r="D24" s="910">
        <f ca="1">Dre_Ser_Prelim!AE39</f>
        <v>2322.67</v>
      </c>
      <c r="E24" s="909"/>
      <c r="F24" s="909"/>
      <c r="G24" s="909"/>
      <c r="H24" s="909"/>
      <c r="I24" s="909"/>
      <c r="J24" s="909"/>
      <c r="K24" s="910"/>
      <c r="L24" s="910"/>
      <c r="M24" s="1412"/>
      <c r="N24" s="888">
        <f t="shared" ca="1" si="1"/>
        <v>2322.67</v>
      </c>
    </row>
    <row r="25" spans="1:14" ht="39.950000000000003" customHeight="1" thickBot="1" x14ac:dyDescent="0.2">
      <c r="A25" s="2513"/>
      <c r="B25" s="1354" t="s">
        <v>1643</v>
      </c>
      <c r="C25" s="1353" t="s">
        <v>2114</v>
      </c>
      <c r="D25" s="1405"/>
      <c r="E25" s="910"/>
      <c r="F25" s="909"/>
      <c r="G25" s="909"/>
      <c r="H25" s="909"/>
      <c r="I25" s="909"/>
      <c r="J25" s="909"/>
      <c r="K25" s="910"/>
      <c r="L25" s="910"/>
      <c r="M25" s="1412"/>
      <c r="N25" s="888">
        <f>ROUND(0.2*N15,2)</f>
        <v>2000</v>
      </c>
    </row>
    <row r="26" spans="1:14" ht="37.5" hidden="1" customHeight="1" x14ac:dyDescent="0.15">
      <c r="A26" s="2513"/>
      <c r="B26" s="1354"/>
      <c r="C26" s="1353"/>
      <c r="D26" s="1411"/>
      <c r="E26" s="1411"/>
      <c r="F26" s="1411"/>
      <c r="G26" s="1411"/>
      <c r="H26" s="1411"/>
      <c r="I26" s="1411"/>
      <c r="J26" s="1411"/>
      <c r="K26" s="1411"/>
      <c r="L26" s="1411"/>
      <c r="M26" s="1411"/>
      <c r="N26" s="1413"/>
    </row>
    <row r="27" spans="1:14" ht="37.5" hidden="1" customHeight="1" thickBot="1" x14ac:dyDescent="0.2">
      <c r="A27" s="2513"/>
      <c r="B27" s="2083"/>
      <c r="C27" s="1353"/>
      <c r="D27" s="1412"/>
      <c r="E27" s="1412"/>
      <c r="F27" s="1412"/>
      <c r="G27" s="1412"/>
      <c r="H27" s="1412"/>
      <c r="I27" s="1412"/>
      <c r="J27" s="1411"/>
      <c r="K27" s="1412"/>
      <c r="L27" s="1412"/>
      <c r="M27" s="1412"/>
      <c r="N27" s="2084"/>
    </row>
    <row r="28" spans="1:14" s="9" customFormat="1" ht="50.1" customHeight="1" thickBot="1" x14ac:dyDescent="0.2">
      <c r="A28" s="2514"/>
      <c r="B28" s="2082" t="s">
        <v>12</v>
      </c>
      <c r="C28" s="2085"/>
      <c r="D28" s="2086"/>
      <c r="E28" s="2086"/>
      <c r="F28" s="2086"/>
      <c r="G28" s="2086"/>
      <c r="H28" s="2086"/>
      <c r="I28" s="2086"/>
      <c r="J28" s="2087"/>
      <c r="K28" s="2086"/>
      <c r="L28" s="2086"/>
      <c r="M28" s="2086"/>
      <c r="N28" s="2088"/>
    </row>
    <row r="29" spans="1:14" s="47" customFormat="1" ht="13.5" thickTop="1" x14ac:dyDescent="0.15">
      <c r="B29" s="161"/>
      <c r="C29" s="161"/>
      <c r="J29" s="209"/>
    </row>
    <row r="30" spans="1:14" s="47" customFormat="1" x14ac:dyDescent="0.15">
      <c r="B30" s="161"/>
      <c r="C30" s="161"/>
      <c r="J30" s="209"/>
    </row>
    <row r="31" spans="1:14" s="47" customFormat="1" x14ac:dyDescent="0.15">
      <c r="B31" s="161"/>
      <c r="C31" s="161"/>
      <c r="J31" s="209"/>
    </row>
    <row r="32" spans="1:14" s="47" customFormat="1" x14ac:dyDescent="0.15">
      <c r="B32" s="161"/>
      <c r="C32" s="161"/>
      <c r="J32" s="209"/>
    </row>
    <row r="33" spans="1:10" s="47" customFormat="1" x14ac:dyDescent="0.15">
      <c r="B33" s="161"/>
      <c r="C33" s="161"/>
      <c r="J33" s="209"/>
    </row>
    <row r="34" spans="1:10" s="47" customFormat="1" x14ac:dyDescent="0.15">
      <c r="B34" s="161"/>
      <c r="C34" s="161"/>
      <c r="J34" s="209"/>
    </row>
    <row r="35" spans="1:10" s="47" customFormat="1" x14ac:dyDescent="0.15">
      <c r="B35" s="161"/>
      <c r="C35" s="161"/>
      <c r="J35" s="209"/>
    </row>
    <row r="36" spans="1:10" s="47" customFormat="1" x14ac:dyDescent="0.15">
      <c r="B36" s="161"/>
      <c r="C36" s="161"/>
      <c r="J36" s="209"/>
    </row>
    <row r="37" spans="1:10" s="47" customFormat="1" x14ac:dyDescent="0.15">
      <c r="B37" s="161"/>
      <c r="C37" s="161"/>
      <c r="J37" s="209"/>
    </row>
    <row r="38" spans="1:10" s="47" customFormat="1" x14ac:dyDescent="0.15">
      <c r="B38" s="161"/>
      <c r="C38" s="161"/>
      <c r="J38" s="209"/>
    </row>
    <row r="39" spans="1:10" s="47" customFormat="1" x14ac:dyDescent="0.15">
      <c r="A39" s="46"/>
      <c r="B39" s="161"/>
      <c r="C39" s="161"/>
      <c r="J39" s="209"/>
    </row>
    <row r="40" spans="1:10" s="47" customFormat="1" x14ac:dyDescent="0.15">
      <c r="A40" s="46"/>
      <c r="B40" s="161"/>
      <c r="C40" s="161"/>
      <c r="J40" s="209"/>
    </row>
    <row r="41" spans="1:10" x14ac:dyDescent="0.15">
      <c r="A41" s="46"/>
    </row>
    <row r="42" spans="1:10" x14ac:dyDescent="0.15">
      <c r="A42" s="46"/>
    </row>
    <row r="43" spans="1:10" x14ac:dyDescent="0.15">
      <c r="A43" s="46"/>
    </row>
    <row r="44" spans="1:10" x14ac:dyDescent="0.15">
      <c r="A44" s="46"/>
    </row>
  </sheetData>
  <mergeCells count="11">
    <mergeCell ref="A1:A28"/>
    <mergeCell ref="B8:B10"/>
    <mergeCell ref="B5:B7"/>
    <mergeCell ref="I8:I10"/>
    <mergeCell ref="I5:I7"/>
    <mergeCell ref="D9:E9"/>
    <mergeCell ref="D10:E10"/>
    <mergeCell ref="D6:E6"/>
    <mergeCell ref="D7:E7"/>
    <mergeCell ref="D5:E5"/>
    <mergeCell ref="D8:E8"/>
  </mergeCells>
  <hyperlinks>
    <hyperlink ref="B1" location="PAINEL!A1" display="OBRAS / SERVIÇOS"/>
  </hyperlinks>
  <printOptions horizontalCentered="1"/>
  <pageMargins left="0.59055118110236227" right="0.59055118110236227" top="0.59055118110236227" bottom="0.59055118110236227" header="0.31496062992125984" footer="0.23622047244094491"/>
  <pageSetup paperSize="9" scale="56" orientation="landscape" r:id="rId1"/>
  <headerFooter>
    <oddFooter>&amp;L&amp;"Arial,Normal"&amp;8&amp;F&amp;C&amp;"Arial,Normal"&amp;8&amp;P / &amp;N&amp;R&amp;"Cambria,Regular"&amp;8Ricardo Schettini Figueiredo&amp;10
&amp;8Eng. Civil - CREA-RJ 52.656/D</oddFooter>
  </headerFooter>
  <ignoredErrors>
    <ignoredError sqref="F20" formula="1"/>
  </ignoredErrors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23" filterMode="1">
    <tabColor rgb="FFFFFFCC"/>
  </sheetPr>
  <dimension ref="A1:N77"/>
  <sheetViews>
    <sheetView showZeros="0" zoomScaleNormal="100" workbookViewId="0">
      <pane xSplit="5" ySplit="1" topLeftCell="F10" activePane="bottomRight" state="frozenSplit"/>
      <selection activeCell="D18" sqref="B13:I28"/>
      <selection pane="topRight" activeCell="D18" sqref="B13:I28"/>
      <selection pane="bottomLeft" activeCell="D18" sqref="B13:I28"/>
      <selection pane="bottomRight" activeCell="F10" sqref="F10"/>
    </sheetView>
  </sheetViews>
  <sheetFormatPr defaultColWidth="9" defaultRowHeight="18.75" x14ac:dyDescent="0.15"/>
  <cols>
    <col min="1" max="1" width="13.25" style="133" customWidth="1"/>
    <col min="2" max="2" width="12.625" style="13" customWidth="1"/>
    <col min="3" max="3" width="35.625" style="13" customWidth="1"/>
    <col min="4" max="4" width="3.125" style="985" hidden="1" customWidth="1"/>
    <col min="5" max="5" width="8.375" style="13" hidden="1" customWidth="1"/>
    <col min="6" max="6" width="12.625" style="589" customWidth="1"/>
    <col min="7" max="8" width="12.625" style="589" hidden="1" customWidth="1"/>
    <col min="9" max="10" width="12.625" style="589" customWidth="1"/>
    <col min="11" max="12" width="12.625" style="589" hidden="1" customWidth="1"/>
    <col min="13" max="13" width="12.625" style="1352" customWidth="1"/>
    <col min="14" max="14" width="21.875" style="133" customWidth="1"/>
    <col min="15" max="18" width="10.75" style="133" customWidth="1"/>
    <col min="19" max="19" width="15.625" style="133" customWidth="1"/>
    <col min="20" max="16384" width="9" style="133"/>
  </cols>
  <sheetData>
    <row r="1" spans="1:14" s="16" customFormat="1" ht="60" customHeight="1" thickTop="1" thickBot="1" x14ac:dyDescent="0.2">
      <c r="A1" s="2512" t="s">
        <v>1220</v>
      </c>
      <c r="B1" s="2525" t="s">
        <v>346</v>
      </c>
      <c r="C1" s="2526"/>
      <c r="D1" s="990"/>
      <c r="E1" s="973" t="s">
        <v>587</v>
      </c>
      <c r="F1" s="1349" t="s">
        <v>1347</v>
      </c>
      <c r="G1" s="1349" t="s">
        <v>1834</v>
      </c>
      <c r="H1" s="1349" t="s">
        <v>1348</v>
      </c>
      <c r="I1" s="1349" t="s">
        <v>1349</v>
      </c>
      <c r="J1" s="1349" t="s">
        <v>2772</v>
      </c>
      <c r="K1" s="1349" t="s">
        <v>1613</v>
      </c>
      <c r="L1" s="1349"/>
      <c r="M1" s="1350" t="s">
        <v>0</v>
      </c>
      <c r="N1" s="577" t="s">
        <v>693</v>
      </c>
    </row>
    <row r="2" spans="1:14" ht="21.95" hidden="1" customHeight="1" thickTop="1" x14ac:dyDescent="0.15">
      <c r="A2" s="2513"/>
      <c r="B2" s="2522" t="s">
        <v>1215</v>
      </c>
      <c r="C2" s="549" t="s">
        <v>164</v>
      </c>
      <c r="D2" s="1355"/>
      <c r="E2" s="1356"/>
      <c r="F2" s="238"/>
      <c r="G2" s="238"/>
      <c r="H2" s="238"/>
      <c r="I2" s="238"/>
      <c r="J2" s="238"/>
      <c r="K2" s="238"/>
      <c r="L2" s="238"/>
      <c r="M2" s="592"/>
      <c r="N2" s="578">
        <f t="shared" ref="N2:N33" si="0">SUM(F2:M2)</f>
        <v>0</v>
      </c>
    </row>
    <row r="3" spans="1:14" ht="21.95" hidden="1" customHeight="1" x14ac:dyDescent="0.15">
      <c r="A3" s="2513"/>
      <c r="B3" s="2523"/>
      <c r="C3" s="566" t="s">
        <v>1242</v>
      </c>
      <c r="E3" s="1357"/>
      <c r="F3" s="1419"/>
      <c r="G3" s="1419"/>
      <c r="H3" s="1419"/>
      <c r="I3" s="1419"/>
      <c r="J3" s="1419"/>
      <c r="K3" s="1419"/>
      <c r="L3" s="1419"/>
      <c r="M3" s="594"/>
      <c r="N3" s="578">
        <f t="shared" si="0"/>
        <v>0</v>
      </c>
    </row>
    <row r="4" spans="1:14" ht="21.95" hidden="1" customHeight="1" x14ac:dyDescent="0.15">
      <c r="A4" s="2513"/>
      <c r="B4" s="2523"/>
      <c r="C4" s="566" t="s">
        <v>1229</v>
      </c>
      <c r="E4" s="1357"/>
      <c r="F4" s="158"/>
      <c r="G4" s="158"/>
      <c r="H4" s="158"/>
      <c r="I4" s="158"/>
      <c r="J4" s="158"/>
      <c r="K4" s="158"/>
      <c r="L4" s="158"/>
      <c r="M4" s="594"/>
      <c r="N4" s="578">
        <f t="shared" si="0"/>
        <v>0</v>
      </c>
    </row>
    <row r="5" spans="1:14" ht="21.95" hidden="1" customHeight="1" x14ac:dyDescent="0.15">
      <c r="A5" s="2513"/>
      <c r="B5" s="2523"/>
      <c r="C5" s="566" t="s">
        <v>472</v>
      </c>
      <c r="E5" s="1357"/>
      <c r="F5" s="158">
        <f>F4*F3*F2</f>
        <v>0</v>
      </c>
      <c r="G5" s="158"/>
      <c r="H5" s="158"/>
      <c r="I5" s="158"/>
      <c r="J5" s="158"/>
      <c r="K5" s="158">
        <f>Ciclovia!J109</f>
        <v>0</v>
      </c>
      <c r="L5" s="158"/>
      <c r="M5" s="350">
        <f>ROUND(SUM(F5:L5),2)</f>
        <v>0</v>
      </c>
      <c r="N5" s="578">
        <f t="shared" si="0"/>
        <v>0</v>
      </c>
    </row>
    <row r="6" spans="1:14" ht="21.95" hidden="1" customHeight="1" thickBot="1" x14ac:dyDescent="0.2">
      <c r="A6" s="2513"/>
      <c r="B6" s="2524"/>
      <c r="C6" s="565" t="s">
        <v>1607</v>
      </c>
      <c r="D6" s="986"/>
      <c r="E6" s="563"/>
      <c r="F6" s="1401"/>
      <c r="G6" s="1401"/>
      <c r="H6" s="1401"/>
      <c r="I6" s="1401"/>
      <c r="J6" s="1401"/>
      <c r="K6" s="1401"/>
      <c r="L6" s="1401"/>
      <c r="M6" s="1402"/>
      <c r="N6" s="578">
        <f t="shared" si="0"/>
        <v>0</v>
      </c>
    </row>
    <row r="7" spans="1:14" ht="21.95" hidden="1" customHeight="1" x14ac:dyDescent="0.15">
      <c r="A7" s="2513"/>
      <c r="B7" s="2522" t="s">
        <v>1216</v>
      </c>
      <c r="C7" s="549" t="s">
        <v>164</v>
      </c>
      <c r="D7" s="984"/>
      <c r="E7" s="1357"/>
      <c r="F7" s="238"/>
      <c r="G7" s="238"/>
      <c r="H7" s="238"/>
      <c r="I7" s="238"/>
      <c r="J7" s="238"/>
      <c r="K7" s="238"/>
      <c r="L7" s="238"/>
      <c r="M7" s="592"/>
      <c r="N7" s="578">
        <f t="shared" si="0"/>
        <v>0</v>
      </c>
    </row>
    <row r="8" spans="1:14" ht="21.95" hidden="1" customHeight="1" x14ac:dyDescent="0.15">
      <c r="A8" s="2513"/>
      <c r="B8" s="2523"/>
      <c r="C8" s="566" t="s">
        <v>1236</v>
      </c>
      <c r="E8" s="1357"/>
      <c r="F8" s="158"/>
      <c r="G8" s="158"/>
      <c r="H8" s="158"/>
      <c r="I8" s="158"/>
      <c r="J8" s="158"/>
      <c r="K8" s="158"/>
      <c r="L8" s="158"/>
      <c r="M8" s="594"/>
      <c r="N8" s="578">
        <f t="shared" si="0"/>
        <v>0</v>
      </c>
    </row>
    <row r="9" spans="1:14" ht="21.95" hidden="1" customHeight="1" x14ac:dyDescent="0.15">
      <c r="A9" s="2513"/>
      <c r="B9" s="2523"/>
      <c r="C9" s="566" t="s">
        <v>1242</v>
      </c>
      <c r="E9" s="1357"/>
      <c r="F9" s="1419"/>
      <c r="G9" s="1419"/>
      <c r="H9" s="1419"/>
      <c r="I9" s="1419"/>
      <c r="J9" s="1419"/>
      <c r="K9" s="1419"/>
      <c r="L9" s="1419"/>
      <c r="M9" s="594"/>
      <c r="N9" s="578">
        <f t="shared" si="0"/>
        <v>0</v>
      </c>
    </row>
    <row r="10" spans="1:14" ht="32.1" customHeight="1" thickTop="1" x14ac:dyDescent="0.15">
      <c r="A10" s="2513"/>
      <c r="B10" s="2523"/>
      <c r="C10" s="566" t="s">
        <v>472</v>
      </c>
      <c r="E10" s="1357"/>
      <c r="F10" s="158">
        <f>F9*F8*F7</f>
        <v>0</v>
      </c>
      <c r="G10" s="158"/>
      <c r="H10" s="158">
        <f>Recap_Final!K76</f>
        <v>0</v>
      </c>
      <c r="I10" s="158">
        <f>Pav_Terraplenagem!M29</f>
        <v>1.55</v>
      </c>
      <c r="J10" s="158">
        <f>Passeio!N188</f>
        <v>74.599999999999994</v>
      </c>
      <c r="K10" s="158">
        <f>Ciclovia!J109</f>
        <v>0</v>
      </c>
      <c r="L10" s="158"/>
      <c r="M10" s="350">
        <f>ROUND(SUM(F10:L10),2)</f>
        <v>76.150000000000006</v>
      </c>
      <c r="N10" s="578">
        <f>SUM(F10:M10)</f>
        <v>152.30000000000001</v>
      </c>
    </row>
    <row r="11" spans="1:14" ht="32.1" customHeight="1" thickBot="1" x14ac:dyDescent="0.2">
      <c r="A11" s="2513"/>
      <c r="B11" s="2524"/>
      <c r="C11" s="565" t="s">
        <v>1607</v>
      </c>
      <c r="D11" s="986"/>
      <c r="E11" s="563"/>
      <c r="F11" s="1401"/>
      <c r="G11" s="1401"/>
      <c r="H11" s="1401"/>
      <c r="I11" s="1401">
        <v>2</v>
      </c>
      <c r="J11" s="1401">
        <v>2</v>
      </c>
      <c r="K11" s="1401"/>
      <c r="L11" s="1401"/>
      <c r="M11" s="1402"/>
      <c r="N11" s="578">
        <f t="shared" si="0"/>
        <v>4</v>
      </c>
    </row>
    <row r="12" spans="1:14" ht="21.95" hidden="1" customHeight="1" x14ac:dyDescent="0.15">
      <c r="A12" s="2513"/>
      <c r="B12" s="2522" t="s">
        <v>1217</v>
      </c>
      <c r="C12" s="549" t="s">
        <v>164</v>
      </c>
      <c r="D12" s="984"/>
      <c r="E12" s="1357"/>
      <c r="F12" s="238"/>
      <c r="G12" s="238"/>
      <c r="H12" s="238"/>
      <c r="I12" s="238"/>
      <c r="J12" s="238"/>
      <c r="K12" s="238"/>
      <c r="L12" s="238"/>
      <c r="M12" s="592"/>
      <c r="N12" s="578">
        <f t="shared" si="0"/>
        <v>0</v>
      </c>
    </row>
    <row r="13" spans="1:14" ht="21.95" hidden="1" customHeight="1" x14ac:dyDescent="0.15">
      <c r="A13" s="2513"/>
      <c r="B13" s="2523"/>
      <c r="C13" s="566" t="s">
        <v>1236</v>
      </c>
      <c r="E13" s="1357"/>
      <c r="F13" s="158"/>
      <c r="G13" s="158"/>
      <c r="H13" s="158"/>
      <c r="I13" s="158"/>
      <c r="J13" s="158"/>
      <c r="K13" s="158"/>
      <c r="L13" s="158"/>
      <c r="M13" s="594"/>
      <c r="N13" s="578">
        <f t="shared" si="0"/>
        <v>0</v>
      </c>
    </row>
    <row r="14" spans="1:14" ht="21.95" hidden="1" customHeight="1" x14ac:dyDescent="0.15">
      <c r="A14" s="2513"/>
      <c r="B14" s="2523"/>
      <c r="C14" s="566" t="s">
        <v>1242</v>
      </c>
      <c r="E14" s="1357"/>
      <c r="F14" s="1419"/>
      <c r="G14" s="1419"/>
      <c r="H14" s="1419"/>
      <c r="I14" s="1419"/>
      <c r="J14" s="1419"/>
      <c r="K14" s="1419"/>
      <c r="L14" s="1419"/>
      <c r="M14" s="594"/>
      <c r="N14" s="578">
        <f t="shared" si="0"/>
        <v>0</v>
      </c>
    </row>
    <row r="15" spans="1:14" ht="21.95" hidden="1" customHeight="1" x14ac:dyDescent="0.15">
      <c r="A15" s="2513"/>
      <c r="B15" s="2523"/>
      <c r="C15" s="566" t="s">
        <v>472</v>
      </c>
      <c r="E15" s="1357"/>
      <c r="F15" s="158">
        <f>F14*F13*F12</f>
        <v>0</v>
      </c>
      <c r="G15" s="158"/>
      <c r="H15" s="158">
        <f>H14*H13*H12</f>
        <v>0</v>
      </c>
      <c r="I15" s="158">
        <f>I14*I13*I12</f>
        <v>0</v>
      </c>
      <c r="J15" s="158">
        <f>Passeio!N192</f>
        <v>0</v>
      </c>
      <c r="K15" s="158">
        <f t="shared" ref="K15" si="1">K14*K13*K12</f>
        <v>0</v>
      </c>
      <c r="L15" s="158"/>
      <c r="M15" s="350">
        <f>ROUND(SUM(F15:L15),2)</f>
        <v>0</v>
      </c>
      <c r="N15" s="578">
        <f t="shared" si="0"/>
        <v>0</v>
      </c>
    </row>
    <row r="16" spans="1:14" ht="21.95" hidden="1" customHeight="1" thickBot="1" x14ac:dyDescent="0.2">
      <c r="A16" s="2513"/>
      <c r="B16" s="2524"/>
      <c r="C16" s="565" t="s">
        <v>1607</v>
      </c>
      <c r="D16" s="986"/>
      <c r="E16" s="563"/>
      <c r="F16" s="1401"/>
      <c r="G16" s="1401"/>
      <c r="H16" s="1401"/>
      <c r="I16" s="1401"/>
      <c r="J16" s="1401"/>
      <c r="K16" s="1401"/>
      <c r="L16" s="1401"/>
      <c r="M16" s="1402"/>
      <c r="N16" s="578">
        <f t="shared" si="0"/>
        <v>0</v>
      </c>
    </row>
    <row r="17" spans="1:14" ht="21.95" hidden="1" customHeight="1" x14ac:dyDescent="0.15">
      <c r="A17" s="2513"/>
      <c r="B17" s="2522" t="s">
        <v>1218</v>
      </c>
      <c r="C17" s="549" t="s">
        <v>164</v>
      </c>
      <c r="D17" s="984"/>
      <c r="E17" s="1357"/>
      <c r="F17" s="238"/>
      <c r="G17" s="238"/>
      <c r="H17" s="238"/>
      <c r="I17" s="238"/>
      <c r="J17" s="238"/>
      <c r="K17" s="238"/>
      <c r="L17" s="238"/>
      <c r="M17" s="592"/>
      <c r="N17" s="578">
        <f t="shared" si="0"/>
        <v>0</v>
      </c>
    </row>
    <row r="18" spans="1:14" ht="21.95" hidden="1" customHeight="1" x14ac:dyDescent="0.15">
      <c r="A18" s="2513"/>
      <c r="B18" s="2523"/>
      <c r="C18" s="566" t="s">
        <v>1236</v>
      </c>
      <c r="E18" s="1357"/>
      <c r="F18" s="158"/>
      <c r="G18" s="158"/>
      <c r="H18" s="158"/>
      <c r="I18" s="158"/>
      <c r="J18" s="158"/>
      <c r="K18" s="158"/>
      <c r="L18" s="158"/>
      <c r="M18" s="594"/>
      <c r="N18" s="578">
        <f t="shared" si="0"/>
        <v>0</v>
      </c>
    </row>
    <row r="19" spans="1:14" ht="21.95" hidden="1" customHeight="1" x14ac:dyDescent="0.15">
      <c r="A19" s="2513"/>
      <c r="B19" s="2523"/>
      <c r="C19" s="566" t="s">
        <v>1242</v>
      </c>
      <c r="E19" s="1357"/>
      <c r="F19" s="1419"/>
      <c r="G19" s="1419"/>
      <c r="H19" s="1419"/>
      <c r="I19" s="1419"/>
      <c r="J19" s="1419"/>
      <c r="K19" s="1419"/>
      <c r="L19" s="1419"/>
      <c r="M19" s="594"/>
      <c r="N19" s="578">
        <f t="shared" si="0"/>
        <v>0</v>
      </c>
    </row>
    <row r="20" spans="1:14" ht="21.95" hidden="1" customHeight="1" x14ac:dyDescent="0.15">
      <c r="A20" s="2513"/>
      <c r="B20" s="2523"/>
      <c r="C20" s="566" t="s">
        <v>472</v>
      </c>
      <c r="E20" s="1357"/>
      <c r="F20" s="158">
        <f>F19*F18*F17</f>
        <v>0</v>
      </c>
      <c r="G20" s="158"/>
      <c r="H20" s="158">
        <f>H19*H18*H17</f>
        <v>0</v>
      </c>
      <c r="I20" s="158">
        <f>I19*I18*I17</f>
        <v>0</v>
      </c>
      <c r="J20" s="158">
        <f>Passeio!N192</f>
        <v>0</v>
      </c>
      <c r="K20" s="158">
        <f t="shared" ref="K20" si="2">K19*K18*K17</f>
        <v>0</v>
      </c>
      <c r="L20" s="158"/>
      <c r="M20" s="350">
        <f>ROUND(SUM(F20:L20),2)</f>
        <v>0</v>
      </c>
      <c r="N20" s="578">
        <f t="shared" si="0"/>
        <v>0</v>
      </c>
    </row>
    <row r="21" spans="1:14" ht="21.95" hidden="1" customHeight="1" thickBot="1" x14ac:dyDescent="0.2">
      <c r="A21" s="2513"/>
      <c r="B21" s="2524"/>
      <c r="C21" s="565" t="s">
        <v>1607</v>
      </c>
      <c r="D21" s="986"/>
      <c r="E21" s="563"/>
      <c r="F21" s="1401"/>
      <c r="G21" s="1401"/>
      <c r="H21" s="1401"/>
      <c r="I21" s="1401"/>
      <c r="J21" s="1401"/>
      <c r="K21" s="1401"/>
      <c r="L21" s="1401"/>
      <c r="M21" s="1402"/>
      <c r="N21" s="578">
        <f t="shared" si="0"/>
        <v>0</v>
      </c>
    </row>
    <row r="22" spans="1:14" ht="21.95" hidden="1" customHeight="1" x14ac:dyDescent="0.15">
      <c r="A22" s="2513"/>
      <c r="B22" s="2522" t="s">
        <v>473</v>
      </c>
      <c r="C22" s="549" t="s">
        <v>164</v>
      </c>
      <c r="D22" s="984"/>
      <c r="E22" s="1357"/>
      <c r="F22" s="238"/>
      <c r="G22" s="238"/>
      <c r="H22" s="238"/>
      <c r="I22" s="238"/>
      <c r="J22" s="238"/>
      <c r="K22" s="238"/>
      <c r="L22" s="238"/>
      <c r="M22" s="592"/>
      <c r="N22" s="578">
        <f t="shared" si="0"/>
        <v>0</v>
      </c>
    </row>
    <row r="23" spans="1:14" ht="21.95" hidden="1" customHeight="1" x14ac:dyDescent="0.15">
      <c r="A23" s="2513"/>
      <c r="B23" s="2523"/>
      <c r="C23" s="566" t="s">
        <v>1236</v>
      </c>
      <c r="E23" s="1357"/>
      <c r="F23" s="158"/>
      <c r="G23" s="158"/>
      <c r="H23" s="158"/>
      <c r="I23" s="158"/>
      <c r="J23" s="158"/>
      <c r="K23" s="158"/>
      <c r="L23" s="158"/>
      <c r="M23" s="594"/>
      <c r="N23" s="578">
        <f t="shared" si="0"/>
        <v>0</v>
      </c>
    </row>
    <row r="24" spans="1:14" ht="21.95" hidden="1" customHeight="1" x14ac:dyDescent="0.15">
      <c r="A24" s="2513"/>
      <c r="B24" s="2523"/>
      <c r="C24" s="566" t="s">
        <v>1242</v>
      </c>
      <c r="E24" s="1357"/>
      <c r="F24" s="1419"/>
      <c r="G24" s="1419"/>
      <c r="H24" s="1419"/>
      <c r="I24" s="1419"/>
      <c r="J24" s="1419"/>
      <c r="K24" s="1419"/>
      <c r="L24" s="1419"/>
      <c r="M24" s="594"/>
      <c r="N24" s="578">
        <f t="shared" si="0"/>
        <v>0</v>
      </c>
    </row>
    <row r="25" spans="1:14" ht="21.95" hidden="1" customHeight="1" x14ac:dyDescent="0.15">
      <c r="A25" s="2513"/>
      <c r="B25" s="2523"/>
      <c r="C25" s="566" t="s">
        <v>472</v>
      </c>
      <c r="E25" s="1357"/>
      <c r="F25" s="158">
        <f>F24*F23*F22</f>
        <v>0</v>
      </c>
      <c r="G25" s="158"/>
      <c r="H25" s="158">
        <f t="shared" ref="H25:K25" si="3">H24*H23*H22</f>
        <v>0</v>
      </c>
      <c r="I25" s="158"/>
      <c r="J25" s="158">
        <f t="shared" si="3"/>
        <v>0</v>
      </c>
      <c r="K25" s="158">
        <f t="shared" si="3"/>
        <v>0</v>
      </c>
      <c r="L25" s="158"/>
      <c r="M25" s="350">
        <f>ROUND(SUM(F25:L25),2)</f>
        <v>0</v>
      </c>
      <c r="N25" s="578">
        <f t="shared" si="0"/>
        <v>0</v>
      </c>
    </row>
    <row r="26" spans="1:14" ht="21.95" hidden="1" customHeight="1" thickBot="1" x14ac:dyDescent="0.2">
      <c r="A26" s="2513"/>
      <c r="B26" s="2524"/>
      <c r="C26" s="565" t="s">
        <v>1607</v>
      </c>
      <c r="D26" s="986"/>
      <c r="E26" s="563"/>
      <c r="F26" s="1401"/>
      <c r="G26" s="1401"/>
      <c r="H26" s="1401"/>
      <c r="I26" s="1401"/>
      <c r="J26" s="1401"/>
      <c r="K26" s="1401"/>
      <c r="L26" s="1401"/>
      <c r="M26" s="1402"/>
      <c r="N26" s="578">
        <f t="shared" si="0"/>
        <v>0</v>
      </c>
    </row>
    <row r="27" spans="1:14" ht="21.95" hidden="1" customHeight="1" x14ac:dyDescent="0.15">
      <c r="A27" s="2513"/>
      <c r="B27" s="2522" t="s">
        <v>320</v>
      </c>
      <c r="C27" s="549" t="s">
        <v>164</v>
      </c>
      <c r="D27" s="984"/>
      <c r="E27" s="1357"/>
      <c r="F27" s="238"/>
      <c r="G27" s="238"/>
      <c r="H27" s="238"/>
      <c r="I27" s="238"/>
      <c r="J27" s="238"/>
      <c r="K27" s="238"/>
      <c r="L27" s="238"/>
      <c r="M27" s="592"/>
      <c r="N27" s="578">
        <f t="shared" si="0"/>
        <v>0</v>
      </c>
    </row>
    <row r="28" spans="1:14" ht="21.95" hidden="1" customHeight="1" x14ac:dyDescent="0.15">
      <c r="A28" s="2513"/>
      <c r="B28" s="2523"/>
      <c r="C28" s="566" t="s">
        <v>1236</v>
      </c>
      <c r="E28" s="1357"/>
      <c r="F28" s="158"/>
      <c r="G28" s="158"/>
      <c r="H28" s="158"/>
      <c r="I28" s="158"/>
      <c r="J28" s="158"/>
      <c r="K28" s="158"/>
      <c r="L28" s="158"/>
      <c r="M28" s="594"/>
      <c r="N28" s="578">
        <f t="shared" si="0"/>
        <v>0</v>
      </c>
    </row>
    <row r="29" spans="1:14" ht="21.95" hidden="1" customHeight="1" x14ac:dyDescent="0.15">
      <c r="A29" s="2513"/>
      <c r="B29" s="2523"/>
      <c r="C29" s="566" t="s">
        <v>1242</v>
      </c>
      <c r="E29" s="1357"/>
      <c r="F29" s="1419"/>
      <c r="G29" s="1419"/>
      <c r="H29" s="1419"/>
      <c r="I29" s="1419"/>
      <c r="J29" s="1419"/>
      <c r="K29" s="1419"/>
      <c r="L29" s="1419"/>
      <c r="M29" s="594"/>
      <c r="N29" s="578">
        <f t="shared" si="0"/>
        <v>0</v>
      </c>
    </row>
    <row r="30" spans="1:14" ht="21.95" hidden="1" customHeight="1" x14ac:dyDescent="0.15">
      <c r="A30" s="2513"/>
      <c r="B30" s="2523"/>
      <c r="C30" s="566" t="s">
        <v>472</v>
      </c>
      <c r="E30" s="1357"/>
      <c r="F30" s="158">
        <f t="shared" ref="F30:K30" si="4">F29*F28*F27</f>
        <v>0</v>
      </c>
      <c r="G30" s="158"/>
      <c r="H30" s="158">
        <f t="shared" si="4"/>
        <v>0</v>
      </c>
      <c r="I30" s="158">
        <f t="shared" si="4"/>
        <v>0</v>
      </c>
      <c r="J30" s="158">
        <f t="shared" si="4"/>
        <v>0</v>
      </c>
      <c r="K30" s="158">
        <f t="shared" si="4"/>
        <v>0</v>
      </c>
      <c r="L30" s="158"/>
      <c r="M30" s="350">
        <f>ROUND(SUM(F30:L30),2)</f>
        <v>0</v>
      </c>
      <c r="N30" s="578">
        <f t="shared" si="0"/>
        <v>0</v>
      </c>
    </row>
    <row r="31" spans="1:14" ht="21.95" hidden="1" customHeight="1" thickBot="1" x14ac:dyDescent="0.2">
      <c r="A31" s="2513"/>
      <c r="B31" s="2524"/>
      <c r="C31" s="565" t="s">
        <v>1607</v>
      </c>
      <c r="D31" s="986"/>
      <c r="E31" s="563"/>
      <c r="F31" s="1401"/>
      <c r="G31" s="1401"/>
      <c r="H31" s="1401"/>
      <c r="I31" s="1401"/>
      <c r="J31" s="1401"/>
      <c r="K31" s="1401"/>
      <c r="L31" s="1401"/>
      <c r="M31" s="1402"/>
      <c r="N31" s="578">
        <f t="shared" si="0"/>
        <v>0</v>
      </c>
    </row>
    <row r="32" spans="1:14" ht="21.95" hidden="1" customHeight="1" x14ac:dyDescent="0.15">
      <c r="A32" s="2513"/>
      <c r="B32" s="2522" t="s">
        <v>1610</v>
      </c>
      <c r="C32" s="549" t="s">
        <v>164</v>
      </c>
      <c r="D32" s="984"/>
      <c r="E32" s="1357"/>
      <c r="F32" s="238"/>
      <c r="G32" s="238"/>
      <c r="H32" s="238"/>
      <c r="I32" s="238"/>
      <c r="J32" s="238"/>
      <c r="K32" s="238"/>
      <c r="L32" s="238"/>
      <c r="M32" s="592"/>
      <c r="N32" s="578">
        <f t="shared" si="0"/>
        <v>0</v>
      </c>
    </row>
    <row r="33" spans="1:14" ht="21.95" hidden="1" customHeight="1" x14ac:dyDescent="0.15">
      <c r="A33" s="2513"/>
      <c r="B33" s="2523"/>
      <c r="C33" s="566" t="s">
        <v>1236</v>
      </c>
      <c r="E33" s="1357"/>
      <c r="F33" s="158"/>
      <c r="G33" s="158"/>
      <c r="H33" s="158"/>
      <c r="I33" s="158"/>
      <c r="J33" s="158"/>
      <c r="K33" s="158"/>
      <c r="L33" s="158"/>
      <c r="M33" s="594"/>
      <c r="N33" s="578">
        <f t="shared" si="0"/>
        <v>0</v>
      </c>
    </row>
    <row r="34" spans="1:14" ht="21.95" hidden="1" customHeight="1" x14ac:dyDescent="0.15">
      <c r="A34" s="2513"/>
      <c r="B34" s="2523"/>
      <c r="C34" s="566" t="s">
        <v>1221</v>
      </c>
      <c r="E34" s="1357"/>
      <c r="F34" s="158">
        <f>F32*F33</f>
        <v>0</v>
      </c>
      <c r="G34" s="158"/>
      <c r="H34" s="158"/>
      <c r="I34" s="158"/>
      <c r="J34" s="158">
        <f>Passeio!N196</f>
        <v>0</v>
      </c>
      <c r="K34" s="158"/>
      <c r="L34" s="158"/>
      <c r="M34" s="350">
        <f>ROUND(SUM(F34:L34),2)</f>
        <v>0</v>
      </c>
      <c r="N34" s="578">
        <f t="shared" ref="N34:N56" si="5">SUM(F34:M34)</f>
        <v>0</v>
      </c>
    </row>
    <row r="35" spans="1:14" ht="21.95" hidden="1" customHeight="1" x14ac:dyDescent="0.15">
      <c r="A35" s="2513"/>
      <c r="B35" s="2523"/>
      <c r="C35" s="566" t="s">
        <v>1242</v>
      </c>
      <c r="E35" s="1357"/>
      <c r="F35" s="1419"/>
      <c r="G35" s="1419"/>
      <c r="H35" s="1419"/>
      <c r="I35" s="1419"/>
      <c r="J35" s="1419"/>
      <c r="K35" s="1419"/>
      <c r="L35" s="1419"/>
      <c r="M35" s="594"/>
      <c r="N35" s="578">
        <f t="shared" si="5"/>
        <v>0</v>
      </c>
    </row>
    <row r="36" spans="1:14" ht="21.95" hidden="1" customHeight="1" x14ac:dyDescent="0.15">
      <c r="A36" s="2513"/>
      <c r="B36" s="2523"/>
      <c r="C36" s="566" t="s">
        <v>472</v>
      </c>
      <c r="E36" s="1357"/>
      <c r="F36" s="158">
        <f>F35*F34/100</f>
        <v>0</v>
      </c>
      <c r="G36" s="158"/>
      <c r="H36" s="158">
        <f t="shared" ref="H36:K36" si="6">H35*H33*H32</f>
        <v>0</v>
      </c>
      <c r="I36" s="158">
        <f t="shared" si="6"/>
        <v>0</v>
      </c>
      <c r="J36" s="158">
        <f>Passeio!N197</f>
        <v>0</v>
      </c>
      <c r="K36" s="158">
        <f t="shared" si="6"/>
        <v>0</v>
      </c>
      <c r="L36" s="158"/>
      <c r="M36" s="594">
        <f>ROUND(SUM(F36:L36),2)</f>
        <v>0</v>
      </c>
      <c r="N36" s="578">
        <f t="shared" si="5"/>
        <v>0</v>
      </c>
    </row>
    <row r="37" spans="1:14" ht="21.95" hidden="1" customHeight="1" thickBot="1" x14ac:dyDescent="0.2">
      <c r="A37" s="2513"/>
      <c r="B37" s="2524"/>
      <c r="C37" s="565" t="s">
        <v>1607</v>
      </c>
      <c r="D37" s="986"/>
      <c r="E37" s="563"/>
      <c r="F37" s="1401"/>
      <c r="G37" s="1401"/>
      <c r="H37" s="1401"/>
      <c r="I37" s="1401"/>
      <c r="J37" s="1401"/>
      <c r="K37" s="1401"/>
      <c r="L37" s="1401"/>
      <c r="M37" s="1402"/>
      <c r="N37" s="578">
        <f t="shared" si="5"/>
        <v>0</v>
      </c>
    </row>
    <row r="38" spans="1:14" ht="21.95" hidden="1" customHeight="1" x14ac:dyDescent="0.15">
      <c r="A38" s="2513"/>
      <c r="B38" s="2522" t="s">
        <v>1611</v>
      </c>
      <c r="C38" s="549" t="s">
        <v>164</v>
      </c>
      <c r="D38" s="984"/>
      <c r="E38" s="1357"/>
      <c r="F38" s="238"/>
      <c r="G38" s="238"/>
      <c r="H38" s="238"/>
      <c r="I38" s="238"/>
      <c r="J38" s="238"/>
      <c r="K38" s="238"/>
      <c r="L38" s="238"/>
      <c r="M38" s="592"/>
      <c r="N38" s="578">
        <f t="shared" si="5"/>
        <v>0</v>
      </c>
    </row>
    <row r="39" spans="1:14" ht="21.95" customHeight="1" x14ac:dyDescent="0.15">
      <c r="A39" s="2513"/>
      <c r="B39" s="2523"/>
      <c r="C39" s="566" t="s">
        <v>1236</v>
      </c>
      <c r="E39" s="1357"/>
      <c r="F39" s="158">
        <f>Dre_Fecha_Vala!H7+Dre_Fecha_Vala!H10+Dre_Fecha_Vala!H13</f>
        <v>4</v>
      </c>
      <c r="G39" s="158">
        <f>Dre_Profunda!I90</f>
        <v>0</v>
      </c>
      <c r="H39" s="158"/>
      <c r="I39" s="158"/>
      <c r="J39" s="158"/>
      <c r="K39" s="158"/>
      <c r="L39" s="158"/>
      <c r="M39" s="594"/>
      <c r="N39" s="578">
        <f t="shared" si="5"/>
        <v>4</v>
      </c>
    </row>
    <row r="40" spans="1:14" ht="21.95" customHeight="1" x14ac:dyDescent="0.15">
      <c r="A40" s="2513"/>
      <c r="B40" s="2523"/>
      <c r="C40" s="566" t="s">
        <v>1221</v>
      </c>
      <c r="E40" s="1357"/>
      <c r="F40" s="158">
        <f>Dre_Ser_Prelim!AE31</f>
        <v>5.6</v>
      </c>
      <c r="G40" s="158">
        <f>Dre_Profunda!I92</f>
        <v>0</v>
      </c>
      <c r="H40" s="158"/>
      <c r="I40" s="158">
        <f>Pav_Terraplenagem!M26</f>
        <v>79.25</v>
      </c>
      <c r="J40" s="158">
        <f t="shared" ref="J40" si="7">J38*J39</f>
        <v>0</v>
      </c>
      <c r="K40" s="158">
        <f>Ciclovia!J106</f>
        <v>0</v>
      </c>
      <c r="L40" s="158"/>
      <c r="M40" s="350">
        <f>ROUND(SUM(F40:L40),2)</f>
        <v>84.85</v>
      </c>
      <c r="N40" s="578">
        <f t="shared" si="5"/>
        <v>169.7</v>
      </c>
    </row>
    <row r="41" spans="1:14" ht="21.95" customHeight="1" x14ac:dyDescent="0.15">
      <c r="A41" s="2513"/>
      <c r="B41" s="2523"/>
      <c r="C41" s="566" t="s">
        <v>1242</v>
      </c>
      <c r="E41" s="1357"/>
      <c r="F41" s="1419">
        <v>3</v>
      </c>
      <c r="G41" s="1419"/>
      <c r="H41" s="1419"/>
      <c r="I41" s="1419">
        <v>3</v>
      </c>
      <c r="J41" s="1419"/>
      <c r="K41" s="1419"/>
      <c r="L41" s="1419"/>
      <c r="M41" s="594"/>
      <c r="N41" s="578">
        <f t="shared" si="5"/>
        <v>6</v>
      </c>
    </row>
    <row r="42" spans="1:14" ht="21.95" customHeight="1" x14ac:dyDescent="0.15">
      <c r="A42" s="2513"/>
      <c r="B42" s="2523"/>
      <c r="C42" s="566" t="s">
        <v>472</v>
      </c>
      <c r="E42" s="1357"/>
      <c r="F42" s="158">
        <f>Dre_Ser_Prelim!AE32</f>
        <v>0.28000000000000003</v>
      </c>
      <c r="G42" s="158">
        <f>Dre_Profunda!I94</f>
        <v>0</v>
      </c>
      <c r="H42" s="158"/>
      <c r="I42" s="158">
        <f t="shared" ref="I42:J42" si="8">I41*I40/100</f>
        <v>2.3774999999999999</v>
      </c>
      <c r="J42" s="158">
        <f t="shared" si="8"/>
        <v>0</v>
      </c>
      <c r="K42" s="158"/>
      <c r="L42" s="158"/>
      <c r="M42" s="594">
        <f>ROUND(SUM(F42:L42),2)</f>
        <v>2.66</v>
      </c>
      <c r="N42" s="578">
        <f t="shared" si="5"/>
        <v>5.3174999999999999</v>
      </c>
    </row>
    <row r="43" spans="1:14" ht="21.95" customHeight="1" thickBot="1" x14ac:dyDescent="0.2">
      <c r="A43" s="2513"/>
      <c r="B43" s="2524"/>
      <c r="C43" s="565" t="s">
        <v>1607</v>
      </c>
      <c r="D43" s="986"/>
      <c r="E43" s="563"/>
      <c r="F43" s="1401">
        <v>2</v>
      </c>
      <c r="G43" s="1401"/>
      <c r="H43" s="1401"/>
      <c r="I43" s="1401">
        <v>2</v>
      </c>
      <c r="J43" s="1401"/>
      <c r="K43" s="1401"/>
      <c r="L43" s="1401"/>
      <c r="M43" s="1402"/>
      <c r="N43" s="578">
        <f t="shared" si="5"/>
        <v>4</v>
      </c>
    </row>
    <row r="44" spans="1:14" ht="21.95" hidden="1" customHeight="1" x14ac:dyDescent="0.15">
      <c r="A44" s="2513"/>
      <c r="B44" s="2522" t="s">
        <v>1223</v>
      </c>
      <c r="C44" s="549" t="s">
        <v>164</v>
      </c>
      <c r="D44" s="984"/>
      <c r="E44" s="1358"/>
      <c r="F44" s="238"/>
      <c r="G44" s="238"/>
      <c r="H44" s="238"/>
      <c r="I44" s="238"/>
      <c r="J44" s="238"/>
      <c r="K44" s="238"/>
      <c r="L44" s="238"/>
      <c r="M44" s="592"/>
      <c r="N44" s="578">
        <f t="shared" si="5"/>
        <v>0</v>
      </c>
    </row>
    <row r="45" spans="1:14" ht="21.95" hidden="1" customHeight="1" x14ac:dyDescent="0.15">
      <c r="A45" s="2513"/>
      <c r="B45" s="2523"/>
      <c r="C45" s="566" t="s">
        <v>1236</v>
      </c>
      <c r="E45" s="1357"/>
      <c r="F45" s="158"/>
      <c r="G45" s="158"/>
      <c r="H45" s="158"/>
      <c r="I45" s="158"/>
      <c r="J45" s="158"/>
      <c r="K45" s="158"/>
      <c r="L45" s="158"/>
      <c r="M45" s="594"/>
      <c r="N45" s="578">
        <f t="shared" si="5"/>
        <v>0</v>
      </c>
    </row>
    <row r="46" spans="1:14" ht="21.95" hidden="1" customHeight="1" x14ac:dyDescent="0.15">
      <c r="A46" s="2513"/>
      <c r="B46" s="2523"/>
      <c r="C46" s="566" t="s">
        <v>1219</v>
      </c>
      <c r="E46" s="1357"/>
      <c r="F46" s="158">
        <f>F45*F44</f>
        <v>0</v>
      </c>
      <c r="G46" s="158"/>
      <c r="H46" s="158">
        <f t="shared" ref="H46:K46" si="9">H45*H44</f>
        <v>0</v>
      </c>
      <c r="I46" s="158">
        <f t="shared" si="9"/>
        <v>0</v>
      </c>
      <c r="J46" s="158">
        <f t="shared" si="9"/>
        <v>0</v>
      </c>
      <c r="K46" s="158">
        <f t="shared" si="9"/>
        <v>0</v>
      </c>
      <c r="L46" s="158"/>
      <c r="M46" s="350">
        <f>ROUND(SUM(F46:L46),2)</f>
        <v>0</v>
      </c>
      <c r="N46" s="578">
        <f t="shared" si="5"/>
        <v>0</v>
      </c>
    </row>
    <row r="47" spans="1:14" ht="21.95" hidden="1" customHeight="1" x14ac:dyDescent="0.15">
      <c r="A47" s="2513"/>
      <c r="B47" s="2523"/>
      <c r="C47" s="566" t="s">
        <v>1242</v>
      </c>
      <c r="E47" s="1357"/>
      <c r="F47" s="1419"/>
      <c r="G47" s="1419"/>
      <c r="H47" s="1419"/>
      <c r="I47" s="1419"/>
      <c r="J47" s="1419"/>
      <c r="K47" s="1419"/>
      <c r="L47" s="1419"/>
      <c r="M47" s="594"/>
      <c r="N47" s="578">
        <f t="shared" si="5"/>
        <v>0</v>
      </c>
    </row>
    <row r="48" spans="1:14" ht="21.95" hidden="1" customHeight="1" thickBot="1" x14ac:dyDescent="0.2">
      <c r="A48" s="2513"/>
      <c r="B48" s="2524"/>
      <c r="C48" s="565" t="s">
        <v>1664</v>
      </c>
      <c r="D48" s="986"/>
      <c r="E48" s="563"/>
      <c r="F48" s="239">
        <f>F47*F46/100</f>
        <v>0</v>
      </c>
      <c r="G48" s="239"/>
      <c r="H48" s="239">
        <f t="shared" ref="H48:K48" si="10">H47*H46/100</f>
        <v>0</v>
      </c>
      <c r="I48" s="239">
        <f t="shared" si="10"/>
        <v>0</v>
      </c>
      <c r="J48" s="239">
        <f t="shared" si="10"/>
        <v>0</v>
      </c>
      <c r="K48" s="239">
        <f t="shared" si="10"/>
        <v>0</v>
      </c>
      <c r="L48" s="239"/>
      <c r="M48" s="1403">
        <f t="shared" ref="M48:M66" si="11">ROUND(SUM(F48:L48),2)</f>
        <v>0</v>
      </c>
      <c r="N48" s="578">
        <f t="shared" si="5"/>
        <v>0</v>
      </c>
    </row>
    <row r="49" spans="1:14" ht="21.95" hidden="1" customHeight="1" x14ac:dyDescent="0.15">
      <c r="A49" s="2513"/>
      <c r="B49" s="2531" t="s">
        <v>1303</v>
      </c>
      <c r="C49" s="558" t="s">
        <v>1608</v>
      </c>
      <c r="E49" s="1357"/>
      <c r="F49" s="158">
        <f>IF(F6=1,F5,0)+IF(F11=1,F10,0)+IF(F16=1,F15,0)+IF(F21=1,F20,0)+IF(F26=1,F25,0)+IF(F31=1,F30,0)+IF(F37=1,F36,0)+IF(F43=1,F42,0)</f>
        <v>0</v>
      </c>
      <c r="G49" s="158">
        <f>IF(G6=1,G5,0)+IF(G11=1,G10,0)+IF(G16=1,G15,0)+IF(G21=1,G20,0)+IF(G26=1,G25,0)+IF(G31=1,G30,0)+IF(G37=1,G36,0)+IF(G43=1,G42,0)</f>
        <v>0</v>
      </c>
      <c r="H49" s="158">
        <f t="shared" ref="H49:K49" si="12">IF(H6=1,H5,0)+IF(H11=1,H10,0)+IF(H16=1,H15,0)+IF(H21=1,H20,0)+IF(H26=1,H25,0)+IF(H31=1,H30,0)+IF(H37=1,H36,0)+IF(H43=1,H42,0)</f>
        <v>0</v>
      </c>
      <c r="I49" s="158">
        <f t="shared" si="12"/>
        <v>0</v>
      </c>
      <c r="J49" s="158">
        <f t="shared" si="12"/>
        <v>0</v>
      </c>
      <c r="K49" s="158">
        <f t="shared" si="12"/>
        <v>0</v>
      </c>
      <c r="L49" s="158"/>
      <c r="M49" s="594">
        <f t="shared" si="11"/>
        <v>0</v>
      </c>
      <c r="N49" s="578">
        <f t="shared" si="5"/>
        <v>0</v>
      </c>
    </row>
    <row r="50" spans="1:14" ht="21.95" hidden="1" customHeight="1" x14ac:dyDescent="0.15">
      <c r="A50" s="2513"/>
      <c r="B50" s="2531"/>
      <c r="C50" s="566" t="s">
        <v>1605</v>
      </c>
      <c r="E50" s="1357"/>
      <c r="F50" s="158">
        <f>F49*1.25</f>
        <v>0</v>
      </c>
      <c r="G50" s="158">
        <f>G49*1.25</f>
        <v>0</v>
      </c>
      <c r="H50" s="158">
        <f t="shared" ref="H50:K50" si="13">H49*1.25</f>
        <v>0</v>
      </c>
      <c r="I50" s="158">
        <f t="shared" si="13"/>
        <v>0</v>
      </c>
      <c r="J50" s="158">
        <f t="shared" si="13"/>
        <v>0</v>
      </c>
      <c r="K50" s="158">
        <f t="shared" si="13"/>
        <v>0</v>
      </c>
      <c r="L50" s="158"/>
      <c r="M50" s="350">
        <f t="shared" si="11"/>
        <v>0</v>
      </c>
      <c r="N50" s="578">
        <f t="shared" si="5"/>
        <v>0</v>
      </c>
    </row>
    <row r="51" spans="1:14" ht="21.95" customHeight="1" x14ac:dyDescent="0.15">
      <c r="A51" s="2513"/>
      <c r="B51" s="2531"/>
      <c r="C51" s="566" t="s">
        <v>1609</v>
      </c>
      <c r="E51" s="1357"/>
      <c r="F51" s="158">
        <f>IF(F6=2,F5,0)+IF(F11=2,F10,0)+IF(F16=2,F15,0)+IF(F21=2,F20,0)+IF(F26=2,F25,0)+IF(F31=2,F30,0)+IF(F37=2,F36,0)+IF(F43=2,F42,0)+F48</f>
        <v>0.28000000000000003</v>
      </c>
      <c r="G51" s="158">
        <f>IF(G6=2,G5,0)+IF(G11=2,G10,0)+IF(G16=2,G15,0)+IF(G21=2,G20,0)+IF(G26=2,G25,0)+IF(G31=2,G30,0)+IF(G37=2,G36,0)+IF(G43=2,G42,0)+G48</f>
        <v>0</v>
      </c>
      <c r="H51" s="158">
        <f t="shared" ref="H51:K51" si="14">IF(H6=2,H5,0)+IF(H11=2,H10,0)+IF(H16=2,H15,0)+IF(H21=2,H20,0)+IF(H26=2,H25,0)+IF(H31=2,H30,0)+IF(H37=2,H36,0)+IF(H43=2,H42,0)+H48</f>
        <v>0</v>
      </c>
      <c r="I51" s="158">
        <f t="shared" si="14"/>
        <v>3.9275000000000002</v>
      </c>
      <c r="J51" s="158">
        <f t="shared" si="14"/>
        <v>74.599999999999994</v>
      </c>
      <c r="K51" s="158">
        <f t="shared" si="14"/>
        <v>0</v>
      </c>
      <c r="L51" s="158"/>
      <c r="M51" s="594">
        <f t="shared" si="11"/>
        <v>78.81</v>
      </c>
      <c r="N51" s="578">
        <f t="shared" si="5"/>
        <v>157.61750000000001</v>
      </c>
    </row>
    <row r="52" spans="1:14" ht="21.95" customHeight="1" thickBot="1" x14ac:dyDescent="0.2">
      <c r="A52" s="2513"/>
      <c r="B52" s="2532"/>
      <c r="C52" s="568" t="s">
        <v>1606</v>
      </c>
      <c r="E52" s="1357"/>
      <c r="F52" s="158">
        <f>F51*1.25</f>
        <v>0.35000000000000003</v>
      </c>
      <c r="G52" s="158">
        <f>G51*1.25</f>
        <v>0</v>
      </c>
      <c r="H52" s="158">
        <f t="shared" ref="H52:K52" si="15">H51*1.25</f>
        <v>0</v>
      </c>
      <c r="I52" s="158">
        <f t="shared" si="15"/>
        <v>4.9093750000000007</v>
      </c>
      <c r="J52" s="158">
        <f t="shared" si="15"/>
        <v>93.25</v>
      </c>
      <c r="K52" s="158">
        <f t="shared" si="15"/>
        <v>0</v>
      </c>
      <c r="L52" s="158"/>
      <c r="M52" s="350">
        <f t="shared" si="11"/>
        <v>98.51</v>
      </c>
      <c r="N52" s="578">
        <f t="shared" si="5"/>
        <v>197.01937500000003</v>
      </c>
    </row>
    <row r="53" spans="1:14" ht="21.95" customHeight="1" x14ac:dyDescent="0.15">
      <c r="A53" s="2513"/>
      <c r="B53" s="2536" t="s">
        <v>2034</v>
      </c>
      <c r="C53" s="549" t="s">
        <v>2032</v>
      </c>
      <c r="D53" s="984"/>
      <c r="E53" s="1360"/>
      <c r="F53" s="238">
        <f>Dre_Ser_Prelim!AE30</f>
        <v>8</v>
      </c>
      <c r="G53" s="238"/>
      <c r="H53" s="238"/>
      <c r="I53" s="238">
        <f>Pav_Terraplenagem!M24</f>
        <v>0</v>
      </c>
      <c r="J53" s="238"/>
      <c r="K53" s="238">
        <f>Ciclovia!J105</f>
        <v>0</v>
      </c>
      <c r="L53" s="238"/>
      <c r="M53" s="362">
        <f t="shared" si="11"/>
        <v>8</v>
      </c>
      <c r="N53" s="578">
        <f t="shared" si="5"/>
        <v>16</v>
      </c>
    </row>
    <row r="54" spans="1:14" ht="21.95" customHeight="1" thickBot="1" x14ac:dyDescent="0.2">
      <c r="A54" s="2513"/>
      <c r="B54" s="2532"/>
      <c r="C54" s="565" t="s">
        <v>2033</v>
      </c>
      <c r="D54" s="986"/>
      <c r="E54" s="414"/>
      <c r="F54" s="133"/>
      <c r="G54" s="239"/>
      <c r="H54" s="239"/>
      <c r="I54" s="239"/>
      <c r="J54" s="239">
        <f>Passeio!N180</f>
        <v>858.19</v>
      </c>
      <c r="K54" s="239"/>
      <c r="L54" s="239"/>
      <c r="M54" s="361">
        <f t="shared" si="11"/>
        <v>858.19</v>
      </c>
      <c r="N54" s="578">
        <f t="shared" si="5"/>
        <v>1716.38</v>
      </c>
    </row>
    <row r="55" spans="1:14" ht="21.95" hidden="1" customHeight="1" thickBot="1" x14ac:dyDescent="0.2">
      <c r="A55" s="2513"/>
      <c r="B55" s="2529" t="s">
        <v>1659</v>
      </c>
      <c r="C55" s="2530"/>
      <c r="D55" s="993"/>
      <c r="E55" s="1359"/>
      <c r="F55" s="228">
        <f>Dre_Ser_Prelim!AE33</f>
        <v>0</v>
      </c>
      <c r="G55" s="228"/>
      <c r="H55" s="228"/>
      <c r="I55" s="228"/>
      <c r="J55" s="228"/>
      <c r="K55" s="228"/>
      <c r="L55" s="228"/>
      <c r="M55" s="360">
        <f t="shared" si="11"/>
        <v>0</v>
      </c>
      <c r="N55" s="578">
        <f t="shared" si="5"/>
        <v>0</v>
      </c>
    </row>
    <row r="56" spans="1:14" ht="21.95" hidden="1" customHeight="1" thickBot="1" x14ac:dyDescent="0.2">
      <c r="A56" s="2513"/>
      <c r="B56" s="2529" t="s">
        <v>1660</v>
      </c>
      <c r="C56" s="2530"/>
      <c r="D56" s="993"/>
      <c r="E56" s="1359"/>
      <c r="F56" s="228">
        <f>Dre_Ser_Prelim!AE34</f>
        <v>0</v>
      </c>
      <c r="G56" s="228">
        <f>Dre_Ser_Prelim!AF34</f>
        <v>0</v>
      </c>
      <c r="H56" s="228"/>
      <c r="I56" s="228"/>
      <c r="J56" s="228"/>
      <c r="K56" s="228"/>
      <c r="L56" s="228"/>
      <c r="M56" s="360">
        <f t="shared" si="11"/>
        <v>0</v>
      </c>
      <c r="N56" s="578">
        <f t="shared" si="5"/>
        <v>0</v>
      </c>
    </row>
    <row r="57" spans="1:14" ht="21.95" customHeight="1" x14ac:dyDescent="0.15">
      <c r="A57" s="2513"/>
      <c r="B57" s="2533" t="s">
        <v>1230</v>
      </c>
      <c r="C57" s="549" t="s">
        <v>1253</v>
      </c>
      <c r="E57" s="1360"/>
      <c r="F57" s="1394"/>
      <c r="G57" s="1394"/>
      <c r="H57" s="1394"/>
      <c r="I57" s="1394"/>
      <c r="J57" s="1394">
        <f>Passeio!N212</f>
        <v>9</v>
      </c>
      <c r="K57" s="1394">
        <f>Ciclovia!J16</f>
        <v>0</v>
      </c>
      <c r="L57" s="1394"/>
      <c r="M57" s="350">
        <f t="shared" si="11"/>
        <v>9</v>
      </c>
      <c r="N57" s="578">
        <v>1</v>
      </c>
    </row>
    <row r="58" spans="1:14" ht="21.95" customHeight="1" x14ac:dyDescent="0.15">
      <c r="A58" s="2513"/>
      <c r="B58" s="2534"/>
      <c r="C58" s="566" t="s">
        <v>1254</v>
      </c>
      <c r="E58" s="344"/>
      <c r="F58" s="1395"/>
      <c r="G58" s="1395"/>
      <c r="H58" s="1395"/>
      <c r="I58" s="1395"/>
      <c r="J58" s="1395">
        <f>Passeio!N213</f>
        <v>1</v>
      </c>
      <c r="K58" s="1395">
        <f>Ciclovia!J17</f>
        <v>0</v>
      </c>
      <c r="L58" s="1395"/>
      <c r="M58" s="350">
        <f t="shared" si="11"/>
        <v>1</v>
      </c>
      <c r="N58" s="578">
        <v>1</v>
      </c>
    </row>
    <row r="59" spans="1:14" ht="21.95" customHeight="1" thickBot="1" x14ac:dyDescent="0.2">
      <c r="A59" s="2513"/>
      <c r="B59" s="2535"/>
      <c r="C59" s="565" t="s">
        <v>1255</v>
      </c>
      <c r="D59" s="986"/>
      <c r="E59" s="414"/>
      <c r="F59" s="1396"/>
      <c r="G59" s="1396"/>
      <c r="H59" s="1396"/>
      <c r="I59" s="1396">
        <f>Pav_Terraplenagem!M16</f>
        <v>0</v>
      </c>
      <c r="J59" s="1396">
        <f>Passeio!N214</f>
        <v>0</v>
      </c>
      <c r="K59" s="1396">
        <f>Ciclovia!J18</f>
        <v>0</v>
      </c>
      <c r="L59" s="1396"/>
      <c r="M59" s="361">
        <f t="shared" si="11"/>
        <v>0</v>
      </c>
      <c r="N59" s="578">
        <v>1</v>
      </c>
    </row>
    <row r="60" spans="1:14" ht="21.95" customHeight="1" x14ac:dyDescent="0.15">
      <c r="A60" s="2513"/>
      <c r="B60" s="2533" t="s">
        <v>1224</v>
      </c>
      <c r="C60" s="549" t="s">
        <v>1253</v>
      </c>
      <c r="E60" s="1357"/>
      <c r="F60" s="1395"/>
      <c r="G60" s="1395"/>
      <c r="H60" s="1395"/>
      <c r="I60" s="1395"/>
      <c r="J60" s="1395">
        <f>Passeio!N215</f>
        <v>9</v>
      </c>
      <c r="K60" s="1395">
        <f>Ciclovia!J19</f>
        <v>0</v>
      </c>
      <c r="L60" s="1395"/>
      <c r="M60" s="350">
        <f t="shared" si="11"/>
        <v>9</v>
      </c>
      <c r="N60" s="578">
        <v>1</v>
      </c>
    </row>
    <row r="61" spans="1:14" ht="21.95" customHeight="1" x14ac:dyDescent="0.15">
      <c r="A61" s="2513"/>
      <c r="B61" s="2534"/>
      <c r="C61" s="566" t="s">
        <v>1254</v>
      </c>
      <c r="E61" s="1357"/>
      <c r="F61" s="1395"/>
      <c r="G61" s="1395"/>
      <c r="H61" s="1395"/>
      <c r="I61" s="1395"/>
      <c r="J61" s="1395">
        <f>Passeio!N216</f>
        <v>1</v>
      </c>
      <c r="K61" s="1395">
        <f>Ciclovia!J20</f>
        <v>0</v>
      </c>
      <c r="L61" s="1395"/>
      <c r="M61" s="350">
        <f t="shared" si="11"/>
        <v>1</v>
      </c>
      <c r="N61" s="578">
        <v>1</v>
      </c>
    </row>
    <row r="62" spans="1:14" ht="21.95" customHeight="1" thickBot="1" x14ac:dyDescent="0.2">
      <c r="A62" s="2513"/>
      <c r="B62" s="2535"/>
      <c r="C62" s="565" t="s">
        <v>1255</v>
      </c>
      <c r="D62" s="986"/>
      <c r="E62" s="563"/>
      <c r="F62" s="1396"/>
      <c r="G62" s="1396"/>
      <c r="H62" s="1396"/>
      <c r="I62" s="1396">
        <f>Pav_Terraplenagem!M19</f>
        <v>0</v>
      </c>
      <c r="J62" s="1396">
        <f>Passeio!N217</f>
        <v>0</v>
      </c>
      <c r="K62" s="1396">
        <f>Ciclovia!J21</f>
        <v>0</v>
      </c>
      <c r="L62" s="1396"/>
      <c r="M62" s="361">
        <f t="shared" si="11"/>
        <v>0</v>
      </c>
      <c r="N62" s="578">
        <v>1</v>
      </c>
    </row>
    <row r="63" spans="1:14" ht="21.95" customHeight="1" x14ac:dyDescent="0.15">
      <c r="A63" s="2513"/>
      <c r="B63" s="2522" t="s">
        <v>1226</v>
      </c>
      <c r="C63" s="549" t="s">
        <v>1225</v>
      </c>
      <c r="D63" s="984"/>
      <c r="E63" s="1358"/>
      <c r="F63" s="1394"/>
      <c r="G63" s="1394"/>
      <c r="H63" s="1394"/>
      <c r="I63" s="1394">
        <f>Pav_Terraplenagem!M20</f>
        <v>0</v>
      </c>
      <c r="J63" s="1394">
        <f>Passeio!N218</f>
        <v>0</v>
      </c>
      <c r="K63" s="1395">
        <f>Ciclovia!J22</f>
        <v>0</v>
      </c>
      <c r="L63" s="1394"/>
      <c r="M63" s="362">
        <f t="shared" si="11"/>
        <v>0</v>
      </c>
      <c r="N63" s="578">
        <v>1</v>
      </c>
    </row>
    <row r="64" spans="1:14" ht="21.95" customHeight="1" x14ac:dyDescent="0.15">
      <c r="A64" s="2513"/>
      <c r="B64" s="2523"/>
      <c r="C64" s="566" t="s">
        <v>1253</v>
      </c>
      <c r="E64" s="1357"/>
      <c r="F64" s="1395"/>
      <c r="G64" s="1395"/>
      <c r="H64" s="1395"/>
      <c r="I64" s="1395"/>
      <c r="J64" s="1395">
        <f>Passeio!N219</f>
        <v>9</v>
      </c>
      <c r="K64" s="1395">
        <f>Ciclovia!J23</f>
        <v>0</v>
      </c>
      <c r="L64" s="1395"/>
      <c r="M64" s="350">
        <f t="shared" si="11"/>
        <v>9</v>
      </c>
      <c r="N64" s="578">
        <v>1</v>
      </c>
    </row>
    <row r="65" spans="1:14" ht="21.95" customHeight="1" x14ac:dyDescent="0.15">
      <c r="A65" s="2513"/>
      <c r="B65" s="2523"/>
      <c r="C65" s="566" t="s">
        <v>1254</v>
      </c>
      <c r="E65" s="344"/>
      <c r="F65" s="1395"/>
      <c r="G65" s="1395"/>
      <c r="H65" s="1395"/>
      <c r="I65" s="1395"/>
      <c r="J65" s="1395">
        <f>Passeio!N220</f>
        <v>1</v>
      </c>
      <c r="K65" s="1395">
        <f>Ciclovia!J24</f>
        <v>0</v>
      </c>
      <c r="L65" s="1395"/>
      <c r="M65" s="350">
        <f t="shared" si="11"/>
        <v>1</v>
      </c>
      <c r="N65" s="578">
        <v>1</v>
      </c>
    </row>
    <row r="66" spans="1:14" ht="21.95" customHeight="1" thickBot="1" x14ac:dyDescent="0.2">
      <c r="A66" s="2513"/>
      <c r="B66" s="2524"/>
      <c r="C66" s="565" t="s">
        <v>1255</v>
      </c>
      <c r="D66" s="986"/>
      <c r="E66" s="414"/>
      <c r="F66" s="1396"/>
      <c r="G66" s="1396"/>
      <c r="H66" s="1396"/>
      <c r="I66" s="1396">
        <f>Pav_Terraplenagem!M23</f>
        <v>0</v>
      </c>
      <c r="J66" s="1396">
        <f>Passeio!N221</f>
        <v>0</v>
      </c>
      <c r="K66" s="1396">
        <f>Ciclovia!J25</f>
        <v>0</v>
      </c>
      <c r="L66" s="1396"/>
      <c r="M66" s="361">
        <f t="shared" si="11"/>
        <v>0</v>
      </c>
      <c r="N66" s="578">
        <v>1</v>
      </c>
    </row>
    <row r="67" spans="1:14" ht="21.95" hidden="1" customHeight="1" x14ac:dyDescent="0.15">
      <c r="A67" s="2513"/>
      <c r="B67" s="2522" t="s">
        <v>1222</v>
      </c>
      <c r="C67" s="566" t="s">
        <v>1661</v>
      </c>
      <c r="E67" s="1357"/>
      <c r="F67" s="932"/>
      <c r="G67" s="932"/>
      <c r="H67" s="932"/>
      <c r="I67" s="932"/>
      <c r="J67" s="932"/>
      <c r="K67" s="932"/>
      <c r="L67" s="932"/>
      <c r="M67" s="1417"/>
      <c r="N67" s="1016"/>
    </row>
    <row r="68" spans="1:14" ht="21.95" hidden="1" customHeight="1" x14ac:dyDescent="0.15">
      <c r="A68" s="2513"/>
      <c r="B68" s="2523"/>
      <c r="C68" s="566" t="s">
        <v>1663</v>
      </c>
      <c r="D68" s="1420"/>
      <c r="E68" s="1392"/>
      <c r="F68" s="932"/>
      <c r="G68" s="936"/>
      <c r="H68" s="936"/>
      <c r="I68" s="936"/>
      <c r="J68" s="936"/>
      <c r="K68" s="936"/>
      <c r="L68" s="936"/>
      <c r="M68" s="1421"/>
      <c r="N68" s="1016"/>
    </row>
    <row r="69" spans="1:14" ht="21.95" customHeight="1" x14ac:dyDescent="0.15">
      <c r="A69" s="2513"/>
      <c r="B69" s="2523"/>
      <c r="C69" s="558" t="s">
        <v>1666</v>
      </c>
      <c r="E69" s="1357"/>
      <c r="F69" s="458">
        <f>F50+F52</f>
        <v>0.35000000000000003</v>
      </c>
      <c r="G69" s="158">
        <f>G50+G52</f>
        <v>0</v>
      </c>
      <c r="H69" s="158">
        <f>H50+H52</f>
        <v>0</v>
      </c>
      <c r="I69" s="158">
        <f t="shared" ref="I69:K69" si="16">I50+I52</f>
        <v>4.9093750000000007</v>
      </c>
      <c r="J69" s="158">
        <f t="shared" si="16"/>
        <v>93.25</v>
      </c>
      <c r="K69" s="158">
        <f t="shared" si="16"/>
        <v>0</v>
      </c>
      <c r="L69" s="158"/>
      <c r="M69" s="594">
        <f t="shared" ref="M69:M75" si="17">ROUND(SUM(F69:L69),2)</f>
        <v>98.51</v>
      </c>
      <c r="N69" s="578">
        <f t="shared" ref="N69:N75" si="18">SUM(F69:M69)</f>
        <v>197.01937500000003</v>
      </c>
    </row>
    <row r="70" spans="1:14" ht="21.95" customHeight="1" x14ac:dyDescent="0.15">
      <c r="A70" s="2513"/>
      <c r="B70" s="2523"/>
      <c r="C70" s="558" t="s">
        <v>1671</v>
      </c>
      <c r="F70" s="158">
        <f t="shared" ref="F70:K70" si="19">F69-F71</f>
        <v>0.35000000000000003</v>
      </c>
      <c r="G70" s="158">
        <f t="shared" si="19"/>
        <v>0</v>
      </c>
      <c r="H70" s="158">
        <f t="shared" si="19"/>
        <v>0</v>
      </c>
      <c r="I70" s="158">
        <f t="shared" si="19"/>
        <v>4.9093750000000007</v>
      </c>
      <c r="J70" s="158">
        <f t="shared" si="19"/>
        <v>93.25</v>
      </c>
      <c r="K70" s="158">
        <f t="shared" si="19"/>
        <v>0</v>
      </c>
      <c r="L70" s="158"/>
      <c r="M70" s="594">
        <f t="shared" si="17"/>
        <v>98.51</v>
      </c>
      <c r="N70" s="578">
        <f t="shared" si="18"/>
        <v>197.01937500000003</v>
      </c>
    </row>
    <row r="71" spans="1:14" ht="21.95" hidden="1" customHeight="1" x14ac:dyDescent="0.15">
      <c r="A71" s="2513"/>
      <c r="B71" s="2523"/>
      <c r="C71" s="566" t="s">
        <v>1668</v>
      </c>
      <c r="D71" s="133"/>
      <c r="E71" s="133"/>
      <c r="F71" s="158">
        <f>IF(F67="SIM",F69,0)</f>
        <v>0</v>
      </c>
      <c r="G71" s="158">
        <f>IF(G67="SIM",G69,0)</f>
        <v>0</v>
      </c>
      <c r="H71" s="158">
        <f>IF(H67="SIM",H69,0)</f>
        <v>0</v>
      </c>
      <c r="I71" s="158">
        <f t="shared" ref="I71:K71" si="20">IF(I67="SIM",I69,0)</f>
        <v>0</v>
      </c>
      <c r="J71" s="158">
        <f t="shared" si="20"/>
        <v>0</v>
      </c>
      <c r="K71" s="158">
        <f t="shared" si="20"/>
        <v>0</v>
      </c>
      <c r="L71" s="158"/>
      <c r="M71" s="350">
        <f t="shared" si="17"/>
        <v>0</v>
      </c>
      <c r="N71" s="578">
        <f t="shared" si="18"/>
        <v>0</v>
      </c>
    </row>
    <row r="72" spans="1:14" ht="32.1" hidden="1" customHeight="1" x14ac:dyDescent="0.15">
      <c r="A72" s="2513"/>
      <c r="B72" s="2523"/>
      <c r="C72" s="566" t="s">
        <v>2734</v>
      </c>
      <c r="E72" s="1357"/>
      <c r="F72" s="158">
        <f>IF(F67="SIM",F69,0)</f>
        <v>0</v>
      </c>
      <c r="G72" s="158">
        <f>IF(G67="SIM",G69,0)</f>
        <v>0</v>
      </c>
      <c r="H72" s="158">
        <f>IF(H67="SIM",H69,0)</f>
        <v>0</v>
      </c>
      <c r="I72" s="158">
        <f t="shared" ref="I72:K72" si="21">IF(I67="SIM",I69,0)</f>
        <v>0</v>
      </c>
      <c r="J72" s="158">
        <f t="shared" si="21"/>
        <v>0</v>
      </c>
      <c r="K72" s="158">
        <f t="shared" si="21"/>
        <v>0</v>
      </c>
      <c r="L72" s="158"/>
      <c r="M72" s="350">
        <f t="shared" si="17"/>
        <v>0</v>
      </c>
      <c r="N72" s="578">
        <f t="shared" si="18"/>
        <v>0</v>
      </c>
    </row>
    <row r="73" spans="1:14" ht="21.95" hidden="1" customHeight="1" x14ac:dyDescent="0.15">
      <c r="A73" s="2513"/>
      <c r="B73" s="2523"/>
      <c r="C73" s="566" t="s">
        <v>1665</v>
      </c>
      <c r="E73" s="1357"/>
      <c r="F73" s="158">
        <f>IF(F68="SIM",F69,0)</f>
        <v>0</v>
      </c>
      <c r="G73" s="158">
        <f>IF(G68="SIM",G69,0)</f>
        <v>0</v>
      </c>
      <c r="H73" s="158">
        <f>IF(H68="SIM",H69,0)</f>
        <v>0</v>
      </c>
      <c r="I73" s="158">
        <f t="shared" ref="I73:K73" si="22">IF(I68="SIM",I69,0)</f>
        <v>0</v>
      </c>
      <c r="J73" s="158">
        <f t="shared" si="22"/>
        <v>0</v>
      </c>
      <c r="K73" s="158">
        <f t="shared" si="22"/>
        <v>0</v>
      </c>
      <c r="L73" s="158"/>
      <c r="M73" s="350">
        <f t="shared" si="17"/>
        <v>0</v>
      </c>
      <c r="N73" s="578">
        <f t="shared" si="18"/>
        <v>0</v>
      </c>
    </row>
    <row r="74" spans="1:14" ht="21.95" customHeight="1" thickBot="1" x14ac:dyDescent="0.2">
      <c r="A74" s="2513"/>
      <c r="B74" s="2524"/>
      <c r="C74" s="565" t="s">
        <v>1667</v>
      </c>
      <c r="D74" s="986"/>
      <c r="E74" s="414"/>
      <c r="F74" s="239">
        <f>IF(F73=0,F69,0)</f>
        <v>0.35000000000000003</v>
      </c>
      <c r="G74" s="239">
        <f>IF(G73=0,G69,0)</f>
        <v>0</v>
      </c>
      <c r="H74" s="239">
        <f>IF(H73=0,H69,0)</f>
        <v>0</v>
      </c>
      <c r="I74" s="239">
        <f t="shared" ref="I74:K74" si="23">IF(I73=0,I69,0)</f>
        <v>4.9093750000000007</v>
      </c>
      <c r="J74" s="239">
        <f t="shared" si="23"/>
        <v>93.25</v>
      </c>
      <c r="K74" s="239">
        <f t="shared" si="23"/>
        <v>0</v>
      </c>
      <c r="L74" s="239"/>
      <c r="M74" s="361">
        <f t="shared" si="17"/>
        <v>98.51</v>
      </c>
      <c r="N74" s="578">
        <f t="shared" si="18"/>
        <v>197.01937500000003</v>
      </c>
    </row>
    <row r="75" spans="1:14" ht="21.95" customHeight="1" thickBot="1" x14ac:dyDescent="0.2">
      <c r="A75" s="2513"/>
      <c r="B75" s="2520" t="s">
        <v>1847</v>
      </c>
      <c r="C75" s="2521"/>
      <c r="D75" s="993"/>
      <c r="E75" s="1359"/>
      <c r="F75" s="365">
        <f>(F66+F61+F59)*1</f>
        <v>0</v>
      </c>
      <c r="G75" s="365">
        <f t="shared" ref="G75:K75" si="24">(G66+G61+G59)*1</f>
        <v>0</v>
      </c>
      <c r="H75" s="365">
        <f t="shared" si="24"/>
        <v>0</v>
      </c>
      <c r="I75" s="365">
        <f t="shared" si="24"/>
        <v>0</v>
      </c>
      <c r="J75" s="365">
        <f>(J66+J61+J57)*1</f>
        <v>10</v>
      </c>
      <c r="K75" s="365">
        <f t="shared" si="24"/>
        <v>0</v>
      </c>
      <c r="L75" s="365"/>
      <c r="M75" s="366">
        <f t="shared" si="17"/>
        <v>10</v>
      </c>
      <c r="N75" s="578">
        <f t="shared" si="18"/>
        <v>20</v>
      </c>
    </row>
    <row r="76" spans="1:14" ht="50.1" customHeight="1" thickBot="1" x14ac:dyDescent="0.2">
      <c r="A76" s="2514"/>
      <c r="B76" s="2527" t="s">
        <v>12</v>
      </c>
      <c r="C76" s="2528"/>
      <c r="D76" s="989"/>
      <c r="E76" s="564"/>
      <c r="F76" s="1351"/>
      <c r="G76" s="1351"/>
      <c r="H76" s="1351"/>
      <c r="I76" s="1351"/>
      <c r="J76" s="1351"/>
      <c r="K76" s="1351"/>
      <c r="L76" s="1351"/>
      <c r="M76" s="1404"/>
      <c r="N76" s="667">
        <v>1</v>
      </c>
    </row>
    <row r="77" spans="1:14" ht="19.5" thickTop="1" x14ac:dyDescent="0.15"/>
  </sheetData>
  <autoFilter ref="N1:N76">
    <filterColumn colId="0">
      <customFilters>
        <customFilter operator="notEqual" val=" "/>
      </customFilters>
    </filterColumn>
  </autoFilter>
  <mergeCells count="21">
    <mergeCell ref="B57:B59"/>
    <mergeCell ref="B60:B62"/>
    <mergeCell ref="B63:B66"/>
    <mergeCell ref="B67:B74"/>
    <mergeCell ref="B53:B54"/>
    <mergeCell ref="B75:C75"/>
    <mergeCell ref="B22:B26"/>
    <mergeCell ref="A1:A76"/>
    <mergeCell ref="B1:C1"/>
    <mergeCell ref="B32:B37"/>
    <mergeCell ref="B2:B6"/>
    <mergeCell ref="B7:B11"/>
    <mergeCell ref="B12:B16"/>
    <mergeCell ref="B17:B21"/>
    <mergeCell ref="B76:C76"/>
    <mergeCell ref="B27:B31"/>
    <mergeCell ref="B44:B48"/>
    <mergeCell ref="B38:B43"/>
    <mergeCell ref="B55:C55"/>
    <mergeCell ref="B56:C56"/>
    <mergeCell ref="B49:B52"/>
  </mergeCells>
  <conditionalFormatting sqref="F6:L6 F11:L11 F16:L16 F21:L21 F26:L26 F31:L31 F37:L37 F43:L43">
    <cfRule type="expression" dxfId="103" priority="45">
      <formula>F5&gt;0</formula>
    </cfRule>
  </conditionalFormatting>
  <conditionalFormatting sqref="F6:L6 F11:L11 F16:L16 F21:L21 F26:L26 F31:L31 F37:L37 F43:L48">
    <cfRule type="expression" dxfId="102" priority="23">
      <formula>F6&gt;0</formula>
    </cfRule>
  </conditionalFormatting>
  <conditionalFormatting sqref="I41 L41">
    <cfRule type="expression" dxfId="101" priority="3">
      <formula>I41&gt;0</formula>
    </cfRule>
    <cfRule type="expression" dxfId="100" priority="4">
      <formula>I40&gt;0</formula>
    </cfRule>
  </conditionalFormatting>
  <hyperlinks>
    <hyperlink ref="B1:C1" location="PAINEL!A1" display="TRECHOS"/>
  </hyperlinks>
  <pageMargins left="0.51181102362204722" right="0.51181102362204722" top="0.78740157480314965" bottom="0.78740157480314965" header="0.31496062992125984" footer="0.31496062992125984"/>
  <pageSetup paperSize="9" scale="75" orientation="landscape" r:id="rId1"/>
  <headerFooter>
    <oddFooter>&amp;L&amp;"Arial,Normal"&amp;8&amp;F&amp;C&amp;"Arial,Normal"&amp;8&amp;P/&amp;N&amp;R&amp;"+,Regular"&amp;8Ricardo Schettini Figueiredo
Eng. Civil - CREA-RJ 52.656/D</oddFooter>
  </headerFooter>
  <ignoredErrors>
    <ignoredError sqref="F51:K51 J15:J20 J36 J75" formula="1"/>
  </ignoredErrors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24">
    <tabColor theme="5" tint="0.59999389629810485"/>
    <pageSetUpPr fitToPage="1"/>
  </sheetPr>
  <dimension ref="A1:AJ161"/>
  <sheetViews>
    <sheetView showZeros="0" zoomScaleNormal="100" zoomScaleSheetLayoutView="90" workbookViewId="0">
      <pane xSplit="3" ySplit="1" topLeftCell="D2" activePane="bottomRight" state="frozenSplit"/>
      <selection activeCell="D18" sqref="B13:I28"/>
      <selection pane="topRight" activeCell="D18" sqref="B13:I28"/>
      <selection pane="bottomLeft" activeCell="D18" sqref="B13:I28"/>
      <selection pane="bottomRight" activeCell="D9" sqref="D9"/>
    </sheetView>
  </sheetViews>
  <sheetFormatPr defaultColWidth="9" defaultRowHeight="21.75" x14ac:dyDescent="0.15"/>
  <cols>
    <col min="1" max="1" width="9.75" style="133" customWidth="1"/>
    <col min="2" max="2" width="14.25" style="13" customWidth="1"/>
    <col min="3" max="3" width="35.625" style="13" customWidth="1"/>
    <col min="4" max="9" width="12.625" style="133" customWidth="1"/>
    <col min="10" max="10" width="14.625" style="133" customWidth="1"/>
    <col min="11" max="11" width="16.625" style="133" customWidth="1"/>
    <col min="12" max="13" width="14.625" style="133" customWidth="1"/>
    <col min="14" max="16" width="12.625" style="133" customWidth="1"/>
    <col min="17" max="17" width="12.625" style="133" hidden="1" customWidth="1"/>
    <col min="18" max="29" width="12.625" style="133" customWidth="1"/>
    <col min="30" max="30" width="17" style="919" bestFit="1" customWidth="1"/>
    <col min="31" max="33" width="7.875" style="133" customWidth="1"/>
    <col min="34" max="35" width="10.75" style="133" customWidth="1"/>
    <col min="36" max="36" width="15.625" style="133" customWidth="1"/>
    <col min="37" max="16384" width="9" style="133"/>
  </cols>
  <sheetData>
    <row r="1" spans="1:33" s="16" customFormat="1" ht="69.95" customHeight="1" thickTop="1" thickBot="1" x14ac:dyDescent="0.2">
      <c r="A1" s="2552" t="s">
        <v>153</v>
      </c>
      <c r="B1" s="2555" t="s">
        <v>221</v>
      </c>
      <c r="C1" s="2556"/>
      <c r="D1" s="2396" cm="1">
        <f t="array" aca="1" ref="D1" ca="1">INDIRECT(REPLACE("'Dren_Dim'!a00",13,2,FIXED(Dren_Quantificacao!D2,0)))</f>
        <v>1</v>
      </c>
      <c r="E1" s="2396" cm="1">
        <f t="array" aca="1" ref="E1" ca="1">INDIRECT(REPLACE("'Dren_Dim'!a00",13,2,FIXED(Dren_Quantificacao!E2,0)))</f>
        <v>2</v>
      </c>
      <c r="F1" s="2396" cm="1">
        <f t="array" aca="1" ref="F1" ca="1">INDIRECT(REPLACE("'Dren_Dim'!a00",13,2,FIXED(Dren_Quantificacao!F2,0)))</f>
        <v>3</v>
      </c>
      <c r="G1" s="2396" cm="1">
        <f t="array" aca="1" ref="G1" ca="1">INDIRECT(REPLACE("'Dren_Dim'!a00",13,2,FIXED(Dren_Quantificacao!G2,0)))</f>
        <v>4</v>
      </c>
      <c r="H1" s="2396" cm="1">
        <f t="array" aca="1" ref="H1" ca="1">INDIRECT(REPLACE("'Dren_Dim'!a00",13,2,FIXED(Dren_Quantificacao!H2,0)))</f>
        <v>5</v>
      </c>
      <c r="I1" s="2396" cm="1">
        <f t="array" aca="1" ref="I1" ca="1">INDIRECT(REPLACE("'Dren_Dim'!a00",13,2,FIXED(Dren_Quantificacao!I2,0)))</f>
        <v>6</v>
      </c>
      <c r="J1" s="2396" t="s">
        <v>2783</v>
      </c>
      <c r="K1" s="2396" t="s">
        <v>2784</v>
      </c>
      <c r="L1" s="2396" t="s">
        <v>2785</v>
      </c>
      <c r="M1" s="2396" t="s">
        <v>2786</v>
      </c>
      <c r="N1" s="156"/>
      <c r="O1" s="156" t="s">
        <v>1083</v>
      </c>
      <c r="P1" s="156" t="s">
        <v>1084</v>
      </c>
      <c r="Q1" s="156" t="s">
        <v>1085</v>
      </c>
      <c r="R1" s="156" t="s">
        <v>1086</v>
      </c>
      <c r="S1" s="156" t="s">
        <v>892</v>
      </c>
      <c r="T1" s="156" t="s">
        <v>893</v>
      </c>
      <c r="U1" s="156" t="s">
        <v>1087</v>
      </c>
      <c r="V1" s="156" t="s">
        <v>1088</v>
      </c>
      <c r="W1" s="156" t="s">
        <v>1563</v>
      </c>
      <c r="X1" s="156" t="s">
        <v>1564</v>
      </c>
      <c r="Y1" s="156" t="s">
        <v>896</v>
      </c>
      <c r="Z1" s="156" t="s">
        <v>1565</v>
      </c>
      <c r="AA1" s="17" t="s">
        <v>143</v>
      </c>
      <c r="AB1" s="17" t="s">
        <v>143</v>
      </c>
      <c r="AC1" s="17" t="s">
        <v>143</v>
      </c>
      <c r="AD1" s="916"/>
      <c r="AE1" s="61"/>
      <c r="AF1" s="62"/>
      <c r="AG1" s="62"/>
    </row>
    <row r="2" spans="1:33" s="16" customFormat="1" ht="21.95" customHeight="1" thickTop="1" x14ac:dyDescent="0.15">
      <c r="A2" s="2552"/>
      <c r="B2" s="2546" t="s">
        <v>111</v>
      </c>
      <c r="C2" s="2547"/>
      <c r="D2" s="330">
        <v>11</v>
      </c>
      <c r="E2" s="330">
        <f t="shared" ref="E2" si="0">D2+1</f>
        <v>12</v>
      </c>
      <c r="F2" s="330">
        <f t="shared" ref="F2" si="1">E2+1</f>
        <v>13</v>
      </c>
      <c r="G2" s="330">
        <f t="shared" ref="G2" si="2">F2+1</f>
        <v>14</v>
      </c>
      <c r="H2" s="330">
        <f t="shared" ref="H2" si="3">G2+1</f>
        <v>15</v>
      </c>
      <c r="I2" s="330">
        <f t="shared" ref="I2" si="4">H2+1</f>
        <v>16</v>
      </c>
      <c r="J2" s="330"/>
      <c r="K2" s="330"/>
      <c r="L2" s="330"/>
      <c r="M2" s="330"/>
      <c r="N2" s="330"/>
      <c r="O2" s="331"/>
      <c r="P2" s="331"/>
      <c r="Q2" s="331"/>
      <c r="R2" s="331"/>
      <c r="S2" s="331"/>
      <c r="T2" s="331"/>
      <c r="U2" s="331"/>
      <c r="V2" s="331"/>
      <c r="W2" s="331"/>
      <c r="X2" s="331"/>
      <c r="Y2" s="331"/>
      <c r="Z2" s="331"/>
      <c r="AA2" s="331"/>
      <c r="AB2" s="331"/>
      <c r="AC2" s="331"/>
      <c r="AD2" s="916"/>
      <c r="AE2" s="59"/>
      <c r="AF2" s="59"/>
      <c r="AG2" s="59"/>
    </row>
    <row r="3" spans="1:33" ht="21.95" customHeight="1" x14ac:dyDescent="0.15">
      <c r="A3" s="2552"/>
      <c r="B3" s="2546" t="s">
        <v>3</v>
      </c>
      <c r="C3" s="2547"/>
      <c r="D3" s="332" cm="1">
        <f t="array" aca="1" ref="D3" ca="1">INDIRECT(REPLACE("'Dren_Dim'!n00",13,2,FIXED(D2,0)))</f>
        <v>45.04</v>
      </c>
      <c r="E3" s="332" cm="1">
        <f t="array" aca="1" ref="E3" ca="1">INDIRECT(REPLACE("'Dren_Dim'!n00",13,2,FIXED(E2,0)))</f>
        <v>45.04</v>
      </c>
      <c r="F3" s="332" cm="1">
        <f t="array" aca="1" ref="F3" ca="1">INDIRECT(REPLACE("'Dren_Dim'!n00",13,2,FIXED(F2,0)))</f>
        <v>60.43</v>
      </c>
      <c r="G3" s="332" cm="1">
        <f t="array" aca="1" ref="G3" ca="1">INDIRECT(REPLACE("'Dren_Dim'!n00",13,2,FIXED(G2,0)))</f>
        <v>60.43</v>
      </c>
      <c r="H3" s="332" cm="1">
        <f t="array" aca="1" ref="H3" ca="1">INDIRECT(REPLACE("'Dren_Dim'!n00",13,2,FIXED(H2,0)))</f>
        <v>60.43</v>
      </c>
      <c r="I3" s="332" cm="1">
        <f t="array" aca="1" ref="I3" ca="1">INDIRECT(REPLACE("'Dren_Dim'!n00",13,2,FIXED(I2,0)))</f>
        <v>60.44</v>
      </c>
      <c r="J3" s="332"/>
      <c r="K3" s="332"/>
      <c r="L3" s="332"/>
      <c r="M3" s="332"/>
      <c r="N3" s="332"/>
      <c r="O3" s="332">
        <f>SUM(O143:O154)</f>
        <v>0</v>
      </c>
      <c r="P3" s="332">
        <f t="shared" ref="P3:X3" si="5">SUM(P143:P154)</f>
        <v>216</v>
      </c>
      <c r="Q3" s="332">
        <f t="shared" si="5"/>
        <v>0</v>
      </c>
      <c r="R3" s="332">
        <f t="shared" si="5"/>
        <v>57</v>
      </c>
      <c r="S3" s="332">
        <f t="shared" si="5"/>
        <v>0</v>
      </c>
      <c r="T3" s="332">
        <f t="shared" si="5"/>
        <v>0</v>
      </c>
      <c r="U3" s="332">
        <f t="shared" si="5"/>
        <v>0</v>
      </c>
      <c r="V3" s="332">
        <f t="shared" si="5"/>
        <v>0</v>
      </c>
      <c r="W3" s="332">
        <f t="shared" si="5"/>
        <v>0</v>
      </c>
      <c r="X3" s="332">
        <f t="shared" si="5"/>
        <v>0</v>
      </c>
      <c r="Y3" s="332">
        <f>SUM(Y143:Y154)</f>
        <v>0</v>
      </c>
      <c r="Z3" s="332">
        <f>SUM(Z143:Z154)</f>
        <v>0</v>
      </c>
      <c r="AA3" s="332">
        <f>AA113</f>
        <v>0</v>
      </c>
      <c r="AB3" s="332">
        <f>AB113</f>
        <v>0</v>
      </c>
      <c r="AC3" s="332">
        <f>AC113</f>
        <v>0</v>
      </c>
      <c r="AD3" s="63">
        <f ca="1">SUMPRODUCT(D3:Z3,D4:Z4)</f>
        <v>604.80999999999995</v>
      </c>
      <c r="AE3" s="59"/>
      <c r="AF3" s="59"/>
      <c r="AG3" s="59"/>
    </row>
    <row r="4" spans="1:33" s="68" customFormat="1" ht="21.95" customHeight="1" x14ac:dyDescent="0.15">
      <c r="A4" s="2552"/>
      <c r="B4" s="2546" t="s">
        <v>4</v>
      </c>
      <c r="C4" s="1295" t="s">
        <v>41</v>
      </c>
      <c r="D4" s="1296" cm="1">
        <f t="array" aca="1" ref="D4" ca="1">INDIRECT(REPLACE("'Dren_Dim'!ac00",14,2,FIXED(D2,0)))</f>
        <v>1</v>
      </c>
      <c r="E4" s="1296" cm="1">
        <f t="array" aca="1" ref="E4" ca="1">INDIRECT(REPLACE("'Dren_Dim'!ac00",14,2,FIXED(E2,0)))</f>
        <v>1</v>
      </c>
      <c r="F4" s="1296" cm="1">
        <f t="array" aca="1" ref="F4" ca="1">INDIRECT(REPLACE("'Dren_Dim'!ac00",14,2,FIXED(F2,0)))</f>
        <v>1</v>
      </c>
      <c r="G4" s="1296" cm="1">
        <f t="array" aca="1" ref="G4" ca="1">INDIRECT(REPLACE("'Dren_Dim'!ac00",14,2,FIXED(G2,0)))</f>
        <v>1</v>
      </c>
      <c r="H4" s="1296" cm="1">
        <f t="array" aca="1" ref="H4" ca="1">INDIRECT(REPLACE("'Dren_Dim'!ac00",14,2,FIXED(H2,0)))</f>
        <v>1</v>
      </c>
      <c r="I4" s="1296" cm="1">
        <f t="array" aca="1" ref="I4" ca="1">INDIRECT(REPLACE("'Dren_Dim'!ac00",14,2,FIXED(I2,0)))</f>
        <v>1</v>
      </c>
      <c r="J4" s="1296"/>
      <c r="K4" s="1296"/>
      <c r="L4" s="1296"/>
      <c r="M4" s="1296"/>
      <c r="N4" s="1296"/>
      <c r="O4" s="1296">
        <v>1</v>
      </c>
      <c r="P4" s="1296">
        <v>1</v>
      </c>
      <c r="Q4" s="1296">
        <v>1</v>
      </c>
      <c r="R4" s="1296">
        <v>1</v>
      </c>
      <c r="S4" s="1296">
        <v>1</v>
      </c>
      <c r="T4" s="1296">
        <v>1</v>
      </c>
      <c r="U4" s="1296">
        <v>1</v>
      </c>
      <c r="V4" s="1296">
        <v>1</v>
      </c>
      <c r="W4" s="1296">
        <v>1</v>
      </c>
      <c r="X4" s="1296">
        <v>1</v>
      </c>
      <c r="Y4" s="1296">
        <v>1</v>
      </c>
      <c r="Z4" s="1296">
        <v>1</v>
      </c>
      <c r="AA4" s="1297"/>
      <c r="AB4" s="1297"/>
      <c r="AC4" s="1297"/>
      <c r="AD4" s="916"/>
      <c r="AE4" s="65"/>
      <c r="AF4" s="66"/>
      <c r="AG4" s="66"/>
    </row>
    <row r="5" spans="1:33" s="15" customFormat="1" ht="21.95" customHeight="1" x14ac:dyDescent="0.15">
      <c r="A5" s="2552"/>
      <c r="B5" s="2546"/>
      <c r="C5" s="187" t="s">
        <v>71</v>
      </c>
      <c r="D5" s="335" cm="1">
        <f t="array" aca="1" ref="D5" ca="1">INDIRECT(REPLACE("'Dren_Dim'!ad00",14,2,FIXED(D2,0)))</f>
        <v>0.6</v>
      </c>
      <c r="E5" s="335" cm="1">
        <f t="array" aca="1" ref="E5" ca="1">INDIRECT(REPLACE("'Dren_Dim'!ad00",14,2,FIXED(E2,0)))</f>
        <v>0.6</v>
      </c>
      <c r="F5" s="335" cm="1">
        <f t="array" aca="1" ref="F5" ca="1">INDIRECT(REPLACE("'Dren_Dim'!ad00",14,2,FIXED(F2,0)))</f>
        <v>0.6</v>
      </c>
      <c r="G5" s="335" cm="1">
        <f t="array" aca="1" ref="G5" ca="1">INDIRECT(REPLACE("'Dren_Dim'!ad00",14,2,FIXED(G2,0)))</f>
        <v>0.8</v>
      </c>
      <c r="H5" s="335" cm="1">
        <f t="array" aca="1" ref="H5" ca="1">INDIRECT(REPLACE("'Dren_Dim'!ad00",14,2,FIXED(H2,0)))</f>
        <v>0.8</v>
      </c>
      <c r="I5" s="335" cm="1">
        <f t="array" aca="1" ref="I5" ca="1">INDIRECT(REPLACE("'Dren_Dim'!ad00",14,2,FIXED(I2,0)))</f>
        <v>0.8</v>
      </c>
      <c r="J5" s="335"/>
      <c r="K5" s="335"/>
      <c r="L5" s="335"/>
      <c r="M5" s="335"/>
      <c r="N5" s="335"/>
      <c r="O5" s="335">
        <f>IF(O6="P",0.45,0.4)</f>
        <v>0.4</v>
      </c>
      <c r="P5" s="335">
        <f>IF(P6="P",0.45,0.4)</f>
        <v>0.4</v>
      </c>
      <c r="Q5" s="335">
        <v>0.6</v>
      </c>
      <c r="R5" s="335">
        <v>0.6</v>
      </c>
      <c r="S5" s="335">
        <f>IF(S6="P",0.45,0.4)</f>
        <v>0.4</v>
      </c>
      <c r="T5" s="335">
        <v>0.6</v>
      </c>
      <c r="U5" s="335">
        <v>0.4</v>
      </c>
      <c r="V5" s="335">
        <v>0.4</v>
      </c>
      <c r="W5" s="335">
        <v>0.5</v>
      </c>
      <c r="X5" s="335">
        <v>0.5</v>
      </c>
      <c r="Y5" s="335">
        <v>0.4</v>
      </c>
      <c r="Z5" s="335">
        <v>0.5</v>
      </c>
      <c r="AA5" s="11"/>
      <c r="AB5" s="11"/>
      <c r="AC5" s="11"/>
      <c r="AD5" s="917"/>
    </row>
    <row r="6" spans="1:33" s="15" customFormat="1" ht="21.95" customHeight="1" x14ac:dyDescent="0.15">
      <c r="A6" s="2552"/>
      <c r="B6" s="2546"/>
      <c r="C6" s="187" t="s">
        <v>2732</v>
      </c>
      <c r="D6" s="335" t="str" cm="1">
        <f t="array" aca="1" ref="D6" ca="1">INDIRECT(REPLACE("'Dren_Dim'!aa00",14,2,FIXED(D2,0)))</f>
        <v>C</v>
      </c>
      <c r="E6" s="335" t="str" cm="1">
        <f t="array" aca="1" ref="E6" ca="1">INDIRECT(REPLACE("'Dren_Dim'!aa00",14,2,FIXED(E2,0)))</f>
        <v>C</v>
      </c>
      <c r="F6" s="335" t="str" cm="1">
        <f t="array" aca="1" ref="F6" ca="1">INDIRECT(REPLACE("'Dren_Dim'!aa00",14,2,FIXED(F2,0)))</f>
        <v>C</v>
      </c>
      <c r="G6" s="335" t="str" cm="1">
        <f t="array" aca="1" ref="G6" ca="1">INDIRECT(REPLACE("'Dren_Dim'!aa00",14,2,FIXED(G2,0)))</f>
        <v>C</v>
      </c>
      <c r="H6" s="335" t="str" cm="1">
        <f t="array" aca="1" ref="H6" ca="1">INDIRECT(REPLACE("'Dren_Dim'!aa00",14,2,FIXED(H2,0)))</f>
        <v>C</v>
      </c>
      <c r="I6" s="335" t="str" cm="1">
        <f t="array" aca="1" ref="I6" ca="1">INDIRECT(REPLACE("'Dren_Dim'!aa00",14,2,FIXED(I2,0)))</f>
        <v>C</v>
      </c>
      <c r="J6" s="335"/>
      <c r="K6" s="335"/>
      <c r="L6" s="335"/>
      <c r="M6" s="335"/>
      <c r="N6" s="335"/>
      <c r="O6" s="335" t="s">
        <v>72</v>
      </c>
      <c r="P6" s="335" t="s">
        <v>72</v>
      </c>
      <c r="Q6" s="335" t="s">
        <v>72</v>
      </c>
      <c r="R6" s="335" t="s">
        <v>72</v>
      </c>
      <c r="S6" s="335" t="s">
        <v>72</v>
      </c>
      <c r="T6" s="335" t="s">
        <v>72</v>
      </c>
      <c r="U6" s="335" t="s">
        <v>897</v>
      </c>
      <c r="V6" s="335" t="s">
        <v>897</v>
      </c>
      <c r="W6" s="335" t="s">
        <v>897</v>
      </c>
      <c r="X6" s="335" t="s">
        <v>897</v>
      </c>
      <c r="Y6" s="335" t="s">
        <v>897</v>
      </c>
      <c r="Z6" s="335" t="s">
        <v>897</v>
      </c>
      <c r="AA6" s="11"/>
      <c r="AB6" s="11"/>
      <c r="AC6" s="11"/>
      <c r="AD6" s="917"/>
    </row>
    <row r="7" spans="1:33" s="15" customFormat="1" ht="21.95" customHeight="1" x14ac:dyDescent="0.15">
      <c r="A7" s="2552"/>
      <c r="B7" s="2546"/>
      <c r="C7" s="187" t="s">
        <v>207</v>
      </c>
      <c r="D7" s="335" cm="1">
        <f t="array" aca="1" ref="D7" ca="1">INDIRECT(REPLACE("'Dren_Dim'!ae00",14,2,FIXED(D2,0)))</f>
        <v>0</v>
      </c>
      <c r="E7" s="335" cm="1">
        <f t="array" aca="1" ref="E7" ca="1">INDIRECT(REPLACE("'Dren_Dim'!ae00",14,2,FIXED(E2,0)))</f>
        <v>0</v>
      </c>
      <c r="F7" s="335" cm="1">
        <f t="array" aca="1" ref="F7" ca="1">INDIRECT(REPLACE("'Dren_Dim'!ae00",14,2,FIXED(F2,0)))</f>
        <v>0</v>
      </c>
      <c r="G7" s="335" cm="1">
        <f t="array" aca="1" ref="G7" ca="1">INDIRECT(REPLACE("'Dren_Dim'!ae00",14,2,FIXED(G2,0)))</f>
        <v>0</v>
      </c>
      <c r="H7" s="335" cm="1">
        <f t="array" aca="1" ref="H7" ca="1">INDIRECT(REPLACE("'Dren_Dim'!ae00",14,2,FIXED(H2,0)))</f>
        <v>0</v>
      </c>
      <c r="I7" s="335" cm="1">
        <f t="array" aca="1" ref="I7" ca="1">INDIRECT(REPLACE("'Dren_Dim'!ae00",14,2,FIXED(I2,0)))</f>
        <v>0</v>
      </c>
      <c r="J7" s="335"/>
      <c r="K7" s="335"/>
      <c r="L7" s="335"/>
      <c r="M7" s="335"/>
      <c r="N7" s="335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917"/>
    </row>
    <row r="8" spans="1:33" s="15" customFormat="1" ht="21.95" customHeight="1" x14ac:dyDescent="0.15">
      <c r="A8" s="2552"/>
      <c r="B8" s="2546"/>
      <c r="C8" s="187" t="s">
        <v>208</v>
      </c>
      <c r="D8" s="335">
        <f t="shared" ref="D8" ca="1" si="6">D7</f>
        <v>0</v>
      </c>
      <c r="E8" s="335">
        <f t="shared" ref="E8:H8" ca="1" si="7">E7</f>
        <v>0</v>
      </c>
      <c r="F8" s="335">
        <f t="shared" ca="1" si="7"/>
        <v>0</v>
      </c>
      <c r="G8" s="335">
        <f t="shared" ca="1" si="7"/>
        <v>0</v>
      </c>
      <c r="H8" s="335">
        <f t="shared" ca="1" si="7"/>
        <v>0</v>
      </c>
      <c r="I8" s="335">
        <f t="shared" ref="I8" ca="1" si="8">I7</f>
        <v>0</v>
      </c>
      <c r="J8" s="335"/>
      <c r="K8" s="335"/>
      <c r="L8" s="335"/>
      <c r="M8" s="335"/>
      <c r="N8" s="335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917"/>
    </row>
    <row r="9" spans="1:33" s="15" customFormat="1" ht="21.95" customHeight="1" x14ac:dyDescent="0.15">
      <c r="A9" s="2552"/>
      <c r="B9" s="2546"/>
      <c r="C9" s="187" t="s">
        <v>913</v>
      </c>
      <c r="D9" s="332" t="str">
        <f t="shared" ref="D9" ca="1" si="9">IF(D4=0,0,IF(D6="P","P",IF(D12&lt;3,IF(D5&gt;0.7,"PA-1","PS-1"), IF(D5&gt;0.7,"PA-2","PA-1"))))</f>
        <v>PS-1</v>
      </c>
      <c r="E9" s="332" t="s">
        <v>2837</v>
      </c>
      <c r="F9" s="332" t="s">
        <v>2837</v>
      </c>
      <c r="G9" s="332" t="str">
        <f t="shared" ref="G9:H9" ca="1" si="10">IF(G4=0,0,IF(G6="P","P",IF(G12&lt;3,IF(G5&gt;0.7,"PA-1","PS-1"), IF(G5&gt;0.7,"PA-2","PA-1"))))</f>
        <v>PA-1</v>
      </c>
      <c r="H9" s="332" t="str">
        <f t="shared" ca="1" si="10"/>
        <v>PA-1</v>
      </c>
      <c r="I9" s="332" t="str">
        <f t="shared" ref="I9" ca="1" si="11">IF(I4=0,0,IF(I6="P","P",IF(I12&lt;3,IF(I5&gt;0.7,"PA-1","PS-1"), IF(I5&gt;0.7,"PA-2","PA-1"))))</f>
        <v>PA-1</v>
      </c>
      <c r="J9" s="332"/>
      <c r="K9" s="332"/>
      <c r="L9" s="332"/>
      <c r="M9" s="332"/>
      <c r="N9" s="332"/>
      <c r="O9" s="332" t="str">
        <f t="shared" ref="O9:T9" si="12">IF(O4=0,0,IF(O6="P","P",IF(O12&lt;3,IF(O5&gt;0.7,"PA-1","PS-1"), IF(O5&gt;0.7,"PA-2","PA-1"))))</f>
        <v>PS-1</v>
      </c>
      <c r="P9" s="332" t="str">
        <f t="shared" si="12"/>
        <v>PS-1</v>
      </c>
      <c r="Q9" s="332" t="str">
        <f t="shared" si="12"/>
        <v>PS-1</v>
      </c>
      <c r="R9" s="332" t="str">
        <f t="shared" si="12"/>
        <v>PS-1</v>
      </c>
      <c r="S9" s="332" t="str">
        <f t="shared" si="12"/>
        <v>PS-1</v>
      </c>
      <c r="T9" s="332" t="str">
        <f t="shared" si="12"/>
        <v>PS-1</v>
      </c>
      <c r="U9" s="332" t="s">
        <v>894</v>
      </c>
      <c r="V9" s="332" t="s">
        <v>894</v>
      </c>
      <c r="W9" s="332" t="s">
        <v>894</v>
      </c>
      <c r="X9" s="332" t="s">
        <v>894</v>
      </c>
      <c r="Y9" s="332" t="s">
        <v>894</v>
      </c>
      <c r="Z9" s="332" t="s">
        <v>894</v>
      </c>
      <c r="AA9" s="190"/>
      <c r="AB9" s="190"/>
      <c r="AC9" s="190"/>
      <c r="AD9" s="917"/>
    </row>
    <row r="10" spans="1:33" s="15" customFormat="1" ht="21.95" customHeight="1" x14ac:dyDescent="0.15">
      <c r="A10" s="2552"/>
      <c r="B10" s="2546" t="s">
        <v>310</v>
      </c>
      <c r="C10" s="2547"/>
      <c r="D10" s="333">
        <f ca="1">VLOOKUP(D1,Dren_Dim!$A:$H,5,0)</f>
        <v>2.1000000000000227</v>
      </c>
      <c r="E10" s="333">
        <f ca="1">VLOOKUP(E1,Dren_Dim!$A:$H,5,0)</f>
        <v>2.0846399999999221</v>
      </c>
      <c r="F10" s="333">
        <f ca="1">VLOOKUP(F1,Dren_Dim!$A:$H,5,0)</f>
        <v>1.3500000000001364</v>
      </c>
      <c r="G10" s="333">
        <f ca="1">VLOOKUP(G1,Dren_Dim!$A:$H,5,0)</f>
        <v>2.3472900000001573</v>
      </c>
      <c r="H10" s="333">
        <f ca="1">VLOOKUP(H1,Dren_Dim!$A:$H,5,0)</f>
        <v>3.7205800000000409</v>
      </c>
      <c r="I10" s="333">
        <f ca="1">VLOOKUP(I1,Dren_Dim!$A:$H,5,0)</f>
        <v>3.6518700000000308</v>
      </c>
      <c r="J10" s="333"/>
      <c r="K10" s="333"/>
      <c r="L10" s="333"/>
      <c r="M10" s="333"/>
      <c r="N10" s="333"/>
      <c r="O10" s="333">
        <v>1</v>
      </c>
      <c r="P10" s="333">
        <v>1</v>
      </c>
      <c r="Q10" s="333">
        <v>1.3</v>
      </c>
      <c r="R10" s="333">
        <v>1.3</v>
      </c>
      <c r="S10" s="333">
        <v>1</v>
      </c>
      <c r="T10" s="333">
        <v>1.3</v>
      </c>
      <c r="U10" s="333">
        <v>1</v>
      </c>
      <c r="V10" s="333">
        <v>1</v>
      </c>
      <c r="W10" s="333">
        <v>1.3</v>
      </c>
      <c r="X10" s="333">
        <v>1.3</v>
      </c>
      <c r="Y10" s="333">
        <v>1</v>
      </c>
      <c r="Z10" s="333">
        <v>1.3</v>
      </c>
      <c r="AA10" s="334"/>
      <c r="AB10" s="334"/>
      <c r="AC10" s="334"/>
      <c r="AD10" s="917"/>
    </row>
    <row r="11" spans="1:33" s="15" customFormat="1" ht="21.95" customHeight="1" x14ac:dyDescent="0.15">
      <c r="A11" s="2552"/>
      <c r="B11" s="2546" t="s">
        <v>311</v>
      </c>
      <c r="C11" s="2547"/>
      <c r="D11" s="332">
        <f ca="1">ABS(VLOOKUP(D1,Dren_Dim!$A:$H,8,0))</f>
        <v>2.0846399999999221</v>
      </c>
      <c r="E11" s="332">
        <f ca="1">ABS(VLOOKUP(E1,Dren_Dim!$A:$H,8,0))</f>
        <v>1.3500000000001364</v>
      </c>
      <c r="F11" s="332">
        <f ca="1">ABS(VLOOKUP(F1,Dren_Dim!$A:$H,8,0))</f>
        <v>2.3472900000001573</v>
      </c>
      <c r="G11" s="332">
        <f ca="1">ABS(VLOOKUP(G1,Dren_Dim!$A:$H,8,0))</f>
        <v>3.7205800000000409</v>
      </c>
      <c r="H11" s="332">
        <f ca="1">ABS(VLOOKUP(H1,Dren_Dim!$A:$H,8,0))</f>
        <v>3.6518700000000308</v>
      </c>
      <c r="I11" s="332">
        <f ca="1">ABS(VLOOKUP(I1,Dren_Dim!$A:$H,8,0))</f>
        <v>3.4481900000000678</v>
      </c>
      <c r="J11" s="332"/>
      <c r="K11" s="332"/>
      <c r="L11" s="332"/>
      <c r="M11" s="332"/>
      <c r="N11" s="332"/>
      <c r="O11" s="332">
        <v>1.5</v>
      </c>
      <c r="P11" s="332">
        <v>1.5</v>
      </c>
      <c r="Q11" s="332">
        <v>1.5</v>
      </c>
      <c r="R11" s="332">
        <v>1.5</v>
      </c>
      <c r="S11" s="332">
        <v>1.5</v>
      </c>
      <c r="T11" s="332">
        <v>1.5</v>
      </c>
      <c r="U11" s="332">
        <v>1.5</v>
      </c>
      <c r="V11" s="332">
        <v>1.5</v>
      </c>
      <c r="W11" s="332">
        <v>1.5</v>
      </c>
      <c r="X11" s="332">
        <v>1.5</v>
      </c>
      <c r="Y11" s="332">
        <v>1.5</v>
      </c>
      <c r="Z11" s="332">
        <v>1.5</v>
      </c>
      <c r="AA11" s="190"/>
      <c r="AB11" s="190"/>
      <c r="AC11" s="190"/>
      <c r="AD11" s="917"/>
    </row>
    <row r="12" spans="1:33" s="15" customFormat="1" ht="21.95" customHeight="1" x14ac:dyDescent="0.15">
      <c r="A12" s="2552"/>
      <c r="B12" s="2558" t="s">
        <v>493</v>
      </c>
      <c r="C12" s="2559"/>
      <c r="D12" s="345">
        <f t="shared" ref="D12" ca="1" si="13">IF(D10=0,0,AVERAGE(D10:D11)-D5)</f>
        <v>1.4923199999999723</v>
      </c>
      <c r="E12" s="345">
        <f t="shared" ref="E12:H12" ca="1" si="14">IF(E10=0,0,AVERAGE(E10:E11)-E5)</f>
        <v>1.1173200000000292</v>
      </c>
      <c r="F12" s="345">
        <f t="shared" ca="1" si="14"/>
        <v>1.2486450000001468</v>
      </c>
      <c r="G12" s="345">
        <f t="shared" ca="1" si="14"/>
        <v>2.2339350000000993</v>
      </c>
      <c r="H12" s="345">
        <f t="shared" ca="1" si="14"/>
        <v>2.886225000000036</v>
      </c>
      <c r="I12" s="2383">
        <f t="shared" ref="I12" ca="1" si="15">IF(I10=0,0,AVERAGE(I10:I11)-I5)</f>
        <v>2.7500300000000495</v>
      </c>
      <c r="J12" s="2383"/>
      <c r="K12" s="2383"/>
      <c r="L12" s="2383"/>
      <c r="M12" s="2383"/>
      <c r="N12" s="345"/>
      <c r="O12" s="345">
        <f>IF(O10=0,0,AVERAGE(O10:O11)-O5)</f>
        <v>0.85</v>
      </c>
      <c r="P12" s="345">
        <f t="shared" ref="P12:X12" si="16">IF(P10=0,0,AVERAGE(P10:P11)-P5)</f>
        <v>0.85</v>
      </c>
      <c r="Q12" s="345">
        <f t="shared" si="16"/>
        <v>0.79999999999999993</v>
      </c>
      <c r="R12" s="345">
        <f t="shared" si="16"/>
        <v>0.79999999999999993</v>
      </c>
      <c r="S12" s="345">
        <f t="shared" si="16"/>
        <v>0.85</v>
      </c>
      <c r="T12" s="345">
        <f t="shared" si="16"/>
        <v>0.79999999999999993</v>
      </c>
      <c r="U12" s="345">
        <f t="shared" si="16"/>
        <v>0.85</v>
      </c>
      <c r="V12" s="345">
        <f t="shared" si="16"/>
        <v>0.85</v>
      </c>
      <c r="W12" s="345">
        <f t="shared" si="16"/>
        <v>0.89999999999999991</v>
      </c>
      <c r="X12" s="345">
        <f t="shared" si="16"/>
        <v>0.89999999999999991</v>
      </c>
      <c r="Y12" s="345">
        <f>IF(Y10=0,0,AVERAGE(Y10:Y11)-Y5)</f>
        <v>0.85</v>
      </c>
      <c r="Z12" s="345">
        <f>IF(Z10=0,0,AVERAGE(Z10:Z11)-Z5)</f>
        <v>0.89999999999999991</v>
      </c>
      <c r="AA12" s="190"/>
      <c r="AB12" s="190"/>
      <c r="AC12" s="190"/>
      <c r="AD12" s="917"/>
    </row>
    <row r="13" spans="1:33" ht="21.95" customHeight="1" x14ac:dyDescent="0.15">
      <c r="A13" s="2552"/>
      <c r="B13" s="2558" t="s">
        <v>1082</v>
      </c>
      <c r="C13" s="2560"/>
      <c r="D13" s="924">
        <v>1</v>
      </c>
      <c r="E13" s="924">
        <v>1</v>
      </c>
      <c r="F13" s="924">
        <v>1</v>
      </c>
      <c r="G13" s="924">
        <v>1</v>
      </c>
      <c r="H13" s="924">
        <v>1</v>
      </c>
      <c r="I13" s="924">
        <v>1</v>
      </c>
      <c r="J13" s="924">
        <v>1</v>
      </c>
      <c r="K13" s="924">
        <v>1</v>
      </c>
      <c r="L13" s="924">
        <v>1</v>
      </c>
      <c r="M13" s="924">
        <v>1</v>
      </c>
      <c r="N13" s="924"/>
      <c r="O13" s="924">
        <v>2</v>
      </c>
      <c r="P13" s="924">
        <v>1</v>
      </c>
      <c r="Q13" s="924">
        <v>2</v>
      </c>
      <c r="R13" s="924">
        <v>1</v>
      </c>
      <c r="S13" s="924">
        <v>1</v>
      </c>
      <c r="T13" s="924">
        <v>1</v>
      </c>
      <c r="U13" s="924">
        <v>1</v>
      </c>
      <c r="V13" s="924">
        <v>1</v>
      </c>
      <c r="W13" s="924">
        <v>1</v>
      </c>
      <c r="X13" s="924">
        <v>1</v>
      </c>
      <c r="Y13" s="924">
        <v>1</v>
      </c>
      <c r="Z13" s="924">
        <v>1</v>
      </c>
      <c r="AA13" s="923"/>
      <c r="AB13" s="923"/>
      <c r="AC13" s="923"/>
    </row>
    <row r="14" spans="1:33" s="1773" customFormat="1" ht="21.95" customHeight="1" x14ac:dyDescent="0.15">
      <c r="A14" s="2552"/>
      <c r="B14" s="2557" t="s">
        <v>62</v>
      </c>
      <c r="C14" s="188" t="s">
        <v>479</v>
      </c>
      <c r="D14" s="1771" t="s">
        <v>2036</v>
      </c>
      <c r="E14" s="1771" t="s">
        <v>2036</v>
      </c>
      <c r="F14" s="1771" t="s">
        <v>2036</v>
      </c>
      <c r="G14" s="1771" t="s">
        <v>2036</v>
      </c>
      <c r="H14" s="1771" t="s">
        <v>2036</v>
      </c>
      <c r="I14" s="1771" t="s">
        <v>2036</v>
      </c>
      <c r="J14" s="1771" t="s">
        <v>2036</v>
      </c>
      <c r="K14" s="1771" t="s">
        <v>2036</v>
      </c>
      <c r="L14" s="1771" t="s">
        <v>2036</v>
      </c>
      <c r="M14" s="1771" t="s">
        <v>2036</v>
      </c>
      <c r="N14" s="1771"/>
      <c r="O14" s="1771" t="s">
        <v>2036</v>
      </c>
      <c r="P14" s="1771" t="s">
        <v>2036</v>
      </c>
      <c r="Q14" s="1771" t="s">
        <v>2036</v>
      </c>
      <c r="R14" s="1771" t="s">
        <v>2036</v>
      </c>
      <c r="S14" s="1772" t="s">
        <v>690</v>
      </c>
      <c r="T14" s="1772" t="s">
        <v>690</v>
      </c>
      <c r="U14" s="1771" t="s">
        <v>760</v>
      </c>
      <c r="V14" s="1771" t="s">
        <v>760</v>
      </c>
      <c r="W14" s="1771" t="s">
        <v>760</v>
      </c>
      <c r="X14" s="1771" t="s">
        <v>760</v>
      </c>
      <c r="Y14" s="1772" t="s">
        <v>690</v>
      </c>
      <c r="Z14" s="1772" t="s">
        <v>690</v>
      </c>
      <c r="AA14" s="1771"/>
      <c r="AB14" s="1771"/>
      <c r="AC14" s="1771"/>
    </row>
    <row r="15" spans="1:33" s="14" customFormat="1" ht="21.95" customHeight="1" x14ac:dyDescent="0.15">
      <c r="A15" s="2552"/>
      <c r="B15" s="2523"/>
      <c r="C15" s="418" t="s">
        <v>563</v>
      </c>
      <c r="D15" s="134"/>
      <c r="E15" s="134"/>
      <c r="F15" s="134"/>
      <c r="G15" s="134"/>
      <c r="H15" s="134"/>
      <c r="I15" s="134"/>
      <c r="J15" s="134"/>
      <c r="K15" s="134"/>
      <c r="L15" s="134"/>
      <c r="M15" s="134"/>
      <c r="N15" s="134"/>
      <c r="O15" s="134"/>
      <c r="P15" s="134"/>
      <c r="Q15" s="134"/>
      <c r="R15" s="134"/>
      <c r="S15" s="134"/>
      <c r="T15" s="134"/>
      <c r="U15" s="134"/>
      <c r="V15" s="134"/>
      <c r="W15" s="134"/>
      <c r="X15" s="134"/>
      <c r="Y15" s="134"/>
      <c r="Z15" s="134"/>
      <c r="AA15" s="134"/>
      <c r="AB15" s="134"/>
      <c r="AC15" s="134"/>
      <c r="AD15" s="918"/>
    </row>
    <row r="16" spans="1:33" ht="21.95" customHeight="1" x14ac:dyDescent="0.15">
      <c r="A16" s="2552"/>
      <c r="B16" s="2523"/>
      <c r="C16" s="187" t="s">
        <v>734</v>
      </c>
      <c r="D16" s="134"/>
      <c r="E16" s="134"/>
      <c r="F16" s="134"/>
      <c r="G16" s="134"/>
      <c r="H16" s="134"/>
      <c r="I16" s="134"/>
      <c r="J16" s="134"/>
      <c r="K16" s="134"/>
      <c r="L16" s="134"/>
      <c r="M16" s="134"/>
      <c r="N16" s="134"/>
      <c r="O16" s="134"/>
      <c r="P16" s="134"/>
      <c r="Q16" s="134"/>
      <c r="R16" s="134"/>
      <c r="S16" s="134"/>
      <c r="T16" s="134"/>
      <c r="U16" s="134"/>
      <c r="V16" s="134"/>
      <c r="W16" s="134"/>
      <c r="X16" s="134"/>
      <c r="Y16" s="134"/>
      <c r="Z16" s="134"/>
      <c r="AA16" s="134"/>
      <c r="AB16" s="134"/>
      <c r="AC16" s="134"/>
    </row>
    <row r="17" spans="1:30" ht="21.95" customHeight="1" x14ac:dyDescent="0.15">
      <c r="A17" s="2552"/>
      <c r="B17" s="2523"/>
      <c r="C17" s="187" t="s">
        <v>672</v>
      </c>
      <c r="D17" s="534"/>
      <c r="E17" s="534"/>
      <c r="F17" s="534"/>
      <c r="G17" s="534"/>
      <c r="H17" s="534"/>
      <c r="I17" s="534"/>
      <c r="J17" s="534"/>
      <c r="K17" s="534"/>
      <c r="L17" s="534"/>
      <c r="M17" s="534"/>
      <c r="N17" s="534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</row>
    <row r="18" spans="1:30" ht="21.95" customHeight="1" x14ac:dyDescent="0.15">
      <c r="A18" s="2552"/>
      <c r="B18" s="2523"/>
      <c r="C18" s="187" t="s">
        <v>669</v>
      </c>
      <c r="D18" s="134"/>
      <c r="E18" s="134"/>
      <c r="F18" s="134"/>
      <c r="G18" s="134"/>
      <c r="H18" s="134"/>
      <c r="I18" s="134"/>
      <c r="J18" s="134"/>
      <c r="K18" s="134"/>
      <c r="L18" s="134"/>
      <c r="M18" s="134"/>
      <c r="N18" s="134"/>
      <c r="O18" s="134"/>
      <c r="P18" s="134"/>
      <c r="Q18" s="134"/>
      <c r="R18" s="134"/>
      <c r="S18" s="134"/>
      <c r="T18" s="134"/>
      <c r="U18" s="134"/>
      <c r="V18" s="134"/>
      <c r="W18" s="134"/>
      <c r="X18" s="134"/>
      <c r="Y18" s="134"/>
      <c r="Z18" s="134"/>
      <c r="AA18" s="134"/>
      <c r="AB18" s="134"/>
      <c r="AC18" s="134"/>
    </row>
    <row r="19" spans="1:30" ht="21.95" customHeight="1" x14ac:dyDescent="0.15">
      <c r="A19" s="2552"/>
      <c r="B19" s="2523"/>
      <c r="C19" s="187" t="s">
        <v>670</v>
      </c>
      <c r="D19" s="335">
        <f t="shared" ref="D19" si="17">IF(D18=0,0,D3)</f>
        <v>0</v>
      </c>
      <c r="E19" s="335">
        <f t="shared" ref="E19:H19" si="18">IF(E18=0,0,E3)</f>
        <v>0</v>
      </c>
      <c r="F19" s="335">
        <f t="shared" si="18"/>
        <v>0</v>
      </c>
      <c r="G19" s="335">
        <f t="shared" si="18"/>
        <v>0</v>
      </c>
      <c r="H19" s="335">
        <f t="shared" si="18"/>
        <v>0</v>
      </c>
      <c r="I19" s="335">
        <f t="shared" ref="I19" si="19">IF(I18=0,0,I3)</f>
        <v>0</v>
      </c>
      <c r="J19" s="335"/>
      <c r="K19" s="335"/>
      <c r="L19" s="335"/>
      <c r="M19" s="335"/>
      <c r="N19" s="335"/>
      <c r="O19" s="335">
        <f>IF(O18=0,0,O3)</f>
        <v>0</v>
      </c>
      <c r="P19" s="335">
        <f t="shared" ref="P19:Z19" si="20">IF(P18=0,0,P3)</f>
        <v>0</v>
      </c>
      <c r="Q19" s="335">
        <f t="shared" si="20"/>
        <v>0</v>
      </c>
      <c r="R19" s="335">
        <f t="shared" si="20"/>
        <v>0</v>
      </c>
      <c r="S19" s="335">
        <f t="shared" si="20"/>
        <v>0</v>
      </c>
      <c r="T19" s="335">
        <f t="shared" si="20"/>
        <v>0</v>
      </c>
      <c r="U19" s="335">
        <f t="shared" si="20"/>
        <v>0</v>
      </c>
      <c r="V19" s="335">
        <f t="shared" si="20"/>
        <v>0</v>
      </c>
      <c r="W19" s="335">
        <f t="shared" si="20"/>
        <v>0</v>
      </c>
      <c r="X19" s="335">
        <f t="shared" si="20"/>
        <v>0</v>
      </c>
      <c r="Y19" s="335">
        <f t="shared" si="20"/>
        <v>0</v>
      </c>
      <c r="Z19" s="335">
        <f t="shared" si="20"/>
        <v>0</v>
      </c>
      <c r="AA19" s="134"/>
      <c r="AB19" s="134"/>
      <c r="AC19" s="134"/>
    </row>
    <row r="20" spans="1:30" ht="21.95" customHeight="1" x14ac:dyDescent="0.15">
      <c r="A20" s="2552"/>
      <c r="B20" s="2523"/>
      <c r="C20" s="187" t="s">
        <v>108</v>
      </c>
      <c r="D20" s="134"/>
      <c r="E20" s="134"/>
      <c r="F20" s="134"/>
      <c r="G20" s="134"/>
      <c r="H20" s="134"/>
      <c r="I20" s="134"/>
      <c r="J20" s="134"/>
      <c r="K20" s="134"/>
      <c r="L20" s="134"/>
      <c r="M20" s="134"/>
      <c r="N20" s="134"/>
      <c r="O20" s="134"/>
      <c r="P20" s="134"/>
      <c r="Q20" s="134"/>
      <c r="R20" s="134"/>
      <c r="S20" s="134"/>
      <c r="T20" s="134"/>
      <c r="U20" s="134"/>
      <c r="V20" s="134"/>
      <c r="W20" s="134"/>
      <c r="X20" s="134"/>
      <c r="Y20" s="134"/>
      <c r="Z20" s="134"/>
      <c r="AA20" s="134"/>
      <c r="AB20" s="134"/>
      <c r="AC20" s="134"/>
    </row>
    <row r="21" spans="1:30" s="15" customFormat="1" ht="21.95" customHeight="1" x14ac:dyDescent="0.15">
      <c r="A21" s="2552"/>
      <c r="B21" s="2523"/>
      <c r="C21" s="187" t="s">
        <v>112</v>
      </c>
      <c r="D21" s="335">
        <f t="shared" ref="D21" si="21">IF(D20=0,0,D3)</f>
        <v>0</v>
      </c>
      <c r="E21" s="335">
        <f t="shared" ref="E21:H21" si="22">IF(E20=0,0,E3)</f>
        <v>0</v>
      </c>
      <c r="F21" s="335">
        <f t="shared" si="22"/>
        <v>0</v>
      </c>
      <c r="G21" s="335">
        <f t="shared" si="22"/>
        <v>0</v>
      </c>
      <c r="H21" s="335">
        <f t="shared" si="22"/>
        <v>0</v>
      </c>
      <c r="I21" s="335">
        <f t="shared" ref="I21" si="23">IF(I20=0,0,I3)</f>
        <v>0</v>
      </c>
      <c r="J21" s="335"/>
      <c r="K21" s="335"/>
      <c r="L21" s="335"/>
      <c r="M21" s="335"/>
      <c r="N21" s="335"/>
      <c r="O21" s="335">
        <f>IF(O20=0,0,O3)</f>
        <v>0</v>
      </c>
      <c r="P21" s="335">
        <f t="shared" ref="P21:Z21" si="24">IF(P20=0,0,P3)</f>
        <v>0</v>
      </c>
      <c r="Q21" s="335">
        <f t="shared" si="24"/>
        <v>0</v>
      </c>
      <c r="R21" s="335">
        <f t="shared" si="24"/>
        <v>0</v>
      </c>
      <c r="S21" s="335">
        <f t="shared" si="24"/>
        <v>0</v>
      </c>
      <c r="T21" s="335">
        <f t="shared" si="24"/>
        <v>0</v>
      </c>
      <c r="U21" s="335">
        <f t="shared" si="24"/>
        <v>0</v>
      </c>
      <c r="V21" s="335">
        <f t="shared" si="24"/>
        <v>0</v>
      </c>
      <c r="W21" s="335">
        <f t="shared" si="24"/>
        <v>0</v>
      </c>
      <c r="X21" s="335">
        <f t="shared" si="24"/>
        <v>0</v>
      </c>
      <c r="Y21" s="335">
        <f t="shared" si="24"/>
        <v>0</v>
      </c>
      <c r="Z21" s="335">
        <f t="shared" si="24"/>
        <v>0</v>
      </c>
      <c r="AA21" s="134"/>
      <c r="AB21" s="134"/>
      <c r="AC21" s="134"/>
      <c r="AD21" s="917"/>
    </row>
    <row r="22" spans="1:30" ht="21.95" customHeight="1" x14ac:dyDescent="0.15">
      <c r="A22" s="2552"/>
      <c r="B22" s="2523"/>
      <c r="C22" s="187" t="s">
        <v>109</v>
      </c>
      <c r="D22" s="134"/>
      <c r="E22" s="134"/>
      <c r="F22" s="134"/>
      <c r="G22" s="134"/>
      <c r="H22" s="134"/>
      <c r="I22" s="134"/>
      <c r="J22" s="134"/>
      <c r="K22" s="134"/>
      <c r="L22" s="134"/>
      <c r="M22" s="134"/>
      <c r="N22" s="134"/>
      <c r="O22" s="134"/>
      <c r="P22" s="134"/>
      <c r="Q22" s="134"/>
      <c r="R22" s="134"/>
      <c r="S22" s="134"/>
      <c r="T22" s="134"/>
      <c r="U22" s="134"/>
      <c r="V22" s="134"/>
      <c r="W22" s="134"/>
      <c r="X22" s="134"/>
      <c r="Y22" s="134"/>
      <c r="Z22" s="134"/>
      <c r="AA22" s="134"/>
      <c r="AB22" s="134"/>
      <c r="AC22" s="134"/>
    </row>
    <row r="23" spans="1:30" s="15" customFormat="1" ht="21.95" customHeight="1" x14ac:dyDescent="0.15">
      <c r="A23" s="2552"/>
      <c r="B23" s="2549"/>
      <c r="C23" s="187" t="s">
        <v>113</v>
      </c>
      <c r="D23" s="335">
        <f t="shared" ref="D23" si="25">IF(D22=0,0,D3)</f>
        <v>0</v>
      </c>
      <c r="E23" s="335">
        <f t="shared" ref="E23:H23" si="26">IF(E22=0,0,E3)</f>
        <v>0</v>
      </c>
      <c r="F23" s="335">
        <f t="shared" si="26"/>
        <v>0</v>
      </c>
      <c r="G23" s="335">
        <f t="shared" si="26"/>
        <v>0</v>
      </c>
      <c r="H23" s="335">
        <f t="shared" si="26"/>
        <v>0</v>
      </c>
      <c r="I23" s="335">
        <f t="shared" ref="I23" si="27">IF(I22=0,0,I3)</f>
        <v>0</v>
      </c>
      <c r="J23" s="335"/>
      <c r="K23" s="335"/>
      <c r="L23" s="335"/>
      <c r="M23" s="335"/>
      <c r="N23" s="335"/>
      <c r="O23" s="335">
        <f>IF(O22=0,0,O3)</f>
        <v>0</v>
      </c>
      <c r="P23" s="335">
        <f t="shared" ref="P23:Z23" si="28">IF(P22=0,0,P3)</f>
        <v>0</v>
      </c>
      <c r="Q23" s="335">
        <f t="shared" si="28"/>
        <v>0</v>
      </c>
      <c r="R23" s="335">
        <f t="shared" si="28"/>
        <v>0</v>
      </c>
      <c r="S23" s="335">
        <f t="shared" si="28"/>
        <v>0</v>
      </c>
      <c r="T23" s="335">
        <f t="shared" si="28"/>
        <v>0</v>
      </c>
      <c r="U23" s="335">
        <f t="shared" si="28"/>
        <v>0</v>
      </c>
      <c r="V23" s="335">
        <f t="shared" si="28"/>
        <v>0</v>
      </c>
      <c r="W23" s="335">
        <f t="shared" si="28"/>
        <v>0</v>
      </c>
      <c r="X23" s="335">
        <f t="shared" si="28"/>
        <v>0</v>
      </c>
      <c r="Y23" s="335">
        <f t="shared" si="28"/>
        <v>0</v>
      </c>
      <c r="Z23" s="335">
        <f t="shared" si="28"/>
        <v>0</v>
      </c>
      <c r="AA23" s="19"/>
      <c r="AB23" s="19"/>
      <c r="AC23" s="19"/>
      <c r="AD23" s="917"/>
    </row>
    <row r="24" spans="1:30" s="15" customFormat="1" ht="21.95" customHeight="1" x14ac:dyDescent="0.15">
      <c r="A24" s="2552"/>
      <c r="B24" s="2548" t="s">
        <v>304</v>
      </c>
      <c r="C24" s="187" t="s">
        <v>13</v>
      </c>
      <c r="D24" s="336"/>
      <c r="E24" s="336"/>
      <c r="F24" s="336"/>
      <c r="G24" s="336"/>
      <c r="H24" s="336"/>
      <c r="I24" s="336"/>
      <c r="J24" s="336"/>
      <c r="K24" s="336"/>
      <c r="L24" s="336"/>
      <c r="M24" s="336"/>
      <c r="N24" s="336"/>
      <c r="O24" s="334"/>
      <c r="P24" s="334"/>
      <c r="Q24" s="334"/>
      <c r="R24" s="334"/>
      <c r="S24" s="334"/>
      <c r="T24" s="334"/>
      <c r="U24" s="334"/>
      <c r="V24" s="334"/>
      <c r="W24" s="334"/>
      <c r="X24" s="334"/>
      <c r="Y24" s="334"/>
      <c r="Z24" s="334"/>
      <c r="AA24" s="334"/>
      <c r="AB24" s="334"/>
      <c r="AC24" s="334"/>
      <c r="AD24" s="917"/>
    </row>
    <row r="25" spans="1:30" s="15" customFormat="1" ht="21.95" customHeight="1" x14ac:dyDescent="0.15">
      <c r="A25" s="2552"/>
      <c r="B25" s="2549"/>
      <c r="C25" s="187" t="s">
        <v>477</v>
      </c>
      <c r="D25" s="157"/>
      <c r="E25" s="157"/>
      <c r="F25" s="157"/>
      <c r="G25" s="157"/>
      <c r="H25" s="157"/>
      <c r="I25" s="157"/>
      <c r="J25" s="157"/>
      <c r="K25" s="157"/>
      <c r="L25" s="157"/>
      <c r="M25" s="157"/>
      <c r="N25" s="157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917"/>
    </row>
    <row r="26" spans="1:30" ht="21.95" customHeight="1" x14ac:dyDescent="0.15">
      <c r="A26" s="2552"/>
      <c r="B26" s="2548" t="s">
        <v>14</v>
      </c>
      <c r="C26" s="421" t="s">
        <v>156</v>
      </c>
      <c r="D26" s="227"/>
      <c r="E26" s="227"/>
      <c r="F26" s="227"/>
      <c r="G26" s="227"/>
      <c r="H26" s="227"/>
      <c r="I26" s="227"/>
      <c r="J26" s="227"/>
      <c r="K26" s="227"/>
      <c r="L26" s="227"/>
      <c r="M26" s="227">
        <v>4</v>
      </c>
      <c r="N26" s="227"/>
      <c r="O26" s="334"/>
      <c r="P26" s="334"/>
      <c r="Q26" s="334"/>
      <c r="R26" s="334"/>
      <c r="S26" s="334"/>
      <c r="T26" s="334"/>
      <c r="U26" s="334"/>
      <c r="V26" s="334"/>
      <c r="W26" s="334"/>
      <c r="X26" s="334"/>
      <c r="Y26" s="334"/>
      <c r="Z26" s="334"/>
      <c r="AA26" s="334"/>
      <c r="AB26" s="334"/>
      <c r="AC26" s="334"/>
    </row>
    <row r="27" spans="1:30" ht="21.95" customHeight="1" x14ac:dyDescent="0.15">
      <c r="A27" s="2552"/>
      <c r="B27" s="2523"/>
      <c r="C27" s="421" t="s">
        <v>157</v>
      </c>
      <c r="D27" s="134"/>
      <c r="E27" s="134"/>
      <c r="F27" s="134"/>
      <c r="G27" s="134"/>
      <c r="H27" s="134"/>
      <c r="I27" s="134"/>
      <c r="J27" s="134"/>
      <c r="K27" s="134"/>
      <c r="L27" s="134"/>
      <c r="M27" s="134"/>
      <c r="N27" s="134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</row>
    <row r="28" spans="1:30" ht="21.95" customHeight="1" x14ac:dyDescent="0.15">
      <c r="A28" s="2552"/>
      <c r="B28" s="2523"/>
      <c r="C28" s="187" t="s">
        <v>63</v>
      </c>
      <c r="D28" s="134"/>
      <c r="E28" s="134"/>
      <c r="F28" s="134"/>
      <c r="G28" s="134"/>
      <c r="H28" s="134"/>
      <c r="I28" s="134"/>
      <c r="J28" s="134"/>
      <c r="K28" s="134"/>
      <c r="L28" s="134"/>
      <c r="M28" s="134"/>
      <c r="N28" s="134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</row>
    <row r="29" spans="1:30" ht="21.95" customHeight="1" x14ac:dyDescent="0.15">
      <c r="A29" s="2552"/>
      <c r="B29" s="2523"/>
      <c r="C29" s="187" t="s">
        <v>633</v>
      </c>
      <c r="D29" s="134"/>
      <c r="E29" s="134"/>
      <c r="F29" s="134"/>
      <c r="G29" s="134"/>
      <c r="H29" s="134"/>
      <c r="I29" s="134"/>
      <c r="J29" s="134"/>
      <c r="K29" s="134"/>
      <c r="L29" s="134"/>
      <c r="M29" s="134">
        <v>3</v>
      </c>
      <c r="N29" s="134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</row>
    <row r="30" spans="1:30" ht="21.95" customHeight="1" x14ac:dyDescent="0.15">
      <c r="A30" s="2552"/>
      <c r="B30" s="2523"/>
      <c r="C30" s="187" t="s">
        <v>683</v>
      </c>
      <c r="D30" s="134"/>
      <c r="E30" s="134"/>
      <c r="F30" s="134"/>
      <c r="G30" s="134"/>
      <c r="H30" s="134"/>
      <c r="I30" s="134"/>
      <c r="J30" s="134"/>
      <c r="K30" s="134"/>
      <c r="L30" s="134"/>
      <c r="M30" s="134"/>
      <c r="N30" s="134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</row>
    <row r="31" spans="1:30" ht="21.95" customHeight="1" x14ac:dyDescent="0.15">
      <c r="A31" s="2552"/>
      <c r="B31" s="2523"/>
      <c r="C31" s="187" t="s">
        <v>476</v>
      </c>
      <c r="D31" s="134"/>
      <c r="E31" s="134"/>
      <c r="F31" s="134"/>
      <c r="G31" s="134"/>
      <c r="H31" s="134"/>
      <c r="I31" s="134"/>
      <c r="J31" s="134"/>
      <c r="K31" s="134"/>
      <c r="L31" s="134"/>
      <c r="M31" s="134">
        <v>15</v>
      </c>
      <c r="N31" s="134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</row>
    <row r="32" spans="1:30" s="505" customFormat="1" ht="21.95" customHeight="1" x14ac:dyDescent="0.15">
      <c r="A32" s="2552"/>
      <c r="B32" s="2523"/>
      <c r="C32" s="187" t="s">
        <v>328</v>
      </c>
      <c r="D32" s="157"/>
      <c r="E32" s="157"/>
      <c r="F32" s="157"/>
      <c r="G32" s="157"/>
      <c r="H32" s="157"/>
      <c r="I32" s="157"/>
      <c r="J32" s="157"/>
      <c r="K32" s="157"/>
      <c r="L32" s="157"/>
      <c r="M32" s="157"/>
      <c r="N32" s="157"/>
      <c r="O32" s="504"/>
      <c r="P32" s="504"/>
      <c r="Q32" s="504"/>
      <c r="R32" s="504"/>
      <c r="S32" s="504"/>
      <c r="T32" s="504"/>
      <c r="U32" s="504"/>
      <c r="V32" s="504"/>
      <c r="W32" s="504"/>
      <c r="X32" s="504"/>
      <c r="Y32" s="504"/>
      <c r="Z32" s="504"/>
      <c r="AA32" s="504"/>
      <c r="AB32" s="504"/>
      <c r="AC32" s="504"/>
      <c r="AD32" s="920"/>
    </row>
    <row r="33" spans="1:30" s="505" customFormat="1" ht="21.95" customHeight="1" x14ac:dyDescent="0.15">
      <c r="A33" s="2552"/>
      <c r="B33" s="2523"/>
      <c r="C33" s="421" t="s">
        <v>1299</v>
      </c>
      <c r="D33" s="157"/>
      <c r="E33" s="157"/>
      <c r="F33" s="157"/>
      <c r="G33" s="157"/>
      <c r="H33" s="157"/>
      <c r="I33" s="157"/>
      <c r="J33" s="157"/>
      <c r="K33" s="157"/>
      <c r="L33" s="157"/>
      <c r="M33" s="157"/>
      <c r="N33" s="157"/>
      <c r="O33" s="504"/>
      <c r="P33" s="504"/>
      <c r="Q33" s="504"/>
      <c r="R33" s="504"/>
      <c r="S33" s="504"/>
      <c r="T33" s="504"/>
      <c r="U33" s="504"/>
      <c r="V33" s="504"/>
      <c r="W33" s="504"/>
      <c r="X33" s="504"/>
      <c r="Y33" s="504"/>
      <c r="Z33" s="504"/>
      <c r="AA33" s="504"/>
      <c r="AB33" s="504"/>
      <c r="AC33" s="504"/>
      <c r="AD33" s="920"/>
    </row>
    <row r="34" spans="1:30" s="505" customFormat="1" ht="21.95" customHeight="1" x14ac:dyDescent="0.15">
      <c r="A34" s="2552"/>
      <c r="B34" s="2523"/>
      <c r="C34" s="187" t="s">
        <v>329</v>
      </c>
      <c r="D34" s="157"/>
      <c r="E34" s="157"/>
      <c r="F34" s="157"/>
      <c r="G34" s="157"/>
      <c r="H34" s="157"/>
      <c r="I34" s="157"/>
      <c r="J34" s="157"/>
      <c r="K34" s="157"/>
      <c r="L34" s="157"/>
      <c r="M34" s="157"/>
      <c r="N34" s="157"/>
      <c r="O34" s="504"/>
      <c r="P34" s="504"/>
      <c r="Q34" s="504"/>
      <c r="R34" s="504"/>
      <c r="S34" s="504"/>
      <c r="T34" s="504"/>
      <c r="U34" s="504"/>
      <c r="V34" s="504"/>
      <c r="W34" s="504"/>
      <c r="X34" s="504"/>
      <c r="Y34" s="504"/>
      <c r="Z34" s="504"/>
      <c r="AA34" s="504"/>
      <c r="AB34" s="504"/>
      <c r="AC34" s="504"/>
      <c r="AD34" s="920"/>
    </row>
    <row r="35" spans="1:30" s="505" customFormat="1" ht="21.95" customHeight="1" x14ac:dyDescent="0.15">
      <c r="A35" s="2552"/>
      <c r="B35" s="2523"/>
      <c r="C35" s="421" t="s">
        <v>1298</v>
      </c>
      <c r="D35" s="157"/>
      <c r="E35" s="157"/>
      <c r="F35" s="157"/>
      <c r="G35" s="157"/>
      <c r="H35" s="157"/>
      <c r="I35" s="157"/>
      <c r="J35" s="157"/>
      <c r="K35" s="157"/>
      <c r="L35" s="157"/>
      <c r="M35" s="157">
        <v>1</v>
      </c>
      <c r="N35" s="157"/>
      <c r="O35" s="504"/>
      <c r="P35" s="504"/>
      <c r="Q35" s="504"/>
      <c r="R35" s="504"/>
      <c r="S35" s="504"/>
      <c r="T35" s="504"/>
      <c r="U35" s="504"/>
      <c r="V35" s="504"/>
      <c r="W35" s="504"/>
      <c r="X35" s="504"/>
      <c r="Y35" s="504"/>
      <c r="Z35" s="504"/>
      <c r="AA35" s="504"/>
      <c r="AB35" s="504"/>
      <c r="AC35" s="504"/>
      <c r="AD35" s="920"/>
    </row>
    <row r="36" spans="1:30" s="505" customFormat="1" ht="21.95" customHeight="1" x14ac:dyDescent="0.15">
      <c r="A36" s="2552"/>
      <c r="B36" s="2549"/>
      <c r="C36" s="187" t="s">
        <v>1055</v>
      </c>
      <c r="D36" s="337"/>
      <c r="E36" s="337"/>
      <c r="F36" s="337"/>
      <c r="G36" s="337"/>
      <c r="H36" s="337"/>
      <c r="I36" s="337"/>
      <c r="J36" s="337"/>
      <c r="K36" s="337"/>
      <c r="L36" s="337"/>
      <c r="M36" s="337"/>
      <c r="N36" s="337"/>
      <c r="O36" s="506"/>
      <c r="P36" s="506"/>
      <c r="Q36" s="506"/>
      <c r="R36" s="506"/>
      <c r="S36" s="506"/>
      <c r="T36" s="506"/>
      <c r="U36" s="506"/>
      <c r="V36" s="506"/>
      <c r="W36" s="506"/>
      <c r="X36" s="506"/>
      <c r="Y36" s="506"/>
      <c r="Z36" s="506"/>
      <c r="AA36" s="506"/>
      <c r="AB36" s="506"/>
      <c r="AC36" s="506"/>
      <c r="AD36" s="920"/>
    </row>
    <row r="37" spans="1:30" ht="21.95" customHeight="1" x14ac:dyDescent="0.15">
      <c r="A37" s="2552"/>
      <c r="B37" s="2539" t="s">
        <v>890</v>
      </c>
      <c r="C37" s="421">
        <v>0.4</v>
      </c>
      <c r="D37" s="134"/>
      <c r="E37" s="134">
        <v>7</v>
      </c>
      <c r="F37" s="134">
        <v>29</v>
      </c>
      <c r="G37" s="134">
        <v>3</v>
      </c>
      <c r="H37" s="134">
        <v>3</v>
      </c>
      <c r="I37" s="134">
        <v>3</v>
      </c>
      <c r="J37" s="134">
        <v>52</v>
      </c>
      <c r="K37" s="134">
        <v>8</v>
      </c>
      <c r="L37" s="134">
        <v>97</v>
      </c>
      <c r="M37" s="134">
        <v>14</v>
      </c>
      <c r="N37" s="134"/>
      <c r="O37" s="334"/>
      <c r="P37" s="334"/>
      <c r="Q37" s="334"/>
      <c r="R37" s="334"/>
      <c r="S37" s="334"/>
      <c r="T37" s="334"/>
      <c r="U37" s="334"/>
      <c r="V37" s="334"/>
      <c r="W37" s="334"/>
      <c r="X37" s="334"/>
      <c r="Y37" s="334"/>
      <c r="Z37" s="334"/>
      <c r="AA37" s="334"/>
      <c r="AB37" s="334"/>
      <c r="AC37" s="334"/>
    </row>
    <row r="38" spans="1:30" ht="21.95" customHeight="1" x14ac:dyDescent="0.15">
      <c r="A38" s="2552"/>
      <c r="B38" s="2539"/>
      <c r="C38" s="421">
        <v>0.6</v>
      </c>
      <c r="D38" s="19">
        <v>25</v>
      </c>
      <c r="E38" s="19"/>
      <c r="F38" s="19">
        <v>4</v>
      </c>
      <c r="G38" s="19"/>
      <c r="H38" s="19"/>
      <c r="I38" s="19"/>
      <c r="J38" s="19">
        <v>10</v>
      </c>
      <c r="K38" s="19">
        <v>7</v>
      </c>
      <c r="L38" s="19">
        <v>11</v>
      </c>
      <c r="M38" s="19"/>
      <c r="N38" s="19"/>
      <c r="O38" s="190"/>
      <c r="P38" s="190"/>
      <c r="Q38" s="190"/>
      <c r="R38" s="190"/>
      <c r="S38" s="190"/>
      <c r="T38" s="190"/>
      <c r="U38" s="190"/>
      <c r="V38" s="190"/>
      <c r="W38" s="190"/>
      <c r="X38" s="190"/>
      <c r="Y38" s="190"/>
      <c r="Z38" s="190"/>
      <c r="AA38" s="190"/>
      <c r="AB38" s="190"/>
      <c r="AC38" s="190"/>
    </row>
    <row r="39" spans="1:30" ht="21.95" customHeight="1" x14ac:dyDescent="0.15">
      <c r="A39" s="2552"/>
      <c r="B39" s="2539" t="s">
        <v>891</v>
      </c>
      <c r="C39" s="421">
        <v>0.4</v>
      </c>
      <c r="D39" s="134"/>
      <c r="E39" s="134"/>
      <c r="F39" s="134"/>
      <c r="G39" s="134"/>
      <c r="H39" s="134"/>
      <c r="I39" s="134"/>
      <c r="J39" s="134"/>
      <c r="K39" s="134"/>
      <c r="L39" s="134"/>
      <c r="M39" s="134"/>
      <c r="N39" s="134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</row>
    <row r="40" spans="1:30" ht="21.95" customHeight="1" x14ac:dyDescent="0.15">
      <c r="A40" s="2552"/>
      <c r="B40" s="2539"/>
      <c r="C40" s="421">
        <v>0.5</v>
      </c>
      <c r="D40" s="134"/>
      <c r="E40" s="134"/>
      <c r="F40" s="134"/>
      <c r="G40" s="134"/>
      <c r="H40" s="134"/>
      <c r="I40" s="134"/>
      <c r="J40" s="134"/>
      <c r="K40" s="134"/>
      <c r="L40" s="134"/>
      <c r="M40" s="134"/>
      <c r="N40" s="134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</row>
    <row r="41" spans="1:30" s="14" customFormat="1" ht="21.95" customHeight="1" x14ac:dyDescent="0.15">
      <c r="A41" s="2552"/>
      <c r="B41" s="2545" t="s">
        <v>498</v>
      </c>
      <c r="C41" s="418" t="s">
        <v>17</v>
      </c>
      <c r="D41" s="338">
        <v>1</v>
      </c>
      <c r="E41" s="338">
        <v>1</v>
      </c>
      <c r="F41" s="338">
        <v>1</v>
      </c>
      <c r="G41" s="338">
        <v>1</v>
      </c>
      <c r="H41" s="338">
        <v>1</v>
      </c>
      <c r="I41" s="338">
        <v>1</v>
      </c>
      <c r="J41" s="338">
        <v>2</v>
      </c>
      <c r="K41" s="338">
        <v>1</v>
      </c>
      <c r="L41" s="338">
        <v>1</v>
      </c>
      <c r="M41" s="338"/>
      <c r="N41" s="338"/>
      <c r="O41" s="334"/>
      <c r="P41" s="334"/>
      <c r="Q41" s="334"/>
      <c r="R41" s="334"/>
      <c r="S41" s="334"/>
      <c r="T41" s="334"/>
      <c r="U41" s="334"/>
      <c r="V41" s="334"/>
      <c r="W41" s="334"/>
      <c r="X41" s="334"/>
      <c r="Y41" s="334"/>
      <c r="Z41" s="334"/>
      <c r="AA41" s="334"/>
      <c r="AB41" s="334"/>
      <c r="AC41" s="334"/>
      <c r="AD41" s="918"/>
    </row>
    <row r="42" spans="1:30" s="14" customFormat="1" ht="21.95" customHeight="1" x14ac:dyDescent="0.15">
      <c r="A42" s="2552"/>
      <c r="B42" s="2545"/>
      <c r="C42" s="418" t="s">
        <v>18</v>
      </c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918"/>
    </row>
    <row r="43" spans="1:30" s="14" customFormat="1" ht="21.95" customHeight="1" x14ac:dyDescent="0.15">
      <c r="A43" s="2552"/>
      <c r="B43" s="2545"/>
      <c r="C43" s="418" t="s">
        <v>19</v>
      </c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918"/>
    </row>
    <row r="44" spans="1:30" s="14" customFormat="1" ht="21.95" customHeight="1" x14ac:dyDescent="0.15">
      <c r="A44" s="2552"/>
      <c r="B44" s="2545"/>
      <c r="C44" s="418" t="s">
        <v>20</v>
      </c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918"/>
    </row>
    <row r="45" spans="1:30" s="14" customFormat="1" ht="21.95" customHeight="1" x14ac:dyDescent="0.15">
      <c r="A45" s="2552"/>
      <c r="B45" s="2545"/>
      <c r="C45" s="418" t="s">
        <v>21</v>
      </c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918"/>
    </row>
    <row r="46" spans="1:30" s="14" customFormat="1" ht="21.95" customHeight="1" x14ac:dyDescent="0.15">
      <c r="A46" s="2552"/>
      <c r="B46" s="2545"/>
      <c r="C46" s="418" t="s">
        <v>22</v>
      </c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918"/>
    </row>
    <row r="47" spans="1:30" s="14" customFormat="1" ht="21.95" customHeight="1" x14ac:dyDescent="0.15">
      <c r="A47" s="2552"/>
      <c r="B47" s="2541"/>
      <c r="C47" s="967" t="s">
        <v>467</v>
      </c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1"/>
      <c r="P47" s="190"/>
      <c r="Q47" s="190"/>
      <c r="R47" s="190"/>
      <c r="S47" s="190"/>
      <c r="T47" s="190"/>
      <c r="U47" s="190"/>
      <c r="V47" s="190"/>
      <c r="W47" s="190"/>
      <c r="X47" s="190"/>
      <c r="Y47" s="190"/>
      <c r="Z47" s="190"/>
      <c r="AA47" s="190"/>
      <c r="AB47" s="190"/>
      <c r="AC47" s="190"/>
      <c r="AD47" s="918"/>
    </row>
    <row r="48" spans="1:30" s="14" customFormat="1" ht="32.1" hidden="1" customHeight="1" x14ac:dyDescent="0.15">
      <c r="A48" s="2552"/>
      <c r="B48" s="2545" t="s">
        <v>2678</v>
      </c>
      <c r="C48" s="2561"/>
      <c r="D48" s="338"/>
      <c r="E48" s="338"/>
      <c r="F48" s="338"/>
      <c r="G48" s="338"/>
      <c r="H48" s="338"/>
      <c r="I48" s="338"/>
      <c r="J48" s="338"/>
      <c r="K48" s="338"/>
      <c r="L48" s="338"/>
      <c r="M48" s="338"/>
      <c r="N48" s="338"/>
      <c r="O48" s="334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918"/>
    </row>
    <row r="49" spans="1:30" s="14" customFormat="1" ht="32.1" hidden="1" customHeight="1" x14ac:dyDescent="0.15">
      <c r="A49" s="2552"/>
      <c r="B49" s="2545" t="s">
        <v>2679</v>
      </c>
      <c r="C49" s="2561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918"/>
    </row>
    <row r="50" spans="1:30" s="14" customFormat="1" ht="32.1" hidden="1" customHeight="1" x14ac:dyDescent="0.15">
      <c r="A50" s="2552"/>
      <c r="B50" s="2545" t="s">
        <v>2682</v>
      </c>
      <c r="C50" s="2561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918"/>
    </row>
    <row r="51" spans="1:30" s="14" customFormat="1" ht="32.1" hidden="1" customHeight="1" x14ac:dyDescent="0.15">
      <c r="A51" s="2552"/>
      <c r="B51" s="2545" t="s">
        <v>2680</v>
      </c>
      <c r="C51" s="2561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918"/>
    </row>
    <row r="52" spans="1:30" s="14" customFormat="1" ht="32.1" hidden="1" customHeight="1" x14ac:dyDescent="0.15">
      <c r="A52" s="2552"/>
      <c r="B52" s="2545" t="s">
        <v>2681</v>
      </c>
      <c r="C52" s="2561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918"/>
    </row>
    <row r="53" spans="1:30" s="14" customFormat="1" ht="21.95" hidden="1" customHeight="1" x14ac:dyDescent="0.15">
      <c r="A53" s="2552"/>
      <c r="B53" s="2545" t="s">
        <v>2683</v>
      </c>
      <c r="C53" s="2561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918"/>
    </row>
    <row r="54" spans="1:30" s="14" customFormat="1" ht="21.95" hidden="1" customHeight="1" x14ac:dyDescent="0.15">
      <c r="A54" s="2552"/>
      <c r="B54" s="2541" t="s">
        <v>500</v>
      </c>
      <c r="C54" s="418" t="s">
        <v>461</v>
      </c>
      <c r="D54" s="338"/>
      <c r="E54" s="338"/>
      <c r="F54" s="338"/>
      <c r="G54" s="338"/>
      <c r="H54" s="338"/>
      <c r="I54" s="338"/>
      <c r="J54" s="338"/>
      <c r="K54" s="338"/>
      <c r="L54" s="338"/>
      <c r="M54" s="338"/>
      <c r="N54" s="338"/>
      <c r="O54" s="334"/>
      <c r="P54" s="334"/>
      <c r="Q54" s="334"/>
      <c r="R54" s="334"/>
      <c r="S54" s="334"/>
      <c r="T54" s="334"/>
      <c r="U54" s="334"/>
      <c r="V54" s="334"/>
      <c r="W54" s="334"/>
      <c r="X54" s="334"/>
      <c r="Y54" s="334"/>
      <c r="Z54" s="334"/>
      <c r="AA54" s="334"/>
      <c r="AB54" s="334"/>
      <c r="AC54" s="334"/>
      <c r="AD54" s="918"/>
    </row>
    <row r="55" spans="1:30" s="14" customFormat="1" ht="21.95" hidden="1" customHeight="1" x14ac:dyDescent="0.15">
      <c r="A55" s="2552"/>
      <c r="B55" s="2542"/>
      <c r="C55" s="418" t="s">
        <v>462</v>
      </c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918"/>
    </row>
    <row r="56" spans="1:30" s="14" customFormat="1" ht="21.95" hidden="1" customHeight="1" x14ac:dyDescent="0.15">
      <c r="A56" s="2552"/>
      <c r="B56" s="2542"/>
      <c r="C56" s="418" t="s">
        <v>463</v>
      </c>
      <c r="D56" s="208"/>
      <c r="E56" s="208"/>
      <c r="F56" s="208"/>
      <c r="G56" s="208"/>
      <c r="H56" s="208"/>
      <c r="I56" s="208"/>
      <c r="J56" s="208"/>
      <c r="K56" s="208"/>
      <c r="L56" s="208"/>
      <c r="M56" s="208"/>
      <c r="N56" s="208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918"/>
    </row>
    <row r="57" spans="1:30" s="14" customFormat="1" ht="21.95" customHeight="1" x14ac:dyDescent="0.15">
      <c r="A57" s="2552"/>
      <c r="B57" s="2542"/>
      <c r="C57" s="418" t="s">
        <v>464</v>
      </c>
      <c r="D57" s="338"/>
      <c r="E57" s="338">
        <v>2</v>
      </c>
      <c r="F57" s="338">
        <v>3</v>
      </c>
      <c r="G57" s="338">
        <v>1</v>
      </c>
      <c r="H57" s="338">
        <v>1</v>
      </c>
      <c r="I57" s="338">
        <v>1</v>
      </c>
      <c r="J57" s="338"/>
      <c r="K57" s="338">
        <v>2</v>
      </c>
      <c r="L57" s="338">
        <v>4</v>
      </c>
      <c r="M57" s="338">
        <v>1</v>
      </c>
      <c r="N57" s="338"/>
      <c r="O57" s="334"/>
      <c r="P57" s="334"/>
      <c r="Q57" s="334"/>
      <c r="R57" s="334"/>
      <c r="S57" s="334"/>
      <c r="T57" s="334"/>
      <c r="U57" s="334"/>
      <c r="V57" s="334"/>
      <c r="W57" s="334"/>
      <c r="X57" s="334"/>
      <c r="Y57" s="334"/>
      <c r="Z57" s="334"/>
      <c r="AA57" s="334"/>
      <c r="AB57" s="334"/>
      <c r="AC57" s="334"/>
      <c r="AD57" s="918"/>
    </row>
    <row r="58" spans="1:30" s="14" customFormat="1" ht="21.95" customHeight="1" x14ac:dyDescent="0.15">
      <c r="A58" s="2552"/>
      <c r="B58" s="2542"/>
      <c r="C58" s="418" t="s">
        <v>465</v>
      </c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918"/>
    </row>
    <row r="59" spans="1:30" s="14" customFormat="1" ht="21.95" customHeight="1" x14ac:dyDescent="0.15">
      <c r="A59" s="2552"/>
      <c r="B59" s="2542"/>
      <c r="C59" s="418" t="s">
        <v>466</v>
      </c>
      <c r="D59" s="208">
        <v>1</v>
      </c>
      <c r="E59" s="208"/>
      <c r="F59" s="208">
        <v>1</v>
      </c>
      <c r="G59" s="208"/>
      <c r="H59" s="208"/>
      <c r="I59" s="208"/>
      <c r="J59" s="208">
        <v>6</v>
      </c>
      <c r="K59" s="208">
        <v>2</v>
      </c>
      <c r="L59" s="208">
        <v>5</v>
      </c>
      <c r="M59" s="208"/>
      <c r="N59" s="208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918"/>
    </row>
    <row r="60" spans="1:30" s="14" customFormat="1" ht="21.95" customHeight="1" x14ac:dyDescent="0.15">
      <c r="A60" s="2552"/>
      <c r="B60" s="2542"/>
      <c r="C60" s="418" t="s">
        <v>1119</v>
      </c>
      <c r="D60" s="338"/>
      <c r="E60" s="338"/>
      <c r="F60" s="338"/>
      <c r="G60" s="338"/>
      <c r="H60" s="338"/>
      <c r="I60" s="338"/>
      <c r="J60" s="338"/>
      <c r="K60" s="338"/>
      <c r="L60" s="338"/>
      <c r="M60" s="338"/>
      <c r="N60" s="338"/>
      <c r="O60" s="334"/>
      <c r="P60" s="334"/>
      <c r="Q60" s="334"/>
      <c r="R60" s="334"/>
      <c r="S60" s="334"/>
      <c r="T60" s="334"/>
      <c r="U60" s="334"/>
      <c r="V60" s="334"/>
      <c r="W60" s="334"/>
      <c r="X60" s="334"/>
      <c r="Y60" s="334"/>
      <c r="Z60" s="334"/>
      <c r="AA60" s="334"/>
      <c r="AB60" s="334"/>
      <c r="AC60" s="334"/>
    </row>
    <row r="61" spans="1:30" s="14" customFormat="1" ht="21.95" customHeight="1" x14ac:dyDescent="0.15">
      <c r="A61" s="2552"/>
      <c r="B61" s="2542"/>
      <c r="C61" s="418" t="s">
        <v>1120</v>
      </c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</row>
    <row r="62" spans="1:30" s="14" customFormat="1" ht="21.95" customHeight="1" x14ac:dyDescent="0.15">
      <c r="A62" s="2552"/>
      <c r="B62" s="2543"/>
      <c r="C62" s="418" t="s">
        <v>1121</v>
      </c>
      <c r="D62" s="208"/>
      <c r="E62" s="208"/>
      <c r="F62" s="208"/>
      <c r="G62" s="208"/>
      <c r="H62" s="208"/>
      <c r="I62" s="208"/>
      <c r="J62" s="208"/>
      <c r="K62" s="208"/>
      <c r="L62" s="208"/>
      <c r="M62" s="208"/>
      <c r="N62" s="208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</row>
    <row r="63" spans="1:30" s="14" customFormat="1" ht="21.95" customHeight="1" x14ac:dyDescent="0.15">
      <c r="A63" s="2552"/>
      <c r="B63" s="2562" t="s">
        <v>2221</v>
      </c>
      <c r="C63" s="2563"/>
      <c r="D63" s="158" cm="1">
        <f t="array" aca="1" ref="D63" ca="1">INDIRECT(REPLACE("'Dren_Dim'!be00",57,2,FIXED(D2,0)))</f>
        <v>518.51700000000005</v>
      </c>
      <c r="E63" s="158" cm="1">
        <f t="array" aca="1" ref="E63" ca="1">INDIRECT(REPLACE("'Dren_Dim'!be00",57,2,FIXED(E2,0)))</f>
        <v>516.09199999999998</v>
      </c>
      <c r="F63" s="158" cm="1">
        <f t="array" aca="1" ref="F63" ca="1">INDIRECT(REPLACE("'Dren_Dim'!be00",57,2,FIXED(F2,0)))</f>
        <v>513.79700000000003</v>
      </c>
      <c r="G63" s="158" cm="1">
        <f t="array" aca="1" ref="G63" ca="1">INDIRECT(REPLACE("'Dren_Dim'!be00",57,2,FIXED(G2,0)))</f>
        <v>514.61300000000006</v>
      </c>
      <c r="H63" s="158" cm="1">
        <f t="array" aca="1" ref="H63" ca="1">INDIRECT(REPLACE("'Dren_Dim'!be00",57,2,FIXED(H2,0)))</f>
        <v>515.80499999999995</v>
      </c>
      <c r="I63" s="158" cm="1">
        <f t="array" aca="1" ref="I63" ca="1">INDIRECT(REPLACE("'Dren_Dim'!be00",57,2,FIXED(I2,0)))</f>
        <v>515.55499999999995</v>
      </c>
      <c r="J63" s="158"/>
      <c r="K63" s="158"/>
      <c r="L63" s="158"/>
      <c r="M63" s="158"/>
      <c r="N63" s="158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918"/>
    </row>
    <row r="64" spans="1:30" s="14" customFormat="1" ht="21.95" customHeight="1" x14ac:dyDescent="0.15">
      <c r="A64" s="2552"/>
      <c r="B64" s="2562" t="s">
        <v>2222</v>
      </c>
      <c r="C64" s="2563"/>
      <c r="D64" s="158" cm="1">
        <f t="array" aca="1" ref="D64" ca="1">INDIRECT(REPLACE("'Dren_Dim'!bf00",58,2,FIXED(D2,0)))</f>
        <v>518.84199999999998</v>
      </c>
      <c r="E64" s="158" cm="1">
        <f t="array" aca="1" ref="E64" ca="1">INDIRECT(REPLACE("'Dren_Dim'!bf00",58,2,FIXED(E2,0)))</f>
        <v>516.21199999999999</v>
      </c>
      <c r="F64" s="158" cm="1">
        <f t="array" aca="1" ref="F64" ca="1">INDIRECT(REPLACE("'Dren_Dim'!bf00",58,2,FIXED(F2,0)))</f>
        <v>513.79700000000003</v>
      </c>
      <c r="G64" s="158" cm="1">
        <f t="array" aca="1" ref="G64" ca="1">INDIRECT(REPLACE("'Dren_Dim'!bf00",58,2,FIXED(G2,0)))</f>
        <v>514.61300000000006</v>
      </c>
      <c r="H64" s="158" cm="1">
        <f t="array" aca="1" ref="H64" ca="1">INDIRECT(REPLACE("'Dren_Dim'!bf00",58,2,FIXED(H2,0)))</f>
        <v>516.04700000000003</v>
      </c>
      <c r="I64" s="158" cm="1">
        <f t="array" aca="1" ref="I64" ca="1">INDIRECT(REPLACE("'Dren_Dim'!bf00",58,2,FIXED(I2,0)))</f>
        <v>515.55499999999995</v>
      </c>
      <c r="J64" s="158"/>
      <c r="K64" s="158"/>
      <c r="L64" s="158"/>
      <c r="M64" s="158"/>
      <c r="N64" s="158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918"/>
    </row>
    <row r="65" spans="1:30" s="14" customFormat="1" ht="21.95" customHeight="1" x14ac:dyDescent="0.15">
      <c r="A65" s="2552"/>
      <c r="B65" s="2562" t="s">
        <v>2223</v>
      </c>
      <c r="C65" s="2563"/>
      <c r="D65" s="158" cm="1">
        <f t="array" aca="1" ref="D65" ca="1">INDIRECT(REPLACE("'Dren_Dim'!bg00",59,2,FIXED(D2,0)))</f>
        <v>516.41700000000003</v>
      </c>
      <c r="E65" s="158" cm="1">
        <f t="array" aca="1" ref="E65" ca="1">INDIRECT(REPLACE("'Dren_Dim'!bg00",59,2,FIXED(E2,0)))</f>
        <v>514.00736000000006</v>
      </c>
      <c r="F65" s="158" cm="1">
        <f t="array" aca="1" ref="F65" ca="1">INDIRECT(REPLACE("'Dren_Dim'!bg00",59,2,FIXED(F2,0)))</f>
        <v>512.44699999999989</v>
      </c>
      <c r="G65" s="158" cm="1">
        <f t="array" aca="1" ref="G65" ca="1">INDIRECT(REPLACE("'Dren_Dim'!bg00",59,2,FIXED(G2,0)))</f>
        <v>512.2657099999999</v>
      </c>
      <c r="H65" s="158" cm="1">
        <f t="array" aca="1" ref="H65" ca="1">INDIRECT(REPLACE("'Dren_Dim'!bg00",59,2,FIXED(H2,0)))</f>
        <v>512.08441999999991</v>
      </c>
      <c r="I65" s="158" cm="1">
        <f t="array" aca="1" ref="I65" ca="1">INDIRECT(REPLACE("'Dren_Dim'!bg00",59,2,FIXED(I2,0)))</f>
        <v>511.90312999999992</v>
      </c>
      <c r="J65" s="158"/>
      <c r="K65" s="158"/>
      <c r="L65" s="158"/>
      <c r="M65" s="158"/>
      <c r="N65" s="158"/>
      <c r="O65" s="190"/>
      <c r="P65" s="190"/>
      <c r="Q65" s="190"/>
      <c r="R65" s="190"/>
      <c r="S65" s="190"/>
      <c r="T65" s="190"/>
      <c r="U65" s="190"/>
      <c r="V65" s="190"/>
      <c r="W65" s="190"/>
      <c r="X65" s="190"/>
      <c r="Y65" s="190"/>
      <c r="Z65" s="190"/>
      <c r="AA65" s="190"/>
      <c r="AB65" s="190"/>
      <c r="AC65" s="190"/>
      <c r="AD65" s="918"/>
    </row>
    <row r="66" spans="1:30" s="14" customFormat="1" ht="21.95" customHeight="1" x14ac:dyDescent="0.15">
      <c r="A66" s="2552"/>
      <c r="B66" s="2562" t="s">
        <v>2225</v>
      </c>
      <c r="C66" s="2563"/>
      <c r="D66" s="158" cm="1">
        <f t="array" aca="1" ref="D66" ca="1">INDIRECT(REPLACE("'Dren_Dim'!bi00",61,2,FIXED(D2,0)))</f>
        <v>514.73336000000006</v>
      </c>
      <c r="E66" s="158" cm="1">
        <f t="array" aca="1" ref="E66" ca="1">INDIRECT(REPLACE("'Dren_Dim'!bi00",61,2,FIXED(E2,0)))</f>
        <v>513.17299999999989</v>
      </c>
      <c r="F66" s="158" cm="1">
        <f t="array" aca="1" ref="F66" ca="1">INDIRECT(REPLACE("'Dren_Dim'!bi00",61,2,FIXED(F2,0)))</f>
        <v>512.9917099999999</v>
      </c>
      <c r="G66" s="158" cm="1">
        <f t="array" aca="1" ref="G66" ca="1">INDIRECT(REPLACE("'Dren_Dim'!bi00",61,2,FIXED(G2,0)))</f>
        <v>513.05241999999987</v>
      </c>
      <c r="H66" s="158" cm="1">
        <f t="array" aca="1" ref="H66" ca="1">INDIRECT(REPLACE("'Dren_Dim'!bi00",61,2,FIXED(H2,0)))</f>
        <v>512.87112999999988</v>
      </c>
      <c r="I66" s="158" cm="1">
        <f t="array" aca="1" ref="I66" ca="1">INDIRECT(REPLACE("'Dren_Dim'!bi00",61,2,FIXED(I2,0)))</f>
        <v>512.68980999999985</v>
      </c>
      <c r="J66" s="158"/>
      <c r="K66" s="158"/>
      <c r="L66" s="158"/>
      <c r="M66" s="158"/>
      <c r="N66" s="158"/>
      <c r="O66" s="190"/>
      <c r="P66" s="190"/>
      <c r="Q66" s="190"/>
      <c r="R66" s="190"/>
      <c r="S66" s="190"/>
      <c r="T66" s="190"/>
      <c r="U66" s="190"/>
      <c r="V66" s="190"/>
      <c r="W66" s="190"/>
      <c r="X66" s="190"/>
      <c r="Y66" s="190"/>
      <c r="Z66" s="190"/>
      <c r="AA66" s="190"/>
      <c r="AB66" s="190"/>
      <c r="AC66" s="190"/>
      <c r="AD66" s="918"/>
    </row>
    <row r="67" spans="1:30" s="14" customFormat="1" ht="21.95" customHeight="1" x14ac:dyDescent="0.15">
      <c r="A67" s="2552"/>
      <c r="B67" s="2562" t="s">
        <v>2226</v>
      </c>
      <c r="C67" s="2563"/>
      <c r="D67" s="158" cm="1">
        <f t="array" aca="1" ref="D67" ca="1">INDIRECT(REPLACE("'Dren_Dim'!bj00",62,2,FIXED(D2,0)))</f>
        <v>517.14300000000003</v>
      </c>
      <c r="E67" s="158" cm="1">
        <f t="array" aca="1" ref="E67" ca="1">INDIRECT(REPLACE("'Dren_Dim'!bj00",62,2,FIXED(E2,0)))</f>
        <v>514.73336000000006</v>
      </c>
      <c r="F67" s="158" cm="1">
        <f t="array" aca="1" ref="F67" ca="1">INDIRECT(REPLACE("'Dren_Dim'!bj00",62,2,FIXED(F2,0)))</f>
        <v>513.17299999999989</v>
      </c>
      <c r="G67" s="158" cm="1">
        <f t="array" aca="1" ref="G67" ca="1">INDIRECT(REPLACE("'Dren_Dim'!bj00",62,2,FIXED(G2,0)))</f>
        <v>513.23370999999986</v>
      </c>
      <c r="H67" s="158" cm="1">
        <f t="array" aca="1" ref="H67" ca="1">INDIRECT(REPLACE("'Dren_Dim'!bj00",62,2,FIXED(H2,0)))</f>
        <v>513.05241999999987</v>
      </c>
      <c r="I67" s="158" cm="1">
        <f t="array" aca="1" ref="I67" ca="1">INDIRECT(REPLACE("'Dren_Dim'!bj00",62,2,FIXED(I2,0)))</f>
        <v>512.87112999999988</v>
      </c>
      <c r="J67" s="158"/>
      <c r="K67" s="158"/>
      <c r="L67" s="158"/>
      <c r="M67" s="158"/>
      <c r="N67" s="158"/>
      <c r="O67" s="190"/>
      <c r="P67" s="190"/>
      <c r="Q67" s="190"/>
      <c r="R67" s="190"/>
      <c r="S67" s="190"/>
      <c r="T67" s="190"/>
      <c r="U67" s="190"/>
      <c r="V67" s="190"/>
      <c r="W67" s="190"/>
      <c r="X67" s="190"/>
      <c r="Y67" s="190"/>
      <c r="Z67" s="190"/>
      <c r="AA67" s="190"/>
      <c r="AB67" s="190"/>
      <c r="AC67" s="190"/>
      <c r="AD67" s="918"/>
    </row>
    <row r="68" spans="1:30" s="14" customFormat="1" ht="21.95" customHeight="1" x14ac:dyDescent="0.15">
      <c r="A68" s="2552"/>
      <c r="B68" s="2562" t="s">
        <v>2227</v>
      </c>
      <c r="C68" s="2563"/>
      <c r="D68" s="158" cm="1">
        <f t="array" aca="1" ref="D68" ca="1">INDIRECT(REPLACE("'Dren_Dim'!bk00",63,2,FIXED(D2,0)))</f>
        <v>0</v>
      </c>
      <c r="E68" s="158" cm="1">
        <f t="array" aca="1" ref="E68" ca="1">INDIRECT(REPLACE("'Dren_Dim'!bk00",63,2,FIXED(E2,0)))</f>
        <v>514.73336000000006</v>
      </c>
      <c r="F68" s="158" cm="1">
        <f t="array" aca="1" ref="F68" ca="1">INDIRECT(REPLACE("'Dren_Dim'!bk00",63,2,FIXED(F2,0)))</f>
        <v>513.17299999999989</v>
      </c>
      <c r="G68" s="158" cm="1">
        <f t="array" aca="1" ref="G68" ca="1">INDIRECT(REPLACE("'Dren_Dim'!bk00",63,2,FIXED(G2,0)))</f>
        <v>512.9917099999999</v>
      </c>
      <c r="H68" s="158" cm="1">
        <f t="array" aca="1" ref="H68" ca="1">INDIRECT(REPLACE("'Dren_Dim'!bk00",63,2,FIXED(H2,0)))</f>
        <v>513.05241999999987</v>
      </c>
      <c r="I68" s="158" cm="1">
        <f t="array" aca="1" ref="I68" ca="1">INDIRECT(REPLACE("'Dren_Dim'!bk00",63,2,FIXED(I2,0)))</f>
        <v>512.87112999999988</v>
      </c>
      <c r="J68" s="158"/>
      <c r="K68" s="158"/>
      <c r="L68" s="158"/>
      <c r="M68" s="158"/>
      <c r="N68" s="158"/>
      <c r="O68" s="190"/>
      <c r="P68" s="190"/>
      <c r="Q68" s="190"/>
      <c r="R68" s="190"/>
      <c r="S68" s="190"/>
      <c r="T68" s="190"/>
      <c r="U68" s="190"/>
      <c r="V68" s="190"/>
      <c r="W68" s="190"/>
      <c r="X68" s="190"/>
      <c r="Y68" s="190"/>
      <c r="Z68" s="190"/>
      <c r="AA68" s="190"/>
      <c r="AB68" s="190"/>
      <c r="AC68" s="190"/>
      <c r="AD68" s="918"/>
    </row>
    <row r="69" spans="1:30" s="14" customFormat="1" ht="21.95" customHeight="1" x14ac:dyDescent="0.15">
      <c r="A69" s="2552"/>
      <c r="B69" s="2562" t="s">
        <v>2228</v>
      </c>
      <c r="C69" s="2563"/>
      <c r="D69" s="158" cm="1">
        <f t="array" aca="1" ref="D69" ca="1">INDIRECT(REPLACE("'Dren_Dim'!bl00",64,2,FIXED(D2,0)))</f>
        <v>0</v>
      </c>
      <c r="E69" s="158" cm="1">
        <f t="array" aca="1" ref="E69" ca="1">INDIRECT(REPLACE("'Dren_Dim'!bl00",64,2,FIXED(E2,0)))</f>
        <v>0</v>
      </c>
      <c r="F69" s="158" cm="1">
        <f t="array" aca="1" ref="F69" ca="1">INDIRECT(REPLACE("'Dren_Dim'!bl00",64,2,FIXED(F2,0)))</f>
        <v>0</v>
      </c>
      <c r="G69" s="158" cm="1">
        <f t="array" aca="1" ref="G69" ca="1">INDIRECT(REPLACE("'Dren_Dim'!bl00",64,2,FIXED(G2,0)))</f>
        <v>0</v>
      </c>
      <c r="H69" s="158" cm="1">
        <f t="array" aca="1" ref="H69" ca="1">INDIRECT(REPLACE("'Dren_Dim'!bl00",64,2,FIXED(H2,0)))</f>
        <v>0</v>
      </c>
      <c r="I69" s="158" cm="1">
        <f t="array" aca="1" ref="I69" ca="1">INDIRECT(REPLACE("'Dren_Dim'!bl00",64,2,FIXED(I2,0)))</f>
        <v>0</v>
      </c>
      <c r="J69" s="158"/>
      <c r="K69" s="158"/>
      <c r="L69" s="158"/>
      <c r="M69" s="158"/>
      <c r="N69" s="158"/>
      <c r="O69" s="190"/>
      <c r="P69" s="190"/>
      <c r="Q69" s="190"/>
      <c r="R69" s="190"/>
      <c r="S69" s="190"/>
      <c r="T69" s="190"/>
      <c r="U69" s="190"/>
      <c r="V69" s="190"/>
      <c r="W69" s="190"/>
      <c r="X69" s="190"/>
      <c r="Y69" s="190"/>
      <c r="Z69" s="190"/>
      <c r="AA69" s="190"/>
      <c r="AB69" s="190"/>
      <c r="AC69" s="190"/>
      <c r="AD69" s="918"/>
    </row>
    <row r="70" spans="1:30" s="14" customFormat="1" ht="21.95" customHeight="1" x14ac:dyDescent="0.15">
      <c r="A70" s="2552"/>
      <c r="B70" s="2562" t="s">
        <v>2236</v>
      </c>
      <c r="C70" s="2563"/>
      <c r="D70" s="158" cm="1">
        <f t="array" aca="1" ref="D70" ca="1">INDIRECT(REPLACE("'Dren_Dim'!bP00",68,2,FIXED(D2,0)))</f>
        <v>1.5</v>
      </c>
      <c r="E70" s="158" cm="1">
        <f t="array" aca="1" ref="E70" ca="1">INDIRECT(REPLACE("'Dren_Dim'!bP00",68,2,FIXED(E2,0)))</f>
        <v>1.5</v>
      </c>
      <c r="F70" s="158" cm="1">
        <f t="array" aca="1" ref="F70" ca="1">INDIRECT(REPLACE("'Dren_Dim'!bP00",68,2,FIXED(F2,0)))</f>
        <v>1.5</v>
      </c>
      <c r="G70" s="158" cm="1">
        <f t="array" aca="1" ref="G70" ca="1">INDIRECT(REPLACE("'Dren_Dim'!bP00",68,2,FIXED(G2,0)))</f>
        <v>1.5</v>
      </c>
      <c r="H70" s="158" cm="1">
        <f t="array" aca="1" ref="H70" ca="1">INDIRECT(REPLACE("'Dren_Dim'!bP00",68,2,FIXED(H2,0)))</f>
        <v>1.5</v>
      </c>
      <c r="I70" s="158" cm="1">
        <f t="array" aca="1" ref="I70" ca="1">INDIRECT(REPLACE("'Dren_Dim'!bP00",68,2,FIXED(I2,0)))</f>
        <v>1.5</v>
      </c>
      <c r="J70" s="158"/>
      <c r="K70" s="158"/>
      <c r="L70" s="158"/>
      <c r="M70" s="158"/>
      <c r="N70" s="158"/>
      <c r="O70" s="190"/>
      <c r="P70" s="190"/>
      <c r="Q70" s="190"/>
      <c r="R70" s="190"/>
      <c r="S70" s="190"/>
      <c r="T70" s="190"/>
      <c r="U70" s="190"/>
      <c r="V70" s="190"/>
      <c r="W70" s="190"/>
      <c r="X70" s="190"/>
      <c r="Y70" s="190"/>
      <c r="Z70" s="190"/>
      <c r="AA70" s="190"/>
      <c r="AB70" s="190"/>
      <c r="AC70" s="190"/>
      <c r="AD70" s="918"/>
    </row>
    <row r="71" spans="1:30" s="14" customFormat="1" ht="21.95" customHeight="1" x14ac:dyDescent="0.15">
      <c r="A71" s="2552"/>
      <c r="B71" s="2540" t="s">
        <v>2623</v>
      </c>
      <c r="C71" s="2540" t="s">
        <v>17</v>
      </c>
      <c r="D71" s="968" cm="1">
        <f t="array" aca="1" ref="D71" ca="1">INDIRECT(REPLACE("'Dren_Dim'!bQ00",69,2,FIXED(D2,0)))</f>
        <v>0</v>
      </c>
      <c r="E71" s="968" cm="1">
        <f t="array" aca="1" ref="E71" ca="1">INDIRECT(REPLACE("'Dren_Dim'!bQ00",69,2,FIXED(E2,0)))</f>
        <v>0</v>
      </c>
      <c r="F71" s="968" cm="1">
        <f t="array" aca="1" ref="F71" ca="1">INDIRECT(REPLACE("'Dren_Dim'!bQ00",69,2,FIXED(F2,0)))</f>
        <v>0</v>
      </c>
      <c r="G71" s="968" cm="1">
        <f t="array" aca="1" ref="G71" ca="1">INDIRECT(REPLACE("'Dren_Dim'!bQ00",69,2,FIXED(G2,0)))</f>
        <v>0</v>
      </c>
      <c r="H71" s="968" cm="1">
        <f t="array" aca="1" ref="H71" ca="1">INDIRECT(REPLACE("'Dren_Dim'!bQ00",69,2,FIXED(H2,0)))</f>
        <v>0</v>
      </c>
      <c r="I71" s="968" cm="1">
        <f t="array" aca="1" ref="I71" ca="1">INDIRECT(REPLACE("'Dren_Dim'!bQ00",69,2,FIXED(I2,0)))</f>
        <v>0</v>
      </c>
      <c r="J71" s="968"/>
      <c r="K71" s="968"/>
      <c r="L71" s="968"/>
      <c r="M71" s="968"/>
      <c r="N71" s="968"/>
      <c r="O71" s="190"/>
      <c r="P71" s="190"/>
      <c r="Q71" s="190"/>
      <c r="R71" s="190"/>
      <c r="S71" s="190"/>
      <c r="T71" s="190"/>
      <c r="U71" s="190"/>
      <c r="V71" s="190"/>
      <c r="W71" s="190"/>
      <c r="X71" s="190"/>
      <c r="Y71" s="190"/>
      <c r="Z71" s="190"/>
      <c r="AA71" s="190"/>
      <c r="AB71" s="190"/>
      <c r="AC71" s="190"/>
      <c r="AD71" s="918"/>
    </row>
    <row r="72" spans="1:30" s="14" customFormat="1" ht="21.95" customHeight="1" x14ac:dyDescent="0.15">
      <c r="A72" s="2552"/>
      <c r="B72" s="2540" t="s">
        <v>1134</v>
      </c>
      <c r="C72" s="2540"/>
      <c r="D72" s="968" cm="1">
        <f t="array" aca="1" ref="D72" ca="1">INDIRECT(REPLACE("'Dren_Dim'!bR00",70,2,FIXED(D2,0)))</f>
        <v>0</v>
      </c>
      <c r="E72" s="968" cm="1">
        <f t="array" aca="1" ref="E72" ca="1">INDIRECT(REPLACE("'Dren_Dim'!bR00",70,2,FIXED(E2,0)))</f>
        <v>0</v>
      </c>
      <c r="F72" s="968" cm="1">
        <f t="array" aca="1" ref="F72" ca="1">INDIRECT(REPLACE("'Dren_Dim'!bR00",70,2,FIXED(F2,0)))</f>
        <v>0</v>
      </c>
      <c r="G72" s="968" cm="1">
        <f t="array" aca="1" ref="G72" ca="1">INDIRECT(REPLACE("'Dren_Dim'!bR00",70,2,FIXED(G2,0)))</f>
        <v>0</v>
      </c>
      <c r="H72" s="968" cm="1">
        <f t="array" aca="1" ref="H72" ca="1">INDIRECT(REPLACE("'Dren_Dim'!bR00",70,2,FIXED(H2,0)))</f>
        <v>1</v>
      </c>
      <c r="I72" s="968" cm="1">
        <f t="array" aca="1" ref="I72" ca="1">INDIRECT(REPLACE("'Dren_Dim'!bR00",70,2,FIXED(I2,0)))</f>
        <v>1</v>
      </c>
      <c r="J72" s="968"/>
      <c r="K72" s="968"/>
      <c r="L72" s="968"/>
      <c r="M72" s="968"/>
      <c r="N72" s="968"/>
      <c r="O72" s="190"/>
      <c r="P72" s="190"/>
      <c r="Q72" s="190"/>
      <c r="R72" s="190"/>
      <c r="S72" s="190"/>
      <c r="T72" s="190"/>
      <c r="U72" s="190"/>
      <c r="V72" s="190"/>
      <c r="W72" s="190"/>
      <c r="X72" s="190"/>
      <c r="Y72" s="190"/>
      <c r="Z72" s="190"/>
      <c r="AA72" s="190"/>
      <c r="AB72" s="190"/>
      <c r="AC72" s="190"/>
      <c r="AD72" s="918"/>
    </row>
    <row r="73" spans="1:30" s="14" customFormat="1" ht="21.95" customHeight="1" x14ac:dyDescent="0.15">
      <c r="A73" s="2552"/>
      <c r="B73" s="2540" t="s">
        <v>1136</v>
      </c>
      <c r="C73" s="2540"/>
      <c r="D73" s="968" cm="1">
        <f t="array" aca="1" ref="D73" ca="1">IF(SUM(D41:D46)=0,0,INDIRECT(REPLACE("'Dren_Dim'!bT00",72,2,FIXED(D2,0))))</f>
        <v>0.60499999999995446</v>
      </c>
      <c r="E73" s="968" cm="1">
        <f t="array" aca="1" ref="E73" ca="1">IF(SUM(E41:E46)=0,0,INDIRECT(REPLACE("'Dren_Dim'!bT00",72,2,FIXED(E2,0))))</f>
        <v>0.38463999999992665</v>
      </c>
      <c r="F73" s="968" cm="1">
        <f t="array" aca="1" ref="F73" ca="1">IF(SUM(F41:F46)=0,0,INDIRECT(REPLACE("'Dren_Dim'!bT00",72,2,FIXED(F2,0))))</f>
        <v>0</v>
      </c>
      <c r="G73" s="968" cm="1">
        <f t="array" aca="1" ref="G73" ca="1">IF(SUM(G41:G46)=0,0,INDIRECT(REPLACE("'Dren_Dim'!bT00",72,2,FIXED(G2,0))))</f>
        <v>0.52729000000015724</v>
      </c>
      <c r="H73" s="968" cm="1">
        <f t="array" aca="1" ref="H73" ca="1">IF(SUM(H41:H46)=0,0,INDIRECT(REPLACE("'Dren_Dim'!bT00",72,2,FIXED(H2,0))))</f>
        <v>0.5225800000001164</v>
      </c>
      <c r="I73" s="968" cm="1">
        <f t="array" aca="1" ref="I73" ca="1">IF(SUM(I41:I46)=0,0,INDIRECT(REPLACE("'Dren_Dim'!bT00",72,2,FIXED(I2,0))))</f>
        <v>0.21187000000003081</v>
      </c>
      <c r="J73" s="968">
        <f>0.2*J41</f>
        <v>0.4</v>
      </c>
      <c r="K73" s="968">
        <f>0.2*K41</f>
        <v>0.2</v>
      </c>
      <c r="L73" s="968">
        <f>0.2*L41</f>
        <v>0.2</v>
      </c>
      <c r="M73" s="968"/>
      <c r="N73" s="968"/>
      <c r="O73" s="190"/>
      <c r="P73" s="190"/>
      <c r="Q73" s="190"/>
      <c r="R73" s="190"/>
      <c r="S73" s="190"/>
      <c r="T73" s="190"/>
      <c r="U73" s="190"/>
      <c r="V73" s="190"/>
      <c r="W73" s="190"/>
      <c r="X73" s="190"/>
      <c r="Y73" s="190"/>
      <c r="Z73" s="190"/>
      <c r="AA73" s="190"/>
      <c r="AB73" s="190"/>
      <c r="AC73" s="190"/>
      <c r="AD73" s="918"/>
    </row>
    <row r="74" spans="1:30" s="14" customFormat="1" ht="21.95" customHeight="1" x14ac:dyDescent="0.15">
      <c r="A74" s="2552"/>
      <c r="B74" s="2551" t="s">
        <v>496</v>
      </c>
      <c r="C74" s="2551"/>
      <c r="D74" s="966"/>
      <c r="E74" s="966"/>
      <c r="F74" s="966"/>
      <c r="G74" s="966"/>
      <c r="H74" s="966"/>
      <c r="I74" s="966"/>
      <c r="J74" s="966"/>
      <c r="K74" s="966"/>
      <c r="L74" s="966"/>
      <c r="M74" s="966"/>
      <c r="N74" s="966"/>
      <c r="O74" s="190"/>
      <c r="P74" s="190"/>
      <c r="Q74" s="190"/>
      <c r="R74" s="190"/>
      <c r="S74" s="190"/>
      <c r="T74" s="190"/>
      <c r="U74" s="190"/>
      <c r="V74" s="190"/>
      <c r="W74" s="190"/>
      <c r="X74" s="190"/>
      <c r="Y74" s="190"/>
      <c r="Z74" s="190"/>
      <c r="AA74" s="190"/>
      <c r="AB74" s="190"/>
      <c r="AC74" s="190"/>
      <c r="AD74" s="918"/>
    </row>
    <row r="75" spans="1:30" s="14" customFormat="1" ht="21.95" customHeight="1" x14ac:dyDescent="0.15">
      <c r="A75" s="2552"/>
      <c r="B75" s="2546" t="s">
        <v>497</v>
      </c>
      <c r="C75" s="2547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0"/>
      <c r="P75" s="190"/>
      <c r="Q75" s="190"/>
      <c r="R75" s="190"/>
      <c r="S75" s="190"/>
      <c r="T75" s="190"/>
      <c r="U75" s="190"/>
      <c r="V75" s="190"/>
      <c r="W75" s="190"/>
      <c r="X75" s="190"/>
      <c r="Y75" s="190"/>
      <c r="Z75" s="190"/>
      <c r="AA75" s="190"/>
      <c r="AB75" s="190"/>
      <c r="AC75" s="190"/>
      <c r="AD75" s="918"/>
    </row>
    <row r="76" spans="1:30" s="14" customFormat="1" ht="21.95" customHeight="1" x14ac:dyDescent="0.15">
      <c r="A76" s="2552"/>
      <c r="B76" s="2541" t="s">
        <v>503</v>
      </c>
      <c r="C76" s="346" t="s">
        <v>505</v>
      </c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918"/>
    </row>
    <row r="77" spans="1:30" s="14" customFormat="1" ht="21.95" customHeight="1" x14ac:dyDescent="0.15">
      <c r="A77" s="2552"/>
      <c r="B77" s="2543"/>
      <c r="C77" s="346" t="s">
        <v>506</v>
      </c>
      <c r="D77" s="208"/>
      <c r="E77" s="208"/>
      <c r="F77" s="208"/>
      <c r="G77" s="208"/>
      <c r="H77" s="208"/>
      <c r="I77" s="208"/>
      <c r="J77" s="208"/>
      <c r="K77" s="208"/>
      <c r="L77" s="208"/>
      <c r="M77" s="208"/>
      <c r="N77" s="208"/>
      <c r="O77" s="190"/>
      <c r="P77" s="190"/>
      <c r="Q77" s="190"/>
      <c r="R77" s="190"/>
      <c r="S77" s="190"/>
      <c r="T77" s="190"/>
      <c r="U77" s="190"/>
      <c r="V77" s="190"/>
      <c r="W77" s="190"/>
      <c r="X77" s="190"/>
      <c r="Y77" s="190"/>
      <c r="Z77" s="190"/>
      <c r="AA77" s="190"/>
      <c r="AB77" s="190"/>
      <c r="AC77" s="190"/>
      <c r="AD77" s="918"/>
    </row>
    <row r="78" spans="1:30" s="14" customFormat="1" ht="21.95" customHeight="1" x14ac:dyDescent="0.15">
      <c r="A78" s="2552"/>
      <c r="B78" s="2541" t="s">
        <v>504</v>
      </c>
      <c r="C78" s="346" t="s">
        <v>505</v>
      </c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918"/>
    </row>
    <row r="79" spans="1:30" s="14" customFormat="1" ht="21.95" customHeight="1" x14ac:dyDescent="0.15">
      <c r="A79" s="2552"/>
      <c r="B79" s="2543"/>
      <c r="C79" s="346" t="s">
        <v>506</v>
      </c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918"/>
    </row>
    <row r="80" spans="1:30" s="14" customFormat="1" ht="21.95" customHeight="1" x14ac:dyDescent="0.15">
      <c r="A80" s="2552"/>
      <c r="B80" s="2544" t="s">
        <v>499</v>
      </c>
      <c r="C80" s="188" t="s">
        <v>47</v>
      </c>
      <c r="D80" s="338">
        <v>1</v>
      </c>
      <c r="E80" s="338"/>
      <c r="F80" s="338">
        <v>1</v>
      </c>
      <c r="G80" s="338"/>
      <c r="H80" s="338"/>
      <c r="I80" s="338"/>
      <c r="J80" s="338"/>
      <c r="K80" s="338"/>
      <c r="L80" s="338"/>
      <c r="M80" s="338"/>
      <c r="N80" s="338"/>
      <c r="O80" s="334"/>
      <c r="P80" s="334"/>
      <c r="Q80" s="334"/>
      <c r="R80" s="334"/>
      <c r="S80" s="334"/>
      <c r="T80" s="334"/>
      <c r="U80" s="334"/>
      <c r="V80" s="334"/>
      <c r="W80" s="334"/>
      <c r="X80" s="334"/>
      <c r="Y80" s="334"/>
      <c r="Z80" s="334"/>
      <c r="AA80" s="334"/>
      <c r="AB80" s="334"/>
      <c r="AC80" s="334"/>
      <c r="AD80" s="918"/>
    </row>
    <row r="81" spans="1:30" s="14" customFormat="1" ht="21.95" customHeight="1" x14ac:dyDescent="0.15">
      <c r="A81" s="2552"/>
      <c r="B81" s="2545"/>
      <c r="C81" s="188" t="s">
        <v>1187</v>
      </c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918"/>
    </row>
    <row r="82" spans="1:30" s="14" customFormat="1" ht="21.95" customHeight="1" x14ac:dyDescent="0.15">
      <c r="A82" s="2552"/>
      <c r="B82" s="2545"/>
      <c r="C82" s="188" t="s">
        <v>1188</v>
      </c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918"/>
    </row>
    <row r="83" spans="1:30" s="14" customFormat="1" ht="21.95" customHeight="1" x14ac:dyDescent="0.15">
      <c r="A83" s="2552"/>
      <c r="B83" s="2544"/>
      <c r="C83" s="188" t="s">
        <v>48</v>
      </c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918"/>
    </row>
    <row r="84" spans="1:30" s="14" customFormat="1" ht="21.95" customHeight="1" x14ac:dyDescent="0.15">
      <c r="A84" s="2552"/>
      <c r="B84" s="2544"/>
      <c r="C84" s="188" t="s">
        <v>468</v>
      </c>
      <c r="D84" s="208"/>
      <c r="E84" s="208"/>
      <c r="F84" s="208"/>
      <c r="G84" s="208"/>
      <c r="H84" s="208"/>
      <c r="I84" s="208"/>
      <c r="J84" s="208"/>
      <c r="K84" s="208"/>
      <c r="L84" s="208"/>
      <c r="M84" s="208"/>
      <c r="N84" s="208"/>
      <c r="O84" s="190"/>
      <c r="P84" s="190"/>
      <c r="Q84" s="190"/>
      <c r="R84" s="190"/>
      <c r="S84" s="190"/>
      <c r="T84" s="190"/>
      <c r="U84" s="190"/>
      <c r="V84" s="190"/>
      <c r="W84" s="190"/>
      <c r="X84" s="190"/>
      <c r="Y84" s="190"/>
      <c r="Z84" s="190"/>
      <c r="AA84" s="190"/>
      <c r="AB84" s="190"/>
      <c r="AC84" s="190"/>
      <c r="AD84" s="918"/>
    </row>
    <row r="85" spans="1:30" s="14" customFormat="1" ht="21.95" customHeight="1" x14ac:dyDescent="0.15">
      <c r="A85" s="2552"/>
      <c r="B85" s="2541" t="s">
        <v>501</v>
      </c>
      <c r="C85" s="421">
        <v>0.4</v>
      </c>
      <c r="D85" s="338"/>
      <c r="E85" s="338"/>
      <c r="F85" s="338"/>
      <c r="G85" s="338"/>
      <c r="H85" s="338"/>
      <c r="I85" s="338"/>
      <c r="J85" s="338"/>
      <c r="K85" s="338"/>
      <c r="L85" s="338"/>
      <c r="M85" s="338"/>
      <c r="N85" s="338"/>
      <c r="O85" s="334"/>
      <c r="P85" s="334"/>
      <c r="Q85" s="334"/>
      <c r="R85" s="334"/>
      <c r="S85" s="334"/>
      <c r="T85" s="334"/>
      <c r="U85" s="334"/>
      <c r="V85" s="334"/>
      <c r="W85" s="334"/>
      <c r="X85" s="334"/>
      <c r="Y85" s="334"/>
      <c r="Z85" s="334"/>
      <c r="AA85" s="334"/>
      <c r="AB85" s="334"/>
      <c r="AC85" s="334"/>
      <c r="AD85" s="918"/>
    </row>
    <row r="86" spans="1:30" s="14" customFormat="1" ht="21.95" customHeight="1" x14ac:dyDescent="0.15">
      <c r="A86" s="2552"/>
      <c r="B86" s="2542"/>
      <c r="C86" s="421">
        <v>0.6</v>
      </c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918"/>
    </row>
    <row r="87" spans="1:30" s="14" customFormat="1" ht="21.95" customHeight="1" x14ac:dyDescent="0.15">
      <c r="A87" s="2552"/>
      <c r="B87" s="2542"/>
      <c r="C87" s="421">
        <v>0.8</v>
      </c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918"/>
    </row>
    <row r="88" spans="1:30" s="14" customFormat="1" ht="21.95" customHeight="1" x14ac:dyDescent="0.15">
      <c r="A88" s="2552"/>
      <c r="B88" s="2542"/>
      <c r="C88" s="421">
        <v>1</v>
      </c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918"/>
    </row>
    <row r="89" spans="1:30" s="14" customFormat="1" ht="21.95" customHeight="1" x14ac:dyDescent="0.15">
      <c r="A89" s="2552"/>
      <c r="B89" s="2542"/>
      <c r="C89" s="421">
        <v>1.2</v>
      </c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918"/>
    </row>
    <row r="90" spans="1:30" s="14" customFormat="1" ht="21.95" customHeight="1" x14ac:dyDescent="0.15">
      <c r="A90" s="2552"/>
      <c r="B90" s="2542"/>
      <c r="C90" s="421">
        <v>1.5</v>
      </c>
      <c r="D90" s="208"/>
      <c r="E90" s="208"/>
      <c r="F90" s="208"/>
      <c r="G90" s="208"/>
      <c r="H90" s="208"/>
      <c r="I90" s="208"/>
      <c r="J90" s="208"/>
      <c r="K90" s="208"/>
      <c r="L90" s="208"/>
      <c r="M90" s="208"/>
      <c r="N90" s="208"/>
      <c r="O90" s="190"/>
      <c r="P90" s="190"/>
      <c r="Q90" s="190"/>
      <c r="R90" s="190"/>
      <c r="S90" s="190"/>
      <c r="T90" s="190"/>
      <c r="U90" s="190"/>
      <c r="V90" s="190"/>
      <c r="W90" s="190"/>
      <c r="X90" s="190"/>
      <c r="Y90" s="190"/>
      <c r="Z90" s="190"/>
      <c r="AA90" s="190"/>
      <c r="AB90" s="190"/>
      <c r="AC90" s="190"/>
      <c r="AD90" s="918"/>
    </row>
    <row r="91" spans="1:30" s="14" customFormat="1" ht="21.95" customHeight="1" x14ac:dyDescent="0.15">
      <c r="A91" s="2552"/>
      <c r="B91" s="2542"/>
      <c r="C91" s="421" t="s">
        <v>172</v>
      </c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918"/>
    </row>
    <row r="92" spans="1:30" s="14" customFormat="1" ht="21.95" customHeight="1" x14ac:dyDescent="0.15">
      <c r="A92" s="2552"/>
      <c r="B92" s="2542"/>
      <c r="C92" s="421" t="s">
        <v>154</v>
      </c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918"/>
    </row>
    <row r="93" spans="1:30" s="14" customFormat="1" ht="21.95" customHeight="1" x14ac:dyDescent="0.15">
      <c r="A93" s="2552"/>
      <c r="B93" s="2542"/>
      <c r="C93" s="421" t="s">
        <v>155</v>
      </c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918"/>
    </row>
    <row r="94" spans="1:30" s="14" customFormat="1" ht="21.95" customHeight="1" x14ac:dyDescent="0.15">
      <c r="A94" s="2552"/>
      <c r="B94" s="2543"/>
      <c r="C94" s="421" t="s">
        <v>211</v>
      </c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918"/>
    </row>
    <row r="95" spans="1:30" s="14" customFormat="1" ht="21.95" customHeight="1" x14ac:dyDescent="0.15">
      <c r="A95" s="2552"/>
      <c r="B95" s="2550" t="s">
        <v>502</v>
      </c>
      <c r="C95" s="418" t="s">
        <v>212</v>
      </c>
      <c r="D95" s="338"/>
      <c r="E95" s="338"/>
      <c r="F95" s="338"/>
      <c r="G95" s="338"/>
      <c r="H95" s="338"/>
      <c r="I95" s="338"/>
      <c r="J95" s="338"/>
      <c r="K95" s="338"/>
      <c r="L95" s="338"/>
      <c r="M95" s="338"/>
      <c r="N95" s="338"/>
      <c r="O95" s="334"/>
      <c r="P95" s="334"/>
      <c r="Q95" s="334"/>
      <c r="R95" s="334"/>
      <c r="S95" s="334"/>
      <c r="T95" s="334"/>
      <c r="U95" s="334"/>
      <c r="V95" s="334"/>
      <c r="W95" s="334"/>
      <c r="X95" s="334"/>
      <c r="Y95" s="334"/>
      <c r="Z95" s="334"/>
      <c r="AA95" s="334"/>
      <c r="AB95" s="334"/>
      <c r="AC95" s="334"/>
      <c r="AD95" s="918"/>
    </row>
    <row r="96" spans="1:30" s="14" customFormat="1" ht="21.95" customHeight="1" x14ac:dyDescent="0.15">
      <c r="A96" s="2552"/>
      <c r="B96" s="2550"/>
      <c r="C96" s="418" t="s">
        <v>213</v>
      </c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918"/>
    </row>
    <row r="97" spans="1:30" s="14" customFormat="1" ht="21.95" customHeight="1" x14ac:dyDescent="0.15">
      <c r="A97" s="2552"/>
      <c r="B97" s="2550"/>
      <c r="C97" s="418" t="s">
        <v>214</v>
      </c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918"/>
    </row>
    <row r="98" spans="1:30" s="14" customFormat="1" ht="21.95" customHeight="1" x14ac:dyDescent="0.15">
      <c r="A98" s="2552"/>
      <c r="B98" s="2550"/>
      <c r="C98" s="418" t="s">
        <v>215</v>
      </c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918"/>
    </row>
    <row r="99" spans="1:30" s="14" customFormat="1" ht="21.95" customHeight="1" x14ac:dyDescent="0.15">
      <c r="A99" s="2552"/>
      <c r="B99" s="2550"/>
      <c r="C99" s="418" t="s">
        <v>216</v>
      </c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918"/>
    </row>
    <row r="100" spans="1:30" s="14" customFormat="1" ht="21.95" customHeight="1" x14ac:dyDescent="0.15">
      <c r="A100" s="2552"/>
      <c r="B100" s="2550"/>
      <c r="C100" s="418" t="s">
        <v>217</v>
      </c>
      <c r="D100" s="208"/>
      <c r="E100" s="208"/>
      <c r="F100" s="208"/>
      <c r="G100" s="208"/>
      <c r="H100" s="208"/>
      <c r="I100" s="208"/>
      <c r="J100" s="208"/>
      <c r="K100" s="208"/>
      <c r="L100" s="208"/>
      <c r="M100" s="208"/>
      <c r="N100" s="208"/>
      <c r="O100" s="190"/>
      <c r="P100" s="190"/>
      <c r="Q100" s="190"/>
      <c r="R100" s="190"/>
      <c r="S100" s="190"/>
      <c r="T100" s="190"/>
      <c r="U100" s="190"/>
      <c r="V100" s="190"/>
      <c r="W100" s="190"/>
      <c r="X100" s="190"/>
      <c r="Y100" s="190"/>
      <c r="Z100" s="190"/>
      <c r="AA100" s="190"/>
      <c r="AB100" s="190"/>
      <c r="AC100" s="190"/>
      <c r="AD100" s="918"/>
    </row>
    <row r="101" spans="1:30" ht="21.95" customHeight="1" x14ac:dyDescent="0.15">
      <c r="A101" s="2552"/>
      <c r="B101" s="2546" t="s">
        <v>25</v>
      </c>
      <c r="C101" s="187" t="s">
        <v>3</v>
      </c>
      <c r="D101" s="227"/>
      <c r="E101" s="227"/>
      <c r="F101" s="227"/>
      <c r="G101" s="227"/>
      <c r="H101" s="227"/>
      <c r="I101" s="227"/>
      <c r="J101" s="227"/>
      <c r="K101" s="227"/>
      <c r="L101" s="227"/>
      <c r="M101" s="227"/>
      <c r="N101" s="227"/>
      <c r="O101" s="334"/>
      <c r="P101" s="334"/>
      <c r="Q101" s="334"/>
      <c r="R101" s="334"/>
      <c r="S101" s="334"/>
      <c r="T101" s="334"/>
      <c r="U101" s="334"/>
      <c r="V101" s="334"/>
      <c r="W101" s="334"/>
      <c r="X101" s="334"/>
      <c r="Y101" s="334"/>
      <c r="Z101" s="334"/>
      <c r="AA101" s="227"/>
      <c r="AB101" s="227"/>
      <c r="AC101" s="227"/>
    </row>
    <row r="102" spans="1:30" ht="21.95" customHeight="1" x14ac:dyDescent="0.15">
      <c r="A102" s="2552"/>
      <c r="B102" s="2546"/>
      <c r="C102" s="187" t="s">
        <v>58</v>
      </c>
      <c r="D102" s="208"/>
      <c r="E102" s="208"/>
      <c r="F102" s="208"/>
      <c r="G102" s="208"/>
      <c r="H102" s="208"/>
      <c r="I102" s="208"/>
      <c r="J102" s="208"/>
      <c r="K102" s="208"/>
      <c r="L102" s="208"/>
      <c r="M102" s="208"/>
      <c r="N102" s="208"/>
      <c r="O102" s="190"/>
      <c r="P102" s="190"/>
      <c r="Q102" s="190"/>
      <c r="R102" s="190"/>
      <c r="S102" s="190"/>
      <c r="T102" s="190"/>
      <c r="U102" s="190"/>
      <c r="V102" s="190"/>
      <c r="W102" s="190"/>
      <c r="X102" s="190"/>
      <c r="Y102" s="190"/>
      <c r="Z102" s="190"/>
      <c r="AA102" s="19"/>
      <c r="AB102" s="19"/>
      <c r="AC102" s="19"/>
    </row>
    <row r="103" spans="1:30" ht="21.95" customHeight="1" x14ac:dyDescent="0.15">
      <c r="A103" s="2552"/>
      <c r="B103" s="2537" t="s">
        <v>325</v>
      </c>
      <c r="C103" s="187" t="s">
        <v>1424</v>
      </c>
      <c r="D103" s="227"/>
      <c r="E103" s="227"/>
      <c r="F103" s="227"/>
      <c r="G103" s="227"/>
      <c r="H103" s="227"/>
      <c r="I103" s="227"/>
      <c r="J103" s="227"/>
      <c r="K103" s="227"/>
      <c r="L103" s="227"/>
      <c r="M103" s="227"/>
      <c r="N103" s="227"/>
      <c r="O103" s="334"/>
      <c r="P103" s="334"/>
      <c r="Q103" s="334"/>
      <c r="R103" s="334"/>
      <c r="S103" s="334"/>
      <c r="T103" s="334"/>
      <c r="U103" s="334"/>
      <c r="V103" s="334"/>
      <c r="W103" s="334"/>
      <c r="X103" s="334"/>
      <c r="Y103" s="334"/>
      <c r="Z103" s="334"/>
      <c r="AA103" s="227"/>
      <c r="AB103" s="227"/>
      <c r="AC103" s="227"/>
    </row>
    <row r="104" spans="1:30" ht="21.95" customHeight="1" x14ac:dyDescent="0.15">
      <c r="A104" s="2552"/>
      <c r="B104" s="2553"/>
      <c r="C104" s="187" t="s">
        <v>1425</v>
      </c>
      <c r="D104" s="208"/>
      <c r="E104" s="208"/>
      <c r="F104" s="208"/>
      <c r="G104" s="208"/>
      <c r="H104" s="208"/>
      <c r="I104" s="208"/>
      <c r="J104" s="208"/>
      <c r="K104" s="208"/>
      <c r="L104" s="208"/>
      <c r="M104" s="208"/>
      <c r="N104" s="208"/>
      <c r="O104" s="190"/>
      <c r="P104" s="190"/>
      <c r="Q104" s="190"/>
      <c r="R104" s="190"/>
      <c r="S104" s="190"/>
      <c r="T104" s="190"/>
      <c r="U104" s="190"/>
      <c r="V104" s="190"/>
      <c r="W104" s="190"/>
      <c r="X104" s="190"/>
      <c r="Y104" s="190"/>
      <c r="Z104" s="190"/>
      <c r="AA104" s="19"/>
      <c r="AB104" s="19"/>
      <c r="AC104" s="19"/>
    </row>
    <row r="105" spans="1:30" ht="21.95" customHeight="1" x14ac:dyDescent="0.15">
      <c r="A105" s="2552"/>
      <c r="B105" s="2539" t="s">
        <v>603</v>
      </c>
      <c r="C105" s="187" t="s">
        <v>16</v>
      </c>
      <c r="D105" s="134"/>
      <c r="E105" s="134"/>
      <c r="F105" s="134"/>
      <c r="G105" s="134"/>
      <c r="H105" s="134"/>
      <c r="I105" s="134"/>
      <c r="J105" s="134"/>
      <c r="K105" s="134"/>
      <c r="L105" s="134"/>
      <c r="M105" s="134"/>
      <c r="N105" s="134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34"/>
      <c r="AB105" s="134"/>
      <c r="AC105" s="134"/>
    </row>
    <row r="106" spans="1:30" ht="21.95" customHeight="1" x14ac:dyDescent="0.15">
      <c r="A106" s="2552"/>
      <c r="B106" s="2539"/>
      <c r="C106" s="421" t="s">
        <v>3</v>
      </c>
      <c r="D106" s="134"/>
      <c r="E106" s="134"/>
      <c r="F106" s="134"/>
      <c r="G106" s="134"/>
      <c r="H106" s="134"/>
      <c r="I106" s="134"/>
      <c r="J106" s="134"/>
      <c r="K106" s="134"/>
      <c r="L106" s="134"/>
      <c r="M106" s="134"/>
      <c r="N106" s="134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34"/>
      <c r="AB106" s="134"/>
      <c r="AC106" s="134"/>
    </row>
    <row r="107" spans="1:30" ht="21.95" customHeight="1" x14ac:dyDescent="0.15">
      <c r="A107" s="2552"/>
      <c r="B107" s="2539"/>
      <c r="C107" s="421" t="s">
        <v>58</v>
      </c>
      <c r="D107" s="134"/>
      <c r="E107" s="134"/>
      <c r="F107" s="134"/>
      <c r="G107" s="134"/>
      <c r="H107" s="134"/>
      <c r="I107" s="134"/>
      <c r="J107" s="134"/>
      <c r="K107" s="134"/>
      <c r="L107" s="134"/>
      <c r="M107" s="134"/>
      <c r="N107" s="134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34"/>
      <c r="AB107" s="134"/>
      <c r="AC107" s="134"/>
    </row>
    <row r="108" spans="1:30" ht="21.95" customHeight="1" x14ac:dyDescent="0.15">
      <c r="A108" s="2552"/>
      <c r="B108" s="2539" t="s">
        <v>604</v>
      </c>
      <c r="C108" s="187" t="s">
        <v>16</v>
      </c>
      <c r="D108" s="227"/>
      <c r="E108" s="227"/>
      <c r="F108" s="227"/>
      <c r="G108" s="227"/>
      <c r="H108" s="227"/>
      <c r="I108" s="227"/>
      <c r="J108" s="227"/>
      <c r="K108" s="227"/>
      <c r="L108" s="227"/>
      <c r="M108" s="227"/>
      <c r="N108" s="227"/>
      <c r="O108" s="339"/>
      <c r="P108" s="339"/>
      <c r="Q108" s="339"/>
      <c r="R108" s="339"/>
      <c r="S108" s="339"/>
      <c r="T108" s="339"/>
      <c r="U108" s="339"/>
      <c r="V108" s="339"/>
      <c r="W108" s="339"/>
      <c r="X108" s="339"/>
      <c r="Y108" s="339"/>
      <c r="Z108" s="339"/>
      <c r="AA108" s="227"/>
      <c r="AB108" s="227"/>
      <c r="AC108" s="227"/>
    </row>
    <row r="109" spans="1:30" ht="21.95" customHeight="1" x14ac:dyDescent="0.15">
      <c r="A109" s="2552"/>
      <c r="B109" s="2539"/>
      <c r="C109" s="187" t="s">
        <v>3</v>
      </c>
      <c r="D109" s="134"/>
      <c r="E109" s="134"/>
      <c r="F109" s="134"/>
      <c r="G109" s="134"/>
      <c r="H109" s="134"/>
      <c r="I109" s="134"/>
      <c r="J109" s="134"/>
      <c r="K109" s="134"/>
      <c r="L109" s="134"/>
      <c r="M109" s="134"/>
      <c r="N109" s="134"/>
      <c r="O109" s="160"/>
      <c r="P109" s="160"/>
      <c r="Q109" s="160"/>
      <c r="R109" s="160"/>
      <c r="S109" s="160"/>
      <c r="T109" s="160"/>
      <c r="U109" s="160"/>
      <c r="V109" s="160"/>
      <c r="W109" s="160"/>
      <c r="X109" s="160"/>
      <c r="Y109" s="160"/>
      <c r="Z109" s="160"/>
      <c r="AA109" s="134"/>
      <c r="AB109" s="134"/>
      <c r="AC109" s="134"/>
    </row>
    <row r="110" spans="1:30" ht="21.95" customHeight="1" x14ac:dyDescent="0.15">
      <c r="A110" s="2552"/>
      <c r="B110" s="2539"/>
      <c r="C110" s="187" t="s">
        <v>58</v>
      </c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219"/>
      <c r="P110" s="219"/>
      <c r="Q110" s="219"/>
      <c r="R110" s="219"/>
      <c r="S110" s="219"/>
      <c r="T110" s="219"/>
      <c r="U110" s="219"/>
      <c r="V110" s="219"/>
      <c r="W110" s="219"/>
      <c r="X110" s="219"/>
      <c r="Y110" s="219"/>
      <c r="Z110" s="219"/>
      <c r="AA110" s="19"/>
      <c r="AB110" s="19"/>
      <c r="AC110" s="19"/>
    </row>
    <row r="111" spans="1:30" ht="21.95" customHeight="1" x14ac:dyDescent="0.15">
      <c r="A111" s="2552"/>
      <c r="B111" s="2548" t="s">
        <v>65</v>
      </c>
      <c r="C111" s="187" t="s">
        <v>66</v>
      </c>
      <c r="D111" s="227"/>
      <c r="E111" s="227"/>
      <c r="F111" s="227"/>
      <c r="G111" s="227"/>
      <c r="H111" s="227"/>
      <c r="I111" s="227"/>
      <c r="J111" s="227"/>
      <c r="K111" s="227"/>
      <c r="L111" s="227"/>
      <c r="M111" s="227"/>
      <c r="N111" s="227"/>
      <c r="O111" s="339"/>
      <c r="P111" s="339"/>
      <c r="Q111" s="339"/>
      <c r="R111" s="339"/>
      <c r="S111" s="339"/>
      <c r="T111" s="339"/>
      <c r="U111" s="339"/>
      <c r="V111" s="339"/>
      <c r="W111" s="339"/>
      <c r="X111" s="339"/>
      <c r="Y111" s="339"/>
      <c r="Z111" s="339"/>
      <c r="AA111" s="227"/>
      <c r="AB111" s="227"/>
      <c r="AC111" s="227"/>
    </row>
    <row r="112" spans="1:30" ht="21.95" customHeight="1" x14ac:dyDescent="0.15">
      <c r="A112" s="2552"/>
      <c r="B112" s="2523"/>
      <c r="C112" s="187" t="s">
        <v>631</v>
      </c>
      <c r="D112" s="134"/>
      <c r="E112" s="134"/>
      <c r="F112" s="134"/>
      <c r="G112" s="134"/>
      <c r="H112" s="134"/>
      <c r="I112" s="134"/>
      <c r="J112" s="134"/>
      <c r="K112" s="134"/>
      <c r="L112" s="134"/>
      <c r="M112" s="134"/>
      <c r="N112" s="134"/>
      <c r="O112" s="160"/>
      <c r="P112" s="160"/>
      <c r="Q112" s="160"/>
      <c r="R112" s="160"/>
      <c r="S112" s="160"/>
      <c r="T112" s="160"/>
      <c r="U112" s="160"/>
      <c r="V112" s="160"/>
      <c r="W112" s="160"/>
      <c r="X112" s="160"/>
      <c r="Y112" s="160"/>
      <c r="Z112" s="160"/>
      <c r="AA112" s="134"/>
      <c r="AB112" s="134"/>
      <c r="AC112" s="134"/>
    </row>
    <row r="113" spans="1:36" ht="21.95" customHeight="1" x14ac:dyDescent="0.15">
      <c r="A113" s="2552"/>
      <c r="B113" s="2549"/>
      <c r="C113" s="187" t="s">
        <v>3</v>
      </c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219"/>
      <c r="P113" s="219"/>
      <c r="Q113" s="219"/>
      <c r="R113" s="219"/>
      <c r="S113" s="219"/>
      <c r="T113" s="219"/>
      <c r="U113" s="219"/>
      <c r="V113" s="219"/>
      <c r="W113" s="219"/>
      <c r="X113" s="219"/>
      <c r="Y113" s="219"/>
      <c r="Z113" s="219"/>
      <c r="AA113" s="19"/>
      <c r="AB113" s="19"/>
      <c r="AC113" s="19"/>
    </row>
    <row r="114" spans="1:36" ht="21.95" customHeight="1" x14ac:dyDescent="0.15">
      <c r="A114" s="2552"/>
      <c r="B114" s="2537" t="s">
        <v>511</v>
      </c>
      <c r="C114" s="187" t="s">
        <v>66</v>
      </c>
      <c r="D114" s="227"/>
      <c r="E114" s="227"/>
      <c r="F114" s="227"/>
      <c r="G114" s="227"/>
      <c r="H114" s="227"/>
      <c r="I114" s="227"/>
      <c r="J114" s="227"/>
      <c r="K114" s="227"/>
      <c r="L114" s="227"/>
      <c r="M114" s="227"/>
      <c r="N114" s="227"/>
      <c r="O114" s="339"/>
      <c r="P114" s="339"/>
      <c r="Q114" s="339"/>
      <c r="R114" s="339"/>
      <c r="S114" s="339"/>
      <c r="T114" s="339"/>
      <c r="U114" s="339"/>
      <c r="V114" s="339"/>
      <c r="W114" s="339"/>
      <c r="X114" s="339"/>
      <c r="Y114" s="339"/>
      <c r="Z114" s="339"/>
      <c r="AA114" s="227"/>
      <c r="AB114" s="227"/>
      <c r="AC114" s="227"/>
    </row>
    <row r="115" spans="1:36" ht="21.95" customHeight="1" x14ac:dyDescent="0.15">
      <c r="A115" s="2552"/>
      <c r="B115" s="2531"/>
      <c r="C115" s="187" t="s">
        <v>164</v>
      </c>
      <c r="D115" s="134"/>
      <c r="E115" s="134"/>
      <c r="F115" s="134"/>
      <c r="G115" s="134"/>
      <c r="H115" s="134"/>
      <c r="I115" s="134"/>
      <c r="J115" s="134"/>
      <c r="K115" s="134"/>
      <c r="L115" s="134"/>
      <c r="M115" s="134"/>
      <c r="N115" s="134"/>
      <c r="O115" s="160"/>
      <c r="P115" s="160"/>
      <c r="Q115" s="160"/>
      <c r="R115" s="160"/>
      <c r="S115" s="160"/>
      <c r="T115" s="160"/>
      <c r="U115" s="160"/>
      <c r="V115" s="160"/>
      <c r="W115" s="160"/>
      <c r="X115" s="160"/>
      <c r="Y115" s="160"/>
      <c r="Z115" s="160"/>
      <c r="AA115" s="134"/>
      <c r="AB115" s="134"/>
      <c r="AC115" s="134"/>
    </row>
    <row r="116" spans="1:36" ht="21.95" customHeight="1" x14ac:dyDescent="0.15">
      <c r="A116" s="2552"/>
      <c r="B116" s="2553"/>
      <c r="C116" s="187" t="s">
        <v>3</v>
      </c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219"/>
      <c r="P116" s="219"/>
      <c r="Q116" s="219"/>
      <c r="R116" s="219"/>
      <c r="S116" s="219"/>
      <c r="T116" s="219"/>
      <c r="U116" s="219"/>
      <c r="V116" s="219"/>
      <c r="W116" s="219"/>
      <c r="X116" s="219"/>
      <c r="Y116" s="219"/>
      <c r="Z116" s="219"/>
      <c r="AA116" s="19"/>
      <c r="AB116" s="19"/>
      <c r="AC116" s="19"/>
    </row>
    <row r="117" spans="1:36" ht="21.95" customHeight="1" x14ac:dyDescent="0.15">
      <c r="A117" s="2552"/>
      <c r="B117" s="2548" t="s">
        <v>150</v>
      </c>
      <c r="C117" s="187" t="s">
        <v>204</v>
      </c>
      <c r="D117" s="227"/>
      <c r="E117" s="227"/>
      <c r="F117" s="227"/>
      <c r="G117" s="227"/>
      <c r="H117" s="227"/>
      <c r="I117" s="227"/>
      <c r="J117" s="227"/>
      <c r="K117" s="227"/>
      <c r="L117" s="227"/>
      <c r="M117" s="227"/>
      <c r="N117" s="227"/>
      <c r="O117" s="339"/>
      <c r="P117" s="339"/>
      <c r="Q117" s="339"/>
      <c r="R117" s="339"/>
      <c r="S117" s="339"/>
      <c r="T117" s="339"/>
      <c r="U117" s="339"/>
      <c r="V117" s="339"/>
      <c r="W117" s="339"/>
      <c r="X117" s="339"/>
      <c r="Y117" s="339"/>
      <c r="Z117" s="339"/>
      <c r="AA117" s="227"/>
      <c r="AB117" s="227"/>
      <c r="AC117" s="227"/>
    </row>
    <row r="118" spans="1:36" s="14" customFormat="1" ht="21.95" customHeight="1" x14ac:dyDescent="0.15">
      <c r="A118" s="2552"/>
      <c r="B118" s="2523"/>
      <c r="C118" s="187" t="s">
        <v>151</v>
      </c>
      <c r="D118" s="134"/>
      <c r="E118" s="134"/>
      <c r="F118" s="134"/>
      <c r="G118" s="134"/>
      <c r="H118" s="134"/>
      <c r="I118" s="134"/>
      <c r="J118" s="134"/>
      <c r="K118" s="134"/>
      <c r="L118" s="134"/>
      <c r="M118" s="134"/>
      <c r="N118" s="134"/>
      <c r="O118" s="160"/>
      <c r="P118" s="160"/>
      <c r="Q118" s="160"/>
      <c r="R118" s="160"/>
      <c r="S118" s="160"/>
      <c r="T118" s="160"/>
      <c r="U118" s="160"/>
      <c r="V118" s="160"/>
      <c r="W118" s="160"/>
      <c r="X118" s="160"/>
      <c r="Y118" s="160"/>
      <c r="Z118" s="160"/>
      <c r="AA118" s="134"/>
      <c r="AB118" s="134"/>
      <c r="AC118" s="134"/>
      <c r="AD118" s="919"/>
      <c r="AE118" s="133"/>
      <c r="AF118" s="133"/>
      <c r="AG118" s="133"/>
      <c r="AH118" s="133"/>
      <c r="AI118" s="133"/>
      <c r="AJ118" s="133"/>
    </row>
    <row r="119" spans="1:36" s="14" customFormat="1" ht="21.95" customHeight="1" x14ac:dyDescent="0.15">
      <c r="A119" s="2552"/>
      <c r="B119" s="2523"/>
      <c r="C119" s="187" t="s">
        <v>152</v>
      </c>
      <c r="D119" s="134"/>
      <c r="E119" s="134"/>
      <c r="F119" s="134"/>
      <c r="G119" s="134"/>
      <c r="H119" s="134"/>
      <c r="I119" s="134"/>
      <c r="J119" s="134"/>
      <c r="K119" s="134"/>
      <c r="L119" s="134"/>
      <c r="M119" s="134"/>
      <c r="N119" s="134"/>
      <c r="O119" s="160"/>
      <c r="P119" s="160"/>
      <c r="Q119" s="160"/>
      <c r="R119" s="160"/>
      <c r="S119" s="160"/>
      <c r="T119" s="160"/>
      <c r="U119" s="160"/>
      <c r="V119" s="160"/>
      <c r="W119" s="160"/>
      <c r="X119" s="160"/>
      <c r="Y119" s="160"/>
      <c r="Z119" s="160"/>
      <c r="AA119" s="134"/>
      <c r="AB119" s="134"/>
      <c r="AC119" s="134"/>
      <c r="AD119" s="919"/>
      <c r="AE119" s="133"/>
      <c r="AF119" s="133"/>
      <c r="AG119" s="133"/>
      <c r="AH119" s="133"/>
      <c r="AI119" s="133"/>
      <c r="AJ119" s="133"/>
    </row>
    <row r="120" spans="1:36" s="14" customFormat="1" ht="21.95" customHeight="1" x14ac:dyDescent="0.15">
      <c r="A120" s="2552"/>
      <c r="B120" s="2523"/>
      <c r="C120" s="421" t="s">
        <v>2733</v>
      </c>
      <c r="D120" s="134"/>
      <c r="E120" s="134"/>
      <c r="F120" s="134"/>
      <c r="G120" s="134"/>
      <c r="H120" s="134"/>
      <c r="I120" s="134"/>
      <c r="J120" s="134"/>
      <c r="K120" s="134"/>
      <c r="L120" s="134"/>
      <c r="M120" s="134"/>
      <c r="N120" s="134"/>
      <c r="O120" s="160"/>
      <c r="P120" s="160"/>
      <c r="Q120" s="160"/>
      <c r="R120" s="160"/>
      <c r="S120" s="160"/>
      <c r="T120" s="160"/>
      <c r="U120" s="160"/>
      <c r="V120" s="160"/>
      <c r="W120" s="160"/>
      <c r="X120" s="160"/>
      <c r="Y120" s="160"/>
      <c r="Z120" s="160"/>
      <c r="AA120" s="134"/>
      <c r="AB120" s="134"/>
      <c r="AC120" s="134"/>
      <c r="AD120" s="919"/>
      <c r="AE120" s="133"/>
      <c r="AF120" s="133"/>
      <c r="AG120" s="133"/>
      <c r="AH120" s="133"/>
      <c r="AI120" s="133"/>
      <c r="AJ120" s="133"/>
    </row>
    <row r="121" spans="1:36" s="14" customFormat="1" ht="21.95" customHeight="1" x14ac:dyDescent="0.15">
      <c r="A121" s="2552"/>
      <c r="B121" s="2523"/>
      <c r="C121" s="187" t="s">
        <v>507</v>
      </c>
      <c r="D121" s="134"/>
      <c r="E121" s="134"/>
      <c r="F121" s="134"/>
      <c r="G121" s="134"/>
      <c r="H121" s="134"/>
      <c r="I121" s="134"/>
      <c r="J121" s="134"/>
      <c r="K121" s="134"/>
      <c r="L121" s="134"/>
      <c r="M121" s="134"/>
      <c r="N121" s="134"/>
      <c r="O121" s="160"/>
      <c r="P121" s="160"/>
      <c r="Q121" s="160"/>
      <c r="R121" s="160"/>
      <c r="S121" s="160"/>
      <c r="T121" s="160"/>
      <c r="U121" s="160"/>
      <c r="V121" s="160"/>
      <c r="W121" s="160"/>
      <c r="X121" s="160"/>
      <c r="Y121" s="160"/>
      <c r="Z121" s="160"/>
      <c r="AA121" s="134"/>
      <c r="AB121" s="134"/>
      <c r="AC121" s="134"/>
      <c r="AD121" s="919"/>
      <c r="AE121" s="133"/>
      <c r="AF121" s="133"/>
      <c r="AG121" s="133"/>
      <c r="AH121" s="133"/>
      <c r="AI121" s="133"/>
      <c r="AJ121" s="133"/>
    </row>
    <row r="122" spans="1:36" s="14" customFormat="1" ht="21.95" customHeight="1" x14ac:dyDescent="0.15">
      <c r="A122" s="2552"/>
      <c r="B122" s="2523"/>
      <c r="C122" s="187" t="s">
        <v>492</v>
      </c>
      <c r="D122" s="134"/>
      <c r="E122" s="134"/>
      <c r="F122" s="134"/>
      <c r="G122" s="134"/>
      <c r="H122" s="134"/>
      <c r="I122" s="134"/>
      <c r="J122" s="134"/>
      <c r="K122" s="134"/>
      <c r="L122" s="134"/>
      <c r="M122" s="134"/>
      <c r="N122" s="134"/>
      <c r="O122" s="160"/>
      <c r="P122" s="160"/>
      <c r="Q122" s="160"/>
      <c r="R122" s="160"/>
      <c r="S122" s="160"/>
      <c r="T122" s="160"/>
      <c r="U122" s="160"/>
      <c r="V122" s="160"/>
      <c r="W122" s="160"/>
      <c r="X122" s="160"/>
      <c r="Y122" s="160"/>
      <c r="Z122" s="160"/>
      <c r="AA122" s="134"/>
      <c r="AB122" s="134"/>
      <c r="AC122" s="134"/>
      <c r="AD122" s="919"/>
      <c r="AE122" s="133"/>
      <c r="AF122" s="133"/>
      <c r="AG122" s="133"/>
      <c r="AH122" s="133"/>
      <c r="AI122" s="133"/>
      <c r="AJ122" s="133"/>
    </row>
    <row r="123" spans="1:36" s="14" customFormat="1" ht="21.95" customHeight="1" x14ac:dyDescent="0.15">
      <c r="A123" s="2552"/>
      <c r="B123" s="2523"/>
      <c r="C123" s="187" t="s">
        <v>508</v>
      </c>
      <c r="D123" s="134"/>
      <c r="E123" s="134"/>
      <c r="F123" s="134"/>
      <c r="G123" s="134"/>
      <c r="H123" s="134"/>
      <c r="I123" s="134"/>
      <c r="J123" s="134"/>
      <c r="K123" s="134"/>
      <c r="L123" s="134"/>
      <c r="M123" s="134"/>
      <c r="N123" s="134"/>
      <c r="O123" s="160"/>
      <c r="P123" s="160"/>
      <c r="Q123" s="160"/>
      <c r="R123" s="160"/>
      <c r="S123" s="160"/>
      <c r="T123" s="160"/>
      <c r="U123" s="160"/>
      <c r="V123" s="160"/>
      <c r="W123" s="160"/>
      <c r="X123" s="160"/>
      <c r="Y123" s="160"/>
      <c r="Z123" s="160"/>
      <c r="AA123" s="134"/>
      <c r="AB123" s="134"/>
      <c r="AC123" s="134"/>
      <c r="AD123" s="919"/>
      <c r="AE123" s="133"/>
      <c r="AF123" s="133"/>
      <c r="AG123" s="133"/>
      <c r="AH123" s="133"/>
      <c r="AI123" s="133"/>
      <c r="AJ123" s="133"/>
    </row>
    <row r="124" spans="1:36" s="14" customFormat="1" ht="21.95" customHeight="1" x14ac:dyDescent="0.15">
      <c r="A124" s="2552"/>
      <c r="B124" s="2523"/>
      <c r="C124" s="187" t="s">
        <v>509</v>
      </c>
      <c r="D124" s="134"/>
      <c r="E124" s="134"/>
      <c r="F124" s="134"/>
      <c r="G124" s="134"/>
      <c r="H124" s="134"/>
      <c r="I124" s="134"/>
      <c r="J124" s="134"/>
      <c r="K124" s="134"/>
      <c r="L124" s="134"/>
      <c r="M124" s="134"/>
      <c r="N124" s="134"/>
      <c r="O124" s="160"/>
      <c r="P124" s="160"/>
      <c r="Q124" s="160"/>
      <c r="R124" s="160"/>
      <c r="S124" s="160"/>
      <c r="T124" s="160"/>
      <c r="U124" s="160"/>
      <c r="V124" s="160"/>
      <c r="W124" s="160"/>
      <c r="X124" s="160"/>
      <c r="Y124" s="160"/>
      <c r="Z124" s="160"/>
      <c r="AA124" s="134"/>
      <c r="AB124" s="134"/>
      <c r="AC124" s="134"/>
      <c r="AD124" s="919"/>
      <c r="AE124" s="133"/>
      <c r="AF124" s="133"/>
      <c r="AG124" s="133"/>
      <c r="AH124" s="133"/>
      <c r="AI124" s="133"/>
      <c r="AJ124" s="133"/>
    </row>
    <row r="125" spans="1:36" s="14" customFormat="1" ht="21.95" customHeight="1" x14ac:dyDescent="0.15">
      <c r="A125" s="2552"/>
      <c r="B125" s="2523"/>
      <c r="C125" s="187" t="s">
        <v>510</v>
      </c>
      <c r="D125" s="134"/>
      <c r="E125" s="134"/>
      <c r="F125" s="134"/>
      <c r="G125" s="134"/>
      <c r="H125" s="134"/>
      <c r="I125" s="134"/>
      <c r="J125" s="134"/>
      <c r="K125" s="134"/>
      <c r="L125" s="134"/>
      <c r="M125" s="134"/>
      <c r="N125" s="134"/>
      <c r="O125" s="160"/>
      <c r="P125" s="160"/>
      <c r="Q125" s="160"/>
      <c r="R125" s="160"/>
      <c r="S125" s="160"/>
      <c r="T125" s="160"/>
      <c r="U125" s="160"/>
      <c r="V125" s="160"/>
      <c r="W125" s="160"/>
      <c r="X125" s="160"/>
      <c r="Y125" s="160"/>
      <c r="Z125" s="160"/>
      <c r="AA125" s="134"/>
      <c r="AB125" s="134"/>
      <c r="AC125" s="134"/>
      <c r="AD125" s="919"/>
      <c r="AE125" s="133"/>
      <c r="AF125" s="133"/>
      <c r="AG125" s="133"/>
      <c r="AH125" s="133"/>
      <c r="AI125" s="133"/>
      <c r="AJ125" s="133"/>
    </row>
    <row r="126" spans="1:36" s="14" customFormat="1" ht="21.95" customHeight="1" x14ac:dyDescent="0.15">
      <c r="A126" s="2552"/>
      <c r="B126" s="2549"/>
      <c r="C126" s="187" t="s">
        <v>219</v>
      </c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219"/>
      <c r="P126" s="219"/>
      <c r="Q126" s="219"/>
      <c r="R126" s="219"/>
      <c r="S126" s="219"/>
      <c r="T126" s="219"/>
      <c r="U126" s="219"/>
      <c r="V126" s="219"/>
      <c r="W126" s="219"/>
      <c r="X126" s="219"/>
      <c r="Y126" s="219"/>
      <c r="Z126" s="219"/>
      <c r="AA126" s="19"/>
      <c r="AB126" s="19"/>
      <c r="AC126" s="19"/>
      <c r="AD126" s="919"/>
      <c r="AE126" s="133"/>
      <c r="AF126" s="133"/>
      <c r="AG126" s="133"/>
      <c r="AH126" s="133"/>
      <c r="AI126" s="133"/>
      <c r="AJ126" s="133"/>
    </row>
    <row r="127" spans="1:36" s="14" customFormat="1" ht="21.95" customHeight="1" x14ac:dyDescent="0.15">
      <c r="A127" s="2552"/>
      <c r="B127" s="2548" t="s">
        <v>319</v>
      </c>
      <c r="C127" s="187" t="s">
        <v>58</v>
      </c>
      <c r="D127" s="227"/>
      <c r="E127" s="227"/>
      <c r="F127" s="227"/>
      <c r="G127" s="227"/>
      <c r="H127" s="227"/>
      <c r="I127" s="227"/>
      <c r="J127" s="227"/>
      <c r="K127" s="227"/>
      <c r="L127" s="227"/>
      <c r="M127" s="227"/>
      <c r="N127" s="227"/>
      <c r="O127" s="339"/>
      <c r="P127" s="339"/>
      <c r="Q127" s="339"/>
      <c r="R127" s="339"/>
      <c r="S127" s="339"/>
      <c r="T127" s="339"/>
      <c r="U127" s="339"/>
      <c r="V127" s="339"/>
      <c r="W127" s="339"/>
      <c r="X127" s="339"/>
      <c r="Y127" s="339"/>
      <c r="Z127" s="339"/>
      <c r="AA127" s="227"/>
      <c r="AB127" s="227"/>
      <c r="AC127" s="227"/>
      <c r="AD127" s="919"/>
      <c r="AE127" s="133"/>
      <c r="AF127" s="133"/>
      <c r="AG127" s="133"/>
      <c r="AH127" s="133"/>
      <c r="AI127" s="133"/>
      <c r="AJ127" s="133"/>
    </row>
    <row r="128" spans="1:36" s="14" customFormat="1" ht="21.95" customHeight="1" x14ac:dyDescent="0.15">
      <c r="A128" s="2552"/>
      <c r="B128" s="2523"/>
      <c r="C128" s="187" t="s">
        <v>3</v>
      </c>
      <c r="D128" s="134"/>
      <c r="E128" s="134"/>
      <c r="F128" s="134"/>
      <c r="G128" s="134"/>
      <c r="H128" s="134"/>
      <c r="I128" s="134"/>
      <c r="J128" s="134"/>
      <c r="K128" s="134"/>
      <c r="L128" s="134"/>
      <c r="M128" s="134"/>
      <c r="N128" s="134"/>
      <c r="O128" s="160"/>
      <c r="P128" s="160"/>
      <c r="Q128" s="160"/>
      <c r="R128" s="160"/>
      <c r="S128" s="160"/>
      <c r="T128" s="160"/>
      <c r="U128" s="160"/>
      <c r="V128" s="160"/>
      <c r="W128" s="160"/>
      <c r="X128" s="160"/>
      <c r="Y128" s="160"/>
      <c r="Z128" s="160"/>
      <c r="AA128" s="134"/>
      <c r="AB128" s="134"/>
      <c r="AC128" s="134"/>
      <c r="AD128" s="919"/>
      <c r="AE128" s="133"/>
      <c r="AF128" s="133"/>
      <c r="AG128" s="133"/>
      <c r="AH128" s="133"/>
      <c r="AI128" s="133"/>
      <c r="AJ128" s="133"/>
    </row>
    <row r="129" spans="1:36" s="14" customFormat="1" ht="21.95" customHeight="1" x14ac:dyDescent="0.15">
      <c r="A129" s="2552"/>
      <c r="B129" s="2523"/>
      <c r="C129" s="187" t="s">
        <v>16</v>
      </c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219"/>
      <c r="P129" s="219"/>
      <c r="Q129" s="219"/>
      <c r="R129" s="219"/>
      <c r="S129" s="219"/>
      <c r="T129" s="219"/>
      <c r="U129" s="219"/>
      <c r="V129" s="219"/>
      <c r="W129" s="219"/>
      <c r="X129" s="219"/>
      <c r="Y129" s="219"/>
      <c r="Z129" s="219"/>
      <c r="AA129" s="19"/>
      <c r="AB129" s="19"/>
      <c r="AC129" s="19"/>
      <c r="AD129" s="919"/>
      <c r="AE129" s="133"/>
      <c r="AF129" s="133"/>
      <c r="AG129" s="133"/>
      <c r="AH129" s="133"/>
      <c r="AI129" s="133"/>
      <c r="AJ129" s="133"/>
    </row>
    <row r="130" spans="1:36" s="14" customFormat="1" ht="21.95" customHeight="1" x14ac:dyDescent="0.15">
      <c r="A130" s="2552"/>
      <c r="B130" s="2548" t="s">
        <v>473</v>
      </c>
      <c r="C130" s="187" t="s">
        <v>58</v>
      </c>
      <c r="D130" s="134"/>
      <c r="E130" s="134"/>
      <c r="F130" s="134"/>
      <c r="G130" s="134"/>
      <c r="H130" s="134"/>
      <c r="I130" s="134"/>
      <c r="J130" s="134"/>
      <c r="K130" s="134"/>
      <c r="L130" s="134"/>
      <c r="M130" s="134"/>
      <c r="N130" s="134"/>
      <c r="O130" s="160"/>
      <c r="P130" s="160"/>
      <c r="Q130" s="160"/>
      <c r="R130" s="160"/>
      <c r="S130" s="160"/>
      <c r="T130" s="160"/>
      <c r="U130" s="160"/>
      <c r="V130" s="160"/>
      <c r="W130" s="160"/>
      <c r="X130" s="160"/>
      <c r="Y130" s="160"/>
      <c r="Z130" s="160"/>
      <c r="AA130" s="134"/>
      <c r="AB130" s="134"/>
      <c r="AC130" s="134"/>
      <c r="AD130" s="919"/>
      <c r="AE130" s="133"/>
      <c r="AF130" s="133"/>
      <c r="AG130" s="133"/>
      <c r="AH130" s="133"/>
      <c r="AI130" s="133"/>
      <c r="AJ130" s="133"/>
    </row>
    <row r="131" spans="1:36" s="14" customFormat="1" ht="21.95" customHeight="1" x14ac:dyDescent="0.15">
      <c r="A131" s="2552"/>
      <c r="B131" s="2523"/>
      <c r="C131" s="187" t="s">
        <v>3</v>
      </c>
      <c r="D131" s="134"/>
      <c r="E131" s="134"/>
      <c r="F131" s="134"/>
      <c r="G131" s="134"/>
      <c r="H131" s="134"/>
      <c r="I131" s="134"/>
      <c r="J131" s="134"/>
      <c r="K131" s="134"/>
      <c r="L131" s="134"/>
      <c r="M131" s="134"/>
      <c r="N131" s="134"/>
      <c r="O131" s="160"/>
      <c r="P131" s="160"/>
      <c r="Q131" s="160"/>
      <c r="R131" s="160"/>
      <c r="S131" s="160"/>
      <c r="T131" s="160"/>
      <c r="U131" s="160"/>
      <c r="V131" s="160"/>
      <c r="W131" s="160"/>
      <c r="X131" s="160"/>
      <c r="Y131" s="160"/>
      <c r="Z131" s="160"/>
      <c r="AA131" s="134"/>
      <c r="AB131" s="134"/>
      <c r="AC131" s="134"/>
      <c r="AD131" s="919"/>
      <c r="AE131" s="133"/>
      <c r="AF131" s="133"/>
      <c r="AG131" s="133"/>
      <c r="AH131" s="133"/>
      <c r="AI131" s="133"/>
      <c r="AJ131" s="133"/>
    </row>
    <row r="132" spans="1:36" s="14" customFormat="1" ht="21.95" customHeight="1" x14ac:dyDescent="0.15">
      <c r="A132" s="2552"/>
      <c r="B132" s="2523"/>
      <c r="C132" s="187" t="s">
        <v>16</v>
      </c>
      <c r="D132" s="134"/>
      <c r="E132" s="134"/>
      <c r="F132" s="134"/>
      <c r="G132" s="134"/>
      <c r="H132" s="134"/>
      <c r="I132" s="134"/>
      <c r="J132" s="134"/>
      <c r="K132" s="134"/>
      <c r="L132" s="134"/>
      <c r="M132" s="134"/>
      <c r="N132" s="134"/>
      <c r="O132" s="160"/>
      <c r="P132" s="160"/>
      <c r="Q132" s="160"/>
      <c r="R132" s="160"/>
      <c r="S132" s="160"/>
      <c r="T132" s="160"/>
      <c r="U132" s="160"/>
      <c r="V132" s="160"/>
      <c r="W132" s="160"/>
      <c r="X132" s="160"/>
      <c r="Y132" s="160"/>
      <c r="Z132" s="160"/>
      <c r="AA132" s="134"/>
      <c r="AB132" s="134"/>
      <c r="AC132" s="134"/>
      <c r="AD132" s="919"/>
      <c r="AE132" s="133"/>
      <c r="AF132" s="133"/>
      <c r="AG132" s="133"/>
      <c r="AH132" s="133"/>
      <c r="AI132" s="133"/>
      <c r="AJ132" s="133"/>
    </row>
    <row r="133" spans="1:36" s="14" customFormat="1" ht="21.95" customHeight="1" x14ac:dyDescent="0.15">
      <c r="A133" s="2552"/>
      <c r="B133" s="2548" t="s">
        <v>320</v>
      </c>
      <c r="C133" s="187" t="s">
        <v>58</v>
      </c>
      <c r="D133" s="227"/>
      <c r="E133" s="227"/>
      <c r="F133" s="227"/>
      <c r="G133" s="227"/>
      <c r="H133" s="227"/>
      <c r="I133" s="227"/>
      <c r="J133" s="227"/>
      <c r="K133" s="227"/>
      <c r="L133" s="227"/>
      <c r="M133" s="227"/>
      <c r="N133" s="227"/>
      <c r="O133" s="339"/>
      <c r="P133" s="339"/>
      <c r="Q133" s="339"/>
      <c r="R133" s="339"/>
      <c r="S133" s="339"/>
      <c r="T133" s="339"/>
      <c r="U133" s="339"/>
      <c r="V133" s="339"/>
      <c r="W133" s="339"/>
      <c r="X133" s="339"/>
      <c r="Y133" s="339"/>
      <c r="Z133" s="339"/>
      <c r="AA133" s="227"/>
      <c r="AB133" s="227"/>
      <c r="AC133" s="227"/>
      <c r="AD133" s="919"/>
      <c r="AE133" s="133"/>
      <c r="AF133" s="133"/>
      <c r="AG133" s="133"/>
      <c r="AH133" s="133"/>
      <c r="AI133" s="133"/>
      <c r="AJ133" s="133"/>
    </row>
    <row r="134" spans="1:36" s="14" customFormat="1" ht="21.95" customHeight="1" x14ac:dyDescent="0.15">
      <c r="A134" s="2552"/>
      <c r="B134" s="2523"/>
      <c r="C134" s="187" t="s">
        <v>3</v>
      </c>
      <c r="D134" s="134"/>
      <c r="E134" s="134"/>
      <c r="F134" s="134"/>
      <c r="G134" s="134"/>
      <c r="H134" s="134"/>
      <c r="I134" s="134"/>
      <c r="J134" s="134"/>
      <c r="K134" s="134"/>
      <c r="L134" s="134"/>
      <c r="M134" s="134"/>
      <c r="N134" s="134"/>
      <c r="O134" s="160"/>
      <c r="P134" s="160"/>
      <c r="Q134" s="160"/>
      <c r="R134" s="160"/>
      <c r="S134" s="160"/>
      <c r="T134" s="160"/>
      <c r="U134" s="160"/>
      <c r="V134" s="160"/>
      <c r="W134" s="160"/>
      <c r="X134" s="160"/>
      <c r="Y134" s="160"/>
      <c r="Z134" s="160"/>
      <c r="AA134" s="134"/>
      <c r="AB134" s="134"/>
      <c r="AC134" s="134"/>
      <c r="AD134" s="919"/>
      <c r="AE134" s="133"/>
      <c r="AF134" s="133"/>
      <c r="AG134" s="133"/>
      <c r="AH134" s="133"/>
      <c r="AI134" s="133"/>
      <c r="AJ134" s="133"/>
    </row>
    <row r="135" spans="1:36" s="14" customFormat="1" ht="21.95" customHeight="1" x14ac:dyDescent="0.15">
      <c r="A135" s="2552"/>
      <c r="B135" s="2523"/>
      <c r="C135" s="187" t="s">
        <v>16</v>
      </c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219"/>
      <c r="P135" s="219"/>
      <c r="Q135" s="219"/>
      <c r="R135" s="219"/>
      <c r="S135" s="219"/>
      <c r="T135" s="219"/>
      <c r="U135" s="219"/>
      <c r="V135" s="219"/>
      <c r="W135" s="219"/>
      <c r="X135" s="219"/>
      <c r="Y135" s="219"/>
      <c r="Z135" s="219"/>
      <c r="AA135" s="19"/>
      <c r="AB135" s="19"/>
      <c r="AC135" s="19"/>
      <c r="AD135" s="919"/>
      <c r="AE135" s="133"/>
      <c r="AF135" s="133"/>
      <c r="AG135" s="133"/>
      <c r="AH135" s="133"/>
      <c r="AI135" s="133"/>
      <c r="AJ135" s="133"/>
    </row>
    <row r="136" spans="1:36" s="14" customFormat="1" ht="21.95" customHeight="1" x14ac:dyDescent="0.15">
      <c r="A136" s="2552"/>
      <c r="B136" s="2548" t="s">
        <v>321</v>
      </c>
      <c r="C136" s="187" t="s">
        <v>58</v>
      </c>
      <c r="D136" s="227"/>
      <c r="E136" s="227"/>
      <c r="F136" s="227"/>
      <c r="G136" s="227"/>
      <c r="H136" s="227"/>
      <c r="I136" s="227"/>
      <c r="J136" s="227"/>
      <c r="K136" s="227"/>
      <c r="L136" s="227"/>
      <c r="M136" s="227"/>
      <c r="N136" s="227"/>
      <c r="O136" s="339"/>
      <c r="P136" s="339"/>
      <c r="Q136" s="339"/>
      <c r="R136" s="339"/>
      <c r="S136" s="339"/>
      <c r="T136" s="339"/>
      <c r="U136" s="339"/>
      <c r="V136" s="339"/>
      <c r="W136" s="339"/>
      <c r="X136" s="339"/>
      <c r="Y136" s="339"/>
      <c r="Z136" s="339"/>
      <c r="AA136" s="227"/>
      <c r="AB136" s="227"/>
      <c r="AC136" s="227"/>
      <c r="AD136" s="919"/>
      <c r="AE136" s="133"/>
      <c r="AF136" s="133"/>
      <c r="AG136" s="133"/>
      <c r="AH136" s="133"/>
      <c r="AI136" s="133"/>
      <c r="AJ136" s="133"/>
    </row>
    <row r="137" spans="1:36" s="14" customFormat="1" ht="21.95" customHeight="1" x14ac:dyDescent="0.15">
      <c r="A137" s="2552"/>
      <c r="B137" s="2523"/>
      <c r="C137" s="187" t="s">
        <v>3</v>
      </c>
      <c r="D137" s="134"/>
      <c r="E137" s="134"/>
      <c r="F137" s="134"/>
      <c r="G137" s="134"/>
      <c r="H137" s="134"/>
      <c r="I137" s="134"/>
      <c r="J137" s="134"/>
      <c r="K137" s="134"/>
      <c r="L137" s="134"/>
      <c r="M137" s="134"/>
      <c r="N137" s="134"/>
      <c r="O137" s="160"/>
      <c r="P137" s="160"/>
      <c r="Q137" s="160"/>
      <c r="R137" s="160"/>
      <c r="S137" s="160"/>
      <c r="T137" s="160"/>
      <c r="U137" s="160"/>
      <c r="V137" s="160"/>
      <c r="W137" s="160"/>
      <c r="X137" s="160"/>
      <c r="Y137" s="160"/>
      <c r="Z137" s="160"/>
      <c r="AA137" s="134"/>
      <c r="AB137" s="134"/>
      <c r="AC137" s="134"/>
      <c r="AD137" s="919"/>
      <c r="AE137" s="133"/>
      <c r="AF137" s="133"/>
      <c r="AG137" s="133"/>
      <c r="AH137" s="133"/>
      <c r="AI137" s="133"/>
      <c r="AJ137" s="133"/>
    </row>
    <row r="138" spans="1:36" s="14" customFormat="1" ht="21.95" customHeight="1" x14ac:dyDescent="0.15">
      <c r="A138" s="2552"/>
      <c r="B138" s="2549"/>
      <c r="C138" s="187" t="s">
        <v>16</v>
      </c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219"/>
      <c r="P138" s="219"/>
      <c r="Q138" s="219"/>
      <c r="R138" s="219"/>
      <c r="S138" s="219"/>
      <c r="T138" s="219"/>
      <c r="U138" s="219"/>
      <c r="V138" s="219"/>
      <c r="W138" s="219"/>
      <c r="X138" s="219"/>
      <c r="Y138" s="219"/>
      <c r="Z138" s="219"/>
      <c r="AA138" s="19"/>
      <c r="AB138" s="19"/>
      <c r="AC138" s="19"/>
      <c r="AD138" s="919"/>
      <c r="AE138" s="133"/>
      <c r="AF138" s="133"/>
      <c r="AG138" s="133"/>
      <c r="AH138" s="133"/>
      <c r="AI138" s="133"/>
      <c r="AJ138" s="133"/>
    </row>
    <row r="139" spans="1:36" s="14" customFormat="1" ht="21.95" customHeight="1" x14ac:dyDescent="0.15">
      <c r="A139" s="2552"/>
      <c r="B139" s="2537" t="s">
        <v>1659</v>
      </c>
      <c r="C139" s="2538"/>
      <c r="D139" s="134"/>
      <c r="E139" s="134"/>
      <c r="F139" s="134"/>
      <c r="G139" s="134"/>
      <c r="H139" s="134"/>
      <c r="I139" s="134"/>
      <c r="J139" s="134"/>
      <c r="K139" s="134"/>
      <c r="L139" s="134"/>
      <c r="M139" s="134"/>
      <c r="N139" s="134"/>
      <c r="O139" s="160"/>
      <c r="P139" s="160"/>
      <c r="Q139" s="160"/>
      <c r="R139" s="160"/>
      <c r="S139" s="160"/>
      <c r="T139" s="160"/>
      <c r="U139" s="160"/>
      <c r="V139" s="160"/>
      <c r="W139" s="160"/>
      <c r="X139" s="160"/>
      <c r="Y139" s="160"/>
      <c r="Z139" s="160"/>
      <c r="AA139" s="134"/>
      <c r="AB139" s="134"/>
      <c r="AC139" s="134"/>
      <c r="AD139" s="919"/>
      <c r="AE139" s="133"/>
      <c r="AF139" s="133"/>
      <c r="AG139" s="133"/>
      <c r="AH139" s="133"/>
      <c r="AI139" s="133"/>
      <c r="AJ139" s="133"/>
    </row>
    <row r="140" spans="1:36" s="14" customFormat="1" ht="21.95" customHeight="1" x14ac:dyDescent="0.15">
      <c r="A140" s="2552"/>
      <c r="B140" s="2537" t="s">
        <v>1660</v>
      </c>
      <c r="C140" s="2538"/>
      <c r="D140" s="134"/>
      <c r="E140" s="134"/>
      <c r="F140" s="134"/>
      <c r="G140" s="134"/>
      <c r="H140" s="134"/>
      <c r="I140" s="134"/>
      <c r="J140" s="134"/>
      <c r="K140" s="134"/>
      <c r="L140" s="134"/>
      <c r="M140" s="134"/>
      <c r="N140" s="134"/>
      <c r="O140" s="160"/>
      <c r="P140" s="160"/>
      <c r="Q140" s="160"/>
      <c r="R140" s="160"/>
      <c r="S140" s="160"/>
      <c r="T140" s="160"/>
      <c r="U140" s="160"/>
      <c r="V140" s="160"/>
      <c r="W140" s="160"/>
      <c r="X140" s="160"/>
      <c r="Y140" s="160"/>
      <c r="Z140" s="160"/>
      <c r="AA140" s="134"/>
      <c r="AB140" s="134"/>
      <c r="AC140" s="134"/>
      <c r="AD140" s="919"/>
      <c r="AE140" s="133"/>
      <c r="AF140" s="133"/>
      <c r="AG140" s="133"/>
      <c r="AH140" s="133"/>
      <c r="AI140" s="133"/>
      <c r="AJ140" s="133"/>
    </row>
    <row r="141" spans="1:36" s="14" customFormat="1" ht="21.95" customHeight="1" x14ac:dyDescent="0.15">
      <c r="A141" s="2552"/>
      <c r="B141" s="2548" t="s">
        <v>626</v>
      </c>
      <c r="C141" s="347" t="s">
        <v>627</v>
      </c>
      <c r="D141" s="227"/>
      <c r="E141" s="227"/>
      <c r="F141" s="227"/>
      <c r="G141" s="227"/>
      <c r="H141" s="227"/>
      <c r="I141" s="227"/>
      <c r="J141" s="227"/>
      <c r="K141" s="227"/>
      <c r="L141" s="227"/>
      <c r="M141" s="227"/>
      <c r="N141" s="227"/>
      <c r="O141" s="160"/>
      <c r="P141" s="160"/>
      <c r="Q141" s="160"/>
      <c r="R141" s="160"/>
      <c r="S141" s="160"/>
      <c r="T141" s="160"/>
      <c r="U141" s="160"/>
      <c r="V141" s="160"/>
      <c r="W141" s="160"/>
      <c r="X141" s="160"/>
      <c r="Y141" s="160"/>
      <c r="Z141" s="160"/>
      <c r="AA141" s="134"/>
      <c r="AB141" s="134"/>
      <c r="AC141" s="134"/>
      <c r="AD141" s="919"/>
      <c r="AE141" s="133"/>
      <c r="AF141" s="133"/>
      <c r="AG141" s="133"/>
      <c r="AH141" s="133"/>
      <c r="AI141" s="133"/>
      <c r="AJ141" s="133"/>
    </row>
    <row r="142" spans="1:36" s="14" customFormat="1" ht="21.95" customHeight="1" x14ac:dyDescent="0.15">
      <c r="A142" s="2552"/>
      <c r="B142" s="2549"/>
      <c r="C142" s="347" t="s">
        <v>628</v>
      </c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60"/>
      <c r="P142" s="160"/>
      <c r="Q142" s="160"/>
      <c r="R142" s="160"/>
      <c r="S142" s="160"/>
      <c r="T142" s="160"/>
      <c r="U142" s="160"/>
      <c r="V142" s="160"/>
      <c r="W142" s="160"/>
      <c r="X142" s="160"/>
      <c r="Y142" s="160"/>
      <c r="Z142" s="160"/>
      <c r="AA142" s="134"/>
      <c r="AB142" s="134"/>
      <c r="AC142" s="134"/>
      <c r="AD142" s="919"/>
      <c r="AE142" s="133"/>
      <c r="AF142" s="133"/>
      <c r="AG142" s="133"/>
      <c r="AH142" s="133"/>
      <c r="AI142" s="133"/>
      <c r="AJ142" s="133"/>
    </row>
    <row r="143" spans="1:36" ht="21.95" customHeight="1" x14ac:dyDescent="0.15">
      <c r="A143" s="2552"/>
      <c r="B143" s="2548" t="s">
        <v>895</v>
      </c>
      <c r="C143" s="187" t="s">
        <v>1089</v>
      </c>
      <c r="D143" s="569">
        <f t="shared" ref="D143:M143" si="29">IF(D$14="ROCHA",0,IF(D$13=2,D$37,0))</f>
        <v>0</v>
      </c>
      <c r="E143" s="569">
        <f t="shared" si="29"/>
        <v>0</v>
      </c>
      <c r="F143" s="569">
        <f t="shared" si="29"/>
        <v>0</v>
      </c>
      <c r="G143" s="569">
        <f t="shared" si="29"/>
        <v>0</v>
      </c>
      <c r="H143" s="569">
        <f t="shared" si="29"/>
        <v>0</v>
      </c>
      <c r="I143" s="569">
        <f t="shared" si="29"/>
        <v>0</v>
      </c>
      <c r="J143" s="569">
        <f t="shared" si="29"/>
        <v>0</v>
      </c>
      <c r="K143" s="569">
        <f t="shared" si="29"/>
        <v>0</v>
      </c>
      <c r="L143" s="569">
        <f t="shared" si="29"/>
        <v>0</v>
      </c>
      <c r="M143" s="569">
        <f t="shared" si="29"/>
        <v>0</v>
      </c>
      <c r="N143" s="569"/>
      <c r="O143" s="570">
        <f>SUM(D143:N143)</f>
        <v>0</v>
      </c>
      <c r="P143" s="339"/>
      <c r="Q143" s="339"/>
      <c r="R143" s="339"/>
      <c r="S143" s="339"/>
      <c r="T143" s="339"/>
      <c r="U143" s="339"/>
      <c r="V143" s="339"/>
      <c r="W143" s="339"/>
      <c r="X143" s="339"/>
      <c r="Y143" s="339"/>
      <c r="Z143" s="339"/>
      <c r="AA143" s="334"/>
      <c r="AB143" s="334"/>
      <c r="AC143" s="334"/>
    </row>
    <row r="144" spans="1:36" ht="21.95" customHeight="1" x14ac:dyDescent="0.15">
      <c r="A144" s="2552"/>
      <c r="B144" s="2523"/>
      <c r="C144" s="187" t="s">
        <v>1090</v>
      </c>
      <c r="D144" s="571">
        <f t="shared" ref="D144:M144" si="30">IF(D$14="ROCHA",0,IF(D$13=1,D$37,0))</f>
        <v>0</v>
      </c>
      <c r="E144" s="571">
        <f t="shared" si="30"/>
        <v>7</v>
      </c>
      <c r="F144" s="571">
        <f t="shared" si="30"/>
        <v>29</v>
      </c>
      <c r="G144" s="571">
        <f t="shared" si="30"/>
        <v>3</v>
      </c>
      <c r="H144" s="571">
        <f t="shared" si="30"/>
        <v>3</v>
      </c>
      <c r="I144" s="571">
        <f t="shared" si="30"/>
        <v>3</v>
      </c>
      <c r="J144" s="571">
        <f t="shared" si="30"/>
        <v>52</v>
      </c>
      <c r="K144" s="571">
        <f t="shared" si="30"/>
        <v>8</v>
      </c>
      <c r="L144" s="571">
        <f t="shared" si="30"/>
        <v>97</v>
      </c>
      <c r="M144" s="571">
        <f t="shared" si="30"/>
        <v>14</v>
      </c>
      <c r="N144" s="571"/>
      <c r="O144" s="160"/>
      <c r="P144" s="922">
        <f>SUM(D144:N144)</f>
        <v>216</v>
      </c>
      <c r="Q144" s="160"/>
      <c r="R144" s="160"/>
      <c r="S144" s="160"/>
      <c r="T144" s="160"/>
      <c r="U144" s="160"/>
      <c r="V144" s="160"/>
      <c r="W144" s="160"/>
      <c r="X144" s="160"/>
      <c r="Y144" s="160"/>
      <c r="Z144" s="160"/>
      <c r="AA144" s="11"/>
      <c r="AB144" s="11"/>
      <c r="AC144" s="11"/>
    </row>
    <row r="145" spans="1:36" ht="21.95" customHeight="1" x14ac:dyDescent="0.15">
      <c r="A145" s="2552"/>
      <c r="B145" s="2523"/>
      <c r="C145" s="187" t="s">
        <v>1091</v>
      </c>
      <c r="D145" s="569">
        <f t="shared" ref="D145:M145" si="31">IF(D$14="ROCHA",0,IF(D$13=2,D$38,0))</f>
        <v>0</v>
      </c>
      <c r="E145" s="569">
        <f t="shared" si="31"/>
        <v>0</v>
      </c>
      <c r="F145" s="569">
        <f t="shared" si="31"/>
        <v>0</v>
      </c>
      <c r="G145" s="569">
        <f t="shared" si="31"/>
        <v>0</v>
      </c>
      <c r="H145" s="569">
        <f t="shared" si="31"/>
        <v>0</v>
      </c>
      <c r="I145" s="569">
        <f t="shared" si="31"/>
        <v>0</v>
      </c>
      <c r="J145" s="569">
        <f t="shared" si="31"/>
        <v>0</v>
      </c>
      <c r="K145" s="569">
        <f t="shared" si="31"/>
        <v>0</v>
      </c>
      <c r="L145" s="569">
        <f t="shared" si="31"/>
        <v>0</v>
      </c>
      <c r="M145" s="569">
        <f t="shared" si="31"/>
        <v>0</v>
      </c>
      <c r="N145" s="569"/>
      <c r="O145" s="160"/>
      <c r="P145" s="160"/>
      <c r="Q145" s="922">
        <f>SUM(D145:N145)</f>
        <v>0</v>
      </c>
      <c r="R145" s="160"/>
      <c r="S145" s="160"/>
      <c r="T145" s="160"/>
      <c r="U145" s="160"/>
      <c r="V145" s="160"/>
      <c r="W145" s="160"/>
      <c r="X145" s="160"/>
      <c r="Y145" s="160"/>
      <c r="Z145" s="160"/>
      <c r="AA145" s="11"/>
      <c r="AB145" s="11"/>
      <c r="AC145" s="11"/>
    </row>
    <row r="146" spans="1:36" ht="21.95" customHeight="1" x14ac:dyDescent="0.15">
      <c r="A146" s="2552"/>
      <c r="B146" s="2523"/>
      <c r="C146" s="187" t="s">
        <v>1092</v>
      </c>
      <c r="D146" s="571">
        <f t="shared" ref="D146:M146" si="32">IF(D$14="ROCHA",0,IF(D$13=1,D$38,0))</f>
        <v>25</v>
      </c>
      <c r="E146" s="571">
        <f t="shared" si="32"/>
        <v>0</v>
      </c>
      <c r="F146" s="571">
        <f t="shared" si="32"/>
        <v>4</v>
      </c>
      <c r="G146" s="571">
        <f t="shared" si="32"/>
        <v>0</v>
      </c>
      <c r="H146" s="571">
        <f t="shared" si="32"/>
        <v>0</v>
      </c>
      <c r="I146" s="571">
        <f t="shared" si="32"/>
        <v>0</v>
      </c>
      <c r="J146" s="571">
        <f t="shared" si="32"/>
        <v>10</v>
      </c>
      <c r="K146" s="571">
        <f t="shared" si="32"/>
        <v>7</v>
      </c>
      <c r="L146" s="571">
        <f t="shared" si="32"/>
        <v>11</v>
      </c>
      <c r="M146" s="571">
        <f t="shared" si="32"/>
        <v>0</v>
      </c>
      <c r="N146" s="571"/>
      <c r="O146" s="160"/>
      <c r="P146" s="160"/>
      <c r="Q146" s="160"/>
      <c r="R146" s="922">
        <f>SUM(D146:N146)</f>
        <v>57</v>
      </c>
      <c r="S146" s="160"/>
      <c r="T146" s="160"/>
      <c r="U146" s="160"/>
      <c r="V146" s="160"/>
      <c r="W146" s="160"/>
      <c r="X146" s="160"/>
      <c r="Y146" s="160"/>
      <c r="Z146" s="160"/>
      <c r="AA146" s="11"/>
      <c r="AB146" s="11"/>
      <c r="AC146" s="11"/>
    </row>
    <row r="147" spans="1:36" s="14" customFormat="1" ht="21.95" customHeight="1" x14ac:dyDescent="0.15">
      <c r="A147" s="2552"/>
      <c r="B147" s="2523"/>
      <c r="C147" s="187" t="s">
        <v>708</v>
      </c>
      <c r="D147" s="794">
        <f t="shared" ref="D147:E147" si="33">IF(D14="ROCHA",D37,0)</f>
        <v>0</v>
      </c>
      <c r="E147" s="794">
        <f t="shared" si="33"/>
        <v>0</v>
      </c>
      <c r="F147" s="794">
        <f t="shared" ref="F147:H147" si="34">IF(F14="ROCHA",F37,0)</f>
        <v>0</v>
      </c>
      <c r="G147" s="794">
        <f t="shared" si="34"/>
        <v>0</v>
      </c>
      <c r="H147" s="794">
        <f t="shared" si="34"/>
        <v>0</v>
      </c>
      <c r="I147" s="794">
        <f t="shared" ref="I147" si="35">IF(I14="ROCHA",I37,0)</f>
        <v>0</v>
      </c>
      <c r="J147" s="794">
        <f t="shared" ref="J147:L147" si="36">IF(J14="ROCHA",J37,0)</f>
        <v>0</v>
      </c>
      <c r="K147" s="794">
        <f t="shared" si="36"/>
        <v>0</v>
      </c>
      <c r="L147" s="794">
        <f t="shared" si="36"/>
        <v>0</v>
      </c>
      <c r="M147" s="794">
        <f t="shared" ref="M147" si="37">IF(M14="ROCHA",M37,0)</f>
        <v>0</v>
      </c>
      <c r="N147" s="794"/>
      <c r="O147" s="160"/>
      <c r="P147" s="160"/>
      <c r="Q147" s="160"/>
      <c r="R147" s="160"/>
      <c r="S147" s="922">
        <f>SUM(D147:N147)</f>
        <v>0</v>
      </c>
      <c r="T147" s="160"/>
      <c r="U147" s="160"/>
      <c r="V147" s="160"/>
      <c r="W147" s="160"/>
      <c r="X147" s="160"/>
      <c r="Y147" s="160"/>
      <c r="Z147" s="160"/>
      <c r="AA147" s="11"/>
      <c r="AB147" s="11"/>
      <c r="AC147" s="11"/>
      <c r="AD147" s="919"/>
      <c r="AE147" s="133"/>
      <c r="AF147" s="133"/>
      <c r="AG147" s="133"/>
      <c r="AH147" s="133"/>
      <c r="AI147" s="133"/>
      <c r="AJ147" s="133"/>
    </row>
    <row r="148" spans="1:36" s="14" customFormat="1" ht="21.95" customHeight="1" x14ac:dyDescent="0.15">
      <c r="A148" s="2552"/>
      <c r="B148" s="2549"/>
      <c r="C148" s="187" t="s">
        <v>709</v>
      </c>
      <c r="D148" s="795">
        <f t="shared" ref="D148:E148" si="38">IF(D14="ROCHA",D38,0)</f>
        <v>0</v>
      </c>
      <c r="E148" s="795">
        <f t="shared" si="38"/>
        <v>0</v>
      </c>
      <c r="F148" s="795">
        <f t="shared" ref="F148:H148" si="39">IF(F14="ROCHA",F38,0)</f>
        <v>0</v>
      </c>
      <c r="G148" s="795">
        <f t="shared" si="39"/>
        <v>0</v>
      </c>
      <c r="H148" s="795">
        <f t="shared" si="39"/>
        <v>0</v>
      </c>
      <c r="I148" s="795">
        <f t="shared" ref="I148" si="40">IF(I14="ROCHA",I38,0)</f>
        <v>0</v>
      </c>
      <c r="J148" s="795">
        <f t="shared" ref="J148:L148" si="41">IF(J14="ROCHA",J38,0)</f>
        <v>0</v>
      </c>
      <c r="K148" s="795">
        <f t="shared" si="41"/>
        <v>0</v>
      </c>
      <c r="L148" s="795">
        <f t="shared" si="41"/>
        <v>0</v>
      </c>
      <c r="M148" s="795">
        <f t="shared" ref="M148" si="42">IF(M14="ROCHA",M38,0)</f>
        <v>0</v>
      </c>
      <c r="N148" s="795"/>
      <c r="O148" s="160"/>
      <c r="P148" s="160"/>
      <c r="Q148" s="160"/>
      <c r="R148" s="160"/>
      <c r="S148" s="160"/>
      <c r="T148" s="922">
        <f>SUM(D148:N148)</f>
        <v>0</v>
      </c>
      <c r="U148" s="160"/>
      <c r="V148" s="160"/>
      <c r="W148" s="160"/>
      <c r="X148" s="160"/>
      <c r="Y148" s="160"/>
      <c r="Z148" s="160"/>
      <c r="AA148" s="11"/>
      <c r="AB148" s="11"/>
      <c r="AC148" s="11"/>
      <c r="AD148" s="919"/>
      <c r="AE148" s="133"/>
      <c r="AF148" s="133"/>
      <c r="AG148" s="133"/>
      <c r="AH148" s="133"/>
      <c r="AI148" s="133"/>
      <c r="AJ148" s="133"/>
    </row>
    <row r="149" spans="1:36" ht="21.95" customHeight="1" x14ac:dyDescent="0.15">
      <c r="A149" s="2552"/>
      <c r="B149" s="2548" t="s">
        <v>891</v>
      </c>
      <c r="C149" s="187" t="s">
        <v>1089</v>
      </c>
      <c r="D149" s="569">
        <f t="shared" ref="D149:M149" si="43">IF(D$14="ROCHA",0,IF(D$13=2,D$39,0))</f>
        <v>0</v>
      </c>
      <c r="E149" s="569">
        <f t="shared" si="43"/>
        <v>0</v>
      </c>
      <c r="F149" s="569">
        <f t="shared" si="43"/>
        <v>0</v>
      </c>
      <c r="G149" s="569">
        <f t="shared" si="43"/>
        <v>0</v>
      </c>
      <c r="H149" s="569">
        <f t="shared" si="43"/>
        <v>0</v>
      </c>
      <c r="I149" s="569">
        <f t="shared" si="43"/>
        <v>0</v>
      </c>
      <c r="J149" s="569">
        <f t="shared" si="43"/>
        <v>0</v>
      </c>
      <c r="K149" s="569">
        <f t="shared" si="43"/>
        <v>0</v>
      </c>
      <c r="L149" s="569">
        <f t="shared" si="43"/>
        <v>0</v>
      </c>
      <c r="M149" s="569">
        <f t="shared" si="43"/>
        <v>0</v>
      </c>
      <c r="N149" s="569"/>
      <c r="O149" s="160"/>
      <c r="P149" s="160"/>
      <c r="Q149" s="160"/>
      <c r="R149" s="160"/>
      <c r="S149" s="160"/>
      <c r="T149" s="160"/>
      <c r="U149" s="922">
        <f>SUM(D149:N149)</f>
        <v>0</v>
      </c>
      <c r="V149" s="160"/>
      <c r="W149" s="160"/>
      <c r="X149" s="160"/>
      <c r="Y149" s="160"/>
      <c r="Z149" s="160"/>
      <c r="AA149" s="11"/>
      <c r="AB149" s="11"/>
      <c r="AC149" s="11"/>
    </row>
    <row r="150" spans="1:36" ht="21.95" customHeight="1" x14ac:dyDescent="0.15">
      <c r="A150" s="2552"/>
      <c r="B150" s="2523"/>
      <c r="C150" s="187" t="s">
        <v>1090</v>
      </c>
      <c r="D150" s="571">
        <f t="shared" ref="D150:M150" si="44">IF(D$14="ROCHA",0,IF(D$13=1,D$39,0))</f>
        <v>0</v>
      </c>
      <c r="E150" s="571">
        <f t="shared" si="44"/>
        <v>0</v>
      </c>
      <c r="F150" s="571">
        <f t="shared" si="44"/>
        <v>0</v>
      </c>
      <c r="G150" s="571">
        <f t="shared" si="44"/>
        <v>0</v>
      </c>
      <c r="H150" s="571">
        <f t="shared" si="44"/>
        <v>0</v>
      </c>
      <c r="I150" s="571">
        <f t="shared" si="44"/>
        <v>0</v>
      </c>
      <c r="J150" s="571">
        <f t="shared" si="44"/>
        <v>0</v>
      </c>
      <c r="K150" s="571">
        <f t="shared" si="44"/>
        <v>0</v>
      </c>
      <c r="L150" s="571">
        <f t="shared" si="44"/>
        <v>0</v>
      </c>
      <c r="M150" s="571">
        <f t="shared" si="44"/>
        <v>0</v>
      </c>
      <c r="N150" s="571"/>
      <c r="O150" s="160"/>
      <c r="P150" s="160"/>
      <c r="Q150" s="160"/>
      <c r="R150" s="160"/>
      <c r="S150" s="160"/>
      <c r="T150" s="160"/>
      <c r="U150" s="160"/>
      <c r="V150" s="922">
        <f>SUM(D150:N150)</f>
        <v>0</v>
      </c>
      <c r="W150" s="160"/>
      <c r="X150" s="160"/>
      <c r="Y150" s="160"/>
      <c r="Z150" s="160"/>
      <c r="AA150" s="11"/>
      <c r="AB150" s="11"/>
      <c r="AC150" s="11"/>
    </row>
    <row r="151" spans="1:36" ht="21.95" customHeight="1" x14ac:dyDescent="0.15">
      <c r="A151" s="2552"/>
      <c r="B151" s="2523"/>
      <c r="C151" s="187" t="s">
        <v>1721</v>
      </c>
      <c r="D151" s="569">
        <f t="shared" ref="D151:M151" si="45">IF(D$14="ROCHA",0,IF(D$13=2,D$40,0))</f>
        <v>0</v>
      </c>
      <c r="E151" s="569">
        <f t="shared" si="45"/>
        <v>0</v>
      </c>
      <c r="F151" s="569">
        <f t="shared" si="45"/>
        <v>0</v>
      </c>
      <c r="G151" s="569">
        <f t="shared" si="45"/>
        <v>0</v>
      </c>
      <c r="H151" s="569">
        <f t="shared" si="45"/>
        <v>0</v>
      </c>
      <c r="I151" s="569">
        <f t="shared" si="45"/>
        <v>0</v>
      </c>
      <c r="J151" s="569">
        <f t="shared" si="45"/>
        <v>0</v>
      </c>
      <c r="K151" s="569">
        <f t="shared" si="45"/>
        <v>0</v>
      </c>
      <c r="L151" s="569">
        <f t="shared" si="45"/>
        <v>0</v>
      </c>
      <c r="M151" s="569">
        <f t="shared" si="45"/>
        <v>0</v>
      </c>
      <c r="N151" s="569"/>
      <c r="O151" s="160"/>
      <c r="P151" s="160"/>
      <c r="Q151" s="160"/>
      <c r="R151" s="160"/>
      <c r="S151" s="160"/>
      <c r="T151" s="160"/>
      <c r="U151" s="160"/>
      <c r="V151" s="160"/>
      <c r="W151" s="922">
        <f>SUM(D151:N151)</f>
        <v>0</v>
      </c>
      <c r="X151" s="160"/>
      <c r="Y151" s="160"/>
      <c r="Z151" s="160"/>
      <c r="AA151" s="11"/>
      <c r="AB151" s="11"/>
      <c r="AC151" s="11"/>
    </row>
    <row r="152" spans="1:36" ht="21.95" customHeight="1" x14ac:dyDescent="0.15">
      <c r="A152" s="2552"/>
      <c r="B152" s="2523"/>
      <c r="C152" s="187" t="s">
        <v>1722</v>
      </c>
      <c r="D152" s="571">
        <f t="shared" ref="D152:M152" si="46">IF(D$14="ROCHA",0,IF(D$13=1,D$40,0))</f>
        <v>0</v>
      </c>
      <c r="E152" s="571">
        <f t="shared" si="46"/>
        <v>0</v>
      </c>
      <c r="F152" s="571">
        <f t="shared" si="46"/>
        <v>0</v>
      </c>
      <c r="G152" s="571">
        <f t="shared" si="46"/>
        <v>0</v>
      </c>
      <c r="H152" s="571">
        <f t="shared" si="46"/>
        <v>0</v>
      </c>
      <c r="I152" s="571">
        <f t="shared" si="46"/>
        <v>0</v>
      </c>
      <c r="J152" s="571">
        <f t="shared" si="46"/>
        <v>0</v>
      </c>
      <c r="K152" s="571">
        <f t="shared" si="46"/>
        <v>0</v>
      </c>
      <c r="L152" s="571">
        <f t="shared" si="46"/>
        <v>0</v>
      </c>
      <c r="M152" s="571">
        <f t="shared" si="46"/>
        <v>0</v>
      </c>
      <c r="N152" s="571"/>
      <c r="O152" s="160"/>
      <c r="P152" s="160"/>
      <c r="Q152" s="160"/>
      <c r="R152" s="160"/>
      <c r="S152" s="160"/>
      <c r="T152" s="160"/>
      <c r="U152" s="160"/>
      <c r="V152" s="160"/>
      <c r="W152" s="160"/>
      <c r="X152" s="922">
        <f>SUM(D152:N152)</f>
        <v>0</v>
      </c>
      <c r="Y152" s="160"/>
      <c r="Z152" s="160"/>
      <c r="AA152" s="11"/>
      <c r="AB152" s="11"/>
      <c r="AC152" s="11"/>
    </row>
    <row r="153" spans="1:36" s="14" customFormat="1" ht="21.95" customHeight="1" x14ac:dyDescent="0.15">
      <c r="A153" s="2552"/>
      <c r="B153" s="2523"/>
      <c r="C153" s="187" t="s">
        <v>1117</v>
      </c>
      <c r="D153" s="794">
        <f t="shared" ref="D153:E153" si="47">IF(D14="ROCHA",D39,0)</f>
        <v>0</v>
      </c>
      <c r="E153" s="794">
        <f t="shared" si="47"/>
        <v>0</v>
      </c>
      <c r="F153" s="794">
        <f t="shared" ref="F153:H153" si="48">IF(F14="ROCHA",F39,0)</f>
        <v>0</v>
      </c>
      <c r="G153" s="794">
        <f t="shared" si="48"/>
        <v>0</v>
      </c>
      <c r="H153" s="794">
        <f t="shared" si="48"/>
        <v>0</v>
      </c>
      <c r="I153" s="794">
        <f t="shared" ref="I153" si="49">IF(I14="ROCHA",I39,0)</f>
        <v>0</v>
      </c>
      <c r="J153" s="794">
        <f t="shared" ref="J153:L153" si="50">IF(J14="ROCHA",J39,0)</f>
        <v>0</v>
      </c>
      <c r="K153" s="794">
        <f t="shared" si="50"/>
        <v>0</v>
      </c>
      <c r="L153" s="794">
        <f t="shared" si="50"/>
        <v>0</v>
      </c>
      <c r="M153" s="794">
        <f t="shared" ref="M153" si="51">IF(M14="ROCHA",M39,0)</f>
        <v>0</v>
      </c>
      <c r="N153" s="794"/>
      <c r="O153" s="160"/>
      <c r="P153" s="160"/>
      <c r="Q153" s="160"/>
      <c r="R153" s="160"/>
      <c r="S153" s="160"/>
      <c r="T153" s="160"/>
      <c r="U153" s="160"/>
      <c r="V153" s="160"/>
      <c r="W153" s="160"/>
      <c r="X153" s="160"/>
      <c r="Y153" s="922">
        <f>SUM(D153:O153)</f>
        <v>0</v>
      </c>
      <c r="Z153" s="160"/>
      <c r="AA153" s="11"/>
      <c r="AB153" s="11"/>
      <c r="AC153" s="11"/>
      <c r="AD153" s="919"/>
      <c r="AE153" s="133"/>
      <c r="AF153" s="133"/>
      <c r="AG153" s="133"/>
      <c r="AH153" s="133"/>
      <c r="AI153" s="133"/>
      <c r="AJ153" s="133"/>
    </row>
    <row r="154" spans="1:36" s="14" customFormat="1" ht="21.95" customHeight="1" x14ac:dyDescent="0.15">
      <c r="A154" s="2552"/>
      <c r="B154" s="2549"/>
      <c r="C154" s="187" t="s">
        <v>1723</v>
      </c>
      <c r="D154" s="795">
        <f t="shared" ref="D154:E154" si="52">IF(D14="ROCHA",D40,0)</f>
        <v>0</v>
      </c>
      <c r="E154" s="795">
        <f t="shared" si="52"/>
        <v>0</v>
      </c>
      <c r="F154" s="795">
        <f t="shared" ref="F154:H154" si="53">IF(F14="ROCHA",F40,0)</f>
        <v>0</v>
      </c>
      <c r="G154" s="795">
        <f t="shared" si="53"/>
        <v>0</v>
      </c>
      <c r="H154" s="795">
        <f t="shared" si="53"/>
        <v>0</v>
      </c>
      <c r="I154" s="795">
        <f t="shared" ref="I154" si="54">IF(I14="ROCHA",I40,0)</f>
        <v>0</v>
      </c>
      <c r="J154" s="795">
        <f t="shared" ref="J154:L154" si="55">IF(J14="ROCHA",J40,0)</f>
        <v>0</v>
      </c>
      <c r="K154" s="795">
        <f t="shared" si="55"/>
        <v>0</v>
      </c>
      <c r="L154" s="795">
        <f t="shared" si="55"/>
        <v>0</v>
      </c>
      <c r="M154" s="795">
        <f t="shared" ref="M154" si="56">IF(M14="ROCHA",M40,0)</f>
        <v>0</v>
      </c>
      <c r="N154" s="795"/>
      <c r="O154" s="219"/>
      <c r="P154" s="219"/>
      <c r="Q154" s="219"/>
      <c r="R154" s="219"/>
      <c r="S154" s="219"/>
      <c r="T154" s="219"/>
      <c r="U154" s="219"/>
      <c r="V154" s="219"/>
      <c r="W154" s="219"/>
      <c r="X154" s="219"/>
      <c r="Y154" s="219"/>
      <c r="Z154" s="572">
        <f>SUM(D154:O154)</f>
        <v>0</v>
      </c>
      <c r="AA154" s="190"/>
      <c r="AB154" s="190"/>
      <c r="AC154" s="190"/>
      <c r="AD154" s="919"/>
      <c r="AE154" s="133"/>
      <c r="AF154" s="133"/>
      <c r="AG154" s="133"/>
      <c r="AH154" s="133"/>
      <c r="AI154" s="133"/>
      <c r="AJ154" s="133"/>
    </row>
    <row r="155" spans="1:36" s="14" customFormat="1" ht="21.95" customHeight="1" x14ac:dyDescent="0.15">
      <c r="A155" s="2552"/>
      <c r="B155" s="220"/>
      <c r="C155" s="187"/>
      <c r="D155" s="223"/>
      <c r="E155" s="223"/>
      <c r="F155" s="223"/>
      <c r="G155" s="223"/>
      <c r="H155" s="223"/>
      <c r="I155" s="223"/>
      <c r="J155" s="223"/>
      <c r="K155" s="223"/>
      <c r="L155" s="223"/>
      <c r="M155" s="223"/>
      <c r="N155" s="223"/>
      <c r="O155" s="221"/>
      <c r="P155" s="221"/>
      <c r="Q155" s="221"/>
      <c r="R155" s="221"/>
      <c r="S155" s="221"/>
      <c r="T155" s="221"/>
      <c r="U155" s="221"/>
      <c r="V155" s="221"/>
      <c r="W155" s="221"/>
      <c r="X155" s="221"/>
      <c r="Y155" s="221"/>
      <c r="Z155" s="221"/>
      <c r="AA155" s="222"/>
      <c r="AB155" s="222"/>
      <c r="AC155" s="222"/>
      <c r="AD155" s="919"/>
      <c r="AE155" s="133"/>
      <c r="AF155" s="133"/>
      <c r="AG155" s="133"/>
      <c r="AH155" s="133"/>
      <c r="AI155" s="133"/>
      <c r="AJ155" s="133"/>
    </row>
    <row r="156" spans="1:36" s="14" customFormat="1" ht="21.95" customHeight="1" thickBot="1" x14ac:dyDescent="0.2">
      <c r="A156" s="2552"/>
      <c r="B156" s="328"/>
      <c r="C156" s="230"/>
      <c r="D156" s="340"/>
      <c r="E156" s="340"/>
      <c r="F156" s="340"/>
      <c r="G156" s="340"/>
      <c r="H156" s="340"/>
      <c r="I156" s="340"/>
      <c r="J156" s="340"/>
      <c r="K156" s="340"/>
      <c r="L156" s="340"/>
      <c r="M156" s="340"/>
      <c r="N156" s="340"/>
      <c r="O156" s="341"/>
      <c r="P156" s="341"/>
      <c r="Q156" s="341"/>
      <c r="R156" s="341"/>
      <c r="S156" s="341"/>
      <c r="T156" s="341"/>
      <c r="U156" s="341"/>
      <c r="V156" s="341"/>
      <c r="W156" s="341"/>
      <c r="X156" s="341"/>
      <c r="Y156" s="341"/>
      <c r="Z156" s="341"/>
      <c r="AA156" s="342"/>
      <c r="AB156" s="342"/>
      <c r="AC156" s="342"/>
      <c r="AD156" s="919"/>
      <c r="AE156" s="133"/>
      <c r="AF156" s="133"/>
      <c r="AG156" s="133"/>
      <c r="AH156" s="133"/>
      <c r="AI156" s="133"/>
      <c r="AJ156" s="133"/>
    </row>
    <row r="157" spans="1:36" ht="50.1" customHeight="1" thickBot="1" x14ac:dyDescent="0.2">
      <c r="A157" s="2552"/>
      <c r="B157" s="2527" t="s">
        <v>12</v>
      </c>
      <c r="C157" s="2554"/>
      <c r="D157" s="602"/>
      <c r="E157" s="602"/>
      <c r="F157" s="602"/>
      <c r="G157" s="602"/>
      <c r="H157" s="602"/>
      <c r="I157" s="602"/>
      <c r="J157" s="602"/>
      <c r="K157" s="602"/>
      <c r="L157" s="602"/>
      <c r="M157" s="602"/>
      <c r="N157" s="602"/>
      <c r="O157" s="135"/>
      <c r="P157" s="602"/>
      <c r="Q157" s="135"/>
      <c r="R157" s="602"/>
      <c r="S157" s="135"/>
      <c r="T157" s="135"/>
      <c r="U157" s="135"/>
      <c r="V157" s="602"/>
      <c r="W157" s="135"/>
      <c r="X157" s="602"/>
      <c r="Y157" s="135"/>
      <c r="Z157" s="135"/>
      <c r="AA157" s="135"/>
      <c r="AB157" s="135"/>
      <c r="AC157" s="135"/>
    </row>
    <row r="158" spans="1:36" ht="22.5" thickTop="1" x14ac:dyDescent="0.15">
      <c r="AD158" s="917"/>
      <c r="AE158" s="15"/>
      <c r="AF158" s="15"/>
      <c r="AG158" s="15"/>
      <c r="AH158" s="15"/>
      <c r="AI158" s="15"/>
      <c r="AJ158" s="15"/>
    </row>
    <row r="159" spans="1:36" x14ac:dyDescent="0.15">
      <c r="B159" s="133"/>
      <c r="C159" s="133"/>
    </row>
    <row r="160" spans="1:36" x14ac:dyDescent="0.15">
      <c r="B160" s="133"/>
      <c r="C160" s="133"/>
    </row>
    <row r="161" spans="2:3" x14ac:dyDescent="0.15">
      <c r="B161" s="133"/>
      <c r="C161" s="133"/>
    </row>
  </sheetData>
  <mergeCells count="57">
    <mergeCell ref="B73:C73"/>
    <mergeCell ref="B48:C48"/>
    <mergeCell ref="B49:C49"/>
    <mergeCell ref="B50:C50"/>
    <mergeCell ref="B51:C51"/>
    <mergeCell ref="B52:C52"/>
    <mergeCell ref="B70:C70"/>
    <mergeCell ref="B69:C69"/>
    <mergeCell ref="B68:C68"/>
    <mergeCell ref="B64:C64"/>
    <mergeCell ref="B63:C63"/>
    <mergeCell ref="B67:C67"/>
    <mergeCell ref="B66:C66"/>
    <mergeCell ref="B65:C65"/>
    <mergeCell ref="B53:C53"/>
    <mergeCell ref="B1:C1"/>
    <mergeCell ref="B2:C2"/>
    <mergeCell ref="B3:C3"/>
    <mergeCell ref="B4:B9"/>
    <mergeCell ref="B26:B36"/>
    <mergeCell ref="B11:C11"/>
    <mergeCell ref="B14:B23"/>
    <mergeCell ref="B12:C12"/>
    <mergeCell ref="B13:C13"/>
    <mergeCell ref="B24:B25"/>
    <mergeCell ref="A1:A157"/>
    <mergeCell ref="B114:B116"/>
    <mergeCell ref="B105:B107"/>
    <mergeCell ref="B117:B126"/>
    <mergeCell ref="B103:B104"/>
    <mergeCell ref="B157:C157"/>
    <mergeCell ref="B141:B142"/>
    <mergeCell ref="B127:B129"/>
    <mergeCell ref="B133:B135"/>
    <mergeCell ref="B136:B138"/>
    <mergeCell ref="B143:B148"/>
    <mergeCell ref="B149:B154"/>
    <mergeCell ref="B130:B132"/>
    <mergeCell ref="B139:C139"/>
    <mergeCell ref="B37:B38"/>
    <mergeCell ref="B10:C10"/>
    <mergeCell ref="B140:C140"/>
    <mergeCell ref="B108:B110"/>
    <mergeCell ref="B39:B40"/>
    <mergeCell ref="B72:C72"/>
    <mergeCell ref="B85:B94"/>
    <mergeCell ref="B80:B84"/>
    <mergeCell ref="B75:C75"/>
    <mergeCell ref="B111:B113"/>
    <mergeCell ref="B101:B102"/>
    <mergeCell ref="B95:B100"/>
    <mergeCell ref="B41:B47"/>
    <mergeCell ref="B74:C74"/>
    <mergeCell ref="B54:B62"/>
    <mergeCell ref="B76:B77"/>
    <mergeCell ref="B78:B79"/>
    <mergeCell ref="B71:C71"/>
  </mergeCells>
  <conditionalFormatting sqref="D6:N6">
    <cfRule type="cellIs" dxfId="99" priority="14" operator="equal">
      <formula>"P"</formula>
    </cfRule>
  </conditionalFormatting>
  <conditionalFormatting sqref="D9:N9">
    <cfRule type="cellIs" dxfId="98" priority="13" operator="equal">
      <formula>"PA-2"</formula>
    </cfRule>
  </conditionalFormatting>
  <conditionalFormatting sqref="D14:R14">
    <cfRule type="expression" dxfId="97" priority="8">
      <formula>D$14="rocha"</formula>
    </cfRule>
  </conditionalFormatting>
  <conditionalFormatting sqref="U6:Z6">
    <cfRule type="cellIs" dxfId="96" priority="264" operator="equal">
      <formula>"P"</formula>
    </cfRule>
  </conditionalFormatting>
  <hyperlinks>
    <hyperlink ref="B1:C1" location="PAINEL!A1" display="TRECHOS Nº"/>
  </hyperlinks>
  <pageMargins left="0.51181102362204722" right="0.51181102362204722" top="0.34" bottom="0.56999999999999995" header="0.31496062992125984" footer="0.31496062992125984"/>
  <pageSetup paperSize="8" scale="32" orientation="portrait" horizontalDpi="300" verticalDpi="300" r:id="rId1"/>
  <ignoredErrors>
    <ignoredError sqref="C41:C46" numberStoredAsText="1"/>
  </ignoredErrors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25" filterMode="1">
    <tabColor theme="5" tint="0.59999389629810485"/>
  </sheetPr>
  <dimension ref="A1:AG44"/>
  <sheetViews>
    <sheetView showZeros="0" zoomScaleNormal="100" zoomScaleSheetLayoutView="80" workbookViewId="0">
      <pane xSplit="5" ySplit="1" topLeftCell="F6" activePane="bottomRight" state="frozenSplit"/>
      <selection activeCell="D18" sqref="B13:I28"/>
      <selection pane="topRight" activeCell="D18" sqref="B13:I28"/>
      <selection pane="bottomLeft" activeCell="D18" sqref="B13:I28"/>
      <selection pane="bottomRight" activeCell="S14" sqref="S14"/>
    </sheetView>
  </sheetViews>
  <sheetFormatPr defaultColWidth="9" defaultRowHeight="18.75" x14ac:dyDescent="0.15"/>
  <cols>
    <col min="1" max="1" width="13.25" style="133" customWidth="1"/>
    <col min="2" max="2" width="14.625" style="13" customWidth="1"/>
    <col min="3" max="3" width="35.625" style="13" customWidth="1"/>
    <col min="4" max="4" width="3.125" style="985" hidden="1" customWidth="1"/>
    <col min="5" max="5" width="8.375" style="13" hidden="1" customWidth="1"/>
    <col min="6" max="11" width="12.625" style="133" customWidth="1"/>
    <col min="12" max="14" width="12.625" style="133" hidden="1" customWidth="1"/>
    <col min="15" max="15" width="12.625" style="133" customWidth="1"/>
    <col min="16" max="16" width="12.625" style="133" hidden="1" customWidth="1"/>
    <col min="17" max="17" width="12.625" style="133" customWidth="1"/>
    <col min="18" max="18" width="12.625" style="133" hidden="1" customWidth="1"/>
    <col min="19" max="19" width="12.625" style="133" customWidth="1"/>
    <col min="20" max="30" width="12.625" style="133" hidden="1" customWidth="1"/>
    <col min="31" max="31" width="12.625" style="420" customWidth="1"/>
    <col min="32" max="32" width="18.125" style="133" customWidth="1"/>
    <col min="33" max="36" width="10.75" style="133" customWidth="1"/>
    <col min="37" max="37" width="15.625" style="133" customWidth="1"/>
    <col min="38" max="16384" width="9" style="133"/>
  </cols>
  <sheetData>
    <row r="1" spans="1:33" s="16" customFormat="1" ht="69" thickTop="1" thickBot="1" x14ac:dyDescent="0.2">
      <c r="A1" s="2512" t="s">
        <v>314</v>
      </c>
      <c r="B1" s="2525" t="s">
        <v>346</v>
      </c>
      <c r="C1" s="2526"/>
      <c r="D1" s="990"/>
      <c r="E1" s="973" t="s">
        <v>587</v>
      </c>
      <c r="F1" s="225">
        <f ca="1">Dren_Quantificacao!D1</f>
        <v>1</v>
      </c>
      <c r="G1" s="225">
        <f ca="1">Dren_Quantificacao!E1</f>
        <v>2</v>
      </c>
      <c r="H1" s="225">
        <f ca="1">Dren_Quantificacao!F1</f>
        <v>3</v>
      </c>
      <c r="I1" s="225">
        <f ca="1">Dren_Quantificacao!G1</f>
        <v>4</v>
      </c>
      <c r="J1" s="225">
        <f ca="1">Dren_Quantificacao!H1</f>
        <v>5</v>
      </c>
      <c r="K1" s="225">
        <f ca="1">Dren_Quantificacao!I1</f>
        <v>6</v>
      </c>
      <c r="L1" s="225" t="str">
        <f>Dren_Quantificacao!J1</f>
        <v>DRENAGEM EXISTENTE - RUA PAULO SOARES VALENTIN</v>
      </c>
      <c r="M1" s="225" t="str">
        <f>Dren_Quantificacao!K1</f>
        <v>DRENAGEM EXISTENTE - RUA OLINDA GARCIA DE OLIVEIRA / RUA JOÃO TRIVELLATO</v>
      </c>
      <c r="N1" s="225" t="str">
        <f>Dren_Quantificacao!L1</f>
        <v>DRENAGEM EXISTENTE - RUA CLELIA SANTOS DA ROSA</v>
      </c>
      <c r="O1" s="225" t="str">
        <f>Dren_Quantificacao!M1</f>
        <v>DRENAGEM EXISTENTE - RUA FRANCISCO MARTINS DE SOUZA</v>
      </c>
      <c r="P1" s="225" t="str">
        <f>Dren_Quantificacao!O1</f>
        <v>RAMAL CONCRETO Ø 0,40 (m) SOLO baixa inter.</v>
      </c>
      <c r="Q1" s="225" t="str">
        <f>Dren_Quantificacao!P1</f>
        <v>RAMAL CONCRETO Ø 0,40 (m) SOLO alta inter.</v>
      </c>
      <c r="R1" s="225" t="str">
        <f>Dren_Quantificacao!Q1</f>
        <v>RAMAL CONCRETO Ø 0,60 (m) SOLO baixa inter.</v>
      </c>
      <c r="S1" s="225" t="str">
        <f>Dren_Quantificacao!R1</f>
        <v>RAMAL CONCRETO Ø 0,60 (m) SOLO alta inter.</v>
      </c>
      <c r="T1" s="225" t="str">
        <f>Dren_Quantificacao!S1</f>
        <v>RAMAL CONCRETO Ø 0,40 (m) ROCHA</v>
      </c>
      <c r="U1" s="225" t="str">
        <f>Dren_Quantificacao!T1</f>
        <v>RAMAL CONCRETO Ø 0,60 (m) ROCHA</v>
      </c>
      <c r="V1" s="225" t="str">
        <f>Dren_Quantificacao!U1</f>
        <v>RAMAL PEAD Ø 0,40 (m) SOLO baixa inter.</v>
      </c>
      <c r="W1" s="225" t="str">
        <f>Dren_Quantificacao!V1</f>
        <v>RAMAL PEAD Ø 0,40 (m) SOLO alta inter.</v>
      </c>
      <c r="X1" s="225" t="str">
        <f>Dren_Quantificacao!W1</f>
        <v>RAMAL PEAD Ø 0,50 (m) SOLO baixa inter.</v>
      </c>
      <c r="Y1" s="225" t="str">
        <f>Dren_Quantificacao!X1</f>
        <v>RAMAL PEAD Ø 0,50 (m) SOLO alta inter.</v>
      </c>
      <c r="Z1" s="225" t="str">
        <f>Dren_Quantificacao!Y1</f>
        <v>RAMAL PEAD Ø 0,40 (m) ROCHA</v>
      </c>
      <c r="AA1" s="225" t="str">
        <f>Dren_Quantificacao!Z1</f>
        <v>RAMAL PEAD Ø 0,50 (m) ROCHA</v>
      </c>
      <c r="AB1" s="225" t="str">
        <f>Dren_Quantificacao!AA1</f>
        <v>LANÇAMENTO</v>
      </c>
      <c r="AC1" s="225" t="str">
        <f>Dren_Quantificacao!AB1</f>
        <v>LANÇAMENTO</v>
      </c>
      <c r="AD1" s="225" t="str">
        <f>Dren_Quantificacao!AC1</f>
        <v>LANÇAMENTO</v>
      </c>
      <c r="AE1" s="367" t="s">
        <v>0</v>
      </c>
      <c r="AF1" s="577" t="s">
        <v>693</v>
      </c>
    </row>
    <row r="2" spans="1:33" ht="21.95" customHeight="1" thickTop="1" thickBot="1" x14ac:dyDescent="0.2">
      <c r="A2" s="2513"/>
      <c r="B2" s="2564" t="s">
        <v>3</v>
      </c>
      <c r="C2" s="2565"/>
      <c r="D2" s="991"/>
      <c r="E2" s="445"/>
      <c r="F2" s="1130">
        <f ca="1">Dren_Quantificacao!D3</f>
        <v>45.04</v>
      </c>
      <c r="G2" s="1130">
        <f ca="1">Dren_Quantificacao!E3</f>
        <v>45.04</v>
      </c>
      <c r="H2" s="1130">
        <f ca="1">Dren_Quantificacao!F3</f>
        <v>60.43</v>
      </c>
      <c r="I2" s="1130">
        <f ca="1">Dren_Quantificacao!G3</f>
        <v>60.43</v>
      </c>
      <c r="J2" s="1130">
        <f ca="1">Dren_Quantificacao!H3</f>
        <v>60.43</v>
      </c>
      <c r="K2" s="1130">
        <f ca="1">Dren_Quantificacao!I3</f>
        <v>60.44</v>
      </c>
      <c r="L2" s="1130">
        <f>Dren_Quantificacao!J3</f>
        <v>0</v>
      </c>
      <c r="M2" s="1130">
        <f>Dren_Quantificacao!K3</f>
        <v>0</v>
      </c>
      <c r="N2" s="1130">
        <f>Dren_Quantificacao!L3</f>
        <v>0</v>
      </c>
      <c r="O2" s="1130">
        <f>Dren_Quantificacao!M3</f>
        <v>0</v>
      </c>
      <c r="P2" s="1130">
        <f>Dren_Quantificacao!O3</f>
        <v>0</v>
      </c>
      <c r="Q2" s="1130">
        <f>Dren_Quantificacao!P3</f>
        <v>216</v>
      </c>
      <c r="R2" s="1130">
        <f>Dren_Quantificacao!Q3</f>
        <v>0</v>
      </c>
      <c r="S2" s="1130">
        <f>Dren_Quantificacao!R3</f>
        <v>57</v>
      </c>
      <c r="T2" s="1130">
        <f>Dren_Quantificacao!S3</f>
        <v>0</v>
      </c>
      <c r="U2" s="1130">
        <f>Dren_Quantificacao!T3</f>
        <v>0</v>
      </c>
      <c r="V2" s="1130">
        <f>Dren_Quantificacao!U3</f>
        <v>0</v>
      </c>
      <c r="W2" s="1130">
        <f>Dren_Quantificacao!V3</f>
        <v>0</v>
      </c>
      <c r="X2" s="1130">
        <f>Dren_Quantificacao!W3</f>
        <v>0</v>
      </c>
      <c r="Y2" s="1130">
        <f>Dren_Quantificacao!X3</f>
        <v>0</v>
      </c>
      <c r="Z2" s="1130">
        <f>Dren_Quantificacao!Y3</f>
        <v>0</v>
      </c>
      <c r="AA2" s="1130">
        <f>Dren_Quantificacao!Z3</f>
        <v>0</v>
      </c>
      <c r="AB2" s="1130">
        <f>Dren_Quantificacao!AA3</f>
        <v>0</v>
      </c>
      <c r="AC2" s="1130">
        <f>Dren_Quantificacao!AB3</f>
        <v>0</v>
      </c>
      <c r="AD2" s="1130">
        <f>Dren_Quantificacao!AC3</f>
        <v>0</v>
      </c>
      <c r="AE2" s="1131">
        <f ca="1">ROUND(SUM(F2:AD2),2)</f>
        <v>604.80999999999995</v>
      </c>
      <c r="AF2" s="578">
        <f t="shared" ref="AF2:AF41" ca="1" si="0">SUM(F2:AE2)</f>
        <v>1209.6199999999999</v>
      </c>
    </row>
    <row r="3" spans="1:33" s="14" customFormat="1" ht="21.95" customHeight="1" x14ac:dyDescent="0.15">
      <c r="A3" s="2513"/>
      <c r="B3" s="2522" t="s">
        <v>91</v>
      </c>
      <c r="C3" s="551" t="s">
        <v>41</v>
      </c>
      <c r="D3" s="992"/>
      <c r="E3" s="441"/>
      <c r="F3" s="228">
        <f ca="1">Dren_Quantificacao!D4</f>
        <v>1</v>
      </c>
      <c r="G3" s="228">
        <f ca="1">Dren_Quantificacao!E4</f>
        <v>1</v>
      </c>
      <c r="H3" s="228">
        <f ca="1">Dren_Quantificacao!F4</f>
        <v>1</v>
      </c>
      <c r="I3" s="228">
        <f ca="1">Dren_Quantificacao!G4</f>
        <v>1</v>
      </c>
      <c r="J3" s="228">
        <f ca="1">Dren_Quantificacao!H4</f>
        <v>1</v>
      </c>
      <c r="K3" s="228">
        <f ca="1">Dren_Quantificacao!I4</f>
        <v>1</v>
      </c>
      <c r="L3" s="228">
        <f>Dren_Quantificacao!J4</f>
        <v>0</v>
      </c>
      <c r="M3" s="228">
        <f>Dren_Quantificacao!K4</f>
        <v>0</v>
      </c>
      <c r="N3" s="228">
        <f>Dren_Quantificacao!L4</f>
        <v>0</v>
      </c>
      <c r="O3" s="228">
        <f>Dren_Quantificacao!M4</f>
        <v>0</v>
      </c>
      <c r="P3" s="228">
        <f>Dren_Quantificacao!O4</f>
        <v>1</v>
      </c>
      <c r="Q3" s="228">
        <f>Dren_Quantificacao!P4</f>
        <v>1</v>
      </c>
      <c r="R3" s="228">
        <f>Dren_Quantificacao!Q4</f>
        <v>1</v>
      </c>
      <c r="S3" s="228">
        <f>Dren_Quantificacao!R4</f>
        <v>1</v>
      </c>
      <c r="T3" s="228">
        <f>Dren_Quantificacao!S4</f>
        <v>1</v>
      </c>
      <c r="U3" s="228">
        <f>Dren_Quantificacao!T4</f>
        <v>1</v>
      </c>
      <c r="V3" s="228">
        <f>Dren_Quantificacao!U4</f>
        <v>1</v>
      </c>
      <c r="W3" s="228">
        <f>Dren_Quantificacao!V4</f>
        <v>1</v>
      </c>
      <c r="X3" s="228">
        <f>Dren_Quantificacao!W4</f>
        <v>1</v>
      </c>
      <c r="Y3" s="228">
        <f>Dren_Quantificacao!X4</f>
        <v>1</v>
      </c>
      <c r="Z3" s="228">
        <f>Dren_Quantificacao!Y4</f>
        <v>1</v>
      </c>
      <c r="AA3" s="228">
        <f>Dren_Quantificacao!Z4</f>
        <v>1</v>
      </c>
      <c r="AB3" s="228">
        <f>Dren_Quantificacao!AA4</f>
        <v>0</v>
      </c>
      <c r="AC3" s="228">
        <f>Dren_Quantificacao!AB4</f>
        <v>0</v>
      </c>
      <c r="AD3" s="228">
        <f>Dren_Quantificacao!AC4</f>
        <v>0</v>
      </c>
      <c r="AE3" s="573"/>
      <c r="AF3" s="578">
        <f t="shared" ca="1" si="0"/>
        <v>18</v>
      </c>
      <c r="AG3" s="133"/>
    </row>
    <row r="4" spans="1:33" ht="21.95" customHeight="1" thickBot="1" x14ac:dyDescent="0.2">
      <c r="A4" s="2513"/>
      <c r="B4" s="2523"/>
      <c r="C4" s="566" t="s">
        <v>71</v>
      </c>
      <c r="E4" s="442"/>
      <c r="F4" s="134">
        <f ca="1">Dren_Quantificacao!D5</f>
        <v>0.6</v>
      </c>
      <c r="G4" s="134">
        <f ca="1">Dren_Quantificacao!E5</f>
        <v>0.6</v>
      </c>
      <c r="H4" s="134">
        <f ca="1">Dren_Quantificacao!F5</f>
        <v>0.6</v>
      </c>
      <c r="I4" s="134">
        <f ca="1">Dren_Quantificacao!G5</f>
        <v>0.8</v>
      </c>
      <c r="J4" s="134">
        <f ca="1">Dren_Quantificacao!H5</f>
        <v>0.8</v>
      </c>
      <c r="K4" s="134">
        <f ca="1">Dren_Quantificacao!I5</f>
        <v>0.8</v>
      </c>
      <c r="L4" s="134">
        <f>Dren_Quantificacao!J5</f>
        <v>0</v>
      </c>
      <c r="M4" s="134">
        <f>Dren_Quantificacao!K5</f>
        <v>0</v>
      </c>
      <c r="N4" s="134">
        <f>Dren_Quantificacao!L5</f>
        <v>0</v>
      </c>
      <c r="O4" s="134">
        <f>Dren_Quantificacao!M5</f>
        <v>0</v>
      </c>
      <c r="P4" s="134">
        <f>Dren_Quantificacao!O5</f>
        <v>0.4</v>
      </c>
      <c r="Q4" s="134">
        <f>Dren_Quantificacao!P5</f>
        <v>0.4</v>
      </c>
      <c r="R4" s="134">
        <f>Dren_Quantificacao!Q5</f>
        <v>0.6</v>
      </c>
      <c r="S4" s="134">
        <f>Dren_Quantificacao!R5</f>
        <v>0.6</v>
      </c>
      <c r="T4" s="134">
        <f>Dren_Quantificacao!S5</f>
        <v>0.4</v>
      </c>
      <c r="U4" s="134">
        <f>Dren_Quantificacao!T5</f>
        <v>0.6</v>
      </c>
      <c r="V4" s="134">
        <f>Dren_Quantificacao!U5</f>
        <v>0.4</v>
      </c>
      <c r="W4" s="134">
        <f>Dren_Quantificacao!V5</f>
        <v>0.4</v>
      </c>
      <c r="X4" s="134">
        <f>Dren_Quantificacao!W5</f>
        <v>0.5</v>
      </c>
      <c r="Y4" s="134">
        <f>Dren_Quantificacao!X5</f>
        <v>0.5</v>
      </c>
      <c r="Z4" s="134">
        <f>Dren_Quantificacao!Y5</f>
        <v>0.4</v>
      </c>
      <c r="AA4" s="134">
        <f>Dren_Quantificacao!Z5</f>
        <v>0.5</v>
      </c>
      <c r="AB4" s="134">
        <f>Dren_Quantificacao!AA5</f>
        <v>0</v>
      </c>
      <c r="AC4" s="134">
        <f>Dren_Quantificacao!AB5</f>
        <v>0</v>
      </c>
      <c r="AD4" s="134">
        <f>Dren_Quantificacao!AC5</f>
        <v>0</v>
      </c>
      <c r="AE4" s="574"/>
      <c r="AF4" s="578">
        <f t="shared" ca="1" si="0"/>
        <v>9.9</v>
      </c>
    </row>
    <row r="5" spans="1:33" ht="21.95" hidden="1" customHeight="1" thickBot="1" x14ac:dyDescent="0.2">
      <c r="A5" s="2513"/>
      <c r="B5" s="2524"/>
      <c r="C5" s="565" t="s">
        <v>469</v>
      </c>
      <c r="D5" s="986"/>
      <c r="E5" s="231"/>
      <c r="F5" s="233">
        <f ca="1">Dren_Quantificacao!D7</f>
        <v>0</v>
      </c>
      <c r="G5" s="233">
        <f ca="1">Dren_Quantificacao!E7</f>
        <v>0</v>
      </c>
      <c r="H5" s="233">
        <f ca="1">Dren_Quantificacao!F7</f>
        <v>0</v>
      </c>
      <c r="I5" s="233">
        <f ca="1">Dren_Quantificacao!G7</f>
        <v>0</v>
      </c>
      <c r="J5" s="233">
        <f ca="1">Dren_Quantificacao!H7</f>
        <v>0</v>
      </c>
      <c r="K5" s="233">
        <f ca="1">Dren_Quantificacao!I7</f>
        <v>0</v>
      </c>
      <c r="L5" s="233">
        <f>Dren_Quantificacao!J7</f>
        <v>0</v>
      </c>
      <c r="M5" s="233">
        <f>Dren_Quantificacao!K7</f>
        <v>0</v>
      </c>
      <c r="N5" s="233">
        <f>Dren_Quantificacao!L7</f>
        <v>0</v>
      </c>
      <c r="O5" s="233">
        <f>Dren_Quantificacao!M7</f>
        <v>0</v>
      </c>
      <c r="P5" s="233">
        <f>Dren_Quantificacao!O7</f>
        <v>0</v>
      </c>
      <c r="Q5" s="233">
        <f>Dren_Quantificacao!P7</f>
        <v>0</v>
      </c>
      <c r="R5" s="233">
        <f>Dren_Quantificacao!Q7</f>
        <v>0</v>
      </c>
      <c r="S5" s="233">
        <f>Dren_Quantificacao!R7</f>
        <v>0</v>
      </c>
      <c r="T5" s="233">
        <f>Dren_Quantificacao!S7</f>
        <v>0</v>
      </c>
      <c r="U5" s="233">
        <f>Dren_Quantificacao!T7</f>
        <v>0</v>
      </c>
      <c r="V5" s="233">
        <f>Dren_Quantificacao!U7</f>
        <v>0</v>
      </c>
      <c r="W5" s="233">
        <f>Dren_Quantificacao!V7</f>
        <v>0</v>
      </c>
      <c r="X5" s="233">
        <f>Dren_Quantificacao!W7</f>
        <v>0</v>
      </c>
      <c r="Y5" s="233">
        <f>Dren_Quantificacao!X7</f>
        <v>0</v>
      </c>
      <c r="Z5" s="233">
        <f>Dren_Quantificacao!Y7</f>
        <v>0</v>
      </c>
      <c r="AA5" s="233">
        <f>Dren_Quantificacao!Z7</f>
        <v>0</v>
      </c>
      <c r="AB5" s="233">
        <f>Dren_Quantificacao!AA7</f>
        <v>0</v>
      </c>
      <c r="AC5" s="233">
        <f>Dren_Quantificacao!AB7</f>
        <v>0</v>
      </c>
      <c r="AD5" s="233">
        <f>Dren_Quantificacao!AC7</f>
        <v>0</v>
      </c>
      <c r="AE5" s="575"/>
      <c r="AF5" s="578">
        <f t="shared" ca="1" si="0"/>
        <v>0</v>
      </c>
    </row>
    <row r="6" spans="1:33" ht="21.95" customHeight="1" x14ac:dyDescent="0.15">
      <c r="A6" s="2513"/>
      <c r="B6" s="2570" t="s">
        <v>470</v>
      </c>
      <c r="C6" s="549" t="s">
        <v>475</v>
      </c>
      <c r="D6" s="984"/>
      <c r="E6" s="441"/>
      <c r="F6" s="424">
        <v>0.5</v>
      </c>
      <c r="G6" s="424">
        <v>0.5</v>
      </c>
      <c r="H6" s="424">
        <v>0.5</v>
      </c>
      <c r="I6" s="424">
        <v>0.5</v>
      </c>
      <c r="J6" s="424">
        <v>0.5</v>
      </c>
      <c r="K6" s="424">
        <v>0.5</v>
      </c>
      <c r="L6" s="424">
        <v>0.5</v>
      </c>
      <c r="M6" s="424">
        <v>0.5</v>
      </c>
      <c r="N6" s="424">
        <v>0.5</v>
      </c>
      <c r="O6" s="424">
        <v>0.5</v>
      </c>
      <c r="P6" s="424">
        <v>0.5</v>
      </c>
      <c r="Q6" s="424">
        <v>0.5</v>
      </c>
      <c r="R6" s="424">
        <v>0.5</v>
      </c>
      <c r="S6" s="424">
        <v>0.5</v>
      </c>
      <c r="T6" s="424">
        <v>0.5</v>
      </c>
      <c r="U6" s="424">
        <v>0.5</v>
      </c>
      <c r="V6" s="424">
        <v>0.5</v>
      </c>
      <c r="W6" s="424">
        <v>0.5</v>
      </c>
      <c r="X6" s="424">
        <v>0.5</v>
      </c>
      <c r="Y6" s="424">
        <v>0.5</v>
      </c>
      <c r="Z6" s="424">
        <v>0.5</v>
      </c>
      <c r="AA6" s="424">
        <v>0.5</v>
      </c>
      <c r="AB6" s="424">
        <v>0.5</v>
      </c>
      <c r="AC6" s="424">
        <v>0.5</v>
      </c>
      <c r="AD6" s="424">
        <v>0.5</v>
      </c>
      <c r="AE6" s="573"/>
      <c r="AF6" s="578">
        <f t="shared" si="0"/>
        <v>12.5</v>
      </c>
    </row>
    <row r="7" spans="1:33" ht="21.95" customHeight="1" x14ac:dyDescent="0.15">
      <c r="A7" s="2513"/>
      <c r="B7" s="2571"/>
      <c r="C7" s="974" t="s">
        <v>1214</v>
      </c>
      <c r="E7" s="977"/>
      <c r="F7" s="1132">
        <f t="shared" ref="F7:G7" si="1">F13+F20</f>
        <v>0</v>
      </c>
      <c r="G7" s="1132">
        <f t="shared" si="1"/>
        <v>0</v>
      </c>
      <c r="H7" s="1132">
        <f t="shared" ref="H7:O7" si="2">H13+H20</f>
        <v>0</v>
      </c>
      <c r="I7" s="1132">
        <f t="shared" si="2"/>
        <v>0</v>
      </c>
      <c r="J7" s="1132">
        <f t="shared" si="2"/>
        <v>0</v>
      </c>
      <c r="K7" s="1132">
        <f t="shared" si="2"/>
        <v>0</v>
      </c>
      <c r="L7" s="1132">
        <f t="shared" si="2"/>
        <v>0</v>
      </c>
      <c r="M7" s="1132">
        <f t="shared" si="2"/>
        <v>0</v>
      </c>
      <c r="N7" s="1132">
        <f t="shared" si="2"/>
        <v>0</v>
      </c>
      <c r="O7" s="1132">
        <f t="shared" si="2"/>
        <v>4</v>
      </c>
      <c r="P7" s="1132">
        <f t="shared" ref="P7" si="3">P13+P20</f>
        <v>0</v>
      </c>
      <c r="Q7" s="1132">
        <f t="shared" ref="Q7:AD7" si="4">Q13+Q20</f>
        <v>0</v>
      </c>
      <c r="R7" s="1132">
        <f t="shared" si="4"/>
        <v>0</v>
      </c>
      <c r="S7" s="1132">
        <f t="shared" si="4"/>
        <v>0</v>
      </c>
      <c r="T7" s="1132">
        <f t="shared" si="4"/>
        <v>0</v>
      </c>
      <c r="U7" s="1132">
        <f t="shared" si="4"/>
        <v>0</v>
      </c>
      <c r="V7" s="1132">
        <f t="shared" si="4"/>
        <v>0</v>
      </c>
      <c r="W7" s="1132">
        <f t="shared" si="4"/>
        <v>0</v>
      </c>
      <c r="X7" s="1132">
        <f t="shared" si="4"/>
        <v>0</v>
      </c>
      <c r="Y7" s="1132">
        <f t="shared" si="4"/>
        <v>0</v>
      </c>
      <c r="Z7" s="1132">
        <f t="shared" si="4"/>
        <v>0</v>
      </c>
      <c r="AA7" s="1132">
        <f t="shared" si="4"/>
        <v>0</v>
      </c>
      <c r="AB7" s="1132">
        <f t="shared" si="4"/>
        <v>0</v>
      </c>
      <c r="AC7" s="1132">
        <f t="shared" si="4"/>
        <v>0</v>
      </c>
      <c r="AD7" s="1132">
        <f t="shared" si="4"/>
        <v>0</v>
      </c>
      <c r="AE7" s="1133"/>
      <c r="AF7" s="578">
        <f t="shared" si="0"/>
        <v>4</v>
      </c>
    </row>
    <row r="8" spans="1:33" ht="21.95" customHeight="1" thickBot="1" x14ac:dyDescent="0.2">
      <c r="A8" s="2513"/>
      <c r="B8" s="2572"/>
      <c r="C8" s="565" t="s">
        <v>1213</v>
      </c>
      <c r="D8" s="986"/>
      <c r="E8" s="231"/>
      <c r="F8" s="1134">
        <f t="shared" ref="F8:G8" ca="1" si="5">F6*F2</f>
        <v>22.52</v>
      </c>
      <c r="G8" s="1134">
        <f t="shared" ca="1" si="5"/>
        <v>22.52</v>
      </c>
      <c r="H8" s="1134">
        <f t="shared" ref="H8:O8" ca="1" si="6">H6*H2</f>
        <v>30.215</v>
      </c>
      <c r="I8" s="1134">
        <f t="shared" ca="1" si="6"/>
        <v>30.215</v>
      </c>
      <c r="J8" s="1134">
        <f t="shared" ca="1" si="6"/>
        <v>30.215</v>
      </c>
      <c r="K8" s="1134">
        <f t="shared" ca="1" si="6"/>
        <v>30.22</v>
      </c>
      <c r="L8" s="1134">
        <f t="shared" si="6"/>
        <v>0</v>
      </c>
      <c r="M8" s="1134">
        <f t="shared" si="6"/>
        <v>0</v>
      </c>
      <c r="N8" s="1134">
        <f t="shared" si="6"/>
        <v>0</v>
      </c>
      <c r="O8" s="1134">
        <f t="shared" si="6"/>
        <v>0</v>
      </c>
      <c r="P8" s="1134">
        <f t="shared" ref="P8" si="7">P6*P2</f>
        <v>0</v>
      </c>
      <c r="Q8" s="1134">
        <f t="shared" ref="Q8:AD8" si="8">Q6*Q2</f>
        <v>108</v>
      </c>
      <c r="R8" s="1134">
        <f t="shared" si="8"/>
        <v>0</v>
      </c>
      <c r="S8" s="1134">
        <f t="shared" si="8"/>
        <v>28.5</v>
      </c>
      <c r="T8" s="1134">
        <f t="shared" si="8"/>
        <v>0</v>
      </c>
      <c r="U8" s="1134">
        <f t="shared" si="8"/>
        <v>0</v>
      </c>
      <c r="V8" s="1134">
        <f t="shared" si="8"/>
        <v>0</v>
      </c>
      <c r="W8" s="1134">
        <f t="shared" si="8"/>
        <v>0</v>
      </c>
      <c r="X8" s="1134">
        <f t="shared" si="8"/>
        <v>0</v>
      </c>
      <c r="Y8" s="1134">
        <f t="shared" si="8"/>
        <v>0</v>
      </c>
      <c r="Z8" s="1134">
        <f t="shared" si="8"/>
        <v>0</v>
      </c>
      <c r="AA8" s="1134">
        <f t="shared" si="8"/>
        <v>0</v>
      </c>
      <c r="AB8" s="1134">
        <f t="shared" si="8"/>
        <v>0</v>
      </c>
      <c r="AC8" s="1134">
        <f t="shared" si="8"/>
        <v>0</v>
      </c>
      <c r="AD8" s="1134">
        <f t="shared" si="8"/>
        <v>0</v>
      </c>
      <c r="AE8" s="1135">
        <f ca="1">ROUND(SUM(F8:AD8),2)</f>
        <v>302.41000000000003</v>
      </c>
      <c r="AF8" s="578">
        <f t="shared" ca="1" si="0"/>
        <v>604.81500000000005</v>
      </c>
    </row>
    <row r="9" spans="1:33" ht="21.95" customHeight="1" x14ac:dyDescent="0.15">
      <c r="A9" s="2513"/>
      <c r="B9" s="2566" t="s">
        <v>1212</v>
      </c>
      <c r="C9" s="549" t="s">
        <v>316</v>
      </c>
      <c r="D9" s="984"/>
      <c r="E9" s="443"/>
      <c r="F9" s="1136">
        <f t="shared" ref="F9:G9" si="9">IF(F13&gt;0,0.8,0)</f>
        <v>0</v>
      </c>
      <c r="G9" s="1136">
        <f t="shared" si="9"/>
        <v>0</v>
      </c>
      <c r="H9" s="1136">
        <f t="shared" ref="H9:O9" si="10">IF(H13&gt;0,0.8,0)</f>
        <v>0</v>
      </c>
      <c r="I9" s="1136">
        <f t="shared" si="10"/>
        <v>0</v>
      </c>
      <c r="J9" s="1136">
        <f t="shared" si="10"/>
        <v>0</v>
      </c>
      <c r="K9" s="1136">
        <f t="shared" si="10"/>
        <v>0</v>
      </c>
      <c r="L9" s="1136">
        <f t="shared" si="10"/>
        <v>0</v>
      </c>
      <c r="M9" s="1136">
        <f t="shared" si="10"/>
        <v>0</v>
      </c>
      <c r="N9" s="1136">
        <f t="shared" si="10"/>
        <v>0</v>
      </c>
      <c r="O9" s="1136">
        <f t="shared" si="10"/>
        <v>0.8</v>
      </c>
      <c r="P9" s="1136">
        <f t="shared" ref="P9" si="11">IF(P13&gt;0,0.8,0)</f>
        <v>0</v>
      </c>
      <c r="Q9" s="1136">
        <f t="shared" ref="Q9:AD9" si="12">IF(Q13&gt;0,0.8,0)</f>
        <v>0</v>
      </c>
      <c r="R9" s="1136">
        <f t="shared" si="12"/>
        <v>0</v>
      </c>
      <c r="S9" s="1136">
        <f t="shared" si="12"/>
        <v>0</v>
      </c>
      <c r="T9" s="1136">
        <f t="shared" si="12"/>
        <v>0</v>
      </c>
      <c r="U9" s="1136">
        <f t="shared" si="12"/>
        <v>0</v>
      </c>
      <c r="V9" s="1136">
        <f t="shared" si="12"/>
        <v>0</v>
      </c>
      <c r="W9" s="1136">
        <f t="shared" si="12"/>
        <v>0</v>
      </c>
      <c r="X9" s="1136">
        <f t="shared" si="12"/>
        <v>0</v>
      </c>
      <c r="Y9" s="1136">
        <f t="shared" si="12"/>
        <v>0</v>
      </c>
      <c r="Z9" s="1136">
        <f t="shared" si="12"/>
        <v>0</v>
      </c>
      <c r="AA9" s="1136">
        <f t="shared" si="12"/>
        <v>0</v>
      </c>
      <c r="AB9" s="1136">
        <f t="shared" si="12"/>
        <v>0</v>
      </c>
      <c r="AC9" s="1136">
        <f t="shared" si="12"/>
        <v>0</v>
      </c>
      <c r="AD9" s="1136">
        <f t="shared" si="12"/>
        <v>0</v>
      </c>
      <c r="AE9" s="1137"/>
      <c r="AF9" s="578">
        <f t="shared" si="0"/>
        <v>0.8</v>
      </c>
    </row>
    <row r="10" spans="1:33" ht="21.95" customHeight="1" x14ac:dyDescent="0.15">
      <c r="A10" s="2513"/>
      <c r="B10" s="2539"/>
      <c r="C10" s="566" t="s">
        <v>317</v>
      </c>
      <c r="E10" s="442"/>
      <c r="F10" s="1138">
        <f t="shared" ref="F10:G10" si="13">IF(F9&gt;0,0.6,0)</f>
        <v>0</v>
      </c>
      <c r="G10" s="1138">
        <f t="shared" si="13"/>
        <v>0</v>
      </c>
      <c r="H10" s="1138">
        <f t="shared" ref="H10:O10" si="14">IF(H9&gt;0,0.6,0)</f>
        <v>0</v>
      </c>
      <c r="I10" s="1138">
        <f t="shared" si="14"/>
        <v>0</v>
      </c>
      <c r="J10" s="1138">
        <f t="shared" si="14"/>
        <v>0</v>
      </c>
      <c r="K10" s="1138">
        <f t="shared" si="14"/>
        <v>0</v>
      </c>
      <c r="L10" s="1138">
        <f t="shared" si="14"/>
        <v>0</v>
      </c>
      <c r="M10" s="1138">
        <f t="shared" si="14"/>
        <v>0</v>
      </c>
      <c r="N10" s="1138">
        <f t="shared" si="14"/>
        <v>0</v>
      </c>
      <c r="O10" s="1138">
        <f t="shared" si="14"/>
        <v>0.6</v>
      </c>
      <c r="P10" s="1138">
        <f t="shared" ref="P10" si="15">IF(P9&gt;0,0.6,0)</f>
        <v>0</v>
      </c>
      <c r="Q10" s="1138">
        <f t="shared" ref="Q10:AD10" si="16">IF(Q9&gt;0,0.6,0)</f>
        <v>0</v>
      </c>
      <c r="R10" s="1138">
        <f t="shared" si="16"/>
        <v>0</v>
      </c>
      <c r="S10" s="1138">
        <f t="shared" si="16"/>
        <v>0</v>
      </c>
      <c r="T10" s="1138">
        <f t="shared" si="16"/>
        <v>0</v>
      </c>
      <c r="U10" s="1138">
        <f t="shared" si="16"/>
        <v>0</v>
      </c>
      <c r="V10" s="1138">
        <f t="shared" si="16"/>
        <v>0</v>
      </c>
      <c r="W10" s="1138">
        <f t="shared" si="16"/>
        <v>0</v>
      </c>
      <c r="X10" s="1138">
        <f t="shared" si="16"/>
        <v>0</v>
      </c>
      <c r="Y10" s="1138">
        <f t="shared" si="16"/>
        <v>0</v>
      </c>
      <c r="Z10" s="1138">
        <f t="shared" si="16"/>
        <v>0</v>
      </c>
      <c r="AA10" s="1138">
        <f t="shared" si="16"/>
        <v>0</v>
      </c>
      <c r="AB10" s="1138">
        <f t="shared" si="16"/>
        <v>0</v>
      </c>
      <c r="AC10" s="1138">
        <f t="shared" si="16"/>
        <v>0</v>
      </c>
      <c r="AD10" s="1138">
        <f t="shared" si="16"/>
        <v>0</v>
      </c>
      <c r="AE10" s="1133"/>
      <c r="AF10" s="578">
        <f t="shared" si="0"/>
        <v>0.6</v>
      </c>
    </row>
    <row r="11" spans="1:33" ht="21.95" customHeight="1" x14ac:dyDescent="0.15">
      <c r="A11" s="2513"/>
      <c r="B11" s="2539"/>
      <c r="C11" s="566" t="s">
        <v>315</v>
      </c>
      <c r="E11" s="442"/>
      <c r="F11" s="1138">
        <f t="shared" ref="F11:G11" si="17">F10+F9</f>
        <v>0</v>
      </c>
      <c r="G11" s="1138">
        <f t="shared" si="17"/>
        <v>0</v>
      </c>
      <c r="H11" s="1138">
        <f t="shared" ref="H11:O11" si="18">H10+H9</f>
        <v>0</v>
      </c>
      <c r="I11" s="1138">
        <f t="shared" si="18"/>
        <v>0</v>
      </c>
      <c r="J11" s="1138">
        <f t="shared" si="18"/>
        <v>0</v>
      </c>
      <c r="K11" s="1138">
        <f t="shared" si="18"/>
        <v>0</v>
      </c>
      <c r="L11" s="1138">
        <f t="shared" si="18"/>
        <v>0</v>
      </c>
      <c r="M11" s="1138">
        <f t="shared" si="18"/>
        <v>0</v>
      </c>
      <c r="N11" s="1138">
        <f t="shared" si="18"/>
        <v>0</v>
      </c>
      <c r="O11" s="1138">
        <f t="shared" si="18"/>
        <v>1.4</v>
      </c>
      <c r="P11" s="1138">
        <f t="shared" ref="P11" si="19">P10+P9</f>
        <v>0</v>
      </c>
      <c r="Q11" s="1138">
        <f t="shared" ref="Q11:AD11" si="20">Q10+Q9</f>
        <v>0</v>
      </c>
      <c r="R11" s="1138">
        <f t="shared" si="20"/>
        <v>0</v>
      </c>
      <c r="S11" s="1138">
        <f t="shared" si="20"/>
        <v>0</v>
      </c>
      <c r="T11" s="1138">
        <f t="shared" si="20"/>
        <v>0</v>
      </c>
      <c r="U11" s="1138">
        <f t="shared" si="20"/>
        <v>0</v>
      </c>
      <c r="V11" s="1138">
        <f t="shared" si="20"/>
        <v>0</v>
      </c>
      <c r="W11" s="1138">
        <f t="shared" si="20"/>
        <v>0</v>
      </c>
      <c r="X11" s="1138">
        <f t="shared" si="20"/>
        <v>0</v>
      </c>
      <c r="Y11" s="1138">
        <f t="shared" si="20"/>
        <v>0</v>
      </c>
      <c r="Z11" s="1138">
        <f t="shared" si="20"/>
        <v>0</v>
      </c>
      <c r="AA11" s="1138">
        <f t="shared" si="20"/>
        <v>0</v>
      </c>
      <c r="AB11" s="1138">
        <f t="shared" si="20"/>
        <v>0</v>
      </c>
      <c r="AC11" s="1138">
        <f t="shared" si="20"/>
        <v>0</v>
      </c>
      <c r="AD11" s="1138">
        <f t="shared" si="20"/>
        <v>0</v>
      </c>
      <c r="AE11" s="1133"/>
      <c r="AF11" s="578">
        <f t="shared" si="0"/>
        <v>1.4</v>
      </c>
    </row>
    <row r="12" spans="1:33" ht="21.95" customHeight="1" x14ac:dyDescent="0.15">
      <c r="A12" s="2513"/>
      <c r="B12" s="2539"/>
      <c r="C12" s="566" t="s">
        <v>45</v>
      </c>
      <c r="E12" s="442"/>
      <c r="F12" s="1138">
        <f t="shared" ref="F12:G12" si="21">IF(F9&gt;0,5,0)</f>
        <v>0</v>
      </c>
      <c r="G12" s="1138">
        <f t="shared" si="21"/>
        <v>0</v>
      </c>
      <c r="H12" s="1138">
        <f t="shared" ref="H12:O12" si="22">IF(H9&gt;0,5,0)</f>
        <v>0</v>
      </c>
      <c r="I12" s="1138">
        <f t="shared" si="22"/>
        <v>0</v>
      </c>
      <c r="J12" s="1138">
        <f t="shared" si="22"/>
        <v>0</v>
      </c>
      <c r="K12" s="1138">
        <f t="shared" si="22"/>
        <v>0</v>
      </c>
      <c r="L12" s="1138">
        <f t="shared" si="22"/>
        <v>0</v>
      </c>
      <c r="M12" s="1138">
        <f t="shared" si="22"/>
        <v>0</v>
      </c>
      <c r="N12" s="1138">
        <f t="shared" si="22"/>
        <v>0</v>
      </c>
      <c r="O12" s="1138">
        <f t="shared" si="22"/>
        <v>5</v>
      </c>
      <c r="P12" s="1138">
        <f t="shared" ref="P12" si="23">IF(P9&gt;0,5,0)</f>
        <v>0</v>
      </c>
      <c r="Q12" s="1138">
        <f t="shared" ref="Q12:AD12" si="24">IF(Q9&gt;0,5,0)</f>
        <v>0</v>
      </c>
      <c r="R12" s="1138">
        <f t="shared" si="24"/>
        <v>0</v>
      </c>
      <c r="S12" s="1138">
        <f t="shared" si="24"/>
        <v>0</v>
      </c>
      <c r="T12" s="1138">
        <f t="shared" si="24"/>
        <v>0</v>
      </c>
      <c r="U12" s="1138">
        <f t="shared" si="24"/>
        <v>0</v>
      </c>
      <c r="V12" s="1138">
        <f t="shared" si="24"/>
        <v>0</v>
      </c>
      <c r="W12" s="1138">
        <f t="shared" si="24"/>
        <v>0</v>
      </c>
      <c r="X12" s="1138">
        <f t="shared" si="24"/>
        <v>0</v>
      </c>
      <c r="Y12" s="1138">
        <f t="shared" si="24"/>
        <v>0</v>
      </c>
      <c r="Z12" s="1138">
        <f t="shared" si="24"/>
        <v>0</v>
      </c>
      <c r="AA12" s="1138">
        <f t="shared" si="24"/>
        <v>0</v>
      </c>
      <c r="AB12" s="1138">
        <f t="shared" si="24"/>
        <v>0</v>
      </c>
      <c r="AC12" s="1138">
        <f t="shared" si="24"/>
        <v>0</v>
      </c>
      <c r="AD12" s="1138">
        <f t="shared" si="24"/>
        <v>0</v>
      </c>
      <c r="AE12" s="1133"/>
      <c r="AF12" s="578">
        <f t="shared" si="0"/>
        <v>5</v>
      </c>
    </row>
    <row r="13" spans="1:33" ht="21.95" customHeight="1" x14ac:dyDescent="0.15">
      <c r="A13" s="2513"/>
      <c r="B13" s="2539"/>
      <c r="C13" s="566" t="s">
        <v>3</v>
      </c>
      <c r="E13" s="442"/>
      <c r="F13" s="1138">
        <f>Dren_Quantificacao!D26</f>
        <v>0</v>
      </c>
      <c r="G13" s="1138">
        <f>Dren_Quantificacao!E26</f>
        <v>0</v>
      </c>
      <c r="H13" s="1138">
        <f>Dren_Quantificacao!F26</f>
        <v>0</v>
      </c>
      <c r="I13" s="1138">
        <f>Dren_Quantificacao!G26</f>
        <v>0</v>
      </c>
      <c r="J13" s="1138">
        <f>Dren_Quantificacao!H26</f>
        <v>0</v>
      </c>
      <c r="K13" s="1138">
        <f>Dren_Quantificacao!I26</f>
        <v>0</v>
      </c>
      <c r="L13" s="1138">
        <f>Dren_Quantificacao!J26</f>
        <v>0</v>
      </c>
      <c r="M13" s="1138">
        <f>Dren_Quantificacao!K26</f>
        <v>0</v>
      </c>
      <c r="N13" s="1138">
        <f>Dren_Quantificacao!L26</f>
        <v>0</v>
      </c>
      <c r="O13" s="1138">
        <f>Dren_Quantificacao!M26</f>
        <v>4</v>
      </c>
      <c r="P13" s="1138">
        <f>Dren_Quantificacao!O26</f>
        <v>0</v>
      </c>
      <c r="Q13" s="1138">
        <f>Dren_Quantificacao!P26</f>
        <v>0</v>
      </c>
      <c r="R13" s="1138">
        <f>Dren_Quantificacao!Q26</f>
        <v>0</v>
      </c>
      <c r="S13" s="1138">
        <f>Dren_Quantificacao!R26</f>
        <v>0</v>
      </c>
      <c r="T13" s="1138">
        <f>Dren_Quantificacao!S26</f>
        <v>0</v>
      </c>
      <c r="U13" s="1138">
        <f>Dren_Quantificacao!T26</f>
        <v>0</v>
      </c>
      <c r="V13" s="1138">
        <f>Dren_Quantificacao!U26</f>
        <v>0</v>
      </c>
      <c r="W13" s="1138">
        <f>Dren_Quantificacao!V26</f>
        <v>0</v>
      </c>
      <c r="X13" s="1138">
        <f>Dren_Quantificacao!W26</f>
        <v>0</v>
      </c>
      <c r="Y13" s="1138">
        <f>Dren_Quantificacao!X26</f>
        <v>0</v>
      </c>
      <c r="Z13" s="1138">
        <f>Dren_Quantificacao!Y26</f>
        <v>0</v>
      </c>
      <c r="AA13" s="1138">
        <f>Dren_Quantificacao!Z26</f>
        <v>0</v>
      </c>
      <c r="AB13" s="1138">
        <f>Dren_Quantificacao!AA26</f>
        <v>0</v>
      </c>
      <c r="AC13" s="1138">
        <f>Dren_Quantificacao!AB26</f>
        <v>0</v>
      </c>
      <c r="AD13" s="1138">
        <f>Dren_Quantificacao!AC26</f>
        <v>0</v>
      </c>
      <c r="AE13" s="1139">
        <f>ROUND(SUM(F13:AD13),2)</f>
        <v>4</v>
      </c>
      <c r="AF13" s="578">
        <f t="shared" si="0"/>
        <v>8</v>
      </c>
    </row>
    <row r="14" spans="1:33" ht="21.95" customHeight="1" x14ac:dyDescent="0.15">
      <c r="A14" s="2513"/>
      <c r="B14" s="2548"/>
      <c r="C14" s="567" t="s">
        <v>29</v>
      </c>
      <c r="E14" s="442"/>
      <c r="F14" s="1138">
        <f t="shared" ref="F14:G14" si="25">F13*F11</f>
        <v>0</v>
      </c>
      <c r="G14" s="1138">
        <f t="shared" si="25"/>
        <v>0</v>
      </c>
      <c r="H14" s="1138">
        <f t="shared" ref="H14:O14" si="26">H13*H11</f>
        <v>0</v>
      </c>
      <c r="I14" s="1138">
        <f t="shared" si="26"/>
        <v>0</v>
      </c>
      <c r="J14" s="1138">
        <f t="shared" si="26"/>
        <v>0</v>
      </c>
      <c r="K14" s="1138">
        <f t="shared" si="26"/>
        <v>0</v>
      </c>
      <c r="L14" s="1138">
        <f t="shared" si="26"/>
        <v>0</v>
      </c>
      <c r="M14" s="1138">
        <f t="shared" si="26"/>
        <v>0</v>
      </c>
      <c r="N14" s="1138">
        <f t="shared" si="26"/>
        <v>0</v>
      </c>
      <c r="O14" s="1138">
        <f t="shared" si="26"/>
        <v>5.6</v>
      </c>
      <c r="P14" s="1138">
        <f t="shared" ref="P14" si="27">P13*P11</f>
        <v>0</v>
      </c>
      <c r="Q14" s="1138">
        <f t="shared" ref="Q14:AD14" si="28">Q13*Q11</f>
        <v>0</v>
      </c>
      <c r="R14" s="1138">
        <f t="shared" si="28"/>
        <v>0</v>
      </c>
      <c r="S14" s="1138">
        <f t="shared" si="28"/>
        <v>0</v>
      </c>
      <c r="T14" s="1138">
        <f t="shared" si="28"/>
        <v>0</v>
      </c>
      <c r="U14" s="1138">
        <f t="shared" si="28"/>
        <v>0</v>
      </c>
      <c r="V14" s="1138">
        <f t="shared" si="28"/>
        <v>0</v>
      </c>
      <c r="W14" s="1138">
        <f t="shared" si="28"/>
        <v>0</v>
      </c>
      <c r="X14" s="1138">
        <f t="shared" si="28"/>
        <v>0</v>
      </c>
      <c r="Y14" s="1138">
        <f t="shared" si="28"/>
        <v>0</v>
      </c>
      <c r="Z14" s="1138">
        <f t="shared" si="28"/>
        <v>0</v>
      </c>
      <c r="AA14" s="1138">
        <f t="shared" si="28"/>
        <v>0</v>
      </c>
      <c r="AB14" s="1138">
        <f t="shared" si="28"/>
        <v>0</v>
      </c>
      <c r="AC14" s="1138">
        <f t="shared" si="28"/>
        <v>0</v>
      </c>
      <c r="AD14" s="1138">
        <f t="shared" si="28"/>
        <v>0</v>
      </c>
      <c r="AE14" s="1139">
        <f>ROUND(SUM(F14:AD14),2)</f>
        <v>5.6</v>
      </c>
      <c r="AF14" s="578">
        <f t="shared" si="0"/>
        <v>11.2</v>
      </c>
    </row>
    <row r="15" spans="1:33" ht="21.95" customHeight="1" thickBot="1" x14ac:dyDescent="0.2">
      <c r="A15" s="2513"/>
      <c r="B15" s="2567"/>
      <c r="C15" s="565" t="s">
        <v>472</v>
      </c>
      <c r="D15" s="986"/>
      <c r="E15" s="231"/>
      <c r="F15" s="1134">
        <f t="shared" ref="F15:G15" si="29">F13*F12*F11/100</f>
        <v>0</v>
      </c>
      <c r="G15" s="1134">
        <f t="shared" si="29"/>
        <v>0</v>
      </c>
      <c r="H15" s="1134">
        <f t="shared" ref="H15:O15" si="30">H13*H12*H11/100</f>
        <v>0</v>
      </c>
      <c r="I15" s="1134">
        <f t="shared" si="30"/>
        <v>0</v>
      </c>
      <c r="J15" s="1134">
        <f t="shared" si="30"/>
        <v>0</v>
      </c>
      <c r="K15" s="1134">
        <f t="shared" si="30"/>
        <v>0</v>
      </c>
      <c r="L15" s="1134">
        <f t="shared" si="30"/>
        <v>0</v>
      </c>
      <c r="M15" s="1134">
        <f t="shared" si="30"/>
        <v>0</v>
      </c>
      <c r="N15" s="1134">
        <f t="shared" si="30"/>
        <v>0</v>
      </c>
      <c r="O15" s="1134">
        <f t="shared" si="30"/>
        <v>0.28000000000000003</v>
      </c>
      <c r="P15" s="1134">
        <f t="shared" ref="P15" si="31">P13*P12*P11/100</f>
        <v>0</v>
      </c>
      <c r="Q15" s="1134">
        <f t="shared" ref="Q15:AD15" si="32">Q13*Q12*Q11/100</f>
        <v>0</v>
      </c>
      <c r="R15" s="1134">
        <f t="shared" si="32"/>
        <v>0</v>
      </c>
      <c r="S15" s="1134">
        <f t="shared" si="32"/>
        <v>0</v>
      </c>
      <c r="T15" s="1134">
        <f t="shared" si="32"/>
        <v>0</v>
      </c>
      <c r="U15" s="1134">
        <f t="shared" si="32"/>
        <v>0</v>
      </c>
      <c r="V15" s="1134">
        <f t="shared" si="32"/>
        <v>0</v>
      </c>
      <c r="W15" s="1134">
        <f t="shared" si="32"/>
        <v>0</v>
      </c>
      <c r="X15" s="1134">
        <f t="shared" si="32"/>
        <v>0</v>
      </c>
      <c r="Y15" s="1134">
        <f t="shared" si="32"/>
        <v>0</v>
      </c>
      <c r="Z15" s="1134">
        <f t="shared" si="32"/>
        <v>0</v>
      </c>
      <c r="AA15" s="1134">
        <f t="shared" si="32"/>
        <v>0</v>
      </c>
      <c r="AB15" s="1134">
        <f t="shared" si="32"/>
        <v>0</v>
      </c>
      <c r="AC15" s="1134">
        <f t="shared" si="32"/>
        <v>0</v>
      </c>
      <c r="AD15" s="1134">
        <f t="shared" si="32"/>
        <v>0</v>
      </c>
      <c r="AE15" s="1140">
        <f>ROUND(SUM(F15:AD15),2)</f>
        <v>0.28000000000000003</v>
      </c>
      <c r="AF15" s="578">
        <f t="shared" si="0"/>
        <v>0.56000000000000005</v>
      </c>
    </row>
    <row r="16" spans="1:33" ht="21.95" hidden="1" customHeight="1" x14ac:dyDescent="0.15">
      <c r="A16" s="2513"/>
      <c r="B16" s="2566" t="s">
        <v>318</v>
      </c>
      <c r="C16" s="549" t="s">
        <v>316</v>
      </c>
      <c r="D16" s="984"/>
      <c r="E16" s="443"/>
      <c r="F16" s="1136">
        <f t="shared" ref="F16:G16" si="33">IF(F20&gt;0,1.2,0)</f>
        <v>0</v>
      </c>
      <c r="G16" s="1136">
        <f t="shared" si="33"/>
        <v>0</v>
      </c>
      <c r="H16" s="1136">
        <f t="shared" ref="H16:O16" si="34">IF(H20&gt;0,1.2,0)</f>
        <v>0</v>
      </c>
      <c r="I16" s="1136">
        <f t="shared" si="34"/>
        <v>0</v>
      </c>
      <c r="J16" s="1136">
        <f t="shared" si="34"/>
        <v>0</v>
      </c>
      <c r="K16" s="1136">
        <f t="shared" si="34"/>
        <v>0</v>
      </c>
      <c r="L16" s="1136">
        <f t="shared" si="34"/>
        <v>0</v>
      </c>
      <c r="M16" s="1136">
        <f t="shared" si="34"/>
        <v>0</v>
      </c>
      <c r="N16" s="1136">
        <f t="shared" si="34"/>
        <v>0</v>
      </c>
      <c r="O16" s="1136">
        <f t="shared" si="34"/>
        <v>0</v>
      </c>
      <c r="P16" s="1136">
        <f t="shared" ref="P16" si="35">IF(P20&gt;0,1.2,0)</f>
        <v>0</v>
      </c>
      <c r="Q16" s="1136">
        <f t="shared" ref="Q16:AD16" si="36">IF(Q20&gt;0,1.2,0)</f>
        <v>0</v>
      </c>
      <c r="R16" s="1136">
        <f t="shared" si="36"/>
        <v>0</v>
      </c>
      <c r="S16" s="1136">
        <f t="shared" si="36"/>
        <v>0</v>
      </c>
      <c r="T16" s="1136">
        <f t="shared" si="36"/>
        <v>0</v>
      </c>
      <c r="U16" s="1136">
        <f t="shared" si="36"/>
        <v>0</v>
      </c>
      <c r="V16" s="1136">
        <f t="shared" si="36"/>
        <v>0</v>
      </c>
      <c r="W16" s="1136">
        <f t="shared" si="36"/>
        <v>0</v>
      </c>
      <c r="X16" s="1136">
        <f t="shared" si="36"/>
        <v>0</v>
      </c>
      <c r="Y16" s="1136">
        <f t="shared" si="36"/>
        <v>0</v>
      </c>
      <c r="Z16" s="1136">
        <f t="shared" si="36"/>
        <v>0</v>
      </c>
      <c r="AA16" s="1136">
        <f t="shared" si="36"/>
        <v>0</v>
      </c>
      <c r="AB16" s="1136">
        <f t="shared" si="36"/>
        <v>0</v>
      </c>
      <c r="AC16" s="1136">
        <f t="shared" si="36"/>
        <v>0</v>
      </c>
      <c r="AD16" s="1136">
        <f t="shared" si="36"/>
        <v>0</v>
      </c>
      <c r="AE16" s="1137"/>
      <c r="AF16" s="578">
        <f t="shared" si="0"/>
        <v>0</v>
      </c>
    </row>
    <row r="17" spans="1:32" ht="21.95" hidden="1" customHeight="1" x14ac:dyDescent="0.15">
      <c r="A17" s="2513"/>
      <c r="B17" s="2539"/>
      <c r="C17" s="566" t="s">
        <v>317</v>
      </c>
      <c r="E17" s="442"/>
      <c r="F17" s="1138">
        <f t="shared" ref="F17:G17" si="37">IF(F16&gt;0,0.6,0)</f>
        <v>0</v>
      </c>
      <c r="G17" s="1138">
        <f t="shared" si="37"/>
        <v>0</v>
      </c>
      <c r="H17" s="1138">
        <f t="shared" ref="H17:O17" si="38">IF(H16&gt;0,0.6,0)</f>
        <v>0</v>
      </c>
      <c r="I17" s="1138">
        <f t="shared" si="38"/>
        <v>0</v>
      </c>
      <c r="J17" s="1138">
        <f t="shared" si="38"/>
        <v>0</v>
      </c>
      <c r="K17" s="1138">
        <f t="shared" si="38"/>
        <v>0</v>
      </c>
      <c r="L17" s="1138">
        <f t="shared" si="38"/>
        <v>0</v>
      </c>
      <c r="M17" s="1138">
        <f t="shared" si="38"/>
        <v>0</v>
      </c>
      <c r="N17" s="1138">
        <f t="shared" si="38"/>
        <v>0</v>
      </c>
      <c r="O17" s="1138">
        <f t="shared" si="38"/>
        <v>0</v>
      </c>
      <c r="P17" s="1138">
        <f t="shared" ref="P17" si="39">IF(P16&gt;0,0.6,0)</f>
        <v>0</v>
      </c>
      <c r="Q17" s="1138">
        <f t="shared" ref="Q17:AD17" si="40">IF(Q16&gt;0,0.6,0)</f>
        <v>0</v>
      </c>
      <c r="R17" s="1138">
        <f t="shared" si="40"/>
        <v>0</v>
      </c>
      <c r="S17" s="1138">
        <f t="shared" si="40"/>
        <v>0</v>
      </c>
      <c r="T17" s="1138">
        <f t="shared" si="40"/>
        <v>0</v>
      </c>
      <c r="U17" s="1138">
        <f t="shared" si="40"/>
        <v>0</v>
      </c>
      <c r="V17" s="1138">
        <f t="shared" si="40"/>
        <v>0</v>
      </c>
      <c r="W17" s="1138">
        <f t="shared" si="40"/>
        <v>0</v>
      </c>
      <c r="X17" s="1138">
        <f t="shared" si="40"/>
        <v>0</v>
      </c>
      <c r="Y17" s="1138">
        <f t="shared" si="40"/>
        <v>0</v>
      </c>
      <c r="Z17" s="1138">
        <f t="shared" si="40"/>
        <v>0</v>
      </c>
      <c r="AA17" s="1138">
        <f t="shared" si="40"/>
        <v>0</v>
      </c>
      <c r="AB17" s="1138">
        <f t="shared" si="40"/>
        <v>0</v>
      </c>
      <c r="AC17" s="1138">
        <f t="shared" si="40"/>
        <v>0</v>
      </c>
      <c r="AD17" s="1138">
        <f t="shared" si="40"/>
        <v>0</v>
      </c>
      <c r="AE17" s="1133"/>
      <c r="AF17" s="578">
        <f t="shared" si="0"/>
        <v>0</v>
      </c>
    </row>
    <row r="18" spans="1:32" ht="21.95" hidden="1" customHeight="1" x14ac:dyDescent="0.15">
      <c r="A18" s="2513"/>
      <c r="B18" s="2539"/>
      <c r="C18" s="566" t="s">
        <v>315</v>
      </c>
      <c r="E18" s="442"/>
      <c r="F18" s="1138">
        <f t="shared" ref="F18:G18" si="41">F17+F16</f>
        <v>0</v>
      </c>
      <c r="G18" s="1138">
        <f t="shared" si="41"/>
        <v>0</v>
      </c>
      <c r="H18" s="1138">
        <f t="shared" ref="H18:O18" si="42">H17+H16</f>
        <v>0</v>
      </c>
      <c r="I18" s="1138">
        <f t="shared" si="42"/>
        <v>0</v>
      </c>
      <c r="J18" s="1138">
        <f t="shared" si="42"/>
        <v>0</v>
      </c>
      <c r="K18" s="1138">
        <f t="shared" si="42"/>
        <v>0</v>
      </c>
      <c r="L18" s="1138">
        <f t="shared" si="42"/>
        <v>0</v>
      </c>
      <c r="M18" s="1138">
        <f t="shared" si="42"/>
        <v>0</v>
      </c>
      <c r="N18" s="1138">
        <f t="shared" si="42"/>
        <v>0</v>
      </c>
      <c r="O18" s="1138">
        <f t="shared" si="42"/>
        <v>0</v>
      </c>
      <c r="P18" s="1138">
        <f t="shared" ref="P18" si="43">P17+P16</f>
        <v>0</v>
      </c>
      <c r="Q18" s="1138">
        <f t="shared" ref="Q18:AD18" si="44">Q17+Q16</f>
        <v>0</v>
      </c>
      <c r="R18" s="1138">
        <f t="shared" si="44"/>
        <v>0</v>
      </c>
      <c r="S18" s="1138">
        <f t="shared" si="44"/>
        <v>0</v>
      </c>
      <c r="T18" s="1138">
        <f t="shared" si="44"/>
        <v>0</v>
      </c>
      <c r="U18" s="1138">
        <f t="shared" si="44"/>
        <v>0</v>
      </c>
      <c r="V18" s="1138">
        <f t="shared" si="44"/>
        <v>0</v>
      </c>
      <c r="W18" s="1138">
        <f t="shared" si="44"/>
        <v>0</v>
      </c>
      <c r="X18" s="1138">
        <f t="shared" si="44"/>
        <v>0</v>
      </c>
      <c r="Y18" s="1138">
        <f t="shared" si="44"/>
        <v>0</v>
      </c>
      <c r="Z18" s="1138">
        <f t="shared" si="44"/>
        <v>0</v>
      </c>
      <c r="AA18" s="1138">
        <f t="shared" si="44"/>
        <v>0</v>
      </c>
      <c r="AB18" s="1138">
        <f t="shared" si="44"/>
        <v>0</v>
      </c>
      <c r="AC18" s="1138">
        <f t="shared" si="44"/>
        <v>0</v>
      </c>
      <c r="AD18" s="1138">
        <f t="shared" si="44"/>
        <v>0</v>
      </c>
      <c r="AE18" s="1133"/>
      <c r="AF18" s="578">
        <f t="shared" si="0"/>
        <v>0</v>
      </c>
    </row>
    <row r="19" spans="1:32" ht="21.95" hidden="1" customHeight="1" x14ac:dyDescent="0.15">
      <c r="A19" s="2513"/>
      <c r="B19" s="2539"/>
      <c r="C19" s="566" t="s">
        <v>45</v>
      </c>
      <c r="E19" s="442"/>
      <c r="F19" s="1138">
        <f t="shared" ref="F19:G19" si="45">IF(F16&gt;0,5,0)</f>
        <v>0</v>
      </c>
      <c r="G19" s="1138">
        <f t="shared" si="45"/>
        <v>0</v>
      </c>
      <c r="H19" s="1138">
        <f t="shared" ref="H19:O19" si="46">IF(H16&gt;0,5,0)</f>
        <v>0</v>
      </c>
      <c r="I19" s="1138">
        <f t="shared" si="46"/>
        <v>0</v>
      </c>
      <c r="J19" s="1138">
        <f t="shared" si="46"/>
        <v>0</v>
      </c>
      <c r="K19" s="1138">
        <f t="shared" si="46"/>
        <v>0</v>
      </c>
      <c r="L19" s="1138">
        <f t="shared" si="46"/>
        <v>0</v>
      </c>
      <c r="M19" s="1138">
        <f t="shared" si="46"/>
        <v>0</v>
      </c>
      <c r="N19" s="1138">
        <f t="shared" si="46"/>
        <v>0</v>
      </c>
      <c r="O19" s="1138">
        <f t="shared" si="46"/>
        <v>0</v>
      </c>
      <c r="P19" s="1138">
        <f t="shared" ref="P19" si="47">IF(P16&gt;0,5,0)</f>
        <v>0</v>
      </c>
      <c r="Q19" s="1138">
        <f t="shared" ref="Q19:AD19" si="48">IF(Q16&gt;0,5,0)</f>
        <v>0</v>
      </c>
      <c r="R19" s="1138">
        <f t="shared" si="48"/>
        <v>0</v>
      </c>
      <c r="S19" s="1138">
        <f t="shared" si="48"/>
        <v>0</v>
      </c>
      <c r="T19" s="1138">
        <f t="shared" si="48"/>
        <v>0</v>
      </c>
      <c r="U19" s="1138">
        <f t="shared" si="48"/>
        <v>0</v>
      </c>
      <c r="V19" s="1138">
        <f t="shared" si="48"/>
        <v>0</v>
      </c>
      <c r="W19" s="1138">
        <f t="shared" si="48"/>
        <v>0</v>
      </c>
      <c r="X19" s="1138">
        <f t="shared" si="48"/>
        <v>0</v>
      </c>
      <c r="Y19" s="1138">
        <f t="shared" si="48"/>
        <v>0</v>
      </c>
      <c r="Z19" s="1138">
        <f t="shared" si="48"/>
        <v>0</v>
      </c>
      <c r="AA19" s="1138">
        <f t="shared" si="48"/>
        <v>0</v>
      </c>
      <c r="AB19" s="1138">
        <f t="shared" si="48"/>
        <v>0</v>
      </c>
      <c r="AC19" s="1138">
        <f t="shared" si="48"/>
        <v>0</v>
      </c>
      <c r="AD19" s="1138">
        <f t="shared" si="48"/>
        <v>0</v>
      </c>
      <c r="AE19" s="1133"/>
      <c r="AF19" s="578">
        <f t="shared" si="0"/>
        <v>0</v>
      </c>
    </row>
    <row r="20" spans="1:32" ht="21.95" hidden="1" customHeight="1" x14ac:dyDescent="0.15">
      <c r="A20" s="2513"/>
      <c r="B20" s="2539"/>
      <c r="C20" s="566" t="s">
        <v>3</v>
      </c>
      <c r="E20" s="442"/>
      <c r="F20" s="1138">
        <f>Dren_Quantificacao!D27</f>
        <v>0</v>
      </c>
      <c r="G20" s="1138">
        <f>Dren_Quantificacao!E27</f>
        <v>0</v>
      </c>
      <c r="H20" s="1138">
        <f>Dren_Quantificacao!F27</f>
        <v>0</v>
      </c>
      <c r="I20" s="1138">
        <f>Dren_Quantificacao!G27</f>
        <v>0</v>
      </c>
      <c r="J20" s="1138">
        <f>Dren_Quantificacao!H27</f>
        <v>0</v>
      </c>
      <c r="K20" s="1138">
        <f>Dren_Quantificacao!I27</f>
        <v>0</v>
      </c>
      <c r="L20" s="1138">
        <f>Dren_Quantificacao!J27</f>
        <v>0</v>
      </c>
      <c r="M20" s="1138">
        <f>Dren_Quantificacao!K27</f>
        <v>0</v>
      </c>
      <c r="N20" s="1138">
        <f>Dren_Quantificacao!L27</f>
        <v>0</v>
      </c>
      <c r="O20" s="1138">
        <f>Dren_Quantificacao!M27</f>
        <v>0</v>
      </c>
      <c r="P20" s="1138">
        <f>Dren_Quantificacao!O27</f>
        <v>0</v>
      </c>
      <c r="Q20" s="1138">
        <f>Dren_Quantificacao!P27</f>
        <v>0</v>
      </c>
      <c r="R20" s="1138">
        <f>Dren_Quantificacao!Q27</f>
        <v>0</v>
      </c>
      <c r="S20" s="1138">
        <f>Dren_Quantificacao!R27</f>
        <v>0</v>
      </c>
      <c r="T20" s="1138">
        <f>Dren_Quantificacao!S27</f>
        <v>0</v>
      </c>
      <c r="U20" s="1138">
        <f>Dren_Quantificacao!T27</f>
        <v>0</v>
      </c>
      <c r="V20" s="1138">
        <f>Dren_Quantificacao!U27</f>
        <v>0</v>
      </c>
      <c r="W20" s="1138">
        <f>Dren_Quantificacao!V27</f>
        <v>0</v>
      </c>
      <c r="X20" s="1138">
        <f>Dren_Quantificacao!W27</f>
        <v>0</v>
      </c>
      <c r="Y20" s="1138">
        <f>Dren_Quantificacao!X27</f>
        <v>0</v>
      </c>
      <c r="Z20" s="1138">
        <f>Dren_Quantificacao!Y27</f>
        <v>0</v>
      </c>
      <c r="AA20" s="1138">
        <f>Dren_Quantificacao!Z27</f>
        <v>0</v>
      </c>
      <c r="AB20" s="1138">
        <f>Dren_Quantificacao!AA27</f>
        <v>0</v>
      </c>
      <c r="AC20" s="1138">
        <f>Dren_Quantificacao!AB27</f>
        <v>0</v>
      </c>
      <c r="AD20" s="1138">
        <f>Dren_Quantificacao!AC27</f>
        <v>0</v>
      </c>
      <c r="AE20" s="1139">
        <f>ROUND(SUM(F20:AD20),2)</f>
        <v>0</v>
      </c>
      <c r="AF20" s="578">
        <f t="shared" si="0"/>
        <v>0</v>
      </c>
    </row>
    <row r="21" spans="1:32" ht="21.95" hidden="1" customHeight="1" x14ac:dyDescent="0.15">
      <c r="A21" s="2513"/>
      <c r="B21" s="2548"/>
      <c r="C21" s="567" t="s">
        <v>29</v>
      </c>
      <c r="E21" s="442"/>
      <c r="F21" s="1138">
        <f t="shared" ref="F21:G21" si="49">F20*F18</f>
        <v>0</v>
      </c>
      <c r="G21" s="1138">
        <f t="shared" si="49"/>
        <v>0</v>
      </c>
      <c r="H21" s="1138">
        <f t="shared" ref="H21:O21" si="50">H20*H18</f>
        <v>0</v>
      </c>
      <c r="I21" s="1138">
        <f t="shared" si="50"/>
        <v>0</v>
      </c>
      <c r="J21" s="1138">
        <f t="shared" si="50"/>
        <v>0</v>
      </c>
      <c r="K21" s="1138">
        <f t="shared" si="50"/>
        <v>0</v>
      </c>
      <c r="L21" s="1138">
        <f t="shared" si="50"/>
        <v>0</v>
      </c>
      <c r="M21" s="1138">
        <f t="shared" si="50"/>
        <v>0</v>
      </c>
      <c r="N21" s="1138">
        <f t="shared" si="50"/>
        <v>0</v>
      </c>
      <c r="O21" s="1138">
        <f t="shared" si="50"/>
        <v>0</v>
      </c>
      <c r="P21" s="1138">
        <f t="shared" ref="P21" si="51">P20*P18</f>
        <v>0</v>
      </c>
      <c r="Q21" s="1138">
        <f t="shared" ref="Q21:AD21" si="52">Q20*Q18</f>
        <v>0</v>
      </c>
      <c r="R21" s="1138">
        <f t="shared" si="52"/>
        <v>0</v>
      </c>
      <c r="S21" s="1138">
        <f t="shared" si="52"/>
        <v>0</v>
      </c>
      <c r="T21" s="1138">
        <f t="shared" si="52"/>
        <v>0</v>
      </c>
      <c r="U21" s="1138">
        <f t="shared" si="52"/>
        <v>0</v>
      </c>
      <c r="V21" s="1138">
        <f t="shared" si="52"/>
        <v>0</v>
      </c>
      <c r="W21" s="1138">
        <f t="shared" si="52"/>
        <v>0</v>
      </c>
      <c r="X21" s="1138">
        <f t="shared" si="52"/>
        <v>0</v>
      </c>
      <c r="Y21" s="1138">
        <f t="shared" si="52"/>
        <v>0</v>
      </c>
      <c r="Z21" s="1138">
        <f t="shared" si="52"/>
        <v>0</v>
      </c>
      <c r="AA21" s="1138">
        <f t="shared" si="52"/>
        <v>0</v>
      </c>
      <c r="AB21" s="1138">
        <f t="shared" si="52"/>
        <v>0</v>
      </c>
      <c r="AC21" s="1138">
        <f t="shared" si="52"/>
        <v>0</v>
      </c>
      <c r="AD21" s="1138">
        <f t="shared" si="52"/>
        <v>0</v>
      </c>
      <c r="AE21" s="1139">
        <f>ROUND(SUM(F21:AD21),2)</f>
        <v>0</v>
      </c>
      <c r="AF21" s="578">
        <f t="shared" si="0"/>
        <v>0</v>
      </c>
    </row>
    <row r="22" spans="1:32" ht="21.95" hidden="1" customHeight="1" thickBot="1" x14ac:dyDescent="0.2">
      <c r="A22" s="2513"/>
      <c r="B22" s="2567"/>
      <c r="C22" s="565" t="s">
        <v>472</v>
      </c>
      <c r="D22" s="986"/>
      <c r="E22" s="231"/>
      <c r="F22" s="1134">
        <f t="shared" ref="F22:G22" si="53">F20*F19*F18/100</f>
        <v>0</v>
      </c>
      <c r="G22" s="1134">
        <f t="shared" si="53"/>
        <v>0</v>
      </c>
      <c r="H22" s="1134">
        <f t="shared" ref="H22:O22" si="54">H20*H19*H18/100</f>
        <v>0</v>
      </c>
      <c r="I22" s="1134">
        <f t="shared" si="54"/>
        <v>0</v>
      </c>
      <c r="J22" s="1134">
        <f t="shared" si="54"/>
        <v>0</v>
      </c>
      <c r="K22" s="1134">
        <f t="shared" si="54"/>
        <v>0</v>
      </c>
      <c r="L22" s="1134">
        <f t="shared" si="54"/>
        <v>0</v>
      </c>
      <c r="M22" s="1134">
        <f t="shared" si="54"/>
        <v>0</v>
      </c>
      <c r="N22" s="1134">
        <f t="shared" si="54"/>
        <v>0</v>
      </c>
      <c r="O22" s="1134">
        <f t="shared" si="54"/>
        <v>0</v>
      </c>
      <c r="P22" s="1134">
        <f t="shared" ref="P22" si="55">P20*P19*P18/100</f>
        <v>0</v>
      </c>
      <c r="Q22" s="1134">
        <f t="shared" ref="Q22:AD22" si="56">Q20*Q19*Q18/100</f>
        <v>0</v>
      </c>
      <c r="R22" s="1134">
        <f t="shared" si="56"/>
        <v>0</v>
      </c>
      <c r="S22" s="1134">
        <f t="shared" si="56"/>
        <v>0</v>
      </c>
      <c r="T22" s="1134">
        <f t="shared" si="56"/>
        <v>0</v>
      </c>
      <c r="U22" s="1134">
        <f t="shared" si="56"/>
        <v>0</v>
      </c>
      <c r="V22" s="1134">
        <f t="shared" si="56"/>
        <v>0</v>
      </c>
      <c r="W22" s="1134">
        <f t="shared" si="56"/>
        <v>0</v>
      </c>
      <c r="X22" s="1134">
        <f t="shared" si="56"/>
        <v>0</v>
      </c>
      <c r="Y22" s="1134">
        <f t="shared" si="56"/>
        <v>0</v>
      </c>
      <c r="Z22" s="1134">
        <f t="shared" si="56"/>
        <v>0</v>
      </c>
      <c r="AA22" s="1134">
        <f t="shared" si="56"/>
        <v>0</v>
      </c>
      <c r="AB22" s="1134">
        <f t="shared" si="56"/>
        <v>0</v>
      </c>
      <c r="AC22" s="1134">
        <f t="shared" si="56"/>
        <v>0</v>
      </c>
      <c r="AD22" s="1134">
        <f t="shared" si="56"/>
        <v>0</v>
      </c>
      <c r="AE22" s="1140">
        <f>ROUND(SUM(F22:AD22),2)</f>
        <v>0</v>
      </c>
      <c r="AF22" s="578">
        <f t="shared" si="0"/>
        <v>0</v>
      </c>
    </row>
    <row r="23" spans="1:32" ht="21.95" hidden="1" customHeight="1" x14ac:dyDescent="0.15">
      <c r="A23" s="2513"/>
      <c r="B23" s="2566" t="s">
        <v>322</v>
      </c>
      <c r="C23" s="549" t="s">
        <v>316</v>
      </c>
      <c r="D23" s="984"/>
      <c r="E23" s="443"/>
      <c r="F23" s="1136">
        <f>IF(F27=0,0,+Dre_Terraplenagem!F39)</f>
        <v>0</v>
      </c>
      <c r="G23" s="1136">
        <f>IF(G27=0,0,+Dre_Terraplenagem!G39)</f>
        <v>0</v>
      </c>
      <c r="H23" s="1136">
        <f>IF(H27=0,0,+Dre_Terraplenagem!H39)</f>
        <v>0</v>
      </c>
      <c r="I23" s="1136">
        <f>IF(I27=0,0,+Dre_Terraplenagem!I39)</f>
        <v>0</v>
      </c>
      <c r="J23" s="1136">
        <f>IF(J27=0,0,+Dre_Terraplenagem!J39)</f>
        <v>0</v>
      </c>
      <c r="K23" s="1136">
        <f>IF(K27=0,0,+Dre_Terraplenagem!K39)</f>
        <v>0</v>
      </c>
      <c r="L23" s="1136">
        <f>IF(L27=0,0,+Dre_Terraplenagem!L39)</f>
        <v>0</v>
      </c>
      <c r="M23" s="1136">
        <f>IF(M27=0,0,+Dre_Terraplenagem!#REF!)</f>
        <v>0</v>
      </c>
      <c r="N23" s="1136">
        <f>IF(N27=0,0,+Dre_Terraplenagem!M39)</f>
        <v>0</v>
      </c>
      <c r="O23" s="1136">
        <f>IF(O27=0,0,+Dre_Terraplenagem!N39)</f>
        <v>0</v>
      </c>
      <c r="P23" s="1136">
        <f>IF(P27=0,0,+Dre_Terraplenagem!P39)</f>
        <v>0</v>
      </c>
      <c r="Q23" s="1136">
        <f>IF(Q27=0,0,+Dre_Terraplenagem!Q39)</f>
        <v>0</v>
      </c>
      <c r="R23" s="1136">
        <f>IF(R27=0,0,+Dre_Terraplenagem!R39)</f>
        <v>0</v>
      </c>
      <c r="S23" s="1136">
        <f>IF(S27=0,0,+Dre_Terraplenagem!S39)</f>
        <v>0</v>
      </c>
      <c r="T23" s="1136">
        <f>IF(T27=0,0,+Dre_Terraplenagem!T39)</f>
        <v>0</v>
      </c>
      <c r="U23" s="1136">
        <f>IF(U27=0,0,+Dre_Terraplenagem!U39)</f>
        <v>0</v>
      </c>
      <c r="V23" s="1136">
        <f>IF(V27=0,0,+Dre_Terraplenagem!V39)</f>
        <v>0</v>
      </c>
      <c r="W23" s="1136">
        <f>IF(W27=0,0,+Dre_Terraplenagem!W39)</f>
        <v>0</v>
      </c>
      <c r="X23" s="1136">
        <f>IF(X27=0,0,+Dre_Terraplenagem!X39)</f>
        <v>0</v>
      </c>
      <c r="Y23" s="1136">
        <f>IF(Y27=0,0,+Dre_Terraplenagem!Y39)</f>
        <v>0</v>
      </c>
      <c r="Z23" s="1136">
        <f>IF(Z27=0,0,+Dre_Terraplenagem!Z39)</f>
        <v>0</v>
      </c>
      <c r="AA23" s="1136">
        <f>IF(AA27=0,0,+Dre_Terraplenagem!AA39)</f>
        <v>0</v>
      </c>
      <c r="AB23" s="1136">
        <f>IF(AB27=0,0,+Dre_Terraplenagem!AB39)</f>
        <v>0</v>
      </c>
      <c r="AC23" s="1136">
        <f>IF(AC27=0,0,+Dre_Terraplenagem!AC39)</f>
        <v>0</v>
      </c>
      <c r="AD23" s="1136">
        <f>IF(AD27=0,0,+Dre_Terraplenagem!AD39)</f>
        <v>0</v>
      </c>
      <c r="AE23" s="1137"/>
      <c r="AF23" s="578">
        <f t="shared" si="0"/>
        <v>0</v>
      </c>
    </row>
    <row r="24" spans="1:32" ht="21.95" hidden="1" customHeight="1" x14ac:dyDescent="0.15">
      <c r="A24" s="2513"/>
      <c r="B24" s="2539"/>
      <c r="C24" s="566" t="s">
        <v>317</v>
      </c>
      <c r="E24" s="442"/>
      <c r="F24" s="1138">
        <f t="shared" ref="F24:G24" si="57">IF(F23&gt;0,0.6,0)</f>
        <v>0</v>
      </c>
      <c r="G24" s="1138">
        <f t="shared" si="57"/>
        <v>0</v>
      </c>
      <c r="H24" s="1138">
        <f t="shared" ref="H24:O24" si="58">IF(H23&gt;0,0.6,0)</f>
        <v>0</v>
      </c>
      <c r="I24" s="1138">
        <f t="shared" si="58"/>
        <v>0</v>
      </c>
      <c r="J24" s="1138">
        <f t="shared" si="58"/>
        <v>0</v>
      </c>
      <c r="K24" s="1138">
        <f t="shared" si="58"/>
        <v>0</v>
      </c>
      <c r="L24" s="1138">
        <f t="shared" si="58"/>
        <v>0</v>
      </c>
      <c r="M24" s="1138">
        <f t="shared" si="58"/>
        <v>0</v>
      </c>
      <c r="N24" s="1138">
        <f t="shared" si="58"/>
        <v>0</v>
      </c>
      <c r="O24" s="1138">
        <f t="shared" si="58"/>
        <v>0</v>
      </c>
      <c r="P24" s="1138">
        <f t="shared" ref="P24" si="59">IF(P23&gt;0,0.6,0)</f>
        <v>0</v>
      </c>
      <c r="Q24" s="1138">
        <f t="shared" ref="Q24:AD24" si="60">IF(Q23&gt;0,0.6,0)</f>
        <v>0</v>
      </c>
      <c r="R24" s="1138">
        <f t="shared" si="60"/>
        <v>0</v>
      </c>
      <c r="S24" s="1138">
        <f t="shared" si="60"/>
        <v>0</v>
      </c>
      <c r="T24" s="1138">
        <f t="shared" si="60"/>
        <v>0</v>
      </c>
      <c r="U24" s="1138">
        <f t="shared" si="60"/>
        <v>0</v>
      </c>
      <c r="V24" s="1138">
        <f t="shared" si="60"/>
        <v>0</v>
      </c>
      <c r="W24" s="1138">
        <f t="shared" si="60"/>
        <v>0</v>
      </c>
      <c r="X24" s="1138">
        <f t="shared" si="60"/>
        <v>0</v>
      </c>
      <c r="Y24" s="1138">
        <f t="shared" si="60"/>
        <v>0</v>
      </c>
      <c r="Z24" s="1138">
        <f t="shared" si="60"/>
        <v>0</v>
      </c>
      <c r="AA24" s="1138">
        <f t="shared" si="60"/>
        <v>0</v>
      </c>
      <c r="AB24" s="1138">
        <f t="shared" si="60"/>
        <v>0</v>
      </c>
      <c r="AC24" s="1138">
        <f t="shared" si="60"/>
        <v>0</v>
      </c>
      <c r="AD24" s="1138">
        <f t="shared" si="60"/>
        <v>0</v>
      </c>
      <c r="AE24" s="1133"/>
      <c r="AF24" s="578">
        <f t="shared" si="0"/>
        <v>0</v>
      </c>
    </row>
    <row r="25" spans="1:32" ht="21.95" hidden="1" customHeight="1" x14ac:dyDescent="0.15">
      <c r="A25" s="2513"/>
      <c r="B25" s="2539"/>
      <c r="C25" s="566" t="s">
        <v>315</v>
      </c>
      <c r="E25" s="442"/>
      <c r="F25" s="1138">
        <f t="shared" ref="F25:G25" si="61">F24+F23</f>
        <v>0</v>
      </c>
      <c r="G25" s="1138">
        <f t="shared" si="61"/>
        <v>0</v>
      </c>
      <c r="H25" s="1138">
        <f t="shared" ref="H25:O25" si="62">H24+H23</f>
        <v>0</v>
      </c>
      <c r="I25" s="1138">
        <f t="shared" si="62"/>
        <v>0</v>
      </c>
      <c r="J25" s="1138">
        <f t="shared" si="62"/>
        <v>0</v>
      </c>
      <c r="K25" s="1138">
        <f t="shared" si="62"/>
        <v>0</v>
      </c>
      <c r="L25" s="1138">
        <f t="shared" si="62"/>
        <v>0</v>
      </c>
      <c r="M25" s="1138">
        <f t="shared" si="62"/>
        <v>0</v>
      </c>
      <c r="N25" s="1138">
        <f t="shared" si="62"/>
        <v>0</v>
      </c>
      <c r="O25" s="1138">
        <f t="shared" si="62"/>
        <v>0</v>
      </c>
      <c r="P25" s="1138">
        <f t="shared" ref="P25" si="63">P24+P23</f>
        <v>0</v>
      </c>
      <c r="Q25" s="1138">
        <f t="shared" ref="Q25:AD25" si="64">Q24+Q23</f>
        <v>0</v>
      </c>
      <c r="R25" s="1138">
        <f t="shared" si="64"/>
        <v>0</v>
      </c>
      <c r="S25" s="1138">
        <f t="shared" si="64"/>
        <v>0</v>
      </c>
      <c r="T25" s="1138">
        <f t="shared" si="64"/>
        <v>0</v>
      </c>
      <c r="U25" s="1138">
        <f t="shared" si="64"/>
        <v>0</v>
      </c>
      <c r="V25" s="1138">
        <f t="shared" si="64"/>
        <v>0</v>
      </c>
      <c r="W25" s="1138">
        <f t="shared" si="64"/>
        <v>0</v>
      </c>
      <c r="X25" s="1138">
        <f t="shared" si="64"/>
        <v>0</v>
      </c>
      <c r="Y25" s="1138">
        <f t="shared" si="64"/>
        <v>0</v>
      </c>
      <c r="Z25" s="1138">
        <f t="shared" si="64"/>
        <v>0</v>
      </c>
      <c r="AA25" s="1138">
        <f t="shared" si="64"/>
        <v>0</v>
      </c>
      <c r="AB25" s="1138">
        <f t="shared" si="64"/>
        <v>0</v>
      </c>
      <c r="AC25" s="1138">
        <f t="shared" si="64"/>
        <v>0</v>
      </c>
      <c r="AD25" s="1138">
        <f t="shared" si="64"/>
        <v>0</v>
      </c>
      <c r="AE25" s="1133"/>
      <c r="AF25" s="578">
        <f t="shared" si="0"/>
        <v>0</v>
      </c>
    </row>
    <row r="26" spans="1:32" ht="21.95" hidden="1" customHeight="1" x14ac:dyDescent="0.15">
      <c r="A26" s="2513"/>
      <c r="B26" s="2539"/>
      <c r="C26" s="566" t="s">
        <v>45</v>
      </c>
      <c r="E26" s="442"/>
      <c r="F26" s="1138">
        <f t="shared" ref="F26:G26" si="65">IF(F23&gt;0,5,0)</f>
        <v>0</v>
      </c>
      <c r="G26" s="1138">
        <f t="shared" si="65"/>
        <v>0</v>
      </c>
      <c r="H26" s="1138">
        <f t="shared" ref="H26:O26" si="66">IF(H23&gt;0,5,0)</f>
        <v>0</v>
      </c>
      <c r="I26" s="1138">
        <f t="shared" si="66"/>
        <v>0</v>
      </c>
      <c r="J26" s="1138">
        <f t="shared" si="66"/>
        <v>0</v>
      </c>
      <c r="K26" s="1138">
        <f t="shared" si="66"/>
        <v>0</v>
      </c>
      <c r="L26" s="1138">
        <f t="shared" si="66"/>
        <v>0</v>
      </c>
      <c r="M26" s="1138">
        <f t="shared" si="66"/>
        <v>0</v>
      </c>
      <c r="N26" s="1138">
        <f t="shared" si="66"/>
        <v>0</v>
      </c>
      <c r="O26" s="1138">
        <f t="shared" si="66"/>
        <v>0</v>
      </c>
      <c r="P26" s="1138">
        <f t="shared" ref="P26" si="67">IF(P23&gt;0,5,0)</f>
        <v>0</v>
      </c>
      <c r="Q26" s="1138">
        <f t="shared" ref="Q26:AD26" si="68">IF(Q23&gt;0,5,0)</f>
        <v>0</v>
      </c>
      <c r="R26" s="1138">
        <f t="shared" si="68"/>
        <v>0</v>
      </c>
      <c r="S26" s="1138">
        <f t="shared" si="68"/>
        <v>0</v>
      </c>
      <c r="T26" s="1138">
        <f t="shared" si="68"/>
        <v>0</v>
      </c>
      <c r="U26" s="1138">
        <f t="shared" si="68"/>
        <v>0</v>
      </c>
      <c r="V26" s="1138">
        <f t="shared" si="68"/>
        <v>0</v>
      </c>
      <c r="W26" s="1138">
        <f t="shared" si="68"/>
        <v>0</v>
      </c>
      <c r="X26" s="1138">
        <f t="shared" si="68"/>
        <v>0</v>
      </c>
      <c r="Y26" s="1138">
        <f t="shared" si="68"/>
        <v>0</v>
      </c>
      <c r="Z26" s="1138">
        <f t="shared" si="68"/>
        <v>0</v>
      </c>
      <c r="AA26" s="1138">
        <f t="shared" si="68"/>
        <v>0</v>
      </c>
      <c r="AB26" s="1138">
        <f t="shared" si="68"/>
        <v>0</v>
      </c>
      <c r="AC26" s="1138">
        <f t="shared" si="68"/>
        <v>0</v>
      </c>
      <c r="AD26" s="1138">
        <f t="shared" si="68"/>
        <v>0</v>
      </c>
      <c r="AE26" s="1133"/>
      <c r="AF26" s="578">
        <f t="shared" si="0"/>
        <v>0</v>
      </c>
    </row>
    <row r="27" spans="1:32" ht="21.95" hidden="1" customHeight="1" x14ac:dyDescent="0.15">
      <c r="A27" s="2513"/>
      <c r="B27" s="2539"/>
      <c r="C27" s="566" t="s">
        <v>3</v>
      </c>
      <c r="E27" s="442"/>
      <c r="F27" s="1138">
        <f>Dren_Quantificacao!D28</f>
        <v>0</v>
      </c>
      <c r="G27" s="1138">
        <f>Dren_Quantificacao!E28</f>
        <v>0</v>
      </c>
      <c r="H27" s="1138">
        <f>Dren_Quantificacao!F28</f>
        <v>0</v>
      </c>
      <c r="I27" s="1138">
        <f>Dren_Quantificacao!G28</f>
        <v>0</v>
      </c>
      <c r="J27" s="1138">
        <f>Dren_Quantificacao!H28</f>
        <v>0</v>
      </c>
      <c r="K27" s="1138">
        <f>Dren_Quantificacao!I28</f>
        <v>0</v>
      </c>
      <c r="L27" s="1138">
        <f>Dren_Quantificacao!J28</f>
        <v>0</v>
      </c>
      <c r="M27" s="1138">
        <f>Dren_Quantificacao!K28</f>
        <v>0</v>
      </c>
      <c r="N27" s="1138">
        <f>Dren_Quantificacao!L28</f>
        <v>0</v>
      </c>
      <c r="O27" s="1138">
        <f>Dren_Quantificacao!M28</f>
        <v>0</v>
      </c>
      <c r="P27" s="1138">
        <f>Dren_Quantificacao!O28</f>
        <v>0</v>
      </c>
      <c r="Q27" s="1138">
        <f>Dren_Quantificacao!P28</f>
        <v>0</v>
      </c>
      <c r="R27" s="1138">
        <f>Dren_Quantificacao!Q28</f>
        <v>0</v>
      </c>
      <c r="S27" s="1138">
        <f>Dren_Quantificacao!R28</f>
        <v>0</v>
      </c>
      <c r="T27" s="1138">
        <f>Dren_Quantificacao!S28</f>
        <v>0</v>
      </c>
      <c r="U27" s="1138">
        <f>Dren_Quantificacao!T28</f>
        <v>0</v>
      </c>
      <c r="V27" s="1138">
        <f>Dren_Quantificacao!U28</f>
        <v>0</v>
      </c>
      <c r="W27" s="1138">
        <f>Dren_Quantificacao!V28</f>
        <v>0</v>
      </c>
      <c r="X27" s="1138">
        <f>Dren_Quantificacao!W28</f>
        <v>0</v>
      </c>
      <c r="Y27" s="1138">
        <f>Dren_Quantificacao!X28</f>
        <v>0</v>
      </c>
      <c r="Z27" s="1138">
        <f>Dren_Quantificacao!Y28</f>
        <v>0</v>
      </c>
      <c r="AA27" s="1138">
        <f>Dren_Quantificacao!Z28</f>
        <v>0</v>
      </c>
      <c r="AB27" s="1138">
        <f>Dren_Quantificacao!AA28</f>
        <v>0</v>
      </c>
      <c r="AC27" s="1138">
        <f>Dren_Quantificacao!AB28</f>
        <v>0</v>
      </c>
      <c r="AD27" s="1138">
        <f>Dren_Quantificacao!AC28</f>
        <v>0</v>
      </c>
      <c r="AE27" s="1139">
        <f t="shared" ref="AE27:AE37" si="69">ROUND(SUM(F27:AD27),2)</f>
        <v>0</v>
      </c>
      <c r="AF27" s="578">
        <f t="shared" si="0"/>
        <v>0</v>
      </c>
    </row>
    <row r="28" spans="1:32" ht="21.95" hidden="1" customHeight="1" x14ac:dyDescent="0.15">
      <c r="A28" s="2513"/>
      <c r="B28" s="2548"/>
      <c r="C28" s="567" t="s">
        <v>29</v>
      </c>
      <c r="E28" s="442"/>
      <c r="F28" s="1138">
        <f t="shared" ref="F28:G28" si="70">F27*F25</f>
        <v>0</v>
      </c>
      <c r="G28" s="1138">
        <f t="shared" si="70"/>
        <v>0</v>
      </c>
      <c r="H28" s="1138">
        <f t="shared" ref="H28:O28" si="71">H27*H25</f>
        <v>0</v>
      </c>
      <c r="I28" s="1138">
        <f t="shared" si="71"/>
        <v>0</v>
      </c>
      <c r="J28" s="1138">
        <f t="shared" si="71"/>
        <v>0</v>
      </c>
      <c r="K28" s="1138">
        <f t="shared" si="71"/>
        <v>0</v>
      </c>
      <c r="L28" s="1138">
        <f t="shared" si="71"/>
        <v>0</v>
      </c>
      <c r="M28" s="1138">
        <f t="shared" si="71"/>
        <v>0</v>
      </c>
      <c r="N28" s="1138">
        <f t="shared" si="71"/>
        <v>0</v>
      </c>
      <c r="O28" s="1138">
        <f t="shared" si="71"/>
        <v>0</v>
      </c>
      <c r="P28" s="1138">
        <f t="shared" ref="P28" si="72">P27*P25</f>
        <v>0</v>
      </c>
      <c r="Q28" s="1138">
        <f t="shared" ref="Q28:AD28" si="73">Q27*Q25</f>
        <v>0</v>
      </c>
      <c r="R28" s="1138">
        <f t="shared" si="73"/>
        <v>0</v>
      </c>
      <c r="S28" s="1138">
        <f t="shared" si="73"/>
        <v>0</v>
      </c>
      <c r="T28" s="1138">
        <f t="shared" si="73"/>
        <v>0</v>
      </c>
      <c r="U28" s="1138">
        <f t="shared" si="73"/>
        <v>0</v>
      </c>
      <c r="V28" s="1138">
        <f t="shared" si="73"/>
        <v>0</v>
      </c>
      <c r="W28" s="1138">
        <f t="shared" si="73"/>
        <v>0</v>
      </c>
      <c r="X28" s="1138">
        <f t="shared" si="73"/>
        <v>0</v>
      </c>
      <c r="Y28" s="1138">
        <f t="shared" si="73"/>
        <v>0</v>
      </c>
      <c r="Z28" s="1138">
        <f t="shared" si="73"/>
        <v>0</v>
      </c>
      <c r="AA28" s="1138">
        <f t="shared" si="73"/>
        <v>0</v>
      </c>
      <c r="AB28" s="1138">
        <f t="shared" si="73"/>
        <v>0</v>
      </c>
      <c r="AC28" s="1138">
        <f t="shared" si="73"/>
        <v>0</v>
      </c>
      <c r="AD28" s="1138">
        <f t="shared" si="73"/>
        <v>0</v>
      </c>
      <c r="AE28" s="1139">
        <f t="shared" si="69"/>
        <v>0</v>
      </c>
      <c r="AF28" s="578">
        <f t="shared" si="0"/>
        <v>0</v>
      </c>
    </row>
    <row r="29" spans="1:32" ht="21.95" hidden="1" customHeight="1" thickBot="1" x14ac:dyDescent="0.2">
      <c r="A29" s="2513"/>
      <c r="B29" s="2567"/>
      <c r="C29" s="565" t="s">
        <v>472</v>
      </c>
      <c r="D29" s="986"/>
      <c r="E29" s="231"/>
      <c r="F29" s="1134">
        <f t="shared" ref="F29:G29" si="74">F27*F26*F25/100</f>
        <v>0</v>
      </c>
      <c r="G29" s="1134">
        <f t="shared" si="74"/>
        <v>0</v>
      </c>
      <c r="H29" s="1134">
        <f t="shared" ref="H29:O29" si="75">H27*H26*H25/100</f>
        <v>0</v>
      </c>
      <c r="I29" s="1134">
        <f t="shared" si="75"/>
        <v>0</v>
      </c>
      <c r="J29" s="1134">
        <f t="shared" si="75"/>
        <v>0</v>
      </c>
      <c r="K29" s="1134">
        <f t="shared" si="75"/>
        <v>0</v>
      </c>
      <c r="L29" s="1134">
        <f t="shared" si="75"/>
        <v>0</v>
      </c>
      <c r="M29" s="1134">
        <f t="shared" si="75"/>
        <v>0</v>
      </c>
      <c r="N29" s="1134">
        <f t="shared" si="75"/>
        <v>0</v>
      </c>
      <c r="O29" s="1134">
        <f t="shared" si="75"/>
        <v>0</v>
      </c>
      <c r="P29" s="1134">
        <f t="shared" ref="P29" si="76">P27*P26*P25/100</f>
        <v>0</v>
      </c>
      <c r="Q29" s="1134">
        <f t="shared" ref="Q29:AD29" si="77">Q27*Q26*Q25/100</f>
        <v>0</v>
      </c>
      <c r="R29" s="1134">
        <f t="shared" si="77"/>
        <v>0</v>
      </c>
      <c r="S29" s="1134">
        <f t="shared" si="77"/>
        <v>0</v>
      </c>
      <c r="T29" s="1134">
        <f t="shared" si="77"/>
        <v>0</v>
      </c>
      <c r="U29" s="1134">
        <f t="shared" si="77"/>
        <v>0</v>
      </c>
      <c r="V29" s="1134">
        <f t="shared" si="77"/>
        <v>0</v>
      </c>
      <c r="W29" s="1134">
        <f t="shared" si="77"/>
        <v>0</v>
      </c>
      <c r="X29" s="1134">
        <f t="shared" si="77"/>
        <v>0</v>
      </c>
      <c r="Y29" s="1134">
        <f t="shared" si="77"/>
        <v>0</v>
      </c>
      <c r="Z29" s="1134">
        <f t="shared" si="77"/>
        <v>0</v>
      </c>
      <c r="AA29" s="1134">
        <f t="shared" si="77"/>
        <v>0</v>
      </c>
      <c r="AB29" s="1134">
        <f t="shared" si="77"/>
        <v>0</v>
      </c>
      <c r="AC29" s="1134">
        <f t="shared" si="77"/>
        <v>0</v>
      </c>
      <c r="AD29" s="1134">
        <f t="shared" si="77"/>
        <v>0</v>
      </c>
      <c r="AE29" s="1140">
        <f t="shared" si="69"/>
        <v>0</v>
      </c>
      <c r="AF29" s="578">
        <f t="shared" si="0"/>
        <v>0</v>
      </c>
    </row>
    <row r="30" spans="1:32" ht="21.95" customHeight="1" thickBot="1" x14ac:dyDescent="0.2">
      <c r="A30" s="2513"/>
      <c r="B30" s="2520" t="s">
        <v>699</v>
      </c>
      <c r="C30" s="2521"/>
      <c r="D30" s="986"/>
      <c r="E30" s="231"/>
      <c r="F30" s="1141">
        <f t="shared" ref="F30:G30" si="78">2*(F13+F20+F27)</f>
        <v>0</v>
      </c>
      <c r="G30" s="1141">
        <f t="shared" si="78"/>
        <v>0</v>
      </c>
      <c r="H30" s="1141">
        <f t="shared" ref="H30:O30" si="79">2*(H13+H20+H27)</f>
        <v>0</v>
      </c>
      <c r="I30" s="1141">
        <f t="shared" si="79"/>
        <v>0</v>
      </c>
      <c r="J30" s="1141">
        <f t="shared" si="79"/>
        <v>0</v>
      </c>
      <c r="K30" s="1141">
        <f t="shared" si="79"/>
        <v>0</v>
      </c>
      <c r="L30" s="1141">
        <f t="shared" si="79"/>
        <v>0</v>
      </c>
      <c r="M30" s="1141">
        <f t="shared" si="79"/>
        <v>0</v>
      </c>
      <c r="N30" s="1141">
        <f t="shared" si="79"/>
        <v>0</v>
      </c>
      <c r="O30" s="1141">
        <f t="shared" si="79"/>
        <v>8</v>
      </c>
      <c r="P30" s="1141">
        <f t="shared" ref="P30" si="80">2*(P13+P20+P27)</f>
        <v>0</v>
      </c>
      <c r="Q30" s="1141">
        <f t="shared" ref="Q30:AD30" si="81">2*(Q13+Q20+Q27)</f>
        <v>0</v>
      </c>
      <c r="R30" s="1141">
        <f t="shared" si="81"/>
        <v>0</v>
      </c>
      <c r="S30" s="1141">
        <f t="shared" si="81"/>
        <v>0</v>
      </c>
      <c r="T30" s="1141">
        <f t="shared" si="81"/>
        <v>0</v>
      </c>
      <c r="U30" s="1141">
        <f t="shared" si="81"/>
        <v>0</v>
      </c>
      <c r="V30" s="1141">
        <f t="shared" si="81"/>
        <v>0</v>
      </c>
      <c r="W30" s="1141">
        <f t="shared" si="81"/>
        <v>0</v>
      </c>
      <c r="X30" s="1141">
        <f t="shared" si="81"/>
        <v>0</v>
      </c>
      <c r="Y30" s="1141">
        <f t="shared" si="81"/>
        <v>0</v>
      </c>
      <c r="Z30" s="1141">
        <f t="shared" si="81"/>
        <v>0</v>
      </c>
      <c r="AA30" s="1141">
        <f t="shared" si="81"/>
        <v>0</v>
      </c>
      <c r="AB30" s="1141">
        <f t="shared" si="81"/>
        <v>0</v>
      </c>
      <c r="AC30" s="1141">
        <f t="shared" si="81"/>
        <v>0</v>
      </c>
      <c r="AD30" s="1141">
        <f t="shared" si="81"/>
        <v>0</v>
      </c>
      <c r="AE30" s="1142">
        <f t="shared" si="69"/>
        <v>8</v>
      </c>
      <c r="AF30" s="578">
        <f t="shared" si="0"/>
        <v>16</v>
      </c>
    </row>
    <row r="31" spans="1:32" ht="21.95" customHeight="1" thickBot="1" x14ac:dyDescent="0.2">
      <c r="A31" s="2513"/>
      <c r="B31" s="2529" t="s">
        <v>906</v>
      </c>
      <c r="C31" s="2530"/>
      <c r="D31" s="986"/>
      <c r="E31" s="231"/>
      <c r="F31" s="1141">
        <f t="shared" ref="F31:G32" si="82">F28+F21+F14</f>
        <v>0</v>
      </c>
      <c r="G31" s="1141">
        <f t="shared" si="82"/>
        <v>0</v>
      </c>
      <c r="H31" s="1141">
        <f t="shared" ref="H31:O31" si="83">H28+H21+H14</f>
        <v>0</v>
      </c>
      <c r="I31" s="1141">
        <f t="shared" si="83"/>
        <v>0</v>
      </c>
      <c r="J31" s="1141">
        <f t="shared" si="83"/>
        <v>0</v>
      </c>
      <c r="K31" s="1141">
        <f t="shared" si="83"/>
        <v>0</v>
      </c>
      <c r="L31" s="1141">
        <f t="shared" si="83"/>
        <v>0</v>
      </c>
      <c r="M31" s="1141">
        <f t="shared" si="83"/>
        <v>0</v>
      </c>
      <c r="N31" s="1141">
        <f t="shared" si="83"/>
        <v>0</v>
      </c>
      <c r="O31" s="1141">
        <f t="shared" si="83"/>
        <v>5.6</v>
      </c>
      <c r="P31" s="1141">
        <f t="shared" ref="P31" si="84">P28+P21+P14</f>
        <v>0</v>
      </c>
      <c r="Q31" s="1141">
        <f t="shared" ref="Q31:AD32" si="85">Q28+Q21+Q14</f>
        <v>0</v>
      </c>
      <c r="R31" s="1141">
        <f t="shared" si="85"/>
        <v>0</v>
      </c>
      <c r="S31" s="1141">
        <f t="shared" si="85"/>
        <v>0</v>
      </c>
      <c r="T31" s="1141">
        <f t="shared" si="85"/>
        <v>0</v>
      </c>
      <c r="U31" s="1141">
        <f t="shared" si="85"/>
        <v>0</v>
      </c>
      <c r="V31" s="1141">
        <f t="shared" si="85"/>
        <v>0</v>
      </c>
      <c r="W31" s="1141">
        <f t="shared" si="85"/>
        <v>0</v>
      </c>
      <c r="X31" s="1141">
        <f t="shared" si="85"/>
        <v>0</v>
      </c>
      <c r="Y31" s="1141">
        <f t="shared" si="85"/>
        <v>0</v>
      </c>
      <c r="Z31" s="1141">
        <f t="shared" si="85"/>
        <v>0</v>
      </c>
      <c r="AA31" s="1141">
        <f t="shared" si="85"/>
        <v>0</v>
      </c>
      <c r="AB31" s="1141">
        <f t="shared" si="85"/>
        <v>0</v>
      </c>
      <c r="AC31" s="1141">
        <f t="shared" si="85"/>
        <v>0</v>
      </c>
      <c r="AD31" s="1141">
        <f t="shared" si="85"/>
        <v>0</v>
      </c>
      <c r="AE31" s="1142">
        <f t="shared" si="69"/>
        <v>5.6</v>
      </c>
      <c r="AF31" s="578">
        <f t="shared" si="0"/>
        <v>11.2</v>
      </c>
    </row>
    <row r="32" spans="1:32" ht="21.95" customHeight="1" thickBot="1" x14ac:dyDescent="0.2">
      <c r="A32" s="2513"/>
      <c r="B32" s="2529" t="s">
        <v>474</v>
      </c>
      <c r="C32" s="2530"/>
      <c r="D32" s="993"/>
      <c r="E32" s="444"/>
      <c r="F32" s="1141">
        <f t="shared" si="82"/>
        <v>0</v>
      </c>
      <c r="G32" s="1141">
        <f t="shared" ref="G32" si="86">G29+G22+G15</f>
        <v>0</v>
      </c>
      <c r="H32" s="1141">
        <f t="shared" ref="H32:O32" si="87">H29+H22+H15</f>
        <v>0</v>
      </c>
      <c r="I32" s="1141">
        <f t="shared" si="87"/>
        <v>0</v>
      </c>
      <c r="J32" s="1141">
        <f t="shared" si="87"/>
        <v>0</v>
      </c>
      <c r="K32" s="1141">
        <f t="shared" si="87"/>
        <v>0</v>
      </c>
      <c r="L32" s="1141">
        <f t="shared" si="87"/>
        <v>0</v>
      </c>
      <c r="M32" s="1141">
        <f t="shared" si="87"/>
        <v>0</v>
      </c>
      <c r="N32" s="1141">
        <f t="shared" si="87"/>
        <v>0</v>
      </c>
      <c r="O32" s="1141">
        <f t="shared" si="87"/>
        <v>0.28000000000000003</v>
      </c>
      <c r="P32" s="1141">
        <f t="shared" ref="P32" si="88">P29+P22+P15</f>
        <v>0</v>
      </c>
      <c r="Q32" s="1141">
        <f t="shared" si="85"/>
        <v>0</v>
      </c>
      <c r="R32" s="1141">
        <f t="shared" si="85"/>
        <v>0</v>
      </c>
      <c r="S32" s="1141">
        <f t="shared" si="85"/>
        <v>0</v>
      </c>
      <c r="T32" s="1141">
        <f t="shared" si="85"/>
        <v>0</v>
      </c>
      <c r="U32" s="1141">
        <f t="shared" si="85"/>
        <v>0</v>
      </c>
      <c r="V32" s="1141">
        <f t="shared" si="85"/>
        <v>0</v>
      </c>
      <c r="W32" s="1141">
        <f t="shared" si="85"/>
        <v>0</v>
      </c>
      <c r="X32" s="1141">
        <f t="shared" si="85"/>
        <v>0</v>
      </c>
      <c r="Y32" s="1141">
        <f t="shared" si="85"/>
        <v>0</v>
      </c>
      <c r="Z32" s="1141">
        <f t="shared" si="85"/>
        <v>0</v>
      </c>
      <c r="AA32" s="1141">
        <f t="shared" si="85"/>
        <v>0</v>
      </c>
      <c r="AB32" s="1141">
        <f t="shared" si="85"/>
        <v>0</v>
      </c>
      <c r="AC32" s="1141">
        <f t="shared" si="85"/>
        <v>0</v>
      </c>
      <c r="AD32" s="1141">
        <f t="shared" si="85"/>
        <v>0</v>
      </c>
      <c r="AE32" s="1142">
        <f t="shared" si="69"/>
        <v>0.28000000000000003</v>
      </c>
      <c r="AF32" s="578">
        <f t="shared" si="0"/>
        <v>0.56000000000000005</v>
      </c>
    </row>
    <row r="33" spans="1:32" ht="21.95" hidden="1" customHeight="1" thickBot="1" x14ac:dyDescent="0.2">
      <c r="A33" s="2513"/>
      <c r="B33" s="2529" t="s">
        <v>1659</v>
      </c>
      <c r="C33" s="2530"/>
      <c r="D33" s="986"/>
      <c r="E33" s="231"/>
      <c r="F33" s="1416">
        <f>Dren_Quantificacao!D139</f>
        <v>0</v>
      </c>
      <c r="G33" s="1416">
        <f>Dren_Quantificacao!E139</f>
        <v>0</v>
      </c>
      <c r="H33" s="1416">
        <f>Dren_Quantificacao!F139</f>
        <v>0</v>
      </c>
      <c r="I33" s="1416">
        <f>Dren_Quantificacao!G139</f>
        <v>0</v>
      </c>
      <c r="J33" s="1416">
        <f>Dren_Quantificacao!H139</f>
        <v>0</v>
      </c>
      <c r="K33" s="1416">
        <f>Dren_Quantificacao!I139</f>
        <v>0</v>
      </c>
      <c r="L33" s="1416">
        <f>Dren_Quantificacao!J139</f>
        <v>0</v>
      </c>
      <c r="M33" s="1416">
        <f>Dren_Quantificacao!K139</f>
        <v>0</v>
      </c>
      <c r="N33" s="1416">
        <f>Dren_Quantificacao!L139</f>
        <v>0</v>
      </c>
      <c r="O33" s="1416">
        <f>Dren_Quantificacao!M139</f>
        <v>0</v>
      </c>
      <c r="P33" s="1415"/>
      <c r="Q33" s="1415"/>
      <c r="R33" s="1415"/>
      <c r="S33" s="1415"/>
      <c r="T33" s="1415"/>
      <c r="U33" s="1415"/>
      <c r="V33" s="1415"/>
      <c r="W33" s="1415"/>
      <c r="X33" s="1415"/>
      <c r="Y33" s="1415"/>
      <c r="Z33" s="1415"/>
      <c r="AA33" s="1415"/>
      <c r="AB33" s="1415"/>
      <c r="AC33" s="1415"/>
      <c r="AD33" s="1415"/>
      <c r="AE33" s="1142">
        <f t="shared" si="69"/>
        <v>0</v>
      </c>
      <c r="AF33" s="578">
        <f t="shared" si="0"/>
        <v>0</v>
      </c>
    </row>
    <row r="34" spans="1:32" ht="21.95" hidden="1" customHeight="1" thickBot="1" x14ac:dyDescent="0.2">
      <c r="A34" s="2513"/>
      <c r="B34" s="2529" t="s">
        <v>1660</v>
      </c>
      <c r="C34" s="2530"/>
      <c r="D34" s="993"/>
      <c r="E34" s="444"/>
      <c r="F34" s="1416">
        <f>Dren_Quantificacao!D140</f>
        <v>0</v>
      </c>
      <c r="G34" s="1416">
        <f>Dren_Quantificacao!E140</f>
        <v>0</v>
      </c>
      <c r="H34" s="1416">
        <f>Dren_Quantificacao!F140</f>
        <v>0</v>
      </c>
      <c r="I34" s="1416">
        <f>Dren_Quantificacao!G140</f>
        <v>0</v>
      </c>
      <c r="J34" s="1416">
        <f>Dren_Quantificacao!H140</f>
        <v>0</v>
      </c>
      <c r="K34" s="1416">
        <f>Dren_Quantificacao!I140</f>
        <v>0</v>
      </c>
      <c r="L34" s="1416">
        <f>Dren_Quantificacao!J140</f>
        <v>0</v>
      </c>
      <c r="M34" s="1416">
        <f>Dren_Quantificacao!K140</f>
        <v>0</v>
      </c>
      <c r="N34" s="1416">
        <f>Dren_Quantificacao!L140</f>
        <v>0</v>
      </c>
      <c r="O34" s="1416">
        <f>Dren_Quantificacao!M140</f>
        <v>0</v>
      </c>
      <c r="P34" s="1415"/>
      <c r="Q34" s="1415"/>
      <c r="R34" s="1415"/>
      <c r="S34" s="1415"/>
      <c r="T34" s="1415"/>
      <c r="U34" s="1415"/>
      <c r="V34" s="1415"/>
      <c r="W34" s="1415"/>
      <c r="X34" s="1415"/>
      <c r="Y34" s="1415"/>
      <c r="Z34" s="1415"/>
      <c r="AA34" s="1415"/>
      <c r="AB34" s="1415"/>
      <c r="AC34" s="1415"/>
      <c r="AD34" s="1415"/>
      <c r="AE34" s="1142">
        <f t="shared" si="69"/>
        <v>0</v>
      </c>
      <c r="AF34" s="578">
        <f t="shared" si="0"/>
        <v>0</v>
      </c>
    </row>
    <row r="35" spans="1:32" ht="21.95" hidden="1" customHeight="1" x14ac:dyDescent="0.15">
      <c r="A35" s="2513"/>
      <c r="B35" s="2522" t="s">
        <v>626</v>
      </c>
      <c r="C35" s="549" t="s">
        <v>629</v>
      </c>
      <c r="E35" s="442"/>
      <c r="F35" s="1136">
        <f>Dren_Quantificacao!D141</f>
        <v>0</v>
      </c>
      <c r="G35" s="1136">
        <f>Dren_Quantificacao!E141</f>
        <v>0</v>
      </c>
      <c r="H35" s="1136">
        <f>Dren_Quantificacao!F141</f>
        <v>0</v>
      </c>
      <c r="I35" s="1136">
        <f>Dren_Quantificacao!G141</f>
        <v>0</v>
      </c>
      <c r="J35" s="1136">
        <f>Dren_Quantificacao!H141</f>
        <v>0</v>
      </c>
      <c r="K35" s="1136">
        <f>Dren_Quantificacao!I141</f>
        <v>0</v>
      </c>
      <c r="L35" s="1136">
        <f>Dren_Quantificacao!J141</f>
        <v>0</v>
      </c>
      <c r="M35" s="1136">
        <f>Dren_Quantificacao!K141</f>
        <v>0</v>
      </c>
      <c r="N35" s="1136">
        <f>Dren_Quantificacao!L141</f>
        <v>0</v>
      </c>
      <c r="O35" s="1136">
        <f>Dren_Quantificacao!M141</f>
        <v>0</v>
      </c>
      <c r="P35" s="1136">
        <f>Dren_Quantificacao!O141</f>
        <v>0</v>
      </c>
      <c r="Q35" s="1136">
        <f>Dren_Quantificacao!P141</f>
        <v>0</v>
      </c>
      <c r="R35" s="1136">
        <f>Dren_Quantificacao!Q141</f>
        <v>0</v>
      </c>
      <c r="S35" s="1136">
        <f>Dren_Quantificacao!R141</f>
        <v>0</v>
      </c>
      <c r="T35" s="1136">
        <f>Dren_Quantificacao!S141</f>
        <v>0</v>
      </c>
      <c r="U35" s="1136">
        <f>Dren_Quantificacao!T141</f>
        <v>0</v>
      </c>
      <c r="V35" s="1136">
        <f>Dren_Quantificacao!U141</f>
        <v>0</v>
      </c>
      <c r="W35" s="1136">
        <f>Dren_Quantificacao!V141</f>
        <v>0</v>
      </c>
      <c r="X35" s="1136">
        <f>Dren_Quantificacao!W141</f>
        <v>0</v>
      </c>
      <c r="Y35" s="1136">
        <f>Dren_Quantificacao!X141</f>
        <v>0</v>
      </c>
      <c r="Z35" s="1136">
        <f>Dren_Quantificacao!Y141</f>
        <v>0</v>
      </c>
      <c r="AA35" s="1136">
        <f>Dren_Quantificacao!Z141</f>
        <v>0</v>
      </c>
      <c r="AB35" s="1136">
        <f>Dren_Quantificacao!AA141</f>
        <v>0</v>
      </c>
      <c r="AC35" s="1136">
        <f>Dren_Quantificacao!AB141</f>
        <v>0</v>
      </c>
      <c r="AD35" s="1136">
        <f>Dren_Quantificacao!AC141</f>
        <v>0</v>
      </c>
      <c r="AE35" s="1139">
        <f t="shared" si="69"/>
        <v>0</v>
      </c>
      <c r="AF35" s="578">
        <f t="shared" si="0"/>
        <v>0</v>
      </c>
    </row>
    <row r="36" spans="1:32" ht="21.95" hidden="1" customHeight="1" thickBot="1" x14ac:dyDescent="0.2">
      <c r="A36" s="2513"/>
      <c r="B36" s="2524"/>
      <c r="C36" s="565" t="s">
        <v>628</v>
      </c>
      <c r="D36" s="986"/>
      <c r="E36" s="231"/>
      <c r="F36" s="1134">
        <f>Dren_Quantificacao!D142</f>
        <v>0</v>
      </c>
      <c r="G36" s="1134">
        <f>Dren_Quantificacao!E142</f>
        <v>0</v>
      </c>
      <c r="H36" s="1134">
        <f>Dren_Quantificacao!F142</f>
        <v>0</v>
      </c>
      <c r="I36" s="1134">
        <f>Dren_Quantificacao!G142</f>
        <v>0</v>
      </c>
      <c r="J36" s="1134">
        <f>Dren_Quantificacao!H142</f>
        <v>0</v>
      </c>
      <c r="K36" s="1134">
        <f>Dren_Quantificacao!I142</f>
        <v>0</v>
      </c>
      <c r="L36" s="1134">
        <f>Dren_Quantificacao!J142</f>
        <v>0</v>
      </c>
      <c r="M36" s="1134">
        <f>Dren_Quantificacao!K142</f>
        <v>0</v>
      </c>
      <c r="N36" s="1134">
        <f>Dren_Quantificacao!L142</f>
        <v>0</v>
      </c>
      <c r="O36" s="1134">
        <f>Dren_Quantificacao!M142</f>
        <v>0</v>
      </c>
      <c r="P36" s="1134">
        <f>Dren_Quantificacao!O142</f>
        <v>0</v>
      </c>
      <c r="Q36" s="1134">
        <f>Dren_Quantificacao!P142</f>
        <v>0</v>
      </c>
      <c r="R36" s="1134">
        <f>Dren_Quantificacao!Q142</f>
        <v>0</v>
      </c>
      <c r="S36" s="1134">
        <f>Dren_Quantificacao!R142</f>
        <v>0</v>
      </c>
      <c r="T36" s="1134">
        <f>Dren_Quantificacao!S142</f>
        <v>0</v>
      </c>
      <c r="U36" s="1134">
        <f>Dren_Quantificacao!T142</f>
        <v>0</v>
      </c>
      <c r="V36" s="1134">
        <f>Dren_Quantificacao!U142</f>
        <v>0</v>
      </c>
      <c r="W36" s="1134">
        <f>Dren_Quantificacao!V142</f>
        <v>0</v>
      </c>
      <c r="X36" s="1134">
        <f>Dren_Quantificacao!W142</f>
        <v>0</v>
      </c>
      <c r="Y36" s="1134">
        <f>Dren_Quantificacao!X142</f>
        <v>0</v>
      </c>
      <c r="Z36" s="1134">
        <f>Dren_Quantificacao!Y142</f>
        <v>0</v>
      </c>
      <c r="AA36" s="1134">
        <f>Dren_Quantificacao!Z142</f>
        <v>0</v>
      </c>
      <c r="AB36" s="1134">
        <f>Dren_Quantificacao!AA142</f>
        <v>0</v>
      </c>
      <c r="AC36" s="1134">
        <f>Dren_Quantificacao!AB142</f>
        <v>0</v>
      </c>
      <c r="AD36" s="1134">
        <f>Dren_Quantificacao!AC142</f>
        <v>0</v>
      </c>
      <c r="AE36" s="1140">
        <f t="shared" si="69"/>
        <v>0</v>
      </c>
      <c r="AF36" s="578">
        <f t="shared" si="0"/>
        <v>0</v>
      </c>
    </row>
    <row r="37" spans="1:32" ht="32.1" customHeight="1" x14ac:dyDescent="0.15">
      <c r="A37" s="2513"/>
      <c r="B37" s="2522" t="s">
        <v>982</v>
      </c>
      <c r="C37" s="549" t="s">
        <v>2729</v>
      </c>
      <c r="D37" s="987"/>
      <c r="E37" s="344"/>
      <c r="F37" s="1219">
        <f ca="1">IF(F2-F27&gt;0,(F2-F27),0)</f>
        <v>45.04</v>
      </c>
      <c r="G37" s="1219">
        <f t="shared" ref="G37:O37" ca="1" si="89">IF(G2-G27&gt;0,(G2-G27),0)</f>
        <v>45.04</v>
      </c>
      <c r="H37" s="1219">
        <f t="shared" ca="1" si="89"/>
        <v>60.43</v>
      </c>
      <c r="I37" s="1219">
        <f t="shared" ca="1" si="89"/>
        <v>60.43</v>
      </c>
      <c r="J37" s="1219">
        <f t="shared" ca="1" si="89"/>
        <v>60.43</v>
      </c>
      <c r="K37" s="1219">
        <f t="shared" ca="1" si="89"/>
        <v>60.44</v>
      </c>
      <c r="L37" s="1219">
        <f t="shared" si="89"/>
        <v>0</v>
      </c>
      <c r="M37" s="1219">
        <f t="shared" si="89"/>
        <v>0</v>
      </c>
      <c r="N37" s="1219">
        <f t="shared" si="89"/>
        <v>0</v>
      </c>
      <c r="O37" s="1219">
        <f t="shared" si="89"/>
        <v>0</v>
      </c>
      <c r="P37" s="2369"/>
      <c r="Q37" s="2369"/>
      <c r="R37" s="159"/>
      <c r="S37" s="2369"/>
      <c r="T37" s="159"/>
      <c r="U37" s="159"/>
      <c r="V37" s="159"/>
      <c r="W37" s="159"/>
      <c r="X37" s="159"/>
      <c r="Y37" s="159"/>
      <c r="Z37" s="159"/>
      <c r="AA37" s="159"/>
      <c r="AB37" s="159"/>
      <c r="AC37" s="159"/>
      <c r="AD37" s="159"/>
      <c r="AE37" s="2370">
        <f t="shared" ca="1" si="69"/>
        <v>331.81</v>
      </c>
      <c r="AF37" s="578">
        <f t="shared" ca="1" si="0"/>
        <v>663.62</v>
      </c>
    </row>
    <row r="38" spans="1:32" ht="32.1" customHeight="1" x14ac:dyDescent="0.15">
      <c r="A38" s="2513"/>
      <c r="B38" s="2523"/>
      <c r="C38" s="566" t="s">
        <v>2730</v>
      </c>
      <c r="D38" s="987"/>
      <c r="E38" s="344"/>
      <c r="F38" s="2220">
        <f ca="1">IF(F37&gt;0,7,0)</f>
        <v>7</v>
      </c>
      <c r="G38" s="2220">
        <f t="shared" ref="G38:O38" ca="1" si="90">IF(G37&gt;0,7,0)</f>
        <v>7</v>
      </c>
      <c r="H38" s="2220">
        <f t="shared" ca="1" si="90"/>
        <v>7</v>
      </c>
      <c r="I38" s="2220">
        <f t="shared" ca="1" si="90"/>
        <v>7</v>
      </c>
      <c r="J38" s="2220">
        <f t="shared" ca="1" si="90"/>
        <v>7</v>
      </c>
      <c r="K38" s="2220">
        <f t="shared" ca="1" si="90"/>
        <v>7</v>
      </c>
      <c r="L38" s="2220">
        <f t="shared" si="90"/>
        <v>0</v>
      </c>
      <c r="M38" s="2220">
        <f t="shared" si="90"/>
        <v>0</v>
      </c>
      <c r="N38" s="2220">
        <f t="shared" si="90"/>
        <v>0</v>
      </c>
      <c r="O38" s="2220">
        <f t="shared" si="90"/>
        <v>0</v>
      </c>
      <c r="P38" s="2261"/>
      <c r="Q38" s="2261"/>
      <c r="R38" s="2261"/>
      <c r="S38" s="2261"/>
      <c r="T38" s="2261"/>
      <c r="U38" s="2261"/>
      <c r="V38" s="2261"/>
      <c r="W38" s="2261"/>
      <c r="X38" s="2261"/>
      <c r="Y38" s="2261"/>
      <c r="Z38" s="2261"/>
      <c r="AA38" s="2261"/>
      <c r="AB38" s="2261"/>
      <c r="AC38" s="2261"/>
      <c r="AD38" s="2261"/>
      <c r="AE38" s="2262"/>
      <c r="AF38" s="578">
        <f t="shared" ca="1" si="0"/>
        <v>42</v>
      </c>
    </row>
    <row r="39" spans="1:32" ht="32.1" customHeight="1" x14ac:dyDescent="0.15">
      <c r="A39" s="2513"/>
      <c r="B39" s="2523"/>
      <c r="C39" s="566" t="s">
        <v>2731</v>
      </c>
      <c r="D39" s="987"/>
      <c r="E39" s="344"/>
      <c r="F39" s="1143">
        <f ca="1">F38*F37</f>
        <v>315.27999999999997</v>
      </c>
      <c r="G39" s="1143">
        <f t="shared" ref="G39:O39" ca="1" si="91">G38*G37</f>
        <v>315.27999999999997</v>
      </c>
      <c r="H39" s="1143">
        <f t="shared" ca="1" si="91"/>
        <v>423.01</v>
      </c>
      <c r="I39" s="1143">
        <f t="shared" ca="1" si="91"/>
        <v>423.01</v>
      </c>
      <c r="J39" s="1143">
        <f t="shared" ca="1" si="91"/>
        <v>423.01</v>
      </c>
      <c r="K39" s="1143">
        <f t="shared" ca="1" si="91"/>
        <v>423.08</v>
      </c>
      <c r="L39" s="1143">
        <f t="shared" si="91"/>
        <v>0</v>
      </c>
      <c r="M39" s="1143">
        <f t="shared" si="91"/>
        <v>0</v>
      </c>
      <c r="N39" s="1143">
        <f t="shared" si="91"/>
        <v>0</v>
      </c>
      <c r="O39" s="1143">
        <f t="shared" si="91"/>
        <v>0</v>
      </c>
      <c r="P39" s="159"/>
      <c r="Q39" s="159"/>
      <c r="R39" s="159"/>
      <c r="S39" s="159"/>
      <c r="T39" s="159"/>
      <c r="U39" s="159"/>
      <c r="V39" s="159"/>
      <c r="W39" s="159"/>
      <c r="X39" s="159"/>
      <c r="Y39" s="159"/>
      <c r="Z39" s="159"/>
      <c r="AA39" s="159"/>
      <c r="AB39" s="159"/>
      <c r="AC39" s="159"/>
      <c r="AD39" s="159"/>
      <c r="AE39" s="1139">
        <f ca="1">ROUND(SUM(F39:AD39),2)</f>
        <v>2322.67</v>
      </c>
      <c r="AF39" s="578">
        <f t="shared" ca="1" si="0"/>
        <v>4645.34</v>
      </c>
    </row>
    <row r="40" spans="1:32" ht="32.1" customHeight="1" x14ac:dyDescent="0.15">
      <c r="A40" s="2513"/>
      <c r="B40" s="2523"/>
      <c r="C40" s="566" t="s">
        <v>983</v>
      </c>
      <c r="D40" s="987"/>
      <c r="E40" s="344"/>
      <c r="F40" s="966">
        <f ca="1">IF(F2=0,0,IF(F2&lt;100,1,2))</f>
        <v>1</v>
      </c>
      <c r="G40" s="966">
        <f t="shared" ref="G40:O40" ca="1" si="92">IF(G2=0,0,IF(G2&lt;100,1,2))</f>
        <v>1</v>
      </c>
      <c r="H40" s="966">
        <f t="shared" ca="1" si="92"/>
        <v>1</v>
      </c>
      <c r="I40" s="966">
        <f t="shared" ca="1" si="92"/>
        <v>1</v>
      </c>
      <c r="J40" s="966">
        <f t="shared" ca="1" si="92"/>
        <v>1</v>
      </c>
      <c r="K40" s="966">
        <f t="shared" ca="1" si="92"/>
        <v>1</v>
      </c>
      <c r="L40" s="966">
        <f t="shared" si="92"/>
        <v>0</v>
      </c>
      <c r="M40" s="966">
        <f t="shared" si="92"/>
        <v>0</v>
      </c>
      <c r="N40" s="966">
        <f t="shared" si="92"/>
        <v>0</v>
      </c>
      <c r="O40" s="966">
        <f t="shared" si="92"/>
        <v>0</v>
      </c>
      <c r="P40" s="1292"/>
      <c r="Q40" s="1292"/>
      <c r="R40" s="1292"/>
      <c r="S40" s="1292"/>
      <c r="T40" s="1292"/>
      <c r="U40" s="1292"/>
      <c r="V40" s="1292"/>
      <c r="W40" s="1292"/>
      <c r="X40" s="1292"/>
      <c r="Y40" s="1292"/>
      <c r="Z40" s="1292"/>
      <c r="AA40" s="1292"/>
      <c r="AB40" s="1292"/>
      <c r="AC40" s="1292"/>
      <c r="AD40" s="1292"/>
      <c r="AE40" s="1145">
        <f ca="1">ROUND(SUM(F40:AD40),2)</f>
        <v>6</v>
      </c>
      <c r="AF40" s="578">
        <f t="shared" ca="1" si="0"/>
        <v>12</v>
      </c>
    </row>
    <row r="41" spans="1:32" ht="21.95" customHeight="1" thickBot="1" x14ac:dyDescent="0.2">
      <c r="A41" s="2513"/>
      <c r="B41" s="2524"/>
      <c r="C41" s="545" t="s">
        <v>984</v>
      </c>
      <c r="D41" s="988"/>
      <c r="E41" s="414"/>
      <c r="F41" s="1146">
        <f ca="1">IF(F2&gt;0,2,0)</f>
        <v>2</v>
      </c>
      <c r="G41" s="1146">
        <f t="shared" ref="G41:O41" ca="1" si="93">IF(G2&gt;0,2,0)</f>
        <v>2</v>
      </c>
      <c r="H41" s="1146">
        <f t="shared" ca="1" si="93"/>
        <v>2</v>
      </c>
      <c r="I41" s="1146">
        <f t="shared" ca="1" si="93"/>
        <v>2</v>
      </c>
      <c r="J41" s="1146">
        <f t="shared" ca="1" si="93"/>
        <v>2</v>
      </c>
      <c r="K41" s="1146">
        <f t="shared" ca="1" si="93"/>
        <v>2</v>
      </c>
      <c r="L41" s="1146">
        <f t="shared" si="93"/>
        <v>0</v>
      </c>
      <c r="M41" s="1146">
        <f t="shared" si="93"/>
        <v>0</v>
      </c>
      <c r="N41" s="1146">
        <f t="shared" si="93"/>
        <v>0</v>
      </c>
      <c r="O41" s="1146">
        <f t="shared" si="93"/>
        <v>0</v>
      </c>
      <c r="P41" s="1293"/>
      <c r="Q41" s="1293"/>
      <c r="R41" s="1293"/>
      <c r="S41" s="1293"/>
      <c r="T41" s="1293"/>
      <c r="U41" s="1293"/>
      <c r="V41" s="1293"/>
      <c r="W41" s="1293"/>
      <c r="X41" s="1293"/>
      <c r="Y41" s="1293"/>
      <c r="Z41" s="1293"/>
      <c r="AA41" s="1293"/>
      <c r="AB41" s="1293"/>
      <c r="AC41" s="1293"/>
      <c r="AD41" s="1293"/>
      <c r="AE41" s="1147">
        <f ca="1">ROUND(SUM(F41:AD41),2)</f>
        <v>12</v>
      </c>
      <c r="AF41" s="578">
        <f t="shared" ca="1" si="0"/>
        <v>24</v>
      </c>
    </row>
    <row r="42" spans="1:32" ht="50.1" customHeight="1" thickBot="1" x14ac:dyDescent="0.2">
      <c r="A42" s="2514"/>
      <c r="B42" s="2568" t="s">
        <v>12</v>
      </c>
      <c r="C42" s="2569"/>
      <c r="D42" s="989"/>
      <c r="E42" s="440"/>
      <c r="F42" s="2089"/>
      <c r="G42" s="2089"/>
      <c r="H42" s="2089"/>
      <c r="I42" s="2089"/>
      <c r="J42" s="2089"/>
      <c r="K42" s="2089"/>
      <c r="L42" s="2089"/>
      <c r="M42" s="2089"/>
      <c r="N42" s="2089"/>
      <c r="O42" s="2089"/>
      <c r="P42" s="2323"/>
      <c r="Q42" s="2323"/>
      <c r="R42" s="2323"/>
      <c r="S42" s="2323"/>
      <c r="T42" s="1294"/>
      <c r="U42" s="1294"/>
      <c r="V42" s="1294"/>
      <c r="W42" s="1294"/>
      <c r="X42" s="1294"/>
      <c r="Y42" s="1294"/>
      <c r="Z42" s="1294"/>
      <c r="AA42" s="1294"/>
      <c r="AB42" s="1294"/>
      <c r="AC42" s="1294"/>
      <c r="AD42" s="1294"/>
      <c r="AE42" s="576"/>
      <c r="AF42" s="667">
        <v>1</v>
      </c>
    </row>
    <row r="43" spans="1:32" ht="19.5" hidden="1" thickTop="1" x14ac:dyDescent="0.15"/>
    <row r="44" spans="1:32" ht="19.5" thickTop="1" x14ac:dyDescent="0.15"/>
  </sheetData>
  <autoFilter ref="AF1:AF43">
    <filterColumn colId="0">
      <customFilters>
        <customFilter operator="notEqual" val=" "/>
      </customFilters>
    </filterColumn>
  </autoFilter>
  <mergeCells count="16">
    <mergeCell ref="B31:C31"/>
    <mergeCell ref="B32:C32"/>
    <mergeCell ref="A1:A42"/>
    <mergeCell ref="B1:C1"/>
    <mergeCell ref="B2:C2"/>
    <mergeCell ref="B9:B15"/>
    <mergeCell ref="B42:C42"/>
    <mergeCell ref="B16:B22"/>
    <mergeCell ref="B23:B29"/>
    <mergeCell ref="B3:B5"/>
    <mergeCell ref="B6:B8"/>
    <mergeCell ref="B37:B41"/>
    <mergeCell ref="B35:B36"/>
    <mergeCell ref="B30:C30"/>
    <mergeCell ref="B33:C33"/>
    <mergeCell ref="B34:C34"/>
  </mergeCells>
  <conditionalFormatting sqref="F6:K6">
    <cfRule type="expression" dxfId="95" priority="14">
      <formula>E$27&gt;0</formula>
    </cfRule>
  </conditionalFormatting>
  <conditionalFormatting sqref="L6">
    <cfRule type="expression" dxfId="94" priority="4157">
      <formula>#REF!&gt;0</formula>
    </cfRule>
  </conditionalFormatting>
  <conditionalFormatting sqref="M6:O6">
    <cfRule type="expression" dxfId="93" priority="4155">
      <formula>#REF!&gt;0</formula>
    </cfRule>
  </conditionalFormatting>
  <conditionalFormatting sqref="P6:AD6">
    <cfRule type="expression" dxfId="92" priority="20">
      <formula>#REF!&gt;0</formula>
    </cfRule>
  </conditionalFormatting>
  <hyperlinks>
    <hyperlink ref="B1:C1" location="PAINEL!A1" display="TRECHOS"/>
  </hyperlinks>
  <pageMargins left="0.39370078740157483" right="0.39370078740157483" top="0.59055118110236227" bottom="0.59055118110236227" header="0.23622047244094491" footer="0.23622047244094491"/>
  <pageSetup paperSize="9" scale="80" fitToWidth="6" orientation="landscape" r:id="rId1"/>
  <headerFooter>
    <oddFooter>&amp;L&amp;"Arial,Normal"&amp;8&amp;F&amp;C&amp;"Arial,Normal"&amp;8&amp;P / &amp;N&amp;R&amp;"Cambria,Regular"&amp;8Ricardo Schettini Figueiredo&amp;10
&amp;8Eng. Civil - CREA-RJ 52.656/D</oddFooter>
  </headerFooter>
  <ignoredErrors>
    <ignoredError sqref="Q23" formula="1"/>
  </ignoredErrors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26" filterMode="1">
    <tabColor theme="5" tint="0.59999389629810485"/>
  </sheetPr>
  <dimension ref="A1:AS223"/>
  <sheetViews>
    <sheetView showZeros="0" zoomScaleNormal="100" zoomScaleSheetLayoutView="100" workbookViewId="0">
      <pane xSplit="5" ySplit="1" topLeftCell="F113" activePane="bottomRight" state="frozenSplit"/>
      <selection activeCell="D18" sqref="B13:I28"/>
      <selection pane="topRight" activeCell="D18" sqref="B13:I28"/>
      <selection pane="bottomLeft" activeCell="D18" sqref="B13:I28"/>
      <selection pane="bottomRight" activeCell="F203" sqref="F203"/>
    </sheetView>
  </sheetViews>
  <sheetFormatPr defaultColWidth="9" defaultRowHeight="18.75" x14ac:dyDescent="0.15"/>
  <cols>
    <col min="1" max="1" width="9.75" style="133" customWidth="1"/>
    <col min="2" max="2" width="14.625" style="13" customWidth="1"/>
    <col min="3" max="3" width="35.625" style="13" customWidth="1"/>
    <col min="4" max="4" width="3.75" style="2009" hidden="1" customWidth="1"/>
    <col min="5" max="5" width="13.625" style="13" hidden="1" customWidth="1"/>
    <col min="6" max="11" width="12.625" style="133" customWidth="1"/>
    <col min="12" max="16" width="12.625" style="133" hidden="1" customWidth="1"/>
    <col min="17" max="17" width="12.625" style="133" customWidth="1"/>
    <col min="18" max="18" width="12.625" style="133" hidden="1" customWidth="1"/>
    <col min="19" max="19" width="12.625" style="133" customWidth="1"/>
    <col min="20" max="30" width="12.625" style="133" hidden="1" customWidth="1"/>
    <col min="31" max="31" width="12.625" style="420" customWidth="1"/>
    <col min="32" max="32" width="17.375" style="133" customWidth="1"/>
    <col min="33" max="36" width="10.75" style="1086" customWidth="1"/>
    <col min="37" max="37" width="15.625" style="1086" customWidth="1"/>
    <col min="38" max="44" width="9" style="1086"/>
    <col min="45" max="16384" width="9" style="133"/>
  </cols>
  <sheetData>
    <row r="1" spans="1:44" s="16" customFormat="1" ht="69" thickTop="1" thickBot="1" x14ac:dyDescent="0.2">
      <c r="A1" s="2512" t="s">
        <v>313</v>
      </c>
      <c r="B1" s="2525" t="s">
        <v>346</v>
      </c>
      <c r="C1" s="2526"/>
      <c r="D1" s="1989"/>
      <c r="E1" s="973" t="s">
        <v>587</v>
      </c>
      <c r="F1" s="225">
        <f ca="1">Dren_Quantificacao!D1</f>
        <v>1</v>
      </c>
      <c r="G1" s="225">
        <f ca="1">Dren_Quantificacao!E1</f>
        <v>2</v>
      </c>
      <c r="H1" s="225">
        <f ca="1">Dren_Quantificacao!F1</f>
        <v>3</v>
      </c>
      <c r="I1" s="225">
        <f ca="1">Dren_Quantificacao!G1</f>
        <v>4</v>
      </c>
      <c r="J1" s="225">
        <f ca="1">Dren_Quantificacao!H1</f>
        <v>5</v>
      </c>
      <c r="K1" s="225">
        <f ca="1">Dren_Quantificacao!I1</f>
        <v>6</v>
      </c>
      <c r="L1" s="225" t="str">
        <f>Dren_Quantificacao!J1</f>
        <v>DRENAGEM EXISTENTE - RUA PAULO SOARES VALENTIN</v>
      </c>
      <c r="M1" s="225" t="str">
        <f>Dren_Quantificacao!K1</f>
        <v>DRENAGEM EXISTENTE - RUA OLINDA GARCIA DE OLIVEIRA / RUA JOÃO TRIVELLATO</v>
      </c>
      <c r="N1" s="225" t="str">
        <f>Dren_Quantificacao!L1</f>
        <v>DRENAGEM EXISTENTE - RUA CLELIA SANTOS DA ROSA</v>
      </c>
      <c r="O1" s="225" t="str">
        <f>Dren_Quantificacao!M1</f>
        <v>DRENAGEM EXISTENTE - RUA FRANCISCO MARTINS DE SOUZA</v>
      </c>
      <c r="P1" s="225" t="str">
        <f>Dren_Quantificacao!O1</f>
        <v>RAMAL CONCRETO Ø 0,40 (m) SOLO baixa inter.</v>
      </c>
      <c r="Q1" s="225" t="str">
        <f>Dren_Quantificacao!P1</f>
        <v>RAMAL CONCRETO Ø 0,40 (m) SOLO alta inter.</v>
      </c>
      <c r="R1" s="225" t="str">
        <f>Dren_Quantificacao!Q1</f>
        <v>RAMAL CONCRETO Ø 0,60 (m) SOLO baixa inter.</v>
      </c>
      <c r="S1" s="225" t="str">
        <f>Dren_Quantificacao!R1</f>
        <v>RAMAL CONCRETO Ø 0,60 (m) SOLO alta inter.</v>
      </c>
      <c r="T1" s="225" t="str">
        <f>Dren_Quantificacao!S1</f>
        <v>RAMAL CONCRETO Ø 0,40 (m) ROCHA</v>
      </c>
      <c r="U1" s="225" t="str">
        <f>+Dren_Quantificacao!T1</f>
        <v>RAMAL CONCRETO Ø 0,60 (m) ROCHA</v>
      </c>
      <c r="V1" s="225" t="str">
        <f>+Dren_Quantificacao!U1</f>
        <v>RAMAL PEAD Ø 0,40 (m) SOLO baixa inter.</v>
      </c>
      <c r="W1" s="225" t="str">
        <f>+Dren_Quantificacao!V1</f>
        <v>RAMAL PEAD Ø 0,40 (m) SOLO alta inter.</v>
      </c>
      <c r="X1" s="225" t="str">
        <f>+Dren_Quantificacao!W1</f>
        <v>RAMAL PEAD Ø 0,50 (m) SOLO baixa inter.</v>
      </c>
      <c r="Y1" s="225" t="str">
        <f>+Dren_Quantificacao!X1</f>
        <v>RAMAL PEAD Ø 0,50 (m) SOLO alta inter.</v>
      </c>
      <c r="Z1" s="225" t="str">
        <f>+Dren_Quantificacao!Y1</f>
        <v>RAMAL PEAD Ø 0,40 (m) ROCHA</v>
      </c>
      <c r="AA1" s="225" t="str">
        <f>+Dren_Quantificacao!Z1</f>
        <v>RAMAL PEAD Ø 0,50 (m) ROCHA</v>
      </c>
      <c r="AB1" s="225" t="s">
        <v>143</v>
      </c>
      <c r="AC1" s="225" t="s">
        <v>143</v>
      </c>
      <c r="AD1" s="225" t="s">
        <v>143</v>
      </c>
      <c r="AE1" s="367" t="s">
        <v>0</v>
      </c>
      <c r="AF1" s="577" t="s">
        <v>1355</v>
      </c>
      <c r="AG1" s="1085"/>
      <c r="AH1" s="1085"/>
      <c r="AI1" s="1085"/>
      <c r="AJ1" s="1085"/>
      <c r="AK1" s="1085"/>
      <c r="AL1" s="1085"/>
      <c r="AM1" s="1085"/>
      <c r="AN1" s="1085"/>
      <c r="AO1" s="1085"/>
      <c r="AP1" s="1085"/>
      <c r="AQ1" s="1085"/>
      <c r="AR1" s="1085"/>
    </row>
    <row r="2" spans="1:44" ht="21.95" customHeight="1" thickTop="1" thickBot="1" x14ac:dyDescent="0.2">
      <c r="A2" s="2513"/>
      <c r="B2" s="2573" t="s">
        <v>3</v>
      </c>
      <c r="C2" s="2574"/>
      <c r="D2" s="1990"/>
      <c r="E2" s="1356"/>
      <c r="F2" s="1149">
        <f ca="1">Dren_Quantificacao!D3</f>
        <v>45.04</v>
      </c>
      <c r="G2" s="1149">
        <f ca="1">Dren_Quantificacao!E3</f>
        <v>45.04</v>
      </c>
      <c r="H2" s="1149">
        <f ca="1">Dren_Quantificacao!F3</f>
        <v>60.43</v>
      </c>
      <c r="I2" s="1149">
        <f ca="1">Dren_Quantificacao!G3</f>
        <v>60.43</v>
      </c>
      <c r="J2" s="1149">
        <f ca="1">Dren_Quantificacao!H3</f>
        <v>60.43</v>
      </c>
      <c r="K2" s="1149">
        <f ca="1">Dren_Quantificacao!I3</f>
        <v>60.44</v>
      </c>
      <c r="L2" s="1149">
        <f>Dren_Quantificacao!J3</f>
        <v>0</v>
      </c>
      <c r="M2" s="1149">
        <f>Dren_Quantificacao!K3</f>
        <v>0</v>
      </c>
      <c r="N2" s="1149">
        <f>Dren_Quantificacao!L3</f>
        <v>0</v>
      </c>
      <c r="O2" s="1149">
        <f>Dren_Quantificacao!M3</f>
        <v>0</v>
      </c>
      <c r="P2" s="1149">
        <f>Dren_Quantificacao!O3</f>
        <v>0</v>
      </c>
      <c r="Q2" s="1149">
        <f>Dren_Quantificacao!P3</f>
        <v>216</v>
      </c>
      <c r="R2" s="1149">
        <f>Dren_Quantificacao!Q3</f>
        <v>0</v>
      </c>
      <c r="S2" s="1149">
        <f>Dren_Quantificacao!R3</f>
        <v>57</v>
      </c>
      <c r="T2" s="1149">
        <f>Dren_Quantificacao!S3</f>
        <v>0</v>
      </c>
      <c r="U2" s="1149">
        <f>Dren_Quantificacao!T3</f>
        <v>0</v>
      </c>
      <c r="V2" s="1149">
        <f>Dren_Quantificacao!U3</f>
        <v>0</v>
      </c>
      <c r="W2" s="1149">
        <f>Dren_Quantificacao!V3</f>
        <v>0</v>
      </c>
      <c r="X2" s="1149">
        <f>Dren_Quantificacao!W3</f>
        <v>0</v>
      </c>
      <c r="Y2" s="1149">
        <f>Dren_Quantificacao!X3</f>
        <v>0</v>
      </c>
      <c r="Z2" s="1149">
        <f>Dren_Quantificacao!Y3</f>
        <v>0</v>
      </c>
      <c r="AA2" s="1149">
        <f>Dren_Quantificacao!Z3</f>
        <v>0</v>
      </c>
      <c r="AB2" s="1149"/>
      <c r="AC2" s="1149"/>
      <c r="AD2" s="1149"/>
      <c r="AE2" s="1150">
        <f ca="1">TRUNC(SUM(F2:AD2),2)</f>
        <v>604.80999999999995</v>
      </c>
      <c r="AF2" s="578">
        <f t="shared" ref="AF2:AF27" ca="1" si="0">SUM(F2:AE2)</f>
        <v>1209.6199999999999</v>
      </c>
    </row>
    <row r="3" spans="1:44" s="14" customFormat="1" ht="21.95" customHeight="1" x14ac:dyDescent="0.15">
      <c r="A3" s="2513"/>
      <c r="B3" s="2575" t="s">
        <v>4</v>
      </c>
      <c r="C3" s="551" t="s">
        <v>41</v>
      </c>
      <c r="D3" s="1991"/>
      <c r="E3" s="1514"/>
      <c r="F3" s="228">
        <f ca="1">Dren_Quantificacao!D4</f>
        <v>1</v>
      </c>
      <c r="G3" s="228">
        <f ca="1">Dren_Quantificacao!E4</f>
        <v>1</v>
      </c>
      <c r="H3" s="228">
        <f ca="1">Dren_Quantificacao!F4</f>
        <v>1</v>
      </c>
      <c r="I3" s="228">
        <f ca="1">Dren_Quantificacao!G4</f>
        <v>1</v>
      </c>
      <c r="J3" s="228">
        <f ca="1">Dren_Quantificacao!H4</f>
        <v>1</v>
      </c>
      <c r="K3" s="228">
        <f ca="1">Dren_Quantificacao!I4</f>
        <v>1</v>
      </c>
      <c r="L3" s="228">
        <f>Dren_Quantificacao!J4</f>
        <v>0</v>
      </c>
      <c r="M3" s="228">
        <f>Dren_Quantificacao!K4</f>
        <v>0</v>
      </c>
      <c r="N3" s="228">
        <f>Dren_Quantificacao!L4</f>
        <v>0</v>
      </c>
      <c r="O3" s="228">
        <f>Dren_Quantificacao!M4</f>
        <v>0</v>
      </c>
      <c r="P3" s="228">
        <f>Dren_Quantificacao!O4</f>
        <v>1</v>
      </c>
      <c r="Q3" s="228">
        <f>Dren_Quantificacao!P4</f>
        <v>1</v>
      </c>
      <c r="R3" s="228">
        <f>Dren_Quantificacao!Q4</f>
        <v>1</v>
      </c>
      <c r="S3" s="228">
        <f>Dren_Quantificacao!R4</f>
        <v>1</v>
      </c>
      <c r="T3" s="228">
        <f>Dren_Quantificacao!S4</f>
        <v>1</v>
      </c>
      <c r="U3" s="228">
        <f>Dren_Quantificacao!T4</f>
        <v>1</v>
      </c>
      <c r="V3" s="228">
        <f>Dren_Quantificacao!U4</f>
        <v>1</v>
      </c>
      <c r="W3" s="228">
        <f>Dren_Quantificacao!V4</f>
        <v>1</v>
      </c>
      <c r="X3" s="228">
        <f>Dren_Quantificacao!W4</f>
        <v>1</v>
      </c>
      <c r="Y3" s="228">
        <f>Dren_Quantificacao!X4</f>
        <v>1</v>
      </c>
      <c r="Z3" s="228">
        <f>Dren_Quantificacao!Y4</f>
        <v>1</v>
      </c>
      <c r="AA3" s="228">
        <f>Dren_Quantificacao!Z4</f>
        <v>1</v>
      </c>
      <c r="AB3" s="229"/>
      <c r="AC3" s="229"/>
      <c r="AD3" s="229"/>
      <c r="AE3" s="354"/>
      <c r="AF3" s="578">
        <f t="shared" ca="1" si="0"/>
        <v>18</v>
      </c>
      <c r="AG3" s="1086"/>
      <c r="AH3" s="1087"/>
      <c r="AI3" s="1087"/>
      <c r="AJ3" s="1087"/>
      <c r="AK3" s="1087"/>
      <c r="AL3" s="1087"/>
      <c r="AM3" s="1087"/>
      <c r="AN3" s="1087"/>
      <c r="AO3" s="1087"/>
      <c r="AP3" s="1087"/>
      <c r="AQ3" s="1087"/>
      <c r="AR3" s="1087"/>
    </row>
    <row r="4" spans="1:44" ht="21.95" customHeight="1" x14ac:dyDescent="0.15">
      <c r="A4" s="2513"/>
      <c r="B4" s="2576"/>
      <c r="C4" s="566" t="s">
        <v>71</v>
      </c>
      <c r="D4" s="1992"/>
      <c r="E4" s="1357"/>
      <c r="F4" s="134">
        <f ca="1">Dren_Quantificacao!D5</f>
        <v>0.6</v>
      </c>
      <c r="G4" s="134">
        <f ca="1">Dren_Quantificacao!E5</f>
        <v>0.6</v>
      </c>
      <c r="H4" s="134">
        <f ca="1">Dren_Quantificacao!F5</f>
        <v>0.6</v>
      </c>
      <c r="I4" s="134">
        <f ca="1">Dren_Quantificacao!G5</f>
        <v>0.8</v>
      </c>
      <c r="J4" s="134">
        <f ca="1">Dren_Quantificacao!H5</f>
        <v>0.8</v>
      </c>
      <c r="K4" s="134">
        <f ca="1">Dren_Quantificacao!I5</f>
        <v>0.8</v>
      </c>
      <c r="L4" s="134">
        <f>Dren_Quantificacao!J5</f>
        <v>0</v>
      </c>
      <c r="M4" s="134">
        <f>Dren_Quantificacao!K5</f>
        <v>0</v>
      </c>
      <c r="N4" s="134">
        <f>Dren_Quantificacao!L5</f>
        <v>0</v>
      </c>
      <c r="O4" s="134">
        <f>Dren_Quantificacao!M5</f>
        <v>0</v>
      </c>
      <c r="P4" s="134">
        <f>Dren_Quantificacao!O5</f>
        <v>0.4</v>
      </c>
      <c r="Q4" s="134">
        <f>Dren_Quantificacao!P5</f>
        <v>0.4</v>
      </c>
      <c r="R4" s="134">
        <f>Dren_Quantificacao!Q5</f>
        <v>0.6</v>
      </c>
      <c r="S4" s="134">
        <f>Dren_Quantificacao!R5</f>
        <v>0.6</v>
      </c>
      <c r="T4" s="134">
        <f>Dren_Quantificacao!S5</f>
        <v>0.4</v>
      </c>
      <c r="U4" s="134">
        <f>Dren_Quantificacao!T5</f>
        <v>0.6</v>
      </c>
      <c r="V4" s="134">
        <f>Dren_Quantificacao!U5</f>
        <v>0.4</v>
      </c>
      <c r="W4" s="134">
        <f>Dren_Quantificacao!V5</f>
        <v>0.4</v>
      </c>
      <c r="X4" s="134">
        <f>Dren_Quantificacao!W5</f>
        <v>0.5</v>
      </c>
      <c r="Y4" s="134">
        <f>Dren_Quantificacao!X5</f>
        <v>0.5</v>
      </c>
      <c r="Z4" s="134">
        <f>Dren_Quantificacao!Y5</f>
        <v>0.4</v>
      </c>
      <c r="AA4" s="134">
        <f>Dren_Quantificacao!Z5</f>
        <v>0.5</v>
      </c>
      <c r="AB4" s="11"/>
      <c r="AC4" s="11"/>
      <c r="AD4" s="11"/>
      <c r="AE4" s="348"/>
      <c r="AF4" s="578">
        <f t="shared" ca="1" si="0"/>
        <v>9.9</v>
      </c>
    </row>
    <row r="5" spans="1:44" ht="21.95" customHeight="1" thickBot="1" x14ac:dyDescent="0.2">
      <c r="A5" s="2513"/>
      <c r="B5" s="2577"/>
      <c r="C5" s="565" t="s">
        <v>914</v>
      </c>
      <c r="D5" s="1993"/>
      <c r="E5" s="563"/>
      <c r="F5" s="231" t="str">
        <f ca="1">Dren_Quantificacao!D9</f>
        <v>PS-1</v>
      </c>
      <c r="G5" s="231" t="str">
        <f>Dren_Quantificacao!E9</f>
        <v>PA-2</v>
      </c>
      <c r="H5" s="231" t="str">
        <f>Dren_Quantificacao!F9</f>
        <v>PA-2</v>
      </c>
      <c r="I5" s="231" t="str">
        <f ca="1">Dren_Quantificacao!G9</f>
        <v>PA-1</v>
      </c>
      <c r="J5" s="231" t="str">
        <f ca="1">Dren_Quantificacao!H9</f>
        <v>PA-1</v>
      </c>
      <c r="K5" s="231" t="str">
        <f ca="1">Dren_Quantificacao!I9</f>
        <v>PA-1</v>
      </c>
      <c r="L5" s="231">
        <f>Dren_Quantificacao!J9</f>
        <v>0</v>
      </c>
      <c r="M5" s="231">
        <f>Dren_Quantificacao!K9</f>
        <v>0</v>
      </c>
      <c r="N5" s="231">
        <f>Dren_Quantificacao!L9</f>
        <v>0</v>
      </c>
      <c r="O5" s="231">
        <f>Dren_Quantificacao!M9</f>
        <v>0</v>
      </c>
      <c r="P5" s="231" t="str">
        <f>Dren_Quantificacao!O9</f>
        <v>PS-1</v>
      </c>
      <c r="Q5" s="231" t="str">
        <f>Dren_Quantificacao!P9</f>
        <v>PS-1</v>
      </c>
      <c r="R5" s="231" t="str">
        <f>Dren_Quantificacao!Q9</f>
        <v>PS-1</v>
      </c>
      <c r="S5" s="231" t="str">
        <f>Dren_Quantificacao!R9</f>
        <v>PS-1</v>
      </c>
      <c r="T5" s="231" t="str">
        <f>Dren_Quantificacao!S9</f>
        <v>PS-1</v>
      </c>
      <c r="U5" s="231" t="str">
        <f>Dren_Quantificacao!T9</f>
        <v>PS-1</v>
      </c>
      <c r="V5" s="231" t="str">
        <f>Dren_Quantificacao!U9</f>
        <v>PEAD</v>
      </c>
      <c r="W5" s="231" t="str">
        <f>Dren_Quantificacao!V9</f>
        <v>PEAD</v>
      </c>
      <c r="X5" s="231" t="str">
        <f>Dren_Quantificacao!W9</f>
        <v>PEAD</v>
      </c>
      <c r="Y5" s="231" t="str">
        <f>Dren_Quantificacao!X9</f>
        <v>PEAD</v>
      </c>
      <c r="Z5" s="231" t="str">
        <f>Dren_Quantificacao!Y9</f>
        <v>PEAD</v>
      </c>
      <c r="AA5" s="231" t="str">
        <f>Dren_Quantificacao!Z9</f>
        <v>PEAD</v>
      </c>
      <c r="AB5" s="232"/>
      <c r="AC5" s="232"/>
      <c r="AD5" s="232"/>
      <c r="AE5" s="796">
        <f ca="1">+COUNTA(F5:AA5)</f>
        <v>22</v>
      </c>
      <c r="AF5" s="578">
        <f t="shared" ca="1" si="0"/>
        <v>22</v>
      </c>
    </row>
    <row r="6" spans="1:44" ht="21.95" hidden="1" customHeight="1" x14ac:dyDescent="0.15">
      <c r="A6" s="2513"/>
      <c r="B6" s="2578" t="s">
        <v>209</v>
      </c>
      <c r="C6" s="2579"/>
      <c r="D6" s="1992"/>
      <c r="E6" s="1357"/>
      <c r="F6" s="134">
        <f ca="1">Dren_Quantificacao!D7</f>
        <v>0</v>
      </c>
      <c r="G6" s="134">
        <f ca="1">Dren_Quantificacao!E7</f>
        <v>0</v>
      </c>
      <c r="H6" s="134">
        <f ca="1">Dren_Quantificacao!F7</f>
        <v>0</v>
      </c>
      <c r="I6" s="134">
        <f ca="1">Dren_Quantificacao!G7</f>
        <v>0</v>
      </c>
      <c r="J6" s="134">
        <f ca="1">Dren_Quantificacao!H7</f>
        <v>0</v>
      </c>
      <c r="K6" s="134">
        <f ca="1">Dren_Quantificacao!I7</f>
        <v>0</v>
      </c>
      <c r="L6" s="134">
        <f>Dren_Quantificacao!J7</f>
        <v>0</v>
      </c>
      <c r="M6" s="134">
        <f>Dren_Quantificacao!K7</f>
        <v>0</v>
      </c>
      <c r="N6" s="134">
        <f>Dren_Quantificacao!L7</f>
        <v>0</v>
      </c>
      <c r="O6" s="134">
        <f>Dren_Quantificacao!M7</f>
        <v>0</v>
      </c>
      <c r="P6" s="134">
        <f>Dren_Quantificacao!O7</f>
        <v>0</v>
      </c>
      <c r="Q6" s="134">
        <f>Dren_Quantificacao!P7</f>
        <v>0</v>
      </c>
      <c r="R6" s="134">
        <f>Dren_Quantificacao!Q7</f>
        <v>0</v>
      </c>
      <c r="S6" s="134">
        <f>Dren_Quantificacao!R7</f>
        <v>0</v>
      </c>
      <c r="T6" s="134">
        <f>Dren_Quantificacao!S7</f>
        <v>0</v>
      </c>
      <c r="U6" s="134">
        <f>Dren_Quantificacao!T7</f>
        <v>0</v>
      </c>
      <c r="V6" s="134">
        <f>Dren_Quantificacao!U7</f>
        <v>0</v>
      </c>
      <c r="W6" s="134">
        <f>Dren_Quantificacao!V7</f>
        <v>0</v>
      </c>
      <c r="X6" s="134">
        <f>Dren_Quantificacao!W7</f>
        <v>0</v>
      </c>
      <c r="Y6" s="134">
        <f>Dren_Quantificacao!X7</f>
        <v>0</v>
      </c>
      <c r="Z6" s="134">
        <f>Dren_Quantificacao!Y7</f>
        <v>0</v>
      </c>
      <c r="AA6" s="134">
        <f>Dren_Quantificacao!Z7</f>
        <v>0</v>
      </c>
      <c r="AB6" s="160"/>
      <c r="AC6" s="160"/>
      <c r="AD6" s="160"/>
      <c r="AE6" s="419"/>
      <c r="AF6" s="578">
        <f t="shared" ca="1" si="0"/>
        <v>0</v>
      </c>
    </row>
    <row r="7" spans="1:44" ht="21.95" hidden="1" customHeight="1" thickBot="1" x14ac:dyDescent="0.2">
      <c r="A7" s="2513"/>
      <c r="B7" s="2580" t="s">
        <v>210</v>
      </c>
      <c r="C7" s="2581"/>
      <c r="D7" s="1993"/>
      <c r="E7" s="563"/>
      <c r="F7" s="233">
        <f ca="1">Dren_Quantificacao!D8</f>
        <v>0</v>
      </c>
      <c r="G7" s="233">
        <f ca="1">Dren_Quantificacao!E8</f>
        <v>0</v>
      </c>
      <c r="H7" s="233">
        <f ca="1">Dren_Quantificacao!F8</f>
        <v>0</v>
      </c>
      <c r="I7" s="233">
        <f ca="1">Dren_Quantificacao!G8</f>
        <v>0</v>
      </c>
      <c r="J7" s="233">
        <f ca="1">Dren_Quantificacao!H8</f>
        <v>0</v>
      </c>
      <c r="K7" s="233">
        <f ca="1">Dren_Quantificacao!I8</f>
        <v>0</v>
      </c>
      <c r="L7" s="233">
        <f>Dren_Quantificacao!J8</f>
        <v>0</v>
      </c>
      <c r="M7" s="233">
        <f>Dren_Quantificacao!K8</f>
        <v>0</v>
      </c>
      <c r="N7" s="233">
        <f>Dren_Quantificacao!L8</f>
        <v>0</v>
      </c>
      <c r="O7" s="233">
        <f>Dren_Quantificacao!M8</f>
        <v>0</v>
      </c>
      <c r="P7" s="233">
        <f>Dren_Quantificacao!O8</f>
        <v>0</v>
      </c>
      <c r="Q7" s="233">
        <f>Dren_Quantificacao!P8</f>
        <v>0</v>
      </c>
      <c r="R7" s="233">
        <f>Dren_Quantificacao!Q8</f>
        <v>0</v>
      </c>
      <c r="S7" s="233">
        <f>Dren_Quantificacao!R8</f>
        <v>0</v>
      </c>
      <c r="T7" s="233">
        <f>Dren_Quantificacao!S8</f>
        <v>0</v>
      </c>
      <c r="U7" s="233">
        <f>Dren_Quantificacao!T8</f>
        <v>0</v>
      </c>
      <c r="V7" s="233">
        <f>Dren_Quantificacao!U8</f>
        <v>0</v>
      </c>
      <c r="W7" s="233">
        <f>Dren_Quantificacao!V8</f>
        <v>0</v>
      </c>
      <c r="X7" s="233">
        <f>Dren_Quantificacao!W8</f>
        <v>0</v>
      </c>
      <c r="Y7" s="233">
        <f>Dren_Quantificacao!X8</f>
        <v>0</v>
      </c>
      <c r="Z7" s="233">
        <f>Dren_Quantificacao!Y8</f>
        <v>0</v>
      </c>
      <c r="AA7" s="233">
        <f>Dren_Quantificacao!Z8</f>
        <v>0</v>
      </c>
      <c r="AB7" s="234"/>
      <c r="AC7" s="234"/>
      <c r="AD7" s="234"/>
      <c r="AE7" s="353"/>
      <c r="AF7" s="578">
        <f t="shared" ca="1" si="0"/>
        <v>0</v>
      </c>
    </row>
    <row r="8" spans="1:44" s="589" customFormat="1" ht="21.95" customHeight="1" x14ac:dyDescent="0.15">
      <c r="A8" s="2513"/>
      <c r="B8" s="2590" t="s">
        <v>309</v>
      </c>
      <c r="C8" s="929" t="s">
        <v>75</v>
      </c>
      <c r="D8" s="1994"/>
      <c r="E8" s="1516"/>
      <c r="F8" s="238">
        <f ca="1">IF(F2=0,0,Dren_Quantificacao!D10)</f>
        <v>2.1000000000000227</v>
      </c>
      <c r="G8" s="238">
        <f ca="1">IF(G2=0,0,Dren_Quantificacao!E10)</f>
        <v>2.0846399999999221</v>
      </c>
      <c r="H8" s="238">
        <f ca="1">IF(H2=0,0,Dren_Quantificacao!F10)</f>
        <v>1.3500000000001364</v>
      </c>
      <c r="I8" s="238">
        <f ca="1">IF(I2=0,0,Dren_Quantificacao!G10)</f>
        <v>2.3472900000001573</v>
      </c>
      <c r="J8" s="238">
        <f ca="1">IF(J2=0,0,Dren_Quantificacao!H10)</f>
        <v>3.7205800000000409</v>
      </c>
      <c r="K8" s="238">
        <f ca="1">IF(K2=0,0,Dren_Quantificacao!I10)</f>
        <v>3.6518700000000308</v>
      </c>
      <c r="L8" s="238">
        <f>IF(L2=0,0,Dren_Quantificacao!J10)</f>
        <v>0</v>
      </c>
      <c r="M8" s="238">
        <f>IF(M2=0,0,Dren_Quantificacao!K10)</f>
        <v>0</v>
      </c>
      <c r="N8" s="238">
        <f>IF(N2=0,0,Dren_Quantificacao!L10)</f>
        <v>0</v>
      </c>
      <c r="O8" s="238">
        <f>IF(O2=0,0,Dren_Quantificacao!M10)</f>
        <v>0</v>
      </c>
      <c r="P8" s="238">
        <f>IF(P2=0,0,Dren_Quantificacao!O10)</f>
        <v>0</v>
      </c>
      <c r="Q8" s="238">
        <f>IF(Q2=0,0,Dren_Quantificacao!P10)</f>
        <v>1</v>
      </c>
      <c r="R8" s="238">
        <f>IF(R2=0,0,Dren_Quantificacao!Q10)</f>
        <v>0</v>
      </c>
      <c r="S8" s="238">
        <f>IF(S2=0,0,Dren_Quantificacao!R10)</f>
        <v>1.3</v>
      </c>
      <c r="T8" s="238">
        <f>IF(T2=0,0,Dren_Quantificacao!S10)</f>
        <v>0</v>
      </c>
      <c r="U8" s="238">
        <f>IF(U2=0,0,Dren_Quantificacao!T10)</f>
        <v>0</v>
      </c>
      <c r="V8" s="238">
        <f>IF(V2=0,0,Dren_Quantificacao!U10)</f>
        <v>0</v>
      </c>
      <c r="W8" s="238">
        <f>IF(W2=0,0,Dren_Quantificacao!V10)</f>
        <v>0</v>
      </c>
      <c r="X8" s="238">
        <f>IF(X2=0,0,Dren_Quantificacao!W10)</f>
        <v>0</v>
      </c>
      <c r="Y8" s="238">
        <f>IF(Y2=0,0,Dren_Quantificacao!X10)</f>
        <v>0</v>
      </c>
      <c r="Z8" s="238">
        <f>IF(Z2=0,0,Dren_Quantificacao!Y10)</f>
        <v>0</v>
      </c>
      <c r="AA8" s="238">
        <f>IF(AA2=0,0,Dren_Quantificacao!Z10)</f>
        <v>0</v>
      </c>
      <c r="AB8" s="241"/>
      <c r="AC8" s="241"/>
      <c r="AD8" s="241"/>
      <c r="AE8" s="363"/>
      <c r="AF8" s="578">
        <f t="shared" ca="1" si="0"/>
        <v>17.554380000000311</v>
      </c>
      <c r="AG8" s="1086"/>
      <c r="AH8" s="1088"/>
      <c r="AI8" s="1088"/>
      <c r="AJ8" s="1088"/>
      <c r="AK8" s="1088"/>
      <c r="AL8" s="1088"/>
      <c r="AM8" s="1088"/>
      <c r="AN8" s="1088"/>
      <c r="AO8" s="1088"/>
      <c r="AP8" s="1088"/>
      <c r="AQ8" s="1088"/>
      <c r="AR8" s="1088"/>
    </row>
    <row r="9" spans="1:44" s="589" customFormat="1" ht="21.95" customHeight="1" x14ac:dyDescent="0.15">
      <c r="A9" s="2513"/>
      <c r="B9" s="2591"/>
      <c r="C9" s="590" t="s">
        <v>76</v>
      </c>
      <c r="D9" s="1995"/>
      <c r="E9" s="591"/>
      <c r="F9" s="158">
        <f ca="1">IF(F8=0,0,Dren_Quantificacao!D11)</f>
        <v>2.0846399999999221</v>
      </c>
      <c r="G9" s="158">
        <f ca="1">IF(G8=0,0,Dren_Quantificacao!E11)</f>
        <v>1.3500000000001364</v>
      </c>
      <c r="H9" s="158">
        <f ca="1">IF(H8=0,0,Dren_Quantificacao!F11)</f>
        <v>2.3472900000001573</v>
      </c>
      <c r="I9" s="158">
        <f ca="1">IF(I8=0,0,Dren_Quantificacao!G11)</f>
        <v>3.7205800000000409</v>
      </c>
      <c r="J9" s="158">
        <f ca="1">IF(J8=0,0,Dren_Quantificacao!H11)</f>
        <v>3.6518700000000308</v>
      </c>
      <c r="K9" s="158">
        <f ca="1">IF(K8=0,0,Dren_Quantificacao!I11)</f>
        <v>3.4481900000000678</v>
      </c>
      <c r="L9" s="158">
        <f>IF(L8=0,0,Dren_Quantificacao!J11)</f>
        <v>0</v>
      </c>
      <c r="M9" s="158">
        <f>IF(M8=0,0,Dren_Quantificacao!K11)</f>
        <v>0</v>
      </c>
      <c r="N9" s="158">
        <f>IF(N8=0,0,Dren_Quantificacao!L11)</f>
        <v>0</v>
      </c>
      <c r="O9" s="158">
        <f>IF(O8=0,0,Dren_Quantificacao!M11)</f>
        <v>0</v>
      </c>
      <c r="P9" s="158">
        <f>IF(P8=0,0,Dren_Quantificacao!O11)</f>
        <v>0</v>
      </c>
      <c r="Q9" s="158">
        <f>IF(Q8=0,0,Dren_Quantificacao!P11)</f>
        <v>1.5</v>
      </c>
      <c r="R9" s="158">
        <f>IF(R8=0,0,Dren_Quantificacao!Q11)</f>
        <v>0</v>
      </c>
      <c r="S9" s="158">
        <f>IF(S8=0,0,Dren_Quantificacao!R11)</f>
        <v>1.5</v>
      </c>
      <c r="T9" s="158">
        <f>IF(T8=0,0,Dren_Quantificacao!S11)</f>
        <v>0</v>
      </c>
      <c r="U9" s="158">
        <f>IF(U8=0,0,Dren_Quantificacao!T11)</f>
        <v>0</v>
      </c>
      <c r="V9" s="158">
        <f>IF(V8=0,0,Dren_Quantificacao!U11)</f>
        <v>0</v>
      </c>
      <c r="W9" s="158">
        <f>IF(W8=0,0,Dren_Quantificacao!V11)</f>
        <v>0</v>
      </c>
      <c r="X9" s="158">
        <f>IF(X8=0,0,Dren_Quantificacao!W11)</f>
        <v>0</v>
      </c>
      <c r="Y9" s="158">
        <f>IF(Y8=0,0,Dren_Quantificacao!X11)</f>
        <v>0</v>
      </c>
      <c r="Z9" s="158">
        <f>IF(Z8=0,0,Dren_Quantificacao!Y11)</f>
        <v>0</v>
      </c>
      <c r="AA9" s="158">
        <f>IF(AA8=0,0,Dren_Quantificacao!Z11)</f>
        <v>0</v>
      </c>
      <c r="AB9" s="159"/>
      <c r="AC9" s="159"/>
      <c r="AD9" s="159"/>
      <c r="AE9" s="351"/>
      <c r="AF9" s="578">
        <f t="shared" ca="1" si="0"/>
        <v>19.602570000000355</v>
      </c>
      <c r="AG9" s="1086"/>
      <c r="AH9" s="1088"/>
      <c r="AI9" s="1088"/>
      <c r="AJ9" s="1088"/>
      <c r="AK9" s="1088"/>
      <c r="AL9" s="1088"/>
      <c r="AM9" s="1088"/>
      <c r="AN9" s="1088"/>
      <c r="AO9" s="1088"/>
      <c r="AP9" s="1088"/>
      <c r="AQ9" s="1088"/>
      <c r="AR9" s="1088"/>
    </row>
    <row r="10" spans="1:44" s="589" customFormat="1" ht="21.95" customHeight="1" thickBot="1" x14ac:dyDescent="0.2">
      <c r="A10" s="2513"/>
      <c r="B10" s="2592"/>
      <c r="C10" s="928" t="s">
        <v>235</v>
      </c>
      <c r="D10" s="1996"/>
      <c r="E10" s="1519"/>
      <c r="F10" s="239">
        <f t="shared" ref="F10:G10" ca="1" si="1">SUM(F8:F9)/2</f>
        <v>2.0923199999999724</v>
      </c>
      <c r="G10" s="239">
        <f t="shared" ca="1" si="1"/>
        <v>1.7173200000000293</v>
      </c>
      <c r="H10" s="239">
        <f t="shared" ref="H10:M10" ca="1" si="2">SUM(H8:H9)/2</f>
        <v>1.8486450000001469</v>
      </c>
      <c r="I10" s="239">
        <f t="shared" ca="1" si="2"/>
        <v>3.0339350000000991</v>
      </c>
      <c r="J10" s="239">
        <f t="shared" ca="1" si="2"/>
        <v>3.6862250000000358</v>
      </c>
      <c r="K10" s="239">
        <f t="shared" ca="1" si="2"/>
        <v>3.5500300000000493</v>
      </c>
      <c r="L10" s="239">
        <f t="shared" si="2"/>
        <v>0</v>
      </c>
      <c r="M10" s="239">
        <f t="shared" si="2"/>
        <v>0</v>
      </c>
      <c r="N10" s="239">
        <f t="shared" ref="N10:O10" si="3">SUM(N8:N9)/2</f>
        <v>0</v>
      </c>
      <c r="O10" s="239">
        <f t="shared" si="3"/>
        <v>0</v>
      </c>
      <c r="P10" s="239">
        <f t="shared" ref="P10" si="4">SUM(P8:P9)/2</f>
        <v>0</v>
      </c>
      <c r="Q10" s="239">
        <f t="shared" ref="Q10:AA10" si="5">SUM(Q8:Q9)/2</f>
        <v>1.25</v>
      </c>
      <c r="R10" s="239">
        <f t="shared" ref="R10" si="6">SUM(R8:R9)/2</f>
        <v>0</v>
      </c>
      <c r="S10" s="239">
        <f t="shared" si="5"/>
        <v>1.4</v>
      </c>
      <c r="T10" s="239">
        <f t="shared" si="5"/>
        <v>0</v>
      </c>
      <c r="U10" s="239">
        <f t="shared" si="5"/>
        <v>0</v>
      </c>
      <c r="V10" s="239">
        <f t="shared" si="5"/>
        <v>0</v>
      </c>
      <c r="W10" s="239">
        <f t="shared" si="5"/>
        <v>0</v>
      </c>
      <c r="X10" s="239">
        <f t="shared" si="5"/>
        <v>0</v>
      </c>
      <c r="Y10" s="239">
        <f t="shared" si="5"/>
        <v>0</v>
      </c>
      <c r="Z10" s="239">
        <f t="shared" si="5"/>
        <v>0</v>
      </c>
      <c r="AA10" s="239">
        <f t="shared" si="5"/>
        <v>0</v>
      </c>
      <c r="AB10" s="237"/>
      <c r="AC10" s="237"/>
      <c r="AD10" s="237"/>
      <c r="AE10" s="436"/>
      <c r="AF10" s="578">
        <f t="shared" ca="1" si="0"/>
        <v>18.578475000000331</v>
      </c>
      <c r="AG10" s="1086"/>
      <c r="AH10" s="1088"/>
      <c r="AI10" s="1088"/>
      <c r="AJ10" s="1088"/>
      <c r="AK10" s="1088"/>
      <c r="AL10" s="1088"/>
      <c r="AM10" s="1088"/>
      <c r="AN10" s="1088"/>
      <c r="AO10" s="1088"/>
      <c r="AP10" s="1088"/>
      <c r="AQ10" s="1088"/>
      <c r="AR10" s="1088"/>
    </row>
    <row r="11" spans="1:44" s="589" customFormat="1" ht="21.95" customHeight="1" x14ac:dyDescent="0.15">
      <c r="A11" s="2513"/>
      <c r="B11" s="2594" t="s">
        <v>481</v>
      </c>
      <c r="C11" s="929" t="s">
        <v>480</v>
      </c>
      <c r="D11" s="1994"/>
      <c r="E11" s="1516"/>
      <c r="F11" s="238">
        <f t="shared" ref="F11:G11" ca="1" si="7">IF(F4+F6=0,0,F10+F12)</f>
        <v>2.2183199999999723</v>
      </c>
      <c r="G11" s="238">
        <f t="shared" ca="1" si="7"/>
        <v>1.8433200000000292</v>
      </c>
      <c r="H11" s="238">
        <f t="shared" ref="H11:M11" ca="1" si="8">IF(H4+H6=0,0,H10+H12)</f>
        <v>1.9746450000001468</v>
      </c>
      <c r="I11" s="238">
        <f t="shared" ca="1" si="8"/>
        <v>3.2019350000000992</v>
      </c>
      <c r="J11" s="238">
        <f t="shared" ca="1" si="8"/>
        <v>3.854225000000036</v>
      </c>
      <c r="K11" s="238">
        <f t="shared" ca="1" si="8"/>
        <v>3.7180300000000495</v>
      </c>
      <c r="L11" s="238">
        <f t="shared" si="8"/>
        <v>0</v>
      </c>
      <c r="M11" s="238">
        <f t="shared" si="8"/>
        <v>0</v>
      </c>
      <c r="N11" s="238">
        <f t="shared" ref="N11:O11" si="9">IF(N4+N6=0,0,N10+N12)</f>
        <v>0</v>
      </c>
      <c r="O11" s="238">
        <f t="shared" si="9"/>
        <v>0</v>
      </c>
      <c r="P11" s="238">
        <f t="shared" ref="P11" si="10">IF(P4+P6=0,0,P10+P12)</f>
        <v>8.4000000000000005E-2</v>
      </c>
      <c r="Q11" s="238">
        <f t="shared" ref="Q11:AA11" si="11">IF(Q4+Q6=0,0,Q10+Q12)</f>
        <v>1.3340000000000001</v>
      </c>
      <c r="R11" s="238">
        <f t="shared" ref="R11" si="12">IF(R4+R6=0,0,R10+R12)</f>
        <v>0.126</v>
      </c>
      <c r="S11" s="238">
        <f t="shared" si="11"/>
        <v>1.5259999999999998</v>
      </c>
      <c r="T11" s="238">
        <f t="shared" si="11"/>
        <v>8.4000000000000005E-2</v>
      </c>
      <c r="U11" s="238">
        <f t="shared" si="11"/>
        <v>0.126</v>
      </c>
      <c r="V11" s="238">
        <f t="shared" si="11"/>
        <v>8.4000000000000005E-2</v>
      </c>
      <c r="W11" s="238">
        <f t="shared" si="11"/>
        <v>8.4000000000000005E-2</v>
      </c>
      <c r="X11" s="238">
        <f t="shared" si="11"/>
        <v>0.105</v>
      </c>
      <c r="Y11" s="238">
        <f t="shared" si="11"/>
        <v>0.105</v>
      </c>
      <c r="Z11" s="238">
        <f t="shared" si="11"/>
        <v>8.4000000000000005E-2</v>
      </c>
      <c r="AA11" s="238">
        <f t="shared" si="11"/>
        <v>0.105</v>
      </c>
      <c r="AB11" s="238"/>
      <c r="AC11" s="238"/>
      <c r="AD11" s="238"/>
      <c r="AE11" s="363"/>
      <c r="AF11" s="578">
        <f t="shared" ca="1" si="0"/>
        <v>20.657475000000332</v>
      </c>
      <c r="AG11" s="1086"/>
      <c r="AH11" s="1088"/>
      <c r="AI11" s="1088"/>
      <c r="AJ11" s="1088"/>
      <c r="AK11" s="1088"/>
      <c r="AL11" s="1088"/>
      <c r="AM11" s="1088"/>
      <c r="AN11" s="1088"/>
      <c r="AO11" s="1088"/>
      <c r="AP11" s="1088"/>
      <c r="AQ11" s="1088"/>
      <c r="AR11" s="1088"/>
    </row>
    <row r="12" spans="1:44" s="589" customFormat="1" ht="21.95" customHeight="1" x14ac:dyDescent="0.15">
      <c r="A12" s="2513"/>
      <c r="B12" s="2595"/>
      <c r="C12" s="590" t="s">
        <v>610</v>
      </c>
      <c r="D12" s="1995"/>
      <c r="E12" s="591"/>
      <c r="F12" s="158">
        <f t="shared" ref="F12:G12" ca="1" si="13">IF(F4+F6=0,0,IF(F5="P",0,F4*0.21+F7*0.1))</f>
        <v>0.126</v>
      </c>
      <c r="G12" s="158">
        <f t="shared" ca="1" si="13"/>
        <v>0.126</v>
      </c>
      <c r="H12" s="158">
        <f t="shared" ref="H12:M12" ca="1" si="14">IF(H4+H6=0,0,IF(H5="P",0,H4*0.21+H7*0.1))</f>
        <v>0.126</v>
      </c>
      <c r="I12" s="158">
        <f t="shared" ca="1" si="14"/>
        <v>0.16800000000000001</v>
      </c>
      <c r="J12" s="158">
        <f t="shared" ca="1" si="14"/>
        <v>0.16800000000000001</v>
      </c>
      <c r="K12" s="158">
        <f t="shared" ca="1" si="14"/>
        <v>0.16800000000000001</v>
      </c>
      <c r="L12" s="158">
        <f t="shared" si="14"/>
        <v>0</v>
      </c>
      <c r="M12" s="158">
        <f t="shared" si="14"/>
        <v>0</v>
      </c>
      <c r="N12" s="158">
        <f t="shared" ref="N12:O12" si="15">IF(N4+N6=0,0,IF(N5="P",0,N4*0.21+N7*0.1))</f>
        <v>0</v>
      </c>
      <c r="O12" s="158">
        <f t="shared" si="15"/>
        <v>0</v>
      </c>
      <c r="P12" s="158">
        <f t="shared" ref="P12" si="16">IF(P4+P6=0,0,IF(P5="P",0,P4*0.21+P7*0.1))</f>
        <v>8.4000000000000005E-2</v>
      </c>
      <c r="Q12" s="158">
        <f t="shared" ref="Q12:AA12" si="17">IF(Q4+Q6=0,0,IF(Q5="P",0,Q4*0.21+Q7*0.1))</f>
        <v>8.4000000000000005E-2</v>
      </c>
      <c r="R12" s="158">
        <f t="shared" ref="R12" si="18">IF(R4+R6=0,0,IF(R5="P",0,R4*0.21+R7*0.1))</f>
        <v>0.126</v>
      </c>
      <c r="S12" s="158">
        <f t="shared" si="17"/>
        <v>0.126</v>
      </c>
      <c r="T12" s="158">
        <f t="shared" si="17"/>
        <v>8.4000000000000005E-2</v>
      </c>
      <c r="U12" s="158">
        <f t="shared" si="17"/>
        <v>0.126</v>
      </c>
      <c r="V12" s="158">
        <f t="shared" si="17"/>
        <v>8.4000000000000005E-2</v>
      </c>
      <c r="W12" s="158">
        <f t="shared" si="17"/>
        <v>8.4000000000000005E-2</v>
      </c>
      <c r="X12" s="158">
        <f t="shared" si="17"/>
        <v>0.105</v>
      </c>
      <c r="Y12" s="158">
        <f t="shared" si="17"/>
        <v>0.105</v>
      </c>
      <c r="Z12" s="158">
        <f t="shared" si="17"/>
        <v>8.4000000000000005E-2</v>
      </c>
      <c r="AA12" s="158">
        <f t="shared" si="17"/>
        <v>0.105</v>
      </c>
      <c r="AB12" s="159"/>
      <c r="AC12" s="159"/>
      <c r="AD12" s="159"/>
      <c r="AE12" s="351"/>
      <c r="AF12" s="578">
        <f t="shared" ca="1" si="0"/>
        <v>2.0790000000000002</v>
      </c>
      <c r="AG12" s="1086"/>
      <c r="AH12" s="1088"/>
      <c r="AI12" s="1088"/>
      <c r="AJ12" s="1088"/>
      <c r="AK12" s="1088"/>
      <c r="AL12" s="1088"/>
      <c r="AM12" s="1088"/>
      <c r="AN12" s="1088"/>
      <c r="AO12" s="1088"/>
      <c r="AP12" s="1088"/>
      <c r="AQ12" s="1088"/>
      <c r="AR12" s="1088"/>
    </row>
    <row r="13" spans="1:44" s="589" customFormat="1" ht="21.95" customHeight="1" x14ac:dyDescent="0.15">
      <c r="A13" s="2513"/>
      <c r="B13" s="2595"/>
      <c r="C13" s="590" t="s">
        <v>707</v>
      </c>
      <c r="D13" s="1995"/>
      <c r="E13" s="591"/>
      <c r="F13" s="158">
        <f t="shared" ref="F13:G13" ca="1" si="19">F11-F14</f>
        <v>2.2183199999999723</v>
      </c>
      <c r="G13" s="158">
        <f t="shared" ca="1" si="19"/>
        <v>1.8433200000000292</v>
      </c>
      <c r="H13" s="158">
        <f t="shared" ref="H13:M13" ca="1" si="20">H11-H14</f>
        <v>1.9746450000001468</v>
      </c>
      <c r="I13" s="158">
        <f t="shared" ca="1" si="20"/>
        <v>3.2019350000000992</v>
      </c>
      <c r="J13" s="158">
        <f t="shared" ca="1" si="20"/>
        <v>3.854225000000036</v>
      </c>
      <c r="K13" s="158">
        <f t="shared" ca="1" si="20"/>
        <v>3.7180300000000495</v>
      </c>
      <c r="L13" s="158">
        <f t="shared" si="20"/>
        <v>0</v>
      </c>
      <c r="M13" s="158">
        <f t="shared" si="20"/>
        <v>0</v>
      </c>
      <c r="N13" s="158">
        <f t="shared" ref="N13:O13" si="21">N11-N14</f>
        <v>0</v>
      </c>
      <c r="O13" s="158">
        <f t="shared" si="21"/>
        <v>0</v>
      </c>
      <c r="P13" s="158">
        <f t="shared" ref="P13" si="22">P11-P14</f>
        <v>8.4000000000000005E-2</v>
      </c>
      <c r="Q13" s="158">
        <f t="shared" ref="Q13:AA13" si="23">Q11-Q14</f>
        <v>1.3340000000000001</v>
      </c>
      <c r="R13" s="158">
        <f t="shared" ref="R13" si="24">R11-R14</f>
        <v>0.126</v>
      </c>
      <c r="S13" s="158">
        <f t="shared" si="23"/>
        <v>1.5259999999999998</v>
      </c>
      <c r="T13" s="158">
        <f t="shared" si="23"/>
        <v>8.4000000000000005E-2</v>
      </c>
      <c r="U13" s="158">
        <f t="shared" si="23"/>
        <v>0.126</v>
      </c>
      <c r="V13" s="158">
        <f t="shared" si="23"/>
        <v>8.4000000000000005E-2</v>
      </c>
      <c r="W13" s="158">
        <f t="shared" si="23"/>
        <v>8.4000000000000005E-2</v>
      </c>
      <c r="X13" s="158">
        <f t="shared" si="23"/>
        <v>0.105</v>
      </c>
      <c r="Y13" s="158">
        <f t="shared" si="23"/>
        <v>0.105</v>
      </c>
      <c r="Z13" s="158">
        <f t="shared" si="23"/>
        <v>8.4000000000000005E-2</v>
      </c>
      <c r="AA13" s="158">
        <f t="shared" si="23"/>
        <v>0.105</v>
      </c>
      <c r="AB13" s="159"/>
      <c r="AC13" s="159"/>
      <c r="AD13" s="159"/>
      <c r="AE13" s="351"/>
      <c r="AF13" s="578">
        <f t="shared" ca="1" si="0"/>
        <v>20.657475000000332</v>
      </c>
      <c r="AG13" s="1086"/>
      <c r="AH13" s="1088"/>
      <c r="AI13" s="1088"/>
      <c r="AJ13" s="1088"/>
      <c r="AK13" s="1088"/>
      <c r="AL13" s="1088"/>
      <c r="AM13" s="1088"/>
      <c r="AN13" s="1088"/>
      <c r="AO13" s="1088"/>
      <c r="AP13" s="1088"/>
      <c r="AQ13" s="1088"/>
      <c r="AR13" s="1088"/>
    </row>
    <row r="14" spans="1:44" s="589" customFormat="1" ht="21.95" hidden="1" customHeight="1" x14ac:dyDescent="0.15">
      <c r="A14" s="2513"/>
      <c r="B14" s="2595"/>
      <c r="C14" s="590" t="s">
        <v>690</v>
      </c>
      <c r="D14" s="1995"/>
      <c r="E14" s="591"/>
      <c r="F14" s="158">
        <f>IF(Dren_Quantificacao!D16=0,0,+F11-Dren_Quantificacao!D16)</f>
        <v>0</v>
      </c>
      <c r="G14" s="158">
        <f>IF(Dren_Quantificacao!E16=0,0,+G11-Dren_Quantificacao!E16)</f>
        <v>0</v>
      </c>
      <c r="H14" s="158">
        <f>IF(Dren_Quantificacao!F16=0,0,+H11-Dren_Quantificacao!F16)</f>
        <v>0</v>
      </c>
      <c r="I14" s="158">
        <f>IF(Dren_Quantificacao!G16=0,0,+I11-Dren_Quantificacao!G16)</f>
        <v>0</v>
      </c>
      <c r="J14" s="158">
        <f>IF(Dren_Quantificacao!H16=0,0,+J11-Dren_Quantificacao!H16)</f>
        <v>0</v>
      </c>
      <c r="K14" s="158">
        <f>IF(Dren_Quantificacao!I16=0,0,+K11-Dren_Quantificacao!I16)</f>
        <v>0</v>
      </c>
      <c r="L14" s="158">
        <f>IF(Dren_Quantificacao!J16=0,0,+L11-Dren_Quantificacao!J16)</f>
        <v>0</v>
      </c>
      <c r="M14" s="158">
        <f>IF(Dren_Quantificacao!K16=0,0,+M11-Dren_Quantificacao!K16)</f>
        <v>0</v>
      </c>
      <c r="N14" s="158">
        <f>IF(Dren_Quantificacao!L16=0,0,+N11-Dren_Quantificacao!L16)</f>
        <v>0</v>
      </c>
      <c r="O14" s="158">
        <f>IF(Dren_Quantificacao!M16=0,0,+O11-Dren_Quantificacao!M16)</f>
        <v>0</v>
      </c>
      <c r="P14" s="158">
        <f>IF(Dren_Quantificacao!O16=0,0,+P11-Dren_Quantificacao!O16)</f>
        <v>0</v>
      </c>
      <c r="Q14" s="158">
        <f>IF(Dren_Quantificacao!P16=0,0,+Q11-Dren_Quantificacao!P16)</f>
        <v>0</v>
      </c>
      <c r="R14" s="158">
        <f>IF(Dren_Quantificacao!Q16=0,0,+R11-Dren_Quantificacao!Q16)</f>
        <v>0</v>
      </c>
      <c r="S14" s="158">
        <f>IF(Dren_Quantificacao!R16=0,0,+S11-Dren_Quantificacao!R16)</f>
        <v>0</v>
      </c>
      <c r="T14" s="158">
        <f>IF(Dren_Quantificacao!S16=0,0,+T11-Dren_Quantificacao!S16)</f>
        <v>0</v>
      </c>
      <c r="U14" s="158">
        <f>IF(Dren_Quantificacao!T16=0,0,+U11-Dren_Quantificacao!T16)</f>
        <v>0</v>
      </c>
      <c r="V14" s="158">
        <f>IF(Dren_Quantificacao!U16=0,0,+V11-Dren_Quantificacao!U16)</f>
        <v>0</v>
      </c>
      <c r="W14" s="158">
        <f>IF(Dren_Quantificacao!V16=0,0,+W11-Dren_Quantificacao!V16)</f>
        <v>0</v>
      </c>
      <c r="X14" s="158">
        <f>IF(Dren_Quantificacao!W16=0,0,+X11-Dren_Quantificacao!W16)</f>
        <v>0</v>
      </c>
      <c r="Y14" s="158">
        <f>IF(Dren_Quantificacao!X16=0,0,+Y11-Dren_Quantificacao!X16)</f>
        <v>0</v>
      </c>
      <c r="Z14" s="158">
        <f>IF(Dren_Quantificacao!Y16=0,0,+Z11-Dren_Quantificacao!Y16)</f>
        <v>0</v>
      </c>
      <c r="AA14" s="158">
        <f>IF(Dren_Quantificacao!Z16=0,0,+AA11-Dren_Quantificacao!Z16)</f>
        <v>0</v>
      </c>
      <c r="AB14" s="159"/>
      <c r="AC14" s="159"/>
      <c r="AD14" s="159"/>
      <c r="AE14" s="351"/>
      <c r="AF14" s="578">
        <f t="shared" si="0"/>
        <v>0</v>
      </c>
      <c r="AG14" s="1086"/>
      <c r="AH14" s="1088"/>
      <c r="AI14" s="1088"/>
      <c r="AJ14" s="1088"/>
      <c r="AK14" s="1088"/>
      <c r="AL14" s="1088"/>
      <c r="AM14" s="1088"/>
      <c r="AN14" s="1088"/>
      <c r="AO14" s="1088"/>
      <c r="AP14" s="1088"/>
      <c r="AQ14" s="1088"/>
      <c r="AR14" s="1088"/>
    </row>
    <row r="15" spans="1:44" s="589" customFormat="1" ht="21.95" customHeight="1" x14ac:dyDescent="0.15">
      <c r="A15" s="2513"/>
      <c r="B15" s="2595"/>
      <c r="C15" s="590" t="s">
        <v>1093</v>
      </c>
      <c r="D15" s="1995"/>
      <c r="E15" s="591"/>
      <c r="F15" s="158">
        <f t="shared" ref="F15:G15" si="25">IF(F30="B",2.4,0)</f>
        <v>2.4</v>
      </c>
      <c r="G15" s="158">
        <f t="shared" si="25"/>
        <v>0</v>
      </c>
      <c r="H15" s="158">
        <f t="shared" ref="H15:M15" si="26">IF(H30="B",2.4,0)</f>
        <v>0</v>
      </c>
      <c r="I15" s="158">
        <f t="shared" si="26"/>
        <v>2.4</v>
      </c>
      <c r="J15" s="158">
        <f t="shared" si="26"/>
        <v>2.4</v>
      </c>
      <c r="K15" s="158">
        <f t="shared" si="26"/>
        <v>2.4</v>
      </c>
      <c r="L15" s="158">
        <f t="shared" si="26"/>
        <v>0</v>
      </c>
      <c r="M15" s="158">
        <f t="shared" si="26"/>
        <v>0</v>
      </c>
      <c r="N15" s="158">
        <f t="shared" ref="N15:O15" si="27">IF(N30="B",2.4,0)</f>
        <v>0</v>
      </c>
      <c r="O15" s="158">
        <f t="shared" si="27"/>
        <v>0</v>
      </c>
      <c r="P15" s="158">
        <f t="shared" ref="P15" si="28">IF(P30="B",2.4,0)</f>
        <v>0</v>
      </c>
      <c r="Q15" s="158">
        <f t="shared" ref="Q15:AA15" si="29">IF(Q30="B",2.4,0)</f>
        <v>0</v>
      </c>
      <c r="R15" s="158">
        <f t="shared" ref="R15" si="30">IF(R30="B",2.4,0)</f>
        <v>0</v>
      </c>
      <c r="S15" s="158">
        <f t="shared" si="29"/>
        <v>0</v>
      </c>
      <c r="T15" s="158">
        <f t="shared" si="29"/>
        <v>0</v>
      </c>
      <c r="U15" s="158">
        <f t="shared" si="29"/>
        <v>0</v>
      </c>
      <c r="V15" s="158">
        <f t="shared" si="29"/>
        <v>0</v>
      </c>
      <c r="W15" s="158">
        <f t="shared" si="29"/>
        <v>0</v>
      </c>
      <c r="X15" s="158">
        <f t="shared" si="29"/>
        <v>0</v>
      </c>
      <c r="Y15" s="158">
        <f t="shared" si="29"/>
        <v>0</v>
      </c>
      <c r="Z15" s="158">
        <f t="shared" si="29"/>
        <v>0</v>
      </c>
      <c r="AA15" s="158">
        <f t="shared" si="29"/>
        <v>0</v>
      </c>
      <c r="AB15" s="159"/>
      <c r="AC15" s="159"/>
      <c r="AD15" s="159"/>
      <c r="AE15" s="351"/>
      <c r="AF15" s="578">
        <f t="shared" si="0"/>
        <v>9.6</v>
      </c>
      <c r="AG15" s="1086"/>
      <c r="AH15" s="1088"/>
      <c r="AI15" s="1088"/>
      <c r="AJ15" s="1088"/>
      <c r="AK15" s="1088"/>
      <c r="AL15" s="1088"/>
      <c r="AM15" s="1088"/>
      <c r="AN15" s="1088"/>
      <c r="AO15" s="1088"/>
      <c r="AP15" s="1088"/>
      <c r="AQ15" s="1088"/>
      <c r="AR15" s="1088"/>
    </row>
    <row r="16" spans="1:44" s="589" customFormat="1" ht="21.95" hidden="1" customHeight="1" x14ac:dyDescent="0.15">
      <c r="A16" s="2513"/>
      <c r="B16" s="2595"/>
      <c r="C16" s="590" t="s">
        <v>738</v>
      </c>
      <c r="D16" s="1995"/>
      <c r="E16" s="591"/>
      <c r="F16" s="158">
        <f>IF(Dren_Quantificacao!D24=0,0,+IF(F19=0,F13*Dren_Quantificacao!D24,F18))</f>
        <v>0</v>
      </c>
      <c r="G16" s="158">
        <f>IF(Dren_Quantificacao!E24=0,0,+IF(G19=0,G13*Dren_Quantificacao!E24,G18))</f>
        <v>0</v>
      </c>
      <c r="H16" s="158">
        <f>IF(Dren_Quantificacao!F24=0,0,+IF(H19=0,H13*Dren_Quantificacao!F24,H18))</f>
        <v>0</v>
      </c>
      <c r="I16" s="158">
        <f>IF(Dren_Quantificacao!G24=0,0,+IF(I19=0,I13*Dren_Quantificacao!G24,I18))</f>
        <v>0</v>
      </c>
      <c r="J16" s="158">
        <f>IF(Dren_Quantificacao!H24=0,0,+IF(J19=0,J13*Dren_Quantificacao!H24,J18))</f>
        <v>0</v>
      </c>
      <c r="K16" s="158">
        <f>IF(Dren_Quantificacao!I24=0,0,+IF(K19=0,K13*Dren_Quantificacao!I24,K18))</f>
        <v>0</v>
      </c>
      <c r="L16" s="158">
        <f>IF(Dren_Quantificacao!J24=0,0,+IF(L19=0,L13*Dren_Quantificacao!J24,L18))</f>
        <v>0</v>
      </c>
      <c r="M16" s="158">
        <f>IF(Dren_Quantificacao!K24=0,0,+IF(M19=0,M13*Dren_Quantificacao!K24,M18))</f>
        <v>0</v>
      </c>
      <c r="N16" s="158">
        <f>IF(Dren_Quantificacao!L24=0,0,+IF(N19=0,N13*Dren_Quantificacao!L24,N18))</f>
        <v>0</v>
      </c>
      <c r="O16" s="158">
        <f>IF(Dren_Quantificacao!M24=0,0,+IF(O19=0,O13*Dren_Quantificacao!M24,O18))</f>
        <v>0</v>
      </c>
      <c r="P16" s="158">
        <f>IF(Dren_Quantificacao!O24=0,0,+IF(P19=0,P13*Dren_Quantificacao!O24,P18))</f>
        <v>0</v>
      </c>
      <c r="Q16" s="158">
        <f>IF(Dren_Quantificacao!P24=0,0,+IF(Q19=0,Q13*Dren_Quantificacao!P24,Q18))</f>
        <v>0</v>
      </c>
      <c r="R16" s="158">
        <f>IF(Dren_Quantificacao!Q24=0,0,+IF(R19=0,R13*Dren_Quantificacao!Q24,R18))</f>
        <v>0</v>
      </c>
      <c r="S16" s="158">
        <f>IF(Dren_Quantificacao!R24=0,0,+IF(S19=0,S13*Dren_Quantificacao!R24,S18))</f>
        <v>0</v>
      </c>
      <c r="T16" s="158">
        <f>IF(Dren_Quantificacao!S24=0,0,+IF(T19=0,T13*Dren_Quantificacao!S24,T18))</f>
        <v>0</v>
      </c>
      <c r="U16" s="158">
        <f>IF(Dren_Quantificacao!T24=0,0,+IF(U19=0,U13*Dren_Quantificacao!T24,U18))</f>
        <v>0</v>
      </c>
      <c r="V16" s="158">
        <f>IF(Dren_Quantificacao!U24=0,0,+IF(V19=0,V13*Dren_Quantificacao!U24,V18))</f>
        <v>0</v>
      </c>
      <c r="W16" s="158">
        <f>IF(Dren_Quantificacao!V24=0,0,+IF(W19=0,W13*Dren_Quantificacao!V24,W18))</f>
        <v>0</v>
      </c>
      <c r="X16" s="158">
        <f>IF(Dren_Quantificacao!W24=0,0,+IF(X19=0,X13*Dren_Quantificacao!W24,X18))</f>
        <v>0</v>
      </c>
      <c r="Y16" s="158">
        <f>IF(Dren_Quantificacao!X24=0,0,+IF(Y19=0,Y13*Dren_Quantificacao!X24,Y18))</f>
        <v>0</v>
      </c>
      <c r="Z16" s="158">
        <f>IF(Dren_Quantificacao!Y24=0,0,+IF(Z19=0,Z13*Dren_Quantificacao!Y24,Z18))</f>
        <v>0</v>
      </c>
      <c r="AA16" s="158">
        <f>IF(Dren_Quantificacao!Z24=0,0,+IF(AA19=0,AA13*Dren_Quantificacao!Z24,AA18))</f>
        <v>0</v>
      </c>
      <c r="AB16" s="159"/>
      <c r="AC16" s="159"/>
      <c r="AD16" s="159"/>
      <c r="AE16" s="351"/>
      <c r="AF16" s="578">
        <f t="shared" si="0"/>
        <v>0</v>
      </c>
      <c r="AG16" s="1086"/>
      <c r="AH16" s="1088"/>
      <c r="AI16" s="1088"/>
      <c r="AJ16" s="1088"/>
      <c r="AK16" s="1088"/>
      <c r="AL16" s="1088"/>
      <c r="AM16" s="1088"/>
      <c r="AN16" s="1088"/>
      <c r="AO16" s="1088"/>
      <c r="AP16" s="1088"/>
      <c r="AQ16" s="1088"/>
      <c r="AR16" s="1088"/>
    </row>
    <row r="17" spans="1:44" s="589" customFormat="1" ht="21.95" customHeight="1" x14ac:dyDescent="0.15">
      <c r="A17" s="2513"/>
      <c r="B17" s="2595"/>
      <c r="C17" s="590" t="s">
        <v>570</v>
      </c>
      <c r="D17" s="1995"/>
      <c r="E17" s="591"/>
      <c r="F17" s="158">
        <f t="shared" ref="F17:G17" ca="1" si="31">IF(0.3+(F4+F7+F12*2)&gt;F11,F11,0.3+F4+F7+F12*2)</f>
        <v>1.1519999999999999</v>
      </c>
      <c r="G17" s="158">
        <f t="shared" ca="1" si="31"/>
        <v>1.1519999999999999</v>
      </c>
      <c r="H17" s="158">
        <f t="shared" ref="H17:M17" ca="1" si="32">IF(0.3+(H4+H7+H12*2)&gt;H11,H11,0.3+H4+H7+H12*2)</f>
        <v>1.1519999999999999</v>
      </c>
      <c r="I17" s="158">
        <f t="shared" ca="1" si="32"/>
        <v>1.4360000000000002</v>
      </c>
      <c r="J17" s="158">
        <f t="shared" ca="1" si="32"/>
        <v>1.4360000000000002</v>
      </c>
      <c r="K17" s="158">
        <f t="shared" ca="1" si="32"/>
        <v>1.4360000000000002</v>
      </c>
      <c r="L17" s="158">
        <f t="shared" si="32"/>
        <v>0</v>
      </c>
      <c r="M17" s="158">
        <f t="shared" si="32"/>
        <v>0</v>
      </c>
      <c r="N17" s="158">
        <f t="shared" ref="N17:O17" si="33">IF(0.3+(N4+N7+N12*2)&gt;N11,N11,0.3+N4+N7+N12*2)</f>
        <v>0</v>
      </c>
      <c r="O17" s="158">
        <f t="shared" si="33"/>
        <v>0</v>
      </c>
      <c r="P17" s="158">
        <f t="shared" ref="P17" si="34">IF(0.3+(P4+P7+P12*2)&gt;P11,P11,0.3+P4+P7+P12*2)</f>
        <v>8.4000000000000005E-2</v>
      </c>
      <c r="Q17" s="158">
        <f t="shared" ref="Q17:AA17" si="35">IF(0.3+(Q4+Q7+Q12*2)&gt;Q11,Q11,0.3+Q4+Q7+Q12*2)</f>
        <v>0.86799999999999999</v>
      </c>
      <c r="R17" s="158">
        <f t="shared" ref="R17" si="36">IF(0.3+(R4+R7+R12*2)&gt;R11,R11,0.3+R4+R7+R12*2)</f>
        <v>0.126</v>
      </c>
      <c r="S17" s="158">
        <f t="shared" si="35"/>
        <v>1.1519999999999999</v>
      </c>
      <c r="T17" s="158">
        <f t="shared" si="35"/>
        <v>8.4000000000000005E-2</v>
      </c>
      <c r="U17" s="158">
        <f t="shared" si="35"/>
        <v>0.126</v>
      </c>
      <c r="V17" s="158">
        <f t="shared" si="35"/>
        <v>8.4000000000000005E-2</v>
      </c>
      <c r="W17" s="158">
        <f t="shared" si="35"/>
        <v>8.4000000000000005E-2</v>
      </c>
      <c r="X17" s="158">
        <f t="shared" si="35"/>
        <v>0.105</v>
      </c>
      <c r="Y17" s="158">
        <f t="shared" si="35"/>
        <v>0.105</v>
      </c>
      <c r="Z17" s="158">
        <f t="shared" si="35"/>
        <v>8.4000000000000005E-2</v>
      </c>
      <c r="AA17" s="158">
        <f t="shared" si="35"/>
        <v>0.105</v>
      </c>
      <c r="AB17" s="159"/>
      <c r="AC17" s="159"/>
      <c r="AD17" s="159"/>
      <c r="AE17" s="351"/>
      <c r="AF17" s="578">
        <f t="shared" ca="1" si="0"/>
        <v>10.770999999999997</v>
      </c>
      <c r="AG17" s="1086"/>
      <c r="AH17" s="1088"/>
      <c r="AI17" s="1088"/>
      <c r="AJ17" s="1088"/>
      <c r="AK17" s="1088"/>
      <c r="AL17" s="1088"/>
      <c r="AM17" s="1088"/>
      <c r="AN17" s="1088"/>
      <c r="AO17" s="1088"/>
      <c r="AP17" s="1088"/>
      <c r="AQ17" s="1088"/>
      <c r="AR17" s="1088"/>
    </row>
    <row r="18" spans="1:44" s="589" customFormat="1" ht="21.95" customHeight="1" x14ac:dyDescent="0.15">
      <c r="A18" s="2513"/>
      <c r="B18" s="2595"/>
      <c r="C18" s="590" t="s">
        <v>571</v>
      </c>
      <c r="D18" s="1995"/>
      <c r="E18" s="591"/>
      <c r="F18" s="158">
        <f t="shared" ref="F18:G18" ca="1" si="37">F11-F17</f>
        <v>1.0663199999999724</v>
      </c>
      <c r="G18" s="158">
        <f t="shared" ca="1" si="37"/>
        <v>0.69132000000002924</v>
      </c>
      <c r="H18" s="158">
        <f t="shared" ref="H18:M18" ca="1" si="38">H11-H17</f>
        <v>0.82264500000014684</v>
      </c>
      <c r="I18" s="158">
        <f t="shared" ca="1" si="38"/>
        <v>1.7659350000000991</v>
      </c>
      <c r="J18" s="158">
        <f t="shared" ca="1" si="38"/>
        <v>2.418225000000036</v>
      </c>
      <c r="K18" s="158">
        <f t="shared" ca="1" si="38"/>
        <v>2.2820300000000495</v>
      </c>
      <c r="L18" s="158">
        <f t="shared" si="38"/>
        <v>0</v>
      </c>
      <c r="M18" s="158">
        <f t="shared" si="38"/>
        <v>0</v>
      </c>
      <c r="N18" s="158">
        <f t="shared" ref="N18:O18" si="39">N11-N17</f>
        <v>0</v>
      </c>
      <c r="O18" s="158">
        <f t="shared" si="39"/>
        <v>0</v>
      </c>
      <c r="P18" s="158">
        <f t="shared" ref="P18" si="40">P11-P17</f>
        <v>0</v>
      </c>
      <c r="Q18" s="158">
        <f t="shared" ref="Q18:AA18" si="41">Q11-Q17</f>
        <v>0.46600000000000008</v>
      </c>
      <c r="R18" s="158">
        <f t="shared" ref="R18" si="42">R11-R17</f>
        <v>0</v>
      </c>
      <c r="S18" s="158">
        <f t="shared" si="41"/>
        <v>0.37399999999999989</v>
      </c>
      <c r="T18" s="158">
        <f t="shared" si="41"/>
        <v>0</v>
      </c>
      <c r="U18" s="158">
        <f t="shared" si="41"/>
        <v>0</v>
      </c>
      <c r="V18" s="158">
        <f t="shared" si="41"/>
        <v>0</v>
      </c>
      <c r="W18" s="158">
        <f t="shared" si="41"/>
        <v>0</v>
      </c>
      <c r="X18" s="158">
        <f t="shared" si="41"/>
        <v>0</v>
      </c>
      <c r="Y18" s="158">
        <f t="shared" si="41"/>
        <v>0</v>
      </c>
      <c r="Z18" s="158">
        <f t="shared" si="41"/>
        <v>0</v>
      </c>
      <c r="AA18" s="158">
        <f t="shared" si="41"/>
        <v>0</v>
      </c>
      <c r="AB18" s="159"/>
      <c r="AC18" s="159"/>
      <c r="AD18" s="159"/>
      <c r="AE18" s="351"/>
      <c r="AF18" s="578">
        <f t="shared" ca="1" si="0"/>
        <v>9.886475000000333</v>
      </c>
      <c r="AG18" s="1086"/>
      <c r="AH18" s="1088"/>
      <c r="AI18" s="1088"/>
      <c r="AJ18" s="1088"/>
      <c r="AK18" s="1088"/>
      <c r="AL18" s="1088"/>
      <c r="AM18" s="1088"/>
      <c r="AN18" s="1088"/>
      <c r="AO18" s="1088"/>
      <c r="AP18" s="1088"/>
      <c r="AQ18" s="1088"/>
      <c r="AR18" s="1088"/>
    </row>
    <row r="19" spans="1:44" s="589" customFormat="1" ht="21.95" hidden="1" customHeight="1" x14ac:dyDescent="0.15">
      <c r="A19" s="2513"/>
      <c r="B19" s="2595"/>
      <c r="C19" s="590" t="s">
        <v>739</v>
      </c>
      <c r="D19" s="1995"/>
      <c r="E19" s="591"/>
      <c r="F19" s="158">
        <f>IF(Dren_Quantificacao!D17="SIM",F17,0)</f>
        <v>0</v>
      </c>
      <c r="G19" s="158">
        <f>IF(Dren_Quantificacao!E17="SIM",G17,0)</f>
        <v>0</v>
      </c>
      <c r="H19" s="158">
        <f>IF(Dren_Quantificacao!F17="SIM",H17,0)</f>
        <v>0</v>
      </c>
      <c r="I19" s="158">
        <f>IF(Dren_Quantificacao!G17="SIM",I17,0)</f>
        <v>0</v>
      </c>
      <c r="J19" s="158">
        <f>IF(Dren_Quantificacao!H17="SIM",J17,0)</f>
        <v>0</v>
      </c>
      <c r="K19" s="158">
        <f>IF(Dren_Quantificacao!I17="SIM",K17,0)</f>
        <v>0</v>
      </c>
      <c r="L19" s="158">
        <f>IF(Dren_Quantificacao!J17="SIM",L17,0)</f>
        <v>0</v>
      </c>
      <c r="M19" s="158">
        <f>IF(Dren_Quantificacao!K17="SIM",M17,0)</f>
        <v>0</v>
      </c>
      <c r="N19" s="158">
        <f>IF(Dren_Quantificacao!L17="SIM",N17,0)</f>
        <v>0</v>
      </c>
      <c r="O19" s="158">
        <f>IF(Dren_Quantificacao!M17="SIM",O17,0)</f>
        <v>0</v>
      </c>
      <c r="P19" s="158">
        <f>IF(Dren_Quantificacao!O17="SIM",P17,0)</f>
        <v>0</v>
      </c>
      <c r="Q19" s="158">
        <f>IF(Dren_Quantificacao!P17="SIM",Q17,0)</f>
        <v>0</v>
      </c>
      <c r="R19" s="158">
        <f>IF(Dren_Quantificacao!Q17="SIM",R17,0)</f>
        <v>0</v>
      </c>
      <c r="S19" s="158">
        <f>IF(Dren_Quantificacao!R17="SIM",S17,0)</f>
        <v>0</v>
      </c>
      <c r="T19" s="158">
        <f>IF(Dren_Quantificacao!S17="SIM",T17,0)</f>
        <v>0</v>
      </c>
      <c r="U19" s="158">
        <f>IF(Dren_Quantificacao!T17="SIM",U17,0)</f>
        <v>0</v>
      </c>
      <c r="V19" s="158">
        <f>IF(Dren_Quantificacao!U17="SIM",V17,0)</f>
        <v>0</v>
      </c>
      <c r="W19" s="158">
        <f>IF(Dren_Quantificacao!V17="SIM",W17,0)</f>
        <v>0</v>
      </c>
      <c r="X19" s="158">
        <f>IF(Dren_Quantificacao!W17="SIM",X17,0)</f>
        <v>0</v>
      </c>
      <c r="Y19" s="158">
        <f>IF(Dren_Quantificacao!X17="SIM",Y17,0)</f>
        <v>0</v>
      </c>
      <c r="Z19" s="158">
        <f>IF(Dren_Quantificacao!Y17="SIM",Z17,0)</f>
        <v>0</v>
      </c>
      <c r="AA19" s="158">
        <f>IF(Dren_Quantificacao!Z17="SIM",AA17,0)</f>
        <v>0</v>
      </c>
      <c r="AB19" s="159"/>
      <c r="AC19" s="159"/>
      <c r="AD19" s="159"/>
      <c r="AE19" s="351"/>
      <c r="AF19" s="578">
        <f t="shared" si="0"/>
        <v>0</v>
      </c>
      <c r="AG19" s="1086"/>
      <c r="AH19" s="1088"/>
      <c r="AI19" s="1088"/>
      <c r="AJ19" s="1088"/>
      <c r="AK19" s="1088"/>
      <c r="AL19" s="1088"/>
      <c r="AM19" s="1088"/>
      <c r="AN19" s="1088"/>
      <c r="AO19" s="1088"/>
      <c r="AP19" s="1088"/>
      <c r="AQ19" s="1088"/>
      <c r="AR19" s="1088"/>
    </row>
    <row r="20" spans="1:44" s="589" customFormat="1" ht="21.95" hidden="1" customHeight="1" x14ac:dyDescent="0.15">
      <c r="A20" s="2513"/>
      <c r="B20" s="2595"/>
      <c r="C20" s="590" t="s">
        <v>457</v>
      </c>
      <c r="D20" s="1995"/>
      <c r="E20" s="591"/>
      <c r="F20" s="158">
        <f t="shared" ref="F20:G20" ca="1" si="43">IF(F13&gt;4.5,F13,0)</f>
        <v>0</v>
      </c>
      <c r="G20" s="158">
        <f t="shared" ca="1" si="43"/>
        <v>0</v>
      </c>
      <c r="H20" s="158">
        <f t="shared" ref="H20:M20" ca="1" si="44">IF(H13&gt;4.5,H13,0)</f>
        <v>0</v>
      </c>
      <c r="I20" s="158">
        <f t="shared" ca="1" si="44"/>
        <v>0</v>
      </c>
      <c r="J20" s="158">
        <f t="shared" ca="1" si="44"/>
        <v>0</v>
      </c>
      <c r="K20" s="158">
        <f t="shared" ca="1" si="44"/>
        <v>0</v>
      </c>
      <c r="L20" s="158">
        <f t="shared" si="44"/>
        <v>0</v>
      </c>
      <c r="M20" s="158">
        <f t="shared" si="44"/>
        <v>0</v>
      </c>
      <c r="N20" s="158">
        <f t="shared" ref="N20:O20" si="45">IF(N13&gt;4.5,N13,0)</f>
        <v>0</v>
      </c>
      <c r="O20" s="158">
        <f t="shared" si="45"/>
        <v>0</v>
      </c>
      <c r="P20" s="158">
        <f t="shared" ref="P20" si="46">IF(P13&gt;4.5,P13,0)</f>
        <v>0</v>
      </c>
      <c r="Q20" s="158">
        <f t="shared" ref="Q20:AA20" si="47">IF(Q13&gt;4.5,Q13,0)</f>
        <v>0</v>
      </c>
      <c r="R20" s="158">
        <f t="shared" ref="R20" si="48">IF(R13&gt;4.5,R13,0)</f>
        <v>0</v>
      </c>
      <c r="S20" s="158">
        <f t="shared" si="47"/>
        <v>0</v>
      </c>
      <c r="T20" s="158">
        <f t="shared" si="47"/>
        <v>0</v>
      </c>
      <c r="U20" s="158">
        <f t="shared" si="47"/>
        <v>0</v>
      </c>
      <c r="V20" s="158">
        <f t="shared" si="47"/>
        <v>0</v>
      </c>
      <c r="W20" s="158">
        <f t="shared" si="47"/>
        <v>0</v>
      </c>
      <c r="X20" s="158">
        <f t="shared" si="47"/>
        <v>0</v>
      </c>
      <c r="Y20" s="158">
        <f t="shared" si="47"/>
        <v>0</v>
      </c>
      <c r="Z20" s="158">
        <f t="shared" si="47"/>
        <v>0</v>
      </c>
      <c r="AA20" s="158">
        <f t="shared" si="47"/>
        <v>0</v>
      </c>
      <c r="AB20" s="159"/>
      <c r="AC20" s="159"/>
      <c r="AD20" s="159"/>
      <c r="AE20" s="351"/>
      <c r="AF20" s="578">
        <f t="shared" ca="1" si="0"/>
        <v>0</v>
      </c>
      <c r="AG20" s="1086"/>
      <c r="AH20" s="1088"/>
      <c r="AI20" s="1088"/>
      <c r="AJ20" s="1088"/>
      <c r="AK20" s="1088"/>
      <c r="AL20" s="1088"/>
      <c r="AM20" s="1088"/>
      <c r="AN20" s="1088"/>
      <c r="AO20" s="1088"/>
      <c r="AP20" s="1088"/>
      <c r="AQ20" s="1088"/>
      <c r="AR20" s="1088"/>
    </row>
    <row r="21" spans="1:44" s="589" customFormat="1" ht="21.95" customHeight="1" x14ac:dyDescent="0.15">
      <c r="A21" s="2513"/>
      <c r="B21" s="2595"/>
      <c r="C21" s="590" t="s">
        <v>564</v>
      </c>
      <c r="D21" s="1995"/>
      <c r="E21" s="591"/>
      <c r="F21" s="158">
        <f t="shared" ref="F21:G21" ca="1" si="49">IF(F20&gt;0,0,IF(F13&gt;3,F13,0))</f>
        <v>0</v>
      </c>
      <c r="G21" s="158">
        <f t="shared" ca="1" si="49"/>
        <v>0</v>
      </c>
      <c r="H21" s="158">
        <f t="shared" ref="H21:M21" ca="1" si="50">IF(H20&gt;0,0,IF(H13&gt;3,H13,0))</f>
        <v>0</v>
      </c>
      <c r="I21" s="158">
        <f t="shared" ca="1" si="50"/>
        <v>3.2019350000000992</v>
      </c>
      <c r="J21" s="158">
        <f t="shared" ca="1" si="50"/>
        <v>3.854225000000036</v>
      </c>
      <c r="K21" s="158">
        <f t="shared" ca="1" si="50"/>
        <v>3.7180300000000495</v>
      </c>
      <c r="L21" s="158">
        <f t="shared" si="50"/>
        <v>0</v>
      </c>
      <c r="M21" s="158">
        <f t="shared" si="50"/>
        <v>0</v>
      </c>
      <c r="N21" s="158">
        <f t="shared" ref="N21:O21" si="51">IF(N20&gt;0,0,IF(N13&gt;3,N13,0))</f>
        <v>0</v>
      </c>
      <c r="O21" s="158">
        <f t="shared" si="51"/>
        <v>0</v>
      </c>
      <c r="P21" s="158">
        <f t="shared" ref="P21" si="52">IF(P20&gt;0,0,IF(P13&gt;3,P13,0))</f>
        <v>0</v>
      </c>
      <c r="Q21" s="158">
        <f t="shared" ref="Q21:AA21" si="53">IF(Q20&gt;0,0,IF(Q13&gt;3,Q13,0))</f>
        <v>0</v>
      </c>
      <c r="R21" s="158">
        <f t="shared" ref="R21" si="54">IF(R20&gt;0,0,IF(R13&gt;3,R13,0))</f>
        <v>0</v>
      </c>
      <c r="S21" s="158">
        <f t="shared" si="53"/>
        <v>0</v>
      </c>
      <c r="T21" s="158">
        <f t="shared" si="53"/>
        <v>0</v>
      </c>
      <c r="U21" s="158">
        <f t="shared" si="53"/>
        <v>0</v>
      </c>
      <c r="V21" s="158">
        <f t="shared" si="53"/>
        <v>0</v>
      </c>
      <c r="W21" s="158">
        <f t="shared" si="53"/>
        <v>0</v>
      </c>
      <c r="X21" s="158">
        <f t="shared" si="53"/>
        <v>0</v>
      </c>
      <c r="Y21" s="158">
        <f t="shared" si="53"/>
        <v>0</v>
      </c>
      <c r="Z21" s="158">
        <f t="shared" si="53"/>
        <v>0</v>
      </c>
      <c r="AA21" s="158">
        <f t="shared" si="53"/>
        <v>0</v>
      </c>
      <c r="AB21" s="159"/>
      <c r="AC21" s="159"/>
      <c r="AD21" s="159"/>
      <c r="AE21" s="351"/>
      <c r="AF21" s="578">
        <f t="shared" ca="1" si="0"/>
        <v>10.774190000000186</v>
      </c>
      <c r="AG21" s="1086"/>
      <c r="AH21" s="1088"/>
      <c r="AI21" s="1088"/>
      <c r="AJ21" s="1088"/>
      <c r="AK21" s="1088"/>
      <c r="AL21" s="1088"/>
      <c r="AM21" s="1088"/>
      <c r="AN21" s="1088"/>
      <c r="AO21" s="1088"/>
      <c r="AP21" s="1088"/>
      <c r="AQ21" s="1088"/>
      <c r="AR21" s="1088"/>
    </row>
    <row r="22" spans="1:44" s="589" customFormat="1" ht="21.95" customHeight="1" x14ac:dyDescent="0.15">
      <c r="A22" s="2513"/>
      <c r="B22" s="2595"/>
      <c r="C22" s="590" t="s">
        <v>565</v>
      </c>
      <c r="D22" s="1995"/>
      <c r="E22" s="591"/>
      <c r="F22" s="158">
        <f t="shared" ref="F22:G22" ca="1" si="55">IF(F20+F21&gt;0,0,IF(F13&gt;1.5,F13,0))</f>
        <v>2.2183199999999723</v>
      </c>
      <c r="G22" s="158">
        <f t="shared" ca="1" si="55"/>
        <v>1.8433200000000292</v>
      </c>
      <c r="H22" s="158">
        <f t="shared" ref="H22:M22" ca="1" si="56">IF(H20+H21&gt;0,0,IF(H13&gt;1.5,H13,0))</f>
        <v>1.9746450000001468</v>
      </c>
      <c r="I22" s="158">
        <f t="shared" ca="1" si="56"/>
        <v>0</v>
      </c>
      <c r="J22" s="158">
        <f t="shared" ca="1" si="56"/>
        <v>0</v>
      </c>
      <c r="K22" s="158">
        <f t="shared" ca="1" si="56"/>
        <v>0</v>
      </c>
      <c r="L22" s="158">
        <f t="shared" si="56"/>
        <v>0</v>
      </c>
      <c r="M22" s="158">
        <f t="shared" si="56"/>
        <v>0</v>
      </c>
      <c r="N22" s="158">
        <f t="shared" ref="N22:O22" si="57">IF(N20+N21&gt;0,0,IF(N13&gt;1.5,N13,0))</f>
        <v>0</v>
      </c>
      <c r="O22" s="158">
        <f t="shared" si="57"/>
        <v>0</v>
      </c>
      <c r="P22" s="158">
        <f t="shared" ref="P22" si="58">IF(P20+P21&gt;0,0,IF(P13&gt;1.5,P13,0))</f>
        <v>0</v>
      </c>
      <c r="Q22" s="158">
        <f t="shared" ref="Q22:AA22" si="59">IF(Q20+Q21&gt;0,0,IF(Q13&gt;1.5,Q13,0))</f>
        <v>0</v>
      </c>
      <c r="R22" s="158">
        <f t="shared" ref="R22" si="60">IF(R20+R21&gt;0,0,IF(R13&gt;1.5,R13,0))</f>
        <v>0</v>
      </c>
      <c r="S22" s="158">
        <f t="shared" si="59"/>
        <v>1.5259999999999998</v>
      </c>
      <c r="T22" s="158">
        <f t="shared" si="59"/>
        <v>0</v>
      </c>
      <c r="U22" s="158">
        <f t="shared" si="59"/>
        <v>0</v>
      </c>
      <c r="V22" s="158">
        <f t="shared" si="59"/>
        <v>0</v>
      </c>
      <c r="W22" s="158">
        <f t="shared" si="59"/>
        <v>0</v>
      </c>
      <c r="X22" s="158">
        <f t="shared" si="59"/>
        <v>0</v>
      </c>
      <c r="Y22" s="158">
        <f t="shared" si="59"/>
        <v>0</v>
      </c>
      <c r="Z22" s="158">
        <f t="shared" si="59"/>
        <v>0</v>
      </c>
      <c r="AA22" s="158">
        <f t="shared" si="59"/>
        <v>0</v>
      </c>
      <c r="AB22" s="159"/>
      <c r="AC22" s="159"/>
      <c r="AD22" s="159"/>
      <c r="AE22" s="351"/>
      <c r="AF22" s="578">
        <f t="shared" ca="1" si="0"/>
        <v>7.5622850000001485</v>
      </c>
      <c r="AG22" s="1086"/>
      <c r="AH22" s="1088"/>
      <c r="AI22" s="1088"/>
      <c r="AJ22" s="1088"/>
      <c r="AK22" s="1088"/>
      <c r="AL22" s="1088"/>
      <c r="AM22" s="1088"/>
      <c r="AN22" s="1088"/>
      <c r="AO22" s="1088"/>
      <c r="AP22" s="1088"/>
      <c r="AQ22" s="1088"/>
      <c r="AR22" s="1088"/>
    </row>
    <row r="23" spans="1:44" s="589" customFormat="1" ht="21.95" customHeight="1" x14ac:dyDescent="0.15">
      <c r="A23" s="2513"/>
      <c r="B23" s="2595"/>
      <c r="C23" s="590" t="s">
        <v>458</v>
      </c>
      <c r="D23" s="1995"/>
      <c r="E23" s="591"/>
      <c r="F23" s="158">
        <f t="shared" ref="F23:G23" ca="1" si="61">IF(SUM(F20:F22)&gt;0,0,F13)</f>
        <v>0</v>
      </c>
      <c r="G23" s="158">
        <f t="shared" ca="1" si="61"/>
        <v>0</v>
      </c>
      <c r="H23" s="158">
        <f t="shared" ref="H23:M23" ca="1" si="62">IF(SUM(H20:H22)&gt;0,0,H13)</f>
        <v>0</v>
      </c>
      <c r="I23" s="158">
        <f t="shared" ca="1" si="62"/>
        <v>0</v>
      </c>
      <c r="J23" s="158">
        <f t="shared" ca="1" si="62"/>
        <v>0</v>
      </c>
      <c r="K23" s="158">
        <f t="shared" ca="1" si="62"/>
        <v>0</v>
      </c>
      <c r="L23" s="158">
        <f t="shared" si="62"/>
        <v>0</v>
      </c>
      <c r="M23" s="158">
        <f t="shared" si="62"/>
        <v>0</v>
      </c>
      <c r="N23" s="158">
        <f t="shared" ref="N23:O23" si="63">IF(SUM(N20:N22)&gt;0,0,N13)</f>
        <v>0</v>
      </c>
      <c r="O23" s="158">
        <f t="shared" si="63"/>
        <v>0</v>
      </c>
      <c r="P23" s="158">
        <f t="shared" ref="P23" si="64">IF(SUM(P20:P22)&gt;0,0,P13)</f>
        <v>8.4000000000000005E-2</v>
      </c>
      <c r="Q23" s="158">
        <f t="shared" ref="Q23:AA23" si="65">IF(SUM(Q20:Q22)&gt;0,0,Q13)</f>
        <v>1.3340000000000001</v>
      </c>
      <c r="R23" s="158">
        <f t="shared" ref="R23" si="66">IF(SUM(R20:R22)&gt;0,0,R13)</f>
        <v>0.126</v>
      </c>
      <c r="S23" s="158">
        <f t="shared" si="65"/>
        <v>0</v>
      </c>
      <c r="T23" s="158">
        <f t="shared" si="65"/>
        <v>8.4000000000000005E-2</v>
      </c>
      <c r="U23" s="158">
        <f t="shared" si="65"/>
        <v>0.126</v>
      </c>
      <c r="V23" s="158">
        <f t="shared" si="65"/>
        <v>8.4000000000000005E-2</v>
      </c>
      <c r="W23" s="158">
        <f t="shared" si="65"/>
        <v>8.4000000000000005E-2</v>
      </c>
      <c r="X23" s="158">
        <f t="shared" si="65"/>
        <v>0.105</v>
      </c>
      <c r="Y23" s="158">
        <f t="shared" si="65"/>
        <v>0.105</v>
      </c>
      <c r="Z23" s="158">
        <f t="shared" si="65"/>
        <v>8.4000000000000005E-2</v>
      </c>
      <c r="AA23" s="158">
        <f t="shared" si="65"/>
        <v>0.105</v>
      </c>
      <c r="AB23" s="158"/>
      <c r="AC23" s="158"/>
      <c r="AD23" s="158"/>
      <c r="AE23" s="351"/>
      <c r="AF23" s="578">
        <f t="shared" ca="1" si="0"/>
        <v>2.3210000000000002</v>
      </c>
      <c r="AG23" s="1086"/>
      <c r="AH23" s="1088"/>
      <c r="AI23" s="1088"/>
      <c r="AJ23" s="1088"/>
      <c r="AK23" s="1088"/>
      <c r="AL23" s="1088"/>
      <c r="AM23" s="1088"/>
      <c r="AN23" s="1088"/>
      <c r="AO23" s="1088"/>
      <c r="AP23" s="1088"/>
      <c r="AQ23" s="1088"/>
      <c r="AR23" s="1088"/>
    </row>
    <row r="24" spans="1:44" s="589" customFormat="1" ht="21.95" hidden="1" customHeight="1" x14ac:dyDescent="0.15">
      <c r="A24" s="2513"/>
      <c r="B24" s="2595"/>
      <c r="C24" s="590" t="s">
        <v>459</v>
      </c>
      <c r="D24" s="1995"/>
      <c r="E24" s="591"/>
      <c r="F24" s="158">
        <f t="shared" ref="F24:G24" ca="1" si="67">IF(F18&gt;4.5,F18,0)</f>
        <v>0</v>
      </c>
      <c r="G24" s="158">
        <f t="shared" ca="1" si="67"/>
        <v>0</v>
      </c>
      <c r="H24" s="158">
        <f t="shared" ref="H24:M24" ca="1" si="68">IF(H18&gt;4.5,H18,0)</f>
        <v>0</v>
      </c>
      <c r="I24" s="158">
        <f t="shared" ca="1" si="68"/>
        <v>0</v>
      </c>
      <c r="J24" s="158">
        <f t="shared" ca="1" si="68"/>
        <v>0</v>
      </c>
      <c r="K24" s="158">
        <f t="shared" ca="1" si="68"/>
        <v>0</v>
      </c>
      <c r="L24" s="158">
        <f t="shared" si="68"/>
        <v>0</v>
      </c>
      <c r="M24" s="158">
        <f t="shared" si="68"/>
        <v>0</v>
      </c>
      <c r="N24" s="158">
        <f t="shared" ref="N24:O24" si="69">IF(N18&gt;4.5,N18,0)</f>
        <v>0</v>
      </c>
      <c r="O24" s="158">
        <f t="shared" si="69"/>
        <v>0</v>
      </c>
      <c r="P24" s="158">
        <f t="shared" ref="P24" si="70">IF(P18&gt;4.5,P18,0)</f>
        <v>0</v>
      </c>
      <c r="Q24" s="158">
        <f t="shared" ref="Q24:AA24" si="71">IF(Q18&gt;4.5,Q18,0)</f>
        <v>0</v>
      </c>
      <c r="R24" s="158">
        <f t="shared" ref="R24" si="72">IF(R18&gt;4.5,R18,0)</f>
        <v>0</v>
      </c>
      <c r="S24" s="158">
        <f t="shared" si="71"/>
        <v>0</v>
      </c>
      <c r="T24" s="158">
        <f t="shared" si="71"/>
        <v>0</v>
      </c>
      <c r="U24" s="158">
        <f t="shared" si="71"/>
        <v>0</v>
      </c>
      <c r="V24" s="158">
        <f t="shared" si="71"/>
        <v>0</v>
      </c>
      <c r="W24" s="158">
        <f t="shared" si="71"/>
        <v>0</v>
      </c>
      <c r="X24" s="158">
        <f t="shared" si="71"/>
        <v>0</v>
      </c>
      <c r="Y24" s="158">
        <f t="shared" si="71"/>
        <v>0</v>
      </c>
      <c r="Z24" s="158">
        <f t="shared" si="71"/>
        <v>0</v>
      </c>
      <c r="AA24" s="158">
        <f t="shared" si="71"/>
        <v>0</v>
      </c>
      <c r="AB24" s="159"/>
      <c r="AC24" s="159"/>
      <c r="AD24" s="159"/>
      <c r="AE24" s="351"/>
      <c r="AF24" s="578">
        <f t="shared" ca="1" si="0"/>
        <v>0</v>
      </c>
      <c r="AG24" s="1086"/>
      <c r="AH24" s="1088"/>
      <c r="AI24" s="1088"/>
      <c r="AJ24" s="1088"/>
      <c r="AK24" s="1088"/>
      <c r="AL24" s="1088"/>
      <c r="AM24" s="1088"/>
      <c r="AN24" s="1088"/>
      <c r="AO24" s="1088"/>
      <c r="AP24" s="1088"/>
      <c r="AQ24" s="1088"/>
      <c r="AR24" s="1088"/>
    </row>
    <row r="25" spans="1:44" s="589" customFormat="1" ht="21.95" hidden="1" customHeight="1" x14ac:dyDescent="0.15">
      <c r="A25" s="2513"/>
      <c r="B25" s="2595"/>
      <c r="C25" s="590" t="s">
        <v>566</v>
      </c>
      <c r="D25" s="1995"/>
      <c r="E25" s="591"/>
      <c r="F25" s="158">
        <f t="shared" ref="F25:G25" ca="1" si="73">IF(F24&gt;0,0,IF(F18&gt;3,F18,0))</f>
        <v>0</v>
      </c>
      <c r="G25" s="158">
        <f t="shared" ca="1" si="73"/>
        <v>0</v>
      </c>
      <c r="H25" s="158">
        <f t="shared" ref="H25:M25" ca="1" si="74">IF(H24&gt;0,0,IF(H18&gt;3,H18,0))</f>
        <v>0</v>
      </c>
      <c r="I25" s="158">
        <f t="shared" ca="1" si="74"/>
        <v>0</v>
      </c>
      <c r="J25" s="158">
        <f t="shared" ca="1" si="74"/>
        <v>0</v>
      </c>
      <c r="K25" s="158">
        <f t="shared" ca="1" si="74"/>
        <v>0</v>
      </c>
      <c r="L25" s="158">
        <f t="shared" si="74"/>
        <v>0</v>
      </c>
      <c r="M25" s="158">
        <f t="shared" si="74"/>
        <v>0</v>
      </c>
      <c r="N25" s="158">
        <f t="shared" ref="N25:O25" si="75">IF(N24&gt;0,0,IF(N18&gt;3,N18,0))</f>
        <v>0</v>
      </c>
      <c r="O25" s="158">
        <f t="shared" si="75"/>
        <v>0</v>
      </c>
      <c r="P25" s="158">
        <f t="shared" ref="P25" si="76">IF(P24&gt;0,0,IF(P18&gt;3,P18,0))</f>
        <v>0</v>
      </c>
      <c r="Q25" s="158">
        <f t="shared" ref="Q25:AA25" si="77">IF(Q24&gt;0,0,IF(Q18&gt;3,Q18,0))</f>
        <v>0</v>
      </c>
      <c r="R25" s="158">
        <f t="shared" ref="R25" si="78">IF(R24&gt;0,0,IF(R18&gt;3,R18,0))</f>
        <v>0</v>
      </c>
      <c r="S25" s="158">
        <f t="shared" si="77"/>
        <v>0</v>
      </c>
      <c r="T25" s="158">
        <f t="shared" si="77"/>
        <v>0</v>
      </c>
      <c r="U25" s="158">
        <f t="shared" si="77"/>
        <v>0</v>
      </c>
      <c r="V25" s="158">
        <f t="shared" si="77"/>
        <v>0</v>
      </c>
      <c r="W25" s="158">
        <f t="shared" si="77"/>
        <v>0</v>
      </c>
      <c r="X25" s="158">
        <f t="shared" si="77"/>
        <v>0</v>
      </c>
      <c r="Y25" s="158">
        <f t="shared" si="77"/>
        <v>0</v>
      </c>
      <c r="Z25" s="158">
        <f t="shared" si="77"/>
        <v>0</v>
      </c>
      <c r="AA25" s="158">
        <f t="shared" si="77"/>
        <v>0</v>
      </c>
      <c r="AB25" s="159"/>
      <c r="AC25" s="159"/>
      <c r="AD25" s="159"/>
      <c r="AE25" s="351"/>
      <c r="AF25" s="578">
        <f t="shared" ca="1" si="0"/>
        <v>0</v>
      </c>
      <c r="AG25" s="1086"/>
      <c r="AH25" s="1088"/>
      <c r="AI25" s="1088"/>
      <c r="AJ25" s="1088"/>
      <c r="AK25" s="1088"/>
      <c r="AL25" s="1088"/>
      <c r="AM25" s="1088"/>
      <c r="AN25" s="1088"/>
      <c r="AO25" s="1088"/>
      <c r="AP25" s="1088"/>
      <c r="AQ25" s="1088"/>
      <c r="AR25" s="1088"/>
    </row>
    <row r="26" spans="1:44" s="589" customFormat="1" ht="21.95" customHeight="1" x14ac:dyDescent="0.15">
      <c r="A26" s="2513"/>
      <c r="B26" s="2595"/>
      <c r="C26" s="590" t="s">
        <v>567</v>
      </c>
      <c r="D26" s="1995"/>
      <c r="E26" s="591"/>
      <c r="F26" s="158">
        <f t="shared" ref="F26:G26" ca="1" si="79">IF(F24+F25&gt;0,0,IF(F18&gt;1.5,F18,0))</f>
        <v>0</v>
      </c>
      <c r="G26" s="158">
        <f t="shared" ca="1" si="79"/>
        <v>0</v>
      </c>
      <c r="H26" s="158">
        <f t="shared" ref="H26:M26" ca="1" si="80">IF(H24+H25&gt;0,0,IF(H18&gt;1.5,H18,0))</f>
        <v>0</v>
      </c>
      <c r="I26" s="158">
        <f t="shared" ca="1" si="80"/>
        <v>1.7659350000000991</v>
      </c>
      <c r="J26" s="158">
        <f t="shared" ca="1" si="80"/>
        <v>2.418225000000036</v>
      </c>
      <c r="K26" s="158">
        <f t="shared" ca="1" si="80"/>
        <v>2.2820300000000495</v>
      </c>
      <c r="L26" s="158">
        <f t="shared" si="80"/>
        <v>0</v>
      </c>
      <c r="M26" s="158">
        <f t="shared" si="80"/>
        <v>0</v>
      </c>
      <c r="N26" s="158">
        <f t="shared" ref="N26:O26" si="81">IF(N24+N25&gt;0,0,IF(N18&gt;1.5,N18,0))</f>
        <v>0</v>
      </c>
      <c r="O26" s="158">
        <f t="shared" si="81"/>
        <v>0</v>
      </c>
      <c r="P26" s="158">
        <f t="shared" ref="P26" si="82">IF(P24+P25&gt;0,0,IF(P18&gt;1.5,P18,0))</f>
        <v>0</v>
      </c>
      <c r="Q26" s="158">
        <f t="shared" ref="Q26:AA26" si="83">IF(Q24+Q25&gt;0,0,IF(Q18&gt;1.5,Q18,0))</f>
        <v>0</v>
      </c>
      <c r="R26" s="158">
        <f t="shared" ref="R26" si="84">IF(R24+R25&gt;0,0,IF(R18&gt;1.5,R18,0))</f>
        <v>0</v>
      </c>
      <c r="S26" s="158">
        <f t="shared" si="83"/>
        <v>0</v>
      </c>
      <c r="T26" s="158">
        <f t="shared" si="83"/>
        <v>0</v>
      </c>
      <c r="U26" s="158">
        <f t="shared" si="83"/>
        <v>0</v>
      </c>
      <c r="V26" s="158">
        <f t="shared" si="83"/>
        <v>0</v>
      </c>
      <c r="W26" s="158">
        <f t="shared" si="83"/>
        <v>0</v>
      </c>
      <c r="X26" s="158">
        <f t="shared" si="83"/>
        <v>0</v>
      </c>
      <c r="Y26" s="158">
        <f t="shared" si="83"/>
        <v>0</v>
      </c>
      <c r="Z26" s="158">
        <f t="shared" si="83"/>
        <v>0</v>
      </c>
      <c r="AA26" s="158">
        <f t="shared" si="83"/>
        <v>0</v>
      </c>
      <c r="AB26" s="159"/>
      <c r="AC26" s="159"/>
      <c r="AD26" s="159"/>
      <c r="AE26" s="351"/>
      <c r="AF26" s="578">
        <f t="shared" ca="1" si="0"/>
        <v>6.4661900000001848</v>
      </c>
      <c r="AG26" s="1086"/>
      <c r="AH26" s="1088"/>
      <c r="AI26" s="1088"/>
      <c r="AJ26" s="1088"/>
      <c r="AK26" s="1088"/>
      <c r="AL26" s="1088"/>
      <c r="AM26" s="1088"/>
      <c r="AN26" s="1088"/>
      <c r="AO26" s="1088"/>
      <c r="AP26" s="1088"/>
      <c r="AQ26" s="1088"/>
      <c r="AR26" s="1088"/>
    </row>
    <row r="27" spans="1:44" s="589" customFormat="1" ht="21.95" customHeight="1" thickBot="1" x14ac:dyDescent="0.2">
      <c r="A27" s="2513"/>
      <c r="B27" s="2587"/>
      <c r="C27" s="590" t="s">
        <v>460</v>
      </c>
      <c r="D27" s="1996"/>
      <c r="E27" s="1519"/>
      <c r="F27" s="239">
        <f t="shared" ref="F27:G27" ca="1" si="85">IF(SUM(F24:F26)&gt;0,0,F18)</f>
        <v>1.0663199999999724</v>
      </c>
      <c r="G27" s="239">
        <f t="shared" ca="1" si="85"/>
        <v>0.69132000000002924</v>
      </c>
      <c r="H27" s="239">
        <f t="shared" ref="H27:M27" ca="1" si="86">IF(SUM(H24:H26)&gt;0,0,H18)</f>
        <v>0.82264500000014684</v>
      </c>
      <c r="I27" s="239">
        <f t="shared" ca="1" si="86"/>
        <v>0</v>
      </c>
      <c r="J27" s="239">
        <f t="shared" ca="1" si="86"/>
        <v>0</v>
      </c>
      <c r="K27" s="239">
        <f t="shared" ca="1" si="86"/>
        <v>0</v>
      </c>
      <c r="L27" s="239">
        <f t="shared" si="86"/>
        <v>0</v>
      </c>
      <c r="M27" s="239">
        <f t="shared" si="86"/>
        <v>0</v>
      </c>
      <c r="N27" s="239">
        <f t="shared" ref="N27:O27" si="87">IF(SUM(N24:N26)&gt;0,0,N18)</f>
        <v>0</v>
      </c>
      <c r="O27" s="239">
        <f t="shared" si="87"/>
        <v>0</v>
      </c>
      <c r="P27" s="239">
        <f t="shared" ref="P27" si="88">IF(SUM(P24:P26)&gt;0,0,P18)</f>
        <v>0</v>
      </c>
      <c r="Q27" s="239">
        <f t="shared" ref="Q27:AA27" si="89">IF(SUM(Q24:Q26)&gt;0,0,Q18)</f>
        <v>0.46600000000000008</v>
      </c>
      <c r="R27" s="239">
        <f t="shared" ref="R27" si="90">IF(SUM(R24:R26)&gt;0,0,R18)</f>
        <v>0</v>
      </c>
      <c r="S27" s="239">
        <f t="shared" si="89"/>
        <v>0.37399999999999989</v>
      </c>
      <c r="T27" s="239">
        <f t="shared" si="89"/>
        <v>0</v>
      </c>
      <c r="U27" s="239">
        <f t="shared" si="89"/>
        <v>0</v>
      </c>
      <c r="V27" s="239">
        <f t="shared" si="89"/>
        <v>0</v>
      </c>
      <c r="W27" s="239">
        <f t="shared" si="89"/>
        <v>0</v>
      </c>
      <c r="X27" s="239">
        <f t="shared" si="89"/>
        <v>0</v>
      </c>
      <c r="Y27" s="239">
        <f t="shared" si="89"/>
        <v>0</v>
      </c>
      <c r="Z27" s="239">
        <f t="shared" si="89"/>
        <v>0</v>
      </c>
      <c r="AA27" s="239">
        <f t="shared" si="89"/>
        <v>0</v>
      </c>
      <c r="AB27" s="239"/>
      <c r="AC27" s="239"/>
      <c r="AD27" s="239"/>
      <c r="AE27" s="436"/>
      <c r="AF27" s="578">
        <f t="shared" ca="1" si="0"/>
        <v>3.4202850000001481</v>
      </c>
      <c r="AG27" s="1086"/>
      <c r="AH27" s="1088"/>
      <c r="AI27" s="1088"/>
      <c r="AJ27" s="1088"/>
      <c r="AK27" s="1088"/>
      <c r="AL27" s="1088"/>
      <c r="AM27" s="1088"/>
      <c r="AN27" s="1088"/>
      <c r="AO27" s="1088"/>
      <c r="AP27" s="1088"/>
      <c r="AQ27" s="1088"/>
      <c r="AR27" s="1088"/>
    </row>
    <row r="28" spans="1:44" ht="21.95" hidden="1" customHeight="1" thickBot="1" x14ac:dyDescent="0.2">
      <c r="A28" s="2513"/>
      <c r="B28" s="2582" t="s">
        <v>479</v>
      </c>
      <c r="C28" s="2583"/>
      <c r="D28" s="1993"/>
      <c r="E28" s="563"/>
      <c r="F28" s="233" t="str">
        <f>Dren_Quantificacao!D14</f>
        <v>argiloso</v>
      </c>
      <c r="G28" s="233" t="str">
        <f>Dren_Quantificacao!E14</f>
        <v>argiloso</v>
      </c>
      <c r="H28" s="233" t="str">
        <f>Dren_Quantificacao!F14</f>
        <v>argiloso</v>
      </c>
      <c r="I28" s="233" t="str">
        <f>Dren_Quantificacao!G14</f>
        <v>argiloso</v>
      </c>
      <c r="J28" s="233" t="str">
        <f>Dren_Quantificacao!H14</f>
        <v>argiloso</v>
      </c>
      <c r="K28" s="233" t="str">
        <f>Dren_Quantificacao!I14</f>
        <v>argiloso</v>
      </c>
      <c r="L28" s="233" t="str">
        <f>Dren_Quantificacao!J14</f>
        <v>argiloso</v>
      </c>
      <c r="M28" s="233" t="str">
        <f>Dren_Quantificacao!K14</f>
        <v>argiloso</v>
      </c>
      <c r="N28" s="233" t="str">
        <f>Dren_Quantificacao!L14</f>
        <v>argiloso</v>
      </c>
      <c r="O28" s="233" t="str">
        <f>Dren_Quantificacao!M14</f>
        <v>argiloso</v>
      </c>
      <c r="P28" s="233" t="str">
        <f>Dren_Quantificacao!O14</f>
        <v>argiloso</v>
      </c>
      <c r="Q28" s="233" t="str">
        <f>Dren_Quantificacao!P14</f>
        <v>argiloso</v>
      </c>
      <c r="R28" s="233" t="str">
        <f>Dren_Quantificacao!Q14</f>
        <v>argiloso</v>
      </c>
      <c r="S28" s="233" t="str">
        <f>Dren_Quantificacao!R14</f>
        <v>argiloso</v>
      </c>
      <c r="T28" s="233" t="str">
        <f>Dren_Quantificacao!S14</f>
        <v>ROCHA</v>
      </c>
      <c r="U28" s="233" t="str">
        <f>Dren_Quantificacao!T14</f>
        <v>ROCHA</v>
      </c>
      <c r="V28" s="233" t="str">
        <f>Dren_Quantificacao!U14</f>
        <v>arenoso</v>
      </c>
      <c r="W28" s="233" t="str">
        <f>Dren_Quantificacao!V14</f>
        <v>arenoso</v>
      </c>
      <c r="X28" s="233" t="str">
        <f>Dren_Quantificacao!W14</f>
        <v>arenoso</v>
      </c>
      <c r="Y28" s="233" t="str">
        <f>Dren_Quantificacao!X14</f>
        <v>arenoso</v>
      </c>
      <c r="Z28" s="233" t="str">
        <f>Dren_Quantificacao!Y14</f>
        <v>ROCHA</v>
      </c>
      <c r="AA28" s="233" t="str">
        <f>Dren_Quantificacao!Z14</f>
        <v>ROCHA</v>
      </c>
      <c r="AB28" s="239"/>
      <c r="AC28" s="239"/>
      <c r="AD28" s="239"/>
      <c r="AE28" s="796">
        <f>+COUNTA(F28:AA28)</f>
        <v>22</v>
      </c>
      <c r="AF28" s="578"/>
      <c r="AG28" s="467"/>
    </row>
    <row r="29" spans="1:44" ht="21.95" customHeight="1" thickBot="1" x14ac:dyDescent="0.2">
      <c r="A29" s="2513"/>
      <c r="B29" s="2582" t="s">
        <v>1082</v>
      </c>
      <c r="C29" s="2583"/>
      <c r="D29" s="1796"/>
      <c r="E29" s="563"/>
      <c r="F29" s="359">
        <f>Dren_Quantificacao!D13</f>
        <v>1</v>
      </c>
      <c r="G29" s="359">
        <f>Dren_Quantificacao!E13</f>
        <v>1</v>
      </c>
      <c r="H29" s="359">
        <f>Dren_Quantificacao!F13</f>
        <v>1</v>
      </c>
      <c r="I29" s="359">
        <f>Dren_Quantificacao!G13</f>
        <v>1</v>
      </c>
      <c r="J29" s="359">
        <f>Dren_Quantificacao!H13</f>
        <v>1</v>
      </c>
      <c r="K29" s="359">
        <f>Dren_Quantificacao!I13</f>
        <v>1</v>
      </c>
      <c r="L29" s="359">
        <f>Dren_Quantificacao!J13</f>
        <v>1</v>
      </c>
      <c r="M29" s="359">
        <f>Dren_Quantificacao!K13</f>
        <v>1</v>
      </c>
      <c r="N29" s="359">
        <f>Dren_Quantificacao!L13</f>
        <v>1</v>
      </c>
      <c r="O29" s="359">
        <f>Dren_Quantificacao!M13</f>
        <v>1</v>
      </c>
      <c r="P29" s="359">
        <f>Dren_Quantificacao!O13</f>
        <v>2</v>
      </c>
      <c r="Q29" s="359">
        <f>Dren_Quantificacao!P13</f>
        <v>1</v>
      </c>
      <c r="R29" s="359">
        <f>Dren_Quantificacao!Q13</f>
        <v>2</v>
      </c>
      <c r="S29" s="359">
        <f>Dren_Quantificacao!R13</f>
        <v>1</v>
      </c>
      <c r="T29" s="359">
        <f>Dren_Quantificacao!S13</f>
        <v>1</v>
      </c>
      <c r="U29" s="359">
        <f>Dren_Quantificacao!T13</f>
        <v>1</v>
      </c>
      <c r="V29" s="359">
        <f>Dren_Quantificacao!U13</f>
        <v>1</v>
      </c>
      <c r="W29" s="359">
        <f>Dren_Quantificacao!V13</f>
        <v>1</v>
      </c>
      <c r="X29" s="359">
        <f>Dren_Quantificacao!W13</f>
        <v>1</v>
      </c>
      <c r="Y29" s="359">
        <f>Dren_Quantificacao!X13</f>
        <v>1</v>
      </c>
      <c r="Z29" s="359">
        <f>Dren_Quantificacao!Y13</f>
        <v>1</v>
      </c>
      <c r="AA29" s="359">
        <f>Dren_Quantificacao!Z13</f>
        <v>1</v>
      </c>
      <c r="AB29" s="239"/>
      <c r="AC29" s="239"/>
      <c r="AD29" s="239"/>
      <c r="AE29" s="796"/>
      <c r="AF29" s="578">
        <f>SUM(F29:AE29)</f>
        <v>24</v>
      </c>
    </row>
    <row r="30" spans="1:44" s="14" customFormat="1" ht="21.95" customHeight="1" thickBot="1" x14ac:dyDescent="0.2">
      <c r="A30" s="2513"/>
      <c r="B30" s="2582" t="s">
        <v>42</v>
      </c>
      <c r="C30" s="2583"/>
      <c r="D30" s="1998"/>
      <c r="E30" s="563"/>
      <c r="F30" s="240" t="s">
        <v>73</v>
      </c>
      <c r="G30" s="240">
        <v>5</v>
      </c>
      <c r="H30" s="240">
        <v>5</v>
      </c>
      <c r="I30" s="240" t="s">
        <v>73</v>
      </c>
      <c r="J30" s="240" t="s">
        <v>73</v>
      </c>
      <c r="K30" s="240" t="s">
        <v>73</v>
      </c>
      <c r="L30" s="240">
        <v>5</v>
      </c>
      <c r="M30" s="240">
        <v>5</v>
      </c>
      <c r="N30" s="240">
        <v>5</v>
      </c>
      <c r="O30" s="240">
        <v>5</v>
      </c>
      <c r="P30" s="240">
        <v>5</v>
      </c>
      <c r="Q30" s="240">
        <v>5</v>
      </c>
      <c r="R30" s="240">
        <v>5</v>
      </c>
      <c r="S30" s="240">
        <v>5</v>
      </c>
      <c r="T30" s="240">
        <v>10</v>
      </c>
      <c r="U30" s="240">
        <v>10</v>
      </c>
      <c r="V30" s="240">
        <v>3</v>
      </c>
      <c r="W30" s="240">
        <v>3</v>
      </c>
      <c r="X30" s="240">
        <v>3</v>
      </c>
      <c r="Y30" s="240">
        <v>3</v>
      </c>
      <c r="Z30" s="240">
        <v>10</v>
      </c>
      <c r="AA30" s="240">
        <v>10</v>
      </c>
      <c r="AB30" s="240"/>
      <c r="AC30" s="240"/>
      <c r="AD30" s="240"/>
      <c r="AE30" s="796" t="e" cm="1">
        <f t="array" aca="1" ref="AE30" ca="1">+CONT.BALORES(F30:AA30)</f>
        <v>#NAME?</v>
      </c>
      <c r="AF30" s="578">
        <v>1</v>
      </c>
      <c r="AG30" s="1086"/>
      <c r="AH30" s="1087"/>
      <c r="AI30" s="1087"/>
      <c r="AJ30" s="1087"/>
      <c r="AK30" s="1087"/>
      <c r="AL30" s="1087"/>
      <c r="AM30" s="1087"/>
      <c r="AN30" s="1087"/>
      <c r="AO30" s="1087"/>
      <c r="AP30" s="1087"/>
      <c r="AQ30" s="1087"/>
      <c r="AR30" s="1087"/>
    </row>
    <row r="31" spans="1:44" s="68" customFormat="1" ht="21.95" hidden="1" customHeight="1" x14ac:dyDescent="0.15">
      <c r="A31" s="2513"/>
      <c r="B31" s="2612" t="s">
        <v>1096</v>
      </c>
      <c r="C31" s="948" t="s">
        <v>1094</v>
      </c>
      <c r="D31" s="1999"/>
      <c r="E31" s="925"/>
      <c r="F31" s="926">
        <f t="shared" ref="F31:G31" ca="1" si="91">IF(F11&lt;=4.5,+IF(OR(F5="P",F28="ROCHA"),0.4*2+F4*IF(F3=1,1,IF(F3=2,3,5)),(F4+F6)*IF(F3=1,2,IF(F3=2,3.5,5))),0)</f>
        <v>1.2</v>
      </c>
      <c r="G31" s="926">
        <f t="shared" ca="1" si="91"/>
        <v>1.2</v>
      </c>
      <c r="H31" s="926">
        <f t="shared" ref="H31:M31" ca="1" si="92">IF(H11&lt;=4.5,+IF(OR(H5="P",H28="ROCHA"),0.4*2+H4*IF(H3=1,1,IF(H3=2,3,5)),(H4+H6)*IF(H3=1,2,IF(H3=2,3.5,5))),0)</f>
        <v>1.2</v>
      </c>
      <c r="I31" s="926">
        <f t="shared" ca="1" si="92"/>
        <v>1.6</v>
      </c>
      <c r="J31" s="926">
        <f t="shared" ca="1" si="92"/>
        <v>1.6</v>
      </c>
      <c r="K31" s="926">
        <f t="shared" ca="1" si="92"/>
        <v>1.6</v>
      </c>
      <c r="L31" s="926">
        <f t="shared" si="92"/>
        <v>0</v>
      </c>
      <c r="M31" s="926">
        <f t="shared" si="92"/>
        <v>0</v>
      </c>
      <c r="N31" s="926">
        <f t="shared" ref="N31:O31" si="93">IF(N11&lt;=4.5,+IF(OR(N5="P",N28="ROCHA"),0.4*2+N4*IF(N3=1,1,IF(N3=2,3,5)),(N4+N6)*IF(N3=1,2,IF(N3=2,3.5,5))),0)</f>
        <v>0</v>
      </c>
      <c r="O31" s="926">
        <f t="shared" si="93"/>
        <v>0</v>
      </c>
      <c r="P31" s="926">
        <f t="shared" ref="P31" si="94">IF(P11&lt;=4.5,+IF(OR(P5="P",P28="ROCHA"),0.4*2+P4*IF(P3=1,1,IF(P3=2,3,5)),(P4+P6)*IF(P3=1,2,IF(P3=2,3.5,5))),0)</f>
        <v>0.8</v>
      </c>
      <c r="Q31" s="926">
        <f t="shared" ref="Q31:AA31" si="95">IF(Q11&lt;=4.5,+IF(OR(Q5="P",Q28="ROCHA"),0.4*2+Q4*IF(Q3=1,1,IF(Q3=2,3,5)),(Q4+Q6)*IF(Q3=1,2,IF(Q3=2,3.5,5))),0)</f>
        <v>0.8</v>
      </c>
      <c r="R31" s="926">
        <f t="shared" ref="R31" si="96">IF(R11&lt;=4.5,+IF(OR(R5="P",R28="ROCHA"),0.4*2+R4*IF(R3=1,1,IF(R3=2,3,5)),(R4+R6)*IF(R3=1,2,IF(R3=2,3.5,5))),0)</f>
        <v>1.2</v>
      </c>
      <c r="S31" s="926">
        <f t="shared" si="95"/>
        <v>1.2</v>
      </c>
      <c r="T31" s="926">
        <f t="shared" si="95"/>
        <v>1.2000000000000002</v>
      </c>
      <c r="U31" s="926">
        <f t="shared" si="95"/>
        <v>1.4</v>
      </c>
      <c r="V31" s="926">
        <f t="shared" si="95"/>
        <v>0.8</v>
      </c>
      <c r="W31" s="926">
        <f t="shared" si="95"/>
        <v>0.8</v>
      </c>
      <c r="X31" s="926">
        <f t="shared" si="95"/>
        <v>1</v>
      </c>
      <c r="Y31" s="926">
        <f t="shared" si="95"/>
        <v>1</v>
      </c>
      <c r="Z31" s="926">
        <f t="shared" si="95"/>
        <v>1.2000000000000002</v>
      </c>
      <c r="AA31" s="926">
        <f t="shared" si="95"/>
        <v>1.3</v>
      </c>
      <c r="AE31" s="2255"/>
      <c r="AF31" s="956"/>
      <c r="AG31" s="1086"/>
      <c r="AH31" s="1089"/>
      <c r="AI31" s="1089"/>
      <c r="AJ31" s="1089"/>
      <c r="AK31" s="1089"/>
      <c r="AL31" s="1089"/>
      <c r="AM31" s="1089"/>
      <c r="AN31" s="1089"/>
      <c r="AO31" s="1089"/>
      <c r="AP31" s="1089"/>
      <c r="AQ31" s="1089"/>
      <c r="AR31" s="1089"/>
    </row>
    <row r="32" spans="1:44" s="68" customFormat="1" ht="21.95" hidden="1" customHeight="1" thickBot="1" x14ac:dyDescent="0.2">
      <c r="A32" s="2513"/>
      <c r="B32" s="2613"/>
      <c r="C32" s="949" t="s">
        <v>1095</v>
      </c>
      <c r="D32" s="2000"/>
      <c r="E32" s="925"/>
      <c r="F32" s="927">
        <f t="shared" ref="F32:G32" ca="1" si="97">IF(F31=0,+IF(F5="P",0.8*2+F4*IF(F3=1,1,IF(F3=2,3,5)),(F4+F6)*IF(F3=1,3,IF(F3=2,4.5,6))),0)</f>
        <v>0</v>
      </c>
      <c r="G32" s="927">
        <f t="shared" ca="1" si="97"/>
        <v>0</v>
      </c>
      <c r="H32" s="927">
        <f t="shared" ref="H32:M32" ca="1" si="98">IF(H31=0,+IF(H5="P",0.8*2+H4*IF(H3=1,1,IF(H3=2,3,5)),(H4+H6)*IF(H3=1,3,IF(H3=2,4.5,6))),0)</f>
        <v>0</v>
      </c>
      <c r="I32" s="927">
        <f t="shared" ca="1" si="98"/>
        <v>0</v>
      </c>
      <c r="J32" s="927">
        <f t="shared" ca="1" si="98"/>
        <v>0</v>
      </c>
      <c r="K32" s="927">
        <f t="shared" ca="1" si="98"/>
        <v>0</v>
      </c>
      <c r="L32" s="927">
        <f t="shared" si="98"/>
        <v>0</v>
      </c>
      <c r="M32" s="927">
        <f t="shared" si="98"/>
        <v>0</v>
      </c>
      <c r="N32" s="927">
        <f t="shared" ref="N32:O32" si="99">IF(N31=0,+IF(N5="P",0.8*2+N4*IF(N3=1,1,IF(N3=2,3,5)),(N4+N6)*IF(N3=1,3,IF(N3=2,4.5,6))),0)</f>
        <v>0</v>
      </c>
      <c r="O32" s="927">
        <f t="shared" si="99"/>
        <v>0</v>
      </c>
      <c r="P32" s="927">
        <f t="shared" ref="P32" si="100">IF(P31=0,+IF(P5="P",0.8*2+P4*IF(P3=1,1,IF(P3=2,3,5)),(P4+P6)*IF(P3=1,3,IF(P3=2,4.5,6))),0)</f>
        <v>0</v>
      </c>
      <c r="Q32" s="927">
        <f t="shared" ref="Q32:AA32" si="101">IF(Q31=0,+IF(Q5="P",0.8*2+Q4*IF(Q3=1,1,IF(Q3=2,3,5)),(Q4+Q6)*IF(Q3=1,3,IF(Q3=2,4.5,6))),0)</f>
        <v>0</v>
      </c>
      <c r="R32" s="927">
        <f t="shared" ref="R32" si="102">IF(R31=0,+IF(R5="P",0.8*2+R4*IF(R3=1,1,IF(R3=2,3,5)),(R4+R6)*IF(R3=1,3,IF(R3=2,4.5,6))),0)</f>
        <v>0</v>
      </c>
      <c r="S32" s="927">
        <f t="shared" si="101"/>
        <v>0</v>
      </c>
      <c r="T32" s="927">
        <f t="shared" si="101"/>
        <v>0</v>
      </c>
      <c r="U32" s="927">
        <f t="shared" si="101"/>
        <v>0</v>
      </c>
      <c r="V32" s="927">
        <f t="shared" si="101"/>
        <v>0</v>
      </c>
      <c r="W32" s="927">
        <f t="shared" si="101"/>
        <v>0</v>
      </c>
      <c r="X32" s="927">
        <f t="shared" si="101"/>
        <v>0</v>
      </c>
      <c r="Y32" s="927">
        <f t="shared" si="101"/>
        <v>0</v>
      </c>
      <c r="Z32" s="927">
        <f t="shared" si="101"/>
        <v>0</v>
      </c>
      <c r="AA32" s="927">
        <f t="shared" si="101"/>
        <v>0</v>
      </c>
      <c r="AE32" s="2256"/>
      <c r="AF32" s="956"/>
      <c r="AG32" s="1086"/>
      <c r="AH32" s="1089"/>
      <c r="AI32" s="1089"/>
      <c r="AJ32" s="1089"/>
      <c r="AK32" s="1089"/>
      <c r="AL32" s="1089"/>
      <c r="AM32" s="1089"/>
      <c r="AN32" s="1089"/>
      <c r="AO32" s="1089"/>
      <c r="AP32" s="1089"/>
      <c r="AQ32" s="1089"/>
      <c r="AR32" s="1089"/>
    </row>
    <row r="33" spans="1:45" s="589" customFormat="1" ht="21.95" customHeight="1" thickBot="1" x14ac:dyDescent="0.2">
      <c r="A33" s="2513"/>
      <c r="B33" s="2584" t="s">
        <v>5</v>
      </c>
      <c r="C33" s="929" t="s">
        <v>362</v>
      </c>
      <c r="D33" s="1994"/>
      <c r="E33" s="1516"/>
      <c r="F33" s="238">
        <f t="shared" ref="F33:G33" ca="1" si="103">IF(F31=0,0,IF(AND(F30="B",F31&lt;1.499),1.5,F31))</f>
        <v>1.5</v>
      </c>
      <c r="G33" s="238">
        <f t="shared" ca="1" si="103"/>
        <v>1.2</v>
      </c>
      <c r="H33" s="238">
        <f t="shared" ref="H33:M33" ca="1" si="104">IF(H31=0,0,IF(AND(H30="B",H31&lt;1.499),1.5,H31))</f>
        <v>1.2</v>
      </c>
      <c r="I33" s="238">
        <f t="shared" ca="1" si="104"/>
        <v>1.6</v>
      </c>
      <c r="J33" s="238">
        <f t="shared" ca="1" si="104"/>
        <v>1.6</v>
      </c>
      <c r="K33" s="238">
        <f t="shared" ca="1" si="104"/>
        <v>1.6</v>
      </c>
      <c r="L33" s="238">
        <f t="shared" si="104"/>
        <v>0</v>
      </c>
      <c r="M33" s="238">
        <f t="shared" si="104"/>
        <v>0</v>
      </c>
      <c r="N33" s="238">
        <f t="shared" ref="N33:O33" si="105">IF(N31=0,0,IF(AND(N30="B",N31&lt;1.499),1.5,N31))</f>
        <v>0</v>
      </c>
      <c r="O33" s="238">
        <f t="shared" si="105"/>
        <v>0</v>
      </c>
      <c r="P33" s="238">
        <f t="shared" ref="P33" si="106">IF(P31=0,0,IF(AND(P30="B",P31&lt;1.499),1.5,P31))</f>
        <v>0.8</v>
      </c>
      <c r="Q33" s="238">
        <f t="shared" ref="Q33:AA33" si="107">IF(Q31=0,0,IF(AND(Q30="B",Q31&lt;1.499),1.5,Q31))</f>
        <v>0.8</v>
      </c>
      <c r="R33" s="238">
        <f t="shared" ref="R33" si="108">IF(R31=0,0,IF(AND(R30="B",R31&lt;1.499),1.5,R31))</f>
        <v>1.2</v>
      </c>
      <c r="S33" s="238">
        <f t="shared" si="107"/>
        <v>1.2</v>
      </c>
      <c r="T33" s="238">
        <f t="shared" si="107"/>
        <v>1.2000000000000002</v>
      </c>
      <c r="U33" s="238">
        <f t="shared" si="107"/>
        <v>1.4</v>
      </c>
      <c r="V33" s="238">
        <f t="shared" si="107"/>
        <v>0.8</v>
      </c>
      <c r="W33" s="238">
        <f t="shared" si="107"/>
        <v>0.8</v>
      </c>
      <c r="X33" s="238">
        <f t="shared" si="107"/>
        <v>1</v>
      </c>
      <c r="Y33" s="238">
        <f t="shared" si="107"/>
        <v>1</v>
      </c>
      <c r="Z33" s="238">
        <f t="shared" si="107"/>
        <v>1.2000000000000002</v>
      </c>
      <c r="AA33" s="238">
        <f t="shared" si="107"/>
        <v>1.3</v>
      </c>
      <c r="AB33" s="238"/>
      <c r="AC33" s="238"/>
      <c r="AD33" s="238"/>
      <c r="AE33" s="363"/>
      <c r="AF33" s="578">
        <f t="shared" ref="AF33:AF39" ca="1" si="109">SUM(F33:AE33)</f>
        <v>21.4</v>
      </c>
      <c r="AG33" s="1086"/>
      <c r="AH33" s="1088"/>
      <c r="AI33" s="1088"/>
      <c r="AJ33" s="1088"/>
      <c r="AK33" s="1088"/>
      <c r="AL33" s="1088"/>
      <c r="AM33" s="1088"/>
      <c r="AN33" s="1088"/>
      <c r="AO33" s="1088"/>
      <c r="AP33" s="1088"/>
      <c r="AQ33" s="1088"/>
      <c r="AR33" s="1088"/>
    </row>
    <row r="34" spans="1:45" s="589" customFormat="1" ht="21.95" hidden="1" customHeight="1" x14ac:dyDescent="0.15">
      <c r="A34" s="2513"/>
      <c r="B34" s="2585"/>
      <c r="C34" s="590" t="s">
        <v>363</v>
      </c>
      <c r="D34" s="1995"/>
      <c r="E34" s="591"/>
      <c r="F34" s="158">
        <f t="shared" ref="F34:G34" ca="1" si="110">IF(F32=0,0,IF(AND(F30="B",F32&lt;1.499),1.5,F32))</f>
        <v>0</v>
      </c>
      <c r="G34" s="158">
        <f t="shared" ca="1" si="110"/>
        <v>0</v>
      </c>
      <c r="H34" s="158">
        <f t="shared" ref="H34:M34" ca="1" si="111">IF(H32=0,0,IF(AND(H30="B",H32&lt;1.499),1.5,H32))</f>
        <v>0</v>
      </c>
      <c r="I34" s="158">
        <f t="shared" ca="1" si="111"/>
        <v>0</v>
      </c>
      <c r="J34" s="158">
        <f t="shared" ca="1" si="111"/>
        <v>0</v>
      </c>
      <c r="K34" s="158">
        <f t="shared" ca="1" si="111"/>
        <v>0</v>
      </c>
      <c r="L34" s="158">
        <f t="shared" si="111"/>
        <v>0</v>
      </c>
      <c r="M34" s="158">
        <f t="shared" si="111"/>
        <v>0</v>
      </c>
      <c r="N34" s="158">
        <f t="shared" ref="N34:O34" si="112">IF(N32=0,0,IF(AND(N30="B",N32&lt;1.499),1.5,N32))</f>
        <v>0</v>
      </c>
      <c r="O34" s="158">
        <f t="shared" si="112"/>
        <v>0</v>
      </c>
      <c r="P34" s="158">
        <f t="shared" ref="P34" si="113">IF(P32=0,0,IF(AND(P30="B",P32&lt;1.499),1.5,P32))</f>
        <v>0</v>
      </c>
      <c r="Q34" s="158">
        <f t="shared" ref="Q34:AA34" si="114">IF(Q32=0,0,IF(AND(Q30="B",Q32&lt;1.499),1.5,Q32))</f>
        <v>0</v>
      </c>
      <c r="R34" s="158">
        <f t="shared" ref="R34" si="115">IF(R32=0,0,IF(AND(R30="B",R32&lt;1.499),1.5,R32))</f>
        <v>0</v>
      </c>
      <c r="S34" s="158">
        <f t="shared" si="114"/>
        <v>0</v>
      </c>
      <c r="T34" s="158">
        <f t="shared" si="114"/>
        <v>0</v>
      </c>
      <c r="U34" s="158">
        <f t="shared" si="114"/>
        <v>0</v>
      </c>
      <c r="V34" s="158">
        <f t="shared" si="114"/>
        <v>0</v>
      </c>
      <c r="W34" s="158">
        <f t="shared" si="114"/>
        <v>0</v>
      </c>
      <c r="X34" s="158">
        <f t="shared" si="114"/>
        <v>0</v>
      </c>
      <c r="Y34" s="158">
        <f t="shared" si="114"/>
        <v>0</v>
      </c>
      <c r="Z34" s="158">
        <f t="shared" si="114"/>
        <v>0</v>
      </c>
      <c r="AA34" s="158">
        <f t="shared" si="114"/>
        <v>0</v>
      </c>
      <c r="AB34" s="159"/>
      <c r="AC34" s="159"/>
      <c r="AD34" s="159"/>
      <c r="AE34" s="351"/>
      <c r="AF34" s="578">
        <f t="shared" ca="1" si="109"/>
        <v>0</v>
      </c>
      <c r="AG34" s="1086"/>
      <c r="AH34" s="1088"/>
      <c r="AI34" s="1088"/>
      <c r="AJ34" s="1088"/>
      <c r="AK34" s="1088"/>
      <c r="AL34" s="1088"/>
      <c r="AM34" s="1088"/>
      <c r="AN34" s="1088"/>
      <c r="AO34" s="1088"/>
      <c r="AP34" s="1088"/>
      <c r="AQ34" s="1088"/>
      <c r="AR34" s="1088"/>
    </row>
    <row r="35" spans="1:45" s="589" customFormat="1" ht="21.95" customHeight="1" x14ac:dyDescent="0.15">
      <c r="A35" s="2513"/>
      <c r="B35" s="2586"/>
      <c r="C35" s="590" t="s">
        <v>609</v>
      </c>
      <c r="D35" s="1995"/>
      <c r="E35" s="591"/>
      <c r="F35" s="158">
        <f t="shared" ref="F35:G35" ca="1" si="116">IF(OR(F30="V",F30="B"),F33+F34,F33+F34+F17/F30*2)</f>
        <v>1.5</v>
      </c>
      <c r="G35" s="158">
        <f t="shared" ca="1" si="116"/>
        <v>1.6608000000000001</v>
      </c>
      <c r="H35" s="158">
        <f t="shared" ref="H35:M35" ca="1" si="117">IF(OR(H30="V",H30="B"),H33+H34,H33+H34+H17/H30*2)</f>
        <v>1.6608000000000001</v>
      </c>
      <c r="I35" s="158">
        <f t="shared" ca="1" si="117"/>
        <v>1.6</v>
      </c>
      <c r="J35" s="158">
        <f t="shared" ca="1" si="117"/>
        <v>1.6</v>
      </c>
      <c r="K35" s="158">
        <f t="shared" ca="1" si="117"/>
        <v>1.6</v>
      </c>
      <c r="L35" s="158">
        <f t="shared" si="117"/>
        <v>0</v>
      </c>
      <c r="M35" s="158">
        <f t="shared" si="117"/>
        <v>0</v>
      </c>
      <c r="N35" s="158">
        <f t="shared" ref="N35:O35" si="118">IF(OR(N30="V",N30="B"),N33+N34,N33+N34+N17/N30*2)</f>
        <v>0</v>
      </c>
      <c r="O35" s="158">
        <f t="shared" si="118"/>
        <v>0</v>
      </c>
      <c r="P35" s="158">
        <f t="shared" ref="P35" si="119">IF(OR(P30="V",P30="B"),P33+P34,P33+P34+P17/P30*2)</f>
        <v>0.83360000000000001</v>
      </c>
      <c r="Q35" s="158">
        <f t="shared" ref="Q35:AA35" si="120">IF(OR(Q30="V",Q30="B"),Q33+Q34,Q33+Q34+Q17/Q30*2)</f>
        <v>1.1472</v>
      </c>
      <c r="R35" s="158">
        <f t="shared" ref="R35" si="121">IF(OR(R30="V",R30="B"),R33+R34,R33+R34+R17/R30*2)</f>
        <v>1.2504</v>
      </c>
      <c r="S35" s="158">
        <f t="shared" si="120"/>
        <v>1.6608000000000001</v>
      </c>
      <c r="T35" s="158">
        <f t="shared" si="120"/>
        <v>1.2168000000000001</v>
      </c>
      <c r="U35" s="158">
        <f t="shared" si="120"/>
        <v>1.4251999999999998</v>
      </c>
      <c r="V35" s="158">
        <f t="shared" si="120"/>
        <v>0.85600000000000009</v>
      </c>
      <c r="W35" s="158">
        <f t="shared" si="120"/>
        <v>0.85600000000000009</v>
      </c>
      <c r="X35" s="158">
        <f t="shared" si="120"/>
        <v>1.07</v>
      </c>
      <c r="Y35" s="158">
        <f t="shared" si="120"/>
        <v>1.07</v>
      </c>
      <c r="Z35" s="158">
        <f t="shared" si="120"/>
        <v>1.2168000000000001</v>
      </c>
      <c r="AA35" s="158">
        <f t="shared" si="120"/>
        <v>1.321</v>
      </c>
      <c r="AB35" s="159"/>
      <c r="AC35" s="159"/>
      <c r="AD35" s="159"/>
      <c r="AE35" s="351"/>
      <c r="AF35" s="578">
        <f t="shared" ca="1" si="109"/>
        <v>23.545400000000004</v>
      </c>
      <c r="AG35" s="1086"/>
      <c r="AH35" s="1088"/>
      <c r="AI35" s="1088"/>
      <c r="AJ35" s="1088"/>
      <c r="AK35" s="1088"/>
      <c r="AL35" s="1088"/>
      <c r="AM35" s="1088"/>
      <c r="AN35" s="1088"/>
      <c r="AO35" s="1088"/>
      <c r="AP35" s="1088"/>
      <c r="AQ35" s="1088"/>
      <c r="AR35" s="1088"/>
    </row>
    <row r="36" spans="1:45" s="589" customFormat="1" ht="21.95" customHeight="1" thickBot="1" x14ac:dyDescent="0.2">
      <c r="A36" s="2513"/>
      <c r="B36" s="2587"/>
      <c r="C36" s="590" t="s">
        <v>1097</v>
      </c>
      <c r="D36" s="1995"/>
      <c r="E36" s="591"/>
      <c r="F36" s="158">
        <f t="shared" ref="F36:G36" ca="1" si="122">IF(F30="B",F33+F34,0)</f>
        <v>1.5</v>
      </c>
      <c r="G36" s="158">
        <f t="shared" si="122"/>
        <v>0</v>
      </c>
      <c r="H36" s="158">
        <f t="shared" ref="H36:M36" si="123">IF(H30="B",H33+H34,0)</f>
        <v>0</v>
      </c>
      <c r="I36" s="158">
        <f t="shared" ca="1" si="123"/>
        <v>1.6</v>
      </c>
      <c r="J36" s="158">
        <f t="shared" ca="1" si="123"/>
        <v>1.6</v>
      </c>
      <c r="K36" s="158">
        <f t="shared" ca="1" si="123"/>
        <v>1.6</v>
      </c>
      <c r="L36" s="158">
        <f t="shared" si="123"/>
        <v>0</v>
      </c>
      <c r="M36" s="158">
        <f t="shared" si="123"/>
        <v>0</v>
      </c>
      <c r="N36" s="158">
        <f t="shared" ref="N36:O36" si="124">IF(N30="B",N33+N34,0)</f>
        <v>0</v>
      </c>
      <c r="O36" s="158">
        <f t="shared" si="124"/>
        <v>0</v>
      </c>
      <c r="P36" s="158">
        <f t="shared" ref="P36" si="125">IF(P30="B",P33+P34,0)</f>
        <v>0</v>
      </c>
      <c r="Q36" s="158">
        <f t="shared" ref="Q36:AA36" si="126">IF(Q30="B",Q33+Q34,0)</f>
        <v>0</v>
      </c>
      <c r="R36" s="158">
        <f t="shared" ref="R36" si="127">IF(R30="B",R33+R34,0)</f>
        <v>0</v>
      </c>
      <c r="S36" s="158">
        <f t="shared" si="126"/>
        <v>0</v>
      </c>
      <c r="T36" s="158">
        <f t="shared" si="126"/>
        <v>0</v>
      </c>
      <c r="U36" s="158">
        <f t="shared" si="126"/>
        <v>0</v>
      </c>
      <c r="V36" s="158">
        <f t="shared" si="126"/>
        <v>0</v>
      </c>
      <c r="W36" s="158">
        <f t="shared" si="126"/>
        <v>0</v>
      </c>
      <c r="X36" s="158">
        <f t="shared" si="126"/>
        <v>0</v>
      </c>
      <c r="Y36" s="158">
        <f t="shared" si="126"/>
        <v>0</v>
      </c>
      <c r="Z36" s="158">
        <f t="shared" si="126"/>
        <v>0</v>
      </c>
      <c r="AA36" s="158">
        <f t="shared" si="126"/>
        <v>0</v>
      </c>
      <c r="AB36" s="159"/>
      <c r="AC36" s="159"/>
      <c r="AD36" s="159"/>
      <c r="AE36" s="351"/>
      <c r="AF36" s="578">
        <f t="shared" ca="1" si="109"/>
        <v>6.3000000000000007</v>
      </c>
      <c r="AG36" s="1086"/>
      <c r="AH36" s="1088"/>
      <c r="AI36" s="1088"/>
      <c r="AJ36" s="1088"/>
      <c r="AK36" s="1088"/>
      <c r="AL36" s="1088"/>
      <c r="AM36" s="1088"/>
      <c r="AN36" s="1088"/>
      <c r="AO36" s="1088"/>
      <c r="AP36" s="1088"/>
      <c r="AQ36" s="1088"/>
      <c r="AR36" s="1088"/>
    </row>
    <row r="37" spans="1:45" s="589" customFormat="1" ht="21.95" hidden="1" customHeight="1" x14ac:dyDescent="0.15">
      <c r="A37" s="2513"/>
      <c r="B37" s="2585"/>
      <c r="C37" s="590" t="s">
        <v>735</v>
      </c>
      <c r="D37" s="1995"/>
      <c r="E37" s="591"/>
      <c r="F37" s="158">
        <f t="shared" ref="F37:G37" si="128">IF(F16=0,0,IF(F30="V",F39,-F16/F30*2+F39))</f>
        <v>0</v>
      </c>
      <c r="G37" s="158">
        <f t="shared" si="128"/>
        <v>0</v>
      </c>
      <c r="H37" s="158">
        <f t="shared" ref="H37:M37" si="129">IF(H16=0,0,IF(H30="V",H39,-H16/H30*2+H39))</f>
        <v>0</v>
      </c>
      <c r="I37" s="158">
        <f t="shared" si="129"/>
        <v>0</v>
      </c>
      <c r="J37" s="158">
        <f t="shared" si="129"/>
        <v>0</v>
      </c>
      <c r="K37" s="158">
        <f t="shared" si="129"/>
        <v>0</v>
      </c>
      <c r="L37" s="158">
        <f t="shared" si="129"/>
        <v>0</v>
      </c>
      <c r="M37" s="158">
        <f t="shared" si="129"/>
        <v>0</v>
      </c>
      <c r="N37" s="158">
        <f t="shared" ref="N37:O37" si="130">IF(N16=0,0,IF(N30="V",N39,-N16/N30*2+N39))</f>
        <v>0</v>
      </c>
      <c r="O37" s="158">
        <f t="shared" si="130"/>
        <v>0</v>
      </c>
      <c r="P37" s="158">
        <f t="shared" ref="P37" si="131">IF(P16=0,0,IF(P30="V",P39,-P16/P30*2+P39))</f>
        <v>0</v>
      </c>
      <c r="Q37" s="158">
        <f t="shared" ref="Q37:AA37" si="132">IF(Q16=0,0,IF(Q30="V",Q39,-Q16/Q30*2+Q39))</f>
        <v>0</v>
      </c>
      <c r="R37" s="158">
        <f t="shared" ref="R37" si="133">IF(R16=0,0,IF(R30="V",R39,-R16/R30*2+R39))</f>
        <v>0</v>
      </c>
      <c r="S37" s="158">
        <f t="shared" si="132"/>
        <v>0</v>
      </c>
      <c r="T37" s="158">
        <f t="shared" si="132"/>
        <v>0</v>
      </c>
      <c r="U37" s="158">
        <f t="shared" si="132"/>
        <v>0</v>
      </c>
      <c r="V37" s="158">
        <f t="shared" si="132"/>
        <v>0</v>
      </c>
      <c r="W37" s="158">
        <f t="shared" si="132"/>
        <v>0</v>
      </c>
      <c r="X37" s="158">
        <f t="shared" si="132"/>
        <v>0</v>
      </c>
      <c r="Y37" s="158">
        <f t="shared" si="132"/>
        <v>0</v>
      </c>
      <c r="Z37" s="158">
        <f t="shared" si="132"/>
        <v>0</v>
      </c>
      <c r="AA37" s="158">
        <f t="shared" si="132"/>
        <v>0</v>
      </c>
      <c r="AB37" s="159"/>
      <c r="AC37" s="159"/>
      <c r="AD37" s="159"/>
      <c r="AE37" s="351"/>
      <c r="AF37" s="578">
        <f t="shared" si="109"/>
        <v>0</v>
      </c>
      <c r="AG37" s="1086"/>
      <c r="AH37" s="1088"/>
      <c r="AI37" s="1088"/>
      <c r="AJ37" s="1088"/>
      <c r="AK37" s="1088"/>
      <c r="AL37" s="1088"/>
      <c r="AM37" s="1088"/>
      <c r="AN37" s="1088"/>
      <c r="AO37" s="1088"/>
      <c r="AP37" s="1088"/>
      <c r="AQ37" s="1088"/>
      <c r="AR37" s="1088"/>
    </row>
    <row r="38" spans="1:45" s="589" customFormat="1" ht="21.95" hidden="1" customHeight="1" x14ac:dyDescent="0.15">
      <c r="A38" s="2513"/>
      <c r="B38" s="2585"/>
      <c r="C38" s="590" t="s">
        <v>689</v>
      </c>
      <c r="D38" s="1995"/>
      <c r="E38" s="591"/>
      <c r="F38" s="158">
        <f t="shared" ref="F38:G38" si="134">IF(F14=0,0,IF(OR(F30="V",F30="B"),F33+F34,F14/F30*2+F33+F34))</f>
        <v>0</v>
      </c>
      <c r="G38" s="158">
        <f t="shared" si="134"/>
        <v>0</v>
      </c>
      <c r="H38" s="158">
        <f t="shared" ref="H38:M38" si="135">IF(H14=0,0,IF(OR(H30="V",H30="B"),H33+H34,H14/H30*2+H33+H34))</f>
        <v>0</v>
      </c>
      <c r="I38" s="158">
        <f t="shared" si="135"/>
        <v>0</v>
      </c>
      <c r="J38" s="158">
        <f t="shared" si="135"/>
        <v>0</v>
      </c>
      <c r="K38" s="158">
        <f t="shared" si="135"/>
        <v>0</v>
      </c>
      <c r="L38" s="158">
        <f t="shared" si="135"/>
        <v>0</v>
      </c>
      <c r="M38" s="158">
        <f t="shared" si="135"/>
        <v>0</v>
      </c>
      <c r="N38" s="158">
        <f t="shared" ref="N38:O38" si="136">IF(N14=0,0,IF(OR(N30="V",N30="B"),N33+N34,N14/N30*2+N33+N34))</f>
        <v>0</v>
      </c>
      <c r="O38" s="158">
        <f t="shared" si="136"/>
        <v>0</v>
      </c>
      <c r="P38" s="158">
        <f t="shared" ref="P38" si="137">IF(P14=0,0,IF(OR(P30="V",P30="B"),P33+P34,P14/P30*2+P33+P34))</f>
        <v>0</v>
      </c>
      <c r="Q38" s="158">
        <f t="shared" ref="Q38:AA38" si="138">IF(Q14=0,0,IF(OR(Q30="V",Q30="B"),Q33+Q34,Q14/Q30*2+Q33+Q34))</f>
        <v>0</v>
      </c>
      <c r="R38" s="158">
        <f t="shared" ref="R38" si="139">IF(R14=0,0,IF(OR(R30="V",R30="B"),R33+R34,R14/R30*2+R33+R34))</f>
        <v>0</v>
      </c>
      <c r="S38" s="158">
        <f t="shared" si="138"/>
        <v>0</v>
      </c>
      <c r="T38" s="158">
        <f t="shared" si="138"/>
        <v>0</v>
      </c>
      <c r="U38" s="158">
        <f t="shared" si="138"/>
        <v>0</v>
      </c>
      <c r="V38" s="158">
        <f t="shared" si="138"/>
        <v>0</v>
      </c>
      <c r="W38" s="158">
        <f t="shared" si="138"/>
        <v>0</v>
      </c>
      <c r="X38" s="158">
        <f t="shared" si="138"/>
        <v>0</v>
      </c>
      <c r="Y38" s="158">
        <f t="shared" si="138"/>
        <v>0</v>
      </c>
      <c r="Z38" s="158">
        <f t="shared" si="138"/>
        <v>0</v>
      </c>
      <c r="AA38" s="158">
        <f t="shared" si="138"/>
        <v>0</v>
      </c>
      <c r="AB38" s="159"/>
      <c r="AC38" s="159"/>
      <c r="AD38" s="159"/>
      <c r="AE38" s="351"/>
      <c r="AF38" s="578">
        <f t="shared" si="109"/>
        <v>0</v>
      </c>
      <c r="AG38" s="1086"/>
      <c r="AH38" s="1088"/>
      <c r="AI38" s="1088"/>
      <c r="AJ38" s="1088"/>
      <c r="AK38" s="1088"/>
      <c r="AL38" s="1088"/>
      <c r="AM38" s="1088"/>
      <c r="AN38" s="1088"/>
      <c r="AO38" s="1088"/>
      <c r="AP38" s="1088"/>
      <c r="AQ38" s="1088"/>
      <c r="AR38" s="1088"/>
    </row>
    <row r="39" spans="1:45" s="589" customFormat="1" ht="21.95" customHeight="1" thickBot="1" x14ac:dyDescent="0.2">
      <c r="A39" s="2513"/>
      <c r="B39" s="2587"/>
      <c r="C39" s="597" t="s">
        <v>364</v>
      </c>
      <c r="D39" s="2253"/>
      <c r="E39" s="591"/>
      <c r="F39" s="158">
        <f ca="1">MAX(F36,IF(F30="V",F33+F34,IF(F30="B",(F11-F15)/3*2+F33+F34,F11/F30*2+F33+F34)))</f>
        <v>1.5</v>
      </c>
      <c r="G39" s="158">
        <f t="shared" ref="G39" ca="1" si="140">MAX(G36,IF(G30="V",G33+G34,IF(G30="B",(G11-G15)/3*2+G33+G34,G11/G30*2+G33+G34)))</f>
        <v>1.9373280000000115</v>
      </c>
      <c r="H39" s="158">
        <f t="shared" ref="H39:M39" ca="1" si="141">MAX(H36,IF(H30="V",H33+H34,IF(H30="B",(H11-H15)/3*2+H33+H34,H11/H30*2+H33+H34)))</f>
        <v>1.9898580000000585</v>
      </c>
      <c r="I39" s="158">
        <f t="shared" ca="1" si="141"/>
        <v>2.1346233333333995</v>
      </c>
      <c r="J39" s="158">
        <f t="shared" ca="1" si="141"/>
        <v>2.5694833333333573</v>
      </c>
      <c r="K39" s="158">
        <f t="shared" ca="1" si="141"/>
        <v>2.4786866666666998</v>
      </c>
      <c r="L39" s="158">
        <f t="shared" si="141"/>
        <v>0</v>
      </c>
      <c r="M39" s="158">
        <f t="shared" si="141"/>
        <v>0</v>
      </c>
      <c r="N39" s="158">
        <f t="shared" ref="N39:O39" si="142">MAX(N36,IF(N30="V",N33+N34,IF(N30="B",(N11-N15)/3*2+N33+N34,N11/N30*2+N33+N34)))</f>
        <v>0</v>
      </c>
      <c r="O39" s="158">
        <f t="shared" si="142"/>
        <v>0</v>
      </c>
      <c r="P39" s="158">
        <f t="shared" ref="P39:AA39" si="143">MAX(P36,IF(P30="V",P33+P34,IF(P30="B",(P11-P15)/3*2+P33+P34,P11/P30*2+P33+P34)))</f>
        <v>0.83360000000000001</v>
      </c>
      <c r="Q39" s="158">
        <f t="shared" si="143"/>
        <v>1.3336000000000001</v>
      </c>
      <c r="R39" s="158">
        <f t="shared" si="143"/>
        <v>1.2504</v>
      </c>
      <c r="S39" s="158">
        <f t="shared" si="143"/>
        <v>1.8104</v>
      </c>
      <c r="T39" s="158">
        <f t="shared" si="143"/>
        <v>1.2168000000000001</v>
      </c>
      <c r="U39" s="158">
        <f t="shared" si="143"/>
        <v>1.4251999999999998</v>
      </c>
      <c r="V39" s="158">
        <f t="shared" si="143"/>
        <v>0.85600000000000009</v>
      </c>
      <c r="W39" s="158">
        <f t="shared" si="143"/>
        <v>0.85600000000000009</v>
      </c>
      <c r="X39" s="158">
        <f t="shared" si="143"/>
        <v>1.07</v>
      </c>
      <c r="Y39" s="158">
        <f t="shared" si="143"/>
        <v>1.07</v>
      </c>
      <c r="Z39" s="158">
        <f t="shared" si="143"/>
        <v>1.2168000000000001</v>
      </c>
      <c r="AA39" s="158">
        <f t="shared" si="143"/>
        <v>1.321</v>
      </c>
      <c r="AB39" s="158"/>
      <c r="AC39" s="158"/>
      <c r="AD39" s="158"/>
      <c r="AE39" s="351"/>
      <c r="AF39" s="578">
        <f t="shared" ca="1" si="109"/>
        <v>26.869779333333533</v>
      </c>
      <c r="AG39" s="1086"/>
      <c r="AH39" s="1088"/>
      <c r="AI39" s="1088"/>
      <c r="AJ39" s="1088"/>
      <c r="AK39" s="1088"/>
      <c r="AL39" s="1088"/>
      <c r="AM39" s="1088"/>
      <c r="AN39" s="1088"/>
      <c r="AO39" s="1088"/>
      <c r="AP39" s="1088"/>
      <c r="AQ39" s="1088"/>
      <c r="AR39" s="1088"/>
    </row>
    <row r="40" spans="1:45" s="589" customFormat="1" ht="32.1" hidden="1" customHeight="1" x14ac:dyDescent="0.15">
      <c r="A40" s="2513"/>
      <c r="B40" s="2596" t="s">
        <v>1101</v>
      </c>
      <c r="C40" s="939" t="s">
        <v>710</v>
      </c>
      <c r="D40" s="1994"/>
      <c r="E40" s="1516"/>
      <c r="F40" s="931">
        <f t="shared" ref="F40:G40" ca="1" si="144">SUM(F157:F158)+F163+SUM(F167:F168)+F179</f>
        <v>0</v>
      </c>
      <c r="G40" s="931">
        <f t="shared" ca="1" si="144"/>
        <v>0</v>
      </c>
      <c r="H40" s="931">
        <f t="shared" ref="H40:M40" ca="1" si="145">SUM(H157:H158)+H163+SUM(H167:H168)+H179</f>
        <v>0</v>
      </c>
      <c r="I40" s="931">
        <f t="shared" ca="1" si="145"/>
        <v>0</v>
      </c>
      <c r="J40" s="931">
        <f t="shared" ca="1" si="145"/>
        <v>0</v>
      </c>
      <c r="K40" s="931">
        <f t="shared" ca="1" si="145"/>
        <v>0</v>
      </c>
      <c r="L40" s="931">
        <f t="shared" si="145"/>
        <v>0</v>
      </c>
      <c r="M40" s="931">
        <f t="shared" si="145"/>
        <v>0</v>
      </c>
      <c r="N40" s="931">
        <f t="shared" ref="N40:O40" si="146">SUM(N157:N158)+N163+SUM(N167:N168)+N179</f>
        <v>0</v>
      </c>
      <c r="O40" s="931">
        <f t="shared" si="146"/>
        <v>0</v>
      </c>
      <c r="P40" s="931">
        <f t="shared" ref="P40" si="147">SUM(P157:P158)+P163+SUM(P167:P168)+P179</f>
        <v>0</v>
      </c>
      <c r="Q40" s="931">
        <f t="shared" ref="Q40:AA40" si="148">SUM(Q157:Q158)+Q163+SUM(Q167:Q168)+Q179</f>
        <v>0</v>
      </c>
      <c r="R40" s="931">
        <f t="shared" ref="R40" si="149">SUM(R157:R158)+R163+SUM(R167:R168)+R179</f>
        <v>0</v>
      </c>
      <c r="S40" s="931">
        <f t="shared" si="148"/>
        <v>0</v>
      </c>
      <c r="T40" s="931">
        <f t="shared" si="148"/>
        <v>0</v>
      </c>
      <c r="U40" s="931">
        <f t="shared" si="148"/>
        <v>0</v>
      </c>
      <c r="V40" s="931">
        <f t="shared" si="148"/>
        <v>0</v>
      </c>
      <c r="W40" s="931">
        <f t="shared" si="148"/>
        <v>0</v>
      </c>
      <c r="X40" s="931">
        <f t="shared" si="148"/>
        <v>0</v>
      </c>
      <c r="Y40" s="931">
        <f t="shared" si="148"/>
        <v>0</v>
      </c>
      <c r="Z40" s="931">
        <f t="shared" si="148"/>
        <v>0</v>
      </c>
      <c r="AA40" s="931">
        <f t="shared" si="148"/>
        <v>0</v>
      </c>
      <c r="AB40" s="931"/>
      <c r="AC40" s="931"/>
      <c r="AD40" s="931"/>
      <c r="AE40" s="2254">
        <f t="shared" ref="AE40:AE46" ca="1" si="150">TRUNC(SUM(F40:AD40),2)</f>
        <v>0</v>
      </c>
      <c r="AF40" s="956"/>
      <c r="AG40" s="1086"/>
      <c r="AH40" s="1088"/>
      <c r="AI40" s="1088"/>
      <c r="AJ40" s="1088"/>
      <c r="AK40" s="1088"/>
      <c r="AL40" s="1088"/>
      <c r="AM40" s="1088"/>
      <c r="AN40" s="1088"/>
      <c r="AO40" s="1088"/>
      <c r="AP40" s="1088"/>
      <c r="AQ40" s="1088"/>
      <c r="AR40" s="1088"/>
    </row>
    <row r="41" spans="1:45" s="589" customFormat="1" ht="21.95" hidden="1" customHeight="1" x14ac:dyDescent="0.15">
      <c r="A41" s="2513"/>
      <c r="B41" s="2597"/>
      <c r="C41" s="946" t="s">
        <v>690</v>
      </c>
      <c r="D41" s="1995"/>
      <c r="E41" s="591"/>
      <c r="F41" s="932">
        <f t="shared" ref="F41:G41" si="151">IF(F38=0,0,(F38+F33+F34)/2*F14*F2)</f>
        <v>0</v>
      </c>
      <c r="G41" s="932">
        <f t="shared" si="151"/>
        <v>0</v>
      </c>
      <c r="H41" s="932">
        <f t="shared" ref="H41:M41" si="152">IF(H38=0,0,(H38+H33+H34)/2*H14*H2)</f>
        <v>0</v>
      </c>
      <c r="I41" s="932">
        <f t="shared" si="152"/>
        <v>0</v>
      </c>
      <c r="J41" s="932">
        <f t="shared" si="152"/>
        <v>0</v>
      </c>
      <c r="K41" s="932">
        <f t="shared" si="152"/>
        <v>0</v>
      </c>
      <c r="L41" s="932">
        <f t="shared" si="152"/>
        <v>0</v>
      </c>
      <c r="M41" s="932">
        <f t="shared" si="152"/>
        <v>0</v>
      </c>
      <c r="N41" s="932">
        <f t="shared" ref="N41:O41" si="153">IF(N38=0,0,(N38+N33+N34)/2*N14*N2)</f>
        <v>0</v>
      </c>
      <c r="O41" s="932">
        <f t="shared" si="153"/>
        <v>0</v>
      </c>
      <c r="P41" s="932">
        <f t="shared" ref="P41" si="154">IF(P38=0,0,(P38+P33+P34)/2*P14*P2)</f>
        <v>0</v>
      </c>
      <c r="Q41" s="932">
        <f t="shared" ref="Q41:AA41" si="155">IF(Q38=0,0,(Q38+Q33+Q34)/2*Q14*Q2)</f>
        <v>0</v>
      </c>
      <c r="R41" s="932">
        <f t="shared" ref="R41" si="156">IF(R38=0,0,(R38+R33+R34)/2*R14*R2)</f>
        <v>0</v>
      </c>
      <c r="S41" s="932">
        <f t="shared" si="155"/>
        <v>0</v>
      </c>
      <c r="T41" s="932">
        <f t="shared" si="155"/>
        <v>0</v>
      </c>
      <c r="U41" s="932">
        <f t="shared" si="155"/>
        <v>0</v>
      </c>
      <c r="V41" s="932">
        <f t="shared" si="155"/>
        <v>0</v>
      </c>
      <c r="W41" s="932">
        <f t="shared" si="155"/>
        <v>0</v>
      </c>
      <c r="X41" s="932">
        <f t="shared" si="155"/>
        <v>0</v>
      </c>
      <c r="Y41" s="932">
        <f t="shared" si="155"/>
        <v>0</v>
      </c>
      <c r="Z41" s="932">
        <f t="shared" si="155"/>
        <v>0</v>
      </c>
      <c r="AA41" s="932">
        <f t="shared" si="155"/>
        <v>0</v>
      </c>
      <c r="AB41" s="932"/>
      <c r="AC41" s="932"/>
      <c r="AD41" s="932"/>
      <c r="AE41" s="1257">
        <f t="shared" si="150"/>
        <v>0</v>
      </c>
      <c r="AF41" s="956"/>
      <c r="AG41" s="1086"/>
      <c r="AH41" s="1088"/>
      <c r="AI41" s="1088"/>
      <c r="AJ41" s="1088"/>
      <c r="AK41" s="1088"/>
      <c r="AL41" s="1088"/>
      <c r="AM41" s="1088"/>
      <c r="AN41" s="1088"/>
      <c r="AO41" s="1088"/>
      <c r="AP41" s="1088"/>
      <c r="AQ41" s="1088"/>
      <c r="AR41" s="1088"/>
    </row>
    <row r="42" spans="1:45" s="589" customFormat="1" ht="21.95" hidden="1" customHeight="1" x14ac:dyDescent="0.15">
      <c r="A42" s="2513"/>
      <c r="B42" s="2597"/>
      <c r="C42" s="941" t="s">
        <v>360</v>
      </c>
      <c r="D42" s="1995"/>
      <c r="E42" s="591"/>
      <c r="F42" s="932">
        <f t="shared" ref="F42:G42" ca="1" si="157">IF(F20=0,0,IF(F36=0,(F33+F34+F39)/2*F11*F2-F41,((F33+F34)*F15+(F36+F39)/2*(F11-F15))*F2-F41))</f>
        <v>0</v>
      </c>
      <c r="G42" s="932">
        <f t="shared" ca="1" si="157"/>
        <v>0</v>
      </c>
      <c r="H42" s="932">
        <f t="shared" ref="H42:M42" ca="1" si="158">IF(H20=0,0,IF(H36=0,(H33+H34+H39)/2*H11*H2-H41,((H33+H34)*H15+(H36+H39)/2*(H11-H15))*H2-H41))</f>
        <v>0</v>
      </c>
      <c r="I42" s="932">
        <f t="shared" ca="1" si="158"/>
        <v>0</v>
      </c>
      <c r="J42" s="932">
        <f t="shared" ca="1" si="158"/>
        <v>0</v>
      </c>
      <c r="K42" s="932">
        <f t="shared" ca="1" si="158"/>
        <v>0</v>
      </c>
      <c r="L42" s="932">
        <f t="shared" si="158"/>
        <v>0</v>
      </c>
      <c r="M42" s="932">
        <f t="shared" si="158"/>
        <v>0</v>
      </c>
      <c r="N42" s="932">
        <f t="shared" ref="N42:O42" si="159">IF(N20=0,0,IF(N36=0,(N33+N34+N39)/2*N11*N2-N41,((N33+N34)*N15+(N36+N39)/2*(N11-N15))*N2-N41))</f>
        <v>0</v>
      </c>
      <c r="O42" s="932">
        <f t="shared" si="159"/>
        <v>0</v>
      </c>
      <c r="P42" s="932">
        <f t="shared" ref="P42" si="160">IF(P20=0,0,IF(P36=0,(P33+P34+P39)/2*P11*P2-P41,((P33+P34)*P15+(P36+P39)/2*(P11-P15))*P2-P41))</f>
        <v>0</v>
      </c>
      <c r="Q42" s="932">
        <f t="shared" ref="Q42:AA42" si="161">IF(Q20=0,0,IF(Q36=0,(Q33+Q34+Q39)/2*Q11*Q2-Q41,((Q33+Q34)*Q15+(Q36+Q39)/2*(Q11-Q15))*Q2-Q41))</f>
        <v>0</v>
      </c>
      <c r="R42" s="932">
        <f t="shared" ref="R42" si="162">IF(R20=0,0,IF(R36=0,(R33+R34+R39)/2*R11*R2-R41,((R33+R34)*R15+(R36+R39)/2*(R11-R15))*R2-R41))</f>
        <v>0</v>
      </c>
      <c r="S42" s="932">
        <f t="shared" si="161"/>
        <v>0</v>
      </c>
      <c r="T42" s="932">
        <f t="shared" si="161"/>
        <v>0</v>
      </c>
      <c r="U42" s="932">
        <f t="shared" si="161"/>
        <v>0</v>
      </c>
      <c r="V42" s="932">
        <f t="shared" si="161"/>
        <v>0</v>
      </c>
      <c r="W42" s="932">
        <f t="shared" si="161"/>
        <v>0</v>
      </c>
      <c r="X42" s="932">
        <f t="shared" si="161"/>
        <v>0</v>
      </c>
      <c r="Y42" s="932">
        <f t="shared" si="161"/>
        <v>0</v>
      </c>
      <c r="Z42" s="932">
        <f t="shared" si="161"/>
        <v>0</v>
      </c>
      <c r="AA42" s="932">
        <f t="shared" si="161"/>
        <v>0</v>
      </c>
      <c r="AB42" s="932"/>
      <c r="AC42" s="932"/>
      <c r="AD42" s="932"/>
      <c r="AE42" s="1257">
        <f t="shared" ca="1" si="150"/>
        <v>0</v>
      </c>
      <c r="AF42" s="956"/>
      <c r="AG42" s="1086"/>
      <c r="AH42" s="1088"/>
      <c r="AI42" s="1088"/>
      <c r="AJ42" s="1088"/>
      <c r="AK42" s="1088"/>
      <c r="AL42" s="1088"/>
      <c r="AM42" s="1088"/>
      <c r="AN42" s="1088"/>
      <c r="AO42" s="1088"/>
      <c r="AP42" s="1088"/>
      <c r="AQ42" s="1088"/>
      <c r="AR42" s="1088"/>
    </row>
    <row r="43" spans="1:45" s="589" customFormat="1" ht="21.95" hidden="1" customHeight="1" x14ac:dyDescent="0.15">
      <c r="A43" s="2513"/>
      <c r="B43" s="2597"/>
      <c r="C43" s="941" t="s">
        <v>568</v>
      </c>
      <c r="D43" s="1995"/>
      <c r="E43" s="591"/>
      <c r="F43" s="932">
        <f t="shared" ref="F43:G43" ca="1" si="163">IF(F21=0,0,IF(F36=0,(F33+F34+F39)/2*F11*F2-F41,((F33+F34)*F15+(F36+F39)/2*(F11-F15))*F2-F41))</f>
        <v>0</v>
      </c>
      <c r="G43" s="932">
        <f t="shared" ca="1" si="163"/>
        <v>0</v>
      </c>
      <c r="H43" s="932">
        <f t="shared" ref="H43:M43" ca="1" si="164">IF(H21=0,0,IF(H36=0,(H33+H34+H39)/2*H11*H2-H41,((H33+H34)*H15+(H36+H39)/2*(H11-H15))*H2-H41))</f>
        <v>0</v>
      </c>
      <c r="I43" s="932">
        <f t="shared" ca="1" si="164"/>
        <v>322.54286379451838</v>
      </c>
      <c r="J43" s="932">
        <f t="shared" ca="1" si="164"/>
        <v>415.25583089609518</v>
      </c>
      <c r="K43" s="932">
        <f t="shared" ca="1" si="164"/>
        <v>394.54722452320613</v>
      </c>
      <c r="L43" s="932">
        <f t="shared" si="164"/>
        <v>0</v>
      </c>
      <c r="M43" s="932">
        <f t="shared" si="164"/>
        <v>0</v>
      </c>
      <c r="N43" s="932">
        <f t="shared" ref="N43:O43" si="165">IF(N21=0,0,IF(N36=0,(N33+N34+N39)/2*N11*N2-N41,((N33+N34)*N15+(N36+N39)/2*(N11-N15))*N2-N41))</f>
        <v>0</v>
      </c>
      <c r="O43" s="932">
        <f t="shared" si="165"/>
        <v>0</v>
      </c>
      <c r="P43" s="932">
        <f t="shared" ref="P43" si="166">IF(P21=0,0,IF(P36=0,(P33+P34+P39)/2*P11*P2-P41,((P33+P34)*P15+(P36+P39)/2*(P11-P15))*P2-P41))</f>
        <v>0</v>
      </c>
      <c r="Q43" s="932">
        <f t="shared" ref="Q43:AA43" si="167">IF(Q21=0,0,IF(Q36=0,(Q33+Q34+Q39)/2*Q11*Q2-Q41,((Q33+Q34)*Q15+(Q36+Q39)/2*(Q11-Q15))*Q2-Q41))</f>
        <v>0</v>
      </c>
      <c r="R43" s="932">
        <f t="shared" ref="R43" si="168">IF(R21=0,0,IF(R36=0,(R33+R34+R39)/2*R11*R2-R41,((R33+R34)*R15+(R36+R39)/2*(R11-R15))*R2-R41))</f>
        <v>0</v>
      </c>
      <c r="S43" s="932">
        <f t="shared" si="167"/>
        <v>0</v>
      </c>
      <c r="T43" s="932">
        <f t="shared" si="167"/>
        <v>0</v>
      </c>
      <c r="U43" s="932">
        <f t="shared" si="167"/>
        <v>0</v>
      </c>
      <c r="V43" s="932">
        <f t="shared" si="167"/>
        <v>0</v>
      </c>
      <c r="W43" s="932">
        <f t="shared" si="167"/>
        <v>0</v>
      </c>
      <c r="X43" s="932">
        <f t="shared" si="167"/>
        <v>0</v>
      </c>
      <c r="Y43" s="932">
        <f t="shared" si="167"/>
        <v>0</v>
      </c>
      <c r="Z43" s="932">
        <f t="shared" si="167"/>
        <v>0</v>
      </c>
      <c r="AA43" s="932">
        <f t="shared" si="167"/>
        <v>0</v>
      </c>
      <c r="AB43" s="932"/>
      <c r="AC43" s="932"/>
      <c r="AD43" s="932"/>
      <c r="AE43" s="1257">
        <f t="shared" ca="1" si="150"/>
        <v>1132.3399999999999</v>
      </c>
      <c r="AF43" s="956"/>
      <c r="AG43" s="1086"/>
      <c r="AH43" s="1088"/>
      <c r="AI43" s="1088"/>
      <c r="AJ43" s="1088"/>
      <c r="AK43" s="1088"/>
      <c r="AL43" s="1088"/>
      <c r="AM43" s="1088"/>
      <c r="AN43" s="1088"/>
      <c r="AO43" s="1088"/>
      <c r="AP43" s="1088"/>
      <c r="AQ43" s="1088"/>
      <c r="AR43" s="1088"/>
    </row>
    <row r="44" spans="1:45" s="589" customFormat="1" ht="21.95" hidden="1" customHeight="1" x14ac:dyDescent="0.15">
      <c r="A44" s="2513"/>
      <c r="B44" s="2597"/>
      <c r="C44" s="941" t="s">
        <v>569</v>
      </c>
      <c r="D44" s="1995"/>
      <c r="E44" s="591"/>
      <c r="F44" s="932">
        <f t="shared" ref="F44:G44" ca="1" si="169">IF(F22=0,0,(F33+F34+F39)/2*F11*F2-F41)</f>
        <v>149.86969919999814</v>
      </c>
      <c r="G44" s="932">
        <f t="shared" ca="1" si="169"/>
        <v>130.23539959058172</v>
      </c>
      <c r="H44" s="932">
        <f t="shared" ref="H44:M44" ca="1" si="170">IF(H22=0,0,(H33+H34+H39)/2*H11*H2-H41)</f>
        <v>190.31936449965579</v>
      </c>
      <c r="I44" s="932">
        <f t="shared" ca="1" si="170"/>
        <v>0</v>
      </c>
      <c r="J44" s="932">
        <f t="shared" ca="1" si="170"/>
        <v>0</v>
      </c>
      <c r="K44" s="932">
        <f t="shared" ca="1" si="170"/>
        <v>0</v>
      </c>
      <c r="L44" s="932">
        <f t="shared" si="170"/>
        <v>0</v>
      </c>
      <c r="M44" s="932">
        <f t="shared" si="170"/>
        <v>0</v>
      </c>
      <c r="N44" s="932">
        <f t="shared" ref="N44:O44" si="171">IF(N22=0,0,(N33+N34+N39)/2*N11*N2-N41)</f>
        <v>0</v>
      </c>
      <c r="O44" s="932">
        <f t="shared" si="171"/>
        <v>0</v>
      </c>
      <c r="P44" s="932">
        <f t="shared" ref="P44" si="172">IF(P22=0,0,(P33+P34+P39)/2*P11*P2-P41)</f>
        <v>0</v>
      </c>
      <c r="Q44" s="932">
        <f t="shared" ref="Q44:AA44" si="173">IF(Q22=0,0,(Q33+Q34+Q39)/2*Q11*Q2-Q41)</f>
        <v>0</v>
      </c>
      <c r="R44" s="932">
        <f t="shared" ref="R44" si="174">IF(R22=0,0,(R33+R34+R39)/2*R11*R2-R41)</f>
        <v>0</v>
      </c>
      <c r="S44" s="932">
        <f t="shared" si="173"/>
        <v>130.92530639999998</v>
      </c>
      <c r="T44" s="932">
        <f t="shared" si="173"/>
        <v>0</v>
      </c>
      <c r="U44" s="932">
        <f t="shared" si="173"/>
        <v>0</v>
      </c>
      <c r="V44" s="932">
        <f t="shared" si="173"/>
        <v>0</v>
      </c>
      <c r="W44" s="932">
        <f t="shared" si="173"/>
        <v>0</v>
      </c>
      <c r="X44" s="932">
        <f t="shared" si="173"/>
        <v>0</v>
      </c>
      <c r="Y44" s="932">
        <f t="shared" si="173"/>
        <v>0</v>
      </c>
      <c r="Z44" s="932">
        <f t="shared" si="173"/>
        <v>0</v>
      </c>
      <c r="AA44" s="932">
        <f t="shared" si="173"/>
        <v>0</v>
      </c>
      <c r="AB44" s="932"/>
      <c r="AC44" s="932"/>
      <c r="AD44" s="932"/>
      <c r="AE44" s="1257">
        <f t="shared" ca="1" si="150"/>
        <v>601.34</v>
      </c>
      <c r="AF44" s="956"/>
      <c r="AG44" s="1086"/>
      <c r="AH44" s="1088"/>
      <c r="AI44" s="1088"/>
      <c r="AJ44" s="1088"/>
      <c r="AK44" s="1088"/>
      <c r="AL44" s="1088"/>
      <c r="AM44" s="1088"/>
      <c r="AN44" s="1088"/>
      <c r="AO44" s="1088"/>
      <c r="AP44" s="1088"/>
      <c r="AQ44" s="1088"/>
      <c r="AR44" s="1088"/>
    </row>
    <row r="45" spans="1:45" s="589" customFormat="1" ht="21.95" hidden="1" customHeight="1" x14ac:dyDescent="0.15">
      <c r="A45" s="2513"/>
      <c r="B45" s="2597"/>
      <c r="C45" s="941" t="s">
        <v>361</v>
      </c>
      <c r="D45" s="1995"/>
      <c r="E45" s="591"/>
      <c r="F45" s="932">
        <f t="shared" ref="F45:G45" ca="1" si="175">IF(F23=0,0,(F33+F34+F39)/2*F11*F2-F41)</f>
        <v>0</v>
      </c>
      <c r="G45" s="932">
        <f t="shared" ca="1" si="175"/>
        <v>0</v>
      </c>
      <c r="H45" s="932">
        <f t="shared" ref="H45:M45" ca="1" si="176">IF(H23=0,0,(H33+H34+H39)/2*H11*H2-H41)</f>
        <v>0</v>
      </c>
      <c r="I45" s="932">
        <f t="shared" ca="1" si="176"/>
        <v>0</v>
      </c>
      <c r="J45" s="932">
        <f t="shared" ca="1" si="176"/>
        <v>0</v>
      </c>
      <c r="K45" s="932">
        <f t="shared" ca="1" si="176"/>
        <v>0</v>
      </c>
      <c r="L45" s="932">
        <f t="shared" si="176"/>
        <v>0</v>
      </c>
      <c r="M45" s="932">
        <f t="shared" si="176"/>
        <v>0</v>
      </c>
      <c r="N45" s="932">
        <f t="shared" ref="N45:O45" si="177">IF(N23=0,0,(N33+N34+N39)/2*N11*N2-N41)</f>
        <v>0</v>
      </c>
      <c r="O45" s="932">
        <f t="shared" si="177"/>
        <v>0</v>
      </c>
      <c r="P45" s="932">
        <f t="shared" ref="P45" si="178">IF(P23=0,0,(P33+P34+P39)/2*P11*P2-P41)</f>
        <v>0</v>
      </c>
      <c r="Q45" s="932">
        <f t="shared" ref="Q45:AA45" si="179">IF(Q23=0,0,(Q33+Q34+Q39)/2*Q11*Q2-Q41)</f>
        <v>307.39201920000005</v>
      </c>
      <c r="R45" s="932">
        <f t="shared" ref="R45" si="180">IF(R23=0,0,(R33+R34+R39)/2*R11*R2-R41)</f>
        <v>0</v>
      </c>
      <c r="S45" s="932">
        <f t="shared" si="179"/>
        <v>0</v>
      </c>
      <c r="T45" s="932">
        <f t="shared" si="179"/>
        <v>0</v>
      </c>
      <c r="U45" s="932">
        <f t="shared" si="179"/>
        <v>0</v>
      </c>
      <c r="V45" s="932">
        <f t="shared" si="179"/>
        <v>0</v>
      </c>
      <c r="W45" s="932">
        <f t="shared" si="179"/>
        <v>0</v>
      </c>
      <c r="X45" s="932">
        <f t="shared" si="179"/>
        <v>0</v>
      </c>
      <c r="Y45" s="932">
        <f t="shared" si="179"/>
        <v>0</v>
      </c>
      <c r="Z45" s="932">
        <f t="shared" si="179"/>
        <v>0</v>
      </c>
      <c r="AA45" s="932">
        <f t="shared" si="179"/>
        <v>0</v>
      </c>
      <c r="AB45" s="932"/>
      <c r="AC45" s="932"/>
      <c r="AD45" s="932"/>
      <c r="AE45" s="1257">
        <f t="shared" ca="1" si="150"/>
        <v>307.39</v>
      </c>
      <c r="AF45" s="956"/>
      <c r="AG45" s="1086"/>
      <c r="AH45" s="1088"/>
      <c r="AI45" s="1088"/>
      <c r="AJ45" s="1088"/>
      <c r="AK45" s="1088"/>
      <c r="AL45" s="1088"/>
      <c r="AM45" s="1088"/>
      <c r="AN45" s="1088"/>
      <c r="AO45" s="1088"/>
      <c r="AP45" s="1088"/>
      <c r="AQ45" s="1088"/>
      <c r="AR45" s="1088"/>
    </row>
    <row r="46" spans="1:45" s="589" customFormat="1" ht="21.95" hidden="1" customHeight="1" x14ac:dyDescent="0.15">
      <c r="A46" s="2513"/>
      <c r="B46" s="2597"/>
      <c r="C46" s="946" t="s">
        <v>736</v>
      </c>
      <c r="D46" s="1995"/>
      <c r="E46" s="591"/>
      <c r="F46" s="932">
        <f t="shared" ref="F46:G46" ca="1" si="181">SUM(F40:F45)</f>
        <v>149.86969919999814</v>
      </c>
      <c r="G46" s="932">
        <f t="shared" ca="1" si="181"/>
        <v>130.23539959058172</v>
      </c>
      <c r="H46" s="932">
        <f t="shared" ref="H46:M46" ca="1" si="182">SUM(H40:H45)</f>
        <v>190.31936449965579</v>
      </c>
      <c r="I46" s="932">
        <f t="shared" ca="1" si="182"/>
        <v>322.54286379451838</v>
      </c>
      <c r="J46" s="932">
        <f t="shared" ca="1" si="182"/>
        <v>415.25583089609518</v>
      </c>
      <c r="K46" s="932">
        <f t="shared" ca="1" si="182"/>
        <v>394.54722452320613</v>
      </c>
      <c r="L46" s="932">
        <f t="shared" si="182"/>
        <v>0</v>
      </c>
      <c r="M46" s="932">
        <f t="shared" si="182"/>
        <v>0</v>
      </c>
      <c r="N46" s="932">
        <f t="shared" ref="N46:O46" si="183">SUM(N40:N45)</f>
        <v>0</v>
      </c>
      <c r="O46" s="932">
        <f t="shared" si="183"/>
        <v>0</v>
      </c>
      <c r="P46" s="932">
        <f t="shared" ref="P46" si="184">SUM(P40:P45)</f>
        <v>0</v>
      </c>
      <c r="Q46" s="932">
        <f t="shared" ref="Q46:AA46" si="185">SUM(Q40:Q45)</f>
        <v>307.39201920000005</v>
      </c>
      <c r="R46" s="932">
        <f t="shared" ref="R46" si="186">SUM(R40:R45)</f>
        <v>0</v>
      </c>
      <c r="S46" s="932">
        <f t="shared" si="185"/>
        <v>130.92530639999998</v>
      </c>
      <c r="T46" s="932">
        <f t="shared" si="185"/>
        <v>0</v>
      </c>
      <c r="U46" s="932">
        <f t="shared" si="185"/>
        <v>0</v>
      </c>
      <c r="V46" s="932">
        <f t="shared" si="185"/>
        <v>0</v>
      </c>
      <c r="W46" s="932">
        <f t="shared" si="185"/>
        <v>0</v>
      </c>
      <c r="X46" s="932">
        <f t="shared" si="185"/>
        <v>0</v>
      </c>
      <c r="Y46" s="932">
        <f t="shared" si="185"/>
        <v>0</v>
      </c>
      <c r="Z46" s="932">
        <f t="shared" si="185"/>
        <v>0</v>
      </c>
      <c r="AA46" s="932">
        <f t="shared" si="185"/>
        <v>0</v>
      </c>
      <c r="AB46" s="932"/>
      <c r="AC46" s="932"/>
      <c r="AD46" s="932"/>
      <c r="AE46" s="1257">
        <f t="shared" ca="1" si="150"/>
        <v>2041.08</v>
      </c>
      <c r="AF46" s="956"/>
      <c r="AG46" s="1086"/>
      <c r="AH46" s="1088"/>
      <c r="AI46" s="1088"/>
      <c r="AJ46" s="1088"/>
      <c r="AK46" s="1088"/>
      <c r="AL46" s="1088"/>
      <c r="AM46" s="1088"/>
      <c r="AN46" s="1088"/>
      <c r="AO46" s="1088"/>
      <c r="AP46" s="1088"/>
      <c r="AQ46" s="1088"/>
      <c r="AR46" s="1088"/>
    </row>
    <row r="47" spans="1:45" s="589" customFormat="1" ht="21.95" hidden="1" customHeight="1" thickBot="1" x14ac:dyDescent="0.2">
      <c r="A47" s="2513"/>
      <c r="B47" s="2598"/>
      <c r="C47" s="947" t="s">
        <v>365</v>
      </c>
      <c r="D47" s="1996"/>
      <c r="E47" s="1520"/>
      <c r="F47" s="938" t="str">
        <f t="shared" ref="F47:G47" ca="1" si="187">IF(TRUNC(SUM(F59:F79),2)=TRUNC(SUM(F40:F45),2),"OK","ERRO")</f>
        <v>OK</v>
      </c>
      <c r="G47" s="938" t="str">
        <f t="shared" ca="1" si="187"/>
        <v>OK</v>
      </c>
      <c r="H47" s="938" t="str">
        <f t="shared" ref="H47:M47" ca="1" si="188">IF(TRUNC(SUM(H59:H79),2)=TRUNC(SUM(H40:H45),2),"OK","ERRO")</f>
        <v>OK</v>
      </c>
      <c r="I47" s="938" t="str">
        <f t="shared" ca="1" si="188"/>
        <v>OK</v>
      </c>
      <c r="J47" s="938" t="str">
        <f t="shared" ca="1" si="188"/>
        <v>OK</v>
      </c>
      <c r="K47" s="938" t="str">
        <f t="shared" ca="1" si="188"/>
        <v>OK</v>
      </c>
      <c r="L47" s="938" t="str">
        <f t="shared" si="188"/>
        <v>OK</v>
      </c>
      <c r="M47" s="938" t="str">
        <f t="shared" si="188"/>
        <v>OK</v>
      </c>
      <c r="N47" s="938" t="str">
        <f t="shared" ref="N47:O47" si="189">IF(TRUNC(SUM(N59:N79),2)=TRUNC(SUM(N40:N45),2),"OK","ERRO")</f>
        <v>OK</v>
      </c>
      <c r="O47" s="938" t="str">
        <f t="shared" si="189"/>
        <v>OK</v>
      </c>
      <c r="P47" s="938" t="str">
        <f t="shared" ref="P47" si="190">IF(TRUNC(SUM(P59:P79),2)=TRUNC(SUM(P40:P45),2),"OK","ERRO")</f>
        <v>OK</v>
      </c>
      <c r="Q47" s="938" t="str">
        <f t="shared" ref="Q47:AA47" si="191">IF(TRUNC(SUM(Q59:Q79),2)=TRUNC(SUM(Q40:Q45),2),"OK","ERRO")</f>
        <v>OK</v>
      </c>
      <c r="R47" s="938" t="str">
        <f t="shared" ref="R47" si="192">IF(TRUNC(SUM(R59:R79),2)=TRUNC(SUM(R40:R45),2),"OK","ERRO")</f>
        <v>OK</v>
      </c>
      <c r="S47" s="938" t="str">
        <f t="shared" si="191"/>
        <v>OK</v>
      </c>
      <c r="T47" s="938" t="str">
        <f t="shared" si="191"/>
        <v>OK</v>
      </c>
      <c r="U47" s="938" t="str">
        <f t="shared" si="191"/>
        <v>OK</v>
      </c>
      <c r="V47" s="938" t="str">
        <f t="shared" si="191"/>
        <v>OK</v>
      </c>
      <c r="W47" s="938" t="str">
        <f t="shared" si="191"/>
        <v>OK</v>
      </c>
      <c r="X47" s="938" t="str">
        <f t="shared" si="191"/>
        <v>OK</v>
      </c>
      <c r="Y47" s="938" t="str">
        <f t="shared" si="191"/>
        <v>OK</v>
      </c>
      <c r="Z47" s="938" t="str">
        <f t="shared" si="191"/>
        <v>OK</v>
      </c>
      <c r="AA47" s="938" t="str">
        <f t="shared" si="191"/>
        <v>OK</v>
      </c>
      <c r="AB47" s="938"/>
      <c r="AC47" s="938"/>
      <c r="AD47" s="938"/>
      <c r="AE47" s="930"/>
      <c r="AF47" s="956"/>
      <c r="AG47" s="1086"/>
      <c r="AH47" s="1088"/>
      <c r="AI47" s="1088"/>
      <c r="AJ47" s="1088"/>
      <c r="AK47" s="1088"/>
      <c r="AL47" s="1088"/>
      <c r="AM47" s="1088"/>
      <c r="AN47" s="1088"/>
      <c r="AO47" s="1088"/>
      <c r="AP47" s="1088"/>
      <c r="AQ47" s="1088"/>
      <c r="AR47" s="1088"/>
    </row>
    <row r="48" spans="1:45" s="927" customFormat="1" ht="21.95" hidden="1" customHeight="1" x14ac:dyDescent="0.15">
      <c r="A48" s="2513"/>
      <c r="B48" s="2605" t="s">
        <v>1098</v>
      </c>
      <c r="C48" s="939" t="s">
        <v>447</v>
      </c>
      <c r="D48" s="1994"/>
      <c r="E48" s="1521"/>
      <c r="F48" s="931">
        <f t="shared" ref="F48:G48" ca="1" si="193">IF(F23=0,0,IF(F39&lt;=0.8,F45+IF(F41=0,F40,0),0))</f>
        <v>0</v>
      </c>
      <c r="G48" s="931">
        <f t="shared" ca="1" si="193"/>
        <v>0</v>
      </c>
      <c r="H48" s="931">
        <f t="shared" ref="H48:M48" ca="1" si="194">IF(H23=0,0,IF(H39&lt;=0.8,H45+IF(H41=0,H40,0),0))</f>
        <v>0</v>
      </c>
      <c r="I48" s="931">
        <f t="shared" ca="1" si="194"/>
        <v>0</v>
      </c>
      <c r="J48" s="931">
        <f t="shared" ca="1" si="194"/>
        <v>0</v>
      </c>
      <c r="K48" s="931">
        <f t="shared" ca="1" si="194"/>
        <v>0</v>
      </c>
      <c r="L48" s="931">
        <f t="shared" si="194"/>
        <v>0</v>
      </c>
      <c r="M48" s="931">
        <f t="shared" si="194"/>
        <v>0</v>
      </c>
      <c r="N48" s="931">
        <f t="shared" ref="N48:O48" si="195">IF(N23=0,0,IF(N39&lt;=0.8,N45+IF(N41=0,N40,0),0))</f>
        <v>0</v>
      </c>
      <c r="O48" s="931">
        <f t="shared" si="195"/>
        <v>0</v>
      </c>
      <c r="P48" s="931">
        <f t="shared" ref="P48" si="196">IF(P23=0,0,IF(P39&lt;=0.8,P45+IF(P41=0,P40,0),0))</f>
        <v>0</v>
      </c>
      <c r="Q48" s="931">
        <f t="shared" ref="Q48:AA48" si="197">IF(Q23=0,0,IF(Q39&lt;=0.8,Q45+IF(Q41=0,Q40,0),0))</f>
        <v>0</v>
      </c>
      <c r="R48" s="931">
        <f t="shared" ref="R48" si="198">IF(R23=0,0,IF(R39&lt;=0.8,R45+IF(R41=0,R40,0),0))</f>
        <v>0</v>
      </c>
      <c r="S48" s="931">
        <f t="shared" si="197"/>
        <v>0</v>
      </c>
      <c r="T48" s="931">
        <f t="shared" si="197"/>
        <v>0</v>
      </c>
      <c r="U48" s="931">
        <f t="shared" si="197"/>
        <v>0</v>
      </c>
      <c r="V48" s="931">
        <f t="shared" si="197"/>
        <v>0</v>
      </c>
      <c r="W48" s="931">
        <f t="shared" si="197"/>
        <v>0</v>
      </c>
      <c r="X48" s="931">
        <f t="shared" si="197"/>
        <v>0</v>
      </c>
      <c r="Y48" s="931">
        <f t="shared" si="197"/>
        <v>0</v>
      </c>
      <c r="Z48" s="931">
        <f t="shared" si="197"/>
        <v>0</v>
      </c>
      <c r="AA48" s="931">
        <f t="shared" si="197"/>
        <v>0</v>
      </c>
      <c r="AB48" s="931"/>
      <c r="AC48" s="931"/>
      <c r="AD48" s="931"/>
      <c r="AE48" s="940">
        <f t="shared" ref="AE48:AE57" ca="1" si="199">TRUNC(SUM(F48:AD48),2)</f>
        <v>0</v>
      </c>
      <c r="AF48" s="956"/>
      <c r="AG48" s="1086"/>
      <c r="AH48" s="1088"/>
      <c r="AI48" s="1088"/>
      <c r="AJ48" s="1088"/>
      <c r="AK48" s="1088"/>
      <c r="AL48" s="1088"/>
      <c r="AM48" s="1088"/>
      <c r="AN48" s="1088"/>
      <c r="AO48" s="1088"/>
      <c r="AP48" s="1088"/>
      <c r="AQ48" s="1088"/>
      <c r="AR48" s="1088"/>
      <c r="AS48" s="589"/>
    </row>
    <row r="49" spans="1:45" s="927" customFormat="1" ht="21.95" hidden="1" customHeight="1" x14ac:dyDescent="0.15">
      <c r="A49" s="2513"/>
      <c r="B49" s="2606"/>
      <c r="C49" s="941" t="s">
        <v>455</v>
      </c>
      <c r="D49" s="1995"/>
      <c r="E49" s="1522"/>
      <c r="F49" s="932">
        <f t="shared" ref="F49:G49" ca="1" si="200">IF(F23=0,0,IF(F50+F48=0,F45+IF(F41=0,F40,0),0))</f>
        <v>0</v>
      </c>
      <c r="G49" s="932">
        <f t="shared" ca="1" si="200"/>
        <v>0</v>
      </c>
      <c r="H49" s="932">
        <f t="shared" ref="H49:M49" ca="1" si="201">IF(H23=0,0,IF(H50+H48=0,H45+IF(H41=0,H40,0),0))</f>
        <v>0</v>
      </c>
      <c r="I49" s="932">
        <f t="shared" ca="1" si="201"/>
        <v>0</v>
      </c>
      <c r="J49" s="932">
        <f t="shared" ca="1" si="201"/>
        <v>0</v>
      </c>
      <c r="K49" s="932">
        <f t="shared" ca="1" si="201"/>
        <v>0</v>
      </c>
      <c r="L49" s="932">
        <f t="shared" si="201"/>
        <v>0</v>
      </c>
      <c r="M49" s="932">
        <f t="shared" si="201"/>
        <v>0</v>
      </c>
      <c r="N49" s="932">
        <f t="shared" ref="N49:O49" si="202">IF(N23=0,0,IF(N50+N48=0,N45+IF(N41=0,N40,0),0))</f>
        <v>0</v>
      </c>
      <c r="O49" s="932">
        <f t="shared" si="202"/>
        <v>0</v>
      </c>
      <c r="P49" s="932">
        <f t="shared" ref="P49" si="203">IF(P23=0,0,IF(P50+P48=0,P45+IF(P41=0,P40,0),0))</f>
        <v>0</v>
      </c>
      <c r="Q49" s="932">
        <f t="shared" ref="Q49:AA49" si="204">IF(Q23=0,0,IF(Q50+Q48=0,Q45+IF(Q41=0,Q40,0),0))</f>
        <v>307.39201920000005</v>
      </c>
      <c r="R49" s="932">
        <f t="shared" ref="R49" si="205">IF(R23=0,0,IF(R50+R48=0,R45+IF(R41=0,R40,0),0))</f>
        <v>0</v>
      </c>
      <c r="S49" s="932">
        <f t="shared" si="204"/>
        <v>0</v>
      </c>
      <c r="T49" s="932">
        <f t="shared" si="204"/>
        <v>0</v>
      </c>
      <c r="U49" s="932">
        <f t="shared" si="204"/>
        <v>0</v>
      </c>
      <c r="V49" s="932">
        <f t="shared" si="204"/>
        <v>0</v>
      </c>
      <c r="W49" s="932">
        <f t="shared" si="204"/>
        <v>0</v>
      </c>
      <c r="X49" s="932">
        <f t="shared" si="204"/>
        <v>0</v>
      </c>
      <c r="Y49" s="932">
        <f t="shared" si="204"/>
        <v>0</v>
      </c>
      <c r="Z49" s="932">
        <f t="shared" si="204"/>
        <v>0</v>
      </c>
      <c r="AA49" s="932">
        <f t="shared" si="204"/>
        <v>0</v>
      </c>
      <c r="AB49" s="932"/>
      <c r="AC49" s="932"/>
      <c r="AD49" s="932"/>
      <c r="AE49" s="942">
        <f t="shared" ca="1" si="199"/>
        <v>307.39</v>
      </c>
      <c r="AF49" s="956"/>
      <c r="AG49" s="1086"/>
      <c r="AH49" s="1088"/>
      <c r="AI49" s="1088"/>
      <c r="AJ49" s="1088"/>
      <c r="AK49" s="1088"/>
      <c r="AL49" s="1088"/>
      <c r="AM49" s="1088"/>
      <c r="AN49" s="1088"/>
      <c r="AO49" s="1088"/>
      <c r="AP49" s="1088"/>
      <c r="AQ49" s="1088"/>
      <c r="AR49" s="1088"/>
      <c r="AS49" s="589"/>
    </row>
    <row r="50" spans="1:45" s="927" customFormat="1" ht="21.95" hidden="1" customHeight="1" x14ac:dyDescent="0.15">
      <c r="A50" s="2513"/>
      <c r="B50" s="2606"/>
      <c r="C50" s="943" t="s">
        <v>448</v>
      </c>
      <c r="D50" s="1995"/>
      <c r="E50" s="1522"/>
      <c r="F50" s="932">
        <f t="shared" ref="F50:G50" ca="1" si="206">IF(F23=0,0,IF(F39&gt;1.5,F45+IF(F41=0,F40,0),0))</f>
        <v>0</v>
      </c>
      <c r="G50" s="932">
        <f t="shared" ca="1" si="206"/>
        <v>0</v>
      </c>
      <c r="H50" s="932">
        <f t="shared" ref="H50:M50" ca="1" si="207">IF(H23=0,0,IF(H39&gt;1.5,H45+IF(H41=0,H40,0),0))</f>
        <v>0</v>
      </c>
      <c r="I50" s="932">
        <f t="shared" ca="1" si="207"/>
        <v>0</v>
      </c>
      <c r="J50" s="932">
        <f t="shared" ca="1" si="207"/>
        <v>0</v>
      </c>
      <c r="K50" s="932">
        <f t="shared" ca="1" si="207"/>
        <v>0</v>
      </c>
      <c r="L50" s="932">
        <f t="shared" si="207"/>
        <v>0</v>
      </c>
      <c r="M50" s="932">
        <f t="shared" si="207"/>
        <v>0</v>
      </c>
      <c r="N50" s="932">
        <f t="shared" ref="N50:O50" si="208">IF(N23=0,0,IF(N39&gt;1.5,N45+IF(N41=0,N40,0),0))</f>
        <v>0</v>
      </c>
      <c r="O50" s="932">
        <f t="shared" si="208"/>
        <v>0</v>
      </c>
      <c r="P50" s="932">
        <f t="shared" ref="P50" si="209">IF(P23=0,0,IF(P39&gt;1.5,P45+IF(P41=0,P40,0),0))</f>
        <v>0</v>
      </c>
      <c r="Q50" s="932">
        <f t="shared" ref="Q50:AA50" si="210">IF(Q23=0,0,IF(Q39&gt;1.5,Q45+IF(Q41=0,Q40,0),0))</f>
        <v>0</v>
      </c>
      <c r="R50" s="932">
        <f t="shared" ref="R50" si="211">IF(R23=0,0,IF(R39&gt;1.5,R45+IF(R41=0,R40,0),0))</f>
        <v>0</v>
      </c>
      <c r="S50" s="932">
        <f t="shared" si="210"/>
        <v>0</v>
      </c>
      <c r="T50" s="932">
        <f t="shared" si="210"/>
        <v>0</v>
      </c>
      <c r="U50" s="932">
        <f t="shared" si="210"/>
        <v>0</v>
      </c>
      <c r="V50" s="932">
        <f t="shared" si="210"/>
        <v>0</v>
      </c>
      <c r="W50" s="932">
        <f t="shared" si="210"/>
        <v>0</v>
      </c>
      <c r="X50" s="932">
        <f t="shared" si="210"/>
        <v>0</v>
      </c>
      <c r="Y50" s="932">
        <f t="shared" si="210"/>
        <v>0</v>
      </c>
      <c r="Z50" s="932">
        <f t="shared" si="210"/>
        <v>0</v>
      </c>
      <c r="AA50" s="932">
        <f t="shared" si="210"/>
        <v>0</v>
      </c>
      <c r="AB50" s="933"/>
      <c r="AC50" s="933"/>
      <c r="AD50" s="933"/>
      <c r="AE50" s="942">
        <f t="shared" ca="1" si="199"/>
        <v>0</v>
      </c>
      <c r="AF50" s="956"/>
      <c r="AG50" s="1086"/>
      <c r="AH50" s="1090"/>
      <c r="AI50" s="1090"/>
      <c r="AJ50" s="1090"/>
      <c r="AK50" s="1090"/>
      <c r="AL50" s="1090"/>
      <c r="AM50" s="1090"/>
      <c r="AN50" s="1090"/>
      <c r="AO50" s="1090"/>
      <c r="AP50" s="1090"/>
      <c r="AQ50" s="1090"/>
      <c r="AR50" s="1090"/>
    </row>
    <row r="51" spans="1:45" s="927" customFormat="1" ht="21.95" hidden="1" customHeight="1" x14ac:dyDescent="0.15">
      <c r="A51" s="2513"/>
      <c r="B51" s="2606"/>
      <c r="C51" s="941" t="s">
        <v>611</v>
      </c>
      <c r="D51" s="2001"/>
      <c r="E51" s="1523"/>
      <c r="F51" s="934">
        <f t="shared" ref="F51:G51" ca="1" si="212">IF(F22=0,0,IF(F39&lt;=0.8,F44+IF(F41=0,F40,0),0))</f>
        <v>0</v>
      </c>
      <c r="G51" s="934">
        <f t="shared" ca="1" si="212"/>
        <v>0</v>
      </c>
      <c r="H51" s="934">
        <f t="shared" ref="H51:M51" ca="1" si="213">IF(H22=0,0,IF(H39&lt;=0.8,H44+IF(H41=0,H40,0),0))</f>
        <v>0</v>
      </c>
      <c r="I51" s="934">
        <f t="shared" ca="1" si="213"/>
        <v>0</v>
      </c>
      <c r="J51" s="934">
        <f t="shared" ca="1" si="213"/>
        <v>0</v>
      </c>
      <c r="K51" s="934">
        <f t="shared" ca="1" si="213"/>
        <v>0</v>
      </c>
      <c r="L51" s="934">
        <f t="shared" si="213"/>
        <v>0</v>
      </c>
      <c r="M51" s="934">
        <f t="shared" si="213"/>
        <v>0</v>
      </c>
      <c r="N51" s="934">
        <f t="shared" ref="N51:O51" si="214">IF(N22=0,0,IF(N39&lt;=0.8,N44+IF(N41=0,N40,0),0))</f>
        <v>0</v>
      </c>
      <c r="O51" s="934">
        <f t="shared" si="214"/>
        <v>0</v>
      </c>
      <c r="P51" s="934">
        <f t="shared" ref="P51" si="215">IF(P22=0,0,IF(P39&lt;=0.8,P44+IF(P41=0,P40,0),0))</f>
        <v>0</v>
      </c>
      <c r="Q51" s="934">
        <f t="shared" ref="Q51:AA51" si="216">IF(Q22=0,0,IF(Q39&lt;=0.8,Q44+IF(Q41=0,Q40,0),0))</f>
        <v>0</v>
      </c>
      <c r="R51" s="934">
        <f t="shared" ref="R51" si="217">IF(R22=0,0,IF(R39&lt;=0.8,R44+IF(R41=0,R40,0),0))</f>
        <v>0</v>
      </c>
      <c r="S51" s="934">
        <f t="shared" si="216"/>
        <v>0</v>
      </c>
      <c r="T51" s="934">
        <f t="shared" si="216"/>
        <v>0</v>
      </c>
      <c r="U51" s="934">
        <f t="shared" si="216"/>
        <v>0</v>
      </c>
      <c r="V51" s="934">
        <f t="shared" si="216"/>
        <v>0</v>
      </c>
      <c r="W51" s="934">
        <f t="shared" si="216"/>
        <v>0</v>
      </c>
      <c r="X51" s="934">
        <f t="shared" si="216"/>
        <v>0</v>
      </c>
      <c r="Y51" s="934">
        <f t="shared" si="216"/>
        <v>0</v>
      </c>
      <c r="Z51" s="934">
        <f t="shared" si="216"/>
        <v>0</v>
      </c>
      <c r="AA51" s="934">
        <f t="shared" si="216"/>
        <v>0</v>
      </c>
      <c r="AB51" s="935"/>
      <c r="AC51" s="935"/>
      <c r="AD51" s="935"/>
      <c r="AE51" s="944">
        <f t="shared" ca="1" si="199"/>
        <v>0</v>
      </c>
      <c r="AF51" s="956"/>
      <c r="AG51" s="1086"/>
      <c r="AH51" s="1090"/>
      <c r="AI51" s="1090"/>
      <c r="AJ51" s="1090"/>
      <c r="AK51" s="1090"/>
      <c r="AL51" s="1090"/>
      <c r="AM51" s="1090"/>
      <c r="AN51" s="1090"/>
      <c r="AO51" s="1090"/>
      <c r="AP51" s="1090"/>
      <c r="AQ51" s="1090"/>
      <c r="AR51" s="1090"/>
    </row>
    <row r="52" spans="1:45" s="927" customFormat="1" ht="21.95" hidden="1" customHeight="1" x14ac:dyDescent="0.15">
      <c r="A52" s="2513"/>
      <c r="B52" s="2606"/>
      <c r="C52" s="941" t="s">
        <v>456</v>
      </c>
      <c r="D52" s="1995"/>
      <c r="E52" s="1522"/>
      <c r="F52" s="932">
        <f t="shared" ref="F52:G52" ca="1" si="218">IF(F22=0,0,IF(F51+F53=0,F44+IF(F41=0,F40,0),0))</f>
        <v>149.86969919999814</v>
      </c>
      <c r="G52" s="932">
        <f t="shared" ca="1" si="218"/>
        <v>0</v>
      </c>
      <c r="H52" s="932">
        <f t="shared" ref="H52:M52" ca="1" si="219">IF(H22=0,0,IF(H51+H53=0,H44+IF(H41=0,H40,0),0))</f>
        <v>0</v>
      </c>
      <c r="I52" s="932">
        <f t="shared" ca="1" si="219"/>
        <v>0</v>
      </c>
      <c r="J52" s="932">
        <f t="shared" ca="1" si="219"/>
        <v>0</v>
      </c>
      <c r="K52" s="932">
        <f t="shared" ca="1" si="219"/>
        <v>0</v>
      </c>
      <c r="L52" s="932">
        <f t="shared" si="219"/>
        <v>0</v>
      </c>
      <c r="M52" s="932">
        <f t="shared" si="219"/>
        <v>0</v>
      </c>
      <c r="N52" s="932">
        <f t="shared" ref="N52:O52" si="220">IF(N22=0,0,IF(N51+N53=0,N44+IF(N41=0,N40,0),0))</f>
        <v>0</v>
      </c>
      <c r="O52" s="932">
        <f t="shared" si="220"/>
        <v>0</v>
      </c>
      <c r="P52" s="932">
        <f t="shared" ref="P52" si="221">IF(P22=0,0,IF(P51+P53=0,P44+IF(P41=0,P40,0),0))</f>
        <v>0</v>
      </c>
      <c r="Q52" s="932">
        <f t="shared" ref="Q52:AA52" si="222">IF(Q22=0,0,IF(Q51+Q53=0,Q44+IF(Q41=0,Q40,0),0))</f>
        <v>0</v>
      </c>
      <c r="R52" s="932">
        <f t="shared" ref="R52" si="223">IF(R22=0,0,IF(R51+R53=0,R44+IF(R41=0,R40,0),0))</f>
        <v>0</v>
      </c>
      <c r="S52" s="932">
        <f t="shared" si="222"/>
        <v>0</v>
      </c>
      <c r="T52" s="932">
        <f t="shared" si="222"/>
        <v>0</v>
      </c>
      <c r="U52" s="932">
        <f t="shared" si="222"/>
        <v>0</v>
      </c>
      <c r="V52" s="932">
        <f t="shared" si="222"/>
        <v>0</v>
      </c>
      <c r="W52" s="932">
        <f t="shared" si="222"/>
        <v>0</v>
      </c>
      <c r="X52" s="932">
        <f t="shared" si="222"/>
        <v>0</v>
      </c>
      <c r="Y52" s="932">
        <f t="shared" si="222"/>
        <v>0</v>
      </c>
      <c r="Z52" s="932">
        <f t="shared" si="222"/>
        <v>0</v>
      </c>
      <c r="AA52" s="932">
        <f t="shared" si="222"/>
        <v>0</v>
      </c>
      <c r="AB52" s="933"/>
      <c r="AC52" s="933"/>
      <c r="AD52" s="933"/>
      <c r="AE52" s="942">
        <f t="shared" ca="1" si="199"/>
        <v>149.86000000000001</v>
      </c>
      <c r="AF52" s="956"/>
      <c r="AG52" s="1086"/>
      <c r="AH52" s="1090"/>
      <c r="AI52" s="1090"/>
      <c r="AJ52" s="1090"/>
      <c r="AK52" s="1090"/>
      <c r="AL52" s="1090"/>
      <c r="AM52" s="1090"/>
      <c r="AN52" s="1090"/>
      <c r="AO52" s="1090"/>
      <c r="AP52" s="1090"/>
      <c r="AQ52" s="1090"/>
      <c r="AR52" s="1090"/>
    </row>
    <row r="53" spans="1:45" s="927" customFormat="1" ht="21.95" hidden="1" customHeight="1" x14ac:dyDescent="0.15">
      <c r="A53" s="2513"/>
      <c r="B53" s="2606"/>
      <c r="C53" s="941" t="s">
        <v>449</v>
      </c>
      <c r="D53" s="2002"/>
      <c r="E53" s="1524"/>
      <c r="F53" s="936">
        <f t="shared" ref="F53:G53" ca="1" si="224">IF(F22=0,0,IF(F39&gt;1.5,F44+IF(F41=0,F40,0),0))</f>
        <v>0</v>
      </c>
      <c r="G53" s="936">
        <f t="shared" ca="1" si="224"/>
        <v>130.23539959058172</v>
      </c>
      <c r="H53" s="936">
        <f t="shared" ref="H53:M53" ca="1" si="225">IF(H22=0,0,IF(H39&gt;1.5,H44+IF(H41=0,H40,0),0))</f>
        <v>190.31936449965579</v>
      </c>
      <c r="I53" s="936">
        <f t="shared" ca="1" si="225"/>
        <v>0</v>
      </c>
      <c r="J53" s="936">
        <f t="shared" ca="1" si="225"/>
        <v>0</v>
      </c>
      <c r="K53" s="936">
        <f t="shared" ca="1" si="225"/>
        <v>0</v>
      </c>
      <c r="L53" s="936">
        <f t="shared" si="225"/>
        <v>0</v>
      </c>
      <c r="M53" s="936">
        <f t="shared" si="225"/>
        <v>0</v>
      </c>
      <c r="N53" s="936">
        <f t="shared" ref="N53:O53" si="226">IF(N22=0,0,IF(N39&gt;1.5,N44+IF(N41=0,N40,0),0))</f>
        <v>0</v>
      </c>
      <c r="O53" s="936">
        <f t="shared" si="226"/>
        <v>0</v>
      </c>
      <c r="P53" s="936">
        <f t="shared" ref="P53" si="227">IF(P22=0,0,IF(P39&gt;1.5,P44+IF(P41=0,P40,0),0))</f>
        <v>0</v>
      </c>
      <c r="Q53" s="936">
        <f t="shared" ref="Q53:AA53" si="228">IF(Q22=0,0,IF(Q39&gt;1.5,Q44+IF(Q41=0,Q40,0),0))</f>
        <v>0</v>
      </c>
      <c r="R53" s="936">
        <f t="shared" ref="R53" si="229">IF(R22=0,0,IF(R39&gt;1.5,R44+IF(R41=0,R40,0),0))</f>
        <v>0</v>
      </c>
      <c r="S53" s="936">
        <f t="shared" si="228"/>
        <v>130.92530639999998</v>
      </c>
      <c r="T53" s="936">
        <f t="shared" si="228"/>
        <v>0</v>
      </c>
      <c r="U53" s="936">
        <f t="shared" si="228"/>
        <v>0</v>
      </c>
      <c r="V53" s="936">
        <f t="shared" si="228"/>
        <v>0</v>
      </c>
      <c r="W53" s="936">
        <f t="shared" si="228"/>
        <v>0</v>
      </c>
      <c r="X53" s="936">
        <f t="shared" si="228"/>
        <v>0</v>
      </c>
      <c r="Y53" s="936">
        <f t="shared" si="228"/>
        <v>0</v>
      </c>
      <c r="Z53" s="936">
        <f t="shared" si="228"/>
        <v>0</v>
      </c>
      <c r="AA53" s="936">
        <f t="shared" si="228"/>
        <v>0</v>
      </c>
      <c r="AB53" s="937"/>
      <c r="AC53" s="937"/>
      <c r="AD53" s="937"/>
      <c r="AE53" s="945">
        <f t="shared" ca="1" si="199"/>
        <v>451.48</v>
      </c>
      <c r="AF53" s="956"/>
      <c r="AG53" s="1086"/>
      <c r="AH53" s="1090"/>
      <c r="AI53" s="1090"/>
      <c r="AJ53" s="1090"/>
      <c r="AK53" s="1090"/>
      <c r="AL53" s="1090"/>
      <c r="AM53" s="1090"/>
      <c r="AN53" s="1090"/>
      <c r="AO53" s="1090"/>
      <c r="AP53" s="1090"/>
      <c r="AQ53" s="1090"/>
      <c r="AR53" s="1090"/>
    </row>
    <row r="54" spans="1:45" s="927" customFormat="1" ht="21.95" hidden="1" customHeight="1" x14ac:dyDescent="0.15">
      <c r="A54" s="2513"/>
      <c r="B54" s="2606"/>
      <c r="C54" s="946" t="s">
        <v>450</v>
      </c>
      <c r="D54" s="2001"/>
      <c r="E54" s="1523"/>
      <c r="F54" s="934">
        <f t="shared" ref="F54:G54" ca="1" si="230">IF(F21=0,0,IF(F55=0,F43+IF(F41=0,F40,0),0))</f>
        <v>0</v>
      </c>
      <c r="G54" s="934">
        <f t="shared" ca="1" si="230"/>
        <v>0</v>
      </c>
      <c r="H54" s="934">
        <f t="shared" ref="H54:M54" ca="1" si="231">IF(H21=0,0,IF(H55=0,H43+IF(H41=0,H40,0),0))</f>
        <v>0</v>
      </c>
      <c r="I54" s="934">
        <f t="shared" ca="1" si="231"/>
        <v>0</v>
      </c>
      <c r="J54" s="934">
        <f t="shared" ca="1" si="231"/>
        <v>0</v>
      </c>
      <c r="K54" s="934">
        <f t="shared" ca="1" si="231"/>
        <v>0</v>
      </c>
      <c r="L54" s="934">
        <f t="shared" si="231"/>
        <v>0</v>
      </c>
      <c r="M54" s="934">
        <f t="shared" si="231"/>
        <v>0</v>
      </c>
      <c r="N54" s="934">
        <f t="shared" ref="N54:O54" si="232">IF(N21=0,0,IF(N55=0,N43+IF(N41=0,N40,0),0))</f>
        <v>0</v>
      </c>
      <c r="O54" s="934">
        <f t="shared" si="232"/>
        <v>0</v>
      </c>
      <c r="P54" s="934">
        <f t="shared" ref="P54" si="233">IF(P21=0,0,IF(P55=0,P43+IF(P41=0,P40,0),0))</f>
        <v>0</v>
      </c>
      <c r="Q54" s="934">
        <f t="shared" ref="Q54:AA54" si="234">IF(Q21=0,0,IF(Q55=0,Q43+IF(Q41=0,Q40,0),0))</f>
        <v>0</v>
      </c>
      <c r="R54" s="934">
        <f t="shared" ref="R54" si="235">IF(R21=0,0,IF(R55=0,R43+IF(R41=0,R40,0),0))</f>
        <v>0</v>
      </c>
      <c r="S54" s="934">
        <f t="shared" si="234"/>
        <v>0</v>
      </c>
      <c r="T54" s="934">
        <f t="shared" si="234"/>
        <v>0</v>
      </c>
      <c r="U54" s="934">
        <f t="shared" si="234"/>
        <v>0</v>
      </c>
      <c r="V54" s="934">
        <f t="shared" si="234"/>
        <v>0</v>
      </c>
      <c r="W54" s="934">
        <f t="shared" si="234"/>
        <v>0</v>
      </c>
      <c r="X54" s="934">
        <f t="shared" si="234"/>
        <v>0</v>
      </c>
      <c r="Y54" s="934">
        <f t="shared" si="234"/>
        <v>0</v>
      </c>
      <c r="Z54" s="934">
        <f t="shared" si="234"/>
        <v>0</v>
      </c>
      <c r="AA54" s="934">
        <f t="shared" si="234"/>
        <v>0</v>
      </c>
      <c r="AB54" s="933"/>
      <c r="AC54" s="933"/>
      <c r="AD54" s="933"/>
      <c r="AE54" s="942">
        <f t="shared" ca="1" si="199"/>
        <v>0</v>
      </c>
      <c r="AF54" s="956"/>
      <c r="AG54" s="1086"/>
      <c r="AH54" s="1090"/>
      <c r="AI54" s="1090"/>
      <c r="AJ54" s="1090"/>
      <c r="AK54" s="1090"/>
      <c r="AL54" s="1090"/>
      <c r="AM54" s="1090"/>
      <c r="AN54" s="1090"/>
      <c r="AO54" s="1090"/>
      <c r="AP54" s="1090"/>
      <c r="AQ54" s="1090"/>
      <c r="AR54" s="1090"/>
    </row>
    <row r="55" spans="1:45" s="927" customFormat="1" ht="21.95" hidden="1" customHeight="1" x14ac:dyDescent="0.15">
      <c r="A55" s="2513"/>
      <c r="B55" s="2606"/>
      <c r="C55" s="941" t="s">
        <v>451</v>
      </c>
      <c r="D55" s="2002"/>
      <c r="E55" s="1524"/>
      <c r="F55" s="936">
        <f t="shared" ref="F55:G55" ca="1" si="236">IF(F21=0,0,IF(F39&gt;1.5,F43+IF(F41=0,F40,0),0))</f>
        <v>0</v>
      </c>
      <c r="G55" s="936">
        <f t="shared" ca="1" si="236"/>
        <v>0</v>
      </c>
      <c r="H55" s="936">
        <f t="shared" ref="H55:M55" ca="1" si="237">IF(H21=0,0,IF(H39&gt;1.5,H43+IF(H41=0,H40,0),0))</f>
        <v>0</v>
      </c>
      <c r="I55" s="936">
        <f t="shared" ca="1" si="237"/>
        <v>322.54286379451838</v>
      </c>
      <c r="J55" s="936">
        <f t="shared" ca="1" si="237"/>
        <v>415.25583089609518</v>
      </c>
      <c r="K55" s="936">
        <f t="shared" ca="1" si="237"/>
        <v>394.54722452320613</v>
      </c>
      <c r="L55" s="936">
        <f t="shared" si="237"/>
        <v>0</v>
      </c>
      <c r="M55" s="936">
        <f t="shared" si="237"/>
        <v>0</v>
      </c>
      <c r="N55" s="936">
        <f t="shared" ref="N55:O55" si="238">IF(N21=0,0,IF(N39&gt;1.5,N43+IF(N41=0,N40,0),0))</f>
        <v>0</v>
      </c>
      <c r="O55" s="936">
        <f t="shared" si="238"/>
        <v>0</v>
      </c>
      <c r="P55" s="936">
        <f t="shared" ref="P55" si="239">IF(P21=0,0,IF(P39&gt;1.5,P43+IF(P41=0,P40,0),0))</f>
        <v>0</v>
      </c>
      <c r="Q55" s="936">
        <f t="shared" ref="Q55:AA55" si="240">IF(Q21=0,0,IF(Q39&gt;1.5,Q43+IF(Q41=0,Q40,0),0))</f>
        <v>0</v>
      </c>
      <c r="R55" s="936">
        <f t="shared" ref="R55" si="241">IF(R21=0,0,IF(R39&gt;1.5,R43+IF(R41=0,R40,0),0))</f>
        <v>0</v>
      </c>
      <c r="S55" s="936">
        <f t="shared" si="240"/>
        <v>0</v>
      </c>
      <c r="T55" s="936">
        <f t="shared" si="240"/>
        <v>0</v>
      </c>
      <c r="U55" s="936">
        <f t="shared" si="240"/>
        <v>0</v>
      </c>
      <c r="V55" s="936">
        <f t="shared" si="240"/>
        <v>0</v>
      </c>
      <c r="W55" s="936">
        <f t="shared" si="240"/>
        <v>0</v>
      </c>
      <c r="X55" s="936">
        <f t="shared" si="240"/>
        <v>0</v>
      </c>
      <c r="Y55" s="936">
        <f t="shared" si="240"/>
        <v>0</v>
      </c>
      <c r="Z55" s="936">
        <f t="shared" si="240"/>
        <v>0</v>
      </c>
      <c r="AA55" s="936">
        <f t="shared" si="240"/>
        <v>0</v>
      </c>
      <c r="AB55" s="937"/>
      <c r="AC55" s="937"/>
      <c r="AD55" s="937"/>
      <c r="AE55" s="945">
        <f t="shared" ca="1" si="199"/>
        <v>1132.3399999999999</v>
      </c>
      <c r="AF55" s="956"/>
      <c r="AG55" s="1086"/>
      <c r="AH55" s="1090"/>
      <c r="AI55" s="1090"/>
      <c r="AJ55" s="1090"/>
      <c r="AK55" s="1090"/>
      <c r="AL55" s="1090"/>
      <c r="AM55" s="1090"/>
      <c r="AN55" s="1090"/>
      <c r="AO55" s="1090"/>
      <c r="AP55" s="1090"/>
      <c r="AQ55" s="1090"/>
      <c r="AR55" s="1090"/>
    </row>
    <row r="56" spans="1:45" s="927" customFormat="1" ht="21.95" hidden="1" customHeight="1" x14ac:dyDescent="0.15">
      <c r="A56" s="2513"/>
      <c r="B56" s="2606"/>
      <c r="C56" s="941" t="s">
        <v>452</v>
      </c>
      <c r="D56" s="2001"/>
      <c r="E56" s="1523"/>
      <c r="F56" s="934">
        <f t="shared" ref="F56:G56" ca="1" si="242">IF(F20=0,0,IF(F57=0,F42+IF(F41=0,F40,0),0))</f>
        <v>0</v>
      </c>
      <c r="G56" s="934">
        <f t="shared" ca="1" si="242"/>
        <v>0</v>
      </c>
      <c r="H56" s="934">
        <f t="shared" ref="H56:M56" ca="1" si="243">IF(H20=0,0,IF(H57=0,H42+IF(H41=0,H40,0),0))</f>
        <v>0</v>
      </c>
      <c r="I56" s="934">
        <f t="shared" ca="1" si="243"/>
        <v>0</v>
      </c>
      <c r="J56" s="934">
        <f t="shared" ca="1" si="243"/>
        <v>0</v>
      </c>
      <c r="K56" s="934">
        <f t="shared" ca="1" si="243"/>
        <v>0</v>
      </c>
      <c r="L56" s="934">
        <f t="shared" si="243"/>
        <v>0</v>
      </c>
      <c r="M56" s="934">
        <f t="shared" si="243"/>
        <v>0</v>
      </c>
      <c r="N56" s="934">
        <f t="shared" ref="N56:O56" si="244">IF(N20=0,0,IF(N57=0,N42+IF(N41=0,N40,0),0))</f>
        <v>0</v>
      </c>
      <c r="O56" s="934">
        <f t="shared" si="244"/>
        <v>0</v>
      </c>
      <c r="P56" s="934">
        <f t="shared" ref="P56" si="245">IF(P20=0,0,IF(P57=0,P42+IF(P41=0,P40,0),0))</f>
        <v>0</v>
      </c>
      <c r="Q56" s="934">
        <f t="shared" ref="Q56:AA56" si="246">IF(Q20=0,0,IF(Q57=0,Q42+IF(Q41=0,Q40,0),0))</f>
        <v>0</v>
      </c>
      <c r="R56" s="934">
        <f t="shared" ref="R56" si="247">IF(R20=0,0,IF(R57=0,R42+IF(R41=0,R40,0),0))</f>
        <v>0</v>
      </c>
      <c r="S56" s="934">
        <f t="shared" si="246"/>
        <v>0</v>
      </c>
      <c r="T56" s="934">
        <f t="shared" si="246"/>
        <v>0</v>
      </c>
      <c r="U56" s="934">
        <f t="shared" si="246"/>
        <v>0</v>
      </c>
      <c r="V56" s="934">
        <f t="shared" si="246"/>
        <v>0</v>
      </c>
      <c r="W56" s="934">
        <f t="shared" si="246"/>
        <v>0</v>
      </c>
      <c r="X56" s="934">
        <f t="shared" si="246"/>
        <v>0</v>
      </c>
      <c r="Y56" s="934">
        <f t="shared" si="246"/>
        <v>0</v>
      </c>
      <c r="Z56" s="934">
        <f t="shared" si="246"/>
        <v>0</v>
      </c>
      <c r="AA56" s="934">
        <f t="shared" si="246"/>
        <v>0</v>
      </c>
      <c r="AB56" s="935"/>
      <c r="AC56" s="935"/>
      <c r="AD56" s="935"/>
      <c r="AE56" s="944">
        <f t="shared" ca="1" si="199"/>
        <v>0</v>
      </c>
      <c r="AF56" s="956"/>
      <c r="AG56" s="1086"/>
      <c r="AH56" s="1090"/>
      <c r="AI56" s="1090"/>
      <c r="AJ56" s="1090"/>
      <c r="AK56" s="1090"/>
      <c r="AL56" s="1090"/>
      <c r="AM56" s="1090"/>
      <c r="AN56" s="1090"/>
      <c r="AO56" s="1090"/>
      <c r="AP56" s="1090"/>
      <c r="AQ56" s="1090"/>
      <c r="AR56" s="1090"/>
    </row>
    <row r="57" spans="1:45" s="927" customFormat="1" ht="21.95" hidden="1" customHeight="1" x14ac:dyDescent="0.15">
      <c r="A57" s="2513"/>
      <c r="B57" s="2606"/>
      <c r="C57" s="941" t="s">
        <v>453</v>
      </c>
      <c r="D57" s="2002"/>
      <c r="E57" s="1524"/>
      <c r="F57" s="936">
        <f t="shared" ref="F57:G57" ca="1" si="248">IF(F20=0,0,IF(F39&gt;1.5,F42+IF(F41=0,F40,0),0))</f>
        <v>0</v>
      </c>
      <c r="G57" s="936">
        <f t="shared" ca="1" si="248"/>
        <v>0</v>
      </c>
      <c r="H57" s="936">
        <f t="shared" ref="H57:M57" ca="1" si="249">IF(H20=0,0,IF(H39&gt;1.5,H42+IF(H41=0,H40,0),0))</f>
        <v>0</v>
      </c>
      <c r="I57" s="936">
        <f t="shared" ca="1" si="249"/>
        <v>0</v>
      </c>
      <c r="J57" s="936">
        <f t="shared" ca="1" si="249"/>
        <v>0</v>
      </c>
      <c r="K57" s="936">
        <f t="shared" ca="1" si="249"/>
        <v>0</v>
      </c>
      <c r="L57" s="936">
        <f t="shared" si="249"/>
        <v>0</v>
      </c>
      <c r="M57" s="936">
        <f t="shared" si="249"/>
        <v>0</v>
      </c>
      <c r="N57" s="936">
        <f t="shared" ref="N57:O57" si="250">IF(N20=0,0,IF(N39&gt;1.5,N42+IF(N41=0,N40,0),0))</f>
        <v>0</v>
      </c>
      <c r="O57" s="936">
        <f t="shared" si="250"/>
        <v>0</v>
      </c>
      <c r="P57" s="936">
        <f t="shared" ref="P57" si="251">IF(P20=0,0,IF(P39&gt;1.5,P42+IF(P41=0,P40,0),0))</f>
        <v>0</v>
      </c>
      <c r="Q57" s="936">
        <f t="shared" ref="Q57:AA57" si="252">IF(Q20=0,0,IF(Q39&gt;1.5,Q42+IF(Q41=0,Q40,0),0))</f>
        <v>0</v>
      </c>
      <c r="R57" s="936">
        <f t="shared" ref="R57" si="253">IF(R20=0,0,IF(R39&gt;1.5,R42+IF(R41=0,R40,0),0))</f>
        <v>0</v>
      </c>
      <c r="S57" s="936">
        <f t="shared" si="252"/>
        <v>0</v>
      </c>
      <c r="T57" s="936">
        <f t="shared" si="252"/>
        <v>0</v>
      </c>
      <c r="U57" s="936">
        <f t="shared" si="252"/>
        <v>0</v>
      </c>
      <c r="V57" s="936">
        <f t="shared" si="252"/>
        <v>0</v>
      </c>
      <c r="W57" s="936">
        <f t="shared" si="252"/>
        <v>0</v>
      </c>
      <c r="X57" s="936">
        <f t="shared" si="252"/>
        <v>0</v>
      </c>
      <c r="Y57" s="936">
        <f t="shared" si="252"/>
        <v>0</v>
      </c>
      <c r="Z57" s="936">
        <f t="shared" si="252"/>
        <v>0</v>
      </c>
      <c r="AA57" s="936">
        <f t="shared" si="252"/>
        <v>0</v>
      </c>
      <c r="AB57" s="937"/>
      <c r="AC57" s="937"/>
      <c r="AD57" s="937"/>
      <c r="AE57" s="945">
        <f t="shared" ca="1" si="199"/>
        <v>0</v>
      </c>
      <c r="AF57" s="956"/>
      <c r="AG57" s="1086"/>
      <c r="AH57" s="1090"/>
      <c r="AI57" s="1090"/>
      <c r="AJ57" s="1090"/>
      <c r="AK57" s="1090"/>
      <c r="AL57" s="1090"/>
      <c r="AM57" s="1090"/>
      <c r="AN57" s="1090"/>
      <c r="AO57" s="1090"/>
      <c r="AP57" s="1090"/>
      <c r="AQ57" s="1090"/>
      <c r="AR57" s="1090"/>
    </row>
    <row r="58" spans="1:45" s="927" customFormat="1" ht="21.95" hidden="1" customHeight="1" thickBot="1" x14ac:dyDescent="0.2">
      <c r="A58" s="2513"/>
      <c r="B58" s="2607"/>
      <c r="C58" s="947" t="s">
        <v>365</v>
      </c>
      <c r="D58" s="1996"/>
      <c r="E58" s="1520"/>
      <c r="F58" s="938" t="str">
        <f t="shared" ref="F58:G58" ca="1" si="254">IF(TRUNC(SUM(F59:F79),0)=TRUNC(SUM(F40:F45),0),"OK","ERRO")</f>
        <v>OK</v>
      </c>
      <c r="G58" s="938" t="str">
        <f t="shared" ca="1" si="254"/>
        <v>OK</v>
      </c>
      <c r="H58" s="938" t="str">
        <f t="shared" ref="H58:M58" ca="1" si="255">IF(TRUNC(SUM(H59:H79),0)=TRUNC(SUM(H40:H45),0),"OK","ERRO")</f>
        <v>OK</v>
      </c>
      <c r="I58" s="938" t="str">
        <f t="shared" ca="1" si="255"/>
        <v>OK</v>
      </c>
      <c r="J58" s="938" t="str">
        <f t="shared" ca="1" si="255"/>
        <v>OK</v>
      </c>
      <c r="K58" s="938" t="str">
        <f t="shared" ca="1" si="255"/>
        <v>OK</v>
      </c>
      <c r="L58" s="938" t="str">
        <f t="shared" si="255"/>
        <v>OK</v>
      </c>
      <c r="M58" s="938" t="str">
        <f t="shared" si="255"/>
        <v>OK</v>
      </c>
      <c r="N58" s="938" t="str">
        <f t="shared" ref="N58:O58" si="256">IF(TRUNC(SUM(N59:N79),0)=TRUNC(SUM(N40:N45),0),"OK","ERRO")</f>
        <v>OK</v>
      </c>
      <c r="O58" s="938" t="str">
        <f t="shared" si="256"/>
        <v>OK</v>
      </c>
      <c r="P58" s="938" t="str">
        <f t="shared" ref="P58" si="257">IF(TRUNC(SUM(P59:P79),0)=TRUNC(SUM(P40:P45),0),"OK","ERRO")</f>
        <v>OK</v>
      </c>
      <c r="Q58" s="938" t="str">
        <f t="shared" ref="Q58:AA58" si="258">IF(TRUNC(SUM(Q59:Q79),0)=TRUNC(SUM(Q40:Q45),0),"OK","ERRO")</f>
        <v>OK</v>
      </c>
      <c r="R58" s="938" t="str">
        <f t="shared" ref="R58" si="259">IF(TRUNC(SUM(R59:R79),0)=TRUNC(SUM(R40:R45),0),"OK","ERRO")</f>
        <v>OK</v>
      </c>
      <c r="S58" s="938" t="str">
        <f t="shared" si="258"/>
        <v>OK</v>
      </c>
      <c r="T58" s="938" t="str">
        <f t="shared" si="258"/>
        <v>OK</v>
      </c>
      <c r="U58" s="938" t="str">
        <f t="shared" si="258"/>
        <v>OK</v>
      </c>
      <c r="V58" s="938" t="str">
        <f t="shared" si="258"/>
        <v>OK</v>
      </c>
      <c r="W58" s="938" t="str">
        <f t="shared" si="258"/>
        <v>OK</v>
      </c>
      <c r="X58" s="938" t="str">
        <f t="shared" si="258"/>
        <v>OK</v>
      </c>
      <c r="Y58" s="938" t="str">
        <f t="shared" si="258"/>
        <v>OK</v>
      </c>
      <c r="Z58" s="938" t="str">
        <f t="shared" si="258"/>
        <v>OK</v>
      </c>
      <c r="AA58" s="938" t="str">
        <f t="shared" si="258"/>
        <v>OK</v>
      </c>
      <c r="AB58" s="938"/>
      <c r="AC58" s="938"/>
      <c r="AD58" s="938"/>
      <c r="AE58" s="930"/>
      <c r="AF58" s="956"/>
      <c r="AG58" s="1086"/>
      <c r="AH58" s="1090"/>
      <c r="AI58" s="1090"/>
      <c r="AJ58" s="1090"/>
      <c r="AK58" s="1090"/>
      <c r="AL58" s="1090"/>
      <c r="AM58" s="1090"/>
      <c r="AN58" s="1090"/>
      <c r="AO58" s="1090"/>
      <c r="AP58" s="1090"/>
      <c r="AQ58" s="1090"/>
      <c r="AR58" s="1090"/>
    </row>
    <row r="59" spans="1:45" s="927" customFormat="1" ht="21.95" hidden="1" customHeight="1" x14ac:dyDescent="0.15">
      <c r="A59" s="2513"/>
      <c r="B59" s="2596" t="s">
        <v>1099</v>
      </c>
      <c r="C59" s="593" t="s">
        <v>690</v>
      </c>
      <c r="D59" s="1995"/>
      <c r="E59" s="1525"/>
      <c r="F59" s="158">
        <f t="shared" ref="F59:G59" si="260">IF(F41&gt;0,F40+F41,0)</f>
        <v>0</v>
      </c>
      <c r="G59" s="158">
        <f t="shared" si="260"/>
        <v>0</v>
      </c>
      <c r="H59" s="158">
        <f t="shared" ref="H59:M59" si="261">IF(H41&gt;0,H40+H41,0)</f>
        <v>0</v>
      </c>
      <c r="I59" s="158">
        <f t="shared" si="261"/>
        <v>0</v>
      </c>
      <c r="J59" s="158">
        <f t="shared" si="261"/>
        <v>0</v>
      </c>
      <c r="K59" s="158">
        <f t="shared" si="261"/>
        <v>0</v>
      </c>
      <c r="L59" s="158">
        <f t="shared" si="261"/>
        <v>0</v>
      </c>
      <c r="M59" s="158">
        <f t="shared" si="261"/>
        <v>0</v>
      </c>
      <c r="N59" s="158">
        <f t="shared" ref="N59:O59" si="262">IF(N41&gt;0,N40+N41,0)</f>
        <v>0</v>
      </c>
      <c r="O59" s="158">
        <f t="shared" si="262"/>
        <v>0</v>
      </c>
      <c r="P59" s="158">
        <f t="shared" ref="P59" si="263">IF(P41&gt;0,P40+P41,0)</f>
        <v>0</v>
      </c>
      <c r="Q59" s="158">
        <f t="shared" ref="Q59:AA59" si="264">IF(Q41&gt;0,Q40+Q41,0)</f>
        <v>0</v>
      </c>
      <c r="R59" s="158">
        <f t="shared" ref="R59" si="265">IF(R41&gt;0,R40+R41,0)</f>
        <v>0</v>
      </c>
      <c r="S59" s="158">
        <f t="shared" si="264"/>
        <v>0</v>
      </c>
      <c r="T59" s="158">
        <f t="shared" si="264"/>
        <v>0</v>
      </c>
      <c r="U59" s="158">
        <f t="shared" si="264"/>
        <v>0</v>
      </c>
      <c r="V59" s="158">
        <f t="shared" si="264"/>
        <v>0</v>
      </c>
      <c r="W59" s="158">
        <f t="shared" si="264"/>
        <v>0</v>
      </c>
      <c r="X59" s="158">
        <f t="shared" si="264"/>
        <v>0</v>
      </c>
      <c r="Y59" s="158">
        <f t="shared" si="264"/>
        <v>0</v>
      </c>
      <c r="Z59" s="158">
        <f t="shared" si="264"/>
        <v>0</v>
      </c>
      <c r="AA59" s="158">
        <f t="shared" si="264"/>
        <v>0</v>
      </c>
      <c r="AB59" s="950"/>
      <c r="AC59" s="950"/>
      <c r="AD59" s="950"/>
      <c r="AE59" s="350">
        <f t="shared" ref="AE59:AE86" si="266">TRUNC(SUM(F59:AD59),2)</f>
        <v>0</v>
      </c>
      <c r="AF59" s="578">
        <f t="shared" ref="AF59:AF90" si="267">SUM(F59:AE59)</f>
        <v>0</v>
      </c>
      <c r="AG59" s="1086"/>
      <c r="AH59" s="1090"/>
      <c r="AI59" s="1090"/>
      <c r="AJ59" s="1090"/>
      <c r="AK59" s="1090"/>
      <c r="AL59" s="1090"/>
      <c r="AM59" s="1090"/>
      <c r="AN59" s="1090"/>
      <c r="AO59" s="1090"/>
      <c r="AP59" s="1090"/>
      <c r="AQ59" s="1090"/>
      <c r="AR59" s="1090"/>
    </row>
    <row r="60" spans="1:45" s="589" customFormat="1" ht="21.95" hidden="1" customHeight="1" thickBot="1" x14ac:dyDescent="0.2">
      <c r="A60" s="2513"/>
      <c r="B60" s="2597"/>
      <c r="C60" s="597" t="s">
        <v>447</v>
      </c>
      <c r="D60" s="2001"/>
      <c r="E60" s="1526"/>
      <c r="F60" s="458">
        <f t="shared" ref="F60:G69" ca="1" si="268">IF(F$29=1,F48,0)</f>
        <v>0</v>
      </c>
      <c r="G60" s="458">
        <f t="shared" ca="1" si="268"/>
        <v>0</v>
      </c>
      <c r="H60" s="458">
        <f t="shared" ref="H60:M60" ca="1" si="269">IF(H$29=1,H48,0)</f>
        <v>0</v>
      </c>
      <c r="I60" s="458">
        <f t="shared" ca="1" si="269"/>
        <v>0</v>
      </c>
      <c r="J60" s="458">
        <f t="shared" ca="1" si="269"/>
        <v>0</v>
      </c>
      <c r="K60" s="458">
        <f t="shared" ca="1" si="269"/>
        <v>0</v>
      </c>
      <c r="L60" s="458">
        <f t="shared" si="269"/>
        <v>0</v>
      </c>
      <c r="M60" s="458">
        <f t="shared" si="269"/>
        <v>0</v>
      </c>
      <c r="N60" s="458">
        <f t="shared" ref="N60:O60" si="270">IF(N$29=1,N48,0)</f>
        <v>0</v>
      </c>
      <c r="O60" s="458">
        <f t="shared" si="270"/>
        <v>0</v>
      </c>
      <c r="P60" s="2362">
        <f t="shared" ref="P60" si="271">IF(P$29=1,P48,0)</f>
        <v>0</v>
      </c>
      <c r="Q60" s="458">
        <f t="shared" ref="Q60:AA60" si="272">IF(Q$29=1,Q48,0)</f>
        <v>0</v>
      </c>
      <c r="R60" s="458">
        <f t="shared" ref="R60" si="273">IF(R$29=1,R48,0)</f>
        <v>0</v>
      </c>
      <c r="S60" s="458">
        <f t="shared" si="272"/>
        <v>0</v>
      </c>
      <c r="T60" s="458">
        <f t="shared" si="272"/>
        <v>0</v>
      </c>
      <c r="U60" s="458">
        <f t="shared" si="272"/>
        <v>0</v>
      </c>
      <c r="V60" s="458">
        <f t="shared" si="272"/>
        <v>0</v>
      </c>
      <c r="W60" s="458">
        <f t="shared" si="272"/>
        <v>0</v>
      </c>
      <c r="X60" s="458">
        <f t="shared" si="272"/>
        <v>0</v>
      </c>
      <c r="Y60" s="458">
        <f t="shared" si="272"/>
        <v>0</v>
      </c>
      <c r="Z60" s="458">
        <f t="shared" si="272"/>
        <v>0</v>
      </c>
      <c r="AA60" s="458">
        <f t="shared" si="272"/>
        <v>0</v>
      </c>
      <c r="AB60" s="458"/>
      <c r="AC60" s="458"/>
      <c r="AD60" s="458"/>
      <c r="AE60" s="596">
        <f t="shared" ca="1" si="266"/>
        <v>0</v>
      </c>
      <c r="AF60" s="578">
        <f t="shared" ca="1" si="267"/>
        <v>0</v>
      </c>
      <c r="AG60" s="1086"/>
      <c r="AH60" s="1088"/>
      <c r="AI60" s="1088"/>
      <c r="AJ60" s="1088"/>
      <c r="AK60" s="1088"/>
      <c r="AL60" s="1088"/>
      <c r="AM60" s="1088"/>
      <c r="AN60" s="1088"/>
      <c r="AO60" s="1088"/>
      <c r="AP60" s="1088"/>
      <c r="AQ60" s="1088"/>
      <c r="AR60" s="1088"/>
    </row>
    <row r="61" spans="1:45" s="589" customFormat="1" ht="21.95" customHeight="1" x14ac:dyDescent="0.15">
      <c r="A61" s="2513"/>
      <c r="B61" s="2596"/>
      <c r="C61" s="929" t="s">
        <v>455</v>
      </c>
      <c r="D61" s="2001"/>
      <c r="E61" s="1526"/>
      <c r="F61" s="238">
        <f t="shared" ca="1" si="268"/>
        <v>0</v>
      </c>
      <c r="G61" s="238">
        <f t="shared" ref="G61:G66" ca="1" si="274">IF(G$29=1,G49,0)</f>
        <v>0</v>
      </c>
      <c r="H61" s="238">
        <f t="shared" ref="H61:M61" ca="1" si="275">IF(H$29=1,H49,0)</f>
        <v>0</v>
      </c>
      <c r="I61" s="238">
        <f t="shared" ca="1" si="275"/>
        <v>0</v>
      </c>
      <c r="J61" s="238">
        <f t="shared" ca="1" si="275"/>
        <v>0</v>
      </c>
      <c r="K61" s="238">
        <f t="shared" ca="1" si="275"/>
        <v>0</v>
      </c>
      <c r="L61" s="238">
        <f t="shared" si="275"/>
        <v>0</v>
      </c>
      <c r="M61" s="238">
        <f t="shared" si="275"/>
        <v>0</v>
      </c>
      <c r="N61" s="238">
        <f t="shared" ref="N61:O61" si="276">IF(N$29=1,N49,0)</f>
        <v>0</v>
      </c>
      <c r="O61" s="238">
        <f t="shared" si="276"/>
        <v>0</v>
      </c>
      <c r="P61" s="158">
        <f t="shared" ref="P61" si="277">IF(P$29=1,P49,0)</f>
        <v>0</v>
      </c>
      <c r="Q61" s="238">
        <f t="shared" ref="Q61:AA61" si="278">IF(Q$29=1,Q49,0)</f>
        <v>307.39201920000005</v>
      </c>
      <c r="R61" s="238">
        <f t="shared" ref="R61" si="279">IF(R$29=1,R49,0)</f>
        <v>0</v>
      </c>
      <c r="S61" s="238">
        <f t="shared" si="278"/>
        <v>0</v>
      </c>
      <c r="T61" s="458">
        <f t="shared" si="278"/>
        <v>0</v>
      </c>
      <c r="U61" s="458">
        <f t="shared" si="278"/>
        <v>0</v>
      </c>
      <c r="V61" s="458">
        <f t="shared" si="278"/>
        <v>0</v>
      </c>
      <c r="W61" s="458">
        <f t="shared" si="278"/>
        <v>0</v>
      </c>
      <c r="X61" s="458">
        <f t="shared" si="278"/>
        <v>0</v>
      </c>
      <c r="Y61" s="458">
        <f t="shared" si="278"/>
        <v>0</v>
      </c>
      <c r="Z61" s="458">
        <f t="shared" si="278"/>
        <v>0</v>
      </c>
      <c r="AA61" s="458">
        <f t="shared" si="278"/>
        <v>0</v>
      </c>
      <c r="AB61" s="458"/>
      <c r="AC61" s="458"/>
      <c r="AD61" s="458"/>
      <c r="AE61" s="362">
        <f t="shared" ca="1" si="266"/>
        <v>307.39</v>
      </c>
      <c r="AF61" s="578">
        <f t="shared" ca="1" si="267"/>
        <v>614.78201920000004</v>
      </c>
      <c r="AG61" s="1086"/>
      <c r="AH61" s="1088"/>
      <c r="AI61" s="1088"/>
      <c r="AJ61" s="1088"/>
      <c r="AK61" s="1088"/>
      <c r="AL61" s="1088"/>
      <c r="AM61" s="1088"/>
      <c r="AN61" s="1088"/>
      <c r="AO61" s="1088"/>
      <c r="AP61" s="1088"/>
      <c r="AQ61" s="1088"/>
      <c r="AR61" s="1088"/>
    </row>
    <row r="62" spans="1:45" s="589" customFormat="1" ht="21.95" hidden="1" customHeight="1" x14ac:dyDescent="0.15">
      <c r="A62" s="2513"/>
      <c r="B62" s="2597"/>
      <c r="C62" s="597" t="s">
        <v>448</v>
      </c>
      <c r="D62" s="1995"/>
      <c r="E62" s="591"/>
      <c r="F62" s="158">
        <f t="shared" ca="1" si="268"/>
        <v>0</v>
      </c>
      <c r="G62" s="158">
        <f t="shared" ca="1" si="274"/>
        <v>0</v>
      </c>
      <c r="H62" s="158">
        <f t="shared" ref="H62:M62" ca="1" si="280">IF(H$29=1,H50,0)</f>
        <v>0</v>
      </c>
      <c r="I62" s="158">
        <f t="shared" ca="1" si="280"/>
        <v>0</v>
      </c>
      <c r="J62" s="158">
        <f t="shared" ca="1" si="280"/>
        <v>0</v>
      </c>
      <c r="K62" s="158">
        <f t="shared" ca="1" si="280"/>
        <v>0</v>
      </c>
      <c r="L62" s="158">
        <f t="shared" si="280"/>
        <v>0</v>
      </c>
      <c r="M62" s="158">
        <f t="shared" si="280"/>
        <v>0</v>
      </c>
      <c r="N62" s="158">
        <f t="shared" ref="N62:O62" si="281">IF(N$29=1,N50,0)</f>
        <v>0</v>
      </c>
      <c r="O62" s="158">
        <f t="shared" si="281"/>
        <v>0</v>
      </c>
      <c r="P62" s="158">
        <f t="shared" ref="P62" si="282">IF(P$29=1,P50,0)</f>
        <v>0</v>
      </c>
      <c r="Q62" s="158">
        <f t="shared" ref="Q62:AA62" si="283">IF(Q$29=1,Q50,0)</f>
        <v>0</v>
      </c>
      <c r="R62" s="158">
        <f t="shared" ref="R62" si="284">IF(R$29=1,R50,0)</f>
        <v>0</v>
      </c>
      <c r="S62" s="158">
        <f t="shared" si="283"/>
        <v>0</v>
      </c>
      <c r="T62" s="158">
        <f t="shared" si="283"/>
        <v>0</v>
      </c>
      <c r="U62" s="158">
        <f t="shared" si="283"/>
        <v>0</v>
      </c>
      <c r="V62" s="158">
        <f t="shared" si="283"/>
        <v>0</v>
      </c>
      <c r="W62" s="158">
        <f t="shared" si="283"/>
        <v>0</v>
      </c>
      <c r="X62" s="158">
        <f t="shared" si="283"/>
        <v>0</v>
      </c>
      <c r="Y62" s="158">
        <f t="shared" si="283"/>
        <v>0</v>
      </c>
      <c r="Z62" s="158">
        <f t="shared" si="283"/>
        <v>0</v>
      </c>
      <c r="AA62" s="158">
        <f t="shared" si="283"/>
        <v>0</v>
      </c>
      <c r="AB62" s="159"/>
      <c r="AC62" s="159"/>
      <c r="AD62" s="159"/>
      <c r="AE62" s="350">
        <f t="shared" ca="1" si="266"/>
        <v>0</v>
      </c>
      <c r="AF62" s="578">
        <f t="shared" ca="1" si="267"/>
        <v>0</v>
      </c>
      <c r="AG62" s="1086"/>
      <c r="AH62" s="1088"/>
      <c r="AI62" s="1088"/>
      <c r="AJ62" s="1088"/>
      <c r="AK62" s="1088"/>
      <c r="AL62" s="1088"/>
      <c r="AM62" s="1088"/>
      <c r="AN62" s="1088"/>
      <c r="AO62" s="1088"/>
      <c r="AP62" s="1088"/>
      <c r="AQ62" s="1088"/>
      <c r="AR62" s="1088"/>
    </row>
    <row r="63" spans="1:45" s="589" customFormat="1" ht="21.95" hidden="1" customHeight="1" x14ac:dyDescent="0.15">
      <c r="A63" s="2513"/>
      <c r="B63" s="2597"/>
      <c r="C63" s="590" t="s">
        <v>611</v>
      </c>
      <c r="D63" s="2001"/>
      <c r="E63" s="1526"/>
      <c r="F63" s="458">
        <f t="shared" ca="1" si="268"/>
        <v>0</v>
      </c>
      <c r="G63" s="458">
        <f t="shared" ca="1" si="274"/>
        <v>0</v>
      </c>
      <c r="H63" s="458">
        <f t="shared" ref="H63:M63" ca="1" si="285">IF(H$29=1,H51,0)</f>
        <v>0</v>
      </c>
      <c r="I63" s="458">
        <f t="shared" ca="1" si="285"/>
        <v>0</v>
      </c>
      <c r="J63" s="458">
        <f t="shared" ca="1" si="285"/>
        <v>0</v>
      </c>
      <c r="K63" s="458">
        <f t="shared" ca="1" si="285"/>
        <v>0</v>
      </c>
      <c r="L63" s="458">
        <f t="shared" si="285"/>
        <v>0</v>
      </c>
      <c r="M63" s="458">
        <f t="shared" si="285"/>
        <v>0</v>
      </c>
      <c r="N63" s="458">
        <f t="shared" ref="N63:O63" si="286">IF(N$29=1,N51,0)</f>
        <v>0</v>
      </c>
      <c r="O63" s="458">
        <f t="shared" si="286"/>
        <v>0</v>
      </c>
      <c r="P63" s="458">
        <f t="shared" ref="P63" si="287">IF(P$29=1,P51,0)</f>
        <v>0</v>
      </c>
      <c r="Q63" s="458">
        <f t="shared" ref="Q63:AA63" si="288">IF(Q$29=1,Q51,0)</f>
        <v>0</v>
      </c>
      <c r="R63" s="458">
        <f t="shared" ref="R63" si="289">IF(R$29=1,R51,0)</f>
        <v>0</v>
      </c>
      <c r="S63" s="458">
        <f t="shared" si="288"/>
        <v>0</v>
      </c>
      <c r="T63" s="458">
        <f t="shared" si="288"/>
        <v>0</v>
      </c>
      <c r="U63" s="458">
        <f t="shared" si="288"/>
        <v>0</v>
      </c>
      <c r="V63" s="458">
        <f t="shared" si="288"/>
        <v>0</v>
      </c>
      <c r="W63" s="458">
        <f t="shared" si="288"/>
        <v>0</v>
      </c>
      <c r="X63" s="458">
        <f t="shared" si="288"/>
        <v>0</v>
      </c>
      <c r="Y63" s="458">
        <f t="shared" si="288"/>
        <v>0</v>
      </c>
      <c r="Z63" s="458">
        <f t="shared" si="288"/>
        <v>0</v>
      </c>
      <c r="AA63" s="458">
        <f t="shared" si="288"/>
        <v>0</v>
      </c>
      <c r="AB63" s="457"/>
      <c r="AC63" s="457"/>
      <c r="AD63" s="457"/>
      <c r="AE63" s="596">
        <f t="shared" ca="1" si="266"/>
        <v>0</v>
      </c>
      <c r="AF63" s="578">
        <f t="shared" ca="1" si="267"/>
        <v>0</v>
      </c>
      <c r="AG63" s="1086"/>
      <c r="AH63" s="1088"/>
      <c r="AI63" s="1088"/>
      <c r="AJ63" s="1088"/>
      <c r="AK63" s="1088"/>
      <c r="AL63" s="1088"/>
      <c r="AM63" s="1088"/>
      <c r="AN63" s="1088"/>
      <c r="AO63" s="1088"/>
      <c r="AP63" s="1088"/>
      <c r="AQ63" s="1088"/>
      <c r="AR63" s="1088"/>
    </row>
    <row r="64" spans="1:45" s="589" customFormat="1" ht="21.95" customHeight="1" thickBot="1" x14ac:dyDescent="0.2">
      <c r="A64" s="2513"/>
      <c r="B64" s="2597"/>
      <c r="C64" s="590" t="s">
        <v>456</v>
      </c>
      <c r="D64" s="1995"/>
      <c r="E64" s="591"/>
      <c r="F64" s="158">
        <f t="shared" ca="1" si="268"/>
        <v>149.86969919999814</v>
      </c>
      <c r="G64" s="158">
        <f t="shared" ca="1" si="274"/>
        <v>0</v>
      </c>
      <c r="H64" s="158">
        <f t="shared" ref="H64:M64" ca="1" si="290">IF(H$29=1,H52,0)</f>
        <v>0</v>
      </c>
      <c r="I64" s="158">
        <f t="shared" ca="1" si="290"/>
        <v>0</v>
      </c>
      <c r="J64" s="158">
        <f t="shared" ca="1" si="290"/>
        <v>0</v>
      </c>
      <c r="K64" s="158">
        <f t="shared" ca="1" si="290"/>
        <v>0</v>
      </c>
      <c r="L64" s="158">
        <f t="shared" si="290"/>
        <v>0</v>
      </c>
      <c r="M64" s="158">
        <f t="shared" si="290"/>
        <v>0</v>
      </c>
      <c r="N64" s="158">
        <f t="shared" ref="N64:O64" si="291">IF(N$29=1,N52,0)</f>
        <v>0</v>
      </c>
      <c r="O64" s="158">
        <f t="shared" si="291"/>
        <v>0</v>
      </c>
      <c r="P64" s="158">
        <f t="shared" ref="P64" si="292">IF(P$29=1,P52,0)</f>
        <v>0</v>
      </c>
      <c r="Q64" s="158">
        <f t="shared" ref="Q64:AA64" si="293">IF(Q$29=1,Q52,0)</f>
        <v>0</v>
      </c>
      <c r="R64" s="158">
        <f t="shared" ref="R64" si="294">IF(R$29=1,R52,0)</f>
        <v>0</v>
      </c>
      <c r="S64" s="158">
        <f t="shared" si="293"/>
        <v>0</v>
      </c>
      <c r="T64" s="158">
        <f t="shared" si="293"/>
        <v>0</v>
      </c>
      <c r="U64" s="158">
        <f t="shared" si="293"/>
        <v>0</v>
      </c>
      <c r="V64" s="158">
        <f t="shared" si="293"/>
        <v>0</v>
      </c>
      <c r="W64" s="158">
        <f t="shared" si="293"/>
        <v>0</v>
      </c>
      <c r="X64" s="158">
        <f t="shared" si="293"/>
        <v>0</v>
      </c>
      <c r="Y64" s="158">
        <f t="shared" si="293"/>
        <v>0</v>
      </c>
      <c r="Z64" s="158">
        <f t="shared" si="293"/>
        <v>0</v>
      </c>
      <c r="AA64" s="158">
        <f t="shared" si="293"/>
        <v>0</v>
      </c>
      <c r="AB64" s="159"/>
      <c r="AC64" s="159"/>
      <c r="AD64" s="159"/>
      <c r="AE64" s="350">
        <f t="shared" ca="1" si="266"/>
        <v>149.86000000000001</v>
      </c>
      <c r="AF64" s="578">
        <f t="shared" ca="1" si="267"/>
        <v>299.72969919999815</v>
      </c>
      <c r="AG64" s="1086"/>
      <c r="AH64" s="1088"/>
      <c r="AI64" s="1088"/>
      <c r="AJ64" s="1088"/>
      <c r="AK64" s="1088"/>
      <c r="AL64" s="1088"/>
      <c r="AM64" s="1088"/>
      <c r="AN64" s="1088"/>
      <c r="AO64" s="1088"/>
      <c r="AP64" s="1088"/>
      <c r="AQ64" s="1088"/>
      <c r="AR64" s="1088"/>
    </row>
    <row r="65" spans="1:44" s="589" customFormat="1" ht="21.95" customHeight="1" thickBot="1" x14ac:dyDescent="0.2">
      <c r="A65" s="2513"/>
      <c r="B65" s="2596"/>
      <c r="C65" s="590" t="s">
        <v>449</v>
      </c>
      <c r="D65" s="2002"/>
      <c r="E65" s="1527"/>
      <c r="F65" s="595">
        <f t="shared" ca="1" si="268"/>
        <v>0</v>
      </c>
      <c r="G65" s="595">
        <f t="shared" ca="1" si="274"/>
        <v>130.23539959058172</v>
      </c>
      <c r="H65" s="595">
        <f t="shared" ref="H65:M65" ca="1" si="295">IF(H$29=1,H53,0)</f>
        <v>190.31936449965579</v>
      </c>
      <c r="I65" s="595">
        <f t="shared" ca="1" si="295"/>
        <v>0</v>
      </c>
      <c r="J65" s="595">
        <f t="shared" ca="1" si="295"/>
        <v>0</v>
      </c>
      <c r="K65" s="595">
        <f t="shared" ca="1" si="295"/>
        <v>0</v>
      </c>
      <c r="L65" s="595">
        <f t="shared" si="295"/>
        <v>0</v>
      </c>
      <c r="M65" s="595">
        <f t="shared" si="295"/>
        <v>0</v>
      </c>
      <c r="N65" s="595">
        <f t="shared" ref="N65:O65" si="296">IF(N$29=1,N53,0)</f>
        <v>0</v>
      </c>
      <c r="O65" s="595">
        <f t="shared" si="296"/>
        <v>0</v>
      </c>
      <c r="P65" s="595">
        <f t="shared" ref="P65" si="297">IF(P$29=1,P53,0)</f>
        <v>0</v>
      </c>
      <c r="Q65" s="595">
        <f t="shared" ref="Q65:AA65" si="298">IF(Q$29=1,Q53,0)</f>
        <v>0</v>
      </c>
      <c r="R65" s="595">
        <f t="shared" ref="R65" si="299">IF(R$29=1,R53,0)</f>
        <v>0</v>
      </c>
      <c r="S65" s="595">
        <f t="shared" si="298"/>
        <v>130.92530639999998</v>
      </c>
      <c r="T65" s="595">
        <f t="shared" si="298"/>
        <v>0</v>
      </c>
      <c r="U65" s="595">
        <f t="shared" si="298"/>
        <v>0</v>
      </c>
      <c r="V65" s="595">
        <f t="shared" si="298"/>
        <v>0</v>
      </c>
      <c r="W65" s="595">
        <f t="shared" si="298"/>
        <v>0</v>
      </c>
      <c r="X65" s="595">
        <f t="shared" si="298"/>
        <v>0</v>
      </c>
      <c r="Y65" s="595">
        <f t="shared" si="298"/>
        <v>0</v>
      </c>
      <c r="Z65" s="595">
        <f t="shared" si="298"/>
        <v>0</v>
      </c>
      <c r="AA65" s="595">
        <f t="shared" si="298"/>
        <v>0</v>
      </c>
      <c r="AB65" s="422"/>
      <c r="AC65" s="422"/>
      <c r="AD65" s="422"/>
      <c r="AE65" s="507">
        <f t="shared" ca="1" si="266"/>
        <v>451.48</v>
      </c>
      <c r="AF65" s="578">
        <f t="shared" ca="1" si="267"/>
        <v>902.96007049023751</v>
      </c>
      <c r="AG65" s="1086"/>
      <c r="AH65" s="1088"/>
      <c r="AI65" s="1088"/>
      <c r="AJ65" s="1088"/>
      <c r="AK65" s="1088"/>
      <c r="AL65" s="1088"/>
      <c r="AM65" s="1088"/>
      <c r="AN65" s="1088"/>
      <c r="AO65" s="1088"/>
      <c r="AP65" s="1088"/>
      <c r="AQ65" s="1088"/>
      <c r="AR65" s="1088"/>
    </row>
    <row r="66" spans="1:44" s="589" customFormat="1" ht="21.95" hidden="1" customHeight="1" thickBot="1" x14ac:dyDescent="0.2">
      <c r="A66" s="2513"/>
      <c r="B66" s="2597"/>
      <c r="C66" s="593" t="s">
        <v>450</v>
      </c>
      <c r="D66" s="2001"/>
      <c r="E66" s="1526"/>
      <c r="F66" s="458">
        <f t="shared" ca="1" si="268"/>
        <v>0</v>
      </c>
      <c r="G66" s="458">
        <f t="shared" ca="1" si="274"/>
        <v>0</v>
      </c>
      <c r="H66" s="458">
        <f t="shared" ref="H66:M66" ca="1" si="300">IF(H$29=1,H54,0)</f>
        <v>0</v>
      </c>
      <c r="I66" s="458">
        <f t="shared" ca="1" si="300"/>
        <v>0</v>
      </c>
      <c r="J66" s="458">
        <f t="shared" ca="1" si="300"/>
        <v>0</v>
      </c>
      <c r="K66" s="458">
        <f t="shared" ca="1" si="300"/>
        <v>0</v>
      </c>
      <c r="L66" s="458">
        <f t="shared" si="300"/>
        <v>0</v>
      </c>
      <c r="M66" s="458">
        <f t="shared" si="300"/>
        <v>0</v>
      </c>
      <c r="N66" s="458">
        <f t="shared" ref="N66:O66" si="301">IF(N$29=1,N54,0)</f>
        <v>0</v>
      </c>
      <c r="O66" s="458">
        <f t="shared" si="301"/>
        <v>0</v>
      </c>
      <c r="P66" s="458">
        <f t="shared" ref="P66" si="302">IF(P$29=1,P54,0)</f>
        <v>0</v>
      </c>
      <c r="Q66" s="458">
        <f t="shared" ref="Q66:AA66" si="303">IF(Q$29=1,Q54,0)</f>
        <v>0</v>
      </c>
      <c r="R66" s="458">
        <f t="shared" ref="R66" si="304">IF(R$29=1,R54,0)</f>
        <v>0</v>
      </c>
      <c r="S66" s="458">
        <f t="shared" si="303"/>
        <v>0</v>
      </c>
      <c r="T66" s="458">
        <f t="shared" si="303"/>
        <v>0</v>
      </c>
      <c r="U66" s="458">
        <f t="shared" si="303"/>
        <v>0</v>
      </c>
      <c r="V66" s="458">
        <f t="shared" si="303"/>
        <v>0</v>
      </c>
      <c r="W66" s="458">
        <f t="shared" si="303"/>
        <v>0</v>
      </c>
      <c r="X66" s="458">
        <f t="shared" si="303"/>
        <v>0</v>
      </c>
      <c r="Y66" s="458">
        <f t="shared" si="303"/>
        <v>0</v>
      </c>
      <c r="Z66" s="458">
        <f t="shared" si="303"/>
        <v>0</v>
      </c>
      <c r="AA66" s="458">
        <f t="shared" si="303"/>
        <v>0</v>
      </c>
      <c r="AB66" s="159"/>
      <c r="AC66" s="159"/>
      <c r="AD66" s="159"/>
      <c r="AE66" s="350">
        <f t="shared" ca="1" si="266"/>
        <v>0</v>
      </c>
      <c r="AF66" s="578">
        <f t="shared" ca="1" si="267"/>
        <v>0</v>
      </c>
      <c r="AG66" s="1086"/>
      <c r="AH66" s="1088"/>
      <c r="AI66" s="1088"/>
      <c r="AJ66" s="1088"/>
      <c r="AK66" s="1088"/>
      <c r="AL66" s="1088"/>
      <c r="AM66" s="1088"/>
      <c r="AN66" s="1088"/>
      <c r="AO66" s="1088"/>
      <c r="AP66" s="1088"/>
      <c r="AQ66" s="1088"/>
      <c r="AR66" s="1088"/>
    </row>
    <row r="67" spans="1:44" s="589" customFormat="1" ht="21.95" customHeight="1" thickBot="1" x14ac:dyDescent="0.2">
      <c r="A67" s="2513"/>
      <c r="B67" s="2596"/>
      <c r="C67" s="590" t="s">
        <v>451</v>
      </c>
      <c r="D67" s="2002"/>
      <c r="E67" s="1527"/>
      <c r="F67" s="595">
        <f t="shared" ca="1" si="268"/>
        <v>0</v>
      </c>
      <c r="G67" s="595">
        <f t="shared" ref="G67:G69" ca="1" si="305">IF(G$29=1,G55,0)</f>
        <v>0</v>
      </c>
      <c r="H67" s="595">
        <f t="shared" ref="H67:M67" ca="1" si="306">IF(H$29=1,H55,0)</f>
        <v>0</v>
      </c>
      <c r="I67" s="595">
        <f t="shared" ca="1" si="306"/>
        <v>322.54286379451838</v>
      </c>
      <c r="J67" s="595">
        <f t="shared" ca="1" si="306"/>
        <v>415.25583089609518</v>
      </c>
      <c r="K67" s="595">
        <f t="shared" ca="1" si="306"/>
        <v>394.54722452320613</v>
      </c>
      <c r="L67" s="595">
        <f t="shared" si="306"/>
        <v>0</v>
      </c>
      <c r="M67" s="595">
        <f t="shared" si="306"/>
        <v>0</v>
      </c>
      <c r="N67" s="595">
        <f t="shared" ref="N67:O67" si="307">IF(N$29=1,N55,0)</f>
        <v>0</v>
      </c>
      <c r="O67" s="595">
        <f t="shared" si="307"/>
        <v>0</v>
      </c>
      <c r="P67" s="595">
        <f t="shared" ref="P67" si="308">IF(P$29=1,P55,0)</f>
        <v>0</v>
      </c>
      <c r="Q67" s="595">
        <f t="shared" ref="Q67:AA67" si="309">IF(Q$29=1,Q55,0)</f>
        <v>0</v>
      </c>
      <c r="R67" s="595">
        <f t="shared" ref="R67" si="310">IF(R$29=1,R55,0)</f>
        <v>0</v>
      </c>
      <c r="S67" s="595">
        <f t="shared" si="309"/>
        <v>0</v>
      </c>
      <c r="T67" s="595">
        <f t="shared" si="309"/>
        <v>0</v>
      </c>
      <c r="U67" s="595">
        <f t="shared" si="309"/>
        <v>0</v>
      </c>
      <c r="V67" s="595">
        <f t="shared" si="309"/>
        <v>0</v>
      </c>
      <c r="W67" s="595">
        <f t="shared" si="309"/>
        <v>0</v>
      </c>
      <c r="X67" s="595">
        <f t="shared" si="309"/>
        <v>0</v>
      </c>
      <c r="Y67" s="595">
        <f t="shared" si="309"/>
        <v>0</v>
      </c>
      <c r="Z67" s="595">
        <f t="shared" si="309"/>
        <v>0</v>
      </c>
      <c r="AA67" s="595">
        <f t="shared" si="309"/>
        <v>0</v>
      </c>
      <c r="AB67" s="422"/>
      <c r="AC67" s="422"/>
      <c r="AD67" s="422"/>
      <c r="AE67" s="507">
        <f t="shared" ca="1" si="266"/>
        <v>1132.3399999999999</v>
      </c>
      <c r="AF67" s="578">
        <f t="shared" ca="1" si="267"/>
        <v>2264.6859192138195</v>
      </c>
      <c r="AG67" s="1086"/>
      <c r="AH67" s="1088"/>
      <c r="AI67" s="1088"/>
      <c r="AJ67" s="1088"/>
      <c r="AK67" s="1088"/>
      <c r="AL67" s="1088"/>
      <c r="AM67" s="1088"/>
      <c r="AN67" s="1088"/>
      <c r="AO67" s="1088"/>
      <c r="AP67" s="1088"/>
      <c r="AQ67" s="1088"/>
      <c r="AR67" s="1088"/>
    </row>
    <row r="68" spans="1:44" s="589" customFormat="1" ht="21.95" hidden="1" customHeight="1" x14ac:dyDescent="0.15">
      <c r="A68" s="2513"/>
      <c r="B68" s="2597"/>
      <c r="C68" s="590" t="s">
        <v>452</v>
      </c>
      <c r="D68" s="2001"/>
      <c r="E68" s="1526"/>
      <c r="F68" s="458">
        <f t="shared" ca="1" si="268"/>
        <v>0</v>
      </c>
      <c r="G68" s="458">
        <f t="shared" ca="1" si="305"/>
        <v>0</v>
      </c>
      <c r="H68" s="458">
        <f t="shared" ref="H68:M68" ca="1" si="311">IF(H$29=1,H56,0)</f>
        <v>0</v>
      </c>
      <c r="I68" s="458">
        <f t="shared" ca="1" si="311"/>
        <v>0</v>
      </c>
      <c r="J68" s="458">
        <f t="shared" ca="1" si="311"/>
        <v>0</v>
      </c>
      <c r="K68" s="458">
        <f t="shared" ca="1" si="311"/>
        <v>0</v>
      </c>
      <c r="L68" s="458">
        <f t="shared" si="311"/>
        <v>0</v>
      </c>
      <c r="M68" s="458">
        <f t="shared" si="311"/>
        <v>0</v>
      </c>
      <c r="N68" s="458">
        <f t="shared" ref="N68:O68" si="312">IF(N$29=1,N56,0)</f>
        <v>0</v>
      </c>
      <c r="O68" s="458">
        <f t="shared" si="312"/>
        <v>0</v>
      </c>
      <c r="P68" s="458">
        <f t="shared" ref="P68" si="313">IF(P$29=1,P56,0)</f>
        <v>0</v>
      </c>
      <c r="Q68" s="458">
        <f t="shared" ref="Q68:AA68" si="314">IF(Q$29=1,Q56,0)</f>
        <v>0</v>
      </c>
      <c r="R68" s="458">
        <f t="shared" ref="R68" si="315">IF(R$29=1,R56,0)</f>
        <v>0</v>
      </c>
      <c r="S68" s="458">
        <f t="shared" si="314"/>
        <v>0</v>
      </c>
      <c r="T68" s="458">
        <f t="shared" si="314"/>
        <v>0</v>
      </c>
      <c r="U68" s="458">
        <f t="shared" si="314"/>
        <v>0</v>
      </c>
      <c r="V68" s="458">
        <f t="shared" si="314"/>
        <v>0</v>
      </c>
      <c r="W68" s="458">
        <f t="shared" si="314"/>
        <v>0</v>
      </c>
      <c r="X68" s="458">
        <f t="shared" si="314"/>
        <v>0</v>
      </c>
      <c r="Y68" s="458">
        <f t="shared" si="314"/>
        <v>0</v>
      </c>
      <c r="Z68" s="458">
        <f t="shared" si="314"/>
        <v>0</v>
      </c>
      <c r="AA68" s="458">
        <f t="shared" si="314"/>
        <v>0</v>
      </c>
      <c r="AB68" s="457"/>
      <c r="AC68" s="457"/>
      <c r="AD68" s="457"/>
      <c r="AE68" s="596">
        <f t="shared" ca="1" si="266"/>
        <v>0</v>
      </c>
      <c r="AF68" s="578">
        <f t="shared" ca="1" si="267"/>
        <v>0</v>
      </c>
      <c r="AG68" s="1086"/>
      <c r="AH68" s="1088"/>
      <c r="AI68" s="1088"/>
      <c r="AJ68" s="1088"/>
      <c r="AK68" s="1088"/>
      <c r="AL68" s="1088"/>
      <c r="AM68" s="1088"/>
      <c r="AN68" s="1088"/>
      <c r="AO68" s="1088"/>
      <c r="AP68" s="1088"/>
      <c r="AQ68" s="1088"/>
      <c r="AR68" s="1088"/>
    </row>
    <row r="69" spans="1:44" s="589" customFormat="1" ht="21.95" hidden="1" customHeight="1" thickBot="1" x14ac:dyDescent="0.2">
      <c r="A69" s="2513"/>
      <c r="B69" s="2598"/>
      <c r="C69" s="928" t="s">
        <v>453</v>
      </c>
      <c r="D69" s="1996"/>
      <c r="E69" s="1519"/>
      <c r="F69" s="239">
        <f t="shared" ca="1" si="268"/>
        <v>0</v>
      </c>
      <c r="G69" s="239">
        <f t="shared" ca="1" si="305"/>
        <v>0</v>
      </c>
      <c r="H69" s="239">
        <f t="shared" ref="H69:M69" ca="1" si="316">IF(H$29=1,H57,0)</f>
        <v>0</v>
      </c>
      <c r="I69" s="239">
        <f t="shared" ca="1" si="316"/>
        <v>0</v>
      </c>
      <c r="J69" s="239">
        <f t="shared" ca="1" si="316"/>
        <v>0</v>
      </c>
      <c r="K69" s="239">
        <f t="shared" ca="1" si="316"/>
        <v>0</v>
      </c>
      <c r="L69" s="239">
        <f t="shared" si="316"/>
        <v>0</v>
      </c>
      <c r="M69" s="239">
        <f t="shared" si="316"/>
        <v>0</v>
      </c>
      <c r="N69" s="239">
        <f t="shared" ref="N69:O69" si="317">IF(N$29=1,N57,0)</f>
        <v>0</v>
      </c>
      <c r="O69" s="239">
        <f t="shared" si="317"/>
        <v>0</v>
      </c>
      <c r="P69" s="239">
        <f t="shared" ref="P69" si="318">IF(P$29=1,P57,0)</f>
        <v>0</v>
      </c>
      <c r="Q69" s="239">
        <f t="shared" ref="Q69:AA69" si="319">IF(Q$29=1,Q57,0)</f>
        <v>0</v>
      </c>
      <c r="R69" s="239">
        <f t="shared" ref="R69" si="320">IF(R$29=1,R57,0)</f>
        <v>0</v>
      </c>
      <c r="S69" s="239">
        <f t="shared" si="319"/>
        <v>0</v>
      </c>
      <c r="T69" s="239">
        <f t="shared" si="319"/>
        <v>0</v>
      </c>
      <c r="U69" s="239">
        <f t="shared" si="319"/>
        <v>0</v>
      </c>
      <c r="V69" s="239">
        <f t="shared" si="319"/>
        <v>0</v>
      </c>
      <c r="W69" s="239">
        <f t="shared" si="319"/>
        <v>0</v>
      </c>
      <c r="X69" s="239">
        <f t="shared" si="319"/>
        <v>0</v>
      </c>
      <c r="Y69" s="239">
        <f t="shared" si="319"/>
        <v>0</v>
      </c>
      <c r="Z69" s="239">
        <f t="shared" si="319"/>
        <v>0</v>
      </c>
      <c r="AA69" s="239">
        <f t="shared" si="319"/>
        <v>0</v>
      </c>
      <c r="AB69" s="237"/>
      <c r="AC69" s="237"/>
      <c r="AD69" s="237"/>
      <c r="AE69" s="361">
        <f t="shared" ca="1" si="266"/>
        <v>0</v>
      </c>
      <c r="AF69" s="578">
        <f t="shared" ca="1" si="267"/>
        <v>0</v>
      </c>
      <c r="AG69" s="1086"/>
      <c r="AH69" s="1088"/>
      <c r="AI69" s="1088"/>
      <c r="AJ69" s="1088"/>
      <c r="AK69" s="1088"/>
      <c r="AL69" s="1088"/>
      <c r="AM69" s="1088"/>
      <c r="AN69" s="1088"/>
      <c r="AO69" s="1088"/>
      <c r="AP69" s="1088"/>
      <c r="AQ69" s="1088"/>
      <c r="AR69" s="1088"/>
    </row>
    <row r="70" spans="1:44" s="589" customFormat="1" ht="21.95" hidden="1" customHeight="1" x14ac:dyDescent="0.15">
      <c r="A70" s="2513"/>
      <c r="B70" s="2596" t="s">
        <v>1100</v>
      </c>
      <c r="C70" s="597" t="s">
        <v>447</v>
      </c>
      <c r="D70" s="2001"/>
      <c r="E70" s="1526"/>
      <c r="F70" s="458">
        <f t="shared" ref="F70:G79" si="321">IF(F$29=2,F48,0)</f>
        <v>0</v>
      </c>
      <c r="G70" s="458">
        <f t="shared" si="321"/>
        <v>0</v>
      </c>
      <c r="H70" s="458">
        <f t="shared" ref="H70:M70" si="322">IF(H$29=2,H48,0)</f>
        <v>0</v>
      </c>
      <c r="I70" s="458">
        <f t="shared" si="322"/>
        <v>0</v>
      </c>
      <c r="J70" s="458">
        <f t="shared" si="322"/>
        <v>0</v>
      </c>
      <c r="K70" s="458">
        <f t="shared" si="322"/>
        <v>0</v>
      </c>
      <c r="L70" s="458">
        <f t="shared" si="322"/>
        <v>0</v>
      </c>
      <c r="M70" s="458">
        <f t="shared" si="322"/>
        <v>0</v>
      </c>
      <c r="N70" s="458">
        <f t="shared" ref="N70:O70" si="323">IF(N$29=2,N48,0)</f>
        <v>0</v>
      </c>
      <c r="O70" s="458">
        <f t="shared" si="323"/>
        <v>0</v>
      </c>
      <c r="P70" s="458">
        <f t="shared" ref="P70" si="324">IF(P$29=2,P48,0)</f>
        <v>0</v>
      </c>
      <c r="Q70" s="458">
        <f t="shared" ref="Q70:AA70" si="325">IF(Q$29=2,Q48,0)</f>
        <v>0</v>
      </c>
      <c r="R70" s="458">
        <f t="shared" ref="R70" si="326">IF(R$29=2,R48,0)</f>
        <v>0</v>
      </c>
      <c r="S70" s="458">
        <f t="shared" si="325"/>
        <v>0</v>
      </c>
      <c r="T70" s="458">
        <f t="shared" si="325"/>
        <v>0</v>
      </c>
      <c r="U70" s="458">
        <f t="shared" si="325"/>
        <v>0</v>
      </c>
      <c r="V70" s="458">
        <f t="shared" si="325"/>
        <v>0</v>
      </c>
      <c r="W70" s="458">
        <f t="shared" si="325"/>
        <v>0</v>
      </c>
      <c r="X70" s="458">
        <f t="shared" si="325"/>
        <v>0</v>
      </c>
      <c r="Y70" s="458">
        <f t="shared" si="325"/>
        <v>0</v>
      </c>
      <c r="Z70" s="458">
        <f t="shared" si="325"/>
        <v>0</v>
      </c>
      <c r="AA70" s="458">
        <f t="shared" si="325"/>
        <v>0</v>
      </c>
      <c r="AB70" s="458"/>
      <c r="AC70" s="458"/>
      <c r="AD70" s="458"/>
      <c r="AE70" s="596">
        <f t="shared" si="266"/>
        <v>0</v>
      </c>
      <c r="AF70" s="578">
        <f t="shared" si="267"/>
        <v>0</v>
      </c>
      <c r="AG70" s="1086"/>
      <c r="AH70" s="1088"/>
      <c r="AI70" s="1088"/>
      <c r="AJ70" s="1088"/>
      <c r="AK70" s="1088"/>
      <c r="AL70" s="1088"/>
      <c r="AM70" s="1088"/>
      <c r="AN70" s="1088"/>
      <c r="AO70" s="1088"/>
      <c r="AP70" s="1088"/>
      <c r="AQ70" s="1088"/>
      <c r="AR70" s="1088"/>
    </row>
    <row r="71" spans="1:44" s="589" customFormat="1" ht="21.95" hidden="1" customHeight="1" x14ac:dyDescent="0.15">
      <c r="A71" s="2513"/>
      <c r="B71" s="2597"/>
      <c r="C71" s="590" t="s">
        <v>455</v>
      </c>
      <c r="D71" s="2001"/>
      <c r="E71" s="1526"/>
      <c r="F71" s="458">
        <f t="shared" si="321"/>
        <v>0</v>
      </c>
      <c r="G71" s="458">
        <f t="shared" ref="G71:G76" si="327">IF(G$29=2,G49,0)</f>
        <v>0</v>
      </c>
      <c r="H71" s="458">
        <f t="shared" ref="H71:M71" si="328">IF(H$29=2,H49,0)</f>
        <v>0</v>
      </c>
      <c r="I71" s="458">
        <f t="shared" si="328"/>
        <v>0</v>
      </c>
      <c r="J71" s="458">
        <f t="shared" si="328"/>
        <v>0</v>
      </c>
      <c r="K71" s="458">
        <f t="shared" si="328"/>
        <v>0</v>
      </c>
      <c r="L71" s="458">
        <f t="shared" si="328"/>
        <v>0</v>
      </c>
      <c r="M71" s="458">
        <f t="shared" si="328"/>
        <v>0</v>
      </c>
      <c r="N71" s="458">
        <f t="shared" ref="N71:O71" si="329">IF(N$29=2,N49,0)</f>
        <v>0</v>
      </c>
      <c r="O71" s="458">
        <f t="shared" si="329"/>
        <v>0</v>
      </c>
      <c r="P71" s="458">
        <f t="shared" ref="P71" si="330">IF(P$29=2,P49,0)</f>
        <v>0</v>
      </c>
      <c r="Q71" s="458">
        <f t="shared" ref="Q71:AA71" si="331">IF(Q$29=2,Q49,0)</f>
        <v>0</v>
      </c>
      <c r="R71" s="458">
        <f t="shared" ref="R71" si="332">IF(R$29=2,R49,0)</f>
        <v>0</v>
      </c>
      <c r="S71" s="458">
        <f t="shared" si="331"/>
        <v>0</v>
      </c>
      <c r="T71" s="458">
        <f t="shared" si="331"/>
        <v>0</v>
      </c>
      <c r="U71" s="458">
        <f t="shared" si="331"/>
        <v>0</v>
      </c>
      <c r="V71" s="458">
        <f t="shared" si="331"/>
        <v>0</v>
      </c>
      <c r="W71" s="458">
        <f t="shared" si="331"/>
        <v>0</v>
      </c>
      <c r="X71" s="458">
        <f t="shared" si="331"/>
        <v>0</v>
      </c>
      <c r="Y71" s="458">
        <f t="shared" si="331"/>
        <v>0</v>
      </c>
      <c r="Z71" s="458">
        <f t="shared" si="331"/>
        <v>0</v>
      </c>
      <c r="AA71" s="458">
        <f t="shared" si="331"/>
        <v>0</v>
      </c>
      <c r="AB71" s="458"/>
      <c r="AC71" s="458"/>
      <c r="AD71" s="458"/>
      <c r="AE71" s="596">
        <f t="shared" si="266"/>
        <v>0</v>
      </c>
      <c r="AF71" s="578">
        <f t="shared" si="267"/>
        <v>0</v>
      </c>
      <c r="AG71" s="1086"/>
      <c r="AH71" s="1088"/>
      <c r="AI71" s="1088"/>
      <c r="AJ71" s="1088"/>
      <c r="AK71" s="1088"/>
      <c r="AL71" s="1088"/>
      <c r="AM71" s="1088"/>
      <c r="AN71" s="1088"/>
      <c r="AO71" s="1088"/>
      <c r="AP71" s="1088"/>
      <c r="AQ71" s="1088"/>
      <c r="AR71" s="1088"/>
    </row>
    <row r="72" spans="1:44" s="589" customFormat="1" ht="21.95" hidden="1" customHeight="1" x14ac:dyDescent="0.15">
      <c r="A72" s="2513"/>
      <c r="B72" s="2597"/>
      <c r="C72" s="597" t="s">
        <v>448</v>
      </c>
      <c r="D72" s="1995"/>
      <c r="E72" s="591"/>
      <c r="F72" s="158">
        <f t="shared" si="321"/>
        <v>0</v>
      </c>
      <c r="G72" s="158">
        <f t="shared" si="327"/>
        <v>0</v>
      </c>
      <c r="H72" s="158">
        <f t="shared" ref="H72:M72" si="333">IF(H$29=2,H50,0)</f>
        <v>0</v>
      </c>
      <c r="I72" s="158">
        <f t="shared" si="333"/>
        <v>0</v>
      </c>
      <c r="J72" s="158">
        <f t="shared" si="333"/>
        <v>0</v>
      </c>
      <c r="K72" s="158">
        <f t="shared" si="333"/>
        <v>0</v>
      </c>
      <c r="L72" s="158">
        <f t="shared" si="333"/>
        <v>0</v>
      </c>
      <c r="M72" s="158">
        <f t="shared" si="333"/>
        <v>0</v>
      </c>
      <c r="N72" s="158">
        <f t="shared" ref="N72:O72" si="334">IF(N$29=2,N50,0)</f>
        <v>0</v>
      </c>
      <c r="O72" s="158">
        <f t="shared" si="334"/>
        <v>0</v>
      </c>
      <c r="P72" s="158">
        <f t="shared" ref="P72" si="335">IF(P$29=2,P50,0)</f>
        <v>0</v>
      </c>
      <c r="Q72" s="158">
        <f t="shared" ref="Q72:AA72" si="336">IF(Q$29=2,Q50,0)</f>
        <v>0</v>
      </c>
      <c r="R72" s="158">
        <f t="shared" ref="R72" si="337">IF(R$29=2,R50,0)</f>
        <v>0</v>
      </c>
      <c r="S72" s="158">
        <f t="shared" si="336"/>
        <v>0</v>
      </c>
      <c r="T72" s="158">
        <f t="shared" si="336"/>
        <v>0</v>
      </c>
      <c r="U72" s="158">
        <f t="shared" si="336"/>
        <v>0</v>
      </c>
      <c r="V72" s="158">
        <f t="shared" si="336"/>
        <v>0</v>
      </c>
      <c r="W72" s="158">
        <f t="shared" si="336"/>
        <v>0</v>
      </c>
      <c r="X72" s="158">
        <f t="shared" si="336"/>
        <v>0</v>
      </c>
      <c r="Y72" s="158">
        <f t="shared" si="336"/>
        <v>0</v>
      </c>
      <c r="Z72" s="158">
        <f t="shared" si="336"/>
        <v>0</v>
      </c>
      <c r="AA72" s="158">
        <f t="shared" si="336"/>
        <v>0</v>
      </c>
      <c r="AB72" s="159"/>
      <c r="AC72" s="159"/>
      <c r="AD72" s="159"/>
      <c r="AE72" s="350">
        <f t="shared" si="266"/>
        <v>0</v>
      </c>
      <c r="AF72" s="578">
        <f t="shared" si="267"/>
        <v>0</v>
      </c>
      <c r="AG72" s="1086"/>
      <c r="AH72" s="1088"/>
      <c r="AI72" s="1088"/>
      <c r="AJ72" s="1088"/>
      <c r="AK72" s="1088"/>
      <c r="AL72" s="1088"/>
      <c r="AM72" s="1088"/>
      <c r="AN72" s="1088"/>
      <c r="AO72" s="1088"/>
      <c r="AP72" s="1088"/>
      <c r="AQ72" s="1088"/>
      <c r="AR72" s="1088"/>
    </row>
    <row r="73" spans="1:44" s="589" customFormat="1" ht="21.95" hidden="1" customHeight="1" x14ac:dyDescent="0.15">
      <c r="A73" s="2513"/>
      <c r="B73" s="2597"/>
      <c r="C73" s="590" t="s">
        <v>611</v>
      </c>
      <c r="D73" s="2001"/>
      <c r="E73" s="1526"/>
      <c r="F73" s="458">
        <f t="shared" si="321"/>
        <v>0</v>
      </c>
      <c r="G73" s="458">
        <f t="shared" si="327"/>
        <v>0</v>
      </c>
      <c r="H73" s="458">
        <f t="shared" ref="H73:M73" si="338">IF(H$29=2,H51,0)</f>
        <v>0</v>
      </c>
      <c r="I73" s="458">
        <f t="shared" si="338"/>
        <v>0</v>
      </c>
      <c r="J73" s="458">
        <f t="shared" si="338"/>
        <v>0</v>
      </c>
      <c r="K73" s="458">
        <f t="shared" si="338"/>
        <v>0</v>
      </c>
      <c r="L73" s="458">
        <f t="shared" si="338"/>
        <v>0</v>
      </c>
      <c r="M73" s="458">
        <f t="shared" si="338"/>
        <v>0</v>
      </c>
      <c r="N73" s="458">
        <f t="shared" ref="N73:O73" si="339">IF(N$29=2,N51,0)</f>
        <v>0</v>
      </c>
      <c r="O73" s="458">
        <f t="shared" si="339"/>
        <v>0</v>
      </c>
      <c r="P73" s="458">
        <f t="shared" ref="P73" si="340">IF(P$29=2,P51,0)</f>
        <v>0</v>
      </c>
      <c r="Q73" s="458">
        <f t="shared" ref="Q73:AA73" si="341">IF(Q$29=2,Q51,0)</f>
        <v>0</v>
      </c>
      <c r="R73" s="458">
        <f t="shared" ref="R73" si="342">IF(R$29=2,R51,0)</f>
        <v>0</v>
      </c>
      <c r="S73" s="458">
        <f t="shared" si="341"/>
        <v>0</v>
      </c>
      <c r="T73" s="458">
        <f t="shared" si="341"/>
        <v>0</v>
      </c>
      <c r="U73" s="458">
        <f t="shared" si="341"/>
        <v>0</v>
      </c>
      <c r="V73" s="458">
        <f t="shared" si="341"/>
        <v>0</v>
      </c>
      <c r="W73" s="458">
        <f t="shared" si="341"/>
        <v>0</v>
      </c>
      <c r="X73" s="458">
        <f t="shared" si="341"/>
        <v>0</v>
      </c>
      <c r="Y73" s="458">
        <f t="shared" si="341"/>
        <v>0</v>
      </c>
      <c r="Z73" s="458">
        <f t="shared" si="341"/>
        <v>0</v>
      </c>
      <c r="AA73" s="458">
        <f t="shared" si="341"/>
        <v>0</v>
      </c>
      <c r="AB73" s="457"/>
      <c r="AC73" s="457"/>
      <c r="AD73" s="457"/>
      <c r="AE73" s="596">
        <f t="shared" si="266"/>
        <v>0</v>
      </c>
      <c r="AF73" s="578">
        <f t="shared" si="267"/>
        <v>0</v>
      </c>
      <c r="AG73" s="1086"/>
      <c r="AH73" s="1088"/>
      <c r="AI73" s="1088"/>
      <c r="AJ73" s="1088"/>
      <c r="AK73" s="1088"/>
      <c r="AL73" s="1088"/>
      <c r="AM73" s="1088"/>
      <c r="AN73" s="1088"/>
      <c r="AO73" s="1088"/>
      <c r="AP73" s="1088"/>
      <c r="AQ73" s="1088"/>
      <c r="AR73" s="1088"/>
    </row>
    <row r="74" spans="1:44" s="589" customFormat="1" ht="21.95" hidden="1" customHeight="1" x14ac:dyDescent="0.15">
      <c r="A74" s="2513"/>
      <c r="B74" s="2597"/>
      <c r="C74" s="590" t="s">
        <v>456</v>
      </c>
      <c r="D74" s="1995"/>
      <c r="E74" s="591"/>
      <c r="F74" s="158">
        <f t="shared" si="321"/>
        <v>0</v>
      </c>
      <c r="G74" s="158">
        <f t="shared" si="327"/>
        <v>0</v>
      </c>
      <c r="H74" s="158">
        <f t="shared" ref="H74:M74" si="343">IF(H$29=2,H52,0)</f>
        <v>0</v>
      </c>
      <c r="I74" s="158">
        <f t="shared" si="343"/>
        <v>0</v>
      </c>
      <c r="J74" s="158">
        <f t="shared" si="343"/>
        <v>0</v>
      </c>
      <c r="K74" s="158">
        <f t="shared" si="343"/>
        <v>0</v>
      </c>
      <c r="L74" s="158">
        <f t="shared" si="343"/>
        <v>0</v>
      </c>
      <c r="M74" s="158">
        <f t="shared" si="343"/>
        <v>0</v>
      </c>
      <c r="N74" s="158">
        <f t="shared" ref="N74:O74" si="344">IF(N$29=2,N52,0)</f>
        <v>0</v>
      </c>
      <c r="O74" s="158">
        <f t="shared" si="344"/>
        <v>0</v>
      </c>
      <c r="P74" s="158">
        <f t="shared" ref="P74" si="345">IF(P$29=2,P52,0)</f>
        <v>0</v>
      </c>
      <c r="Q74" s="158">
        <f t="shared" ref="Q74:AA74" si="346">IF(Q$29=2,Q52,0)</f>
        <v>0</v>
      </c>
      <c r="R74" s="158">
        <f t="shared" ref="R74" si="347">IF(R$29=2,R52,0)</f>
        <v>0</v>
      </c>
      <c r="S74" s="158">
        <f t="shared" si="346"/>
        <v>0</v>
      </c>
      <c r="T74" s="158">
        <f t="shared" si="346"/>
        <v>0</v>
      </c>
      <c r="U74" s="158">
        <f t="shared" si="346"/>
        <v>0</v>
      </c>
      <c r="V74" s="158">
        <f t="shared" si="346"/>
        <v>0</v>
      </c>
      <c r="W74" s="158">
        <f t="shared" si="346"/>
        <v>0</v>
      </c>
      <c r="X74" s="158">
        <f t="shared" si="346"/>
        <v>0</v>
      </c>
      <c r="Y74" s="158">
        <f t="shared" si="346"/>
        <v>0</v>
      </c>
      <c r="Z74" s="158">
        <f t="shared" si="346"/>
        <v>0</v>
      </c>
      <c r="AA74" s="158">
        <f t="shared" si="346"/>
        <v>0</v>
      </c>
      <c r="AB74" s="159"/>
      <c r="AC74" s="159"/>
      <c r="AD74" s="159"/>
      <c r="AE74" s="350">
        <f t="shared" si="266"/>
        <v>0</v>
      </c>
      <c r="AF74" s="578">
        <f t="shared" si="267"/>
        <v>0</v>
      </c>
      <c r="AG74" s="1086"/>
      <c r="AH74" s="1088"/>
      <c r="AI74" s="1088"/>
      <c r="AJ74" s="1088"/>
      <c r="AK74" s="1088"/>
      <c r="AL74" s="1088"/>
      <c r="AM74" s="1088"/>
      <c r="AN74" s="1088"/>
      <c r="AO74" s="1088"/>
      <c r="AP74" s="1088"/>
      <c r="AQ74" s="1088"/>
      <c r="AR74" s="1088"/>
    </row>
    <row r="75" spans="1:44" s="589" customFormat="1" ht="21.95" hidden="1" customHeight="1" x14ac:dyDescent="0.15">
      <c r="A75" s="2513"/>
      <c r="B75" s="2597"/>
      <c r="C75" s="590" t="s">
        <v>449</v>
      </c>
      <c r="D75" s="2002"/>
      <c r="E75" s="1527"/>
      <c r="F75" s="595">
        <f t="shared" si="321"/>
        <v>0</v>
      </c>
      <c r="G75" s="595">
        <f t="shared" si="327"/>
        <v>0</v>
      </c>
      <c r="H75" s="595">
        <f t="shared" ref="H75:M75" si="348">IF(H$29=2,H53,0)</f>
        <v>0</v>
      </c>
      <c r="I75" s="595">
        <f t="shared" si="348"/>
        <v>0</v>
      </c>
      <c r="J75" s="595">
        <f t="shared" si="348"/>
        <v>0</v>
      </c>
      <c r="K75" s="595">
        <f t="shared" si="348"/>
        <v>0</v>
      </c>
      <c r="L75" s="595">
        <f t="shared" si="348"/>
        <v>0</v>
      </c>
      <c r="M75" s="595">
        <f t="shared" si="348"/>
        <v>0</v>
      </c>
      <c r="N75" s="595">
        <f t="shared" ref="N75:O75" si="349">IF(N$29=2,N53,0)</f>
        <v>0</v>
      </c>
      <c r="O75" s="595">
        <f t="shared" si="349"/>
        <v>0</v>
      </c>
      <c r="P75" s="595">
        <f t="shared" ref="P75" si="350">IF(P$29=2,P53,0)</f>
        <v>0</v>
      </c>
      <c r="Q75" s="595">
        <f t="shared" ref="Q75:AA75" si="351">IF(Q$29=2,Q53,0)</f>
        <v>0</v>
      </c>
      <c r="R75" s="595">
        <f t="shared" ref="R75" si="352">IF(R$29=2,R53,0)</f>
        <v>0</v>
      </c>
      <c r="S75" s="595">
        <f t="shared" si="351"/>
        <v>0</v>
      </c>
      <c r="T75" s="595">
        <f t="shared" si="351"/>
        <v>0</v>
      </c>
      <c r="U75" s="595">
        <f t="shared" si="351"/>
        <v>0</v>
      </c>
      <c r="V75" s="595">
        <f t="shared" si="351"/>
        <v>0</v>
      </c>
      <c r="W75" s="595">
        <f t="shared" si="351"/>
        <v>0</v>
      </c>
      <c r="X75" s="595">
        <f t="shared" si="351"/>
        <v>0</v>
      </c>
      <c r="Y75" s="595">
        <f t="shared" si="351"/>
        <v>0</v>
      </c>
      <c r="Z75" s="595">
        <f t="shared" si="351"/>
        <v>0</v>
      </c>
      <c r="AA75" s="595">
        <f t="shared" si="351"/>
        <v>0</v>
      </c>
      <c r="AB75" s="422"/>
      <c r="AC75" s="422"/>
      <c r="AD75" s="422"/>
      <c r="AE75" s="507">
        <f t="shared" si="266"/>
        <v>0</v>
      </c>
      <c r="AF75" s="578">
        <f t="shared" si="267"/>
        <v>0</v>
      </c>
      <c r="AG75" s="1086"/>
      <c r="AH75" s="1088"/>
      <c r="AI75" s="1088"/>
      <c r="AJ75" s="1088"/>
      <c r="AK75" s="1088"/>
      <c r="AL75" s="1088"/>
      <c r="AM75" s="1088"/>
      <c r="AN75" s="1088"/>
      <c r="AO75" s="1088"/>
      <c r="AP75" s="1088"/>
      <c r="AQ75" s="1088"/>
      <c r="AR75" s="1088"/>
    </row>
    <row r="76" spans="1:44" s="589" customFormat="1" ht="21.95" hidden="1" customHeight="1" x14ac:dyDescent="0.15">
      <c r="A76" s="2513"/>
      <c r="B76" s="2597"/>
      <c r="C76" s="593" t="s">
        <v>450</v>
      </c>
      <c r="D76" s="2001"/>
      <c r="E76" s="1526"/>
      <c r="F76" s="458">
        <f t="shared" si="321"/>
        <v>0</v>
      </c>
      <c r="G76" s="458">
        <f t="shared" si="327"/>
        <v>0</v>
      </c>
      <c r="H76" s="458">
        <f t="shared" ref="H76:M76" si="353">IF(H$29=2,H54,0)</f>
        <v>0</v>
      </c>
      <c r="I76" s="458">
        <f t="shared" si="353"/>
        <v>0</v>
      </c>
      <c r="J76" s="458">
        <f t="shared" si="353"/>
        <v>0</v>
      </c>
      <c r="K76" s="458">
        <f t="shared" si="353"/>
        <v>0</v>
      </c>
      <c r="L76" s="458">
        <f t="shared" si="353"/>
        <v>0</v>
      </c>
      <c r="M76" s="458">
        <f t="shared" si="353"/>
        <v>0</v>
      </c>
      <c r="N76" s="458">
        <f t="shared" ref="N76:O76" si="354">IF(N$29=2,N54,0)</f>
        <v>0</v>
      </c>
      <c r="O76" s="458">
        <f t="shared" si="354"/>
        <v>0</v>
      </c>
      <c r="P76" s="458">
        <f t="shared" ref="P76" si="355">IF(P$29=2,P54,0)</f>
        <v>0</v>
      </c>
      <c r="Q76" s="458">
        <f t="shared" ref="Q76:AA76" si="356">IF(Q$29=2,Q54,0)</f>
        <v>0</v>
      </c>
      <c r="R76" s="458">
        <f t="shared" ref="R76" si="357">IF(R$29=2,R54,0)</f>
        <v>0</v>
      </c>
      <c r="S76" s="458">
        <f t="shared" si="356"/>
        <v>0</v>
      </c>
      <c r="T76" s="458">
        <f t="shared" si="356"/>
        <v>0</v>
      </c>
      <c r="U76" s="458">
        <f t="shared" si="356"/>
        <v>0</v>
      </c>
      <c r="V76" s="458">
        <f t="shared" si="356"/>
        <v>0</v>
      </c>
      <c r="W76" s="458">
        <f t="shared" si="356"/>
        <v>0</v>
      </c>
      <c r="X76" s="458">
        <f t="shared" si="356"/>
        <v>0</v>
      </c>
      <c r="Y76" s="458">
        <f t="shared" si="356"/>
        <v>0</v>
      </c>
      <c r="Z76" s="458">
        <f t="shared" si="356"/>
        <v>0</v>
      </c>
      <c r="AA76" s="458">
        <f t="shared" si="356"/>
        <v>0</v>
      </c>
      <c r="AB76" s="159"/>
      <c r="AC76" s="159"/>
      <c r="AD76" s="159"/>
      <c r="AE76" s="350">
        <f t="shared" si="266"/>
        <v>0</v>
      </c>
      <c r="AF76" s="578">
        <f t="shared" si="267"/>
        <v>0</v>
      </c>
      <c r="AG76" s="1086"/>
      <c r="AH76" s="1088"/>
      <c r="AI76" s="1088"/>
      <c r="AJ76" s="1088"/>
      <c r="AK76" s="1088"/>
      <c r="AL76" s="1088"/>
      <c r="AM76" s="1088"/>
      <c r="AN76" s="1088"/>
      <c r="AO76" s="1088"/>
      <c r="AP76" s="1088"/>
      <c r="AQ76" s="1088"/>
      <c r="AR76" s="1088"/>
    </row>
    <row r="77" spans="1:44" s="589" customFormat="1" ht="21.95" hidden="1" customHeight="1" x14ac:dyDescent="0.15">
      <c r="A77" s="2513"/>
      <c r="B77" s="2597"/>
      <c r="C77" s="590" t="s">
        <v>451</v>
      </c>
      <c r="D77" s="2002"/>
      <c r="E77" s="1527"/>
      <c r="F77" s="595">
        <f t="shared" si="321"/>
        <v>0</v>
      </c>
      <c r="G77" s="595">
        <f t="shared" ref="G77:G79" si="358">IF(G$29=2,G55,0)</f>
        <v>0</v>
      </c>
      <c r="H77" s="595">
        <f t="shared" ref="H77:M77" si="359">IF(H$29=2,H55,0)</f>
        <v>0</v>
      </c>
      <c r="I77" s="595">
        <f t="shared" si="359"/>
        <v>0</v>
      </c>
      <c r="J77" s="595">
        <f t="shared" si="359"/>
        <v>0</v>
      </c>
      <c r="K77" s="595">
        <f t="shared" si="359"/>
        <v>0</v>
      </c>
      <c r="L77" s="595">
        <f t="shared" si="359"/>
        <v>0</v>
      </c>
      <c r="M77" s="595">
        <f t="shared" si="359"/>
        <v>0</v>
      </c>
      <c r="N77" s="595">
        <f t="shared" ref="N77:O77" si="360">IF(N$29=2,N55,0)</f>
        <v>0</v>
      </c>
      <c r="O77" s="595">
        <f t="shared" si="360"/>
        <v>0</v>
      </c>
      <c r="P77" s="595">
        <f t="shared" ref="P77" si="361">IF(P$29=2,P55,0)</f>
        <v>0</v>
      </c>
      <c r="Q77" s="595">
        <f t="shared" ref="Q77:AA77" si="362">IF(Q$29=2,Q55,0)</f>
        <v>0</v>
      </c>
      <c r="R77" s="595">
        <f t="shared" ref="R77" si="363">IF(R$29=2,R55,0)</f>
        <v>0</v>
      </c>
      <c r="S77" s="595">
        <f t="shared" si="362"/>
        <v>0</v>
      </c>
      <c r="T77" s="595">
        <f t="shared" si="362"/>
        <v>0</v>
      </c>
      <c r="U77" s="595">
        <f t="shared" si="362"/>
        <v>0</v>
      </c>
      <c r="V77" s="595">
        <f t="shared" si="362"/>
        <v>0</v>
      </c>
      <c r="W77" s="595">
        <f t="shared" si="362"/>
        <v>0</v>
      </c>
      <c r="X77" s="595">
        <f t="shared" si="362"/>
        <v>0</v>
      </c>
      <c r="Y77" s="595">
        <f t="shared" si="362"/>
        <v>0</v>
      </c>
      <c r="Z77" s="595">
        <f t="shared" si="362"/>
        <v>0</v>
      </c>
      <c r="AA77" s="595">
        <f t="shared" si="362"/>
        <v>0</v>
      </c>
      <c r="AB77" s="422"/>
      <c r="AC77" s="422"/>
      <c r="AD77" s="422"/>
      <c r="AE77" s="507">
        <f t="shared" si="266"/>
        <v>0</v>
      </c>
      <c r="AF77" s="578">
        <f t="shared" si="267"/>
        <v>0</v>
      </c>
      <c r="AG77" s="1086"/>
      <c r="AH77" s="1088"/>
      <c r="AI77" s="1088"/>
      <c r="AJ77" s="1088"/>
      <c r="AK77" s="1088"/>
      <c r="AL77" s="1088"/>
      <c r="AM77" s="1088"/>
      <c r="AN77" s="1088"/>
      <c r="AO77" s="1088"/>
      <c r="AP77" s="1088"/>
      <c r="AQ77" s="1088"/>
      <c r="AR77" s="1088"/>
    </row>
    <row r="78" spans="1:44" s="589" customFormat="1" ht="21.95" hidden="1" customHeight="1" x14ac:dyDescent="0.15">
      <c r="A78" s="2513"/>
      <c r="B78" s="2597"/>
      <c r="C78" s="590" t="s">
        <v>452</v>
      </c>
      <c r="D78" s="2001"/>
      <c r="E78" s="1526"/>
      <c r="F78" s="458">
        <f t="shared" si="321"/>
        <v>0</v>
      </c>
      <c r="G78" s="458">
        <f t="shared" si="358"/>
        <v>0</v>
      </c>
      <c r="H78" s="458">
        <f t="shared" ref="H78:M78" si="364">IF(H$29=2,H56,0)</f>
        <v>0</v>
      </c>
      <c r="I78" s="458">
        <f t="shared" si="364"/>
        <v>0</v>
      </c>
      <c r="J78" s="458">
        <f t="shared" si="364"/>
        <v>0</v>
      </c>
      <c r="K78" s="458">
        <f t="shared" si="364"/>
        <v>0</v>
      </c>
      <c r="L78" s="458">
        <f t="shared" si="364"/>
        <v>0</v>
      </c>
      <c r="M78" s="458">
        <f t="shared" si="364"/>
        <v>0</v>
      </c>
      <c r="N78" s="458">
        <f t="shared" ref="N78:O78" si="365">IF(N$29=2,N56,0)</f>
        <v>0</v>
      </c>
      <c r="O78" s="458">
        <f t="shared" si="365"/>
        <v>0</v>
      </c>
      <c r="P78" s="458">
        <f t="shared" ref="P78" si="366">IF(P$29=2,P56,0)</f>
        <v>0</v>
      </c>
      <c r="Q78" s="458">
        <f t="shared" ref="Q78:AA78" si="367">IF(Q$29=2,Q56,0)</f>
        <v>0</v>
      </c>
      <c r="R78" s="458">
        <f t="shared" ref="R78" si="368">IF(R$29=2,R56,0)</f>
        <v>0</v>
      </c>
      <c r="S78" s="458">
        <f t="shared" si="367"/>
        <v>0</v>
      </c>
      <c r="T78" s="458">
        <f t="shared" si="367"/>
        <v>0</v>
      </c>
      <c r="U78" s="458">
        <f t="shared" si="367"/>
        <v>0</v>
      </c>
      <c r="V78" s="458">
        <f t="shared" si="367"/>
        <v>0</v>
      </c>
      <c r="W78" s="458">
        <f t="shared" si="367"/>
        <v>0</v>
      </c>
      <c r="X78" s="458">
        <f t="shared" si="367"/>
        <v>0</v>
      </c>
      <c r="Y78" s="458">
        <f t="shared" si="367"/>
        <v>0</v>
      </c>
      <c r="Z78" s="458">
        <f t="shared" si="367"/>
        <v>0</v>
      </c>
      <c r="AA78" s="458">
        <f t="shared" si="367"/>
        <v>0</v>
      </c>
      <c r="AB78" s="457"/>
      <c r="AC78" s="457"/>
      <c r="AD78" s="457"/>
      <c r="AE78" s="596">
        <f t="shared" si="266"/>
        <v>0</v>
      </c>
      <c r="AF78" s="578">
        <f t="shared" si="267"/>
        <v>0</v>
      </c>
      <c r="AG78" s="1086"/>
      <c r="AH78" s="1088"/>
      <c r="AI78" s="1088"/>
      <c r="AJ78" s="1088"/>
      <c r="AK78" s="1088"/>
      <c r="AL78" s="1088"/>
      <c r="AM78" s="1088"/>
      <c r="AN78" s="1088"/>
      <c r="AO78" s="1088"/>
      <c r="AP78" s="1088"/>
      <c r="AQ78" s="1088"/>
      <c r="AR78" s="1088"/>
    </row>
    <row r="79" spans="1:44" s="589" customFormat="1" ht="21.95" hidden="1" customHeight="1" thickBot="1" x14ac:dyDescent="0.2">
      <c r="A79" s="2513"/>
      <c r="B79" s="2598"/>
      <c r="C79" s="928" t="s">
        <v>453</v>
      </c>
      <c r="D79" s="1996"/>
      <c r="E79" s="1519"/>
      <c r="F79" s="239">
        <f t="shared" si="321"/>
        <v>0</v>
      </c>
      <c r="G79" s="239">
        <f t="shared" si="358"/>
        <v>0</v>
      </c>
      <c r="H79" s="239">
        <f t="shared" ref="H79:M79" si="369">IF(H$29=2,H57,0)</f>
        <v>0</v>
      </c>
      <c r="I79" s="239">
        <f t="shared" si="369"/>
        <v>0</v>
      </c>
      <c r="J79" s="239">
        <f t="shared" si="369"/>
        <v>0</v>
      </c>
      <c r="K79" s="239">
        <f t="shared" si="369"/>
        <v>0</v>
      </c>
      <c r="L79" s="239">
        <f t="shared" si="369"/>
        <v>0</v>
      </c>
      <c r="M79" s="239">
        <f t="shared" si="369"/>
        <v>0</v>
      </c>
      <c r="N79" s="239">
        <f t="shared" ref="N79:O79" si="370">IF(N$29=2,N57,0)</f>
        <v>0</v>
      </c>
      <c r="O79" s="239">
        <f t="shared" si="370"/>
        <v>0</v>
      </c>
      <c r="P79" s="239">
        <f t="shared" ref="P79" si="371">IF(P$29=2,P57,0)</f>
        <v>0</v>
      </c>
      <c r="Q79" s="239">
        <f t="shared" ref="Q79:AA79" si="372">IF(Q$29=2,Q57,0)</f>
        <v>0</v>
      </c>
      <c r="R79" s="239">
        <f t="shared" ref="R79" si="373">IF(R$29=2,R57,0)</f>
        <v>0</v>
      </c>
      <c r="S79" s="239">
        <f t="shared" si="372"/>
        <v>0</v>
      </c>
      <c r="T79" s="239">
        <f t="shared" si="372"/>
        <v>0</v>
      </c>
      <c r="U79" s="239">
        <f t="shared" si="372"/>
        <v>0</v>
      </c>
      <c r="V79" s="239">
        <f t="shared" si="372"/>
        <v>0</v>
      </c>
      <c r="W79" s="239">
        <f t="shared" si="372"/>
        <v>0</v>
      </c>
      <c r="X79" s="239">
        <f t="shared" si="372"/>
        <v>0</v>
      </c>
      <c r="Y79" s="239">
        <f t="shared" si="372"/>
        <v>0</v>
      </c>
      <c r="Z79" s="239">
        <f t="shared" si="372"/>
        <v>0</v>
      </c>
      <c r="AA79" s="239">
        <f t="shared" si="372"/>
        <v>0</v>
      </c>
      <c r="AB79" s="237"/>
      <c r="AC79" s="237"/>
      <c r="AD79" s="237"/>
      <c r="AE79" s="361">
        <f t="shared" si="266"/>
        <v>0</v>
      </c>
      <c r="AF79" s="578">
        <f t="shared" si="267"/>
        <v>0</v>
      </c>
      <c r="AG79" s="1086"/>
      <c r="AH79" s="1088"/>
      <c r="AI79" s="1088"/>
      <c r="AJ79" s="1088"/>
      <c r="AK79" s="1088"/>
      <c r="AL79" s="1088"/>
      <c r="AM79" s="1088"/>
      <c r="AN79" s="1088"/>
      <c r="AO79" s="1088"/>
      <c r="AP79" s="1088"/>
      <c r="AQ79" s="1088"/>
      <c r="AR79" s="1088"/>
    </row>
    <row r="80" spans="1:44" s="589" customFormat="1" ht="21.95" customHeight="1" x14ac:dyDescent="0.15">
      <c r="A80" s="2513"/>
      <c r="B80" s="2594" t="s">
        <v>1105</v>
      </c>
      <c r="C80" s="929" t="s">
        <v>691</v>
      </c>
      <c r="D80" s="1995"/>
      <c r="E80" s="591"/>
      <c r="F80" s="238">
        <f t="shared" ref="F80:G80" ca="1" si="374">SUM(F48:F57)</f>
        <v>149.86969919999814</v>
      </c>
      <c r="G80" s="238">
        <f t="shared" ca="1" si="374"/>
        <v>130.23539959058172</v>
      </c>
      <c r="H80" s="238">
        <f t="shared" ref="H80:M80" ca="1" si="375">SUM(H48:H57)</f>
        <v>190.31936449965579</v>
      </c>
      <c r="I80" s="238">
        <f t="shared" ca="1" si="375"/>
        <v>322.54286379451838</v>
      </c>
      <c r="J80" s="238">
        <f t="shared" ca="1" si="375"/>
        <v>415.25583089609518</v>
      </c>
      <c r="K80" s="238">
        <f t="shared" ca="1" si="375"/>
        <v>394.54722452320613</v>
      </c>
      <c r="L80" s="238">
        <f t="shared" si="375"/>
        <v>0</v>
      </c>
      <c r="M80" s="238">
        <f t="shared" si="375"/>
        <v>0</v>
      </c>
      <c r="N80" s="238">
        <f t="shared" ref="N80:O80" si="376">SUM(N48:N57)</f>
        <v>0</v>
      </c>
      <c r="O80" s="238">
        <f t="shared" si="376"/>
        <v>0</v>
      </c>
      <c r="P80" s="238">
        <f t="shared" ref="P80" si="377">SUM(P48:P57)</f>
        <v>0</v>
      </c>
      <c r="Q80" s="238">
        <f t="shared" ref="Q80:AA80" si="378">SUM(Q48:Q57)</f>
        <v>307.39201920000005</v>
      </c>
      <c r="R80" s="238">
        <f t="shared" ref="R80" si="379">SUM(R48:R57)</f>
        <v>0</v>
      </c>
      <c r="S80" s="238">
        <f t="shared" si="378"/>
        <v>130.92530639999998</v>
      </c>
      <c r="T80" s="158">
        <f t="shared" si="378"/>
        <v>0</v>
      </c>
      <c r="U80" s="158">
        <f t="shared" si="378"/>
        <v>0</v>
      </c>
      <c r="V80" s="158">
        <f t="shared" si="378"/>
        <v>0</v>
      </c>
      <c r="W80" s="158">
        <f t="shared" si="378"/>
        <v>0</v>
      </c>
      <c r="X80" s="158">
        <f t="shared" si="378"/>
        <v>0</v>
      </c>
      <c r="Y80" s="158">
        <f t="shared" si="378"/>
        <v>0</v>
      </c>
      <c r="Z80" s="158">
        <f t="shared" si="378"/>
        <v>0</v>
      </c>
      <c r="AA80" s="158">
        <f t="shared" si="378"/>
        <v>0</v>
      </c>
      <c r="AB80" s="878"/>
      <c r="AC80" s="878"/>
      <c r="AD80" s="878"/>
      <c r="AE80" s="362">
        <f t="shared" ca="1" si="266"/>
        <v>2041.08</v>
      </c>
      <c r="AF80" s="578">
        <f t="shared" ca="1" si="267"/>
        <v>4082.1677081040552</v>
      </c>
      <c r="AG80" s="1086"/>
      <c r="AH80" s="1088"/>
      <c r="AI80" s="1088"/>
      <c r="AJ80" s="1088"/>
      <c r="AK80" s="1088"/>
      <c r="AL80" s="1088"/>
      <c r="AM80" s="1088"/>
      <c r="AN80" s="1088"/>
      <c r="AO80" s="1088"/>
      <c r="AP80" s="1088"/>
      <c r="AQ80" s="1088"/>
      <c r="AR80" s="1088"/>
    </row>
    <row r="81" spans="1:44" s="589" customFormat="1" ht="21.95" customHeight="1" thickBot="1" x14ac:dyDescent="0.2">
      <c r="A81" s="2513"/>
      <c r="B81" s="2587"/>
      <c r="C81" s="598" t="s">
        <v>1256</v>
      </c>
      <c r="D81" s="1996"/>
      <c r="E81" s="1519"/>
      <c r="F81" s="239">
        <f t="shared" ref="F81:G81" ca="1" si="380">F80*5%</f>
        <v>7.4934849599999076</v>
      </c>
      <c r="G81" s="239">
        <f t="shared" ca="1" si="380"/>
        <v>6.5117699795290864</v>
      </c>
      <c r="H81" s="239">
        <f t="shared" ref="H81:M81" ca="1" si="381">H80*5%</f>
        <v>9.5159682249827906</v>
      </c>
      <c r="I81" s="239">
        <f t="shared" ca="1" si="381"/>
        <v>16.127143189725921</v>
      </c>
      <c r="J81" s="239">
        <f t="shared" ca="1" si="381"/>
        <v>20.76279154480476</v>
      </c>
      <c r="K81" s="239">
        <f t="shared" ca="1" si="381"/>
        <v>19.727361226160308</v>
      </c>
      <c r="L81" s="239">
        <f t="shared" si="381"/>
        <v>0</v>
      </c>
      <c r="M81" s="239">
        <f t="shared" si="381"/>
        <v>0</v>
      </c>
      <c r="N81" s="239">
        <f t="shared" ref="N81:O81" si="382">N80*5%</f>
        <v>0</v>
      </c>
      <c r="O81" s="239">
        <f t="shared" si="382"/>
        <v>0</v>
      </c>
      <c r="P81" s="239">
        <f t="shared" ref="P81" si="383">P80*5%</f>
        <v>0</v>
      </c>
      <c r="Q81" s="239">
        <f t="shared" ref="Q81:AA81" si="384">Q80*5%</f>
        <v>15.369600960000003</v>
      </c>
      <c r="R81" s="239">
        <f t="shared" ref="R81" si="385">R80*5%</f>
        <v>0</v>
      </c>
      <c r="S81" s="239">
        <f t="shared" si="384"/>
        <v>6.5462653199999998</v>
      </c>
      <c r="T81" s="239">
        <f t="shared" si="384"/>
        <v>0</v>
      </c>
      <c r="U81" s="239">
        <f t="shared" si="384"/>
        <v>0</v>
      </c>
      <c r="V81" s="239">
        <f t="shared" si="384"/>
        <v>0</v>
      </c>
      <c r="W81" s="239">
        <f t="shared" si="384"/>
        <v>0</v>
      </c>
      <c r="X81" s="239">
        <f t="shared" si="384"/>
        <v>0</v>
      </c>
      <c r="Y81" s="239">
        <f t="shared" si="384"/>
        <v>0</v>
      </c>
      <c r="Z81" s="239">
        <f t="shared" si="384"/>
        <v>0</v>
      </c>
      <c r="AA81" s="239">
        <f t="shared" si="384"/>
        <v>0</v>
      </c>
      <c r="AB81" s="237"/>
      <c r="AC81" s="237"/>
      <c r="AD81" s="237"/>
      <c r="AE81" s="361">
        <f t="shared" ca="1" si="266"/>
        <v>102.05</v>
      </c>
      <c r="AF81" s="578">
        <f t="shared" ca="1" si="267"/>
        <v>204.10438540520278</v>
      </c>
      <c r="AG81" s="1086"/>
      <c r="AH81" s="1088"/>
      <c r="AI81" s="1088"/>
      <c r="AJ81" s="1088"/>
      <c r="AK81" s="1088"/>
      <c r="AL81" s="1088"/>
      <c r="AM81" s="1088"/>
      <c r="AN81" s="1088"/>
      <c r="AO81" s="1088"/>
      <c r="AP81" s="1088"/>
      <c r="AQ81" s="1088"/>
      <c r="AR81" s="1088"/>
    </row>
    <row r="82" spans="1:44" s="589" customFormat="1" ht="21.95" customHeight="1" x14ac:dyDescent="0.15">
      <c r="A82" s="2513"/>
      <c r="B82" s="2588" t="s">
        <v>7</v>
      </c>
      <c r="C82" s="929" t="s">
        <v>454</v>
      </c>
      <c r="D82" s="1994"/>
      <c r="E82" s="1516"/>
      <c r="F82" s="238">
        <f t="shared" ref="F82:G82" ca="1" si="386">IF(F6&gt;0,((2*F12+F6)*(2*F12+F7))*F2*F3,(F4*1.2)^2*PI()/4*F2*F3)</f>
        <v>18.338054372051882</v>
      </c>
      <c r="G82" s="238">
        <f t="shared" ca="1" si="386"/>
        <v>18.338054372051882</v>
      </c>
      <c r="H82" s="238">
        <f t="shared" ref="H82:M82" ca="1" si="387">IF(H6&gt;0,((2*H12+H6)*(2*H12+H7))*H2*H3,(H4*1.2)^2*PI()/4*H2*H3)</f>
        <v>24.60409914971348</v>
      </c>
      <c r="I82" s="238">
        <f t="shared" ca="1" si="387"/>
        <v>43.740620710601746</v>
      </c>
      <c r="J82" s="238">
        <f t="shared" ca="1" si="387"/>
        <v>43.740620710601746</v>
      </c>
      <c r="K82" s="238">
        <f t="shared" ca="1" si="387"/>
        <v>43.747858940075616</v>
      </c>
      <c r="L82" s="238">
        <f t="shared" si="387"/>
        <v>0</v>
      </c>
      <c r="M82" s="238">
        <f t="shared" si="387"/>
        <v>0</v>
      </c>
      <c r="N82" s="238">
        <f t="shared" ref="N82:O82" si="388">IF(N6&gt;0,((2*N12+N6)*(2*N12+N7))*N2*N3,(N4*1.2)^2*PI()/4*N2*N3)</f>
        <v>0</v>
      </c>
      <c r="O82" s="238">
        <f t="shared" si="388"/>
        <v>0</v>
      </c>
      <c r="P82" s="238">
        <f t="shared" ref="P82" si="389">IF(P6&gt;0,((2*P12+P6)*(2*P12+P7))*P2*P3,(P4*1.2)^2*PI()/4*P2*P3)</f>
        <v>0</v>
      </c>
      <c r="Q82" s="238">
        <f t="shared" ref="Q82:AA82" si="390">IF(Q6&gt;0,((2*Q12+Q6)*(2*Q12+Q7))*Q2*Q3,(Q4*1.2)^2*PI()/4*Q2*Q3)</f>
        <v>39.08643915890277</v>
      </c>
      <c r="R82" s="238">
        <f t="shared" ref="R82" si="391">IF(R6&gt;0,((2*R12+R6)*(2*R12+R7))*R2*R3,(R4*1.2)^2*PI()/4*R2*R3)</f>
        <v>0</v>
      </c>
      <c r="S82" s="238">
        <f t="shared" si="390"/>
        <v>23.207573250598518</v>
      </c>
      <c r="T82" s="238">
        <f t="shared" si="390"/>
        <v>0</v>
      </c>
      <c r="U82" s="238">
        <f t="shared" si="390"/>
        <v>0</v>
      </c>
      <c r="V82" s="238">
        <f t="shared" si="390"/>
        <v>0</v>
      </c>
      <c r="W82" s="238">
        <f t="shared" si="390"/>
        <v>0</v>
      </c>
      <c r="X82" s="238">
        <f t="shared" si="390"/>
        <v>0</v>
      </c>
      <c r="Y82" s="238">
        <f t="shared" si="390"/>
        <v>0</v>
      </c>
      <c r="Z82" s="238">
        <f t="shared" si="390"/>
        <v>0</v>
      </c>
      <c r="AA82" s="238">
        <f t="shared" si="390"/>
        <v>0</v>
      </c>
      <c r="AB82" s="241"/>
      <c r="AC82" s="241"/>
      <c r="AD82" s="241"/>
      <c r="AE82" s="592">
        <f t="shared" ca="1" si="266"/>
        <v>254.8</v>
      </c>
      <c r="AF82" s="578">
        <f t="shared" ca="1" si="267"/>
        <v>509.60332066459767</v>
      </c>
      <c r="AG82" s="1086"/>
      <c r="AH82" s="1088"/>
      <c r="AI82" s="1088"/>
      <c r="AJ82" s="1088"/>
      <c r="AK82" s="1088"/>
      <c r="AL82" s="1088"/>
      <c r="AM82" s="1088"/>
      <c r="AN82" s="1088"/>
      <c r="AO82" s="1088"/>
      <c r="AP82" s="1088"/>
      <c r="AQ82" s="1088"/>
      <c r="AR82" s="1088"/>
    </row>
    <row r="83" spans="1:44" s="589" customFormat="1" ht="21.95" hidden="1" customHeight="1" x14ac:dyDescent="0.15">
      <c r="A83" s="2513"/>
      <c r="B83" s="2585"/>
      <c r="C83" s="590" t="s">
        <v>738</v>
      </c>
      <c r="D83" s="1995"/>
      <c r="E83" s="591"/>
      <c r="F83" s="158">
        <f t="shared" ref="F83:G83" ca="1" si="392">(F39+F37)/2*F16*F2</f>
        <v>0</v>
      </c>
      <c r="G83" s="158">
        <f t="shared" ca="1" si="392"/>
        <v>0</v>
      </c>
      <c r="H83" s="158">
        <f t="shared" ref="H83:M83" ca="1" si="393">(H39+H37)/2*H16*H2</f>
        <v>0</v>
      </c>
      <c r="I83" s="158">
        <f t="shared" ca="1" si="393"/>
        <v>0</v>
      </c>
      <c r="J83" s="158">
        <f t="shared" ca="1" si="393"/>
        <v>0</v>
      </c>
      <c r="K83" s="158">
        <f t="shared" ca="1" si="393"/>
        <v>0</v>
      </c>
      <c r="L83" s="158">
        <f t="shared" si="393"/>
        <v>0</v>
      </c>
      <c r="M83" s="158">
        <f t="shared" si="393"/>
        <v>0</v>
      </c>
      <c r="N83" s="158">
        <f t="shared" ref="N83:O83" si="394">(N39+N37)/2*N16*N2</f>
        <v>0</v>
      </c>
      <c r="O83" s="158">
        <f t="shared" si="394"/>
        <v>0</v>
      </c>
      <c r="P83" s="158">
        <f t="shared" ref="P83" si="395">(P39+P37)/2*P16*P2</f>
        <v>0</v>
      </c>
      <c r="Q83" s="158">
        <f t="shared" ref="Q83:AA83" si="396">(Q39+Q37)/2*Q16*Q2</f>
        <v>0</v>
      </c>
      <c r="R83" s="158">
        <f t="shared" ref="R83" si="397">(R39+R37)/2*R16*R2</f>
        <v>0</v>
      </c>
      <c r="S83" s="158">
        <f t="shared" si="396"/>
        <v>0</v>
      </c>
      <c r="T83" s="158">
        <f t="shared" si="396"/>
        <v>0</v>
      </c>
      <c r="U83" s="158">
        <f t="shared" si="396"/>
        <v>0</v>
      </c>
      <c r="V83" s="158">
        <f t="shared" si="396"/>
        <v>0</v>
      </c>
      <c r="W83" s="158">
        <f t="shared" si="396"/>
        <v>0</v>
      </c>
      <c r="X83" s="158">
        <f t="shared" si="396"/>
        <v>0</v>
      </c>
      <c r="Y83" s="158">
        <f t="shared" si="396"/>
        <v>0</v>
      </c>
      <c r="Z83" s="158">
        <f t="shared" si="396"/>
        <v>0</v>
      </c>
      <c r="AA83" s="158">
        <f t="shared" si="396"/>
        <v>0</v>
      </c>
      <c r="AB83" s="159"/>
      <c r="AC83" s="159"/>
      <c r="AD83" s="159"/>
      <c r="AE83" s="594">
        <f t="shared" ca="1" si="266"/>
        <v>0</v>
      </c>
      <c r="AF83" s="578">
        <f t="shared" ca="1" si="267"/>
        <v>0</v>
      </c>
      <c r="AG83" s="1086"/>
      <c r="AH83" s="1088"/>
      <c r="AI83" s="1088"/>
      <c r="AJ83" s="1088"/>
      <c r="AK83" s="1088"/>
      <c r="AL83" s="1088"/>
      <c r="AM83" s="1088"/>
      <c r="AN83" s="1088"/>
      <c r="AO83" s="1088"/>
      <c r="AP83" s="1088"/>
      <c r="AQ83" s="1088"/>
      <c r="AR83" s="1088"/>
    </row>
    <row r="84" spans="1:44" s="589" customFormat="1" ht="32.1" hidden="1" customHeight="1" x14ac:dyDescent="0.15">
      <c r="A84" s="2513"/>
      <c r="B84" s="2585"/>
      <c r="C84" s="597" t="s">
        <v>1475</v>
      </c>
      <c r="D84" s="1995"/>
      <c r="E84" s="591"/>
      <c r="F84" s="158">
        <f t="shared" ref="F84:G84" si="398">IF(F41&gt;F122,F41*1.4,F122)</f>
        <v>0</v>
      </c>
      <c r="G84" s="158">
        <f t="shared" si="398"/>
        <v>0</v>
      </c>
      <c r="H84" s="158">
        <f t="shared" ref="H84:M84" si="399">IF(H41&gt;H122,H41*1.4,H122)</f>
        <v>0</v>
      </c>
      <c r="I84" s="158">
        <f t="shared" si="399"/>
        <v>0</v>
      </c>
      <c r="J84" s="158">
        <f t="shared" si="399"/>
        <v>0</v>
      </c>
      <c r="K84" s="158">
        <f t="shared" si="399"/>
        <v>0</v>
      </c>
      <c r="L84" s="158">
        <f t="shared" si="399"/>
        <v>0</v>
      </c>
      <c r="M84" s="158">
        <f t="shared" si="399"/>
        <v>0</v>
      </c>
      <c r="N84" s="158">
        <f t="shared" ref="N84:O84" si="400">IF(N41&gt;N122,N41*1.4,N122)</f>
        <v>0</v>
      </c>
      <c r="O84" s="158">
        <f t="shared" si="400"/>
        <v>0</v>
      </c>
      <c r="P84" s="158">
        <f t="shared" ref="P84" si="401">IF(P41&gt;P122,P41*1.4,P122)</f>
        <v>0</v>
      </c>
      <c r="Q84" s="158">
        <f t="shared" ref="Q84:AA84" si="402">IF(Q41&gt;Q122,Q41*1.4,Q122)</f>
        <v>0</v>
      </c>
      <c r="R84" s="158">
        <f t="shared" ref="R84" si="403">IF(R41&gt;R122,R41*1.4,R122)</f>
        <v>0</v>
      </c>
      <c r="S84" s="158">
        <f t="shared" si="402"/>
        <v>0</v>
      </c>
      <c r="T84" s="158">
        <f t="shared" si="402"/>
        <v>0</v>
      </c>
      <c r="U84" s="158">
        <f t="shared" si="402"/>
        <v>0</v>
      </c>
      <c r="V84" s="158">
        <f t="shared" si="402"/>
        <v>0</v>
      </c>
      <c r="W84" s="158">
        <f t="shared" si="402"/>
        <v>0</v>
      </c>
      <c r="X84" s="158">
        <f t="shared" si="402"/>
        <v>0</v>
      </c>
      <c r="Y84" s="158">
        <f t="shared" si="402"/>
        <v>0</v>
      </c>
      <c r="Z84" s="158">
        <f t="shared" si="402"/>
        <v>0</v>
      </c>
      <c r="AA84" s="158">
        <f t="shared" si="402"/>
        <v>0</v>
      </c>
      <c r="AB84" s="159"/>
      <c r="AC84" s="159"/>
      <c r="AD84" s="159"/>
      <c r="AE84" s="594">
        <f t="shared" si="266"/>
        <v>0</v>
      </c>
      <c r="AF84" s="578">
        <f t="shared" si="267"/>
        <v>0</v>
      </c>
      <c r="AG84" s="1086"/>
      <c r="AH84" s="1088"/>
      <c r="AI84" s="1088"/>
      <c r="AJ84" s="1088"/>
      <c r="AK84" s="1088"/>
      <c r="AL84" s="1088"/>
      <c r="AM84" s="1088"/>
      <c r="AN84" s="1088"/>
      <c r="AO84" s="1088"/>
      <c r="AP84" s="1088"/>
      <c r="AQ84" s="1088"/>
      <c r="AR84" s="1088"/>
    </row>
    <row r="85" spans="1:44" s="589" customFormat="1" ht="21.95" customHeight="1" x14ac:dyDescent="0.15">
      <c r="A85" s="2513"/>
      <c r="B85" s="2585"/>
      <c r="C85" s="597" t="s">
        <v>737</v>
      </c>
      <c r="D85" s="1995"/>
      <c r="E85" s="591"/>
      <c r="F85" s="158">
        <f t="shared" ref="F85:G85" ca="1" si="404">IF(+F83+F82&gt;F46,F46,F83+F82)+F84</f>
        <v>18.338054372051882</v>
      </c>
      <c r="G85" s="158">
        <f t="shared" ca="1" si="404"/>
        <v>18.338054372051882</v>
      </c>
      <c r="H85" s="158">
        <f t="shared" ref="H85:M85" ca="1" si="405">IF(+H83+H82&gt;H46,H46,H83+H82)+H84</f>
        <v>24.60409914971348</v>
      </c>
      <c r="I85" s="158">
        <f t="shared" ca="1" si="405"/>
        <v>43.740620710601746</v>
      </c>
      <c r="J85" s="158">
        <f t="shared" ca="1" si="405"/>
        <v>43.740620710601746</v>
      </c>
      <c r="K85" s="158">
        <f t="shared" ca="1" si="405"/>
        <v>43.747858940075616</v>
      </c>
      <c r="L85" s="158">
        <f t="shared" si="405"/>
        <v>0</v>
      </c>
      <c r="M85" s="158">
        <f t="shared" si="405"/>
        <v>0</v>
      </c>
      <c r="N85" s="158">
        <f t="shared" ref="N85:O85" si="406">IF(+N83+N82&gt;N46,N46,N83+N82)+N84</f>
        <v>0</v>
      </c>
      <c r="O85" s="158">
        <f t="shared" si="406"/>
        <v>0</v>
      </c>
      <c r="P85" s="158">
        <f t="shared" ref="P85" si="407">IF(+P83+P82&gt;P46,P46,P83+P82)+P84</f>
        <v>0</v>
      </c>
      <c r="Q85" s="158">
        <f t="shared" ref="Q85:AA85" si="408">IF(+Q83+Q82&gt;Q46,Q46,Q83+Q82)+Q84</f>
        <v>39.08643915890277</v>
      </c>
      <c r="R85" s="158">
        <f t="shared" ref="R85" si="409">IF(+R83+R82&gt;R46,R46,R83+R82)+R84</f>
        <v>0</v>
      </c>
      <c r="S85" s="158">
        <f t="shared" si="408"/>
        <v>23.207573250598518</v>
      </c>
      <c r="T85" s="158">
        <f t="shared" si="408"/>
        <v>0</v>
      </c>
      <c r="U85" s="158">
        <f t="shared" si="408"/>
        <v>0</v>
      </c>
      <c r="V85" s="158">
        <f t="shared" si="408"/>
        <v>0</v>
      </c>
      <c r="W85" s="158">
        <f t="shared" si="408"/>
        <v>0</v>
      </c>
      <c r="X85" s="158">
        <f t="shared" si="408"/>
        <v>0</v>
      </c>
      <c r="Y85" s="158">
        <f t="shared" si="408"/>
        <v>0</v>
      </c>
      <c r="Z85" s="158">
        <f t="shared" si="408"/>
        <v>0</v>
      </c>
      <c r="AA85" s="158">
        <f t="shared" si="408"/>
        <v>0</v>
      </c>
      <c r="AB85" s="159"/>
      <c r="AC85" s="159"/>
      <c r="AD85" s="159"/>
      <c r="AE85" s="594">
        <f t="shared" ca="1" si="266"/>
        <v>254.8</v>
      </c>
      <c r="AF85" s="578">
        <f t="shared" ca="1" si="267"/>
        <v>509.60332066459767</v>
      </c>
      <c r="AG85" s="1086"/>
      <c r="AH85" s="1088"/>
      <c r="AI85" s="1088"/>
      <c r="AJ85" s="1088"/>
      <c r="AK85" s="1088"/>
      <c r="AL85" s="1088"/>
      <c r="AM85" s="1088"/>
      <c r="AN85" s="1088"/>
      <c r="AO85" s="1088"/>
      <c r="AP85" s="1088"/>
      <c r="AQ85" s="1088"/>
      <c r="AR85" s="1088"/>
    </row>
    <row r="86" spans="1:44" s="589" customFormat="1" ht="32.1" customHeight="1" thickBot="1" x14ac:dyDescent="0.2">
      <c r="A86" s="2513"/>
      <c r="B86" s="2589"/>
      <c r="C86" s="597" t="s">
        <v>740</v>
      </c>
      <c r="D86" s="1995"/>
      <c r="E86" s="591"/>
      <c r="F86" s="158">
        <f t="shared" ref="F86:G86" ca="1" si="410">IF(F85&lt;F46,F85,F46)</f>
        <v>18.338054372051882</v>
      </c>
      <c r="G86" s="158">
        <f t="shared" ca="1" si="410"/>
        <v>18.338054372051882</v>
      </c>
      <c r="H86" s="158">
        <f t="shared" ref="H86:M86" ca="1" si="411">IF(H85&lt;H46,H85,H46)</f>
        <v>24.60409914971348</v>
      </c>
      <c r="I86" s="158">
        <f t="shared" ca="1" si="411"/>
        <v>43.740620710601746</v>
      </c>
      <c r="J86" s="239">
        <f t="shared" ca="1" si="411"/>
        <v>43.740620710601746</v>
      </c>
      <c r="K86" s="158">
        <f t="shared" ca="1" si="411"/>
        <v>43.747858940075616</v>
      </c>
      <c r="L86" s="158">
        <f t="shared" si="411"/>
        <v>0</v>
      </c>
      <c r="M86" s="158">
        <f t="shared" si="411"/>
        <v>0</v>
      </c>
      <c r="N86" s="158">
        <f t="shared" ref="N86:O86" si="412">IF(N85&lt;N46,N85,N46)</f>
        <v>0</v>
      </c>
      <c r="O86" s="158">
        <f t="shared" si="412"/>
        <v>0</v>
      </c>
      <c r="P86" s="158">
        <f t="shared" ref="P86" si="413">IF(P85&lt;P46,P85,P46)</f>
        <v>0</v>
      </c>
      <c r="Q86" s="158">
        <f t="shared" ref="Q86:AA86" si="414">IF(Q85&lt;Q46,Q85,Q46)</f>
        <v>39.08643915890277</v>
      </c>
      <c r="R86" s="158">
        <f t="shared" ref="R86" si="415">IF(R85&lt;R46,R85,R46)</f>
        <v>0</v>
      </c>
      <c r="S86" s="158">
        <f t="shared" si="414"/>
        <v>23.207573250598518</v>
      </c>
      <c r="T86" s="158">
        <f t="shared" si="414"/>
        <v>0</v>
      </c>
      <c r="U86" s="158">
        <f t="shared" si="414"/>
        <v>0</v>
      </c>
      <c r="V86" s="158">
        <f t="shared" si="414"/>
        <v>0</v>
      </c>
      <c r="W86" s="158">
        <f t="shared" si="414"/>
        <v>0</v>
      </c>
      <c r="X86" s="158">
        <f t="shared" si="414"/>
        <v>0</v>
      </c>
      <c r="Y86" s="158">
        <f t="shared" si="414"/>
        <v>0</v>
      </c>
      <c r="Z86" s="158">
        <f t="shared" si="414"/>
        <v>0</v>
      </c>
      <c r="AA86" s="158">
        <f t="shared" si="414"/>
        <v>0</v>
      </c>
      <c r="AB86" s="159"/>
      <c r="AC86" s="159"/>
      <c r="AD86" s="159"/>
      <c r="AE86" s="361">
        <f t="shared" ca="1" si="266"/>
        <v>254.8</v>
      </c>
      <c r="AF86" s="578">
        <f t="shared" ca="1" si="267"/>
        <v>509.60332066459767</v>
      </c>
      <c r="AG86" s="1086"/>
      <c r="AH86" s="1088"/>
      <c r="AI86" s="1088"/>
      <c r="AJ86" s="1088"/>
      <c r="AK86" s="1088"/>
      <c r="AL86" s="1088"/>
      <c r="AM86" s="1088"/>
      <c r="AN86" s="1088"/>
      <c r="AO86" s="1088"/>
      <c r="AP86" s="1088"/>
      <c r="AQ86" s="1088"/>
      <c r="AR86" s="1088"/>
    </row>
    <row r="87" spans="1:44" s="505" customFormat="1" ht="21.95" hidden="1" customHeight="1" thickBot="1" x14ac:dyDescent="0.2">
      <c r="A87" s="2513"/>
      <c r="B87" s="2594" t="s">
        <v>489</v>
      </c>
      <c r="C87" s="2283" t="s">
        <v>171</v>
      </c>
      <c r="D87" s="2003"/>
      <c r="E87" s="1410"/>
      <c r="F87" s="1084">
        <f ca="1">IF(F88=1,0,+Dren_Quantificacao!D25)</f>
        <v>0</v>
      </c>
      <c r="G87" s="1084">
        <f ca="1">IF(G88=1,0,+Dren_Quantificacao!E25)</f>
        <v>0</v>
      </c>
      <c r="H87" s="1084">
        <f ca="1">IF(H88=1,0,+Dren_Quantificacao!F25)</f>
        <v>0</v>
      </c>
      <c r="I87" s="1084">
        <f ca="1">IF(I88=1,0,+Dren_Quantificacao!G25)</f>
        <v>0</v>
      </c>
      <c r="J87" s="2384">
        <f ca="1">IF(J88=1,0,+Dren_Quantificacao!H25)</f>
        <v>0</v>
      </c>
      <c r="K87" s="2384">
        <f ca="1">IF(K88=1,0,+Dren_Quantificacao!I25)</f>
        <v>0</v>
      </c>
      <c r="L87" s="1084">
        <f>IF(L88=1,0,+Dren_Quantificacao!J25)</f>
        <v>0</v>
      </c>
      <c r="M87" s="1084">
        <f>IF(M88=1,0,+Dren_Quantificacao!K25)</f>
        <v>0</v>
      </c>
      <c r="N87" s="1084">
        <f>IF(N88=1,0,+Dren_Quantificacao!L25)</f>
        <v>0</v>
      </c>
      <c r="O87" s="1084">
        <f>IF(O88=1,0,+Dren_Quantificacao!M25)</f>
        <v>0</v>
      </c>
      <c r="P87" s="1084">
        <f>IF(P88=1,0,+Dren_Quantificacao!O25)</f>
        <v>0</v>
      </c>
      <c r="Q87" s="1084">
        <f>IF(Q88=1,0,+Dren_Quantificacao!P25)</f>
        <v>0</v>
      </c>
      <c r="R87" s="2384">
        <f>IF(R88=1,0,+Dren_Quantificacao!Q25)</f>
        <v>0</v>
      </c>
      <c r="S87" s="1084">
        <f>IF(S88=1,0,+Dren_Quantificacao!R25)</f>
        <v>0</v>
      </c>
      <c r="T87" s="1084">
        <f>IF(T88=1,0,+Dren_Quantificacao!S25)</f>
        <v>0</v>
      </c>
      <c r="U87" s="1084">
        <f>IF(U88=1,0,+Dren_Quantificacao!T25)</f>
        <v>0</v>
      </c>
      <c r="V87" s="1084">
        <f>IF(V88=1,0,+Dren_Quantificacao!U25)</f>
        <v>0</v>
      </c>
      <c r="W87" s="1084">
        <f>IF(W88=1,0,+Dren_Quantificacao!V25)</f>
        <v>0</v>
      </c>
      <c r="X87" s="1084">
        <f>IF(X88=1,0,+Dren_Quantificacao!W25)</f>
        <v>0</v>
      </c>
      <c r="Y87" s="1084">
        <f>IF(Y88=1,0,+Dren_Quantificacao!X25)</f>
        <v>0</v>
      </c>
      <c r="Z87" s="1084">
        <f>IF(Z88=1,0,+Dren_Quantificacao!Y25)</f>
        <v>0</v>
      </c>
      <c r="AA87" s="1084">
        <f>IF(AA88=1,0,+Dren_Quantificacao!Z25)</f>
        <v>0</v>
      </c>
      <c r="AB87" s="878"/>
      <c r="AC87" s="878"/>
      <c r="AD87" s="878"/>
      <c r="AE87" s="879"/>
      <c r="AF87" s="578">
        <f t="shared" ca="1" si="267"/>
        <v>0</v>
      </c>
      <c r="AG87" s="1086"/>
      <c r="AH87" s="1088"/>
      <c r="AI87" s="1088"/>
      <c r="AJ87" s="1091"/>
      <c r="AK87" s="1091"/>
      <c r="AL87" s="1091"/>
      <c r="AM87" s="1091"/>
      <c r="AN87" s="1091"/>
      <c r="AO87" s="1091"/>
      <c r="AP87" s="1091"/>
      <c r="AQ87" s="1091"/>
      <c r="AR87" s="1091"/>
    </row>
    <row r="88" spans="1:44" s="505" customFormat="1" ht="21.95" customHeight="1" x14ac:dyDescent="0.15">
      <c r="A88" s="2513"/>
      <c r="B88" s="2595"/>
      <c r="C88" s="2371" t="s">
        <v>1365</v>
      </c>
      <c r="D88" s="2004"/>
      <c r="E88" s="1529"/>
      <c r="F88" s="1084">
        <f ca="1">IF(F28="ROCHA",0,IF(F11+F160+F164+F176&gt;=3,0.5,0))</f>
        <v>0</v>
      </c>
      <c r="G88" s="1084">
        <f t="shared" ref="G88" ca="1" si="416">IF(G28="ROCHA",0,IF(G11+G160+G164+G176&gt;=3,0.5,0))</f>
        <v>0</v>
      </c>
      <c r="H88" s="1084">
        <f t="shared" ref="H88:M88" ca="1" si="417">IF(H28="ROCHA",0,IF(H11+H160+H164+H176&gt;=3,0.5,0))</f>
        <v>0</v>
      </c>
      <c r="I88" s="1084">
        <f t="shared" ca="1" si="417"/>
        <v>0.5</v>
      </c>
      <c r="J88" s="1066">
        <f t="shared" ca="1" si="417"/>
        <v>0.5</v>
      </c>
      <c r="K88" s="1084">
        <f t="shared" ca="1" si="417"/>
        <v>0.5</v>
      </c>
      <c r="L88" s="1084">
        <f t="shared" si="417"/>
        <v>0</v>
      </c>
      <c r="M88" s="1084">
        <f t="shared" si="417"/>
        <v>0</v>
      </c>
      <c r="N88" s="1084">
        <f t="shared" ref="N88:O88" si="418">IF(N28="ROCHA",0,IF(N11+N160+N164+N176&gt;=3,0.5,0))</f>
        <v>0</v>
      </c>
      <c r="O88" s="1084">
        <f t="shared" si="418"/>
        <v>0</v>
      </c>
      <c r="P88" s="1084">
        <f t="shared" ref="P88" si="419">IF(P28="ROCHA",0,IF(P11+P160+P164+P176&gt;=3,0.5,0))</f>
        <v>0</v>
      </c>
      <c r="Q88" s="1084">
        <f t="shared" ref="Q88:AA88" si="420">IF(Q28="ROCHA",0,IF(Q11+Q160+Q164+Q176&gt;=3,0.5,0))</f>
        <v>0</v>
      </c>
      <c r="R88" s="1066">
        <f t="shared" ref="R88" si="421">IF(R28="ROCHA",0,IF(R11+R160+R164+R176&gt;=3,0.5,0))</f>
        <v>0</v>
      </c>
      <c r="S88" s="1084">
        <f t="shared" si="420"/>
        <v>0</v>
      </c>
      <c r="T88" s="1066">
        <f t="shared" si="420"/>
        <v>0</v>
      </c>
      <c r="U88" s="1066">
        <f t="shared" si="420"/>
        <v>0</v>
      </c>
      <c r="V88" s="1066">
        <f t="shared" si="420"/>
        <v>0</v>
      </c>
      <c r="W88" s="1066">
        <f t="shared" si="420"/>
        <v>0</v>
      </c>
      <c r="X88" s="1066">
        <f t="shared" si="420"/>
        <v>0</v>
      </c>
      <c r="Y88" s="1066">
        <f t="shared" si="420"/>
        <v>0</v>
      </c>
      <c r="Z88" s="1066">
        <f t="shared" si="420"/>
        <v>0</v>
      </c>
      <c r="AA88" s="1066">
        <f t="shared" si="420"/>
        <v>0</v>
      </c>
      <c r="AB88" s="504"/>
      <c r="AC88" s="504"/>
      <c r="AD88" s="504"/>
      <c r="AE88" s="879"/>
      <c r="AF88" s="578">
        <f t="shared" ca="1" si="267"/>
        <v>1.5</v>
      </c>
      <c r="AG88" s="1086"/>
      <c r="AH88" s="1088"/>
      <c r="AI88" s="1088"/>
      <c r="AJ88" s="1091"/>
      <c r="AK88" s="1091"/>
      <c r="AL88" s="1091"/>
      <c r="AM88" s="1091"/>
      <c r="AN88" s="1091"/>
      <c r="AO88" s="1091"/>
      <c r="AP88" s="1091"/>
      <c r="AQ88" s="1091"/>
      <c r="AR88" s="1091"/>
    </row>
    <row r="89" spans="1:44" s="589" customFormat="1" ht="21.95" customHeight="1" x14ac:dyDescent="0.15">
      <c r="A89" s="2513"/>
      <c r="B89" s="2595"/>
      <c r="C89" s="590" t="s">
        <v>488</v>
      </c>
      <c r="D89" s="1995"/>
      <c r="E89" s="591"/>
      <c r="F89" s="158">
        <f t="shared" ref="F89:G89" ca="1" si="422">F120*MAX(F87:F88)</f>
        <v>0</v>
      </c>
      <c r="G89" s="158">
        <f t="shared" ca="1" si="422"/>
        <v>0</v>
      </c>
      <c r="H89" s="158">
        <f t="shared" ref="H89:M89" ca="1" si="423">H120*MAX(H87:H88)</f>
        <v>0</v>
      </c>
      <c r="I89" s="158">
        <f t="shared" ca="1" si="423"/>
        <v>139.40112154195833</v>
      </c>
      <c r="J89" s="158">
        <f t="shared" ca="1" si="423"/>
        <v>185.7576050927467</v>
      </c>
      <c r="K89" s="158">
        <f t="shared" ca="1" si="423"/>
        <v>175.39968279156525</v>
      </c>
      <c r="L89" s="158">
        <f t="shared" si="423"/>
        <v>0</v>
      </c>
      <c r="M89" s="158">
        <f t="shared" si="423"/>
        <v>0</v>
      </c>
      <c r="N89" s="158">
        <f t="shared" ref="N89:O89" si="424">N120*MAX(N87:N88)</f>
        <v>0</v>
      </c>
      <c r="O89" s="158">
        <f t="shared" si="424"/>
        <v>0</v>
      </c>
      <c r="P89" s="158">
        <f t="shared" ref="P89" si="425">P120*MAX(P87:P88)</f>
        <v>0</v>
      </c>
      <c r="Q89" s="158">
        <f t="shared" ref="Q89:AA89" si="426">Q120*MAX(Q87:Q88)</f>
        <v>0</v>
      </c>
      <c r="R89" s="158">
        <f t="shared" ref="R89" si="427">R120*MAX(R87:R88)</f>
        <v>0</v>
      </c>
      <c r="S89" s="158">
        <f t="shared" si="426"/>
        <v>0</v>
      </c>
      <c r="T89" s="158">
        <f t="shared" si="426"/>
        <v>0</v>
      </c>
      <c r="U89" s="158">
        <f t="shared" si="426"/>
        <v>0</v>
      </c>
      <c r="V89" s="158">
        <f t="shared" si="426"/>
        <v>0</v>
      </c>
      <c r="W89" s="158">
        <f t="shared" si="426"/>
        <v>0</v>
      </c>
      <c r="X89" s="158">
        <f t="shared" si="426"/>
        <v>0</v>
      </c>
      <c r="Y89" s="158">
        <f t="shared" si="426"/>
        <v>0</v>
      </c>
      <c r="Z89" s="158">
        <f t="shared" si="426"/>
        <v>0</v>
      </c>
      <c r="AA89" s="158">
        <f t="shared" si="426"/>
        <v>0</v>
      </c>
      <c r="AB89" s="159"/>
      <c r="AC89" s="159"/>
      <c r="AD89" s="159"/>
      <c r="AE89" s="350">
        <f t="shared" ref="AE89:AE97" ca="1" si="428">TRUNC(SUM(F89:AD89),2)</f>
        <v>500.55</v>
      </c>
      <c r="AF89" s="578">
        <f t="shared" ca="1" si="267"/>
        <v>1001.1084094262703</v>
      </c>
      <c r="AG89" s="1086"/>
      <c r="AH89" s="1088"/>
      <c r="AI89" s="1088"/>
      <c r="AJ89" s="1088"/>
      <c r="AK89" s="1088"/>
      <c r="AL89" s="1088"/>
      <c r="AM89" s="1088"/>
      <c r="AN89" s="1088"/>
      <c r="AO89" s="1088"/>
      <c r="AP89" s="1088"/>
      <c r="AQ89" s="1088"/>
      <c r="AR89" s="1088"/>
    </row>
    <row r="90" spans="1:44" s="589" customFormat="1" ht="21.95" customHeight="1" x14ac:dyDescent="0.15">
      <c r="A90" s="2513"/>
      <c r="B90" s="2595"/>
      <c r="C90" s="590" t="s">
        <v>487</v>
      </c>
      <c r="D90" s="2005"/>
      <c r="E90" s="591"/>
      <c r="F90" s="599">
        <f t="shared" ref="F90:G90" ca="1" si="429">F89*1.25</f>
        <v>0</v>
      </c>
      <c r="G90" s="599">
        <f t="shared" ca="1" si="429"/>
        <v>0</v>
      </c>
      <c r="H90" s="599">
        <f t="shared" ref="H90:M90" ca="1" si="430">H89*1.25</f>
        <v>0</v>
      </c>
      <c r="I90" s="599">
        <f t="shared" ca="1" si="430"/>
        <v>174.25140192744792</v>
      </c>
      <c r="J90" s="599">
        <f t="shared" ca="1" si="430"/>
        <v>232.19700636593336</v>
      </c>
      <c r="K90" s="599">
        <f t="shared" ca="1" si="430"/>
        <v>219.24960348945658</v>
      </c>
      <c r="L90" s="599">
        <f t="shared" si="430"/>
        <v>0</v>
      </c>
      <c r="M90" s="599">
        <f t="shared" si="430"/>
        <v>0</v>
      </c>
      <c r="N90" s="599">
        <f t="shared" ref="N90:O90" si="431">N89*1.25</f>
        <v>0</v>
      </c>
      <c r="O90" s="599">
        <f t="shared" si="431"/>
        <v>0</v>
      </c>
      <c r="P90" s="599">
        <f t="shared" ref="P90" si="432">P89*1.25</f>
        <v>0</v>
      </c>
      <c r="Q90" s="599">
        <f t="shared" ref="Q90:AA90" si="433">Q89*1.25</f>
        <v>0</v>
      </c>
      <c r="R90" s="599">
        <f t="shared" ref="R90" si="434">R89*1.25</f>
        <v>0</v>
      </c>
      <c r="S90" s="599">
        <f t="shared" si="433"/>
        <v>0</v>
      </c>
      <c r="T90" s="599">
        <f t="shared" si="433"/>
        <v>0</v>
      </c>
      <c r="U90" s="599">
        <f t="shared" si="433"/>
        <v>0</v>
      </c>
      <c r="V90" s="599">
        <f t="shared" si="433"/>
        <v>0</v>
      </c>
      <c r="W90" s="599">
        <f t="shared" si="433"/>
        <v>0</v>
      </c>
      <c r="X90" s="599">
        <f t="shared" si="433"/>
        <v>0</v>
      </c>
      <c r="Y90" s="599">
        <f t="shared" si="433"/>
        <v>0</v>
      </c>
      <c r="Z90" s="599">
        <f t="shared" si="433"/>
        <v>0</v>
      </c>
      <c r="AA90" s="599">
        <f t="shared" si="433"/>
        <v>0</v>
      </c>
      <c r="AB90" s="159"/>
      <c r="AC90" s="159"/>
      <c r="AD90" s="159"/>
      <c r="AE90" s="350">
        <f t="shared" ca="1" si="428"/>
        <v>625.69000000000005</v>
      </c>
      <c r="AF90" s="578">
        <f t="shared" ca="1" si="267"/>
        <v>1251.388011782838</v>
      </c>
      <c r="AG90" s="1086"/>
      <c r="AH90" s="1088"/>
      <c r="AI90" s="1088"/>
      <c r="AJ90" s="1088"/>
      <c r="AK90" s="1088"/>
      <c r="AL90" s="1088"/>
      <c r="AM90" s="1088"/>
      <c r="AN90" s="1088"/>
      <c r="AO90" s="1088"/>
      <c r="AP90" s="1088"/>
      <c r="AQ90" s="1088"/>
      <c r="AR90" s="1088"/>
    </row>
    <row r="91" spans="1:44" s="589" customFormat="1" ht="32.1" customHeight="1" thickBot="1" x14ac:dyDescent="0.2">
      <c r="A91" s="2513"/>
      <c r="B91" s="2587"/>
      <c r="C91" s="928" t="s">
        <v>720</v>
      </c>
      <c r="D91" s="1996"/>
      <c r="E91" s="1519"/>
      <c r="F91" s="239">
        <f t="shared" ref="F91:G91" ca="1" si="435">F90</f>
        <v>0</v>
      </c>
      <c r="G91" s="239">
        <f t="shared" ca="1" si="435"/>
        <v>0</v>
      </c>
      <c r="H91" s="239">
        <f t="shared" ref="H91:M91" ca="1" si="436">H90</f>
        <v>0</v>
      </c>
      <c r="I91" s="239">
        <f t="shared" ca="1" si="436"/>
        <v>174.25140192744792</v>
      </c>
      <c r="J91" s="239">
        <f t="shared" ca="1" si="436"/>
        <v>232.19700636593336</v>
      </c>
      <c r="K91" s="239">
        <f t="shared" ca="1" si="436"/>
        <v>219.24960348945658</v>
      </c>
      <c r="L91" s="239">
        <f t="shared" si="436"/>
        <v>0</v>
      </c>
      <c r="M91" s="239">
        <f t="shared" si="436"/>
        <v>0</v>
      </c>
      <c r="N91" s="239">
        <f t="shared" ref="N91:O91" si="437">N90</f>
        <v>0</v>
      </c>
      <c r="O91" s="239">
        <f t="shared" si="437"/>
        <v>0</v>
      </c>
      <c r="P91" s="239">
        <f t="shared" ref="P91" si="438">P90</f>
        <v>0</v>
      </c>
      <c r="Q91" s="239">
        <f t="shared" ref="Q91:AA91" si="439">Q90</f>
        <v>0</v>
      </c>
      <c r="R91" s="239">
        <f t="shared" ref="R91" si="440">R90</f>
        <v>0</v>
      </c>
      <c r="S91" s="239">
        <f t="shared" si="439"/>
        <v>0</v>
      </c>
      <c r="T91" s="239">
        <f t="shared" si="439"/>
        <v>0</v>
      </c>
      <c r="U91" s="239">
        <f t="shared" si="439"/>
        <v>0</v>
      </c>
      <c r="V91" s="239">
        <f t="shared" si="439"/>
        <v>0</v>
      </c>
      <c r="W91" s="239">
        <f t="shared" si="439"/>
        <v>0</v>
      </c>
      <c r="X91" s="239">
        <f t="shared" si="439"/>
        <v>0</v>
      </c>
      <c r="Y91" s="239">
        <f t="shared" si="439"/>
        <v>0</v>
      </c>
      <c r="Z91" s="239">
        <f t="shared" si="439"/>
        <v>0</v>
      </c>
      <c r="AA91" s="239">
        <f t="shared" si="439"/>
        <v>0</v>
      </c>
      <c r="AB91" s="237"/>
      <c r="AC91" s="237"/>
      <c r="AD91" s="237"/>
      <c r="AE91" s="361">
        <f t="shared" ca="1" si="428"/>
        <v>625.69000000000005</v>
      </c>
      <c r="AF91" s="578">
        <f t="shared" ref="AF91:AF110" ca="1" si="441">SUM(F91:AE91)</f>
        <v>1251.388011782838</v>
      </c>
      <c r="AG91" s="1086"/>
      <c r="AH91" s="1088"/>
      <c r="AI91" s="1088"/>
      <c r="AJ91" s="1088"/>
      <c r="AK91" s="1088"/>
      <c r="AL91" s="1088"/>
      <c r="AM91" s="1088"/>
      <c r="AN91" s="1088"/>
      <c r="AO91" s="1088"/>
      <c r="AP91" s="1088"/>
      <c r="AQ91" s="1088"/>
      <c r="AR91" s="1088"/>
    </row>
    <row r="92" spans="1:44" s="589" customFormat="1" ht="21.95" hidden="1" customHeight="1" x14ac:dyDescent="0.15">
      <c r="A92" s="2513"/>
      <c r="B92" s="2588" t="s">
        <v>308</v>
      </c>
      <c r="C92" s="929" t="s">
        <v>306</v>
      </c>
      <c r="D92" s="1994"/>
      <c r="E92" s="1516"/>
      <c r="F92" s="238">
        <f t="shared" ref="F92:G92" ca="1" si="442">IF(F93=0,0,SUM(F40:F45))</f>
        <v>0</v>
      </c>
      <c r="G92" s="238">
        <f t="shared" ca="1" si="442"/>
        <v>0</v>
      </c>
      <c r="H92" s="238">
        <f t="shared" ref="H92:M92" ca="1" si="443">IF(H93=0,0,SUM(H40:H45))</f>
        <v>0</v>
      </c>
      <c r="I92" s="238">
        <f t="shared" ca="1" si="443"/>
        <v>0</v>
      </c>
      <c r="J92" s="238">
        <f t="shared" ca="1" si="443"/>
        <v>0</v>
      </c>
      <c r="K92" s="238">
        <f t="shared" ca="1" si="443"/>
        <v>0</v>
      </c>
      <c r="L92" s="238">
        <f t="shared" si="443"/>
        <v>0</v>
      </c>
      <c r="M92" s="238">
        <f t="shared" si="443"/>
        <v>0</v>
      </c>
      <c r="N92" s="238">
        <f t="shared" ref="N92:O92" si="444">IF(N93=0,0,SUM(N40:N45))</f>
        <v>0</v>
      </c>
      <c r="O92" s="238">
        <f t="shared" si="444"/>
        <v>0</v>
      </c>
      <c r="P92" s="238">
        <f t="shared" ref="P92" si="445">IF(P93=0,0,SUM(P40:P45))</f>
        <v>0</v>
      </c>
      <c r="Q92" s="238">
        <f t="shared" ref="Q92:AA92" si="446">IF(Q93=0,0,SUM(Q40:Q45))</f>
        <v>0</v>
      </c>
      <c r="R92" s="238">
        <f t="shared" ref="R92" si="447">IF(R93=0,0,SUM(R40:R45))</f>
        <v>0</v>
      </c>
      <c r="S92" s="238">
        <f t="shared" si="446"/>
        <v>0</v>
      </c>
      <c r="T92" s="238">
        <f t="shared" si="446"/>
        <v>0</v>
      </c>
      <c r="U92" s="238">
        <f t="shared" si="446"/>
        <v>0</v>
      </c>
      <c r="V92" s="238">
        <f t="shared" si="446"/>
        <v>0</v>
      </c>
      <c r="W92" s="238">
        <f t="shared" si="446"/>
        <v>0</v>
      </c>
      <c r="X92" s="238">
        <f t="shared" si="446"/>
        <v>0</v>
      </c>
      <c r="Y92" s="238">
        <f t="shared" si="446"/>
        <v>0</v>
      </c>
      <c r="Z92" s="238">
        <f t="shared" si="446"/>
        <v>0</v>
      </c>
      <c r="AA92" s="238">
        <f t="shared" si="446"/>
        <v>0</v>
      </c>
      <c r="AB92" s="241"/>
      <c r="AC92" s="241"/>
      <c r="AD92" s="241"/>
      <c r="AE92" s="592">
        <f t="shared" ca="1" si="428"/>
        <v>0</v>
      </c>
      <c r="AF92" s="578">
        <f t="shared" ca="1" si="441"/>
        <v>0</v>
      </c>
      <c r="AG92" s="1086"/>
      <c r="AH92" s="1088"/>
      <c r="AI92" s="1088"/>
      <c r="AJ92" s="1088"/>
      <c r="AK92" s="1088"/>
      <c r="AL92" s="1088"/>
      <c r="AM92" s="1088"/>
      <c r="AN92" s="1088"/>
      <c r="AO92" s="1088"/>
      <c r="AP92" s="1088"/>
      <c r="AQ92" s="1088"/>
      <c r="AR92" s="1088"/>
    </row>
    <row r="93" spans="1:44" s="589" customFormat="1" ht="21.95" hidden="1" customHeight="1" x14ac:dyDescent="0.15">
      <c r="A93" s="2513"/>
      <c r="B93" s="2585"/>
      <c r="C93" s="590" t="s">
        <v>43</v>
      </c>
      <c r="D93" s="1995"/>
      <c r="E93" s="591"/>
      <c r="F93" s="158">
        <f t="shared" ref="F93:G93" ca="1" si="448">F83+F84</f>
        <v>0</v>
      </c>
      <c r="G93" s="158">
        <f t="shared" ca="1" si="448"/>
        <v>0</v>
      </c>
      <c r="H93" s="158">
        <f t="shared" ref="H93:M93" ca="1" si="449">H83+H84</f>
        <v>0</v>
      </c>
      <c r="I93" s="158">
        <f t="shared" ca="1" si="449"/>
        <v>0</v>
      </c>
      <c r="J93" s="158">
        <f t="shared" ca="1" si="449"/>
        <v>0</v>
      </c>
      <c r="K93" s="158">
        <f t="shared" ca="1" si="449"/>
        <v>0</v>
      </c>
      <c r="L93" s="158">
        <f t="shared" si="449"/>
        <v>0</v>
      </c>
      <c r="M93" s="158">
        <f t="shared" si="449"/>
        <v>0</v>
      </c>
      <c r="N93" s="158">
        <f t="shared" ref="N93:O93" si="450">N83+N84</f>
        <v>0</v>
      </c>
      <c r="O93" s="158">
        <f t="shared" si="450"/>
        <v>0</v>
      </c>
      <c r="P93" s="158">
        <f t="shared" ref="P93" si="451">P83+P84</f>
        <v>0</v>
      </c>
      <c r="Q93" s="158">
        <f t="shared" ref="Q93:AA93" si="452">Q83+Q84</f>
        <v>0</v>
      </c>
      <c r="R93" s="158">
        <f t="shared" ref="R93" si="453">R83+R84</f>
        <v>0</v>
      </c>
      <c r="S93" s="158">
        <f t="shared" si="452"/>
        <v>0</v>
      </c>
      <c r="T93" s="158">
        <f t="shared" si="452"/>
        <v>0</v>
      </c>
      <c r="U93" s="158">
        <f t="shared" si="452"/>
        <v>0</v>
      </c>
      <c r="V93" s="158">
        <f t="shared" si="452"/>
        <v>0</v>
      </c>
      <c r="W93" s="158">
        <f t="shared" si="452"/>
        <v>0</v>
      </c>
      <c r="X93" s="158">
        <f t="shared" si="452"/>
        <v>0</v>
      </c>
      <c r="Y93" s="158">
        <f t="shared" si="452"/>
        <v>0</v>
      </c>
      <c r="Z93" s="158">
        <f t="shared" si="452"/>
        <v>0</v>
      </c>
      <c r="AA93" s="158">
        <f t="shared" si="452"/>
        <v>0</v>
      </c>
      <c r="AB93" s="159"/>
      <c r="AC93" s="159"/>
      <c r="AD93" s="159"/>
      <c r="AE93" s="594">
        <f t="shared" ca="1" si="428"/>
        <v>0</v>
      </c>
      <c r="AF93" s="578">
        <f t="shared" ca="1" si="441"/>
        <v>0</v>
      </c>
      <c r="AG93" s="1086"/>
      <c r="AH93" s="1088"/>
      <c r="AI93" s="1088"/>
      <c r="AJ93" s="1088"/>
      <c r="AK93" s="1088"/>
      <c r="AL93" s="1088"/>
      <c r="AM93" s="1088"/>
      <c r="AN93" s="1088"/>
      <c r="AO93" s="1088"/>
      <c r="AP93" s="1088"/>
      <c r="AQ93" s="1088"/>
      <c r="AR93" s="1088"/>
    </row>
    <row r="94" spans="1:44" s="589" customFormat="1" ht="21.95" hidden="1" customHeight="1" x14ac:dyDescent="0.15">
      <c r="A94" s="2513"/>
      <c r="B94" s="2585"/>
      <c r="C94" s="590" t="s">
        <v>482</v>
      </c>
      <c r="D94" s="1995"/>
      <c r="E94" s="591"/>
      <c r="F94" s="158">
        <f t="shared" ref="F94:G94" ca="1" si="454">IF(F93=0,0,+F120)</f>
        <v>0</v>
      </c>
      <c r="G94" s="158">
        <f t="shared" ca="1" si="454"/>
        <v>0</v>
      </c>
      <c r="H94" s="158">
        <f t="shared" ref="H94:M94" ca="1" si="455">IF(H93=0,0,+H120)</f>
        <v>0</v>
      </c>
      <c r="I94" s="158">
        <f t="shared" ca="1" si="455"/>
        <v>0</v>
      </c>
      <c r="J94" s="158">
        <f t="shared" ca="1" si="455"/>
        <v>0</v>
      </c>
      <c r="K94" s="158">
        <f t="shared" ca="1" si="455"/>
        <v>0</v>
      </c>
      <c r="L94" s="158">
        <f t="shared" si="455"/>
        <v>0</v>
      </c>
      <c r="M94" s="158">
        <f t="shared" si="455"/>
        <v>0</v>
      </c>
      <c r="N94" s="158">
        <f t="shared" ref="N94:O94" si="456">IF(N93=0,0,+N120)</f>
        <v>0</v>
      </c>
      <c r="O94" s="158">
        <f t="shared" si="456"/>
        <v>0</v>
      </c>
      <c r="P94" s="158">
        <f t="shared" ref="P94" si="457">IF(P93=0,0,+P120)</f>
        <v>0</v>
      </c>
      <c r="Q94" s="158">
        <f t="shared" ref="Q94:AA94" si="458">IF(Q93=0,0,+Q120)</f>
        <v>0</v>
      </c>
      <c r="R94" s="158">
        <f t="shared" ref="R94" si="459">IF(R93=0,0,+R120)</f>
        <v>0</v>
      </c>
      <c r="S94" s="158">
        <f t="shared" si="458"/>
        <v>0</v>
      </c>
      <c r="T94" s="158">
        <f t="shared" si="458"/>
        <v>0</v>
      </c>
      <c r="U94" s="158">
        <f t="shared" si="458"/>
        <v>0</v>
      </c>
      <c r="V94" s="158">
        <f t="shared" si="458"/>
        <v>0</v>
      </c>
      <c r="W94" s="158">
        <f t="shared" si="458"/>
        <v>0</v>
      </c>
      <c r="X94" s="158">
        <f t="shared" si="458"/>
        <v>0</v>
      </c>
      <c r="Y94" s="158">
        <f t="shared" si="458"/>
        <v>0</v>
      </c>
      <c r="Z94" s="158">
        <f t="shared" si="458"/>
        <v>0</v>
      </c>
      <c r="AA94" s="158">
        <f t="shared" si="458"/>
        <v>0</v>
      </c>
      <c r="AB94" s="159"/>
      <c r="AC94" s="159"/>
      <c r="AD94" s="159"/>
      <c r="AE94" s="594">
        <f t="shared" ca="1" si="428"/>
        <v>0</v>
      </c>
      <c r="AF94" s="578">
        <f t="shared" ca="1" si="441"/>
        <v>0</v>
      </c>
      <c r="AG94" s="1086"/>
      <c r="AH94" s="1088"/>
      <c r="AI94" s="1088"/>
      <c r="AJ94" s="1088"/>
      <c r="AK94" s="1088"/>
      <c r="AL94" s="1088"/>
      <c r="AM94" s="1088"/>
      <c r="AN94" s="1088"/>
      <c r="AO94" s="1088"/>
      <c r="AP94" s="1088"/>
      <c r="AQ94" s="1088"/>
      <c r="AR94" s="1088"/>
    </row>
    <row r="95" spans="1:44" s="589" customFormat="1" ht="21.95" hidden="1" customHeight="1" x14ac:dyDescent="0.15">
      <c r="A95" s="2513"/>
      <c r="B95" s="2585"/>
      <c r="C95" s="590" t="s">
        <v>307</v>
      </c>
      <c r="D95" s="1995"/>
      <c r="E95" s="591"/>
      <c r="F95" s="158">
        <f t="shared" ref="F95:G95" ca="1" si="460">IF(F92-F93&gt;F94,0,F94-(F92-F93))</f>
        <v>0</v>
      </c>
      <c r="G95" s="158">
        <f t="shared" ca="1" si="460"/>
        <v>0</v>
      </c>
      <c r="H95" s="158">
        <f t="shared" ref="H95:M95" ca="1" si="461">IF(H92-H93&gt;H94,0,H94-(H92-H93))</f>
        <v>0</v>
      </c>
      <c r="I95" s="158">
        <f t="shared" ca="1" si="461"/>
        <v>0</v>
      </c>
      <c r="J95" s="158">
        <f t="shared" ca="1" si="461"/>
        <v>0</v>
      </c>
      <c r="K95" s="158">
        <f t="shared" ca="1" si="461"/>
        <v>0</v>
      </c>
      <c r="L95" s="158">
        <f t="shared" si="461"/>
        <v>0</v>
      </c>
      <c r="M95" s="158">
        <f t="shared" si="461"/>
        <v>0</v>
      </c>
      <c r="N95" s="158">
        <f t="shared" ref="N95:O95" si="462">IF(N92-N93&gt;N94,0,N94-(N92-N93))</f>
        <v>0</v>
      </c>
      <c r="O95" s="158">
        <f t="shared" si="462"/>
        <v>0</v>
      </c>
      <c r="P95" s="158">
        <f t="shared" ref="P95" si="463">IF(P92-P93&gt;P94,0,P94-(P92-P93))</f>
        <v>0</v>
      </c>
      <c r="Q95" s="158">
        <f t="shared" ref="Q95:AA95" si="464">IF(Q92-Q93&gt;Q94,0,Q94-(Q92-Q93))</f>
        <v>0</v>
      </c>
      <c r="R95" s="158">
        <f t="shared" ref="R95" si="465">IF(R92-R93&gt;R94,0,R94-(R92-R93))</f>
        <v>0</v>
      </c>
      <c r="S95" s="158">
        <f t="shared" si="464"/>
        <v>0</v>
      </c>
      <c r="T95" s="158">
        <f t="shared" si="464"/>
        <v>0</v>
      </c>
      <c r="U95" s="158">
        <f t="shared" si="464"/>
        <v>0</v>
      </c>
      <c r="V95" s="158">
        <f t="shared" si="464"/>
        <v>0</v>
      </c>
      <c r="W95" s="158">
        <f t="shared" si="464"/>
        <v>0</v>
      </c>
      <c r="X95" s="158">
        <f t="shared" si="464"/>
        <v>0</v>
      </c>
      <c r="Y95" s="158">
        <f t="shared" si="464"/>
        <v>0</v>
      </c>
      <c r="Z95" s="158">
        <f t="shared" si="464"/>
        <v>0</v>
      </c>
      <c r="AA95" s="158">
        <f t="shared" si="464"/>
        <v>0</v>
      </c>
      <c r="AB95" s="159"/>
      <c r="AC95" s="159"/>
      <c r="AD95" s="159"/>
      <c r="AE95" s="594">
        <f t="shared" ca="1" si="428"/>
        <v>0</v>
      </c>
      <c r="AF95" s="578">
        <f t="shared" ca="1" si="441"/>
        <v>0</v>
      </c>
      <c r="AG95" s="1086"/>
      <c r="AH95" s="1088"/>
      <c r="AI95" s="1088"/>
      <c r="AJ95" s="1088"/>
      <c r="AK95" s="1088"/>
      <c r="AL95" s="1088"/>
      <c r="AM95" s="1088"/>
      <c r="AN95" s="1088"/>
      <c r="AO95" s="1088"/>
      <c r="AP95" s="1088"/>
      <c r="AQ95" s="1088"/>
      <c r="AR95" s="1088"/>
    </row>
    <row r="96" spans="1:44" s="589" customFormat="1" ht="21.95" hidden="1" customHeight="1" thickBot="1" x14ac:dyDescent="0.2">
      <c r="A96" s="2513"/>
      <c r="B96" s="2589"/>
      <c r="C96" s="928" t="s">
        <v>721</v>
      </c>
      <c r="D96" s="1996"/>
      <c r="E96" s="1519"/>
      <c r="F96" s="239">
        <f t="shared" ref="F96:G96" ca="1" si="466">F95*1.25</f>
        <v>0</v>
      </c>
      <c r="G96" s="239">
        <f t="shared" ca="1" si="466"/>
        <v>0</v>
      </c>
      <c r="H96" s="239">
        <f t="shared" ref="H96:M96" ca="1" si="467">H95*1.25</f>
        <v>0</v>
      </c>
      <c r="I96" s="239">
        <f t="shared" ca="1" si="467"/>
        <v>0</v>
      </c>
      <c r="J96" s="239">
        <f t="shared" ca="1" si="467"/>
        <v>0</v>
      </c>
      <c r="K96" s="239">
        <f t="shared" ca="1" si="467"/>
        <v>0</v>
      </c>
      <c r="L96" s="239">
        <f t="shared" si="467"/>
        <v>0</v>
      </c>
      <c r="M96" s="239">
        <f t="shared" si="467"/>
        <v>0</v>
      </c>
      <c r="N96" s="239">
        <f t="shared" ref="N96:O96" si="468">N95*1.25</f>
        <v>0</v>
      </c>
      <c r="O96" s="239">
        <f t="shared" si="468"/>
        <v>0</v>
      </c>
      <c r="P96" s="239">
        <f t="shared" ref="P96" si="469">P95*1.25</f>
        <v>0</v>
      </c>
      <c r="Q96" s="239">
        <f t="shared" ref="Q96:AA96" si="470">Q95*1.25</f>
        <v>0</v>
      </c>
      <c r="R96" s="239">
        <f t="shared" ref="R96" si="471">R95*1.25</f>
        <v>0</v>
      </c>
      <c r="S96" s="239">
        <f t="shared" si="470"/>
        <v>0</v>
      </c>
      <c r="T96" s="239">
        <f t="shared" si="470"/>
        <v>0</v>
      </c>
      <c r="U96" s="239">
        <f t="shared" si="470"/>
        <v>0</v>
      </c>
      <c r="V96" s="239">
        <f t="shared" si="470"/>
        <v>0</v>
      </c>
      <c r="W96" s="239">
        <f t="shared" si="470"/>
        <v>0</v>
      </c>
      <c r="X96" s="239">
        <f t="shared" si="470"/>
        <v>0</v>
      </c>
      <c r="Y96" s="239">
        <f t="shared" si="470"/>
        <v>0</v>
      </c>
      <c r="Z96" s="239">
        <f t="shared" si="470"/>
        <v>0</v>
      </c>
      <c r="AA96" s="239">
        <f t="shared" si="470"/>
        <v>0</v>
      </c>
      <c r="AB96" s="237"/>
      <c r="AC96" s="237"/>
      <c r="AD96" s="237"/>
      <c r="AE96" s="361">
        <f t="shared" ca="1" si="428"/>
        <v>0</v>
      </c>
      <c r="AF96" s="578">
        <f t="shared" ca="1" si="441"/>
        <v>0</v>
      </c>
      <c r="AG96" s="1086"/>
      <c r="AH96" s="1088"/>
      <c r="AI96" s="1088"/>
      <c r="AJ96" s="1088"/>
      <c r="AK96" s="1088"/>
      <c r="AL96" s="1088"/>
      <c r="AM96" s="1088"/>
      <c r="AN96" s="1088"/>
      <c r="AO96" s="1088"/>
      <c r="AP96" s="1088"/>
      <c r="AQ96" s="1088"/>
      <c r="AR96" s="1088"/>
    </row>
    <row r="97" spans="1:44" s="589" customFormat="1" ht="21.95" customHeight="1" x14ac:dyDescent="0.15">
      <c r="A97" s="2513"/>
      <c r="B97" s="2594" t="s">
        <v>2403</v>
      </c>
      <c r="C97" s="929" t="s">
        <v>3</v>
      </c>
      <c r="D97" s="1994"/>
      <c r="E97" s="1516"/>
      <c r="F97" s="238">
        <f ca="1">IF(AND(F11&gt;1.25,F11&lt;=2.5,F30=5,F113=0),F2,0)</f>
        <v>0</v>
      </c>
      <c r="G97" s="238">
        <f t="shared" ref="G97" ca="1" si="472">IF(AND(G11&gt;1.25,G11&lt;=2.5,G30=5,G113=0),G2,0)</f>
        <v>45.04</v>
      </c>
      <c r="H97" s="238">
        <f t="shared" ref="H97:M97" ca="1" si="473">IF(AND(H11&gt;1.25,H11&lt;=2.5,H30=5,H113=0),H2,0)</f>
        <v>60.43</v>
      </c>
      <c r="I97" s="238">
        <f t="shared" ca="1" si="473"/>
        <v>0</v>
      </c>
      <c r="J97" s="238">
        <f t="shared" ca="1" si="473"/>
        <v>0</v>
      </c>
      <c r="K97" s="238">
        <f t="shared" ca="1" si="473"/>
        <v>0</v>
      </c>
      <c r="L97" s="238">
        <f t="shared" si="473"/>
        <v>0</v>
      </c>
      <c r="M97" s="238">
        <f t="shared" si="473"/>
        <v>0</v>
      </c>
      <c r="N97" s="238">
        <f t="shared" ref="N97:O97" si="474">IF(AND(N11&gt;1.25,N11&lt;=2.5,N30=5,N113=0),N2,0)</f>
        <v>0</v>
      </c>
      <c r="O97" s="238">
        <f t="shared" si="474"/>
        <v>0</v>
      </c>
      <c r="P97" s="238">
        <f>IF(AND(P11&gt;1.25,P11&lt;=2.5,P30=5,P113=0),P2,0)</f>
        <v>0</v>
      </c>
      <c r="Q97" s="238">
        <f>IF(AND(Q11&gt;1.25,Q11&lt;=2.5,Q30=5,Q113=0),Q2,0)</f>
        <v>216</v>
      </c>
      <c r="R97" s="238">
        <f>IF(AND(R11&gt;1.25,R11&lt;=2.5,R30=5,R113=0),R2,0)</f>
        <v>0</v>
      </c>
      <c r="S97" s="238">
        <f>IF(AND(S11&gt;1.25,S11&lt;=2.5,S30=5,S113=0),S2,0)</f>
        <v>57</v>
      </c>
      <c r="T97" s="238">
        <f t="shared" ref="T97:AA97" si="475">IF(AND(T11&gt;1.25,T11&lt;=2.5,T30="v",T29=1,T113=0),T2,0)</f>
        <v>0</v>
      </c>
      <c r="U97" s="238">
        <f t="shared" si="475"/>
        <v>0</v>
      </c>
      <c r="V97" s="238">
        <f t="shared" si="475"/>
        <v>0</v>
      </c>
      <c r="W97" s="238">
        <f t="shared" si="475"/>
        <v>0</v>
      </c>
      <c r="X97" s="238">
        <f t="shared" si="475"/>
        <v>0</v>
      </c>
      <c r="Y97" s="238">
        <f t="shared" si="475"/>
        <v>0</v>
      </c>
      <c r="Z97" s="238">
        <f t="shared" si="475"/>
        <v>0</v>
      </c>
      <c r="AA97" s="238">
        <f t="shared" si="475"/>
        <v>0</v>
      </c>
      <c r="AB97" s="241"/>
      <c r="AC97" s="241"/>
      <c r="AD97" s="241"/>
      <c r="AE97" s="592">
        <f t="shared" ca="1" si="428"/>
        <v>378.47</v>
      </c>
      <c r="AF97" s="578">
        <f t="shared" ca="1" si="441"/>
        <v>756.94</v>
      </c>
      <c r="AG97" s="1086"/>
      <c r="AH97" s="1088"/>
      <c r="AI97" s="1088"/>
      <c r="AJ97" s="1088"/>
      <c r="AK97" s="1088"/>
      <c r="AL97" s="1088"/>
      <c r="AM97" s="1088"/>
      <c r="AN97" s="1088"/>
      <c r="AO97" s="1088"/>
      <c r="AP97" s="1088"/>
      <c r="AQ97" s="1088"/>
      <c r="AR97" s="1088"/>
    </row>
    <row r="98" spans="1:44" s="589" customFormat="1" ht="21.95" customHeight="1" x14ac:dyDescent="0.15">
      <c r="A98" s="2513"/>
      <c r="B98" s="2595"/>
      <c r="C98" s="590" t="s">
        <v>10</v>
      </c>
      <c r="D98" s="1995"/>
      <c r="E98" s="591"/>
      <c r="F98" s="158">
        <f t="shared" ref="F98:G98" ca="1" si="476">IF(F97&gt;0,F11,0)</f>
        <v>0</v>
      </c>
      <c r="G98" s="158">
        <f t="shared" ca="1" si="476"/>
        <v>1.8433200000000292</v>
      </c>
      <c r="H98" s="158">
        <f t="shared" ref="H98:M98" ca="1" si="477">IF(H97&gt;0,H11,0)</f>
        <v>1.9746450000001468</v>
      </c>
      <c r="I98" s="158">
        <f t="shared" ca="1" si="477"/>
        <v>0</v>
      </c>
      <c r="J98" s="158">
        <f t="shared" ca="1" si="477"/>
        <v>0</v>
      </c>
      <c r="K98" s="158">
        <f t="shared" ca="1" si="477"/>
        <v>0</v>
      </c>
      <c r="L98" s="158">
        <f t="shared" si="477"/>
        <v>0</v>
      </c>
      <c r="M98" s="158">
        <f t="shared" si="477"/>
        <v>0</v>
      </c>
      <c r="N98" s="158">
        <f t="shared" ref="N98:O98" si="478">IF(N97&gt;0,N11,0)</f>
        <v>0</v>
      </c>
      <c r="O98" s="158">
        <f t="shared" si="478"/>
        <v>0</v>
      </c>
      <c r="P98" s="158">
        <f t="shared" ref="P98" si="479">IF(P97&gt;0,P11,0)</f>
        <v>0</v>
      </c>
      <c r="Q98" s="158">
        <f t="shared" ref="Q98:AA98" si="480">IF(Q97&gt;0,Q11,0)</f>
        <v>1.3340000000000001</v>
      </c>
      <c r="R98" s="158">
        <f t="shared" ref="R98" si="481">IF(R97&gt;0,R11,0)</f>
        <v>0</v>
      </c>
      <c r="S98" s="158">
        <f t="shared" si="480"/>
        <v>1.5259999999999998</v>
      </c>
      <c r="T98" s="158">
        <f t="shared" si="480"/>
        <v>0</v>
      </c>
      <c r="U98" s="158">
        <f t="shared" si="480"/>
        <v>0</v>
      </c>
      <c r="V98" s="158">
        <f t="shared" si="480"/>
        <v>0</v>
      </c>
      <c r="W98" s="158">
        <f t="shared" si="480"/>
        <v>0</v>
      </c>
      <c r="X98" s="158">
        <f t="shared" si="480"/>
        <v>0</v>
      </c>
      <c r="Y98" s="158">
        <f t="shared" si="480"/>
        <v>0</v>
      </c>
      <c r="Z98" s="158">
        <f t="shared" si="480"/>
        <v>0</v>
      </c>
      <c r="AA98" s="158">
        <f t="shared" si="480"/>
        <v>0</v>
      </c>
      <c r="AB98" s="159"/>
      <c r="AC98" s="159"/>
      <c r="AD98" s="159"/>
      <c r="AE98" s="351"/>
      <c r="AF98" s="578">
        <f t="shared" ca="1" si="441"/>
        <v>6.6779650000001762</v>
      </c>
      <c r="AG98" s="1086"/>
      <c r="AH98" s="1088"/>
      <c r="AI98" s="1088"/>
      <c r="AJ98" s="1088"/>
      <c r="AK98" s="1088"/>
      <c r="AL98" s="1088"/>
      <c r="AM98" s="1088"/>
      <c r="AN98" s="1088"/>
      <c r="AO98" s="1088"/>
      <c r="AP98" s="1088"/>
      <c r="AQ98" s="1088"/>
      <c r="AR98" s="1088"/>
    </row>
    <row r="99" spans="1:44" s="589" customFormat="1" ht="21.95" customHeight="1" x14ac:dyDescent="0.15">
      <c r="A99" s="2513"/>
      <c r="B99" s="2595"/>
      <c r="C99" s="597" t="s">
        <v>589</v>
      </c>
      <c r="D99" s="1995"/>
      <c r="E99" s="591"/>
      <c r="F99" s="158">
        <f t="shared" ref="F99:G99" ca="1" si="482">IF(F97&gt;0,F39,0)</f>
        <v>0</v>
      </c>
      <c r="G99" s="158">
        <f t="shared" ca="1" si="482"/>
        <v>1.9373280000000115</v>
      </c>
      <c r="H99" s="158">
        <f t="shared" ref="H99:M99" ca="1" si="483">IF(H97&gt;0,H39,0)</f>
        <v>1.9898580000000585</v>
      </c>
      <c r="I99" s="158">
        <f t="shared" ca="1" si="483"/>
        <v>0</v>
      </c>
      <c r="J99" s="158">
        <f t="shared" ca="1" si="483"/>
        <v>0</v>
      </c>
      <c r="K99" s="158">
        <f t="shared" ca="1" si="483"/>
        <v>0</v>
      </c>
      <c r="L99" s="158">
        <f t="shared" si="483"/>
        <v>0</v>
      </c>
      <c r="M99" s="158">
        <f t="shared" si="483"/>
        <v>0</v>
      </c>
      <c r="N99" s="158">
        <f t="shared" ref="N99:O99" si="484">IF(N97&gt;0,N39,0)</f>
        <v>0</v>
      </c>
      <c r="O99" s="158">
        <f t="shared" si="484"/>
        <v>0</v>
      </c>
      <c r="P99" s="158">
        <f t="shared" ref="P99" si="485">IF(P97&gt;0,P39,0)</f>
        <v>0</v>
      </c>
      <c r="Q99" s="158">
        <f t="shared" ref="Q99:AA99" si="486">IF(Q97&gt;0,Q39,0)</f>
        <v>1.3336000000000001</v>
      </c>
      <c r="R99" s="158">
        <f t="shared" ref="R99" si="487">IF(R97&gt;0,R39,0)</f>
        <v>0</v>
      </c>
      <c r="S99" s="158">
        <f t="shared" si="486"/>
        <v>1.8104</v>
      </c>
      <c r="T99" s="158">
        <f t="shared" si="486"/>
        <v>0</v>
      </c>
      <c r="U99" s="158">
        <f t="shared" si="486"/>
        <v>0</v>
      </c>
      <c r="V99" s="158">
        <f t="shared" si="486"/>
        <v>0</v>
      </c>
      <c r="W99" s="158">
        <f t="shared" si="486"/>
        <v>0</v>
      </c>
      <c r="X99" s="158">
        <f t="shared" si="486"/>
        <v>0</v>
      </c>
      <c r="Y99" s="158">
        <f t="shared" si="486"/>
        <v>0</v>
      </c>
      <c r="Z99" s="158">
        <f t="shared" si="486"/>
        <v>0</v>
      </c>
      <c r="AA99" s="158">
        <f t="shared" si="486"/>
        <v>0</v>
      </c>
      <c r="AB99" s="159"/>
      <c r="AC99" s="159"/>
      <c r="AD99" s="159"/>
      <c r="AE99" s="351"/>
      <c r="AF99" s="578">
        <f t="shared" ca="1" si="441"/>
        <v>7.0711860000000701</v>
      </c>
      <c r="AG99" s="1086"/>
      <c r="AH99" s="1088"/>
      <c r="AI99" s="1088"/>
      <c r="AJ99" s="1088"/>
      <c r="AK99" s="1088"/>
      <c r="AL99" s="1088"/>
      <c r="AM99" s="1088"/>
      <c r="AN99" s="1088"/>
      <c r="AO99" s="1088"/>
      <c r="AP99" s="1088"/>
      <c r="AQ99" s="1088"/>
      <c r="AR99" s="1088"/>
    </row>
    <row r="100" spans="1:44" s="589" customFormat="1" ht="21.95" customHeight="1" x14ac:dyDescent="0.15">
      <c r="A100" s="2513"/>
      <c r="B100" s="2595"/>
      <c r="C100" s="597" t="s">
        <v>590</v>
      </c>
      <c r="D100" s="1995"/>
      <c r="E100" s="591"/>
      <c r="F100" s="158">
        <f t="shared" ref="F100:G100" ca="1" si="488">IF(AND(F98&lt;=1.5,F99&lt;=1.5),F97*2*F98,0)</f>
        <v>0</v>
      </c>
      <c r="G100" s="158">
        <f t="shared" ca="1" si="488"/>
        <v>0</v>
      </c>
      <c r="H100" s="158">
        <f t="shared" ref="H100:M100" ca="1" si="489">IF(AND(H98&lt;=1.5,H99&lt;=1.5),H97*2*H98,0)</f>
        <v>0</v>
      </c>
      <c r="I100" s="158">
        <f t="shared" ca="1" si="489"/>
        <v>0</v>
      </c>
      <c r="J100" s="158">
        <f t="shared" ca="1" si="489"/>
        <v>0</v>
      </c>
      <c r="K100" s="158">
        <f t="shared" ca="1" si="489"/>
        <v>0</v>
      </c>
      <c r="L100" s="158">
        <f t="shared" si="489"/>
        <v>0</v>
      </c>
      <c r="M100" s="158">
        <f t="shared" si="489"/>
        <v>0</v>
      </c>
      <c r="N100" s="158">
        <f t="shared" ref="N100:O100" si="490">IF(AND(N98&lt;=1.5,N99&lt;=1.5),N97*2*N98,0)</f>
        <v>0</v>
      </c>
      <c r="O100" s="158">
        <f t="shared" si="490"/>
        <v>0</v>
      </c>
      <c r="P100" s="158">
        <f t="shared" ref="P100" si="491">IF(AND(P98&lt;=1.5,P99&lt;=1.5),P97*2*P98,0)</f>
        <v>0</v>
      </c>
      <c r="Q100" s="158">
        <f t="shared" ref="Q100:AA100" si="492">IF(AND(Q98&lt;=1.5,Q99&lt;=1.5),Q97*2*Q98,0)</f>
        <v>576.28800000000001</v>
      </c>
      <c r="R100" s="158">
        <f t="shared" ref="R100" si="493">IF(AND(R98&lt;=1.5,R99&lt;=1.5),R97*2*R98,0)</f>
        <v>0</v>
      </c>
      <c r="S100" s="158">
        <f t="shared" si="492"/>
        <v>0</v>
      </c>
      <c r="T100" s="158">
        <f t="shared" si="492"/>
        <v>0</v>
      </c>
      <c r="U100" s="158">
        <f t="shared" si="492"/>
        <v>0</v>
      </c>
      <c r="V100" s="158">
        <f t="shared" si="492"/>
        <v>0</v>
      </c>
      <c r="W100" s="158">
        <f t="shared" si="492"/>
        <v>0</v>
      </c>
      <c r="X100" s="158">
        <f t="shared" si="492"/>
        <v>0</v>
      </c>
      <c r="Y100" s="158">
        <f t="shared" si="492"/>
        <v>0</v>
      </c>
      <c r="Z100" s="158">
        <f t="shared" si="492"/>
        <v>0</v>
      </c>
      <c r="AA100" s="158">
        <f t="shared" si="492"/>
        <v>0</v>
      </c>
      <c r="AB100" s="159"/>
      <c r="AC100" s="159"/>
      <c r="AD100" s="159"/>
      <c r="AE100" s="350">
        <f ca="1">TRUNC(SUM(F100:AD100),2)</f>
        <v>576.28</v>
      </c>
      <c r="AF100" s="578">
        <f t="shared" ca="1" si="441"/>
        <v>1152.568</v>
      </c>
      <c r="AG100" s="1086"/>
      <c r="AH100" s="1088"/>
      <c r="AI100" s="1088"/>
      <c r="AJ100" s="1088"/>
      <c r="AK100" s="1088"/>
      <c r="AL100" s="1088"/>
      <c r="AM100" s="1088"/>
      <c r="AN100" s="1088"/>
      <c r="AO100" s="1088"/>
      <c r="AP100" s="1088"/>
      <c r="AQ100" s="1088"/>
      <c r="AR100" s="1088"/>
    </row>
    <row r="101" spans="1:44" s="589" customFormat="1" ht="21.95" hidden="1" customHeight="1" x14ac:dyDescent="0.15">
      <c r="A101" s="2513"/>
      <c r="B101" s="2595"/>
      <c r="C101" s="597" t="s">
        <v>591</v>
      </c>
      <c r="D101" s="1995"/>
      <c r="E101" s="591"/>
      <c r="F101" s="158">
        <f t="shared" ref="F101:G101" ca="1" si="494">IF(AND(F98&lt;=1.5,F99&gt;1.5),F97*2*F98,0)</f>
        <v>0</v>
      </c>
      <c r="G101" s="158">
        <f t="shared" ca="1" si="494"/>
        <v>0</v>
      </c>
      <c r="H101" s="158">
        <f t="shared" ref="H101:M101" ca="1" si="495">IF(AND(H98&lt;=1.5,H99&gt;1.5),H97*2*H98,0)</f>
        <v>0</v>
      </c>
      <c r="I101" s="158">
        <f t="shared" ca="1" si="495"/>
        <v>0</v>
      </c>
      <c r="J101" s="158">
        <f t="shared" ca="1" si="495"/>
        <v>0</v>
      </c>
      <c r="K101" s="158">
        <f t="shared" ca="1" si="495"/>
        <v>0</v>
      </c>
      <c r="L101" s="158">
        <f t="shared" si="495"/>
        <v>0</v>
      </c>
      <c r="M101" s="158">
        <f t="shared" si="495"/>
        <v>0</v>
      </c>
      <c r="N101" s="158">
        <f t="shared" ref="N101:O101" si="496">IF(AND(N98&lt;=1.5,N99&gt;1.5),N97*2*N98,0)</f>
        <v>0</v>
      </c>
      <c r="O101" s="158">
        <f t="shared" si="496"/>
        <v>0</v>
      </c>
      <c r="P101" s="158">
        <f t="shared" ref="P101" si="497">IF(AND(P98&lt;=1.5,P99&gt;1.5),P97*2*P98,0)</f>
        <v>0</v>
      </c>
      <c r="Q101" s="158">
        <f t="shared" ref="Q101:AA101" si="498">IF(AND(Q98&lt;=1.5,Q99&gt;1.5),Q97*2*Q98,0)</f>
        <v>0</v>
      </c>
      <c r="R101" s="158">
        <f t="shared" ref="R101" si="499">IF(AND(R98&lt;=1.5,R99&gt;1.5),R97*2*R98,0)</f>
        <v>0</v>
      </c>
      <c r="S101" s="158">
        <f t="shared" si="498"/>
        <v>0</v>
      </c>
      <c r="T101" s="158">
        <f t="shared" si="498"/>
        <v>0</v>
      </c>
      <c r="U101" s="158">
        <f t="shared" si="498"/>
        <v>0</v>
      </c>
      <c r="V101" s="158">
        <f t="shared" si="498"/>
        <v>0</v>
      </c>
      <c r="W101" s="158">
        <f t="shared" si="498"/>
        <v>0</v>
      </c>
      <c r="X101" s="158">
        <f t="shared" si="498"/>
        <v>0</v>
      </c>
      <c r="Y101" s="158">
        <f t="shared" si="498"/>
        <v>0</v>
      </c>
      <c r="Z101" s="158">
        <f t="shared" si="498"/>
        <v>0</v>
      </c>
      <c r="AA101" s="158">
        <f t="shared" si="498"/>
        <v>0</v>
      </c>
      <c r="AB101" s="159"/>
      <c r="AC101" s="159"/>
      <c r="AD101" s="159"/>
      <c r="AE101" s="350">
        <f ca="1">TRUNC(SUM(F101:AD101),2)</f>
        <v>0</v>
      </c>
      <c r="AF101" s="578">
        <f t="shared" ca="1" si="441"/>
        <v>0</v>
      </c>
      <c r="AG101" s="1086"/>
      <c r="AH101" s="1088"/>
      <c r="AI101" s="1088"/>
      <c r="AJ101" s="1088"/>
      <c r="AK101" s="1088"/>
      <c r="AL101" s="1088"/>
      <c r="AM101" s="1088"/>
      <c r="AN101" s="1088"/>
      <c r="AO101" s="1088"/>
      <c r="AP101" s="1088"/>
      <c r="AQ101" s="1088"/>
      <c r="AR101" s="1088"/>
    </row>
    <row r="102" spans="1:44" s="589" customFormat="1" ht="21.95" hidden="1" customHeight="1" x14ac:dyDescent="0.15">
      <c r="A102" s="2513"/>
      <c r="B102" s="2595"/>
      <c r="C102" s="597" t="s">
        <v>592</v>
      </c>
      <c r="D102" s="1995"/>
      <c r="E102" s="591"/>
      <c r="F102" s="158">
        <f t="shared" ref="F102:G102" ca="1" si="500">IF(AND(F98&gt;1.5,F99&lt;=1.5),F97*2*F98,0)</f>
        <v>0</v>
      </c>
      <c r="G102" s="158">
        <f t="shared" ca="1" si="500"/>
        <v>0</v>
      </c>
      <c r="H102" s="158">
        <f t="shared" ref="H102:M102" ca="1" si="501">IF(AND(H98&gt;1.5,H99&lt;=1.5),H97*2*H98,0)</f>
        <v>0</v>
      </c>
      <c r="I102" s="158">
        <f t="shared" ca="1" si="501"/>
        <v>0</v>
      </c>
      <c r="J102" s="158">
        <f t="shared" ca="1" si="501"/>
        <v>0</v>
      </c>
      <c r="K102" s="158">
        <f t="shared" ca="1" si="501"/>
        <v>0</v>
      </c>
      <c r="L102" s="158">
        <f t="shared" si="501"/>
        <v>0</v>
      </c>
      <c r="M102" s="158">
        <f t="shared" si="501"/>
        <v>0</v>
      </c>
      <c r="N102" s="158">
        <f t="shared" ref="N102:O102" si="502">IF(AND(N98&gt;1.5,N99&lt;=1.5),N97*2*N98,0)</f>
        <v>0</v>
      </c>
      <c r="O102" s="158">
        <f t="shared" si="502"/>
        <v>0</v>
      </c>
      <c r="P102" s="158">
        <f t="shared" ref="P102" si="503">IF(AND(P98&gt;1.5,P99&lt;=1.5),P97*2*P98,0)</f>
        <v>0</v>
      </c>
      <c r="Q102" s="158">
        <f t="shared" ref="Q102:AA102" si="504">IF(AND(Q98&gt;1.5,Q99&lt;=1.5),Q97*2*Q98,0)</f>
        <v>0</v>
      </c>
      <c r="R102" s="158">
        <f t="shared" ref="R102" si="505">IF(AND(R98&gt;1.5,R99&lt;=1.5),R97*2*R98,0)</f>
        <v>0</v>
      </c>
      <c r="S102" s="158">
        <f t="shared" si="504"/>
        <v>0</v>
      </c>
      <c r="T102" s="158">
        <f t="shared" si="504"/>
        <v>0</v>
      </c>
      <c r="U102" s="158">
        <f t="shared" si="504"/>
        <v>0</v>
      </c>
      <c r="V102" s="158">
        <f t="shared" si="504"/>
        <v>0</v>
      </c>
      <c r="W102" s="158">
        <f t="shared" si="504"/>
        <v>0</v>
      </c>
      <c r="X102" s="158">
        <f t="shared" si="504"/>
        <v>0</v>
      </c>
      <c r="Y102" s="158">
        <f t="shared" si="504"/>
        <v>0</v>
      </c>
      <c r="Z102" s="158">
        <f t="shared" si="504"/>
        <v>0</v>
      </c>
      <c r="AA102" s="158">
        <f t="shared" si="504"/>
        <v>0</v>
      </c>
      <c r="AB102" s="159"/>
      <c r="AC102" s="159"/>
      <c r="AD102" s="159"/>
      <c r="AE102" s="350">
        <f ca="1">TRUNC(SUM(F102:AD102),2)</f>
        <v>0</v>
      </c>
      <c r="AF102" s="578">
        <f t="shared" ca="1" si="441"/>
        <v>0</v>
      </c>
      <c r="AG102" s="1086"/>
      <c r="AH102" s="1088"/>
      <c r="AI102" s="1088"/>
      <c r="AJ102" s="1088"/>
      <c r="AK102" s="1088"/>
      <c r="AL102" s="1088"/>
      <c r="AM102" s="1088"/>
      <c r="AN102" s="1088"/>
      <c r="AO102" s="1088"/>
      <c r="AP102" s="1088"/>
      <c r="AQ102" s="1088"/>
      <c r="AR102" s="1088"/>
    </row>
    <row r="103" spans="1:44" s="589" customFormat="1" ht="21.95" customHeight="1" thickBot="1" x14ac:dyDescent="0.2">
      <c r="A103" s="2513"/>
      <c r="B103" s="2587"/>
      <c r="C103" s="928" t="s">
        <v>593</v>
      </c>
      <c r="D103" s="1996"/>
      <c r="E103" s="1519"/>
      <c r="F103" s="239">
        <f t="shared" ref="F103:G103" ca="1" si="506">IF(AND(F98&gt;1.5,F99&gt;1.5),F97*2*F98,0)</f>
        <v>0</v>
      </c>
      <c r="G103" s="239">
        <f t="shared" ca="1" si="506"/>
        <v>166.04626560000261</v>
      </c>
      <c r="H103" s="239">
        <f t="shared" ref="H103:M103" ca="1" si="507">IF(AND(H98&gt;1.5,H99&gt;1.5),H97*2*H98,0)</f>
        <v>238.65559470001773</v>
      </c>
      <c r="I103" s="239">
        <f t="shared" ca="1" si="507"/>
        <v>0</v>
      </c>
      <c r="J103" s="239">
        <f t="shared" ca="1" si="507"/>
        <v>0</v>
      </c>
      <c r="K103" s="239">
        <f t="shared" ca="1" si="507"/>
        <v>0</v>
      </c>
      <c r="L103" s="239">
        <f t="shared" si="507"/>
        <v>0</v>
      </c>
      <c r="M103" s="239">
        <f t="shared" si="507"/>
        <v>0</v>
      </c>
      <c r="N103" s="239">
        <f t="shared" ref="N103:O103" si="508">IF(AND(N98&gt;1.5,N99&gt;1.5),N97*2*N98,0)</f>
        <v>0</v>
      </c>
      <c r="O103" s="239">
        <f t="shared" si="508"/>
        <v>0</v>
      </c>
      <c r="P103" s="239">
        <f t="shared" ref="P103" si="509">IF(AND(P98&gt;1.5,P99&gt;1.5),P97*2*P98,0)</f>
        <v>0</v>
      </c>
      <c r="Q103" s="239">
        <f t="shared" ref="Q103:AA103" si="510">IF(AND(Q98&gt;1.5,Q99&gt;1.5),Q97*2*Q98,0)</f>
        <v>0</v>
      </c>
      <c r="R103" s="239">
        <f t="shared" ref="R103" si="511">IF(AND(R98&gt;1.5,R99&gt;1.5),R97*2*R98,0)</f>
        <v>0</v>
      </c>
      <c r="S103" s="239">
        <f t="shared" si="510"/>
        <v>173.96399999999997</v>
      </c>
      <c r="T103" s="239">
        <f t="shared" si="510"/>
        <v>0</v>
      </c>
      <c r="U103" s="239">
        <f t="shared" si="510"/>
        <v>0</v>
      </c>
      <c r="V103" s="239">
        <f t="shared" si="510"/>
        <v>0</v>
      </c>
      <c r="W103" s="239">
        <f t="shared" si="510"/>
        <v>0</v>
      </c>
      <c r="X103" s="239">
        <f t="shared" si="510"/>
        <v>0</v>
      </c>
      <c r="Y103" s="239">
        <f t="shared" si="510"/>
        <v>0</v>
      </c>
      <c r="Z103" s="239">
        <f t="shared" si="510"/>
        <v>0</v>
      </c>
      <c r="AA103" s="239">
        <f t="shared" si="510"/>
        <v>0</v>
      </c>
      <c r="AB103" s="237"/>
      <c r="AC103" s="237"/>
      <c r="AD103" s="237"/>
      <c r="AE103" s="361">
        <f ca="1">TRUNC(SUM(F103:AD103),2)</f>
        <v>578.66</v>
      </c>
      <c r="AF103" s="578">
        <f t="shared" ca="1" si="441"/>
        <v>1157.3258603000204</v>
      </c>
      <c r="AG103" s="1086"/>
      <c r="AH103" s="1088"/>
      <c r="AI103" s="1088"/>
      <c r="AJ103" s="1088"/>
      <c r="AK103" s="1088"/>
      <c r="AL103" s="1088"/>
      <c r="AM103" s="1088"/>
      <c r="AN103" s="1088"/>
      <c r="AO103" s="1088"/>
      <c r="AP103" s="1088"/>
      <c r="AQ103" s="1088"/>
      <c r="AR103" s="1088"/>
    </row>
    <row r="104" spans="1:44" s="589" customFormat="1" ht="21.95" hidden="1" customHeight="1" x14ac:dyDescent="0.15">
      <c r="A104" s="2513"/>
      <c r="B104" s="2594" t="s">
        <v>2404</v>
      </c>
      <c r="C104" s="929" t="s">
        <v>3</v>
      </c>
      <c r="D104" s="1994"/>
      <c r="E104" s="1516"/>
      <c r="F104" s="238">
        <f t="shared" ref="F104:G104" ca="1" si="512">IF(AND(F97=0,F11&lt;=3,F30=5,F113=0),F2,0)</f>
        <v>0</v>
      </c>
      <c r="G104" s="238">
        <f t="shared" ca="1" si="512"/>
        <v>0</v>
      </c>
      <c r="H104" s="238">
        <f t="shared" ref="H104:M104" ca="1" si="513">IF(AND(H97=0,H11&lt;=3,H30=5,H113=0),H2,0)</f>
        <v>0</v>
      </c>
      <c r="I104" s="238">
        <f t="shared" ca="1" si="513"/>
        <v>0</v>
      </c>
      <c r="J104" s="238">
        <f t="shared" ca="1" si="513"/>
        <v>0</v>
      </c>
      <c r="K104" s="238">
        <f t="shared" ca="1" si="513"/>
        <v>0</v>
      </c>
      <c r="L104" s="238">
        <f t="shared" si="513"/>
        <v>0</v>
      </c>
      <c r="M104" s="238">
        <f t="shared" si="513"/>
        <v>0</v>
      </c>
      <c r="N104" s="238">
        <f t="shared" ref="N104:O104" si="514">IF(AND(N97=0,N11&lt;=3,N30=5,N113=0),N2,0)</f>
        <v>0</v>
      </c>
      <c r="O104" s="238">
        <f t="shared" si="514"/>
        <v>0</v>
      </c>
      <c r="P104" s="238">
        <f t="shared" ref="P104" si="515">IF(AND(P97=0,P11&lt;=3,P30=5,P113=0),P2,0)</f>
        <v>0</v>
      </c>
      <c r="Q104" s="238">
        <f t="shared" ref="Q104:S104" si="516">IF(AND(Q97=0,Q11&lt;=3,Q30=5,Q113=0),Q2,0)</f>
        <v>0</v>
      </c>
      <c r="R104" s="238">
        <f t="shared" ref="R104" si="517">IF(AND(R97=0,R11&lt;=3,R30=5,R113=0),R2,0)</f>
        <v>0</v>
      </c>
      <c r="S104" s="238">
        <f t="shared" si="516"/>
        <v>0</v>
      </c>
      <c r="T104" s="238">
        <f t="shared" ref="T104:AA104" si="518">IF(AND(T97=0,T11&lt;=3,T30="v",T29=1,T113=0),T2,0)</f>
        <v>0</v>
      </c>
      <c r="U104" s="238">
        <f t="shared" si="518"/>
        <v>0</v>
      </c>
      <c r="V104" s="238">
        <f t="shared" si="518"/>
        <v>0</v>
      </c>
      <c r="W104" s="238">
        <f t="shared" si="518"/>
        <v>0</v>
      </c>
      <c r="X104" s="238">
        <f t="shared" si="518"/>
        <v>0</v>
      </c>
      <c r="Y104" s="238">
        <f t="shared" si="518"/>
        <v>0</v>
      </c>
      <c r="Z104" s="238">
        <f t="shared" si="518"/>
        <v>0</v>
      </c>
      <c r="AA104" s="238">
        <f t="shared" si="518"/>
        <v>0</v>
      </c>
      <c r="AB104" s="241"/>
      <c r="AC104" s="241"/>
      <c r="AD104" s="241"/>
      <c r="AE104" s="592">
        <f ca="1">TRUNC(SUM(F104:AD104),2)</f>
        <v>0</v>
      </c>
      <c r="AF104" s="578">
        <f t="shared" ca="1" si="441"/>
        <v>0</v>
      </c>
      <c r="AG104" s="1086"/>
      <c r="AH104" s="1088"/>
      <c r="AI104" s="1088"/>
      <c r="AJ104" s="1088"/>
      <c r="AK104" s="1088"/>
      <c r="AL104" s="1088"/>
      <c r="AM104" s="1088"/>
      <c r="AN104" s="1088"/>
      <c r="AO104" s="1088"/>
      <c r="AP104" s="1088"/>
      <c r="AQ104" s="1088"/>
      <c r="AR104" s="1088"/>
    </row>
    <row r="105" spans="1:44" s="589" customFormat="1" ht="21.95" hidden="1" customHeight="1" x14ac:dyDescent="0.15">
      <c r="A105" s="2513"/>
      <c r="B105" s="2595"/>
      <c r="C105" s="590" t="s">
        <v>478</v>
      </c>
      <c r="D105" s="1995"/>
      <c r="E105" s="591"/>
      <c r="F105" s="158">
        <f t="shared" ref="F105:G105" ca="1" si="519">IF(F104&gt;0,F11,0)</f>
        <v>0</v>
      </c>
      <c r="G105" s="158">
        <f t="shared" ca="1" si="519"/>
        <v>0</v>
      </c>
      <c r="H105" s="158">
        <f t="shared" ref="H105:M105" ca="1" si="520">IF(H104&gt;0,H11,0)</f>
        <v>0</v>
      </c>
      <c r="I105" s="158">
        <f t="shared" ca="1" si="520"/>
        <v>0</v>
      </c>
      <c r="J105" s="158">
        <f t="shared" ca="1" si="520"/>
        <v>0</v>
      </c>
      <c r="K105" s="158">
        <f t="shared" ca="1" si="520"/>
        <v>0</v>
      </c>
      <c r="L105" s="158">
        <f t="shared" si="520"/>
        <v>0</v>
      </c>
      <c r="M105" s="158">
        <f t="shared" si="520"/>
        <v>0</v>
      </c>
      <c r="N105" s="158">
        <f t="shared" ref="N105:O105" si="521">IF(N104&gt;0,N11,0)</f>
        <v>0</v>
      </c>
      <c r="O105" s="158">
        <f t="shared" si="521"/>
        <v>0</v>
      </c>
      <c r="P105" s="158">
        <f t="shared" ref="P105" si="522">IF(P104&gt;0,P11,0)</f>
        <v>0</v>
      </c>
      <c r="Q105" s="158">
        <f t="shared" ref="Q105:AA105" si="523">IF(Q104&gt;0,Q11,0)</f>
        <v>0</v>
      </c>
      <c r="R105" s="158">
        <f t="shared" ref="R105" si="524">IF(R104&gt;0,R11,0)</f>
        <v>0</v>
      </c>
      <c r="S105" s="158">
        <f t="shared" si="523"/>
        <v>0</v>
      </c>
      <c r="T105" s="158">
        <f t="shared" si="523"/>
        <v>0</v>
      </c>
      <c r="U105" s="158">
        <f t="shared" si="523"/>
        <v>0</v>
      </c>
      <c r="V105" s="158">
        <f t="shared" si="523"/>
        <v>0</v>
      </c>
      <c r="W105" s="158">
        <f t="shared" si="523"/>
        <v>0</v>
      </c>
      <c r="X105" s="158">
        <f t="shared" si="523"/>
        <v>0</v>
      </c>
      <c r="Y105" s="158">
        <f t="shared" si="523"/>
        <v>0</v>
      </c>
      <c r="Z105" s="158">
        <f t="shared" si="523"/>
        <v>0</v>
      </c>
      <c r="AA105" s="158">
        <f t="shared" si="523"/>
        <v>0</v>
      </c>
      <c r="AB105" s="159"/>
      <c r="AC105" s="159"/>
      <c r="AD105" s="159"/>
      <c r="AE105" s="351"/>
      <c r="AF105" s="578">
        <f t="shared" ca="1" si="441"/>
        <v>0</v>
      </c>
      <c r="AG105" s="1086"/>
      <c r="AH105" s="1088"/>
      <c r="AI105" s="1088"/>
      <c r="AJ105" s="1088"/>
      <c r="AK105" s="1088"/>
      <c r="AL105" s="1088"/>
      <c r="AM105" s="1088"/>
      <c r="AN105" s="1088"/>
      <c r="AO105" s="1088"/>
      <c r="AP105" s="1088"/>
      <c r="AQ105" s="1088"/>
      <c r="AR105" s="1088"/>
    </row>
    <row r="106" spans="1:44" s="589" customFormat="1" ht="21.95" hidden="1" customHeight="1" x14ac:dyDescent="0.15">
      <c r="A106" s="2513"/>
      <c r="B106" s="2595"/>
      <c r="C106" s="597" t="s">
        <v>589</v>
      </c>
      <c r="D106" s="1995"/>
      <c r="E106" s="591"/>
      <c r="F106" s="158">
        <f t="shared" ref="F106:G106" ca="1" si="525">IF(F104&gt;0,F39,0)</f>
        <v>0</v>
      </c>
      <c r="G106" s="158">
        <f t="shared" ca="1" si="525"/>
        <v>0</v>
      </c>
      <c r="H106" s="158">
        <f t="shared" ref="H106:M106" ca="1" si="526">IF(H104&gt;0,H39,0)</f>
        <v>0</v>
      </c>
      <c r="I106" s="158">
        <f t="shared" ca="1" si="526"/>
        <v>0</v>
      </c>
      <c r="J106" s="158">
        <f t="shared" ca="1" si="526"/>
        <v>0</v>
      </c>
      <c r="K106" s="158">
        <f t="shared" ca="1" si="526"/>
        <v>0</v>
      </c>
      <c r="L106" s="158">
        <f t="shared" si="526"/>
        <v>0</v>
      </c>
      <c r="M106" s="158">
        <f t="shared" si="526"/>
        <v>0</v>
      </c>
      <c r="N106" s="158">
        <f t="shared" ref="N106:O106" si="527">IF(N104&gt;0,N39,0)</f>
        <v>0</v>
      </c>
      <c r="O106" s="158">
        <f t="shared" si="527"/>
        <v>0</v>
      </c>
      <c r="P106" s="158">
        <f t="shared" ref="P106" si="528">IF(P104&gt;0,P39,0)</f>
        <v>0</v>
      </c>
      <c r="Q106" s="158">
        <f t="shared" ref="Q106:AA106" si="529">IF(Q104&gt;0,Q39,0)</f>
        <v>0</v>
      </c>
      <c r="R106" s="158">
        <f t="shared" ref="R106" si="530">IF(R104&gt;0,R39,0)</f>
        <v>0</v>
      </c>
      <c r="S106" s="158">
        <f t="shared" si="529"/>
        <v>0</v>
      </c>
      <c r="T106" s="158">
        <f t="shared" si="529"/>
        <v>0</v>
      </c>
      <c r="U106" s="158">
        <f t="shared" si="529"/>
        <v>0</v>
      </c>
      <c r="V106" s="158">
        <f t="shared" si="529"/>
        <v>0</v>
      </c>
      <c r="W106" s="158">
        <f t="shared" si="529"/>
        <v>0</v>
      </c>
      <c r="X106" s="158">
        <f t="shared" si="529"/>
        <v>0</v>
      </c>
      <c r="Y106" s="158">
        <f t="shared" si="529"/>
        <v>0</v>
      </c>
      <c r="Z106" s="158">
        <f t="shared" si="529"/>
        <v>0</v>
      </c>
      <c r="AA106" s="158">
        <f t="shared" si="529"/>
        <v>0</v>
      </c>
      <c r="AB106" s="159"/>
      <c r="AC106" s="159"/>
      <c r="AD106" s="159"/>
      <c r="AE106" s="351"/>
      <c r="AF106" s="578">
        <f t="shared" ca="1" si="441"/>
        <v>0</v>
      </c>
      <c r="AG106" s="1086"/>
      <c r="AH106" s="1088"/>
      <c r="AI106" s="1088"/>
      <c r="AJ106" s="1088"/>
      <c r="AK106" s="1088"/>
      <c r="AL106" s="1088"/>
      <c r="AM106" s="1088"/>
      <c r="AN106" s="1088"/>
      <c r="AO106" s="1088"/>
      <c r="AP106" s="1088"/>
      <c r="AQ106" s="1088"/>
      <c r="AR106" s="1088"/>
    </row>
    <row r="107" spans="1:44" s="589" customFormat="1" ht="21.95" hidden="1" customHeight="1" x14ac:dyDescent="0.15">
      <c r="A107" s="2513"/>
      <c r="B107" s="2595"/>
      <c r="C107" s="597" t="s">
        <v>1106</v>
      </c>
      <c r="D107" s="1995"/>
      <c r="E107" s="591"/>
      <c r="F107" s="158">
        <f t="shared" ref="F107:G107" ca="1" si="531">IF(F105&lt;=3.5,IF(F106&lt;=1.5,F104*2*F105,0),0)</f>
        <v>0</v>
      </c>
      <c r="G107" s="158">
        <f t="shared" ca="1" si="531"/>
        <v>0</v>
      </c>
      <c r="H107" s="158">
        <f t="shared" ref="H107:M107" ca="1" si="532">IF(H105&lt;=3.5,IF(H106&lt;=1.5,H104*2*H105,0),0)</f>
        <v>0</v>
      </c>
      <c r="I107" s="158">
        <f t="shared" ca="1" si="532"/>
        <v>0</v>
      </c>
      <c r="J107" s="158">
        <f t="shared" ca="1" si="532"/>
        <v>0</v>
      </c>
      <c r="K107" s="158">
        <f t="shared" ca="1" si="532"/>
        <v>0</v>
      </c>
      <c r="L107" s="158">
        <f t="shared" si="532"/>
        <v>0</v>
      </c>
      <c r="M107" s="158">
        <f t="shared" si="532"/>
        <v>0</v>
      </c>
      <c r="N107" s="158">
        <f t="shared" ref="N107:O107" si="533">IF(N105&lt;=3.5,IF(N106&lt;=1.5,N104*2*N105,0),0)</f>
        <v>0</v>
      </c>
      <c r="O107" s="158">
        <f t="shared" si="533"/>
        <v>0</v>
      </c>
      <c r="P107" s="158">
        <f t="shared" ref="P107" si="534">IF(P105&lt;=3.5,IF(P106&lt;=1.5,P104*2*P105,0),0)</f>
        <v>0</v>
      </c>
      <c r="Q107" s="158">
        <f t="shared" ref="Q107:AA107" si="535">IF(Q105&lt;=3.5,IF(Q106&lt;=1.5,Q104*2*Q105,0),0)</f>
        <v>0</v>
      </c>
      <c r="R107" s="158">
        <f t="shared" ref="R107" si="536">IF(R105&lt;=3.5,IF(R106&lt;=1.5,R104*2*R105,0),0)</f>
        <v>0</v>
      </c>
      <c r="S107" s="158">
        <f t="shared" si="535"/>
        <v>0</v>
      </c>
      <c r="T107" s="158">
        <f t="shared" si="535"/>
        <v>0</v>
      </c>
      <c r="U107" s="158">
        <f t="shared" si="535"/>
        <v>0</v>
      </c>
      <c r="V107" s="158">
        <f t="shared" si="535"/>
        <v>0</v>
      </c>
      <c r="W107" s="158">
        <f t="shared" si="535"/>
        <v>0</v>
      </c>
      <c r="X107" s="158">
        <f t="shared" si="535"/>
        <v>0</v>
      </c>
      <c r="Y107" s="158">
        <f t="shared" si="535"/>
        <v>0</v>
      </c>
      <c r="Z107" s="158">
        <f t="shared" si="535"/>
        <v>0</v>
      </c>
      <c r="AA107" s="158">
        <f t="shared" si="535"/>
        <v>0</v>
      </c>
      <c r="AB107" s="159"/>
      <c r="AC107" s="159"/>
      <c r="AD107" s="159"/>
      <c r="AE107" s="350">
        <f ca="1">TRUNC(SUM(F107:AD107),2)</f>
        <v>0</v>
      </c>
      <c r="AF107" s="578">
        <f t="shared" ca="1" si="441"/>
        <v>0</v>
      </c>
      <c r="AG107" s="1086"/>
      <c r="AH107" s="1088"/>
      <c r="AI107" s="1088"/>
      <c r="AJ107" s="1088"/>
      <c r="AK107" s="1088"/>
      <c r="AL107" s="1088"/>
      <c r="AM107" s="1088"/>
      <c r="AN107" s="1088"/>
      <c r="AO107" s="1088"/>
      <c r="AP107" s="1088"/>
      <c r="AQ107" s="1088"/>
      <c r="AR107" s="1088"/>
    </row>
    <row r="108" spans="1:44" s="589" customFormat="1" ht="21.95" hidden="1" customHeight="1" thickBot="1" x14ac:dyDescent="0.2">
      <c r="A108" s="2513"/>
      <c r="B108" s="2587"/>
      <c r="C108" s="928" t="s">
        <v>1107</v>
      </c>
      <c r="D108" s="1996"/>
      <c r="E108" s="1519"/>
      <c r="F108" s="239">
        <f t="shared" ref="F108:G108" ca="1" si="537">IF(F105&lt;=3.5,IF(F106&gt;1.5,F104*2*F105,0),0)</f>
        <v>0</v>
      </c>
      <c r="G108" s="239">
        <f t="shared" ca="1" si="537"/>
        <v>0</v>
      </c>
      <c r="H108" s="239">
        <f t="shared" ref="H108:M108" ca="1" si="538">IF(H105&lt;=3.5,IF(H106&gt;1.5,H104*2*H105,0),0)</f>
        <v>0</v>
      </c>
      <c r="I108" s="239">
        <f t="shared" ca="1" si="538"/>
        <v>0</v>
      </c>
      <c r="J108" s="239">
        <f t="shared" ca="1" si="538"/>
        <v>0</v>
      </c>
      <c r="K108" s="239">
        <f t="shared" ca="1" si="538"/>
        <v>0</v>
      </c>
      <c r="L108" s="239">
        <f t="shared" si="538"/>
        <v>0</v>
      </c>
      <c r="M108" s="239">
        <f t="shared" si="538"/>
        <v>0</v>
      </c>
      <c r="N108" s="239">
        <f t="shared" ref="N108:O108" si="539">IF(N105&lt;=3.5,IF(N106&gt;1.5,N104*2*N105,0),0)</f>
        <v>0</v>
      </c>
      <c r="O108" s="239">
        <f t="shared" si="539"/>
        <v>0</v>
      </c>
      <c r="P108" s="239">
        <f t="shared" ref="P108" si="540">IF(P105&lt;=3.5,IF(P106&gt;1.5,P104*2*P105,0),0)</f>
        <v>0</v>
      </c>
      <c r="Q108" s="239">
        <f t="shared" ref="Q108:AA108" si="541">IF(Q105&lt;=3.5,IF(Q106&gt;1.5,Q104*2*Q105,0),0)</f>
        <v>0</v>
      </c>
      <c r="R108" s="239">
        <f t="shared" ref="R108" si="542">IF(R105&lt;=3.5,IF(R106&gt;1.5,R104*2*R105,0),0)</f>
        <v>0</v>
      </c>
      <c r="S108" s="239">
        <f t="shared" si="541"/>
        <v>0</v>
      </c>
      <c r="T108" s="239">
        <f t="shared" si="541"/>
        <v>0</v>
      </c>
      <c r="U108" s="239">
        <f t="shared" si="541"/>
        <v>0</v>
      </c>
      <c r="V108" s="239">
        <f t="shared" si="541"/>
        <v>0</v>
      </c>
      <c r="W108" s="239">
        <f t="shared" si="541"/>
        <v>0</v>
      </c>
      <c r="X108" s="239">
        <f t="shared" si="541"/>
        <v>0</v>
      </c>
      <c r="Y108" s="239">
        <f t="shared" si="541"/>
        <v>0</v>
      </c>
      <c r="Z108" s="239">
        <f t="shared" si="541"/>
        <v>0</v>
      </c>
      <c r="AA108" s="239">
        <f t="shared" si="541"/>
        <v>0</v>
      </c>
      <c r="AB108" s="237"/>
      <c r="AC108" s="237"/>
      <c r="AD108" s="237"/>
      <c r="AE108" s="361">
        <f ca="1">TRUNC(SUM(F108:AD108),2)</f>
        <v>0</v>
      </c>
      <c r="AF108" s="578">
        <f t="shared" ca="1" si="441"/>
        <v>0</v>
      </c>
      <c r="AG108" s="1086"/>
      <c r="AH108" s="1088"/>
      <c r="AI108" s="1088"/>
      <c r="AJ108" s="1088"/>
      <c r="AK108" s="1088"/>
      <c r="AL108" s="1088"/>
      <c r="AM108" s="1088"/>
      <c r="AN108" s="1088"/>
      <c r="AO108" s="1088"/>
      <c r="AP108" s="1088"/>
      <c r="AQ108" s="1088"/>
      <c r="AR108" s="1088"/>
    </row>
    <row r="109" spans="1:44" s="589" customFormat="1" ht="21.95" hidden="1" customHeight="1" x14ac:dyDescent="0.15">
      <c r="A109" s="2513"/>
      <c r="B109" s="2588" t="s">
        <v>2405</v>
      </c>
      <c r="C109" s="593" t="s">
        <v>3</v>
      </c>
      <c r="D109" s="1995"/>
      <c r="E109" s="591"/>
      <c r="F109" s="158">
        <f t="shared" ref="F109:G109" ca="1" si="543">IF(AND(F113=0,F104=0,F11&gt;3,F30=5),F2,0)</f>
        <v>0</v>
      </c>
      <c r="G109" s="158">
        <f t="shared" ca="1" si="543"/>
        <v>0</v>
      </c>
      <c r="H109" s="158">
        <f t="shared" ref="H109:M109" ca="1" si="544">IF(AND(H113=0,H104=0,H11&gt;3,H30=5),H2,0)</f>
        <v>0</v>
      </c>
      <c r="I109" s="158">
        <f t="shared" ca="1" si="544"/>
        <v>0</v>
      </c>
      <c r="J109" s="158">
        <f t="shared" ca="1" si="544"/>
        <v>0</v>
      </c>
      <c r="K109" s="158">
        <f t="shared" ca="1" si="544"/>
        <v>0</v>
      </c>
      <c r="L109" s="158">
        <f t="shared" si="544"/>
        <v>0</v>
      </c>
      <c r="M109" s="158">
        <f t="shared" si="544"/>
        <v>0</v>
      </c>
      <c r="N109" s="158">
        <f t="shared" ref="N109:O109" si="545">IF(AND(N113=0,N104=0,N11&gt;3,N30=5),N2,0)</f>
        <v>0</v>
      </c>
      <c r="O109" s="158">
        <f t="shared" si="545"/>
        <v>0</v>
      </c>
      <c r="P109" s="158">
        <f t="shared" ref="P109" si="546">IF(AND(P113=0,P104=0,P11&gt;3,P30=5),P2,0)</f>
        <v>0</v>
      </c>
      <c r="Q109" s="158">
        <f t="shared" ref="Q109:S109" si="547">IF(AND(Q113=0,Q104=0,Q11&gt;3,Q30=5),Q2,0)</f>
        <v>0</v>
      </c>
      <c r="R109" s="158">
        <f t="shared" ref="R109" si="548">IF(AND(R113=0,R104=0,R11&gt;3,R30=5),R2,0)</f>
        <v>0</v>
      </c>
      <c r="S109" s="158">
        <f t="shared" si="547"/>
        <v>0</v>
      </c>
      <c r="T109" s="158">
        <f t="shared" ref="T109:AA109" si="549">IF(AND(T113=0,T104=0,T11&gt;3,T30="v"),T2,0)</f>
        <v>0</v>
      </c>
      <c r="U109" s="158">
        <f t="shared" si="549"/>
        <v>0</v>
      </c>
      <c r="V109" s="158">
        <f t="shared" si="549"/>
        <v>0</v>
      </c>
      <c r="W109" s="158">
        <f t="shared" si="549"/>
        <v>0</v>
      </c>
      <c r="X109" s="158">
        <f t="shared" si="549"/>
        <v>0</v>
      </c>
      <c r="Y109" s="158">
        <f t="shared" si="549"/>
        <v>0</v>
      </c>
      <c r="Z109" s="158">
        <f t="shared" si="549"/>
        <v>0</v>
      </c>
      <c r="AA109" s="158">
        <f t="shared" si="549"/>
        <v>0</v>
      </c>
      <c r="AB109" s="159"/>
      <c r="AC109" s="241"/>
      <c r="AD109" s="241"/>
      <c r="AE109" s="592">
        <f ca="1">TRUNC(SUM(F109:AD109),2)</f>
        <v>0</v>
      </c>
      <c r="AF109" s="578">
        <f t="shared" ca="1" si="441"/>
        <v>0</v>
      </c>
      <c r="AG109" s="1086"/>
      <c r="AH109" s="1088"/>
      <c r="AI109" s="1088"/>
      <c r="AJ109" s="1088"/>
      <c r="AK109" s="1088"/>
      <c r="AL109" s="1088"/>
      <c r="AM109" s="1088"/>
      <c r="AN109" s="1088"/>
      <c r="AO109" s="1088"/>
      <c r="AP109" s="1088"/>
      <c r="AQ109" s="1088"/>
      <c r="AR109" s="1088"/>
    </row>
    <row r="110" spans="1:44" s="589" customFormat="1" ht="21.95" hidden="1" customHeight="1" x14ac:dyDescent="0.15">
      <c r="A110" s="2513"/>
      <c r="B110" s="2585"/>
      <c r="C110" s="590" t="s">
        <v>1108</v>
      </c>
      <c r="D110" s="1995"/>
      <c r="E110" s="591"/>
      <c r="F110" s="158">
        <f t="shared" ref="F110:G110" ca="1" si="550">IF(F109&gt;0,F11,0)</f>
        <v>0</v>
      </c>
      <c r="G110" s="158">
        <f t="shared" ca="1" si="550"/>
        <v>0</v>
      </c>
      <c r="H110" s="158">
        <f t="shared" ref="H110:M110" ca="1" si="551">IF(H109&gt;0,H11,0)</f>
        <v>0</v>
      </c>
      <c r="I110" s="158">
        <f t="shared" ca="1" si="551"/>
        <v>0</v>
      </c>
      <c r="J110" s="158">
        <f t="shared" ca="1" si="551"/>
        <v>0</v>
      </c>
      <c r="K110" s="158">
        <f t="shared" ca="1" si="551"/>
        <v>0</v>
      </c>
      <c r="L110" s="158">
        <f t="shared" si="551"/>
        <v>0</v>
      </c>
      <c r="M110" s="158">
        <f t="shared" si="551"/>
        <v>0</v>
      </c>
      <c r="N110" s="158">
        <f t="shared" ref="N110:O110" si="552">IF(N109&gt;0,N11,0)</f>
        <v>0</v>
      </c>
      <c r="O110" s="158">
        <f t="shared" si="552"/>
        <v>0</v>
      </c>
      <c r="P110" s="158">
        <f t="shared" ref="P110" si="553">IF(P109&gt;0,P11,0)</f>
        <v>0</v>
      </c>
      <c r="Q110" s="158">
        <f t="shared" ref="Q110:AA110" si="554">IF(Q109&gt;0,Q11,0)</f>
        <v>0</v>
      </c>
      <c r="R110" s="158">
        <f t="shared" ref="R110" si="555">IF(R109&gt;0,R11,0)</f>
        <v>0</v>
      </c>
      <c r="S110" s="158">
        <f t="shared" si="554"/>
        <v>0</v>
      </c>
      <c r="T110" s="158">
        <f t="shared" si="554"/>
        <v>0</v>
      </c>
      <c r="U110" s="158">
        <f t="shared" si="554"/>
        <v>0</v>
      </c>
      <c r="V110" s="158">
        <f t="shared" si="554"/>
        <v>0</v>
      </c>
      <c r="W110" s="158">
        <f t="shared" si="554"/>
        <v>0</v>
      </c>
      <c r="X110" s="158">
        <f t="shared" si="554"/>
        <v>0</v>
      </c>
      <c r="Y110" s="158">
        <f t="shared" si="554"/>
        <v>0</v>
      </c>
      <c r="Z110" s="158">
        <f t="shared" si="554"/>
        <v>0</v>
      </c>
      <c r="AA110" s="158">
        <f t="shared" si="554"/>
        <v>0</v>
      </c>
      <c r="AB110" s="159"/>
      <c r="AC110" s="159"/>
      <c r="AD110" s="159"/>
      <c r="AE110" s="351"/>
      <c r="AF110" s="578">
        <f t="shared" ca="1" si="441"/>
        <v>0</v>
      </c>
      <c r="AG110" s="1086"/>
      <c r="AH110" s="1088"/>
      <c r="AI110" s="1088"/>
      <c r="AJ110" s="1088"/>
      <c r="AK110" s="1088"/>
      <c r="AL110" s="1088"/>
      <c r="AM110" s="1088"/>
      <c r="AN110" s="1088"/>
      <c r="AO110" s="1088"/>
      <c r="AP110" s="1088"/>
      <c r="AQ110" s="1088"/>
      <c r="AR110" s="1088"/>
    </row>
    <row r="111" spans="1:44" s="589" customFormat="1" ht="21.95" hidden="1" customHeight="1" x14ac:dyDescent="0.15">
      <c r="A111" s="2513"/>
      <c r="B111" s="2585"/>
      <c r="C111" s="597" t="s">
        <v>2647</v>
      </c>
      <c r="D111" s="1995"/>
      <c r="E111" s="591"/>
      <c r="F111" s="158">
        <f ca="1">IF(F106&lt;=1.5,F109*2*F110,0)</f>
        <v>0</v>
      </c>
      <c r="G111" s="158">
        <f t="shared" ref="G111" ca="1" si="556">IF(G106&lt;=1.5,G109*2*G110,0)</f>
        <v>0</v>
      </c>
      <c r="H111" s="158">
        <f t="shared" ref="H111:M111" ca="1" si="557">IF(H106&lt;=1.5,H109*2*H110,0)</f>
        <v>0</v>
      </c>
      <c r="I111" s="158">
        <f t="shared" ca="1" si="557"/>
        <v>0</v>
      </c>
      <c r="J111" s="158">
        <f t="shared" ca="1" si="557"/>
        <v>0</v>
      </c>
      <c r="K111" s="158">
        <f t="shared" ca="1" si="557"/>
        <v>0</v>
      </c>
      <c r="L111" s="158">
        <f t="shared" si="557"/>
        <v>0</v>
      </c>
      <c r="M111" s="158">
        <f t="shared" si="557"/>
        <v>0</v>
      </c>
      <c r="N111" s="158">
        <f t="shared" ref="N111:O111" si="558">IF(N106&lt;=1.5,N109*2*N110,0)</f>
        <v>0</v>
      </c>
      <c r="O111" s="158">
        <f t="shared" si="558"/>
        <v>0</v>
      </c>
      <c r="P111" s="158"/>
      <c r="Q111" s="158"/>
      <c r="R111" s="158"/>
      <c r="S111" s="158"/>
      <c r="T111" s="158"/>
      <c r="U111" s="158"/>
      <c r="V111" s="158"/>
      <c r="W111" s="158"/>
      <c r="X111" s="158"/>
      <c r="Y111" s="158"/>
      <c r="Z111" s="158"/>
      <c r="AA111" s="158"/>
      <c r="AB111" s="159"/>
      <c r="AC111" s="159"/>
      <c r="AD111" s="159"/>
      <c r="AE111" s="351"/>
      <c r="AF111" s="578"/>
      <c r="AG111" s="1086"/>
      <c r="AH111" s="1088"/>
      <c r="AI111" s="1088"/>
      <c r="AJ111" s="1088"/>
      <c r="AK111" s="1088"/>
      <c r="AL111" s="1088"/>
      <c r="AM111" s="1088"/>
      <c r="AN111" s="1088"/>
      <c r="AO111" s="1088"/>
      <c r="AP111" s="1088"/>
      <c r="AQ111" s="1088"/>
      <c r="AR111" s="1088"/>
    </row>
    <row r="112" spans="1:44" s="589" customFormat="1" ht="21.95" hidden="1" customHeight="1" thickBot="1" x14ac:dyDescent="0.2">
      <c r="A112" s="2513"/>
      <c r="B112" s="2589"/>
      <c r="C112" s="928" t="s">
        <v>1111</v>
      </c>
      <c r="D112" s="1996"/>
      <c r="E112" s="1519"/>
      <c r="F112" s="239">
        <f ca="1">IF(F106&gt;1.5,F109*2*F110,0)</f>
        <v>0</v>
      </c>
      <c r="G112" s="239">
        <f t="shared" ref="G112" ca="1" si="559">IF(G106&gt;1.5,G109*2*G110,0)</f>
        <v>0</v>
      </c>
      <c r="H112" s="239">
        <f t="shared" ref="H112:M112" ca="1" si="560">IF(H106&gt;1.5,H109*2*H110,0)</f>
        <v>0</v>
      </c>
      <c r="I112" s="239">
        <f t="shared" ca="1" si="560"/>
        <v>0</v>
      </c>
      <c r="J112" s="239">
        <f t="shared" ca="1" si="560"/>
        <v>0</v>
      </c>
      <c r="K112" s="239">
        <f t="shared" ca="1" si="560"/>
        <v>0</v>
      </c>
      <c r="L112" s="239">
        <f t="shared" si="560"/>
        <v>0</v>
      </c>
      <c r="M112" s="239">
        <f t="shared" si="560"/>
        <v>0</v>
      </c>
      <c r="N112" s="239">
        <f t="shared" ref="N112:O112" si="561">IF(N106&gt;1.5,N109*2*N110,0)</f>
        <v>0</v>
      </c>
      <c r="O112" s="239">
        <f t="shared" si="561"/>
        <v>0</v>
      </c>
      <c r="P112" s="239">
        <f t="shared" ref="P112" si="562">P110*P109*2</f>
        <v>0</v>
      </c>
      <c r="Q112" s="239">
        <f t="shared" ref="Q112:AA112" si="563">Q110*Q109*2</f>
        <v>0</v>
      </c>
      <c r="R112" s="239">
        <f t="shared" ref="R112" si="564">R110*R109*2</f>
        <v>0</v>
      </c>
      <c r="S112" s="239">
        <f t="shared" si="563"/>
        <v>0</v>
      </c>
      <c r="T112" s="239">
        <f t="shared" si="563"/>
        <v>0</v>
      </c>
      <c r="U112" s="239">
        <f t="shared" si="563"/>
        <v>0</v>
      </c>
      <c r="V112" s="239">
        <f t="shared" si="563"/>
        <v>0</v>
      </c>
      <c r="W112" s="239">
        <f t="shared" si="563"/>
        <v>0</v>
      </c>
      <c r="X112" s="239">
        <f t="shared" si="563"/>
        <v>0</v>
      </c>
      <c r="Y112" s="239">
        <f t="shared" si="563"/>
        <v>0</v>
      </c>
      <c r="Z112" s="239">
        <f t="shared" si="563"/>
        <v>0</v>
      </c>
      <c r="AA112" s="239">
        <f t="shared" si="563"/>
        <v>0</v>
      </c>
      <c r="AB112" s="237"/>
      <c r="AC112" s="237"/>
      <c r="AD112" s="237"/>
      <c r="AE112" s="361">
        <f ca="1">TRUNC(SUM(F112:AD112),2)</f>
        <v>0</v>
      </c>
      <c r="AF112" s="578">
        <f t="shared" ref="AF112:AF119" ca="1" si="565">SUM(F112:AE112)</f>
        <v>0</v>
      </c>
      <c r="AG112" s="1086"/>
      <c r="AH112" s="1088"/>
      <c r="AI112" s="1088"/>
      <c r="AJ112" s="1088"/>
      <c r="AK112" s="1088"/>
      <c r="AL112" s="1088"/>
      <c r="AM112" s="1088"/>
      <c r="AN112" s="1088"/>
      <c r="AO112" s="1088"/>
      <c r="AP112" s="1088"/>
      <c r="AQ112" s="1088"/>
      <c r="AR112" s="1088"/>
    </row>
    <row r="113" spans="1:44" s="589" customFormat="1" ht="21.95" customHeight="1" x14ac:dyDescent="0.15">
      <c r="A113" s="2513"/>
      <c r="B113" s="2594" t="s">
        <v>2406</v>
      </c>
      <c r="C113" s="929" t="s">
        <v>3</v>
      </c>
      <c r="D113" s="1995"/>
      <c r="E113" s="591"/>
      <c r="F113" s="158">
        <f ca="1">IF(AND(F30="B",F11&lt;2.19999),"ERRO",IF(AND(F11&gt;2.1999,F30="B"),F2,0))</f>
        <v>45.04</v>
      </c>
      <c r="G113" s="158">
        <f ca="1">IF(AND(G30="B",G11&lt;1.89999),"ERRO",IF(AND(G11&gt;1.8999,G30="B"),G2,0))</f>
        <v>0</v>
      </c>
      <c r="H113" s="158">
        <f ca="1">IF(AND(H30="B",H11&lt;2.19999),"ERRO",IF(AND(H11&gt;2.1999,H30="B"),H2,0))</f>
        <v>0</v>
      </c>
      <c r="I113" s="158">
        <f ca="1">IF(AND(I30="B",I11&lt;2.19999),"ERRO",IF(AND(I11&gt;2.1999,I30="B"),I2,0))</f>
        <v>60.43</v>
      </c>
      <c r="J113" s="158">
        <f ca="1">IF(AND(J30="B",J11&lt;2.19999),"ERRO",IF(AND(J11&gt;2.1999,J30="B"),J2,0))</f>
        <v>60.43</v>
      </c>
      <c r="K113" s="158">
        <f ca="1">IF(AND(K30="B",K11&lt;2.19999),"ERRO",IF(AND(K11&gt;2.1999,K30="B"),K2,0))</f>
        <v>60.44</v>
      </c>
      <c r="L113" s="158">
        <f>IF(AND(L30="B",L11&lt;2.39999),"ERRO",IF(AND(L11&gt;2.3999,L30="B"),L2,0))</f>
        <v>0</v>
      </c>
      <c r="M113" s="158">
        <f t="shared" ref="M113" si="566">IF(AND(M30="B",M11&lt;2.39999),"ERRO",IF(AND(M11&gt;2.3999,M30="B"),M2,0))</f>
        <v>0</v>
      </c>
      <c r="N113" s="158">
        <f t="shared" ref="N113:O113" si="567">IF(AND(N30="B",N11&lt;2.39999),"ERRO",IF(AND(N11&gt;2.3999,N30="B"),N2,0))</f>
        <v>0</v>
      </c>
      <c r="O113" s="158">
        <f t="shared" si="567"/>
        <v>0</v>
      </c>
      <c r="P113" s="158">
        <f t="shared" ref="P113" si="568">IF(AND(P30="B",P11&lt;2.39999),"ERRO",IF(AND(P11&gt;2.3999,P30="B"),P2,0))</f>
        <v>0</v>
      </c>
      <c r="Q113" s="158">
        <f t="shared" ref="Q113:AA113" si="569">IF(AND(Q30="B",Q11&lt;2.39999),"ERRO",IF(AND(Q11&gt;2.3999,Q30="B"),Q2,0))</f>
        <v>0</v>
      </c>
      <c r="R113" s="158">
        <f t="shared" ref="R113" si="570">IF(AND(R30="B",R11&lt;2.39999),"ERRO",IF(AND(R11&gt;2.3999,R30="B"),R2,0))</f>
        <v>0</v>
      </c>
      <c r="S113" s="158">
        <f t="shared" si="569"/>
        <v>0</v>
      </c>
      <c r="T113" s="158">
        <f t="shared" si="569"/>
        <v>0</v>
      </c>
      <c r="U113" s="158">
        <f t="shared" si="569"/>
        <v>0</v>
      </c>
      <c r="V113" s="158">
        <f t="shared" si="569"/>
        <v>0</v>
      </c>
      <c r="W113" s="158">
        <f t="shared" si="569"/>
        <v>0</v>
      </c>
      <c r="X113" s="158">
        <f t="shared" si="569"/>
        <v>0</v>
      </c>
      <c r="Y113" s="158">
        <f t="shared" si="569"/>
        <v>0</v>
      </c>
      <c r="Z113" s="158">
        <f t="shared" si="569"/>
        <v>0</v>
      </c>
      <c r="AA113" s="158">
        <f t="shared" si="569"/>
        <v>0</v>
      </c>
      <c r="AB113" s="159"/>
      <c r="AC113" s="159"/>
      <c r="AD113" s="159"/>
      <c r="AE113" s="592">
        <f ca="1">TRUNC(SUM(F113:AD113),2)</f>
        <v>226.34</v>
      </c>
      <c r="AF113" s="578">
        <f t="shared" ca="1" si="565"/>
        <v>452.68</v>
      </c>
      <c r="AG113" s="1086"/>
      <c r="AH113" s="1088"/>
      <c r="AI113" s="1088"/>
      <c r="AJ113" s="1088"/>
      <c r="AK113" s="1088"/>
      <c r="AL113" s="1088"/>
      <c r="AM113" s="1088"/>
      <c r="AN113" s="1088"/>
      <c r="AO113" s="1088"/>
      <c r="AP113" s="1088"/>
      <c r="AQ113" s="1088"/>
      <c r="AR113" s="1088"/>
    </row>
    <row r="114" spans="1:44" s="589" customFormat="1" ht="21.95" customHeight="1" x14ac:dyDescent="0.15">
      <c r="A114" s="2513"/>
      <c r="B114" s="2595"/>
      <c r="C114" s="590" t="s">
        <v>1110</v>
      </c>
      <c r="D114" s="1995"/>
      <c r="E114" s="591"/>
      <c r="F114" s="158">
        <f t="shared" ref="F114:G114" ca="1" si="571">IF(F113=0,0,F11)</f>
        <v>2.2183199999999723</v>
      </c>
      <c r="G114" s="158">
        <f t="shared" ca="1" si="571"/>
        <v>0</v>
      </c>
      <c r="H114" s="158">
        <f t="shared" ref="H114:M114" ca="1" si="572">IF(H113=0,0,H11)</f>
        <v>0</v>
      </c>
      <c r="I114" s="158">
        <f t="shared" ca="1" si="572"/>
        <v>3.2019350000000992</v>
      </c>
      <c r="J114" s="158">
        <f t="shared" ca="1" si="572"/>
        <v>3.854225000000036</v>
      </c>
      <c r="K114" s="158">
        <f t="shared" ca="1" si="572"/>
        <v>3.7180300000000495</v>
      </c>
      <c r="L114" s="158">
        <f t="shared" si="572"/>
        <v>0</v>
      </c>
      <c r="M114" s="158">
        <f t="shared" si="572"/>
        <v>0</v>
      </c>
      <c r="N114" s="158">
        <f t="shared" ref="N114:O114" si="573">IF(N113=0,0,N11)</f>
        <v>0</v>
      </c>
      <c r="O114" s="158">
        <f t="shared" si="573"/>
        <v>0</v>
      </c>
      <c r="P114" s="158">
        <f t="shared" ref="P114" si="574">IF(P113=0,0,P11)</f>
        <v>0</v>
      </c>
      <c r="Q114" s="158">
        <f t="shared" ref="Q114:AA114" si="575">IF(Q113=0,0,Q11)</f>
        <v>0</v>
      </c>
      <c r="R114" s="158">
        <f t="shared" ref="R114" si="576">IF(R113=0,0,R11)</f>
        <v>0</v>
      </c>
      <c r="S114" s="158">
        <f t="shared" si="575"/>
        <v>0</v>
      </c>
      <c r="T114" s="158">
        <f t="shared" si="575"/>
        <v>0</v>
      </c>
      <c r="U114" s="158">
        <f t="shared" si="575"/>
        <v>0</v>
      </c>
      <c r="V114" s="158">
        <f t="shared" si="575"/>
        <v>0</v>
      </c>
      <c r="W114" s="158">
        <f t="shared" si="575"/>
        <v>0</v>
      </c>
      <c r="X114" s="158">
        <f t="shared" si="575"/>
        <v>0</v>
      </c>
      <c r="Y114" s="158">
        <f t="shared" si="575"/>
        <v>0</v>
      </c>
      <c r="Z114" s="158">
        <f t="shared" si="575"/>
        <v>0</v>
      </c>
      <c r="AA114" s="158">
        <f t="shared" si="575"/>
        <v>0</v>
      </c>
      <c r="AB114" s="159"/>
      <c r="AC114" s="159"/>
      <c r="AD114" s="159"/>
      <c r="AE114" s="351"/>
      <c r="AF114" s="578">
        <f t="shared" ca="1" si="565"/>
        <v>12.992510000000156</v>
      </c>
      <c r="AG114" s="1086"/>
      <c r="AH114" s="1088"/>
      <c r="AI114" s="1088"/>
      <c r="AJ114" s="1088"/>
      <c r="AK114" s="1088"/>
      <c r="AL114" s="1088"/>
      <c r="AM114" s="1088"/>
      <c r="AN114" s="1088"/>
      <c r="AO114" s="1088"/>
      <c r="AP114" s="1088"/>
      <c r="AQ114" s="1088"/>
      <c r="AR114" s="1088"/>
    </row>
    <row r="115" spans="1:44" s="589" customFormat="1" ht="21.95" customHeight="1" x14ac:dyDescent="0.15">
      <c r="A115" s="2513"/>
      <c r="B115" s="2595"/>
      <c r="C115" s="590" t="s">
        <v>1109</v>
      </c>
      <c r="D115" s="1995"/>
      <c r="E115" s="591"/>
      <c r="F115" s="158">
        <f t="shared" ref="F115:G115" ca="1" si="577">IF(F113=0,0,2.4)</f>
        <v>2.4</v>
      </c>
      <c r="G115" s="158">
        <f t="shared" ca="1" si="577"/>
        <v>0</v>
      </c>
      <c r="H115" s="158">
        <f t="shared" ref="H115:M115" ca="1" si="578">IF(H113=0,0,2.4)</f>
        <v>0</v>
      </c>
      <c r="I115" s="158">
        <f t="shared" ca="1" si="578"/>
        <v>2.4</v>
      </c>
      <c r="J115" s="158">
        <f t="shared" ca="1" si="578"/>
        <v>2.4</v>
      </c>
      <c r="K115" s="158">
        <f t="shared" ca="1" si="578"/>
        <v>2.4</v>
      </c>
      <c r="L115" s="158">
        <f t="shared" si="578"/>
        <v>0</v>
      </c>
      <c r="M115" s="158">
        <f t="shared" si="578"/>
        <v>0</v>
      </c>
      <c r="N115" s="158">
        <f t="shared" ref="N115:O115" si="579">IF(N113=0,0,2.4)</f>
        <v>0</v>
      </c>
      <c r="O115" s="158">
        <f t="shared" si="579"/>
        <v>0</v>
      </c>
      <c r="P115" s="158">
        <f t="shared" ref="P115" si="580">IF(P113=0,0,2.4)</f>
        <v>0</v>
      </c>
      <c r="Q115" s="158">
        <f t="shared" ref="Q115:AA115" si="581">IF(Q113=0,0,2.4)</f>
        <v>0</v>
      </c>
      <c r="R115" s="158">
        <f t="shared" ref="R115" si="582">IF(R113=0,0,2.4)</f>
        <v>0</v>
      </c>
      <c r="S115" s="158">
        <f t="shared" si="581"/>
        <v>0</v>
      </c>
      <c r="T115" s="158">
        <f t="shared" si="581"/>
        <v>0</v>
      </c>
      <c r="U115" s="158">
        <f t="shared" si="581"/>
        <v>0</v>
      </c>
      <c r="V115" s="158">
        <f t="shared" si="581"/>
        <v>0</v>
      </c>
      <c r="W115" s="158">
        <f t="shared" si="581"/>
        <v>0</v>
      </c>
      <c r="X115" s="158">
        <f t="shared" si="581"/>
        <v>0</v>
      </c>
      <c r="Y115" s="158">
        <f t="shared" si="581"/>
        <v>0</v>
      </c>
      <c r="Z115" s="158">
        <f t="shared" si="581"/>
        <v>0</v>
      </c>
      <c r="AA115" s="158">
        <f t="shared" si="581"/>
        <v>0</v>
      </c>
      <c r="AB115" s="159"/>
      <c r="AC115" s="159"/>
      <c r="AD115" s="159"/>
      <c r="AE115" s="351"/>
      <c r="AF115" s="578">
        <f t="shared" ca="1" si="565"/>
        <v>9.6</v>
      </c>
      <c r="AG115" s="1086"/>
      <c r="AH115" s="1088"/>
      <c r="AI115" s="1088"/>
      <c r="AJ115" s="1088"/>
      <c r="AK115" s="1088"/>
      <c r="AL115" s="1088"/>
      <c r="AM115" s="1088"/>
      <c r="AN115" s="1088"/>
      <c r="AO115" s="1088"/>
      <c r="AP115" s="1088"/>
      <c r="AQ115" s="1088"/>
      <c r="AR115" s="1088"/>
    </row>
    <row r="116" spans="1:44" s="589" customFormat="1" ht="21.95" customHeight="1" x14ac:dyDescent="0.15">
      <c r="A116" s="2513"/>
      <c r="B116" s="2595"/>
      <c r="C116" s="597" t="s">
        <v>593</v>
      </c>
      <c r="D116" s="1995"/>
      <c r="E116" s="591"/>
      <c r="F116" s="158">
        <f t="shared" ref="F116:G116" ca="1" si="583">IF(F114&lt;=3,F113*F115*2,0)</f>
        <v>216.19199999999998</v>
      </c>
      <c r="G116" s="158">
        <f t="shared" ca="1" si="583"/>
        <v>0</v>
      </c>
      <c r="H116" s="158">
        <f t="shared" ref="H116:M116" ca="1" si="584">IF(H114&lt;=3,H113*H115*2,0)</f>
        <v>0</v>
      </c>
      <c r="I116" s="158">
        <f t="shared" ca="1" si="584"/>
        <v>0</v>
      </c>
      <c r="J116" s="158">
        <f t="shared" ca="1" si="584"/>
        <v>0</v>
      </c>
      <c r="K116" s="158">
        <f t="shared" ca="1" si="584"/>
        <v>0</v>
      </c>
      <c r="L116" s="158">
        <f t="shared" si="584"/>
        <v>0</v>
      </c>
      <c r="M116" s="158">
        <f t="shared" si="584"/>
        <v>0</v>
      </c>
      <c r="N116" s="158">
        <f t="shared" ref="N116:O116" si="585">IF(N114&lt;=3,N113*N115*2,0)</f>
        <v>0</v>
      </c>
      <c r="O116" s="158">
        <f t="shared" si="585"/>
        <v>0</v>
      </c>
      <c r="P116" s="158">
        <f t="shared" ref="P116" si="586">IF(P114&lt;=3,P113*P115*2,0)</f>
        <v>0</v>
      </c>
      <c r="Q116" s="158">
        <f t="shared" ref="Q116:AA116" si="587">IF(Q114&lt;=3,Q113*Q115*2,0)</f>
        <v>0</v>
      </c>
      <c r="R116" s="158">
        <f t="shared" ref="R116" si="588">IF(R114&lt;=3,R113*R115*2,0)</f>
        <v>0</v>
      </c>
      <c r="S116" s="158">
        <f t="shared" si="587"/>
        <v>0</v>
      </c>
      <c r="T116" s="158">
        <f t="shared" si="587"/>
        <v>0</v>
      </c>
      <c r="U116" s="158">
        <f t="shared" si="587"/>
        <v>0</v>
      </c>
      <c r="V116" s="158">
        <f t="shared" si="587"/>
        <v>0</v>
      </c>
      <c r="W116" s="158">
        <f t="shared" si="587"/>
        <v>0</v>
      </c>
      <c r="X116" s="158">
        <f t="shared" si="587"/>
        <v>0</v>
      </c>
      <c r="Y116" s="158">
        <f t="shared" si="587"/>
        <v>0</v>
      </c>
      <c r="Z116" s="158">
        <f t="shared" si="587"/>
        <v>0</v>
      </c>
      <c r="AA116" s="158">
        <f t="shared" si="587"/>
        <v>0</v>
      </c>
      <c r="AB116" s="159"/>
      <c r="AC116" s="159"/>
      <c r="AD116" s="159"/>
      <c r="AE116" s="350">
        <f ca="1">TRUNC(SUM(F116:AD116),2)</f>
        <v>216.19</v>
      </c>
      <c r="AF116" s="578">
        <f t="shared" ca="1" si="565"/>
        <v>432.38199999999995</v>
      </c>
      <c r="AG116" s="1086"/>
      <c r="AH116" s="1088"/>
      <c r="AI116" s="1088"/>
      <c r="AJ116" s="1088"/>
      <c r="AK116" s="1088"/>
      <c r="AL116" s="1088"/>
      <c r="AM116" s="1088"/>
      <c r="AN116" s="1088"/>
      <c r="AO116" s="1088"/>
      <c r="AP116" s="1088"/>
      <c r="AQ116" s="1088"/>
      <c r="AR116" s="1088"/>
    </row>
    <row r="117" spans="1:44" s="589" customFormat="1" ht="21.95" customHeight="1" thickBot="1" x14ac:dyDescent="0.2">
      <c r="A117" s="2513"/>
      <c r="B117" s="2587"/>
      <c r="C117" s="597" t="s">
        <v>1111</v>
      </c>
      <c r="D117" s="1995"/>
      <c r="E117" s="591"/>
      <c r="F117" s="158">
        <f t="shared" ref="F117:G117" ca="1" si="589">IF(F114&gt;3,F113*F115*2,0)</f>
        <v>0</v>
      </c>
      <c r="G117" s="158">
        <f t="shared" ca="1" si="589"/>
        <v>0</v>
      </c>
      <c r="H117" s="158">
        <f t="shared" ref="H117:M117" ca="1" si="590">IF(H114&gt;3,H113*H115*2,0)</f>
        <v>0</v>
      </c>
      <c r="I117" s="158">
        <f t="shared" ca="1" si="590"/>
        <v>290.06399999999996</v>
      </c>
      <c r="J117" s="158">
        <f t="shared" ca="1" si="590"/>
        <v>290.06399999999996</v>
      </c>
      <c r="K117" s="158">
        <f t="shared" ca="1" si="590"/>
        <v>290.11199999999997</v>
      </c>
      <c r="L117" s="158">
        <f t="shared" si="590"/>
        <v>0</v>
      </c>
      <c r="M117" s="158">
        <f t="shared" si="590"/>
        <v>0</v>
      </c>
      <c r="N117" s="158">
        <f t="shared" ref="N117:O117" si="591">IF(N114&gt;3,N113*N115*2,0)</f>
        <v>0</v>
      </c>
      <c r="O117" s="158">
        <f t="shared" si="591"/>
        <v>0</v>
      </c>
      <c r="P117" s="158">
        <f t="shared" ref="P117" si="592">IF(P114&gt;3,P113*P115*2,0)</f>
        <v>0</v>
      </c>
      <c r="Q117" s="158">
        <f t="shared" ref="Q117:AA117" si="593">IF(Q114&gt;3,Q113*Q115*2,0)</f>
        <v>0</v>
      </c>
      <c r="R117" s="158">
        <f t="shared" ref="R117" si="594">IF(R114&gt;3,R113*R115*2,0)</f>
        <v>0</v>
      </c>
      <c r="S117" s="158">
        <f t="shared" si="593"/>
        <v>0</v>
      </c>
      <c r="T117" s="158">
        <f t="shared" si="593"/>
        <v>0</v>
      </c>
      <c r="U117" s="158">
        <f t="shared" si="593"/>
        <v>0</v>
      </c>
      <c r="V117" s="158">
        <f t="shared" si="593"/>
        <v>0</v>
      </c>
      <c r="W117" s="158">
        <f t="shared" si="593"/>
        <v>0</v>
      </c>
      <c r="X117" s="158">
        <f t="shared" si="593"/>
        <v>0</v>
      </c>
      <c r="Y117" s="158">
        <f t="shared" si="593"/>
        <v>0</v>
      </c>
      <c r="Z117" s="158">
        <f t="shared" si="593"/>
        <v>0</v>
      </c>
      <c r="AA117" s="158">
        <f t="shared" si="593"/>
        <v>0</v>
      </c>
      <c r="AB117" s="159"/>
      <c r="AC117" s="159"/>
      <c r="AD117" s="159"/>
      <c r="AE117" s="350">
        <f ca="1">TRUNC(SUM(F117:AD117),2)</f>
        <v>870.24</v>
      </c>
      <c r="AF117" s="578">
        <f t="shared" ca="1" si="565"/>
        <v>1740.48</v>
      </c>
      <c r="AG117" s="1086"/>
      <c r="AH117" s="1088"/>
      <c r="AI117" s="1088"/>
      <c r="AJ117" s="1088"/>
      <c r="AK117" s="1088"/>
      <c r="AL117" s="1088"/>
      <c r="AM117" s="1088"/>
      <c r="AN117" s="1088"/>
      <c r="AO117" s="1088"/>
      <c r="AP117" s="1088"/>
      <c r="AQ117" s="1088"/>
      <c r="AR117" s="1088"/>
    </row>
    <row r="118" spans="1:44" s="589" customFormat="1" ht="21.95" customHeight="1" thickBot="1" x14ac:dyDescent="0.2">
      <c r="A118" s="2513"/>
      <c r="B118" s="2584" t="s">
        <v>2407</v>
      </c>
      <c r="C118" s="2263" t="s">
        <v>1112</v>
      </c>
      <c r="D118" s="1994"/>
      <c r="E118" s="1516"/>
      <c r="F118" s="238">
        <f t="shared" ref="F118:G118" ca="1" si="595">IF(F154+F160+F164+F170+F176&gt;0,0,IF(AND((F33+F34)&lt;=1.5),F2*(F33+F34),0))</f>
        <v>67.56</v>
      </c>
      <c r="G118" s="238">
        <f t="shared" ca="1" si="595"/>
        <v>54.047999999999995</v>
      </c>
      <c r="H118" s="238">
        <f t="shared" ref="H118:M118" ca="1" si="596">IF(H154+H160+H164+H170+H176&gt;0,0,IF(AND((H33+H34)&lt;=1.5),H2*(H33+H34),0))</f>
        <v>72.515999999999991</v>
      </c>
      <c r="I118" s="238">
        <f t="shared" ca="1" si="596"/>
        <v>0</v>
      </c>
      <c r="J118" s="238">
        <f t="shared" ca="1" si="596"/>
        <v>0</v>
      </c>
      <c r="K118" s="238">
        <f t="shared" ca="1" si="596"/>
        <v>0</v>
      </c>
      <c r="L118" s="238">
        <f t="shared" si="596"/>
        <v>0</v>
      </c>
      <c r="M118" s="238">
        <f t="shared" si="596"/>
        <v>0</v>
      </c>
      <c r="N118" s="238">
        <f t="shared" ref="N118:O118" si="597">IF(N154+N160+N164+N170+N176&gt;0,0,IF(AND((N33+N34)&lt;=1.5),N2*(N33+N34),0))</f>
        <v>0</v>
      </c>
      <c r="O118" s="238">
        <f t="shared" si="597"/>
        <v>0</v>
      </c>
      <c r="P118" s="238">
        <f t="shared" ref="P118" si="598">IF(P154+P160+P164+P170+P176&gt;0,0,IF(AND(P29=1,(P33+P34)&lt;=1.5),P2*(P33+P34),0))</f>
        <v>0</v>
      </c>
      <c r="Q118" s="238">
        <f t="shared" ref="Q118:AA118" si="599">IF(Q154+Q160+Q164+Q170+Q176&gt;0,0,IF(AND(Q29=1,(Q33+Q34)&lt;=1.5),Q2*(Q33+Q34),0))</f>
        <v>172.8</v>
      </c>
      <c r="R118" s="238">
        <f t="shared" ref="R118" si="600">IF(R154+R160+R164+R170+R176&gt;0,0,IF(AND(R29=1,(R33+R34)&lt;=1.5),R2*(R33+R34),0))</f>
        <v>0</v>
      </c>
      <c r="S118" s="238">
        <f t="shared" si="599"/>
        <v>68.399999999999991</v>
      </c>
      <c r="T118" s="238">
        <f t="shared" si="599"/>
        <v>0</v>
      </c>
      <c r="U118" s="238">
        <f t="shared" si="599"/>
        <v>0</v>
      </c>
      <c r="V118" s="238">
        <f t="shared" si="599"/>
        <v>0</v>
      </c>
      <c r="W118" s="238">
        <f t="shared" si="599"/>
        <v>0</v>
      </c>
      <c r="X118" s="238">
        <f t="shared" si="599"/>
        <v>0</v>
      </c>
      <c r="Y118" s="238">
        <f t="shared" si="599"/>
        <v>0</v>
      </c>
      <c r="Z118" s="238">
        <f t="shared" si="599"/>
        <v>0</v>
      </c>
      <c r="AA118" s="238">
        <f t="shared" si="599"/>
        <v>0</v>
      </c>
      <c r="AB118" s="241"/>
      <c r="AC118" s="241"/>
      <c r="AD118" s="241"/>
      <c r="AE118" s="362">
        <f ca="1">TRUNC(SUM(F118:AD118),2)</f>
        <v>435.32</v>
      </c>
      <c r="AF118" s="578">
        <f t="shared" ca="1" si="565"/>
        <v>870.64400000000001</v>
      </c>
      <c r="AG118" s="1086"/>
      <c r="AH118" s="1088"/>
      <c r="AI118" s="1088"/>
      <c r="AJ118" s="1088"/>
      <c r="AK118" s="1088"/>
      <c r="AL118" s="1088"/>
      <c r="AM118" s="1088"/>
      <c r="AN118" s="1088"/>
      <c r="AO118" s="1088"/>
      <c r="AP118" s="1088"/>
      <c r="AQ118" s="1088"/>
      <c r="AR118" s="1088"/>
    </row>
    <row r="119" spans="1:44" s="589" customFormat="1" ht="21.95" customHeight="1" thickBot="1" x14ac:dyDescent="0.2">
      <c r="A119" s="2513"/>
      <c r="B119" s="2587"/>
      <c r="C119" s="928" t="s">
        <v>1113</v>
      </c>
      <c r="D119" s="2360"/>
      <c r="E119" s="2361"/>
      <c r="F119" s="2362">
        <f t="shared" ref="F119:G119" ca="1" si="601">IF(F154+F160+F164+F170+F176&gt;0,0,IF(AND(F29=1,(F33+F34)&gt;1.5),F2*(F33+F34),0))</f>
        <v>0</v>
      </c>
      <c r="G119" s="2362">
        <f t="shared" ca="1" si="601"/>
        <v>0</v>
      </c>
      <c r="H119" s="2362">
        <f t="shared" ref="H119:M119" ca="1" si="602">IF(H154+H160+H164+H170+H176&gt;0,0,IF(AND(H29=1,(H33+H34)&gt;1.5),H2*(H33+H34),0))</f>
        <v>0</v>
      </c>
      <c r="I119" s="2362">
        <f t="shared" ca="1" si="602"/>
        <v>96.688000000000002</v>
      </c>
      <c r="J119" s="2362">
        <f t="shared" ca="1" si="602"/>
        <v>96.688000000000002</v>
      </c>
      <c r="K119" s="2362">
        <f t="shared" ca="1" si="602"/>
        <v>96.704000000000008</v>
      </c>
      <c r="L119" s="2362">
        <f t="shared" si="602"/>
        <v>0</v>
      </c>
      <c r="M119" s="2362">
        <f t="shared" si="602"/>
        <v>0</v>
      </c>
      <c r="N119" s="2362">
        <f t="shared" ref="N119:O119" si="603">IF(N154+N160+N164+N170+N176&gt;0,0,IF(AND(N29=1,(N33+N34)&gt;1.5),N2*(N33+N34),0))</f>
        <v>0</v>
      </c>
      <c r="O119" s="2362">
        <f t="shared" si="603"/>
        <v>0</v>
      </c>
      <c r="P119" s="2362">
        <f t="shared" ref="P119" si="604">IF(P154+P160+P164+P170+P176&gt;0,0,IF(AND(P29=1,(P33+P34)&gt;1.5),P2*(P33+P34),0))</f>
        <v>0</v>
      </c>
      <c r="Q119" s="2362">
        <f t="shared" ref="Q119:AA119" si="605">IF(Q154+Q160+Q164+Q170+Q176&gt;0,0,IF(AND(Q29=1,(Q33+Q34)&gt;1.5),Q2*(Q33+Q34),0))</f>
        <v>0</v>
      </c>
      <c r="R119" s="2362">
        <f t="shared" ref="R119" si="606">IF(R154+R160+R164+R170+R176&gt;0,0,IF(AND(R29=1,(R33+R34)&gt;1.5),R2*(R33+R34),0))</f>
        <v>0</v>
      </c>
      <c r="S119" s="2362">
        <f t="shared" si="605"/>
        <v>0</v>
      </c>
      <c r="T119" s="2362">
        <f t="shared" si="605"/>
        <v>0</v>
      </c>
      <c r="U119" s="2362">
        <f t="shared" si="605"/>
        <v>0</v>
      </c>
      <c r="V119" s="2362">
        <f t="shared" si="605"/>
        <v>0</v>
      </c>
      <c r="W119" s="2362">
        <f t="shared" si="605"/>
        <v>0</v>
      </c>
      <c r="X119" s="2362">
        <f t="shared" si="605"/>
        <v>0</v>
      </c>
      <c r="Y119" s="2362">
        <f t="shared" si="605"/>
        <v>0</v>
      </c>
      <c r="Z119" s="2362">
        <f t="shared" si="605"/>
        <v>0</v>
      </c>
      <c r="AA119" s="2362">
        <f t="shared" si="605"/>
        <v>0</v>
      </c>
      <c r="AB119" s="2363"/>
      <c r="AC119" s="2363"/>
      <c r="AD119" s="2363"/>
      <c r="AE119" s="2364">
        <f ca="1">TRUNC(SUM(F119:AD119),2)</f>
        <v>290.08</v>
      </c>
      <c r="AF119" s="578">
        <f t="shared" ca="1" si="565"/>
        <v>580.16000000000008</v>
      </c>
      <c r="AG119" s="1086"/>
      <c r="AH119" s="1088"/>
      <c r="AI119" s="1088"/>
      <c r="AJ119" s="1088"/>
      <c r="AK119" s="1088"/>
      <c r="AL119" s="1088"/>
      <c r="AM119" s="1088"/>
      <c r="AN119" s="1088"/>
      <c r="AO119" s="1088"/>
      <c r="AP119" s="1088"/>
      <c r="AQ119" s="1088"/>
      <c r="AR119" s="1088"/>
    </row>
    <row r="120" spans="1:44" s="927" customFormat="1" ht="21.95" hidden="1" customHeight="1" x14ac:dyDescent="0.15">
      <c r="A120" s="2513"/>
      <c r="B120" s="2605" t="s">
        <v>1103</v>
      </c>
      <c r="C120" s="941" t="s">
        <v>484</v>
      </c>
      <c r="D120" s="2006"/>
      <c r="E120" s="1524"/>
      <c r="F120" s="950">
        <f t="shared" ref="F120:G120" ca="1" si="607">F46-F82-F40</f>
        <v>131.53164482794625</v>
      </c>
      <c r="G120" s="950">
        <f t="shared" ca="1" si="607"/>
        <v>111.89734521852984</v>
      </c>
      <c r="H120" s="950">
        <f t="shared" ref="H120:M120" ca="1" si="608">H46-H82-H40</f>
        <v>165.71526534994231</v>
      </c>
      <c r="I120" s="950">
        <f t="shared" ca="1" si="608"/>
        <v>278.80224308391666</v>
      </c>
      <c r="J120" s="950">
        <f t="shared" ca="1" si="608"/>
        <v>371.5152101854934</v>
      </c>
      <c r="K120" s="950">
        <f t="shared" ca="1" si="608"/>
        <v>350.79936558313051</v>
      </c>
      <c r="L120" s="950">
        <f t="shared" si="608"/>
        <v>0</v>
      </c>
      <c r="M120" s="950">
        <f t="shared" si="608"/>
        <v>0</v>
      </c>
      <c r="N120" s="950">
        <f t="shared" ref="N120:O120" si="609">N46-N82-N40</f>
        <v>0</v>
      </c>
      <c r="O120" s="950">
        <f t="shared" si="609"/>
        <v>0</v>
      </c>
      <c r="P120" s="950">
        <f t="shared" ref="P120" si="610">P46-P82-P40</f>
        <v>0</v>
      </c>
      <c r="Q120" s="950">
        <f t="shared" ref="Q120:AA120" si="611">Q46-Q82-Q40</f>
        <v>268.3055800410973</v>
      </c>
      <c r="R120" s="950">
        <f t="shared" ref="R120" si="612">R46-R82-R40</f>
        <v>0</v>
      </c>
      <c r="S120" s="950">
        <f t="shared" si="611"/>
        <v>107.71773314940147</v>
      </c>
      <c r="T120" s="950">
        <f t="shared" si="611"/>
        <v>0</v>
      </c>
      <c r="U120" s="950">
        <f t="shared" si="611"/>
        <v>0</v>
      </c>
      <c r="V120" s="950">
        <f t="shared" si="611"/>
        <v>0</v>
      </c>
      <c r="W120" s="950">
        <f t="shared" si="611"/>
        <v>0</v>
      </c>
      <c r="X120" s="950">
        <f t="shared" si="611"/>
        <v>0</v>
      </c>
      <c r="Y120" s="950">
        <f t="shared" si="611"/>
        <v>0</v>
      </c>
      <c r="Z120" s="950">
        <f t="shared" si="611"/>
        <v>0</v>
      </c>
      <c r="AA120" s="950">
        <f t="shared" si="611"/>
        <v>0</v>
      </c>
      <c r="AB120" s="955"/>
      <c r="AC120" s="955"/>
      <c r="AD120" s="955"/>
      <c r="AE120" s="951">
        <f ca="1">TRUNC(SUM(F120:AD120),2)</f>
        <v>1786.28</v>
      </c>
      <c r="AF120" s="956"/>
      <c r="AG120" s="1086"/>
      <c r="AH120" s="1090"/>
      <c r="AI120" s="1090"/>
      <c r="AJ120" s="1090"/>
      <c r="AK120" s="1090"/>
      <c r="AL120" s="1090"/>
      <c r="AM120" s="1090"/>
      <c r="AN120" s="1090"/>
      <c r="AO120" s="1090"/>
      <c r="AP120" s="1090"/>
      <c r="AQ120" s="1090"/>
      <c r="AR120" s="1090"/>
    </row>
    <row r="121" spans="1:44" s="927" customFormat="1" ht="21.95" hidden="1" customHeight="1" x14ac:dyDescent="0.15">
      <c r="A121" s="2513"/>
      <c r="B121" s="2606"/>
      <c r="C121" s="2354" t="s">
        <v>365</v>
      </c>
      <c r="D121" s="1995"/>
      <c r="E121" s="1522"/>
      <c r="F121" s="932" t="str">
        <f t="shared" ref="F121:G121" ca="1" si="613">IF(TRUNC(SUM(F122:F153)/2,0)=TRUNC(F120,0),"OK","ERRO")</f>
        <v>OK</v>
      </c>
      <c r="G121" s="932" t="str">
        <f t="shared" ca="1" si="613"/>
        <v>OK</v>
      </c>
      <c r="H121" s="932" t="str">
        <f t="shared" ref="H121:M121" ca="1" si="614">IF(TRUNC(SUM(H122:H153)/2,0)=TRUNC(H120,0),"OK","ERRO")</f>
        <v>OK</v>
      </c>
      <c r="I121" s="932" t="str">
        <f t="shared" ca="1" si="614"/>
        <v>OK</v>
      </c>
      <c r="J121" s="932" t="str">
        <f t="shared" ca="1" si="614"/>
        <v>OK</v>
      </c>
      <c r="K121" s="932" t="str">
        <f t="shared" ca="1" si="614"/>
        <v>OK</v>
      </c>
      <c r="L121" s="932" t="str">
        <f t="shared" si="614"/>
        <v>OK</v>
      </c>
      <c r="M121" s="932" t="str">
        <f t="shared" si="614"/>
        <v>OK</v>
      </c>
      <c r="N121" s="932" t="str">
        <f t="shared" ref="N121:O121" si="615">IF(TRUNC(SUM(N122:N153)/2,0)=TRUNC(N120,0),"OK","ERRO")</f>
        <v>OK</v>
      </c>
      <c r="O121" s="932" t="str">
        <f t="shared" si="615"/>
        <v>OK</v>
      </c>
      <c r="P121" s="932" t="str">
        <f t="shared" ref="P121" si="616">IF(TRUNC(SUM(P122:P153)/2,0)=TRUNC(P120,0),"OK","ERRO")</f>
        <v>OK</v>
      </c>
      <c r="Q121" s="932" t="str">
        <f t="shared" ref="Q121:AA121" si="617">IF(TRUNC(SUM(Q122:Q153)/2,0)=TRUNC(Q120,0),"OK","ERRO")</f>
        <v>OK</v>
      </c>
      <c r="R121" s="932" t="str">
        <f t="shared" ref="R121" si="618">IF(TRUNC(SUM(R122:R153)/2,0)=TRUNC(R120,0),"OK","ERRO")</f>
        <v>OK</v>
      </c>
      <c r="S121" s="932" t="str">
        <f t="shared" si="617"/>
        <v>OK</v>
      </c>
      <c r="T121" s="932" t="str">
        <f t="shared" si="617"/>
        <v>OK</v>
      </c>
      <c r="U121" s="932" t="str">
        <f t="shared" si="617"/>
        <v>OK</v>
      </c>
      <c r="V121" s="932" t="str">
        <f t="shared" si="617"/>
        <v>OK</v>
      </c>
      <c r="W121" s="932" t="str">
        <f t="shared" si="617"/>
        <v>OK</v>
      </c>
      <c r="X121" s="932" t="str">
        <f t="shared" si="617"/>
        <v>OK</v>
      </c>
      <c r="Y121" s="932" t="str">
        <f t="shared" si="617"/>
        <v>OK</v>
      </c>
      <c r="Z121" s="932" t="str">
        <f t="shared" si="617"/>
        <v>OK</v>
      </c>
      <c r="AA121" s="932" t="str">
        <f t="shared" si="617"/>
        <v>OK</v>
      </c>
      <c r="AB121" s="933"/>
      <c r="AC121" s="933"/>
      <c r="AD121" s="933"/>
      <c r="AE121" s="1257" t="str">
        <f ca="1">+IF(TRUNC(SUM(AE122:AE132),0)=TRUNC(AE120,0),"OK","ERRO")</f>
        <v>OK</v>
      </c>
      <c r="AF121" s="956"/>
      <c r="AG121" s="1086"/>
      <c r="AH121" s="1090"/>
      <c r="AI121" s="1090"/>
      <c r="AJ121" s="1090"/>
      <c r="AK121" s="1090"/>
      <c r="AL121" s="1090"/>
      <c r="AM121" s="1090"/>
      <c r="AN121" s="1090"/>
      <c r="AO121" s="1090"/>
      <c r="AP121" s="1090"/>
      <c r="AQ121" s="1090"/>
      <c r="AR121" s="1090"/>
    </row>
    <row r="122" spans="1:44" s="927" customFormat="1" ht="32.1" hidden="1" customHeight="1" x14ac:dyDescent="0.15">
      <c r="A122" s="2513"/>
      <c r="B122" s="2606"/>
      <c r="C122" s="941" t="s">
        <v>722</v>
      </c>
      <c r="D122" s="2355"/>
      <c r="E122" s="2356"/>
      <c r="F122" s="2357">
        <f>IF(Dren_Quantificacao!D17="SIM",(F33+F34+F35)/2*F17*F2-F82,0)</f>
        <v>0</v>
      </c>
      <c r="G122" s="2357">
        <f>IF(Dren_Quantificacao!E17="SIM",(G33+G34+G35)/2*G17*G2-G82,0)</f>
        <v>0</v>
      </c>
      <c r="H122" s="2357">
        <f>IF(Dren_Quantificacao!F17="SIM",(H33+H34+H35)/2*H17*H2-H82,0)</f>
        <v>0</v>
      </c>
      <c r="I122" s="2357">
        <f>IF(Dren_Quantificacao!G17="SIM",(I33+I34+I35)/2*I17*I2-I82,0)</f>
        <v>0</v>
      </c>
      <c r="J122" s="2357">
        <f>IF(Dren_Quantificacao!H17="SIM",(J33+J34+J35)/2*J17*J2-J82,0)</f>
        <v>0</v>
      </c>
      <c r="K122" s="2357">
        <f>IF(Dren_Quantificacao!I17="SIM",(K33+K34+K35)/2*K17*K2-K82,0)</f>
        <v>0</v>
      </c>
      <c r="L122" s="2357">
        <f>IF(Dren_Quantificacao!J17="SIM",(L33+L34+L35)/2*L17*L2-L82,0)</f>
        <v>0</v>
      </c>
      <c r="M122" s="2357">
        <f>IF(Dren_Quantificacao!K17="SIM",(M33+M34+M35)/2*M17*M2-M82,0)</f>
        <v>0</v>
      </c>
      <c r="N122" s="2357">
        <f>IF(Dren_Quantificacao!L17="SIM",(N33+N34+N35)/2*N17*N2-N82,0)</f>
        <v>0</v>
      </c>
      <c r="O122" s="2357">
        <f>IF(Dren_Quantificacao!M17="SIM",(O33+O34+O35)/2*O17*O2-O82,0)</f>
        <v>0</v>
      </c>
      <c r="P122" s="2357">
        <f>IF(Dren_Quantificacao!O17="SIM",(P33+P34+P35)/2*P17*P2-P82,0)</f>
        <v>0</v>
      </c>
      <c r="Q122" s="2357">
        <f>IF(Dren_Quantificacao!P17="SIM",(Q33+Q34+Q35)/2*Q17*Q2-Q82,0)</f>
        <v>0</v>
      </c>
      <c r="R122" s="2357">
        <f>IF(Dren_Quantificacao!Q17="SIM",(R33+R34+R35)/2*R17*R2-R82,0)</f>
        <v>0</v>
      </c>
      <c r="S122" s="2357">
        <f>IF(Dren_Quantificacao!R17="SIM",(S33+S34+S35)/2*S17*S2-S82,0)</f>
        <v>0</v>
      </c>
      <c r="T122" s="2357">
        <f>IF(Dren_Quantificacao!S17="SIM",(T33+T34+T35)/2*T17*T2-T82,0)</f>
        <v>0</v>
      </c>
      <c r="U122" s="2357">
        <f>IF(Dren_Quantificacao!T17="SIM",(U33+U34+U35)/2*U17*U2-U82,0)</f>
        <v>0</v>
      </c>
      <c r="V122" s="2357">
        <f>IF(Dren_Quantificacao!U17="SIM",(V33+V34+V35)/2*V17*V2-V82,0)</f>
        <v>0</v>
      </c>
      <c r="W122" s="2357">
        <f>IF(Dren_Quantificacao!V17="SIM",(W33+W34+W35)/2*W17*W2-W82,0)</f>
        <v>0</v>
      </c>
      <c r="X122" s="2357">
        <f>IF(Dren_Quantificacao!W17="SIM",(X33+X34+X35)/2*X17*X2-X82,0)</f>
        <v>0</v>
      </c>
      <c r="Y122" s="2357">
        <f>IF(Dren_Quantificacao!X17="SIM",(Y33+Y34+Y35)/2*Y17*Y2-Y82,0)</f>
        <v>0</v>
      </c>
      <c r="Z122" s="2357">
        <f>IF(Dren_Quantificacao!Y17="SIM",(Z33+Z34+Z35)/2*Z17*Z2-Z82,0)</f>
        <v>0</v>
      </c>
      <c r="AA122" s="2357">
        <f>IF(Dren_Quantificacao!Z17="SIM",(AA33+AA34+AA35)/2*AA17*AA2-AA82,0)</f>
        <v>0</v>
      </c>
      <c r="AB122" s="2358"/>
      <c r="AC122" s="2358"/>
      <c r="AD122" s="2358"/>
      <c r="AE122" s="2359">
        <f t="shared" ref="AE122:AE153" si="619">TRUNC(SUM(F122:AD122),2)</f>
        <v>0</v>
      </c>
      <c r="AF122" s="956"/>
      <c r="AG122" s="1086"/>
      <c r="AH122" s="1090"/>
      <c r="AI122" s="1090"/>
      <c r="AJ122" s="1090"/>
      <c r="AK122" s="1090"/>
      <c r="AL122" s="1090"/>
      <c r="AM122" s="1090"/>
      <c r="AN122" s="1090"/>
      <c r="AO122" s="1090"/>
      <c r="AP122" s="1090"/>
      <c r="AQ122" s="1090"/>
      <c r="AR122" s="1090"/>
    </row>
    <row r="123" spans="1:44" s="927" customFormat="1" ht="21.95" hidden="1" customHeight="1" x14ac:dyDescent="0.15">
      <c r="A123" s="2513"/>
      <c r="B123" s="2606"/>
      <c r="C123" s="941" t="s">
        <v>673</v>
      </c>
      <c r="D123" s="2001"/>
      <c r="E123" s="1523"/>
      <c r="F123" s="934">
        <f t="shared" ref="F123:G123" ca="1" si="620">IF(F11&lt;=1.5,IF(F39&lt;=0.8,F120-F122,0),0)</f>
        <v>0</v>
      </c>
      <c r="G123" s="934">
        <f t="shared" ca="1" si="620"/>
        <v>0</v>
      </c>
      <c r="H123" s="934">
        <f t="shared" ref="H123:M123" ca="1" si="621">IF(H11&lt;=1.5,IF(H39&lt;=0.8,H120-H122,0),0)</f>
        <v>0</v>
      </c>
      <c r="I123" s="934">
        <f t="shared" ca="1" si="621"/>
        <v>0</v>
      </c>
      <c r="J123" s="934">
        <f t="shared" ca="1" si="621"/>
        <v>0</v>
      </c>
      <c r="K123" s="934">
        <f t="shared" ca="1" si="621"/>
        <v>0</v>
      </c>
      <c r="L123" s="934">
        <f t="shared" si="621"/>
        <v>0</v>
      </c>
      <c r="M123" s="934">
        <f t="shared" si="621"/>
        <v>0</v>
      </c>
      <c r="N123" s="934">
        <f t="shared" ref="N123:O123" si="622">IF(N11&lt;=1.5,IF(N39&lt;=0.8,N120-N122,0),0)</f>
        <v>0</v>
      </c>
      <c r="O123" s="934">
        <f t="shared" si="622"/>
        <v>0</v>
      </c>
      <c r="P123" s="934">
        <f t="shared" ref="P123" si="623">IF(P11&lt;=1.5,IF(P39&lt;=0.8,P120-P122,0),0)</f>
        <v>0</v>
      </c>
      <c r="Q123" s="934">
        <f t="shared" ref="Q123:AA123" si="624">IF(Q11&lt;=1.5,IF(Q39&lt;=0.8,Q120-Q122,0),0)</f>
        <v>0</v>
      </c>
      <c r="R123" s="934">
        <f t="shared" ref="R123" si="625">IF(R11&lt;=1.5,IF(R39&lt;=0.8,R120-R122,0),0)</f>
        <v>0</v>
      </c>
      <c r="S123" s="934">
        <f t="shared" si="624"/>
        <v>0</v>
      </c>
      <c r="T123" s="934">
        <f t="shared" si="624"/>
        <v>0</v>
      </c>
      <c r="U123" s="934">
        <f t="shared" si="624"/>
        <v>0</v>
      </c>
      <c r="V123" s="934">
        <f t="shared" si="624"/>
        <v>0</v>
      </c>
      <c r="W123" s="934">
        <f t="shared" si="624"/>
        <v>0</v>
      </c>
      <c r="X123" s="934">
        <f t="shared" si="624"/>
        <v>0</v>
      </c>
      <c r="Y123" s="934">
        <f t="shared" si="624"/>
        <v>0</v>
      </c>
      <c r="Z123" s="934">
        <f t="shared" si="624"/>
        <v>0</v>
      </c>
      <c r="AA123" s="934">
        <f t="shared" si="624"/>
        <v>0</v>
      </c>
      <c r="AB123" s="935"/>
      <c r="AC123" s="935"/>
      <c r="AD123" s="935"/>
      <c r="AE123" s="944">
        <f t="shared" ca="1" si="619"/>
        <v>0</v>
      </c>
      <c r="AF123" s="956"/>
      <c r="AG123" s="1086"/>
      <c r="AH123" s="1090"/>
      <c r="AI123" s="1090"/>
      <c r="AJ123" s="1090"/>
      <c r="AK123" s="1090"/>
      <c r="AL123" s="1090"/>
      <c r="AM123" s="1090"/>
      <c r="AN123" s="1090"/>
      <c r="AO123" s="1090"/>
      <c r="AP123" s="1090"/>
      <c r="AQ123" s="1090"/>
      <c r="AR123" s="1090"/>
    </row>
    <row r="124" spans="1:44" s="927" customFormat="1" ht="21.95" hidden="1" customHeight="1" x14ac:dyDescent="0.15">
      <c r="A124" s="2513"/>
      <c r="B124" s="2606"/>
      <c r="C124" s="941" t="s">
        <v>674</v>
      </c>
      <c r="D124" s="1995"/>
      <c r="E124" s="1522"/>
      <c r="F124" s="932">
        <f t="shared" ref="F124:G124" ca="1" si="626">IF(F11&lt;=1.5,IF(AND(F39&gt;0.8,F39&lt;=1.5),IF(F39&gt;0.8,F120-F122,0),0),0)</f>
        <v>0</v>
      </c>
      <c r="G124" s="932">
        <f t="shared" ca="1" si="626"/>
        <v>0</v>
      </c>
      <c r="H124" s="932">
        <f t="shared" ref="H124:M124" ca="1" si="627">IF(H11&lt;=1.5,IF(AND(H39&gt;0.8,H39&lt;=1.5),IF(H39&gt;0.8,H120-H122,0),0),0)</f>
        <v>0</v>
      </c>
      <c r="I124" s="932">
        <f t="shared" ca="1" si="627"/>
        <v>0</v>
      </c>
      <c r="J124" s="932">
        <f t="shared" ca="1" si="627"/>
        <v>0</v>
      </c>
      <c r="K124" s="932">
        <f t="shared" ca="1" si="627"/>
        <v>0</v>
      </c>
      <c r="L124" s="932">
        <f t="shared" si="627"/>
        <v>0</v>
      </c>
      <c r="M124" s="932">
        <f t="shared" si="627"/>
        <v>0</v>
      </c>
      <c r="N124" s="932">
        <f t="shared" ref="N124:O124" si="628">IF(N11&lt;=1.5,IF(AND(N39&gt;0.8,N39&lt;=1.5),IF(N39&gt;0.8,N120-N122,0),0),0)</f>
        <v>0</v>
      </c>
      <c r="O124" s="932">
        <f t="shared" si="628"/>
        <v>0</v>
      </c>
      <c r="P124" s="932">
        <f t="shared" ref="P124" si="629">IF(P11&lt;=1.5,IF(AND(P39&gt;0.8,P39&lt;=1.5),IF(P39&gt;0.8,P120-P122,0),0),0)</f>
        <v>0</v>
      </c>
      <c r="Q124" s="932">
        <f t="shared" ref="Q124:AA124" si="630">IF(Q11&lt;=1.5,IF(AND(Q39&gt;0.8,Q39&lt;=1.5),IF(Q39&gt;0.8,Q120-Q122,0),0),0)</f>
        <v>268.3055800410973</v>
      </c>
      <c r="R124" s="932">
        <f t="shared" ref="R124" si="631">IF(R11&lt;=1.5,IF(AND(R39&gt;0.8,R39&lt;=1.5),IF(R39&gt;0.8,R120-R122,0),0),0)</f>
        <v>0</v>
      </c>
      <c r="S124" s="932">
        <f t="shared" si="630"/>
        <v>0</v>
      </c>
      <c r="T124" s="932">
        <f t="shared" si="630"/>
        <v>0</v>
      </c>
      <c r="U124" s="932">
        <f t="shared" si="630"/>
        <v>0</v>
      </c>
      <c r="V124" s="932">
        <f t="shared" si="630"/>
        <v>0</v>
      </c>
      <c r="W124" s="932">
        <f t="shared" si="630"/>
        <v>0</v>
      </c>
      <c r="X124" s="932">
        <f t="shared" si="630"/>
        <v>0</v>
      </c>
      <c r="Y124" s="932">
        <f t="shared" si="630"/>
        <v>0</v>
      </c>
      <c r="Z124" s="932">
        <f t="shared" si="630"/>
        <v>0</v>
      </c>
      <c r="AA124" s="932">
        <f t="shared" si="630"/>
        <v>0</v>
      </c>
      <c r="AB124" s="933"/>
      <c r="AC124" s="933"/>
      <c r="AD124" s="933"/>
      <c r="AE124" s="942">
        <f t="shared" ca="1" si="619"/>
        <v>268.3</v>
      </c>
      <c r="AF124" s="956"/>
      <c r="AG124" s="1086"/>
      <c r="AH124" s="1090"/>
      <c r="AI124" s="1090"/>
      <c r="AJ124" s="1090"/>
      <c r="AK124" s="1090"/>
      <c r="AL124" s="1090"/>
      <c r="AM124" s="1090"/>
      <c r="AN124" s="1090"/>
      <c r="AO124" s="1090"/>
      <c r="AP124" s="1090"/>
      <c r="AQ124" s="1090"/>
      <c r="AR124" s="1090"/>
    </row>
    <row r="125" spans="1:44" s="927" customFormat="1" ht="21.95" hidden="1" customHeight="1" x14ac:dyDescent="0.15">
      <c r="A125" s="2513"/>
      <c r="B125" s="2606"/>
      <c r="C125" s="941" t="s">
        <v>675</v>
      </c>
      <c r="D125" s="2002"/>
      <c r="E125" s="1524"/>
      <c r="F125" s="936">
        <f t="shared" ref="F125:G125" ca="1" si="632">IF(F11&lt;=1.5,IF(F39&gt;1.5,F120-F122,0),0)</f>
        <v>0</v>
      </c>
      <c r="G125" s="936">
        <f t="shared" ca="1" si="632"/>
        <v>0</v>
      </c>
      <c r="H125" s="936">
        <f t="shared" ref="H125:M125" ca="1" si="633">IF(H11&lt;=1.5,IF(H39&gt;1.5,H120-H122,0),0)</f>
        <v>0</v>
      </c>
      <c r="I125" s="936">
        <f t="shared" ca="1" si="633"/>
        <v>0</v>
      </c>
      <c r="J125" s="936">
        <f t="shared" ca="1" si="633"/>
        <v>0</v>
      </c>
      <c r="K125" s="936">
        <f t="shared" ca="1" si="633"/>
        <v>0</v>
      </c>
      <c r="L125" s="936">
        <f t="shared" si="633"/>
        <v>0</v>
      </c>
      <c r="M125" s="936">
        <f t="shared" si="633"/>
        <v>0</v>
      </c>
      <c r="N125" s="936">
        <f t="shared" ref="N125:O125" si="634">IF(N11&lt;=1.5,IF(N39&gt;1.5,N120-N122,0),0)</f>
        <v>0</v>
      </c>
      <c r="O125" s="936">
        <f t="shared" si="634"/>
        <v>0</v>
      </c>
      <c r="P125" s="936">
        <f t="shared" ref="P125" si="635">IF(P11&lt;=1.5,IF(P39&gt;1.5,P120-P122,0),0)</f>
        <v>0</v>
      </c>
      <c r="Q125" s="936">
        <f t="shared" ref="Q125:AA125" si="636">IF(Q11&lt;=1.5,IF(Q39&gt;1.5,Q120-Q122,0),0)</f>
        <v>0</v>
      </c>
      <c r="R125" s="936">
        <f t="shared" ref="R125" si="637">IF(R11&lt;=1.5,IF(R39&gt;1.5,R120-R122,0),0)</f>
        <v>0</v>
      </c>
      <c r="S125" s="936">
        <f t="shared" si="636"/>
        <v>0</v>
      </c>
      <c r="T125" s="936">
        <f t="shared" si="636"/>
        <v>0</v>
      </c>
      <c r="U125" s="936">
        <f t="shared" si="636"/>
        <v>0</v>
      </c>
      <c r="V125" s="936">
        <f t="shared" si="636"/>
        <v>0</v>
      </c>
      <c r="W125" s="936">
        <f t="shared" si="636"/>
        <v>0</v>
      </c>
      <c r="X125" s="936">
        <f t="shared" si="636"/>
        <v>0</v>
      </c>
      <c r="Y125" s="936">
        <f t="shared" si="636"/>
        <v>0</v>
      </c>
      <c r="Z125" s="936">
        <f t="shared" si="636"/>
        <v>0</v>
      </c>
      <c r="AA125" s="936">
        <f t="shared" si="636"/>
        <v>0</v>
      </c>
      <c r="AB125" s="937"/>
      <c r="AC125" s="937"/>
      <c r="AD125" s="937"/>
      <c r="AE125" s="945">
        <f t="shared" ca="1" si="619"/>
        <v>0</v>
      </c>
      <c r="AF125" s="956"/>
      <c r="AG125" s="1086"/>
      <c r="AH125" s="1090"/>
      <c r="AI125" s="1090"/>
      <c r="AJ125" s="1090"/>
      <c r="AK125" s="1090"/>
      <c r="AL125" s="1090"/>
      <c r="AM125" s="1090"/>
      <c r="AN125" s="1090"/>
      <c r="AO125" s="1090"/>
      <c r="AP125" s="1090"/>
      <c r="AQ125" s="1090"/>
      <c r="AR125" s="1090"/>
    </row>
    <row r="126" spans="1:44" s="927" customFormat="1" ht="21.95" hidden="1" customHeight="1" x14ac:dyDescent="0.15">
      <c r="A126" s="2513"/>
      <c r="B126" s="2606"/>
      <c r="C126" s="941" t="s">
        <v>676</v>
      </c>
      <c r="D126" s="2001"/>
      <c r="E126" s="1523"/>
      <c r="F126" s="934">
        <f t="shared" ref="F126:G126" ca="1" si="638">IF(SUM(F123:F125)&gt;0,0,IF(F11&lt;3,IF(F39&lt;=0.8,F120-F122,0),0))</f>
        <v>0</v>
      </c>
      <c r="G126" s="934">
        <f t="shared" ca="1" si="638"/>
        <v>0</v>
      </c>
      <c r="H126" s="934">
        <f t="shared" ref="H126:M126" ca="1" si="639">IF(SUM(H123:H125)&gt;0,0,IF(H11&lt;3,IF(H39&lt;=0.8,H120-H122,0),0))</f>
        <v>0</v>
      </c>
      <c r="I126" s="934">
        <f t="shared" ca="1" si="639"/>
        <v>0</v>
      </c>
      <c r="J126" s="934">
        <f t="shared" ca="1" si="639"/>
        <v>0</v>
      </c>
      <c r="K126" s="934">
        <f t="shared" ca="1" si="639"/>
        <v>0</v>
      </c>
      <c r="L126" s="934">
        <f t="shared" si="639"/>
        <v>0</v>
      </c>
      <c r="M126" s="934">
        <f t="shared" si="639"/>
        <v>0</v>
      </c>
      <c r="N126" s="934">
        <f t="shared" ref="N126:O126" si="640">IF(SUM(N123:N125)&gt;0,0,IF(N11&lt;3,IF(N39&lt;=0.8,N120-N122,0),0))</f>
        <v>0</v>
      </c>
      <c r="O126" s="934">
        <f t="shared" si="640"/>
        <v>0</v>
      </c>
      <c r="P126" s="934">
        <f t="shared" ref="P126" si="641">IF(SUM(P123:P125)&gt;0,0,IF(P11&lt;3,IF(P39&lt;=0.8,P120-P122,0),0))</f>
        <v>0</v>
      </c>
      <c r="Q126" s="934">
        <f t="shared" ref="Q126:AA126" si="642">IF(SUM(Q123:Q125)&gt;0,0,IF(Q11&lt;3,IF(Q39&lt;=0.8,Q120-Q122,0),0))</f>
        <v>0</v>
      </c>
      <c r="R126" s="934">
        <f t="shared" ref="R126" si="643">IF(SUM(R123:R125)&gt;0,0,IF(R11&lt;3,IF(R39&lt;=0.8,R120-R122,0),0))</f>
        <v>0</v>
      </c>
      <c r="S126" s="934">
        <f t="shared" si="642"/>
        <v>0</v>
      </c>
      <c r="T126" s="934">
        <f t="shared" si="642"/>
        <v>0</v>
      </c>
      <c r="U126" s="934">
        <f t="shared" si="642"/>
        <v>0</v>
      </c>
      <c r="V126" s="934">
        <f t="shared" si="642"/>
        <v>0</v>
      </c>
      <c r="W126" s="934">
        <f t="shared" si="642"/>
        <v>0</v>
      </c>
      <c r="X126" s="934">
        <f t="shared" si="642"/>
        <v>0</v>
      </c>
      <c r="Y126" s="934">
        <f t="shared" si="642"/>
        <v>0</v>
      </c>
      <c r="Z126" s="934">
        <f t="shared" si="642"/>
        <v>0</v>
      </c>
      <c r="AA126" s="934">
        <f t="shared" si="642"/>
        <v>0</v>
      </c>
      <c r="AB126" s="935"/>
      <c r="AC126" s="935"/>
      <c r="AD126" s="935"/>
      <c r="AE126" s="944">
        <f t="shared" ca="1" si="619"/>
        <v>0</v>
      </c>
      <c r="AF126" s="956"/>
      <c r="AG126" s="1086"/>
      <c r="AH126" s="1090"/>
      <c r="AI126" s="1090"/>
      <c r="AJ126" s="1090"/>
      <c r="AK126" s="1090"/>
      <c r="AL126" s="1090"/>
      <c r="AM126" s="1090"/>
      <c r="AN126" s="1090"/>
      <c r="AO126" s="1090"/>
      <c r="AP126" s="1090"/>
      <c r="AQ126" s="1090"/>
      <c r="AR126" s="1090"/>
    </row>
    <row r="127" spans="1:44" s="927" customFormat="1" ht="21.95" hidden="1" customHeight="1" x14ac:dyDescent="0.15">
      <c r="A127" s="2513"/>
      <c r="B127" s="2606"/>
      <c r="C127" s="941" t="s">
        <v>677</v>
      </c>
      <c r="D127" s="1995"/>
      <c r="E127" s="1522"/>
      <c r="F127" s="932">
        <f t="shared" ref="F127:G127" ca="1" si="644">IF(SUM(F123:F126)&gt;0,0,IF(F11&lt;3,IF(AND(F39&gt;0.8,F39&lt;=1.5),F120-F122,0),0))</f>
        <v>131.53164482794625</v>
      </c>
      <c r="G127" s="932">
        <f t="shared" ca="1" si="644"/>
        <v>0</v>
      </c>
      <c r="H127" s="932">
        <f t="shared" ref="H127:M127" ca="1" si="645">IF(SUM(H123:H126)&gt;0,0,IF(H11&lt;3,IF(AND(H39&gt;0.8,H39&lt;=1.5),H120-H122,0),0))</f>
        <v>0</v>
      </c>
      <c r="I127" s="932">
        <f t="shared" ca="1" si="645"/>
        <v>0</v>
      </c>
      <c r="J127" s="932">
        <f t="shared" ca="1" si="645"/>
        <v>0</v>
      </c>
      <c r="K127" s="932">
        <f t="shared" ca="1" si="645"/>
        <v>0</v>
      </c>
      <c r="L127" s="932">
        <f t="shared" si="645"/>
        <v>0</v>
      </c>
      <c r="M127" s="932">
        <f t="shared" si="645"/>
        <v>0</v>
      </c>
      <c r="N127" s="932">
        <f t="shared" ref="N127:O127" si="646">IF(SUM(N123:N126)&gt;0,0,IF(N11&lt;3,IF(AND(N39&gt;0.8,N39&lt;=1.5),N120-N122,0),0))</f>
        <v>0</v>
      </c>
      <c r="O127" s="932">
        <f t="shared" si="646"/>
        <v>0</v>
      </c>
      <c r="P127" s="932">
        <f t="shared" ref="P127" si="647">IF(SUM(P123:P126)&gt;0,0,IF(P11&lt;3,IF(AND(P39&gt;0.8,P39&lt;=1.5),P120-P122,0),0))</f>
        <v>0</v>
      </c>
      <c r="Q127" s="932">
        <f t="shared" ref="Q127:AA127" si="648">IF(SUM(Q123:Q126)&gt;0,0,IF(Q11&lt;3,IF(AND(Q39&gt;0.8,Q39&lt;=1.5),Q120-Q122,0),0))</f>
        <v>0</v>
      </c>
      <c r="R127" s="932">
        <f t="shared" ref="R127" si="649">IF(SUM(R123:R126)&gt;0,0,IF(R11&lt;3,IF(AND(R39&gt;0.8,R39&lt;=1.5),R120-R122,0),0))</f>
        <v>0</v>
      </c>
      <c r="S127" s="932">
        <f t="shared" si="648"/>
        <v>0</v>
      </c>
      <c r="T127" s="932">
        <f t="shared" si="648"/>
        <v>0</v>
      </c>
      <c r="U127" s="932">
        <f t="shared" si="648"/>
        <v>0</v>
      </c>
      <c r="V127" s="932">
        <f t="shared" si="648"/>
        <v>0</v>
      </c>
      <c r="W127" s="932">
        <f t="shared" si="648"/>
        <v>0</v>
      </c>
      <c r="X127" s="932">
        <f t="shared" si="648"/>
        <v>0</v>
      </c>
      <c r="Y127" s="932">
        <f t="shared" si="648"/>
        <v>0</v>
      </c>
      <c r="Z127" s="932">
        <f t="shared" si="648"/>
        <v>0</v>
      </c>
      <c r="AA127" s="932">
        <f t="shared" si="648"/>
        <v>0</v>
      </c>
      <c r="AB127" s="933"/>
      <c r="AC127" s="933"/>
      <c r="AD127" s="933"/>
      <c r="AE127" s="942">
        <f t="shared" ca="1" si="619"/>
        <v>131.53</v>
      </c>
      <c r="AF127" s="956"/>
      <c r="AG127" s="1086"/>
      <c r="AH127" s="1090"/>
      <c r="AI127" s="1090"/>
      <c r="AJ127" s="1090"/>
      <c r="AK127" s="1090"/>
      <c r="AL127" s="1090"/>
      <c r="AM127" s="1090"/>
      <c r="AN127" s="1090"/>
      <c r="AO127" s="1090"/>
      <c r="AP127" s="1090"/>
      <c r="AQ127" s="1090"/>
      <c r="AR127" s="1090"/>
    </row>
    <row r="128" spans="1:44" s="927" customFormat="1" ht="21.95" hidden="1" customHeight="1" x14ac:dyDescent="0.15">
      <c r="A128" s="2513"/>
      <c r="B128" s="2606"/>
      <c r="C128" s="941" t="s">
        <v>678</v>
      </c>
      <c r="D128" s="2002"/>
      <c r="E128" s="1524"/>
      <c r="F128" s="936">
        <f t="shared" ref="F128:G128" ca="1" si="650">IF(SUM(F123:F127)&gt;0,0,IF(F11&lt;=3,IF(F39&gt;1.5,F120-F122,0),0))</f>
        <v>0</v>
      </c>
      <c r="G128" s="936">
        <f t="shared" ca="1" si="650"/>
        <v>111.89734521852984</v>
      </c>
      <c r="H128" s="936">
        <f t="shared" ref="H128:M128" ca="1" si="651">IF(SUM(H123:H127)&gt;0,0,IF(H11&lt;=3,IF(H39&gt;1.5,H120-H122,0),0))</f>
        <v>165.71526534994231</v>
      </c>
      <c r="I128" s="936">
        <f t="shared" ca="1" si="651"/>
        <v>0</v>
      </c>
      <c r="J128" s="936">
        <f t="shared" ca="1" si="651"/>
        <v>0</v>
      </c>
      <c r="K128" s="936">
        <f t="shared" ca="1" si="651"/>
        <v>0</v>
      </c>
      <c r="L128" s="936">
        <f t="shared" si="651"/>
        <v>0</v>
      </c>
      <c r="M128" s="936">
        <f t="shared" si="651"/>
        <v>0</v>
      </c>
      <c r="N128" s="936">
        <f t="shared" ref="N128:O128" si="652">IF(SUM(N123:N127)&gt;0,0,IF(N11&lt;=3,IF(N39&gt;1.5,N120-N122,0),0))</f>
        <v>0</v>
      </c>
      <c r="O128" s="936">
        <f t="shared" si="652"/>
        <v>0</v>
      </c>
      <c r="P128" s="936">
        <f t="shared" ref="P128" si="653">IF(SUM(P123:P127)&gt;0,0,IF(P11&lt;=3,IF(P39&gt;1.5,P120-P122,0),0))</f>
        <v>0</v>
      </c>
      <c r="Q128" s="936">
        <f t="shared" ref="Q128:AA128" si="654">IF(SUM(Q123:Q127)&gt;0,0,IF(Q11&lt;=3,IF(Q39&gt;1.5,Q120-Q122,0),0))</f>
        <v>0</v>
      </c>
      <c r="R128" s="936">
        <f t="shared" ref="R128" si="655">IF(SUM(R123:R127)&gt;0,0,IF(R11&lt;=3,IF(R39&gt;1.5,R120-R122,0),0))</f>
        <v>0</v>
      </c>
      <c r="S128" s="936">
        <f t="shared" si="654"/>
        <v>107.71773314940147</v>
      </c>
      <c r="T128" s="936">
        <f t="shared" si="654"/>
        <v>0</v>
      </c>
      <c r="U128" s="936">
        <f t="shared" si="654"/>
        <v>0</v>
      </c>
      <c r="V128" s="936">
        <f t="shared" si="654"/>
        <v>0</v>
      </c>
      <c r="W128" s="936">
        <f t="shared" si="654"/>
        <v>0</v>
      </c>
      <c r="X128" s="936">
        <f t="shared" si="654"/>
        <v>0</v>
      </c>
      <c r="Y128" s="936">
        <f t="shared" si="654"/>
        <v>0</v>
      </c>
      <c r="Z128" s="936">
        <f t="shared" si="654"/>
        <v>0</v>
      </c>
      <c r="AA128" s="936">
        <f t="shared" si="654"/>
        <v>0</v>
      </c>
      <c r="AB128" s="937"/>
      <c r="AC128" s="937"/>
      <c r="AD128" s="937"/>
      <c r="AE128" s="945">
        <f t="shared" ca="1" si="619"/>
        <v>385.33</v>
      </c>
      <c r="AF128" s="956"/>
      <c r="AG128" s="1086"/>
      <c r="AH128" s="1090"/>
      <c r="AI128" s="1090"/>
      <c r="AJ128" s="1090"/>
      <c r="AK128" s="1090"/>
      <c r="AL128" s="1090"/>
      <c r="AM128" s="1090"/>
      <c r="AN128" s="1090"/>
      <c r="AO128" s="1090"/>
      <c r="AP128" s="1090"/>
      <c r="AQ128" s="1090"/>
      <c r="AR128" s="1090"/>
    </row>
    <row r="129" spans="1:44" s="927" customFormat="1" ht="21.95" hidden="1" customHeight="1" x14ac:dyDescent="0.15">
      <c r="A129" s="2513"/>
      <c r="B129" s="2606"/>
      <c r="C129" s="941" t="s">
        <v>682</v>
      </c>
      <c r="D129" s="2001"/>
      <c r="E129" s="1523"/>
      <c r="F129" s="934">
        <f t="shared" ref="F129:G129" ca="1" si="656">IF(SUM(F123:F128)&gt;0,0,IF(AND(F11&gt;3,F11&lt;=4.5),IF(F39&lt;=1.5,F120-F122,0),0))</f>
        <v>0</v>
      </c>
      <c r="G129" s="934">
        <f t="shared" ca="1" si="656"/>
        <v>0</v>
      </c>
      <c r="H129" s="934">
        <f t="shared" ref="H129:M129" ca="1" si="657">IF(SUM(H123:H128)&gt;0,0,IF(AND(H11&gt;3,H11&lt;=4.5),IF(H39&lt;=1.5,H120-H122,0),0))</f>
        <v>0</v>
      </c>
      <c r="I129" s="934">
        <f t="shared" ca="1" si="657"/>
        <v>0</v>
      </c>
      <c r="J129" s="934">
        <f t="shared" ca="1" si="657"/>
        <v>0</v>
      </c>
      <c r="K129" s="934">
        <f t="shared" ca="1" si="657"/>
        <v>0</v>
      </c>
      <c r="L129" s="934">
        <f t="shared" si="657"/>
        <v>0</v>
      </c>
      <c r="M129" s="934">
        <f t="shared" si="657"/>
        <v>0</v>
      </c>
      <c r="N129" s="934">
        <f t="shared" ref="N129:O129" si="658">IF(SUM(N123:N128)&gt;0,0,IF(AND(N11&gt;3,N11&lt;=4.5),IF(N39&lt;=1.5,N120-N122,0),0))</f>
        <v>0</v>
      </c>
      <c r="O129" s="934">
        <f t="shared" si="658"/>
        <v>0</v>
      </c>
      <c r="P129" s="934">
        <f t="shared" ref="P129" si="659">IF(SUM(P123:P128)&gt;0,0,IF(AND(P11&gt;3,P11&lt;=4.5),IF(P39&lt;=1.5,P120-P122,0),0))</f>
        <v>0</v>
      </c>
      <c r="Q129" s="934">
        <f t="shared" ref="Q129:AA129" si="660">IF(SUM(Q123:Q128)&gt;0,0,IF(AND(Q11&gt;3,Q11&lt;=4.5),IF(Q39&lt;=1.5,Q120-Q122,0),0))</f>
        <v>0</v>
      </c>
      <c r="R129" s="934">
        <f t="shared" ref="R129" si="661">IF(SUM(R123:R128)&gt;0,0,IF(AND(R11&gt;3,R11&lt;=4.5),IF(R39&lt;=1.5,R120-R122,0),0))</f>
        <v>0</v>
      </c>
      <c r="S129" s="934">
        <f t="shared" si="660"/>
        <v>0</v>
      </c>
      <c r="T129" s="934">
        <f t="shared" si="660"/>
        <v>0</v>
      </c>
      <c r="U129" s="934">
        <f t="shared" si="660"/>
        <v>0</v>
      </c>
      <c r="V129" s="934">
        <f t="shared" si="660"/>
        <v>0</v>
      </c>
      <c r="W129" s="934">
        <f t="shared" si="660"/>
        <v>0</v>
      </c>
      <c r="X129" s="934">
        <f t="shared" si="660"/>
        <v>0</v>
      </c>
      <c r="Y129" s="934">
        <f t="shared" si="660"/>
        <v>0</v>
      </c>
      <c r="Z129" s="934">
        <f t="shared" si="660"/>
        <v>0</v>
      </c>
      <c r="AA129" s="934">
        <f t="shared" si="660"/>
        <v>0</v>
      </c>
      <c r="AB129" s="935"/>
      <c r="AC129" s="935"/>
      <c r="AD129" s="935"/>
      <c r="AE129" s="944">
        <f t="shared" ca="1" si="619"/>
        <v>0</v>
      </c>
      <c r="AF129" s="956"/>
      <c r="AG129" s="1086"/>
      <c r="AH129" s="1090"/>
      <c r="AI129" s="1090"/>
      <c r="AJ129" s="1090"/>
      <c r="AK129" s="1090"/>
      <c r="AL129" s="1090"/>
      <c r="AM129" s="1090"/>
      <c r="AN129" s="1090"/>
      <c r="AO129" s="1090"/>
      <c r="AP129" s="1090"/>
      <c r="AQ129" s="1090"/>
      <c r="AR129" s="1090"/>
    </row>
    <row r="130" spans="1:44" s="927" customFormat="1" ht="21.95" hidden="1" customHeight="1" x14ac:dyDescent="0.15">
      <c r="A130" s="2513"/>
      <c r="B130" s="2606"/>
      <c r="C130" s="941" t="s">
        <v>679</v>
      </c>
      <c r="D130" s="2002"/>
      <c r="E130" s="1524"/>
      <c r="F130" s="936">
        <f t="shared" ref="F130:G130" ca="1" si="662">IF(SUM(F123:F129)&gt;0,0,IF(AND(F11&gt;3,F11&lt;=4.5),IF(F39&gt;1.5,F120-F122,0),0))</f>
        <v>0</v>
      </c>
      <c r="G130" s="936">
        <f t="shared" ca="1" si="662"/>
        <v>0</v>
      </c>
      <c r="H130" s="936">
        <f t="shared" ref="H130:M130" ca="1" si="663">IF(SUM(H123:H129)&gt;0,0,IF(AND(H11&gt;3,H11&lt;=4.5),IF(H39&gt;1.5,H120-H122,0),0))</f>
        <v>0</v>
      </c>
      <c r="I130" s="936">
        <f t="shared" ca="1" si="663"/>
        <v>278.80224308391666</v>
      </c>
      <c r="J130" s="936">
        <f t="shared" ca="1" si="663"/>
        <v>371.5152101854934</v>
      </c>
      <c r="K130" s="936">
        <f t="shared" ca="1" si="663"/>
        <v>350.79936558313051</v>
      </c>
      <c r="L130" s="936">
        <f t="shared" si="663"/>
        <v>0</v>
      </c>
      <c r="M130" s="936">
        <f t="shared" si="663"/>
        <v>0</v>
      </c>
      <c r="N130" s="936">
        <f t="shared" ref="N130:O130" si="664">IF(SUM(N123:N129)&gt;0,0,IF(AND(N11&gt;3,N11&lt;=4.5),IF(N39&gt;1.5,N120-N122,0),0))</f>
        <v>0</v>
      </c>
      <c r="O130" s="936">
        <f t="shared" si="664"/>
        <v>0</v>
      </c>
      <c r="P130" s="936">
        <f t="shared" ref="P130" si="665">IF(SUM(P123:P129)&gt;0,0,IF(AND(P11&gt;3,P11&lt;=4.5),IF(P39&gt;1.5,P120-P122,0),0))</f>
        <v>0</v>
      </c>
      <c r="Q130" s="936">
        <f t="shared" ref="Q130:AA130" si="666">IF(SUM(Q123:Q129)&gt;0,0,IF(AND(Q11&gt;3,Q11&lt;=4.5),IF(Q39&gt;1.5,Q120-Q122,0),0))</f>
        <v>0</v>
      </c>
      <c r="R130" s="936">
        <f t="shared" ref="R130" si="667">IF(SUM(R123:R129)&gt;0,0,IF(AND(R11&gt;3,R11&lt;=4.5),IF(R39&gt;1.5,R120-R122,0),0))</f>
        <v>0</v>
      </c>
      <c r="S130" s="936">
        <f t="shared" si="666"/>
        <v>0</v>
      </c>
      <c r="T130" s="936">
        <f t="shared" si="666"/>
        <v>0</v>
      </c>
      <c r="U130" s="936">
        <f t="shared" si="666"/>
        <v>0</v>
      </c>
      <c r="V130" s="936">
        <f t="shared" si="666"/>
        <v>0</v>
      </c>
      <c r="W130" s="936">
        <f t="shared" si="666"/>
        <v>0</v>
      </c>
      <c r="X130" s="936">
        <f t="shared" si="666"/>
        <v>0</v>
      </c>
      <c r="Y130" s="936">
        <f t="shared" si="666"/>
        <v>0</v>
      </c>
      <c r="Z130" s="936">
        <f t="shared" si="666"/>
        <v>0</v>
      </c>
      <c r="AA130" s="936">
        <f t="shared" si="666"/>
        <v>0</v>
      </c>
      <c r="AB130" s="937"/>
      <c r="AC130" s="937"/>
      <c r="AD130" s="937"/>
      <c r="AE130" s="945">
        <f t="shared" ca="1" si="619"/>
        <v>1001.11</v>
      </c>
      <c r="AF130" s="956"/>
      <c r="AG130" s="1086"/>
      <c r="AH130" s="1090"/>
      <c r="AI130" s="1090"/>
      <c r="AJ130" s="1090"/>
      <c r="AK130" s="1090"/>
      <c r="AL130" s="1090"/>
      <c r="AM130" s="1090"/>
      <c r="AN130" s="1090"/>
      <c r="AO130" s="1090"/>
      <c r="AP130" s="1090"/>
      <c r="AQ130" s="1090"/>
      <c r="AR130" s="1090"/>
    </row>
    <row r="131" spans="1:44" s="927" customFormat="1" ht="21.95" hidden="1" customHeight="1" x14ac:dyDescent="0.15">
      <c r="A131" s="2513"/>
      <c r="B131" s="2606"/>
      <c r="C131" s="941" t="s">
        <v>680</v>
      </c>
      <c r="D131" s="2001"/>
      <c r="E131" s="1523"/>
      <c r="F131" s="934">
        <f t="shared" ref="F131:G131" ca="1" si="668">IF(SUM(F123:F130)&gt;0,0,IF(F11&gt;3,IF(F39&lt;=1.5,F120-F122,0),0))</f>
        <v>0</v>
      </c>
      <c r="G131" s="934">
        <f t="shared" ca="1" si="668"/>
        <v>0</v>
      </c>
      <c r="H131" s="934">
        <f t="shared" ref="H131:M131" ca="1" si="669">IF(SUM(H123:H130)&gt;0,0,IF(H11&gt;3,IF(H39&lt;=1.5,H120-H122,0),0))</f>
        <v>0</v>
      </c>
      <c r="I131" s="934">
        <f t="shared" ca="1" si="669"/>
        <v>0</v>
      </c>
      <c r="J131" s="934">
        <f t="shared" ca="1" si="669"/>
        <v>0</v>
      </c>
      <c r="K131" s="934">
        <f t="shared" ca="1" si="669"/>
        <v>0</v>
      </c>
      <c r="L131" s="934">
        <f t="shared" si="669"/>
        <v>0</v>
      </c>
      <c r="M131" s="934">
        <f t="shared" si="669"/>
        <v>0</v>
      </c>
      <c r="N131" s="934">
        <f t="shared" ref="N131:O131" si="670">IF(SUM(N123:N130)&gt;0,0,IF(N11&gt;3,IF(N39&lt;=1.5,N120-N122,0),0))</f>
        <v>0</v>
      </c>
      <c r="O131" s="934">
        <f t="shared" si="670"/>
        <v>0</v>
      </c>
      <c r="P131" s="934">
        <f t="shared" ref="P131" si="671">IF(SUM(P123:P130)&gt;0,0,IF(P11&gt;3,IF(P39&lt;=1.5,P120-P122,0),0))</f>
        <v>0</v>
      </c>
      <c r="Q131" s="934">
        <f t="shared" ref="Q131:AA131" si="672">IF(SUM(Q123:Q130)&gt;0,0,IF(Q11&gt;3,IF(Q39&lt;=1.5,Q120-Q122,0),0))</f>
        <v>0</v>
      </c>
      <c r="R131" s="934">
        <f t="shared" ref="R131" si="673">IF(SUM(R123:R130)&gt;0,0,IF(R11&gt;3,IF(R39&lt;=1.5,R120-R122,0),0))</f>
        <v>0</v>
      </c>
      <c r="S131" s="934">
        <f t="shared" si="672"/>
        <v>0</v>
      </c>
      <c r="T131" s="934">
        <f t="shared" si="672"/>
        <v>0</v>
      </c>
      <c r="U131" s="934">
        <f t="shared" si="672"/>
        <v>0</v>
      </c>
      <c r="V131" s="934">
        <f t="shared" si="672"/>
        <v>0</v>
      </c>
      <c r="W131" s="934">
        <f t="shared" si="672"/>
        <v>0</v>
      </c>
      <c r="X131" s="934">
        <f t="shared" si="672"/>
        <v>0</v>
      </c>
      <c r="Y131" s="934">
        <f t="shared" si="672"/>
        <v>0</v>
      </c>
      <c r="Z131" s="934">
        <f t="shared" si="672"/>
        <v>0</v>
      </c>
      <c r="AA131" s="934">
        <f t="shared" si="672"/>
        <v>0</v>
      </c>
      <c r="AB131" s="935"/>
      <c r="AC131" s="935"/>
      <c r="AD131" s="935"/>
      <c r="AE131" s="944">
        <f t="shared" ca="1" si="619"/>
        <v>0</v>
      </c>
      <c r="AF131" s="956"/>
      <c r="AG131" s="1086"/>
      <c r="AH131" s="1090"/>
      <c r="AI131" s="1090"/>
      <c r="AJ131" s="1090"/>
      <c r="AK131" s="1090"/>
      <c r="AL131" s="1090"/>
      <c r="AM131" s="1090"/>
      <c r="AN131" s="1090"/>
      <c r="AO131" s="1090"/>
      <c r="AP131" s="1090"/>
      <c r="AQ131" s="1090"/>
      <c r="AR131" s="1090"/>
    </row>
    <row r="132" spans="1:44" s="927" customFormat="1" ht="21.95" hidden="1" customHeight="1" thickBot="1" x14ac:dyDescent="0.2">
      <c r="A132" s="2513"/>
      <c r="B132" s="2607"/>
      <c r="C132" s="953" t="s">
        <v>681</v>
      </c>
      <c r="D132" s="1996"/>
      <c r="E132" s="1520"/>
      <c r="F132" s="938">
        <f t="shared" ref="F132:G132" ca="1" si="674">IF(SUM(F123:F131)&gt;0,0,IF(F11&gt;4.5,IF(F39&gt;1.5,F120-F122,0),0))</f>
        <v>0</v>
      </c>
      <c r="G132" s="938">
        <f t="shared" ca="1" si="674"/>
        <v>0</v>
      </c>
      <c r="H132" s="938">
        <f t="shared" ref="H132:M132" ca="1" si="675">IF(SUM(H123:H131)&gt;0,0,IF(H11&gt;4.5,IF(H39&gt;1.5,H120-H122,0),0))</f>
        <v>0</v>
      </c>
      <c r="I132" s="938">
        <f t="shared" ca="1" si="675"/>
        <v>0</v>
      </c>
      <c r="J132" s="938">
        <f t="shared" ca="1" si="675"/>
        <v>0</v>
      </c>
      <c r="K132" s="938">
        <f t="shared" ca="1" si="675"/>
        <v>0</v>
      </c>
      <c r="L132" s="938">
        <f t="shared" si="675"/>
        <v>0</v>
      </c>
      <c r="M132" s="938">
        <f t="shared" si="675"/>
        <v>0</v>
      </c>
      <c r="N132" s="938">
        <f t="shared" ref="N132:O132" si="676">IF(SUM(N123:N131)&gt;0,0,IF(N11&gt;4.5,IF(N39&gt;1.5,N120-N122,0),0))</f>
        <v>0</v>
      </c>
      <c r="O132" s="938">
        <f t="shared" si="676"/>
        <v>0</v>
      </c>
      <c r="P132" s="938">
        <f t="shared" ref="P132" si="677">IF(SUM(P123:P131)&gt;0,0,IF(P11&gt;4.5,IF(P39&gt;1.5,P120-P122,0),0))</f>
        <v>0</v>
      </c>
      <c r="Q132" s="938">
        <f t="shared" ref="Q132:AA132" si="678">IF(SUM(Q123:Q131)&gt;0,0,IF(Q11&gt;4.5,IF(Q39&gt;1.5,Q120-Q122,0),0))</f>
        <v>0</v>
      </c>
      <c r="R132" s="938">
        <f t="shared" ref="R132" si="679">IF(SUM(R123:R131)&gt;0,0,IF(R11&gt;4.5,IF(R39&gt;1.5,R120-R122,0),0))</f>
        <v>0</v>
      </c>
      <c r="S132" s="938">
        <f t="shared" si="678"/>
        <v>0</v>
      </c>
      <c r="T132" s="938">
        <f t="shared" si="678"/>
        <v>0</v>
      </c>
      <c r="U132" s="938">
        <f t="shared" si="678"/>
        <v>0</v>
      </c>
      <c r="V132" s="938">
        <f t="shared" si="678"/>
        <v>0</v>
      </c>
      <c r="W132" s="938">
        <f t="shared" si="678"/>
        <v>0</v>
      </c>
      <c r="X132" s="938">
        <f t="shared" si="678"/>
        <v>0</v>
      </c>
      <c r="Y132" s="938">
        <f t="shared" si="678"/>
        <v>0</v>
      </c>
      <c r="Z132" s="938">
        <f t="shared" si="678"/>
        <v>0</v>
      </c>
      <c r="AA132" s="938">
        <f t="shared" si="678"/>
        <v>0</v>
      </c>
      <c r="AB132" s="952"/>
      <c r="AC132" s="952"/>
      <c r="AD132" s="952"/>
      <c r="AE132" s="954">
        <f t="shared" ca="1" si="619"/>
        <v>0</v>
      </c>
      <c r="AF132" s="956"/>
      <c r="AG132" s="1086"/>
      <c r="AH132" s="1090"/>
      <c r="AI132" s="1090"/>
      <c r="AJ132" s="1090"/>
      <c r="AK132" s="1090"/>
      <c r="AL132" s="1090"/>
      <c r="AM132" s="1090"/>
      <c r="AN132" s="1090"/>
      <c r="AO132" s="1090"/>
      <c r="AP132" s="1090"/>
      <c r="AQ132" s="1090"/>
      <c r="AR132" s="1090"/>
    </row>
    <row r="133" spans="1:44" s="589" customFormat="1" ht="32.1" hidden="1" customHeight="1" x14ac:dyDescent="0.15">
      <c r="A133" s="2513"/>
      <c r="B133" s="2596" t="s">
        <v>1102</v>
      </c>
      <c r="C133" s="590" t="s">
        <v>722</v>
      </c>
      <c r="D133" s="1995"/>
      <c r="E133" s="591"/>
      <c r="F133" s="158">
        <f t="shared" ref="F133:G133" si="680">F122</f>
        <v>0</v>
      </c>
      <c r="G133" s="158">
        <f t="shared" si="680"/>
        <v>0</v>
      </c>
      <c r="H133" s="158">
        <f t="shared" ref="H133:M133" si="681">H122</f>
        <v>0</v>
      </c>
      <c r="I133" s="158">
        <f t="shared" si="681"/>
        <v>0</v>
      </c>
      <c r="J133" s="158">
        <f t="shared" si="681"/>
        <v>0</v>
      </c>
      <c r="K133" s="158">
        <f t="shared" si="681"/>
        <v>0</v>
      </c>
      <c r="L133" s="158">
        <f t="shared" si="681"/>
        <v>0</v>
      </c>
      <c r="M133" s="158">
        <f t="shared" si="681"/>
        <v>0</v>
      </c>
      <c r="N133" s="158">
        <f t="shared" ref="N133:O133" si="682">N122</f>
        <v>0</v>
      </c>
      <c r="O133" s="158">
        <f t="shared" si="682"/>
        <v>0</v>
      </c>
      <c r="P133" s="158">
        <f t="shared" ref="P133" si="683">P122</f>
        <v>0</v>
      </c>
      <c r="Q133" s="158">
        <f t="shared" ref="Q133:AA133" si="684">Q122</f>
        <v>0</v>
      </c>
      <c r="R133" s="158">
        <f t="shared" ref="R133" si="685">R122</f>
        <v>0</v>
      </c>
      <c r="S133" s="158">
        <f t="shared" si="684"/>
        <v>0</v>
      </c>
      <c r="T133" s="158">
        <f t="shared" si="684"/>
        <v>0</v>
      </c>
      <c r="U133" s="158">
        <f t="shared" si="684"/>
        <v>0</v>
      </c>
      <c r="V133" s="158">
        <f t="shared" si="684"/>
        <v>0</v>
      </c>
      <c r="W133" s="158">
        <f t="shared" si="684"/>
        <v>0</v>
      </c>
      <c r="X133" s="158">
        <f t="shared" si="684"/>
        <v>0</v>
      </c>
      <c r="Y133" s="158">
        <f t="shared" si="684"/>
        <v>0</v>
      </c>
      <c r="Z133" s="158">
        <f t="shared" si="684"/>
        <v>0</v>
      </c>
      <c r="AA133" s="158">
        <f t="shared" si="684"/>
        <v>0</v>
      </c>
      <c r="AB133" s="159"/>
      <c r="AC133" s="159"/>
      <c r="AD133" s="159"/>
      <c r="AE133" s="507">
        <f t="shared" si="619"/>
        <v>0</v>
      </c>
      <c r="AF133" s="578">
        <f t="shared" ref="AF133:AF164" si="686">SUM(F133:AE133)</f>
        <v>0</v>
      </c>
      <c r="AG133" s="1086"/>
      <c r="AH133" s="1088"/>
      <c r="AI133" s="1088"/>
      <c r="AJ133" s="1088"/>
      <c r="AK133" s="1088"/>
      <c r="AL133" s="1088"/>
      <c r="AM133" s="1088"/>
      <c r="AN133" s="1088"/>
      <c r="AO133" s="1088"/>
      <c r="AP133" s="1088"/>
      <c r="AQ133" s="1088"/>
      <c r="AR133" s="1088"/>
    </row>
    <row r="134" spans="1:44" s="589" customFormat="1" ht="21.95" hidden="1" customHeight="1" x14ac:dyDescent="0.15">
      <c r="A134" s="2513"/>
      <c r="B134" s="2597"/>
      <c r="C134" s="590" t="s">
        <v>673</v>
      </c>
      <c r="D134" s="2001"/>
      <c r="E134" s="1526"/>
      <c r="F134" s="458">
        <f t="shared" ref="F134:G143" ca="1" si="687">IF(F$29=1,F123,0)</f>
        <v>0</v>
      </c>
      <c r="G134" s="458">
        <f t="shared" ca="1" si="687"/>
        <v>0</v>
      </c>
      <c r="H134" s="458">
        <f t="shared" ref="H134:M134" ca="1" si="688">IF(H$29=1,H123,0)</f>
        <v>0</v>
      </c>
      <c r="I134" s="458">
        <f t="shared" ca="1" si="688"/>
        <v>0</v>
      </c>
      <c r="J134" s="458">
        <f t="shared" ca="1" si="688"/>
        <v>0</v>
      </c>
      <c r="K134" s="458">
        <f t="shared" ca="1" si="688"/>
        <v>0</v>
      </c>
      <c r="L134" s="458">
        <f t="shared" si="688"/>
        <v>0</v>
      </c>
      <c r="M134" s="458">
        <f t="shared" si="688"/>
        <v>0</v>
      </c>
      <c r="N134" s="458">
        <f t="shared" ref="N134:O134" si="689">IF(N$29=1,N123,0)</f>
        <v>0</v>
      </c>
      <c r="O134" s="458">
        <f t="shared" si="689"/>
        <v>0</v>
      </c>
      <c r="P134" s="458">
        <f t="shared" ref="P134" si="690">IF(P$29=1,P123,0)</f>
        <v>0</v>
      </c>
      <c r="Q134" s="458">
        <f t="shared" ref="Q134:AA134" si="691">IF(Q$29=1,Q123,0)</f>
        <v>0</v>
      </c>
      <c r="R134" s="458">
        <f t="shared" ref="R134" si="692">IF(R$29=1,R123,0)</f>
        <v>0</v>
      </c>
      <c r="S134" s="458">
        <f t="shared" si="691"/>
        <v>0</v>
      </c>
      <c r="T134" s="458">
        <f t="shared" si="691"/>
        <v>0</v>
      </c>
      <c r="U134" s="458">
        <f t="shared" si="691"/>
        <v>0</v>
      </c>
      <c r="V134" s="458">
        <f t="shared" si="691"/>
        <v>0</v>
      </c>
      <c r="W134" s="458">
        <f t="shared" si="691"/>
        <v>0</v>
      </c>
      <c r="X134" s="458">
        <f t="shared" si="691"/>
        <v>0</v>
      </c>
      <c r="Y134" s="458">
        <f t="shared" si="691"/>
        <v>0</v>
      </c>
      <c r="Z134" s="458">
        <f t="shared" si="691"/>
        <v>0</v>
      </c>
      <c r="AA134" s="458">
        <f t="shared" si="691"/>
        <v>0</v>
      </c>
      <c r="AB134" s="457"/>
      <c r="AC134" s="457"/>
      <c r="AD134" s="457"/>
      <c r="AE134" s="596">
        <f t="shared" ca="1" si="619"/>
        <v>0</v>
      </c>
      <c r="AF134" s="578">
        <f t="shared" ca="1" si="686"/>
        <v>0</v>
      </c>
      <c r="AG134" s="1086"/>
      <c r="AH134" s="1088"/>
      <c r="AI134" s="1088"/>
      <c r="AJ134" s="1088"/>
      <c r="AK134" s="1088"/>
      <c r="AL134" s="1088"/>
      <c r="AM134" s="1088"/>
      <c r="AN134" s="1088"/>
      <c r="AO134" s="1088"/>
      <c r="AP134" s="1088"/>
      <c r="AQ134" s="1088"/>
      <c r="AR134" s="1088"/>
    </row>
    <row r="135" spans="1:44" s="589" customFormat="1" ht="21.95" customHeight="1" thickBot="1" x14ac:dyDescent="0.2">
      <c r="A135" s="2513"/>
      <c r="B135" s="2598"/>
      <c r="C135" s="590" t="s">
        <v>674</v>
      </c>
      <c r="D135" s="1995"/>
      <c r="E135" s="591"/>
      <c r="F135" s="158">
        <f t="shared" ca="1" si="687"/>
        <v>0</v>
      </c>
      <c r="G135" s="158">
        <f t="shared" ref="G135:G140" ca="1" si="693">IF(G$29=1,G124,0)</f>
        <v>0</v>
      </c>
      <c r="H135" s="158">
        <f t="shared" ref="H135:M135" ca="1" si="694">IF(H$29=1,H124,0)</f>
        <v>0</v>
      </c>
      <c r="I135" s="158">
        <f t="shared" ca="1" si="694"/>
        <v>0</v>
      </c>
      <c r="J135" s="158">
        <f t="shared" ca="1" si="694"/>
        <v>0</v>
      </c>
      <c r="K135" s="158">
        <f t="shared" ca="1" si="694"/>
        <v>0</v>
      </c>
      <c r="L135" s="158">
        <f t="shared" si="694"/>
        <v>0</v>
      </c>
      <c r="M135" s="158">
        <f t="shared" si="694"/>
        <v>0</v>
      </c>
      <c r="N135" s="158">
        <f t="shared" ref="N135:O135" si="695">IF(N$29=1,N124,0)</f>
        <v>0</v>
      </c>
      <c r="O135" s="158">
        <f t="shared" si="695"/>
        <v>0</v>
      </c>
      <c r="P135" s="158">
        <f t="shared" ref="P135" si="696">IF(P$29=1,P124,0)</f>
        <v>0</v>
      </c>
      <c r="Q135" s="158">
        <f t="shared" ref="Q135:AA135" si="697">IF(Q$29=1,Q124,0)</f>
        <v>268.3055800410973</v>
      </c>
      <c r="R135" s="158">
        <f t="shared" ref="R135" si="698">IF(R$29=1,R124,0)</f>
        <v>0</v>
      </c>
      <c r="S135" s="158">
        <f t="shared" si="697"/>
        <v>0</v>
      </c>
      <c r="T135" s="158">
        <f t="shared" si="697"/>
        <v>0</v>
      </c>
      <c r="U135" s="158">
        <f t="shared" si="697"/>
        <v>0</v>
      </c>
      <c r="V135" s="158">
        <f t="shared" si="697"/>
        <v>0</v>
      </c>
      <c r="W135" s="158">
        <f t="shared" si="697"/>
        <v>0</v>
      </c>
      <c r="X135" s="158">
        <f t="shared" si="697"/>
        <v>0</v>
      </c>
      <c r="Y135" s="158">
        <f t="shared" si="697"/>
        <v>0</v>
      </c>
      <c r="Z135" s="158">
        <f t="shared" si="697"/>
        <v>0</v>
      </c>
      <c r="AA135" s="158">
        <f t="shared" si="697"/>
        <v>0</v>
      </c>
      <c r="AB135" s="159"/>
      <c r="AC135" s="159"/>
      <c r="AD135" s="159"/>
      <c r="AE135" s="350">
        <f t="shared" ca="1" si="619"/>
        <v>268.3</v>
      </c>
      <c r="AF135" s="578">
        <f t="shared" ca="1" si="686"/>
        <v>536.60558004109726</v>
      </c>
      <c r="AG135" s="1086"/>
      <c r="AH135" s="1088"/>
      <c r="AI135" s="1088"/>
      <c r="AJ135" s="1088"/>
      <c r="AK135" s="1088"/>
      <c r="AL135" s="1088"/>
      <c r="AM135" s="1088"/>
      <c r="AN135" s="1088"/>
      <c r="AO135" s="1088"/>
      <c r="AP135" s="1088"/>
      <c r="AQ135" s="1088"/>
      <c r="AR135" s="1088"/>
    </row>
    <row r="136" spans="1:44" s="589" customFormat="1" ht="21.95" hidden="1" customHeight="1" x14ac:dyDescent="0.15">
      <c r="A136" s="2513"/>
      <c r="B136" s="2597"/>
      <c r="C136" s="590" t="s">
        <v>675</v>
      </c>
      <c r="D136" s="2002"/>
      <c r="E136" s="1527"/>
      <c r="F136" s="595">
        <f t="shared" ca="1" si="687"/>
        <v>0</v>
      </c>
      <c r="G136" s="595">
        <f t="shared" ca="1" si="693"/>
        <v>0</v>
      </c>
      <c r="H136" s="595">
        <f t="shared" ref="H136:M136" ca="1" si="699">IF(H$29=1,H125,0)</f>
        <v>0</v>
      </c>
      <c r="I136" s="595">
        <f t="shared" ca="1" si="699"/>
        <v>0</v>
      </c>
      <c r="J136" s="595">
        <f t="shared" ca="1" si="699"/>
        <v>0</v>
      </c>
      <c r="K136" s="595">
        <f t="shared" ca="1" si="699"/>
        <v>0</v>
      </c>
      <c r="L136" s="595">
        <f t="shared" si="699"/>
        <v>0</v>
      </c>
      <c r="M136" s="595">
        <f t="shared" si="699"/>
        <v>0</v>
      </c>
      <c r="N136" s="595">
        <f t="shared" ref="N136:O136" si="700">IF(N$29=1,N125,0)</f>
        <v>0</v>
      </c>
      <c r="O136" s="595">
        <f t="shared" si="700"/>
        <v>0</v>
      </c>
      <c r="P136" s="595">
        <f t="shared" ref="P136" si="701">IF(P$29=1,P125,0)</f>
        <v>0</v>
      </c>
      <c r="Q136" s="595">
        <f t="shared" ref="Q136:AA136" si="702">IF(Q$29=1,Q125,0)</f>
        <v>0</v>
      </c>
      <c r="R136" s="595">
        <f t="shared" ref="R136" si="703">IF(R$29=1,R125,0)</f>
        <v>0</v>
      </c>
      <c r="S136" s="595">
        <f t="shared" si="702"/>
        <v>0</v>
      </c>
      <c r="T136" s="595">
        <f t="shared" si="702"/>
        <v>0</v>
      </c>
      <c r="U136" s="595">
        <f t="shared" si="702"/>
        <v>0</v>
      </c>
      <c r="V136" s="595">
        <f t="shared" si="702"/>
        <v>0</v>
      </c>
      <c r="W136" s="595">
        <f t="shared" si="702"/>
        <v>0</v>
      </c>
      <c r="X136" s="595">
        <f t="shared" si="702"/>
        <v>0</v>
      </c>
      <c r="Y136" s="595">
        <f t="shared" si="702"/>
        <v>0</v>
      </c>
      <c r="Z136" s="595">
        <f t="shared" si="702"/>
        <v>0</v>
      </c>
      <c r="AA136" s="595">
        <f t="shared" si="702"/>
        <v>0</v>
      </c>
      <c r="AB136" s="422"/>
      <c r="AC136" s="422"/>
      <c r="AD136" s="422"/>
      <c r="AE136" s="507">
        <f t="shared" ca="1" si="619"/>
        <v>0</v>
      </c>
      <c r="AF136" s="578">
        <f t="shared" ca="1" si="686"/>
        <v>0</v>
      </c>
      <c r="AG136" s="1086"/>
      <c r="AH136" s="1088"/>
      <c r="AI136" s="1088"/>
      <c r="AJ136" s="1088"/>
      <c r="AK136" s="1088"/>
      <c r="AL136" s="1088"/>
      <c r="AM136" s="1088"/>
      <c r="AN136" s="1088"/>
      <c r="AO136" s="1088"/>
      <c r="AP136" s="1088"/>
      <c r="AQ136" s="1088"/>
      <c r="AR136" s="1088"/>
    </row>
    <row r="137" spans="1:44" s="589" customFormat="1" ht="21.95" hidden="1" customHeight="1" x14ac:dyDescent="0.15">
      <c r="A137" s="2513"/>
      <c r="B137" s="2597"/>
      <c r="C137" s="590" t="s">
        <v>676</v>
      </c>
      <c r="D137" s="2001"/>
      <c r="E137" s="1526"/>
      <c r="F137" s="458">
        <f t="shared" ca="1" si="687"/>
        <v>0</v>
      </c>
      <c r="G137" s="458">
        <f t="shared" ca="1" si="693"/>
        <v>0</v>
      </c>
      <c r="H137" s="458">
        <f t="shared" ref="H137:M137" ca="1" si="704">IF(H$29=1,H126,0)</f>
        <v>0</v>
      </c>
      <c r="I137" s="458">
        <f t="shared" ca="1" si="704"/>
        <v>0</v>
      </c>
      <c r="J137" s="458">
        <f t="shared" ca="1" si="704"/>
        <v>0</v>
      </c>
      <c r="K137" s="458">
        <f t="shared" ca="1" si="704"/>
        <v>0</v>
      </c>
      <c r="L137" s="458">
        <f t="shared" si="704"/>
        <v>0</v>
      </c>
      <c r="M137" s="458">
        <f t="shared" si="704"/>
        <v>0</v>
      </c>
      <c r="N137" s="458">
        <f t="shared" ref="N137:O137" si="705">IF(N$29=1,N126,0)</f>
        <v>0</v>
      </c>
      <c r="O137" s="458">
        <f t="shared" si="705"/>
        <v>0</v>
      </c>
      <c r="P137" s="458">
        <f t="shared" ref="P137" si="706">IF(P$29=1,P126,0)</f>
        <v>0</v>
      </c>
      <c r="Q137" s="458">
        <f t="shared" ref="Q137:AA137" si="707">IF(Q$29=1,Q126,0)</f>
        <v>0</v>
      </c>
      <c r="R137" s="458">
        <f t="shared" ref="R137" si="708">IF(R$29=1,R126,0)</f>
        <v>0</v>
      </c>
      <c r="S137" s="458">
        <f t="shared" si="707"/>
        <v>0</v>
      </c>
      <c r="T137" s="458">
        <f t="shared" si="707"/>
        <v>0</v>
      </c>
      <c r="U137" s="458">
        <f t="shared" si="707"/>
        <v>0</v>
      </c>
      <c r="V137" s="458">
        <f t="shared" si="707"/>
        <v>0</v>
      </c>
      <c r="W137" s="458">
        <f t="shared" si="707"/>
        <v>0</v>
      </c>
      <c r="X137" s="458">
        <f t="shared" si="707"/>
        <v>0</v>
      </c>
      <c r="Y137" s="458">
        <f t="shared" si="707"/>
        <v>0</v>
      </c>
      <c r="Z137" s="458">
        <f t="shared" si="707"/>
        <v>0</v>
      </c>
      <c r="AA137" s="458">
        <f t="shared" si="707"/>
        <v>0</v>
      </c>
      <c r="AB137" s="457"/>
      <c r="AC137" s="457"/>
      <c r="AD137" s="457"/>
      <c r="AE137" s="596">
        <f t="shared" ca="1" si="619"/>
        <v>0</v>
      </c>
      <c r="AF137" s="578">
        <f t="shared" ca="1" si="686"/>
        <v>0</v>
      </c>
      <c r="AG137" s="1086"/>
      <c r="AH137" s="1088"/>
      <c r="AI137" s="1088"/>
      <c r="AJ137" s="1088"/>
      <c r="AK137" s="1088"/>
      <c r="AL137" s="1088"/>
      <c r="AM137" s="1088"/>
      <c r="AN137" s="1088"/>
      <c r="AO137" s="1088"/>
      <c r="AP137" s="1088"/>
      <c r="AQ137" s="1088"/>
      <c r="AR137" s="1088"/>
    </row>
    <row r="138" spans="1:44" s="589" customFormat="1" ht="21.95" customHeight="1" x14ac:dyDescent="0.15">
      <c r="A138" s="2513"/>
      <c r="B138" s="2597"/>
      <c r="C138" s="590" t="s">
        <v>677</v>
      </c>
      <c r="D138" s="1995"/>
      <c r="E138" s="591"/>
      <c r="F138" s="158">
        <f t="shared" ca="1" si="687"/>
        <v>131.53164482794625</v>
      </c>
      <c r="G138" s="158">
        <f t="shared" ca="1" si="693"/>
        <v>0</v>
      </c>
      <c r="H138" s="158">
        <f t="shared" ref="H138:M138" ca="1" si="709">IF(H$29=1,H127,0)</f>
        <v>0</v>
      </c>
      <c r="I138" s="158">
        <f t="shared" ca="1" si="709"/>
        <v>0</v>
      </c>
      <c r="J138" s="158">
        <f t="shared" ca="1" si="709"/>
        <v>0</v>
      </c>
      <c r="K138" s="158">
        <f t="shared" ca="1" si="709"/>
        <v>0</v>
      </c>
      <c r="L138" s="158">
        <f t="shared" si="709"/>
        <v>0</v>
      </c>
      <c r="M138" s="158">
        <f t="shared" si="709"/>
        <v>0</v>
      </c>
      <c r="N138" s="158">
        <f t="shared" ref="N138:O138" si="710">IF(N$29=1,N127,0)</f>
        <v>0</v>
      </c>
      <c r="O138" s="158">
        <f t="shared" si="710"/>
        <v>0</v>
      </c>
      <c r="P138" s="158">
        <f t="shared" ref="P138" si="711">IF(P$29=1,P127,0)</f>
        <v>0</v>
      </c>
      <c r="Q138" s="158">
        <f t="shared" ref="Q138:AA138" si="712">IF(Q$29=1,Q127,0)</f>
        <v>0</v>
      </c>
      <c r="R138" s="158">
        <f t="shared" ref="R138" si="713">IF(R$29=1,R127,0)</f>
        <v>0</v>
      </c>
      <c r="S138" s="158">
        <f t="shared" si="712"/>
        <v>0</v>
      </c>
      <c r="T138" s="158">
        <f t="shared" si="712"/>
        <v>0</v>
      </c>
      <c r="U138" s="158">
        <f t="shared" si="712"/>
        <v>0</v>
      </c>
      <c r="V138" s="158">
        <f t="shared" si="712"/>
        <v>0</v>
      </c>
      <c r="W138" s="158">
        <f t="shared" si="712"/>
        <v>0</v>
      </c>
      <c r="X138" s="158">
        <f t="shared" si="712"/>
        <v>0</v>
      </c>
      <c r="Y138" s="158">
        <f t="shared" si="712"/>
        <v>0</v>
      </c>
      <c r="Z138" s="158">
        <f t="shared" si="712"/>
        <v>0</v>
      </c>
      <c r="AA138" s="158">
        <f t="shared" si="712"/>
        <v>0</v>
      </c>
      <c r="AB138" s="159"/>
      <c r="AC138" s="159"/>
      <c r="AD138" s="159"/>
      <c r="AE138" s="350">
        <f t="shared" ca="1" si="619"/>
        <v>131.53</v>
      </c>
      <c r="AF138" s="578">
        <f t="shared" ca="1" si="686"/>
        <v>263.06164482794622</v>
      </c>
      <c r="AG138" s="1086"/>
      <c r="AH138" s="1088"/>
      <c r="AI138" s="1088"/>
      <c r="AJ138" s="1088"/>
      <c r="AK138" s="1088"/>
      <c r="AL138" s="1088"/>
      <c r="AM138" s="1088"/>
      <c r="AN138" s="1088"/>
      <c r="AO138" s="1088"/>
      <c r="AP138" s="1088"/>
      <c r="AQ138" s="1088"/>
      <c r="AR138" s="1088"/>
    </row>
    <row r="139" spans="1:44" s="589" customFormat="1" ht="21.95" customHeight="1" thickBot="1" x14ac:dyDescent="0.2">
      <c r="A139" s="2513"/>
      <c r="B139" s="2598"/>
      <c r="C139" s="590" t="s">
        <v>678</v>
      </c>
      <c r="D139" s="2002"/>
      <c r="E139" s="1527"/>
      <c r="F139" s="595">
        <f t="shared" ca="1" si="687"/>
        <v>0</v>
      </c>
      <c r="G139" s="595">
        <f t="shared" ca="1" si="693"/>
        <v>111.89734521852984</v>
      </c>
      <c r="H139" s="595">
        <f t="shared" ref="H139:M139" ca="1" si="714">IF(H$29=1,H128,0)</f>
        <v>165.71526534994231</v>
      </c>
      <c r="I139" s="595">
        <f t="shared" ca="1" si="714"/>
        <v>0</v>
      </c>
      <c r="J139" s="595">
        <f t="shared" ca="1" si="714"/>
        <v>0</v>
      </c>
      <c r="K139" s="595">
        <f t="shared" ca="1" si="714"/>
        <v>0</v>
      </c>
      <c r="L139" s="595">
        <f t="shared" si="714"/>
        <v>0</v>
      </c>
      <c r="M139" s="595">
        <f t="shared" si="714"/>
        <v>0</v>
      </c>
      <c r="N139" s="595">
        <f t="shared" ref="N139:O139" si="715">IF(N$29=1,N128,0)</f>
        <v>0</v>
      </c>
      <c r="O139" s="595">
        <f t="shared" si="715"/>
        <v>0</v>
      </c>
      <c r="P139" s="595">
        <f t="shared" ref="P139" si="716">IF(P$29=1,P128,0)</f>
        <v>0</v>
      </c>
      <c r="Q139" s="595">
        <f t="shared" ref="Q139:AA139" si="717">IF(Q$29=1,Q128,0)</f>
        <v>0</v>
      </c>
      <c r="R139" s="595">
        <f t="shared" ref="R139" si="718">IF(R$29=1,R128,0)</f>
        <v>0</v>
      </c>
      <c r="S139" s="595">
        <f t="shared" si="717"/>
        <v>107.71773314940147</v>
      </c>
      <c r="T139" s="595">
        <f t="shared" si="717"/>
        <v>0</v>
      </c>
      <c r="U139" s="595">
        <f t="shared" si="717"/>
        <v>0</v>
      </c>
      <c r="V139" s="595">
        <f t="shared" si="717"/>
        <v>0</v>
      </c>
      <c r="W139" s="595">
        <f t="shared" si="717"/>
        <v>0</v>
      </c>
      <c r="X139" s="595">
        <f t="shared" si="717"/>
        <v>0</v>
      </c>
      <c r="Y139" s="595">
        <f t="shared" si="717"/>
        <v>0</v>
      </c>
      <c r="Z139" s="595">
        <f t="shared" si="717"/>
        <v>0</v>
      </c>
      <c r="AA139" s="595">
        <f t="shared" si="717"/>
        <v>0</v>
      </c>
      <c r="AB139" s="422"/>
      <c r="AC139" s="422"/>
      <c r="AD139" s="422"/>
      <c r="AE139" s="507">
        <f t="shared" ca="1" si="619"/>
        <v>385.33</v>
      </c>
      <c r="AF139" s="578">
        <f t="shared" ca="1" si="686"/>
        <v>770.66034371787362</v>
      </c>
      <c r="AG139" s="1086"/>
      <c r="AH139" s="1088"/>
      <c r="AI139" s="1088"/>
      <c r="AJ139" s="1088"/>
      <c r="AK139" s="1088"/>
      <c r="AL139" s="1088"/>
      <c r="AM139" s="1088"/>
      <c r="AN139" s="1088"/>
      <c r="AO139" s="1088"/>
      <c r="AP139" s="1088"/>
      <c r="AQ139" s="1088"/>
      <c r="AR139" s="1088"/>
    </row>
    <row r="140" spans="1:44" s="589" customFormat="1" ht="21.95" hidden="1" customHeight="1" x14ac:dyDescent="0.15">
      <c r="A140" s="2513"/>
      <c r="B140" s="2597"/>
      <c r="C140" s="590" t="s">
        <v>682</v>
      </c>
      <c r="D140" s="2001"/>
      <c r="E140" s="1526"/>
      <c r="F140" s="458">
        <f t="shared" ca="1" si="687"/>
        <v>0</v>
      </c>
      <c r="G140" s="458">
        <f t="shared" ca="1" si="693"/>
        <v>0</v>
      </c>
      <c r="H140" s="458">
        <f t="shared" ref="H140:M140" ca="1" si="719">IF(H$29=1,H129,0)</f>
        <v>0</v>
      </c>
      <c r="I140" s="458">
        <f t="shared" ca="1" si="719"/>
        <v>0</v>
      </c>
      <c r="J140" s="458">
        <f t="shared" ca="1" si="719"/>
        <v>0</v>
      </c>
      <c r="K140" s="458">
        <f t="shared" ca="1" si="719"/>
        <v>0</v>
      </c>
      <c r="L140" s="458">
        <f t="shared" si="719"/>
        <v>0</v>
      </c>
      <c r="M140" s="458">
        <f t="shared" si="719"/>
        <v>0</v>
      </c>
      <c r="N140" s="458">
        <f t="shared" ref="N140:O140" si="720">IF(N$29=1,N129,0)</f>
        <v>0</v>
      </c>
      <c r="O140" s="458">
        <f t="shared" si="720"/>
        <v>0</v>
      </c>
      <c r="P140" s="458">
        <f t="shared" ref="P140" si="721">IF(P$29=1,P129,0)</f>
        <v>0</v>
      </c>
      <c r="Q140" s="458">
        <f t="shared" ref="Q140:AA140" si="722">IF(Q$29=1,Q129,0)</f>
        <v>0</v>
      </c>
      <c r="R140" s="458">
        <f t="shared" ref="R140" si="723">IF(R$29=1,R129,0)</f>
        <v>0</v>
      </c>
      <c r="S140" s="458">
        <f t="shared" si="722"/>
        <v>0</v>
      </c>
      <c r="T140" s="458">
        <f t="shared" si="722"/>
        <v>0</v>
      </c>
      <c r="U140" s="458">
        <f t="shared" si="722"/>
        <v>0</v>
      </c>
      <c r="V140" s="458">
        <f t="shared" si="722"/>
        <v>0</v>
      </c>
      <c r="W140" s="458">
        <f t="shared" si="722"/>
        <v>0</v>
      </c>
      <c r="X140" s="458">
        <f t="shared" si="722"/>
        <v>0</v>
      </c>
      <c r="Y140" s="458">
        <f t="shared" si="722"/>
        <v>0</v>
      </c>
      <c r="Z140" s="458">
        <f t="shared" si="722"/>
        <v>0</v>
      </c>
      <c r="AA140" s="458">
        <f t="shared" si="722"/>
        <v>0</v>
      </c>
      <c r="AB140" s="457"/>
      <c r="AC140" s="457"/>
      <c r="AD140" s="457"/>
      <c r="AE140" s="596">
        <f t="shared" ca="1" si="619"/>
        <v>0</v>
      </c>
      <c r="AF140" s="578">
        <f t="shared" ca="1" si="686"/>
        <v>0</v>
      </c>
      <c r="AG140" s="1086"/>
      <c r="AH140" s="1088"/>
      <c r="AI140" s="1088"/>
      <c r="AJ140" s="1088"/>
      <c r="AK140" s="1088"/>
      <c r="AL140" s="1088"/>
      <c r="AM140" s="1088"/>
      <c r="AN140" s="1088"/>
      <c r="AO140" s="1088"/>
      <c r="AP140" s="1088"/>
      <c r="AQ140" s="1088"/>
      <c r="AR140" s="1088"/>
    </row>
    <row r="141" spans="1:44" s="589" customFormat="1" ht="21.95" customHeight="1" thickBot="1" x14ac:dyDescent="0.2">
      <c r="A141" s="2513"/>
      <c r="B141" s="2598"/>
      <c r="C141" s="590" t="s">
        <v>679</v>
      </c>
      <c r="D141" s="2002"/>
      <c r="E141" s="1527"/>
      <c r="F141" s="595">
        <f t="shared" ca="1" si="687"/>
        <v>0</v>
      </c>
      <c r="G141" s="595">
        <f t="shared" ref="G141:G143" ca="1" si="724">IF(G$29=1,G130,0)</f>
        <v>0</v>
      </c>
      <c r="H141" s="595">
        <f t="shared" ref="H141:M141" ca="1" si="725">IF(H$29=1,H130,0)</f>
        <v>0</v>
      </c>
      <c r="I141" s="595">
        <f t="shared" ca="1" si="725"/>
        <v>278.80224308391666</v>
      </c>
      <c r="J141" s="595">
        <f t="shared" ca="1" si="725"/>
        <v>371.5152101854934</v>
      </c>
      <c r="K141" s="595">
        <f t="shared" ca="1" si="725"/>
        <v>350.79936558313051</v>
      </c>
      <c r="L141" s="595">
        <f t="shared" si="725"/>
        <v>0</v>
      </c>
      <c r="M141" s="595">
        <f t="shared" si="725"/>
        <v>0</v>
      </c>
      <c r="N141" s="595">
        <f t="shared" ref="N141:O141" si="726">IF(N$29=1,N130,0)</f>
        <v>0</v>
      </c>
      <c r="O141" s="595">
        <f t="shared" si="726"/>
        <v>0</v>
      </c>
      <c r="P141" s="595">
        <f t="shared" ref="P141" si="727">IF(P$29=1,P130,0)</f>
        <v>0</v>
      </c>
      <c r="Q141" s="595">
        <f t="shared" ref="Q141:AA141" si="728">IF(Q$29=1,Q130,0)</f>
        <v>0</v>
      </c>
      <c r="R141" s="595">
        <f t="shared" ref="R141" si="729">IF(R$29=1,R130,0)</f>
        <v>0</v>
      </c>
      <c r="S141" s="595">
        <f t="shared" si="728"/>
        <v>0</v>
      </c>
      <c r="T141" s="595">
        <f t="shared" si="728"/>
        <v>0</v>
      </c>
      <c r="U141" s="595">
        <f t="shared" si="728"/>
        <v>0</v>
      </c>
      <c r="V141" s="595">
        <f t="shared" si="728"/>
        <v>0</v>
      </c>
      <c r="W141" s="595">
        <f t="shared" si="728"/>
        <v>0</v>
      </c>
      <c r="X141" s="595">
        <f t="shared" si="728"/>
        <v>0</v>
      </c>
      <c r="Y141" s="595">
        <f t="shared" si="728"/>
        <v>0</v>
      </c>
      <c r="Z141" s="595">
        <f t="shared" si="728"/>
        <v>0</v>
      </c>
      <c r="AA141" s="595">
        <f t="shared" si="728"/>
        <v>0</v>
      </c>
      <c r="AB141" s="422"/>
      <c r="AC141" s="422"/>
      <c r="AD141" s="422"/>
      <c r="AE141" s="507">
        <f t="shared" ca="1" si="619"/>
        <v>1001.11</v>
      </c>
      <c r="AF141" s="578">
        <f t="shared" ca="1" si="686"/>
        <v>2002.2268188525404</v>
      </c>
      <c r="AG141" s="1086"/>
      <c r="AH141" s="1088"/>
      <c r="AI141" s="1088"/>
      <c r="AJ141" s="1088"/>
      <c r="AK141" s="1088"/>
      <c r="AL141" s="1088"/>
      <c r="AM141" s="1088"/>
      <c r="AN141" s="1088"/>
      <c r="AO141" s="1088"/>
      <c r="AP141" s="1088"/>
      <c r="AQ141" s="1088"/>
      <c r="AR141" s="1088"/>
    </row>
    <row r="142" spans="1:44" s="589" customFormat="1" ht="21.95" hidden="1" customHeight="1" x14ac:dyDescent="0.15">
      <c r="A142" s="2513"/>
      <c r="B142" s="2597"/>
      <c r="C142" s="590" t="s">
        <v>680</v>
      </c>
      <c r="D142" s="2001"/>
      <c r="E142" s="1526"/>
      <c r="F142" s="458">
        <f t="shared" ca="1" si="687"/>
        <v>0</v>
      </c>
      <c r="G142" s="458">
        <f t="shared" ca="1" si="724"/>
        <v>0</v>
      </c>
      <c r="H142" s="458">
        <f t="shared" ref="H142:M142" ca="1" si="730">IF(H$29=1,H131,0)</f>
        <v>0</v>
      </c>
      <c r="I142" s="458">
        <f t="shared" ca="1" si="730"/>
        <v>0</v>
      </c>
      <c r="J142" s="458">
        <f t="shared" ca="1" si="730"/>
        <v>0</v>
      </c>
      <c r="K142" s="458">
        <f t="shared" ca="1" si="730"/>
        <v>0</v>
      </c>
      <c r="L142" s="458">
        <f t="shared" si="730"/>
        <v>0</v>
      </c>
      <c r="M142" s="458">
        <f t="shared" si="730"/>
        <v>0</v>
      </c>
      <c r="N142" s="458">
        <f t="shared" ref="N142:O142" si="731">IF(N$29=1,N131,0)</f>
        <v>0</v>
      </c>
      <c r="O142" s="458">
        <f t="shared" si="731"/>
        <v>0</v>
      </c>
      <c r="P142" s="458">
        <f t="shared" ref="P142" si="732">IF(P$29=1,P131,0)</f>
        <v>0</v>
      </c>
      <c r="Q142" s="458">
        <f t="shared" ref="Q142:AA142" si="733">IF(Q$29=1,Q131,0)</f>
        <v>0</v>
      </c>
      <c r="R142" s="458">
        <f t="shared" ref="R142" si="734">IF(R$29=1,R131,0)</f>
        <v>0</v>
      </c>
      <c r="S142" s="458">
        <f t="shared" si="733"/>
        <v>0</v>
      </c>
      <c r="T142" s="458">
        <f t="shared" si="733"/>
        <v>0</v>
      </c>
      <c r="U142" s="458">
        <f t="shared" si="733"/>
        <v>0</v>
      </c>
      <c r="V142" s="458">
        <f t="shared" si="733"/>
        <v>0</v>
      </c>
      <c r="W142" s="458">
        <f t="shared" si="733"/>
        <v>0</v>
      </c>
      <c r="X142" s="458">
        <f t="shared" si="733"/>
        <v>0</v>
      </c>
      <c r="Y142" s="458">
        <f t="shared" si="733"/>
        <v>0</v>
      </c>
      <c r="Z142" s="458">
        <f t="shared" si="733"/>
        <v>0</v>
      </c>
      <c r="AA142" s="458">
        <f t="shared" si="733"/>
        <v>0</v>
      </c>
      <c r="AB142" s="457"/>
      <c r="AC142" s="457"/>
      <c r="AD142" s="457"/>
      <c r="AE142" s="596">
        <f t="shared" ca="1" si="619"/>
        <v>0</v>
      </c>
      <c r="AF142" s="578">
        <f t="shared" ca="1" si="686"/>
        <v>0</v>
      </c>
      <c r="AG142" s="1086"/>
      <c r="AH142" s="1088"/>
      <c r="AI142" s="1088"/>
      <c r="AJ142" s="1088"/>
      <c r="AK142" s="1088"/>
      <c r="AL142" s="1088"/>
      <c r="AM142" s="1088"/>
      <c r="AN142" s="1088"/>
      <c r="AO142" s="1088"/>
      <c r="AP142" s="1088"/>
      <c r="AQ142" s="1088"/>
      <c r="AR142" s="1088"/>
    </row>
    <row r="143" spans="1:44" s="589" customFormat="1" ht="21.95" hidden="1" customHeight="1" thickBot="1" x14ac:dyDescent="0.2">
      <c r="A143" s="2513"/>
      <c r="B143" s="2598"/>
      <c r="C143" s="928" t="s">
        <v>681</v>
      </c>
      <c r="D143" s="1996"/>
      <c r="E143" s="1519"/>
      <c r="F143" s="239">
        <f t="shared" ca="1" si="687"/>
        <v>0</v>
      </c>
      <c r="G143" s="239">
        <f t="shared" ca="1" si="724"/>
        <v>0</v>
      </c>
      <c r="H143" s="239">
        <f t="shared" ref="H143:M143" ca="1" si="735">IF(H$29=1,H132,0)</f>
        <v>0</v>
      </c>
      <c r="I143" s="239">
        <f t="shared" ca="1" si="735"/>
        <v>0</v>
      </c>
      <c r="J143" s="239">
        <f t="shared" ca="1" si="735"/>
        <v>0</v>
      </c>
      <c r="K143" s="239">
        <f t="shared" ca="1" si="735"/>
        <v>0</v>
      </c>
      <c r="L143" s="239">
        <f t="shared" si="735"/>
        <v>0</v>
      </c>
      <c r="M143" s="239">
        <f t="shared" si="735"/>
        <v>0</v>
      </c>
      <c r="N143" s="239">
        <f t="shared" ref="N143:O143" si="736">IF(N$29=1,N132,0)</f>
        <v>0</v>
      </c>
      <c r="O143" s="239">
        <f t="shared" si="736"/>
        <v>0</v>
      </c>
      <c r="P143" s="239">
        <f t="shared" ref="P143" si="737">IF(P$29=1,P132,0)</f>
        <v>0</v>
      </c>
      <c r="Q143" s="239">
        <f t="shared" ref="Q143:AA143" si="738">IF(Q$29=1,Q132,0)</f>
        <v>0</v>
      </c>
      <c r="R143" s="239">
        <f t="shared" ref="R143" si="739">IF(R$29=1,R132,0)</f>
        <v>0</v>
      </c>
      <c r="S143" s="239">
        <f t="shared" si="738"/>
        <v>0</v>
      </c>
      <c r="T143" s="239">
        <f t="shared" si="738"/>
        <v>0</v>
      </c>
      <c r="U143" s="239">
        <f t="shared" si="738"/>
        <v>0</v>
      </c>
      <c r="V143" s="239">
        <f t="shared" si="738"/>
        <v>0</v>
      </c>
      <c r="W143" s="239">
        <f t="shared" si="738"/>
        <v>0</v>
      </c>
      <c r="X143" s="239">
        <f t="shared" si="738"/>
        <v>0</v>
      </c>
      <c r="Y143" s="239">
        <f t="shared" si="738"/>
        <v>0</v>
      </c>
      <c r="Z143" s="239">
        <f t="shared" si="738"/>
        <v>0</v>
      </c>
      <c r="AA143" s="239">
        <f t="shared" si="738"/>
        <v>0</v>
      </c>
      <c r="AB143" s="237"/>
      <c r="AC143" s="237"/>
      <c r="AD143" s="237"/>
      <c r="AE143" s="361">
        <f t="shared" ca="1" si="619"/>
        <v>0</v>
      </c>
      <c r="AF143" s="578">
        <f t="shared" ca="1" si="686"/>
        <v>0</v>
      </c>
      <c r="AG143" s="1086"/>
      <c r="AH143" s="1088"/>
      <c r="AI143" s="1088"/>
      <c r="AJ143" s="1088"/>
      <c r="AK143" s="1088"/>
      <c r="AL143" s="1088"/>
      <c r="AM143" s="1088"/>
      <c r="AN143" s="1088"/>
      <c r="AO143" s="1088"/>
      <c r="AP143" s="1088"/>
      <c r="AQ143" s="1088"/>
      <c r="AR143" s="1088"/>
    </row>
    <row r="144" spans="1:44" s="589" customFormat="1" ht="21.95" hidden="1" customHeight="1" x14ac:dyDescent="0.15">
      <c r="A144" s="2513"/>
      <c r="B144" s="2596" t="s">
        <v>1104</v>
      </c>
      <c r="C144" s="590" t="s">
        <v>673</v>
      </c>
      <c r="D144" s="2001"/>
      <c r="E144" s="1526"/>
      <c r="F144" s="458">
        <f t="shared" ref="F144:G153" si="740">IF(F$29=2,F123,0)</f>
        <v>0</v>
      </c>
      <c r="G144" s="458">
        <f t="shared" si="740"/>
        <v>0</v>
      </c>
      <c r="H144" s="458">
        <f t="shared" ref="H144:M144" si="741">IF(H$29=2,H123,0)</f>
        <v>0</v>
      </c>
      <c r="I144" s="458">
        <f t="shared" si="741"/>
        <v>0</v>
      </c>
      <c r="J144" s="458">
        <f t="shared" si="741"/>
        <v>0</v>
      </c>
      <c r="K144" s="458">
        <f t="shared" si="741"/>
        <v>0</v>
      </c>
      <c r="L144" s="458">
        <f t="shared" si="741"/>
        <v>0</v>
      </c>
      <c r="M144" s="458">
        <f t="shared" si="741"/>
        <v>0</v>
      </c>
      <c r="N144" s="458">
        <f t="shared" ref="N144:O144" si="742">IF(N$29=2,N123,0)</f>
        <v>0</v>
      </c>
      <c r="O144" s="458">
        <f t="shared" si="742"/>
        <v>0</v>
      </c>
      <c r="P144" s="458">
        <f t="shared" ref="P144" si="743">IF(P$29=2,P123,0)</f>
        <v>0</v>
      </c>
      <c r="Q144" s="458">
        <f t="shared" ref="Q144:AA144" si="744">IF(Q$29=2,Q123,0)</f>
        <v>0</v>
      </c>
      <c r="R144" s="458">
        <f t="shared" ref="R144" si="745">IF(R$29=2,R123,0)</f>
        <v>0</v>
      </c>
      <c r="S144" s="458">
        <f t="shared" si="744"/>
        <v>0</v>
      </c>
      <c r="T144" s="458">
        <f t="shared" si="744"/>
        <v>0</v>
      </c>
      <c r="U144" s="458">
        <f t="shared" si="744"/>
        <v>0</v>
      </c>
      <c r="V144" s="458">
        <f t="shared" si="744"/>
        <v>0</v>
      </c>
      <c r="W144" s="458">
        <f t="shared" si="744"/>
        <v>0</v>
      </c>
      <c r="X144" s="458">
        <f t="shared" si="744"/>
        <v>0</v>
      </c>
      <c r="Y144" s="458">
        <f t="shared" si="744"/>
        <v>0</v>
      </c>
      <c r="Z144" s="458">
        <f t="shared" si="744"/>
        <v>0</v>
      </c>
      <c r="AA144" s="458">
        <f t="shared" si="744"/>
        <v>0</v>
      </c>
      <c r="AB144" s="457"/>
      <c r="AC144" s="457"/>
      <c r="AD144" s="457"/>
      <c r="AE144" s="596">
        <f t="shared" si="619"/>
        <v>0</v>
      </c>
      <c r="AF144" s="578">
        <f t="shared" si="686"/>
        <v>0</v>
      </c>
      <c r="AG144" s="1086"/>
      <c r="AH144" s="1088"/>
      <c r="AI144" s="1088"/>
      <c r="AJ144" s="1088"/>
      <c r="AK144" s="1088"/>
      <c r="AL144" s="1088"/>
      <c r="AM144" s="1088"/>
      <c r="AN144" s="1088"/>
      <c r="AO144" s="1088"/>
      <c r="AP144" s="1088"/>
      <c r="AQ144" s="1088"/>
      <c r="AR144" s="1088"/>
    </row>
    <row r="145" spans="1:44" s="589" customFormat="1" ht="21.95" hidden="1" customHeight="1" x14ac:dyDescent="0.15">
      <c r="A145" s="2513"/>
      <c r="B145" s="2597"/>
      <c r="C145" s="590" t="s">
        <v>674</v>
      </c>
      <c r="D145" s="1995"/>
      <c r="E145" s="591"/>
      <c r="F145" s="158">
        <f t="shared" si="740"/>
        <v>0</v>
      </c>
      <c r="G145" s="158">
        <f t="shared" ref="G145:G150" si="746">IF(G$29=2,G124,0)</f>
        <v>0</v>
      </c>
      <c r="H145" s="158">
        <f t="shared" ref="H145:M145" si="747">IF(H$29=2,H124,0)</f>
        <v>0</v>
      </c>
      <c r="I145" s="158">
        <f t="shared" si="747"/>
        <v>0</v>
      </c>
      <c r="J145" s="158">
        <f t="shared" si="747"/>
        <v>0</v>
      </c>
      <c r="K145" s="158">
        <f t="shared" si="747"/>
        <v>0</v>
      </c>
      <c r="L145" s="158">
        <f t="shared" si="747"/>
        <v>0</v>
      </c>
      <c r="M145" s="158">
        <f t="shared" si="747"/>
        <v>0</v>
      </c>
      <c r="N145" s="158">
        <f t="shared" ref="N145:O145" si="748">IF(N$29=2,N124,0)</f>
        <v>0</v>
      </c>
      <c r="O145" s="158">
        <f t="shared" si="748"/>
        <v>0</v>
      </c>
      <c r="P145" s="158">
        <f t="shared" ref="P145" si="749">IF(P$29=2,P124,0)</f>
        <v>0</v>
      </c>
      <c r="Q145" s="158">
        <f t="shared" ref="Q145:AA145" si="750">IF(Q$29=2,Q124,0)</f>
        <v>0</v>
      </c>
      <c r="R145" s="158">
        <f t="shared" ref="R145" si="751">IF(R$29=2,R124,0)</f>
        <v>0</v>
      </c>
      <c r="S145" s="158">
        <f t="shared" si="750"/>
        <v>0</v>
      </c>
      <c r="T145" s="158">
        <f t="shared" si="750"/>
        <v>0</v>
      </c>
      <c r="U145" s="158">
        <f t="shared" si="750"/>
        <v>0</v>
      </c>
      <c r="V145" s="158">
        <f t="shared" si="750"/>
        <v>0</v>
      </c>
      <c r="W145" s="158">
        <f t="shared" si="750"/>
        <v>0</v>
      </c>
      <c r="X145" s="158">
        <f t="shared" si="750"/>
        <v>0</v>
      </c>
      <c r="Y145" s="158">
        <f t="shared" si="750"/>
        <v>0</v>
      </c>
      <c r="Z145" s="158">
        <f t="shared" si="750"/>
        <v>0</v>
      </c>
      <c r="AA145" s="158">
        <f t="shared" si="750"/>
        <v>0</v>
      </c>
      <c r="AB145" s="159"/>
      <c r="AC145" s="159"/>
      <c r="AD145" s="159"/>
      <c r="AE145" s="350">
        <f t="shared" si="619"/>
        <v>0</v>
      </c>
      <c r="AF145" s="578">
        <f t="shared" si="686"/>
        <v>0</v>
      </c>
      <c r="AG145" s="1086"/>
      <c r="AH145" s="1088"/>
      <c r="AI145" s="1088"/>
      <c r="AJ145" s="1088"/>
      <c r="AK145" s="1088"/>
      <c r="AL145" s="1088"/>
      <c r="AM145" s="1088"/>
      <c r="AN145" s="1088"/>
      <c r="AO145" s="1088"/>
      <c r="AP145" s="1088"/>
      <c r="AQ145" s="1088"/>
      <c r="AR145" s="1088"/>
    </row>
    <row r="146" spans="1:44" s="589" customFormat="1" ht="21.95" hidden="1" customHeight="1" x14ac:dyDescent="0.15">
      <c r="A146" s="2513"/>
      <c r="B146" s="2597"/>
      <c r="C146" s="590" t="s">
        <v>675</v>
      </c>
      <c r="D146" s="2002"/>
      <c r="E146" s="1527"/>
      <c r="F146" s="595">
        <f t="shared" si="740"/>
        <v>0</v>
      </c>
      <c r="G146" s="595">
        <f t="shared" si="746"/>
        <v>0</v>
      </c>
      <c r="H146" s="595">
        <f t="shared" ref="H146:M146" si="752">IF(H$29=2,H125,0)</f>
        <v>0</v>
      </c>
      <c r="I146" s="595">
        <f t="shared" si="752"/>
        <v>0</v>
      </c>
      <c r="J146" s="595">
        <f t="shared" si="752"/>
        <v>0</v>
      </c>
      <c r="K146" s="595">
        <f t="shared" si="752"/>
        <v>0</v>
      </c>
      <c r="L146" s="595">
        <f t="shared" si="752"/>
        <v>0</v>
      </c>
      <c r="M146" s="595">
        <f t="shared" si="752"/>
        <v>0</v>
      </c>
      <c r="N146" s="595">
        <f t="shared" ref="N146:O146" si="753">IF(N$29=2,N125,0)</f>
        <v>0</v>
      </c>
      <c r="O146" s="595">
        <f t="shared" si="753"/>
        <v>0</v>
      </c>
      <c r="P146" s="595">
        <f t="shared" ref="P146" si="754">IF(P$29=2,P125,0)</f>
        <v>0</v>
      </c>
      <c r="Q146" s="595">
        <f t="shared" ref="Q146:AA146" si="755">IF(Q$29=2,Q125,0)</f>
        <v>0</v>
      </c>
      <c r="R146" s="595">
        <f t="shared" ref="R146" si="756">IF(R$29=2,R125,0)</f>
        <v>0</v>
      </c>
      <c r="S146" s="595">
        <f t="shared" si="755"/>
        <v>0</v>
      </c>
      <c r="T146" s="595">
        <f t="shared" si="755"/>
        <v>0</v>
      </c>
      <c r="U146" s="595">
        <f t="shared" si="755"/>
        <v>0</v>
      </c>
      <c r="V146" s="595">
        <f t="shared" si="755"/>
        <v>0</v>
      </c>
      <c r="W146" s="595">
        <f t="shared" si="755"/>
        <v>0</v>
      </c>
      <c r="X146" s="595">
        <f t="shared" si="755"/>
        <v>0</v>
      </c>
      <c r="Y146" s="595">
        <f t="shared" si="755"/>
        <v>0</v>
      </c>
      <c r="Z146" s="595">
        <f t="shared" si="755"/>
        <v>0</v>
      </c>
      <c r="AA146" s="595">
        <f t="shared" si="755"/>
        <v>0</v>
      </c>
      <c r="AB146" s="422"/>
      <c r="AC146" s="422"/>
      <c r="AD146" s="422"/>
      <c r="AE146" s="507">
        <f t="shared" si="619"/>
        <v>0</v>
      </c>
      <c r="AF146" s="578">
        <f t="shared" si="686"/>
        <v>0</v>
      </c>
      <c r="AG146" s="1086"/>
      <c r="AH146" s="1088"/>
      <c r="AI146" s="1088"/>
      <c r="AJ146" s="1088"/>
      <c r="AK146" s="1088"/>
      <c r="AL146" s="1088"/>
      <c r="AM146" s="1088"/>
      <c r="AN146" s="1088"/>
      <c r="AO146" s="1088"/>
      <c r="AP146" s="1088"/>
      <c r="AQ146" s="1088"/>
      <c r="AR146" s="1088"/>
    </row>
    <row r="147" spans="1:44" s="589" customFormat="1" ht="21.95" hidden="1" customHeight="1" x14ac:dyDescent="0.15">
      <c r="A147" s="2513"/>
      <c r="B147" s="2597"/>
      <c r="C147" s="590" t="s">
        <v>676</v>
      </c>
      <c r="D147" s="2001"/>
      <c r="E147" s="1526"/>
      <c r="F147" s="458">
        <f t="shared" si="740"/>
        <v>0</v>
      </c>
      <c r="G147" s="458">
        <f t="shared" si="746"/>
        <v>0</v>
      </c>
      <c r="H147" s="458">
        <f t="shared" ref="H147:M147" si="757">IF(H$29=2,H126,0)</f>
        <v>0</v>
      </c>
      <c r="I147" s="458">
        <f t="shared" si="757"/>
        <v>0</v>
      </c>
      <c r="J147" s="458">
        <f t="shared" si="757"/>
        <v>0</v>
      </c>
      <c r="K147" s="458">
        <f t="shared" si="757"/>
        <v>0</v>
      </c>
      <c r="L147" s="458">
        <f t="shared" si="757"/>
        <v>0</v>
      </c>
      <c r="M147" s="458">
        <f t="shared" si="757"/>
        <v>0</v>
      </c>
      <c r="N147" s="458">
        <f t="shared" ref="N147:O147" si="758">IF(N$29=2,N126,0)</f>
        <v>0</v>
      </c>
      <c r="O147" s="458">
        <f t="shared" si="758"/>
        <v>0</v>
      </c>
      <c r="P147" s="458">
        <f t="shared" ref="P147" si="759">IF(P$29=2,P126,0)</f>
        <v>0</v>
      </c>
      <c r="Q147" s="458">
        <f t="shared" ref="Q147:AA147" si="760">IF(Q$29=2,Q126,0)</f>
        <v>0</v>
      </c>
      <c r="R147" s="458">
        <f t="shared" ref="R147" si="761">IF(R$29=2,R126,0)</f>
        <v>0</v>
      </c>
      <c r="S147" s="458">
        <f t="shared" si="760"/>
        <v>0</v>
      </c>
      <c r="T147" s="458">
        <f t="shared" si="760"/>
        <v>0</v>
      </c>
      <c r="U147" s="458">
        <f t="shared" si="760"/>
        <v>0</v>
      </c>
      <c r="V147" s="458">
        <f t="shared" si="760"/>
        <v>0</v>
      </c>
      <c r="W147" s="458">
        <f t="shared" si="760"/>
        <v>0</v>
      </c>
      <c r="X147" s="458">
        <f t="shared" si="760"/>
        <v>0</v>
      </c>
      <c r="Y147" s="458">
        <f t="shared" si="760"/>
        <v>0</v>
      </c>
      <c r="Z147" s="458">
        <f t="shared" si="760"/>
        <v>0</v>
      </c>
      <c r="AA147" s="458">
        <f t="shared" si="760"/>
        <v>0</v>
      </c>
      <c r="AB147" s="457"/>
      <c r="AC147" s="457"/>
      <c r="AD147" s="457"/>
      <c r="AE147" s="596">
        <f t="shared" si="619"/>
        <v>0</v>
      </c>
      <c r="AF147" s="578">
        <f t="shared" si="686"/>
        <v>0</v>
      </c>
      <c r="AG147" s="1086"/>
      <c r="AH147" s="1088"/>
      <c r="AI147" s="1088"/>
      <c r="AJ147" s="1088"/>
      <c r="AK147" s="1088"/>
      <c r="AL147" s="1088"/>
      <c r="AM147" s="1088"/>
      <c r="AN147" s="1088"/>
      <c r="AO147" s="1088"/>
      <c r="AP147" s="1088"/>
      <c r="AQ147" s="1088"/>
      <c r="AR147" s="1088"/>
    </row>
    <row r="148" spans="1:44" s="589" customFormat="1" ht="21.95" hidden="1" customHeight="1" x14ac:dyDescent="0.15">
      <c r="A148" s="2513"/>
      <c r="B148" s="2597"/>
      <c r="C148" s="590" t="s">
        <v>677</v>
      </c>
      <c r="D148" s="1995"/>
      <c r="E148" s="591"/>
      <c r="F148" s="158">
        <f t="shared" si="740"/>
        <v>0</v>
      </c>
      <c r="G148" s="158">
        <f t="shared" si="746"/>
        <v>0</v>
      </c>
      <c r="H148" s="158">
        <f t="shared" ref="H148:M148" si="762">IF(H$29=2,H127,0)</f>
        <v>0</v>
      </c>
      <c r="I148" s="158">
        <f t="shared" si="762"/>
        <v>0</v>
      </c>
      <c r="J148" s="158">
        <f t="shared" si="762"/>
        <v>0</v>
      </c>
      <c r="K148" s="158">
        <f t="shared" si="762"/>
        <v>0</v>
      </c>
      <c r="L148" s="158">
        <f t="shared" si="762"/>
        <v>0</v>
      </c>
      <c r="M148" s="158">
        <f t="shared" si="762"/>
        <v>0</v>
      </c>
      <c r="N148" s="158">
        <f t="shared" ref="N148:O148" si="763">IF(N$29=2,N127,0)</f>
        <v>0</v>
      </c>
      <c r="O148" s="158">
        <f t="shared" si="763"/>
        <v>0</v>
      </c>
      <c r="P148" s="158">
        <f t="shared" ref="P148" si="764">IF(P$29=2,P127,0)</f>
        <v>0</v>
      </c>
      <c r="Q148" s="158">
        <f t="shared" ref="Q148:AA148" si="765">IF(Q$29=2,Q127,0)</f>
        <v>0</v>
      </c>
      <c r="R148" s="158">
        <f t="shared" ref="R148" si="766">IF(R$29=2,R127,0)</f>
        <v>0</v>
      </c>
      <c r="S148" s="158">
        <f t="shared" si="765"/>
        <v>0</v>
      </c>
      <c r="T148" s="158">
        <f t="shared" si="765"/>
        <v>0</v>
      </c>
      <c r="U148" s="158">
        <f t="shared" si="765"/>
        <v>0</v>
      </c>
      <c r="V148" s="158">
        <f t="shared" si="765"/>
        <v>0</v>
      </c>
      <c r="W148" s="158">
        <f t="shared" si="765"/>
        <v>0</v>
      </c>
      <c r="X148" s="158">
        <f t="shared" si="765"/>
        <v>0</v>
      </c>
      <c r="Y148" s="158">
        <f t="shared" si="765"/>
        <v>0</v>
      </c>
      <c r="Z148" s="158">
        <f t="shared" si="765"/>
        <v>0</v>
      </c>
      <c r="AA148" s="158">
        <f t="shared" si="765"/>
        <v>0</v>
      </c>
      <c r="AB148" s="159"/>
      <c r="AC148" s="159"/>
      <c r="AD148" s="159"/>
      <c r="AE148" s="350">
        <f t="shared" si="619"/>
        <v>0</v>
      </c>
      <c r="AF148" s="578">
        <f t="shared" si="686"/>
        <v>0</v>
      </c>
      <c r="AG148" s="1086"/>
      <c r="AH148" s="1088"/>
      <c r="AI148" s="1088"/>
      <c r="AJ148" s="1088"/>
      <c r="AK148" s="1088"/>
      <c r="AL148" s="1088"/>
      <c r="AM148" s="1088"/>
      <c r="AN148" s="1088"/>
      <c r="AO148" s="1088"/>
      <c r="AP148" s="1088"/>
      <c r="AQ148" s="1088"/>
      <c r="AR148" s="1088"/>
    </row>
    <row r="149" spans="1:44" s="589" customFormat="1" ht="21.95" hidden="1" customHeight="1" x14ac:dyDescent="0.15">
      <c r="A149" s="2513"/>
      <c r="B149" s="2597"/>
      <c r="C149" s="590" t="s">
        <v>678</v>
      </c>
      <c r="D149" s="2002"/>
      <c r="E149" s="1527"/>
      <c r="F149" s="158">
        <f t="shared" si="740"/>
        <v>0</v>
      </c>
      <c r="G149" s="158">
        <f t="shared" si="746"/>
        <v>0</v>
      </c>
      <c r="H149" s="158">
        <f t="shared" ref="H149:M149" si="767">IF(H$29=2,H128,0)</f>
        <v>0</v>
      </c>
      <c r="I149" s="158">
        <f t="shared" si="767"/>
        <v>0</v>
      </c>
      <c r="J149" s="158">
        <f t="shared" si="767"/>
        <v>0</v>
      </c>
      <c r="K149" s="158">
        <f t="shared" si="767"/>
        <v>0</v>
      </c>
      <c r="L149" s="158">
        <f t="shared" si="767"/>
        <v>0</v>
      </c>
      <c r="M149" s="158">
        <f t="shared" si="767"/>
        <v>0</v>
      </c>
      <c r="N149" s="158">
        <f t="shared" ref="N149:O149" si="768">IF(N$29=2,N128,0)</f>
        <v>0</v>
      </c>
      <c r="O149" s="158">
        <f t="shared" si="768"/>
        <v>0</v>
      </c>
      <c r="P149" s="158">
        <f t="shared" ref="P149" si="769">IF(P$29=2,P128,0)</f>
        <v>0</v>
      </c>
      <c r="Q149" s="158">
        <f t="shared" ref="Q149:AA149" si="770">IF(Q$29=2,Q128,0)</f>
        <v>0</v>
      </c>
      <c r="R149" s="158">
        <f t="shared" ref="R149" si="771">IF(R$29=2,R128,0)</f>
        <v>0</v>
      </c>
      <c r="S149" s="595">
        <f t="shared" si="770"/>
        <v>0</v>
      </c>
      <c r="T149" s="595">
        <f t="shared" si="770"/>
        <v>0</v>
      </c>
      <c r="U149" s="595">
        <f t="shared" si="770"/>
        <v>0</v>
      </c>
      <c r="V149" s="595">
        <f t="shared" si="770"/>
        <v>0</v>
      </c>
      <c r="W149" s="595">
        <f t="shared" si="770"/>
        <v>0</v>
      </c>
      <c r="X149" s="595">
        <f t="shared" si="770"/>
        <v>0</v>
      </c>
      <c r="Y149" s="595">
        <f t="shared" si="770"/>
        <v>0</v>
      </c>
      <c r="Z149" s="595">
        <f t="shared" si="770"/>
        <v>0</v>
      </c>
      <c r="AA149" s="595">
        <f t="shared" si="770"/>
        <v>0</v>
      </c>
      <c r="AB149" s="422"/>
      <c r="AC149" s="422"/>
      <c r="AD149" s="422"/>
      <c r="AE149" s="350">
        <f t="shared" si="619"/>
        <v>0</v>
      </c>
      <c r="AF149" s="578">
        <f t="shared" si="686"/>
        <v>0</v>
      </c>
      <c r="AG149" s="1086"/>
      <c r="AH149" s="1088"/>
      <c r="AI149" s="1088"/>
      <c r="AJ149" s="1088"/>
      <c r="AK149" s="1088"/>
      <c r="AL149" s="1088"/>
      <c r="AM149" s="1088"/>
      <c r="AN149" s="1088"/>
      <c r="AO149" s="1088"/>
      <c r="AP149" s="1088"/>
      <c r="AQ149" s="1088"/>
      <c r="AR149" s="1088"/>
    </row>
    <row r="150" spans="1:44" s="589" customFormat="1" ht="21.95" hidden="1" customHeight="1" x14ac:dyDescent="0.15">
      <c r="A150" s="2513"/>
      <c r="B150" s="2597"/>
      <c r="C150" s="590" t="s">
        <v>682</v>
      </c>
      <c r="D150" s="2001"/>
      <c r="E150" s="1526"/>
      <c r="F150" s="158">
        <f t="shared" si="740"/>
        <v>0</v>
      </c>
      <c r="G150" s="158">
        <f t="shared" si="746"/>
        <v>0</v>
      </c>
      <c r="H150" s="158">
        <f t="shared" ref="H150:M150" si="772">IF(H$29=2,H129,0)</f>
        <v>0</v>
      </c>
      <c r="I150" s="158">
        <f t="shared" si="772"/>
        <v>0</v>
      </c>
      <c r="J150" s="158">
        <f t="shared" si="772"/>
        <v>0</v>
      </c>
      <c r="K150" s="158">
        <f t="shared" si="772"/>
        <v>0</v>
      </c>
      <c r="L150" s="158">
        <f t="shared" si="772"/>
        <v>0</v>
      </c>
      <c r="M150" s="158">
        <f t="shared" si="772"/>
        <v>0</v>
      </c>
      <c r="N150" s="158">
        <f t="shared" ref="N150:O150" si="773">IF(N$29=2,N129,0)</f>
        <v>0</v>
      </c>
      <c r="O150" s="158">
        <f t="shared" si="773"/>
        <v>0</v>
      </c>
      <c r="P150" s="158">
        <f t="shared" ref="P150" si="774">IF(P$29=2,P129,0)</f>
        <v>0</v>
      </c>
      <c r="Q150" s="158">
        <f t="shared" ref="Q150:AA150" si="775">IF(Q$29=2,Q129,0)</f>
        <v>0</v>
      </c>
      <c r="R150" s="158">
        <f t="shared" ref="R150" si="776">IF(R$29=2,R129,0)</f>
        <v>0</v>
      </c>
      <c r="S150" s="458">
        <f t="shared" si="775"/>
        <v>0</v>
      </c>
      <c r="T150" s="458">
        <f t="shared" si="775"/>
        <v>0</v>
      </c>
      <c r="U150" s="458">
        <f t="shared" si="775"/>
        <v>0</v>
      </c>
      <c r="V150" s="458">
        <f t="shared" si="775"/>
        <v>0</v>
      </c>
      <c r="W150" s="458">
        <f t="shared" si="775"/>
        <v>0</v>
      </c>
      <c r="X150" s="458">
        <f t="shared" si="775"/>
        <v>0</v>
      </c>
      <c r="Y150" s="458">
        <f t="shared" si="775"/>
        <v>0</v>
      </c>
      <c r="Z150" s="458">
        <f t="shared" si="775"/>
        <v>0</v>
      </c>
      <c r="AA150" s="458">
        <f t="shared" si="775"/>
        <v>0</v>
      </c>
      <c r="AB150" s="457"/>
      <c r="AC150" s="457"/>
      <c r="AD150" s="457"/>
      <c r="AE150" s="350">
        <f t="shared" si="619"/>
        <v>0</v>
      </c>
      <c r="AF150" s="578">
        <f t="shared" si="686"/>
        <v>0</v>
      </c>
      <c r="AG150" s="1086"/>
      <c r="AH150" s="1088"/>
      <c r="AI150" s="1088"/>
      <c r="AJ150" s="1088"/>
      <c r="AK150" s="1088"/>
      <c r="AL150" s="1088"/>
      <c r="AM150" s="1088"/>
      <c r="AN150" s="1088"/>
      <c r="AO150" s="1088"/>
      <c r="AP150" s="1088"/>
      <c r="AQ150" s="1088"/>
      <c r="AR150" s="1088"/>
    </row>
    <row r="151" spans="1:44" s="589" customFormat="1" ht="21.95" hidden="1" customHeight="1" x14ac:dyDescent="0.15">
      <c r="A151" s="2513"/>
      <c r="B151" s="2597"/>
      <c r="C151" s="590" t="s">
        <v>679</v>
      </c>
      <c r="D151" s="2002"/>
      <c r="E151" s="1527"/>
      <c r="F151" s="595">
        <f t="shared" si="740"/>
        <v>0</v>
      </c>
      <c r="G151" s="595">
        <f t="shared" ref="G151:G153" si="777">IF(G$29=2,G130,0)</f>
        <v>0</v>
      </c>
      <c r="H151" s="595">
        <f t="shared" ref="H151:M151" si="778">IF(H$29=2,H130,0)</f>
        <v>0</v>
      </c>
      <c r="I151" s="595">
        <f t="shared" si="778"/>
        <v>0</v>
      </c>
      <c r="J151" s="595">
        <f t="shared" si="778"/>
        <v>0</v>
      </c>
      <c r="K151" s="595">
        <f t="shared" si="778"/>
        <v>0</v>
      </c>
      <c r="L151" s="595">
        <f t="shared" si="778"/>
        <v>0</v>
      </c>
      <c r="M151" s="595">
        <f t="shared" si="778"/>
        <v>0</v>
      </c>
      <c r="N151" s="595">
        <f t="shared" ref="N151:O151" si="779">IF(N$29=2,N130,0)</f>
        <v>0</v>
      </c>
      <c r="O151" s="595">
        <f t="shared" si="779"/>
        <v>0</v>
      </c>
      <c r="P151" s="595">
        <f t="shared" ref="P151" si="780">IF(P$29=2,P130,0)</f>
        <v>0</v>
      </c>
      <c r="Q151" s="595">
        <f t="shared" ref="Q151:AA151" si="781">IF(Q$29=2,Q130,0)</f>
        <v>0</v>
      </c>
      <c r="R151" s="595">
        <f t="shared" ref="R151" si="782">IF(R$29=2,R130,0)</f>
        <v>0</v>
      </c>
      <c r="S151" s="595">
        <f t="shared" si="781"/>
        <v>0</v>
      </c>
      <c r="T151" s="595">
        <f t="shared" si="781"/>
        <v>0</v>
      </c>
      <c r="U151" s="595">
        <f t="shared" si="781"/>
        <v>0</v>
      </c>
      <c r="V151" s="595">
        <f t="shared" si="781"/>
        <v>0</v>
      </c>
      <c r="W151" s="595">
        <f t="shared" si="781"/>
        <v>0</v>
      </c>
      <c r="X151" s="595">
        <f t="shared" si="781"/>
        <v>0</v>
      </c>
      <c r="Y151" s="595">
        <f t="shared" si="781"/>
        <v>0</v>
      </c>
      <c r="Z151" s="595">
        <f t="shared" si="781"/>
        <v>0</v>
      </c>
      <c r="AA151" s="595">
        <f t="shared" si="781"/>
        <v>0</v>
      </c>
      <c r="AB151" s="422"/>
      <c r="AC151" s="422"/>
      <c r="AD151" s="422"/>
      <c r="AE151" s="507">
        <f t="shared" si="619"/>
        <v>0</v>
      </c>
      <c r="AF151" s="578">
        <f t="shared" si="686"/>
        <v>0</v>
      </c>
      <c r="AG151" s="1086"/>
      <c r="AH151" s="1088"/>
      <c r="AI151" s="1088"/>
      <c r="AJ151" s="1088"/>
      <c r="AK151" s="1088"/>
      <c r="AL151" s="1088"/>
      <c r="AM151" s="1088"/>
      <c r="AN151" s="1088"/>
      <c r="AO151" s="1088"/>
      <c r="AP151" s="1088"/>
      <c r="AQ151" s="1088"/>
      <c r="AR151" s="1088"/>
    </row>
    <row r="152" spans="1:44" s="589" customFormat="1" ht="21.95" hidden="1" customHeight="1" x14ac:dyDescent="0.15">
      <c r="A152" s="2513"/>
      <c r="B152" s="2597"/>
      <c r="C152" s="590" t="s">
        <v>680</v>
      </c>
      <c r="D152" s="2001"/>
      <c r="E152" s="1526"/>
      <c r="F152" s="458">
        <f t="shared" si="740"/>
        <v>0</v>
      </c>
      <c r="G152" s="458">
        <f t="shared" si="777"/>
        <v>0</v>
      </c>
      <c r="H152" s="458">
        <f t="shared" ref="H152:M152" si="783">IF(H$29=2,H131,0)</f>
        <v>0</v>
      </c>
      <c r="I152" s="458">
        <f t="shared" si="783"/>
        <v>0</v>
      </c>
      <c r="J152" s="458">
        <f t="shared" si="783"/>
        <v>0</v>
      </c>
      <c r="K152" s="458">
        <f t="shared" si="783"/>
        <v>0</v>
      </c>
      <c r="L152" s="458">
        <f t="shared" si="783"/>
        <v>0</v>
      </c>
      <c r="M152" s="458">
        <f t="shared" si="783"/>
        <v>0</v>
      </c>
      <c r="N152" s="458">
        <f t="shared" ref="N152:O152" si="784">IF(N$29=2,N131,0)</f>
        <v>0</v>
      </c>
      <c r="O152" s="458">
        <f t="shared" si="784"/>
        <v>0</v>
      </c>
      <c r="P152" s="458">
        <f t="shared" ref="P152" si="785">IF(P$29=2,P131,0)</f>
        <v>0</v>
      </c>
      <c r="Q152" s="458">
        <f t="shared" ref="Q152:AA152" si="786">IF(Q$29=2,Q131,0)</f>
        <v>0</v>
      </c>
      <c r="R152" s="458">
        <f t="shared" ref="R152" si="787">IF(R$29=2,R131,0)</f>
        <v>0</v>
      </c>
      <c r="S152" s="458">
        <f t="shared" si="786"/>
        <v>0</v>
      </c>
      <c r="T152" s="458">
        <f t="shared" si="786"/>
        <v>0</v>
      </c>
      <c r="U152" s="458">
        <f t="shared" si="786"/>
        <v>0</v>
      </c>
      <c r="V152" s="458">
        <f t="shared" si="786"/>
        <v>0</v>
      </c>
      <c r="W152" s="458">
        <f t="shared" si="786"/>
        <v>0</v>
      </c>
      <c r="X152" s="458">
        <f t="shared" si="786"/>
        <v>0</v>
      </c>
      <c r="Y152" s="458">
        <f t="shared" si="786"/>
        <v>0</v>
      </c>
      <c r="Z152" s="458">
        <f t="shared" si="786"/>
        <v>0</v>
      </c>
      <c r="AA152" s="458">
        <f t="shared" si="786"/>
        <v>0</v>
      </c>
      <c r="AB152" s="457"/>
      <c r="AC152" s="457"/>
      <c r="AD152" s="457"/>
      <c r="AE152" s="596">
        <f t="shared" si="619"/>
        <v>0</v>
      </c>
      <c r="AF152" s="578">
        <f t="shared" si="686"/>
        <v>0</v>
      </c>
      <c r="AG152" s="1086"/>
      <c r="AH152" s="1088"/>
      <c r="AI152" s="1088"/>
      <c r="AJ152" s="1088"/>
      <c r="AK152" s="1088"/>
      <c r="AL152" s="1088"/>
      <c r="AM152" s="1088"/>
      <c r="AN152" s="1088"/>
      <c r="AO152" s="1088"/>
      <c r="AP152" s="1088"/>
      <c r="AQ152" s="1088"/>
      <c r="AR152" s="1088"/>
    </row>
    <row r="153" spans="1:44" s="589" customFormat="1" ht="21.95" hidden="1" customHeight="1" thickBot="1" x14ac:dyDescent="0.2">
      <c r="A153" s="2513"/>
      <c r="B153" s="2598"/>
      <c r="C153" s="928" t="s">
        <v>681</v>
      </c>
      <c r="D153" s="1996"/>
      <c r="E153" s="1519"/>
      <c r="F153" s="239">
        <f t="shared" si="740"/>
        <v>0</v>
      </c>
      <c r="G153" s="239">
        <f t="shared" si="777"/>
        <v>0</v>
      </c>
      <c r="H153" s="239">
        <f t="shared" ref="H153:M153" si="788">IF(H$29=2,H132,0)</f>
        <v>0</v>
      </c>
      <c r="I153" s="239">
        <f t="shared" si="788"/>
        <v>0</v>
      </c>
      <c r="J153" s="239">
        <f t="shared" si="788"/>
        <v>0</v>
      </c>
      <c r="K153" s="239">
        <f t="shared" si="788"/>
        <v>0</v>
      </c>
      <c r="L153" s="239">
        <f t="shared" si="788"/>
        <v>0</v>
      </c>
      <c r="M153" s="239">
        <f t="shared" si="788"/>
        <v>0</v>
      </c>
      <c r="N153" s="239">
        <f t="shared" ref="N153:O153" si="789">IF(N$29=2,N132,0)</f>
        <v>0</v>
      </c>
      <c r="O153" s="239">
        <f t="shared" si="789"/>
        <v>0</v>
      </c>
      <c r="P153" s="239">
        <f t="shared" ref="P153" si="790">IF(P$29=2,P132,0)</f>
        <v>0</v>
      </c>
      <c r="Q153" s="239">
        <f t="shared" ref="Q153:AA153" si="791">IF(Q$29=2,Q132,0)</f>
        <v>0</v>
      </c>
      <c r="R153" s="239">
        <f t="shared" ref="R153" si="792">IF(R$29=2,R132,0)</f>
        <v>0</v>
      </c>
      <c r="S153" s="239">
        <f t="shared" si="791"/>
        <v>0</v>
      </c>
      <c r="T153" s="239">
        <f t="shared" si="791"/>
        <v>0</v>
      </c>
      <c r="U153" s="239">
        <f t="shared" si="791"/>
        <v>0</v>
      </c>
      <c r="V153" s="239">
        <f t="shared" si="791"/>
        <v>0</v>
      </c>
      <c r="W153" s="239">
        <f t="shared" si="791"/>
        <v>0</v>
      </c>
      <c r="X153" s="239">
        <f t="shared" si="791"/>
        <v>0</v>
      </c>
      <c r="Y153" s="239">
        <f t="shared" si="791"/>
        <v>0</v>
      </c>
      <c r="Z153" s="239">
        <f t="shared" si="791"/>
        <v>0</v>
      </c>
      <c r="AA153" s="239">
        <f t="shared" si="791"/>
        <v>0</v>
      </c>
      <c r="AB153" s="237"/>
      <c r="AC153" s="237"/>
      <c r="AD153" s="237"/>
      <c r="AE153" s="361">
        <f t="shared" si="619"/>
        <v>0</v>
      </c>
      <c r="AF153" s="578">
        <f t="shared" si="686"/>
        <v>0</v>
      </c>
      <c r="AG153" s="1086"/>
      <c r="AH153" s="1088"/>
      <c r="AI153" s="1088"/>
      <c r="AJ153" s="1088"/>
      <c r="AK153" s="1088"/>
      <c r="AL153" s="1088"/>
      <c r="AM153" s="1088"/>
      <c r="AN153" s="1088"/>
      <c r="AO153" s="1088"/>
      <c r="AP153" s="1088"/>
      <c r="AQ153" s="1088"/>
      <c r="AR153" s="1088"/>
    </row>
    <row r="154" spans="1:44" s="589" customFormat="1" ht="21.95" hidden="1" customHeight="1" x14ac:dyDescent="0.15">
      <c r="A154" s="2513"/>
      <c r="B154" s="2588" t="s">
        <v>671</v>
      </c>
      <c r="C154" s="929" t="s">
        <v>16</v>
      </c>
      <c r="D154" s="1994"/>
      <c r="E154" s="1516"/>
      <c r="F154" s="238">
        <f>Dren_Quantificacao!D18</f>
        <v>0</v>
      </c>
      <c r="G154" s="238">
        <f>Dren_Quantificacao!E18</f>
        <v>0</v>
      </c>
      <c r="H154" s="238">
        <f>Dren_Quantificacao!F18</f>
        <v>0</v>
      </c>
      <c r="I154" s="238">
        <f>Dren_Quantificacao!G18</f>
        <v>0</v>
      </c>
      <c r="J154" s="238">
        <f>Dren_Quantificacao!H18</f>
        <v>0</v>
      </c>
      <c r="K154" s="238">
        <f>Dren_Quantificacao!I18</f>
        <v>0</v>
      </c>
      <c r="L154" s="238">
        <f>Dren_Quantificacao!J18</f>
        <v>0</v>
      </c>
      <c r="M154" s="238">
        <f>Dren_Quantificacao!K18</f>
        <v>0</v>
      </c>
      <c r="N154" s="238">
        <f>Dren_Quantificacao!L18</f>
        <v>0</v>
      </c>
      <c r="O154" s="238">
        <f>Dren_Quantificacao!M18</f>
        <v>0</v>
      </c>
      <c r="P154" s="238">
        <f>Dren_Quantificacao!O18</f>
        <v>0</v>
      </c>
      <c r="Q154" s="238">
        <f>Dren_Quantificacao!P18</f>
        <v>0</v>
      </c>
      <c r="R154" s="238">
        <f>Dren_Quantificacao!Q18</f>
        <v>0</v>
      </c>
      <c r="S154" s="238">
        <f>Dren_Quantificacao!R18</f>
        <v>0</v>
      </c>
      <c r="T154" s="238">
        <f>Dren_Quantificacao!S18</f>
        <v>0</v>
      </c>
      <c r="U154" s="238">
        <f>Dren_Quantificacao!T18</f>
        <v>0</v>
      </c>
      <c r="V154" s="238">
        <f>Dren_Quantificacao!U18</f>
        <v>0</v>
      </c>
      <c r="W154" s="238">
        <f>Dren_Quantificacao!V18</f>
        <v>0</v>
      </c>
      <c r="X154" s="238">
        <f>Dren_Quantificacao!W18</f>
        <v>0</v>
      </c>
      <c r="Y154" s="238">
        <f>Dren_Quantificacao!X18</f>
        <v>0</v>
      </c>
      <c r="Z154" s="238">
        <f>Dren_Quantificacao!Y18</f>
        <v>0</v>
      </c>
      <c r="AA154" s="238">
        <f>Dren_Quantificacao!Z18</f>
        <v>0</v>
      </c>
      <c r="AB154" s="241"/>
      <c r="AC154" s="241"/>
      <c r="AD154" s="241"/>
      <c r="AE154" s="363"/>
      <c r="AF154" s="578">
        <f t="shared" si="686"/>
        <v>0</v>
      </c>
      <c r="AG154" s="1086"/>
      <c r="AH154" s="1088"/>
      <c r="AI154" s="1088"/>
      <c r="AJ154" s="1088"/>
      <c r="AK154" s="1088"/>
      <c r="AL154" s="1088"/>
      <c r="AM154" s="1088"/>
      <c r="AN154" s="1088"/>
      <c r="AO154" s="1088"/>
      <c r="AP154" s="1088"/>
      <c r="AQ154" s="1088"/>
      <c r="AR154" s="1088"/>
    </row>
    <row r="155" spans="1:44" s="589" customFormat="1" ht="21.95" hidden="1" customHeight="1" x14ac:dyDescent="0.15">
      <c r="A155" s="2513"/>
      <c r="B155" s="2585"/>
      <c r="C155" s="590" t="s">
        <v>3</v>
      </c>
      <c r="D155" s="1995"/>
      <c r="E155" s="591"/>
      <c r="F155" s="158">
        <f>Dren_Quantificacao!D19</f>
        <v>0</v>
      </c>
      <c r="G155" s="158">
        <f>Dren_Quantificacao!E19</f>
        <v>0</v>
      </c>
      <c r="H155" s="158">
        <f>Dren_Quantificacao!F19</f>
        <v>0</v>
      </c>
      <c r="I155" s="158">
        <f>Dren_Quantificacao!G19</f>
        <v>0</v>
      </c>
      <c r="J155" s="158">
        <f>Dren_Quantificacao!H19</f>
        <v>0</v>
      </c>
      <c r="K155" s="158">
        <f>Dren_Quantificacao!I19</f>
        <v>0</v>
      </c>
      <c r="L155" s="158">
        <f>Dren_Quantificacao!J19</f>
        <v>0</v>
      </c>
      <c r="M155" s="158">
        <f>Dren_Quantificacao!K19</f>
        <v>0</v>
      </c>
      <c r="N155" s="158">
        <f>Dren_Quantificacao!L19</f>
        <v>0</v>
      </c>
      <c r="O155" s="158">
        <f>Dren_Quantificacao!M19</f>
        <v>0</v>
      </c>
      <c r="P155" s="158">
        <f>Dren_Quantificacao!O19</f>
        <v>0</v>
      </c>
      <c r="Q155" s="158">
        <f>Dren_Quantificacao!P19</f>
        <v>0</v>
      </c>
      <c r="R155" s="158">
        <f>Dren_Quantificacao!Q19</f>
        <v>0</v>
      </c>
      <c r="S155" s="158">
        <f>Dren_Quantificacao!R19</f>
        <v>0</v>
      </c>
      <c r="T155" s="158">
        <f>Dren_Quantificacao!S19</f>
        <v>0</v>
      </c>
      <c r="U155" s="158">
        <f>Dren_Quantificacao!T19</f>
        <v>0</v>
      </c>
      <c r="V155" s="158">
        <f>Dren_Quantificacao!U19</f>
        <v>0</v>
      </c>
      <c r="W155" s="158">
        <f>Dren_Quantificacao!V19</f>
        <v>0</v>
      </c>
      <c r="X155" s="158">
        <f>Dren_Quantificacao!W19</f>
        <v>0</v>
      </c>
      <c r="Y155" s="158">
        <f>Dren_Quantificacao!X19</f>
        <v>0</v>
      </c>
      <c r="Z155" s="158">
        <f>Dren_Quantificacao!Y19</f>
        <v>0</v>
      </c>
      <c r="AA155" s="158">
        <f>Dren_Quantificacao!Z19</f>
        <v>0</v>
      </c>
      <c r="AB155" s="159"/>
      <c r="AC155" s="159"/>
      <c r="AD155" s="159"/>
      <c r="AE155" s="594">
        <f>TRUNC(SUM(F155:AD155),2)</f>
        <v>0</v>
      </c>
      <c r="AF155" s="578">
        <f t="shared" si="686"/>
        <v>0</v>
      </c>
      <c r="AG155" s="1086"/>
      <c r="AH155" s="1088"/>
      <c r="AI155" s="1088"/>
      <c r="AJ155" s="1088"/>
      <c r="AK155" s="1088"/>
      <c r="AL155" s="1088"/>
      <c r="AM155" s="1088"/>
      <c r="AN155" s="1088"/>
      <c r="AO155" s="1088"/>
      <c r="AP155" s="1088"/>
      <c r="AQ155" s="1088"/>
      <c r="AR155" s="1088"/>
    </row>
    <row r="156" spans="1:44" s="589" customFormat="1" ht="21.95" hidden="1" customHeight="1" x14ac:dyDescent="0.15">
      <c r="A156" s="2513"/>
      <c r="B156" s="2585"/>
      <c r="C156" s="590" t="s">
        <v>58</v>
      </c>
      <c r="D156" s="1995"/>
      <c r="E156" s="591"/>
      <c r="F156" s="158">
        <f t="shared" ref="F156:G156" si="793">IF(F154&gt;0,F33+F34,0)</f>
        <v>0</v>
      </c>
      <c r="G156" s="158">
        <f t="shared" si="793"/>
        <v>0</v>
      </c>
      <c r="H156" s="158">
        <f t="shared" ref="H156:M156" si="794">IF(H154&gt;0,H33+H34,0)</f>
        <v>0</v>
      </c>
      <c r="I156" s="158">
        <f t="shared" si="794"/>
        <v>0</v>
      </c>
      <c r="J156" s="158">
        <f t="shared" si="794"/>
        <v>0</v>
      </c>
      <c r="K156" s="158">
        <f t="shared" si="794"/>
        <v>0</v>
      </c>
      <c r="L156" s="158">
        <f t="shared" si="794"/>
        <v>0</v>
      </c>
      <c r="M156" s="158">
        <f t="shared" si="794"/>
        <v>0</v>
      </c>
      <c r="N156" s="158">
        <f t="shared" ref="N156:O156" si="795">IF(N154&gt;0,N33+N34,0)</f>
        <v>0</v>
      </c>
      <c r="O156" s="158">
        <f t="shared" si="795"/>
        <v>0</v>
      </c>
      <c r="P156" s="158">
        <f t="shared" ref="P156" si="796">IF(P154&gt;0,P33+P34,0)</f>
        <v>0</v>
      </c>
      <c r="Q156" s="158">
        <f t="shared" ref="Q156:AA156" si="797">IF(Q154&gt;0,Q33+Q34,0)</f>
        <v>0</v>
      </c>
      <c r="R156" s="158">
        <f t="shared" ref="R156" si="798">IF(R154&gt;0,R33+R34,0)</f>
        <v>0</v>
      </c>
      <c r="S156" s="158">
        <f t="shared" si="797"/>
        <v>0</v>
      </c>
      <c r="T156" s="158">
        <f t="shared" si="797"/>
        <v>0</v>
      </c>
      <c r="U156" s="158">
        <f t="shared" si="797"/>
        <v>0</v>
      </c>
      <c r="V156" s="158">
        <f t="shared" si="797"/>
        <v>0</v>
      </c>
      <c r="W156" s="158">
        <f t="shared" si="797"/>
        <v>0</v>
      </c>
      <c r="X156" s="158">
        <f t="shared" si="797"/>
        <v>0</v>
      </c>
      <c r="Y156" s="158">
        <f t="shared" si="797"/>
        <v>0</v>
      </c>
      <c r="Z156" s="158">
        <f t="shared" si="797"/>
        <v>0</v>
      </c>
      <c r="AA156" s="158">
        <f t="shared" si="797"/>
        <v>0</v>
      </c>
      <c r="AB156" s="159"/>
      <c r="AC156" s="159"/>
      <c r="AD156" s="159"/>
      <c r="AE156" s="600"/>
      <c r="AF156" s="578">
        <f t="shared" si="686"/>
        <v>0</v>
      </c>
      <c r="AG156" s="1086"/>
      <c r="AH156" s="1088"/>
      <c r="AI156" s="1088"/>
      <c r="AJ156" s="1088"/>
      <c r="AK156" s="1088"/>
      <c r="AL156" s="1088"/>
      <c r="AM156" s="1088"/>
      <c r="AN156" s="1088"/>
      <c r="AO156" s="1088"/>
      <c r="AP156" s="1088"/>
      <c r="AQ156" s="1088"/>
      <c r="AR156" s="1088"/>
    </row>
    <row r="157" spans="1:44" s="589" customFormat="1" ht="21.95" hidden="1" customHeight="1" x14ac:dyDescent="0.15">
      <c r="A157" s="2513"/>
      <c r="B157" s="2585"/>
      <c r="C157" s="590" t="s">
        <v>2408</v>
      </c>
      <c r="D157" s="1995"/>
      <c r="E157" s="591"/>
      <c r="F157" s="158">
        <f t="shared" ref="F157:G157" si="799">IF(F156&lt;=1.5,F156*F155*F154,0)</f>
        <v>0</v>
      </c>
      <c r="G157" s="158">
        <f t="shared" si="799"/>
        <v>0</v>
      </c>
      <c r="H157" s="158">
        <f t="shared" ref="H157:M157" si="800">IF(H156&lt;=1.5,H156*H155*H154,0)</f>
        <v>0</v>
      </c>
      <c r="I157" s="158">
        <f t="shared" si="800"/>
        <v>0</v>
      </c>
      <c r="J157" s="158">
        <f t="shared" si="800"/>
        <v>0</v>
      </c>
      <c r="K157" s="158">
        <f t="shared" si="800"/>
        <v>0</v>
      </c>
      <c r="L157" s="158">
        <f t="shared" si="800"/>
        <v>0</v>
      </c>
      <c r="M157" s="158">
        <f t="shared" si="800"/>
        <v>0</v>
      </c>
      <c r="N157" s="158">
        <f t="shared" ref="N157:O157" si="801">IF(N156&lt;=1.5,N156*N155*N154,0)</f>
        <v>0</v>
      </c>
      <c r="O157" s="158">
        <f t="shared" si="801"/>
        <v>0</v>
      </c>
      <c r="P157" s="158">
        <f t="shared" ref="P157" si="802">IF(AND(P29=1,P156&lt;=1.5),P156*P155*P154,0)</f>
        <v>0</v>
      </c>
      <c r="Q157" s="158">
        <f t="shared" ref="Q157:AA157" si="803">IF(AND(Q29=1,Q156&lt;=1.5),Q156*Q155*Q154,0)</f>
        <v>0</v>
      </c>
      <c r="R157" s="158">
        <f t="shared" ref="R157" si="804">IF(AND(R29=1,R156&lt;=1.5),R156*R155*R154,0)</f>
        <v>0</v>
      </c>
      <c r="S157" s="158">
        <f t="shared" si="803"/>
        <v>0</v>
      </c>
      <c r="T157" s="158">
        <f t="shared" si="803"/>
        <v>0</v>
      </c>
      <c r="U157" s="158">
        <f t="shared" si="803"/>
        <v>0</v>
      </c>
      <c r="V157" s="158">
        <f t="shared" si="803"/>
        <v>0</v>
      </c>
      <c r="W157" s="158">
        <f t="shared" si="803"/>
        <v>0</v>
      </c>
      <c r="X157" s="158">
        <f t="shared" si="803"/>
        <v>0</v>
      </c>
      <c r="Y157" s="158">
        <f t="shared" si="803"/>
        <v>0</v>
      </c>
      <c r="Z157" s="158">
        <f t="shared" si="803"/>
        <v>0</v>
      </c>
      <c r="AA157" s="158">
        <f t="shared" si="803"/>
        <v>0</v>
      </c>
      <c r="AB157" s="159"/>
      <c r="AC157" s="159"/>
      <c r="AD157" s="159"/>
      <c r="AE157" s="350">
        <f>TRUNC(SUM(F157:AD157),2)</f>
        <v>0</v>
      </c>
      <c r="AF157" s="578">
        <f t="shared" si="686"/>
        <v>0</v>
      </c>
      <c r="AG157" s="1086"/>
      <c r="AH157" s="1088"/>
      <c r="AI157" s="1088"/>
      <c r="AJ157" s="1088"/>
      <c r="AK157" s="1088"/>
      <c r="AL157" s="1088"/>
      <c r="AM157" s="1088"/>
      <c r="AN157" s="1088"/>
      <c r="AO157" s="1088"/>
      <c r="AP157" s="1088"/>
      <c r="AQ157" s="1088"/>
      <c r="AR157" s="1088"/>
    </row>
    <row r="158" spans="1:44" s="589" customFormat="1" ht="21.95" hidden="1" customHeight="1" x14ac:dyDescent="0.15">
      <c r="A158" s="2513"/>
      <c r="B158" s="2585"/>
      <c r="C158" s="590" t="s">
        <v>2409</v>
      </c>
      <c r="D158" s="1995"/>
      <c r="E158" s="591"/>
      <c r="F158" s="158">
        <f t="shared" ref="F158:G158" si="805">IF(F156&gt;1.5,F156*F155*F154,0)</f>
        <v>0</v>
      </c>
      <c r="G158" s="158">
        <f t="shared" si="805"/>
        <v>0</v>
      </c>
      <c r="H158" s="158">
        <f t="shared" ref="H158:M158" si="806">IF(H156&gt;1.5,H156*H155*H154,0)</f>
        <v>0</v>
      </c>
      <c r="I158" s="158">
        <f t="shared" si="806"/>
        <v>0</v>
      </c>
      <c r="J158" s="158">
        <f t="shared" si="806"/>
        <v>0</v>
      </c>
      <c r="K158" s="158">
        <f t="shared" si="806"/>
        <v>0</v>
      </c>
      <c r="L158" s="158">
        <f t="shared" si="806"/>
        <v>0</v>
      </c>
      <c r="M158" s="158">
        <f t="shared" si="806"/>
        <v>0</v>
      </c>
      <c r="N158" s="158">
        <f t="shared" ref="N158:O158" si="807">IF(N156&gt;1.5,N156*N155*N154,0)</f>
        <v>0</v>
      </c>
      <c r="O158" s="158">
        <f t="shared" si="807"/>
        <v>0</v>
      </c>
      <c r="P158" s="158">
        <f t="shared" ref="P158" si="808">IF(AND(P29=1,P156&gt;1.5),P156*P155*P154,0)</f>
        <v>0</v>
      </c>
      <c r="Q158" s="158">
        <f t="shared" ref="Q158:AA158" si="809">IF(AND(Q29=1,Q156&gt;1.5),Q156*Q155*Q154,0)</f>
        <v>0</v>
      </c>
      <c r="R158" s="158">
        <f t="shared" ref="R158" si="810">IF(AND(R29=1,R156&gt;1.5),R156*R155*R154,0)</f>
        <v>0</v>
      </c>
      <c r="S158" s="158">
        <f t="shared" si="809"/>
        <v>0</v>
      </c>
      <c r="T158" s="158">
        <f t="shared" si="809"/>
        <v>0</v>
      </c>
      <c r="U158" s="158">
        <f t="shared" si="809"/>
        <v>0</v>
      </c>
      <c r="V158" s="158">
        <f t="shared" si="809"/>
        <v>0</v>
      </c>
      <c r="W158" s="158">
        <f t="shared" si="809"/>
        <v>0</v>
      </c>
      <c r="X158" s="158">
        <f t="shared" si="809"/>
        <v>0</v>
      </c>
      <c r="Y158" s="158">
        <f t="shared" si="809"/>
        <v>0</v>
      </c>
      <c r="Z158" s="158">
        <f t="shared" si="809"/>
        <v>0</v>
      </c>
      <c r="AA158" s="158">
        <f t="shared" si="809"/>
        <v>0</v>
      </c>
      <c r="AB158" s="159"/>
      <c r="AC158" s="159"/>
      <c r="AD158" s="159"/>
      <c r="AE158" s="350">
        <f>TRUNC(SUM(F158:AD158),2)</f>
        <v>0</v>
      </c>
      <c r="AF158" s="578">
        <f t="shared" si="686"/>
        <v>0</v>
      </c>
      <c r="AG158" s="1086"/>
      <c r="AH158" s="1088"/>
      <c r="AI158" s="1088"/>
      <c r="AJ158" s="1088"/>
      <c r="AK158" s="1088"/>
      <c r="AL158" s="1088"/>
      <c r="AM158" s="1088"/>
      <c r="AN158" s="1088"/>
      <c r="AO158" s="1088"/>
      <c r="AP158" s="1088"/>
      <c r="AQ158" s="1088"/>
      <c r="AR158" s="1088"/>
    </row>
    <row r="159" spans="1:44" s="589" customFormat="1" ht="21.95" hidden="1" customHeight="1" thickBot="1" x14ac:dyDescent="0.2">
      <c r="A159" s="2513"/>
      <c r="B159" s="2589"/>
      <c r="C159" s="928" t="s">
        <v>490</v>
      </c>
      <c r="D159" s="1996"/>
      <c r="E159" s="1519"/>
      <c r="F159" s="239">
        <f t="shared" ref="F159:G159" si="811">SUM(F157:F158)*1.1</f>
        <v>0</v>
      </c>
      <c r="G159" s="239">
        <f t="shared" si="811"/>
        <v>0</v>
      </c>
      <c r="H159" s="239">
        <f t="shared" ref="H159:M159" si="812">SUM(H157:H158)*1.1</f>
        <v>0</v>
      </c>
      <c r="I159" s="239">
        <f t="shared" si="812"/>
        <v>0</v>
      </c>
      <c r="J159" s="239">
        <f t="shared" si="812"/>
        <v>0</v>
      </c>
      <c r="K159" s="239">
        <f t="shared" si="812"/>
        <v>0</v>
      </c>
      <c r="L159" s="239">
        <f t="shared" si="812"/>
        <v>0</v>
      </c>
      <c r="M159" s="239">
        <f t="shared" si="812"/>
        <v>0</v>
      </c>
      <c r="N159" s="239">
        <f t="shared" ref="N159:O159" si="813">SUM(N157:N158)*1.1</f>
        <v>0</v>
      </c>
      <c r="O159" s="239">
        <f t="shared" si="813"/>
        <v>0</v>
      </c>
      <c r="P159" s="239">
        <f t="shared" ref="P159" si="814">SUM(P157:P158)*1.1</f>
        <v>0</v>
      </c>
      <c r="Q159" s="239">
        <f t="shared" ref="Q159:AA159" si="815">SUM(Q157:Q158)*1.1</f>
        <v>0</v>
      </c>
      <c r="R159" s="239">
        <f t="shared" ref="R159" si="816">SUM(R157:R158)*1.1</f>
        <v>0</v>
      </c>
      <c r="S159" s="239">
        <f t="shared" si="815"/>
        <v>0</v>
      </c>
      <c r="T159" s="239">
        <f t="shared" si="815"/>
        <v>0</v>
      </c>
      <c r="U159" s="239">
        <f t="shared" si="815"/>
        <v>0</v>
      </c>
      <c r="V159" s="239">
        <f t="shared" si="815"/>
        <v>0</v>
      </c>
      <c r="W159" s="239">
        <f t="shared" si="815"/>
        <v>0</v>
      </c>
      <c r="X159" s="239">
        <f t="shared" si="815"/>
        <v>0</v>
      </c>
      <c r="Y159" s="239">
        <f t="shared" si="815"/>
        <v>0</v>
      </c>
      <c r="Z159" s="239">
        <f t="shared" si="815"/>
        <v>0</v>
      </c>
      <c r="AA159" s="239">
        <f t="shared" si="815"/>
        <v>0</v>
      </c>
      <c r="AB159" s="237"/>
      <c r="AC159" s="237"/>
      <c r="AD159" s="237"/>
      <c r="AE159" s="361">
        <f>TRUNC(SUM(F159:AD159),2)</f>
        <v>0</v>
      </c>
      <c r="AF159" s="578">
        <f t="shared" si="686"/>
        <v>0</v>
      </c>
      <c r="AG159" s="1086"/>
      <c r="AH159" s="1088"/>
      <c r="AI159" s="1088"/>
      <c r="AJ159" s="1088"/>
      <c r="AK159" s="1088"/>
      <c r="AL159" s="1088"/>
      <c r="AM159" s="1088"/>
      <c r="AN159" s="1088"/>
      <c r="AO159" s="1088"/>
      <c r="AP159" s="1088"/>
      <c r="AQ159" s="1088"/>
      <c r="AR159" s="1088"/>
    </row>
    <row r="160" spans="1:44" s="589" customFormat="1" ht="21.95" hidden="1" customHeight="1" x14ac:dyDescent="0.15">
      <c r="A160" s="2513"/>
      <c r="B160" s="2594" t="s">
        <v>110</v>
      </c>
      <c r="C160" s="929" t="s">
        <v>16</v>
      </c>
      <c r="D160" s="1994"/>
      <c r="E160" s="1516"/>
      <c r="F160" s="238">
        <f t="shared" ref="F160:G160" ca="1" si="817">IF(F6&gt;0,0.1,0)</f>
        <v>0</v>
      </c>
      <c r="G160" s="238">
        <f t="shared" ca="1" si="817"/>
        <v>0</v>
      </c>
      <c r="H160" s="238">
        <f t="shared" ref="H160:M160" ca="1" si="818">IF(H6&gt;0,0.1,0)</f>
        <v>0</v>
      </c>
      <c r="I160" s="238">
        <f t="shared" ca="1" si="818"/>
        <v>0</v>
      </c>
      <c r="J160" s="238">
        <f t="shared" ca="1" si="818"/>
        <v>0</v>
      </c>
      <c r="K160" s="238">
        <f t="shared" ca="1" si="818"/>
        <v>0</v>
      </c>
      <c r="L160" s="238">
        <f t="shared" si="818"/>
        <v>0</v>
      </c>
      <c r="M160" s="238">
        <f t="shared" si="818"/>
        <v>0</v>
      </c>
      <c r="N160" s="238">
        <f t="shared" ref="N160:O160" si="819">IF(N6&gt;0,0.1,0)</f>
        <v>0</v>
      </c>
      <c r="O160" s="238">
        <f t="shared" si="819"/>
        <v>0</v>
      </c>
      <c r="P160" s="238">
        <f t="shared" ref="P160" si="820">IF(P6&gt;0,0.1,0)</f>
        <v>0</v>
      </c>
      <c r="Q160" s="238">
        <f t="shared" ref="Q160:AA160" si="821">IF(Q6&gt;0,0.1,0)</f>
        <v>0</v>
      </c>
      <c r="R160" s="238">
        <f t="shared" ref="R160" si="822">IF(R6&gt;0,0.1,0)</f>
        <v>0</v>
      </c>
      <c r="S160" s="238">
        <f t="shared" si="821"/>
        <v>0</v>
      </c>
      <c r="T160" s="238">
        <f t="shared" si="821"/>
        <v>0</v>
      </c>
      <c r="U160" s="238">
        <f t="shared" si="821"/>
        <v>0</v>
      </c>
      <c r="V160" s="238">
        <f t="shared" si="821"/>
        <v>0</v>
      </c>
      <c r="W160" s="238">
        <f t="shared" si="821"/>
        <v>0</v>
      </c>
      <c r="X160" s="238">
        <f t="shared" si="821"/>
        <v>0</v>
      </c>
      <c r="Y160" s="238">
        <f t="shared" si="821"/>
        <v>0</v>
      </c>
      <c r="Z160" s="238">
        <f t="shared" si="821"/>
        <v>0</v>
      </c>
      <c r="AA160" s="238">
        <f t="shared" si="821"/>
        <v>0</v>
      </c>
      <c r="AB160" s="241"/>
      <c r="AC160" s="241"/>
      <c r="AD160" s="241"/>
      <c r="AE160" s="363"/>
      <c r="AF160" s="578">
        <f t="shared" ca="1" si="686"/>
        <v>0</v>
      </c>
      <c r="AG160" s="1086"/>
      <c r="AH160" s="1088"/>
      <c r="AI160" s="1088"/>
      <c r="AJ160" s="1088"/>
      <c r="AK160" s="1088"/>
      <c r="AL160" s="1088"/>
      <c r="AM160" s="1088"/>
      <c r="AN160" s="1088"/>
      <c r="AO160" s="1088"/>
      <c r="AP160" s="1088"/>
      <c r="AQ160" s="1088"/>
      <c r="AR160" s="1088"/>
    </row>
    <row r="161" spans="1:44" s="589" customFormat="1" ht="21.95" hidden="1" customHeight="1" x14ac:dyDescent="0.15">
      <c r="A161" s="2513"/>
      <c r="B161" s="2595"/>
      <c r="C161" s="590" t="s">
        <v>3</v>
      </c>
      <c r="D161" s="1995"/>
      <c r="E161" s="591"/>
      <c r="F161" s="158">
        <f t="shared" ref="F161:G161" ca="1" si="823">IF(F160&gt;0,F2,0)</f>
        <v>0</v>
      </c>
      <c r="G161" s="158">
        <f t="shared" ca="1" si="823"/>
        <v>0</v>
      </c>
      <c r="H161" s="158">
        <f t="shared" ref="H161:M161" ca="1" si="824">IF(H160&gt;0,H2,0)</f>
        <v>0</v>
      </c>
      <c r="I161" s="158">
        <f t="shared" ca="1" si="824"/>
        <v>0</v>
      </c>
      <c r="J161" s="158">
        <f t="shared" ca="1" si="824"/>
        <v>0</v>
      </c>
      <c r="K161" s="158">
        <f t="shared" ca="1" si="824"/>
        <v>0</v>
      </c>
      <c r="L161" s="158">
        <f t="shared" si="824"/>
        <v>0</v>
      </c>
      <c r="M161" s="158">
        <f t="shared" si="824"/>
        <v>0</v>
      </c>
      <c r="N161" s="158">
        <f t="shared" ref="N161:O161" si="825">IF(N160&gt;0,N2,0)</f>
        <v>0</v>
      </c>
      <c r="O161" s="158">
        <f t="shared" si="825"/>
        <v>0</v>
      </c>
      <c r="P161" s="158">
        <f t="shared" ref="P161" si="826">IF(P160&gt;0,P2,0)</f>
        <v>0</v>
      </c>
      <c r="Q161" s="158">
        <f t="shared" ref="Q161:AA161" si="827">IF(Q160&gt;0,Q2,0)</f>
        <v>0</v>
      </c>
      <c r="R161" s="158">
        <f t="shared" ref="R161" si="828">IF(R160&gt;0,R2,0)</f>
        <v>0</v>
      </c>
      <c r="S161" s="158">
        <f t="shared" si="827"/>
        <v>0</v>
      </c>
      <c r="T161" s="158">
        <f t="shared" si="827"/>
        <v>0</v>
      </c>
      <c r="U161" s="158">
        <f t="shared" si="827"/>
        <v>0</v>
      </c>
      <c r="V161" s="158">
        <f t="shared" si="827"/>
        <v>0</v>
      </c>
      <c r="W161" s="158">
        <f t="shared" si="827"/>
        <v>0</v>
      </c>
      <c r="X161" s="158">
        <f t="shared" si="827"/>
        <v>0</v>
      </c>
      <c r="Y161" s="158">
        <f t="shared" si="827"/>
        <v>0</v>
      </c>
      <c r="Z161" s="158">
        <f t="shared" si="827"/>
        <v>0</v>
      </c>
      <c r="AA161" s="158">
        <f t="shared" si="827"/>
        <v>0</v>
      </c>
      <c r="AB161" s="159"/>
      <c r="AC161" s="159"/>
      <c r="AD161" s="159"/>
      <c r="AE161" s="594">
        <f ca="1">TRUNC(SUM(F161:AD161),2)</f>
        <v>0</v>
      </c>
      <c r="AF161" s="578">
        <f t="shared" ca="1" si="686"/>
        <v>0</v>
      </c>
      <c r="AG161" s="1086"/>
      <c r="AH161" s="1088"/>
      <c r="AI161" s="1088"/>
      <c r="AJ161" s="1088"/>
      <c r="AK161" s="1088"/>
      <c r="AL161" s="1088"/>
      <c r="AM161" s="1088"/>
      <c r="AN161" s="1088"/>
      <c r="AO161" s="1088"/>
      <c r="AP161" s="1088"/>
      <c r="AQ161" s="1088"/>
      <c r="AR161" s="1088"/>
    </row>
    <row r="162" spans="1:44" s="589" customFormat="1" ht="21.95" hidden="1" customHeight="1" x14ac:dyDescent="0.15">
      <c r="A162" s="2513"/>
      <c r="B162" s="2595"/>
      <c r="C162" s="590" t="s">
        <v>58</v>
      </c>
      <c r="D162" s="1995"/>
      <c r="E162" s="591"/>
      <c r="F162" s="158">
        <f t="shared" ref="F162:G162" ca="1" si="829">IF(F160=0,0,F$33+F$34)</f>
        <v>0</v>
      </c>
      <c r="G162" s="158">
        <f t="shared" ca="1" si="829"/>
        <v>0</v>
      </c>
      <c r="H162" s="158">
        <f t="shared" ref="H162:M162" ca="1" si="830">IF(H160=0,0,H$33+H$34)</f>
        <v>0</v>
      </c>
      <c r="I162" s="158">
        <f t="shared" ca="1" si="830"/>
        <v>0</v>
      </c>
      <c r="J162" s="158">
        <f t="shared" ca="1" si="830"/>
        <v>0</v>
      </c>
      <c r="K162" s="158">
        <f t="shared" ca="1" si="830"/>
        <v>0</v>
      </c>
      <c r="L162" s="158">
        <f t="shared" si="830"/>
        <v>0</v>
      </c>
      <c r="M162" s="158">
        <f t="shared" si="830"/>
        <v>0</v>
      </c>
      <c r="N162" s="158">
        <f t="shared" ref="N162:O162" si="831">IF(N160=0,0,N$33+N$34)</f>
        <v>0</v>
      </c>
      <c r="O162" s="158">
        <f t="shared" si="831"/>
        <v>0</v>
      </c>
      <c r="P162" s="158">
        <f t="shared" ref="P162" si="832">IF(P160=0,0,P$33+P$34)</f>
        <v>0</v>
      </c>
      <c r="Q162" s="158">
        <f t="shared" ref="Q162:AA162" si="833">IF(Q160=0,0,Q$33+Q$34)</f>
        <v>0</v>
      </c>
      <c r="R162" s="158">
        <f t="shared" ref="R162" si="834">IF(R160=0,0,R$33+R$34)</f>
        <v>0</v>
      </c>
      <c r="S162" s="158">
        <f t="shared" si="833"/>
        <v>0</v>
      </c>
      <c r="T162" s="158">
        <f t="shared" si="833"/>
        <v>0</v>
      </c>
      <c r="U162" s="158">
        <f t="shared" si="833"/>
        <v>0</v>
      </c>
      <c r="V162" s="158">
        <f t="shared" si="833"/>
        <v>0</v>
      </c>
      <c r="W162" s="158">
        <f t="shared" si="833"/>
        <v>0</v>
      </c>
      <c r="X162" s="158">
        <f t="shared" si="833"/>
        <v>0</v>
      </c>
      <c r="Y162" s="158">
        <f t="shared" si="833"/>
        <v>0</v>
      </c>
      <c r="Z162" s="158">
        <f t="shared" si="833"/>
        <v>0</v>
      </c>
      <c r="AA162" s="158">
        <f t="shared" si="833"/>
        <v>0</v>
      </c>
      <c r="AB162" s="159"/>
      <c r="AC162" s="159"/>
      <c r="AD162" s="159"/>
      <c r="AE162" s="351"/>
      <c r="AF162" s="578">
        <f t="shared" ca="1" si="686"/>
        <v>0</v>
      </c>
      <c r="AG162" s="1086"/>
      <c r="AH162" s="1088"/>
      <c r="AI162" s="1088"/>
      <c r="AJ162" s="1088"/>
      <c r="AK162" s="1088"/>
      <c r="AL162" s="1088"/>
      <c r="AM162" s="1088"/>
      <c r="AN162" s="1088"/>
      <c r="AO162" s="1088"/>
      <c r="AP162" s="1088"/>
      <c r="AQ162" s="1088"/>
      <c r="AR162" s="1088"/>
    </row>
    <row r="163" spans="1:44" s="589" customFormat="1" ht="21.95" hidden="1" customHeight="1" thickBot="1" x14ac:dyDescent="0.2">
      <c r="A163" s="2513"/>
      <c r="B163" s="2595"/>
      <c r="C163" s="590" t="s">
        <v>634</v>
      </c>
      <c r="D163" s="1995"/>
      <c r="E163" s="591"/>
      <c r="F163" s="158">
        <f t="shared" ref="F163:G163" ca="1" si="835">F162*F161*F160</f>
        <v>0</v>
      </c>
      <c r="G163" s="158">
        <f t="shared" ca="1" si="835"/>
        <v>0</v>
      </c>
      <c r="H163" s="158">
        <f t="shared" ref="H163:M163" ca="1" si="836">H162*H161*H160</f>
        <v>0</v>
      </c>
      <c r="I163" s="158">
        <f t="shared" ca="1" si="836"/>
        <v>0</v>
      </c>
      <c r="J163" s="158">
        <f t="shared" ca="1" si="836"/>
        <v>0</v>
      </c>
      <c r="K163" s="158">
        <f t="shared" ca="1" si="836"/>
        <v>0</v>
      </c>
      <c r="L163" s="158">
        <f t="shared" si="836"/>
        <v>0</v>
      </c>
      <c r="M163" s="158">
        <f t="shared" si="836"/>
        <v>0</v>
      </c>
      <c r="N163" s="158">
        <f t="shared" ref="N163:O163" si="837">N162*N161*N160</f>
        <v>0</v>
      </c>
      <c r="O163" s="158">
        <f t="shared" si="837"/>
        <v>0</v>
      </c>
      <c r="P163" s="158">
        <f t="shared" ref="P163" si="838">P162*P161*P160</f>
        <v>0</v>
      </c>
      <c r="Q163" s="158">
        <f t="shared" ref="Q163:AA163" si="839">Q162*Q161*Q160</f>
        <v>0</v>
      </c>
      <c r="R163" s="158">
        <f t="shared" ref="R163" si="840">R162*R161*R160</f>
        <v>0</v>
      </c>
      <c r="S163" s="158">
        <f t="shared" si="839"/>
        <v>0</v>
      </c>
      <c r="T163" s="158">
        <f t="shared" si="839"/>
        <v>0</v>
      </c>
      <c r="U163" s="158">
        <f t="shared" si="839"/>
        <v>0</v>
      </c>
      <c r="V163" s="158">
        <f t="shared" si="839"/>
        <v>0</v>
      </c>
      <c r="W163" s="158">
        <f t="shared" si="839"/>
        <v>0</v>
      </c>
      <c r="X163" s="158">
        <f t="shared" si="839"/>
        <v>0</v>
      </c>
      <c r="Y163" s="158">
        <f t="shared" si="839"/>
        <v>0</v>
      </c>
      <c r="Z163" s="158">
        <f t="shared" si="839"/>
        <v>0</v>
      </c>
      <c r="AA163" s="158">
        <f t="shared" si="839"/>
        <v>0</v>
      </c>
      <c r="AB163" s="159"/>
      <c r="AC163" s="159"/>
      <c r="AD163" s="159"/>
      <c r="AE163" s="350">
        <f ca="1">TRUNC(SUM(F163:AD163),2)</f>
        <v>0</v>
      </c>
      <c r="AF163" s="578">
        <f t="shared" ca="1" si="686"/>
        <v>0</v>
      </c>
      <c r="AG163" s="1086"/>
      <c r="AH163" s="1088"/>
      <c r="AI163" s="1088"/>
      <c r="AJ163" s="1088"/>
      <c r="AK163" s="1088"/>
      <c r="AL163" s="1088"/>
      <c r="AM163" s="1088"/>
      <c r="AN163" s="1088"/>
      <c r="AO163" s="1088"/>
      <c r="AP163" s="1088"/>
      <c r="AQ163" s="1088"/>
      <c r="AR163" s="1088"/>
    </row>
    <row r="164" spans="1:44" s="589" customFormat="1" ht="21.95" hidden="1" customHeight="1" x14ac:dyDescent="0.15">
      <c r="A164" s="2513"/>
      <c r="B164" s="2588" t="s">
        <v>605</v>
      </c>
      <c r="C164" s="929" t="s">
        <v>16</v>
      </c>
      <c r="D164" s="1994"/>
      <c r="E164" s="1516"/>
      <c r="F164" s="238">
        <f>Dren_Quantificacao!D20</f>
        <v>0</v>
      </c>
      <c r="G164" s="238">
        <f>Dren_Quantificacao!E20</f>
        <v>0</v>
      </c>
      <c r="H164" s="238">
        <f>Dren_Quantificacao!F20</f>
        <v>0</v>
      </c>
      <c r="I164" s="238">
        <f>Dren_Quantificacao!G20</f>
        <v>0</v>
      </c>
      <c r="J164" s="238">
        <f>Dren_Quantificacao!H20</f>
        <v>0</v>
      </c>
      <c r="K164" s="238">
        <f>Dren_Quantificacao!I20</f>
        <v>0</v>
      </c>
      <c r="L164" s="238">
        <f>Dren_Quantificacao!J20</f>
        <v>0</v>
      </c>
      <c r="M164" s="238">
        <f>Dren_Quantificacao!K20</f>
        <v>0</v>
      </c>
      <c r="N164" s="238">
        <f>Dren_Quantificacao!L20</f>
        <v>0</v>
      </c>
      <c r="O164" s="238">
        <f>Dren_Quantificacao!M20</f>
        <v>0</v>
      </c>
      <c r="P164" s="238">
        <f>Dren_Quantificacao!O20</f>
        <v>0</v>
      </c>
      <c r="Q164" s="238">
        <f>Dren_Quantificacao!P20</f>
        <v>0</v>
      </c>
      <c r="R164" s="238">
        <f>Dren_Quantificacao!Q20</f>
        <v>0</v>
      </c>
      <c r="S164" s="238">
        <f>Dren_Quantificacao!R20</f>
        <v>0</v>
      </c>
      <c r="T164" s="238">
        <f>Dren_Quantificacao!S20</f>
        <v>0</v>
      </c>
      <c r="U164" s="238">
        <f>Dren_Quantificacao!T20</f>
        <v>0</v>
      </c>
      <c r="V164" s="238">
        <f>Dren_Quantificacao!U20</f>
        <v>0</v>
      </c>
      <c r="W164" s="238">
        <f>Dren_Quantificacao!V20</f>
        <v>0</v>
      </c>
      <c r="X164" s="238">
        <f>Dren_Quantificacao!W20</f>
        <v>0</v>
      </c>
      <c r="Y164" s="238">
        <f>Dren_Quantificacao!X20</f>
        <v>0</v>
      </c>
      <c r="Z164" s="238">
        <f>Dren_Quantificacao!Y20</f>
        <v>0</v>
      </c>
      <c r="AA164" s="238">
        <f>Dren_Quantificacao!Z20</f>
        <v>0</v>
      </c>
      <c r="AB164" s="241"/>
      <c r="AC164" s="241"/>
      <c r="AD164" s="241"/>
      <c r="AE164" s="363"/>
      <c r="AF164" s="578">
        <f t="shared" si="686"/>
        <v>0</v>
      </c>
      <c r="AG164" s="1086"/>
      <c r="AH164" s="1088"/>
      <c r="AI164" s="1088"/>
      <c r="AJ164" s="1088"/>
      <c r="AK164" s="1088"/>
      <c r="AL164" s="1088"/>
      <c r="AM164" s="1088"/>
      <c r="AN164" s="1088"/>
      <c r="AO164" s="1088"/>
      <c r="AP164" s="1088"/>
      <c r="AQ164" s="1088"/>
      <c r="AR164" s="1088"/>
    </row>
    <row r="165" spans="1:44" s="589" customFormat="1" ht="21.95" hidden="1" customHeight="1" x14ac:dyDescent="0.15">
      <c r="A165" s="2513"/>
      <c r="B165" s="2585"/>
      <c r="C165" s="590" t="s">
        <v>3</v>
      </c>
      <c r="D165" s="1995"/>
      <c r="E165" s="591"/>
      <c r="F165" s="158">
        <f>IF(F164=0,0,Dren_Quantificacao!D21)</f>
        <v>0</v>
      </c>
      <c r="G165" s="158">
        <f>IF(G164=0,0,Dren_Quantificacao!E21)</f>
        <v>0</v>
      </c>
      <c r="H165" s="158">
        <f>IF(H164=0,0,Dren_Quantificacao!F21)</f>
        <v>0</v>
      </c>
      <c r="I165" s="158">
        <f>IF(I164=0,0,Dren_Quantificacao!G21)</f>
        <v>0</v>
      </c>
      <c r="J165" s="158">
        <f>IF(J164=0,0,Dren_Quantificacao!H21)</f>
        <v>0</v>
      </c>
      <c r="K165" s="158">
        <f>IF(K164=0,0,Dren_Quantificacao!I21)</f>
        <v>0</v>
      </c>
      <c r="L165" s="158">
        <f>IF(L164=0,0,Dren_Quantificacao!J21)</f>
        <v>0</v>
      </c>
      <c r="M165" s="158">
        <f>IF(M164=0,0,Dren_Quantificacao!K21)</f>
        <v>0</v>
      </c>
      <c r="N165" s="158">
        <f>IF(N164=0,0,Dren_Quantificacao!L21)</f>
        <v>0</v>
      </c>
      <c r="O165" s="158">
        <f>IF(O164=0,0,Dren_Quantificacao!M21)</f>
        <v>0</v>
      </c>
      <c r="P165" s="158">
        <f>IF(P164=0,0,Dren_Quantificacao!O21)</f>
        <v>0</v>
      </c>
      <c r="Q165" s="158">
        <f>IF(Q164=0,0,Dren_Quantificacao!P21)</f>
        <v>0</v>
      </c>
      <c r="R165" s="158">
        <f>IF(R164=0,0,Dren_Quantificacao!Q21)</f>
        <v>0</v>
      </c>
      <c r="S165" s="158">
        <f>IF(S164=0,0,Dren_Quantificacao!R21)</f>
        <v>0</v>
      </c>
      <c r="T165" s="158">
        <f>IF(T164=0,0,Dren_Quantificacao!S21)</f>
        <v>0</v>
      </c>
      <c r="U165" s="158">
        <f>IF(U164=0,0,Dren_Quantificacao!T21)</f>
        <v>0</v>
      </c>
      <c r="V165" s="158">
        <f>IF(V164=0,0,Dren_Quantificacao!U21)</f>
        <v>0</v>
      </c>
      <c r="W165" s="158">
        <f>IF(W164=0,0,Dren_Quantificacao!V21)</f>
        <v>0</v>
      </c>
      <c r="X165" s="158">
        <f>IF(X164=0,0,Dren_Quantificacao!W21)</f>
        <v>0</v>
      </c>
      <c r="Y165" s="158">
        <f>IF(Y164=0,0,Dren_Quantificacao!X21)</f>
        <v>0</v>
      </c>
      <c r="Z165" s="158">
        <f>IF(Z164=0,0,Dren_Quantificacao!Y21)</f>
        <v>0</v>
      </c>
      <c r="AA165" s="158">
        <f>IF(AA164=0,0,Dren_Quantificacao!Z21)</f>
        <v>0</v>
      </c>
      <c r="AB165" s="159"/>
      <c r="AC165" s="159"/>
      <c r="AD165" s="159"/>
      <c r="AE165" s="594">
        <f>TRUNC(SUM(F165:AD165),2)</f>
        <v>0</v>
      </c>
      <c r="AF165" s="578">
        <f t="shared" ref="AF165:AF196" si="841">SUM(F165:AE165)</f>
        <v>0</v>
      </c>
      <c r="AG165" s="1086"/>
      <c r="AH165" s="1088"/>
      <c r="AI165" s="1088"/>
      <c r="AJ165" s="1088"/>
      <c r="AK165" s="1088"/>
      <c r="AL165" s="1088"/>
      <c r="AM165" s="1088"/>
      <c r="AN165" s="1088"/>
      <c r="AO165" s="1088"/>
      <c r="AP165" s="1088"/>
      <c r="AQ165" s="1088"/>
      <c r="AR165" s="1088"/>
    </row>
    <row r="166" spans="1:44" s="589" customFormat="1" ht="21.95" hidden="1" customHeight="1" x14ac:dyDescent="0.15">
      <c r="A166" s="2513"/>
      <c r="B166" s="2585"/>
      <c r="C166" s="590" t="s">
        <v>58</v>
      </c>
      <c r="D166" s="1995"/>
      <c r="E166" s="591"/>
      <c r="F166" s="158">
        <f t="shared" ref="F166:G166" si="842">IF(F164=0,0,F$33+F$34)</f>
        <v>0</v>
      </c>
      <c r="G166" s="158">
        <f t="shared" si="842"/>
        <v>0</v>
      </c>
      <c r="H166" s="158">
        <f t="shared" ref="H166:M166" si="843">IF(H164=0,0,H$33+H$34)</f>
        <v>0</v>
      </c>
      <c r="I166" s="158">
        <f t="shared" si="843"/>
        <v>0</v>
      </c>
      <c r="J166" s="158">
        <f t="shared" si="843"/>
        <v>0</v>
      </c>
      <c r="K166" s="158">
        <f t="shared" si="843"/>
        <v>0</v>
      </c>
      <c r="L166" s="158">
        <f t="shared" si="843"/>
        <v>0</v>
      </c>
      <c r="M166" s="158">
        <f t="shared" si="843"/>
        <v>0</v>
      </c>
      <c r="N166" s="158">
        <f t="shared" ref="N166:O166" si="844">IF(N164=0,0,N$33+N$34)</f>
        <v>0</v>
      </c>
      <c r="O166" s="158">
        <f t="shared" si="844"/>
        <v>0</v>
      </c>
      <c r="P166" s="158">
        <f t="shared" ref="P166" si="845">IF(P164=0,0,P$33+P$34)</f>
        <v>0</v>
      </c>
      <c r="Q166" s="158">
        <f t="shared" ref="Q166:AA166" si="846">IF(Q164=0,0,Q$33+Q$34)</f>
        <v>0</v>
      </c>
      <c r="R166" s="158">
        <f t="shared" ref="R166" si="847">IF(R164=0,0,R$33+R$34)</f>
        <v>0</v>
      </c>
      <c r="S166" s="158">
        <f t="shared" si="846"/>
        <v>0</v>
      </c>
      <c r="T166" s="158">
        <f t="shared" si="846"/>
        <v>0</v>
      </c>
      <c r="U166" s="158">
        <f t="shared" si="846"/>
        <v>0</v>
      </c>
      <c r="V166" s="158">
        <f t="shared" si="846"/>
        <v>0</v>
      </c>
      <c r="W166" s="158">
        <f t="shared" si="846"/>
        <v>0</v>
      </c>
      <c r="X166" s="158">
        <f t="shared" si="846"/>
        <v>0</v>
      </c>
      <c r="Y166" s="158">
        <f t="shared" si="846"/>
        <v>0</v>
      </c>
      <c r="Z166" s="158">
        <f t="shared" si="846"/>
        <v>0</v>
      </c>
      <c r="AA166" s="158">
        <f t="shared" si="846"/>
        <v>0</v>
      </c>
      <c r="AB166" s="159"/>
      <c r="AC166" s="159"/>
      <c r="AD166" s="159"/>
      <c r="AE166" s="600"/>
      <c r="AF166" s="578">
        <f t="shared" si="841"/>
        <v>0</v>
      </c>
      <c r="AG166" s="1086"/>
      <c r="AH166" s="1088"/>
      <c r="AI166" s="1088"/>
      <c r="AJ166" s="1088"/>
      <c r="AK166" s="1088"/>
      <c r="AL166" s="1088"/>
      <c r="AM166" s="1088"/>
      <c r="AN166" s="1088"/>
      <c r="AO166" s="1088"/>
      <c r="AP166" s="1088"/>
      <c r="AQ166" s="1088"/>
      <c r="AR166" s="1088"/>
    </row>
    <row r="167" spans="1:44" s="589" customFormat="1" ht="21.95" hidden="1" customHeight="1" x14ac:dyDescent="0.15">
      <c r="A167" s="2513"/>
      <c r="B167" s="2585"/>
      <c r="C167" s="590" t="s">
        <v>2408</v>
      </c>
      <c r="D167" s="1995"/>
      <c r="E167" s="591"/>
      <c r="F167" s="158">
        <f t="shared" ref="F167:G167" si="848">IF(F166&lt;=1.5,F166*F165*F164,0)</f>
        <v>0</v>
      </c>
      <c r="G167" s="158">
        <f t="shared" si="848"/>
        <v>0</v>
      </c>
      <c r="H167" s="158">
        <f t="shared" ref="H167:M167" si="849">IF(H166&lt;=1.5,H166*H165*H164,0)</f>
        <v>0</v>
      </c>
      <c r="I167" s="158">
        <f t="shared" si="849"/>
        <v>0</v>
      </c>
      <c r="J167" s="158">
        <f t="shared" si="849"/>
        <v>0</v>
      </c>
      <c r="K167" s="158">
        <f t="shared" si="849"/>
        <v>0</v>
      </c>
      <c r="L167" s="158">
        <f t="shared" si="849"/>
        <v>0</v>
      </c>
      <c r="M167" s="158">
        <f t="shared" si="849"/>
        <v>0</v>
      </c>
      <c r="N167" s="158">
        <f t="shared" ref="N167:O167" si="850">IF(N166&lt;=1.5,N166*N165*N164,0)</f>
        <v>0</v>
      </c>
      <c r="O167" s="158">
        <f t="shared" si="850"/>
        <v>0</v>
      </c>
      <c r="P167" s="158">
        <f t="shared" ref="P167" si="851">IF(AND(P29=1,P166&lt;=1.5),P166*P165*P164,0)</f>
        <v>0</v>
      </c>
      <c r="Q167" s="158">
        <f t="shared" ref="Q167:AA167" si="852">IF(AND(Q29=1,Q166&lt;=1.5),Q166*Q165*Q164,0)</f>
        <v>0</v>
      </c>
      <c r="R167" s="158">
        <f t="shared" ref="R167" si="853">IF(AND(R29=1,R166&lt;=1.5),R166*R165*R164,0)</f>
        <v>0</v>
      </c>
      <c r="S167" s="158">
        <f t="shared" si="852"/>
        <v>0</v>
      </c>
      <c r="T167" s="158">
        <f t="shared" si="852"/>
        <v>0</v>
      </c>
      <c r="U167" s="158">
        <f t="shared" si="852"/>
        <v>0</v>
      </c>
      <c r="V167" s="158">
        <f t="shared" si="852"/>
        <v>0</v>
      </c>
      <c r="W167" s="158">
        <f t="shared" si="852"/>
        <v>0</v>
      </c>
      <c r="X167" s="158">
        <f t="shared" si="852"/>
        <v>0</v>
      </c>
      <c r="Y167" s="158">
        <f t="shared" si="852"/>
        <v>0</v>
      </c>
      <c r="Z167" s="158">
        <f t="shared" si="852"/>
        <v>0</v>
      </c>
      <c r="AA167" s="158">
        <f t="shared" si="852"/>
        <v>0</v>
      </c>
      <c r="AB167" s="159"/>
      <c r="AC167" s="159"/>
      <c r="AD167" s="159"/>
      <c r="AE167" s="350">
        <f>TRUNC(SUM(F167:AD167),2)</f>
        <v>0</v>
      </c>
      <c r="AF167" s="578">
        <f t="shared" si="841"/>
        <v>0</v>
      </c>
      <c r="AG167" s="1086"/>
      <c r="AH167" s="1088"/>
      <c r="AI167" s="1088"/>
      <c r="AJ167" s="1088"/>
      <c r="AK167" s="1088"/>
      <c r="AL167" s="1088"/>
      <c r="AM167" s="1088"/>
      <c r="AN167" s="1088"/>
      <c r="AO167" s="1088"/>
      <c r="AP167" s="1088"/>
      <c r="AQ167" s="1088"/>
      <c r="AR167" s="1088"/>
    </row>
    <row r="168" spans="1:44" s="589" customFormat="1" ht="21.95" hidden="1" customHeight="1" x14ac:dyDescent="0.15">
      <c r="A168" s="2513"/>
      <c r="B168" s="2585"/>
      <c r="C168" s="590" t="s">
        <v>2409</v>
      </c>
      <c r="D168" s="1995"/>
      <c r="E168" s="591"/>
      <c r="F168" s="158">
        <f t="shared" ref="F168:G168" si="854">IF(F166&gt;1.5,F166*F165*F164,0)</f>
        <v>0</v>
      </c>
      <c r="G168" s="158">
        <f t="shared" si="854"/>
        <v>0</v>
      </c>
      <c r="H168" s="158">
        <f t="shared" ref="H168:M168" si="855">IF(H166&gt;1.5,H166*H165*H164,0)</f>
        <v>0</v>
      </c>
      <c r="I168" s="158">
        <f t="shared" si="855"/>
        <v>0</v>
      </c>
      <c r="J168" s="158">
        <f t="shared" si="855"/>
        <v>0</v>
      </c>
      <c r="K168" s="158">
        <f t="shared" si="855"/>
        <v>0</v>
      </c>
      <c r="L168" s="158">
        <f t="shared" si="855"/>
        <v>0</v>
      </c>
      <c r="M168" s="158">
        <f t="shared" si="855"/>
        <v>0</v>
      </c>
      <c r="N168" s="158">
        <f t="shared" ref="N168:O168" si="856">IF(N166&gt;1.5,N166*N165*N164,0)</f>
        <v>0</v>
      </c>
      <c r="O168" s="158">
        <f t="shared" si="856"/>
        <v>0</v>
      </c>
      <c r="P168" s="158">
        <f t="shared" ref="P168" si="857">IF(AND(P29=1,P166&gt;1.5),P166*P165*P164,0)</f>
        <v>0</v>
      </c>
      <c r="Q168" s="158">
        <f t="shared" ref="Q168:AA168" si="858">IF(AND(Q29=1,Q166&gt;1.5),Q166*Q165*Q164,0)</f>
        <v>0</v>
      </c>
      <c r="R168" s="158">
        <f t="shared" ref="R168" si="859">IF(AND(R29=1,R166&gt;1.5),R166*R165*R164,0)</f>
        <v>0</v>
      </c>
      <c r="S168" s="158">
        <f t="shared" si="858"/>
        <v>0</v>
      </c>
      <c r="T168" s="158">
        <f t="shared" si="858"/>
        <v>0</v>
      </c>
      <c r="U168" s="158">
        <f t="shared" si="858"/>
        <v>0</v>
      </c>
      <c r="V168" s="158">
        <f t="shared" si="858"/>
        <v>0</v>
      </c>
      <c r="W168" s="158">
        <f t="shared" si="858"/>
        <v>0</v>
      </c>
      <c r="X168" s="158">
        <f t="shared" si="858"/>
        <v>0</v>
      </c>
      <c r="Y168" s="158">
        <f t="shared" si="858"/>
        <v>0</v>
      </c>
      <c r="Z168" s="158">
        <f t="shared" si="858"/>
        <v>0</v>
      </c>
      <c r="AA168" s="158">
        <f t="shared" si="858"/>
        <v>0</v>
      </c>
      <c r="AB168" s="159"/>
      <c r="AC168" s="159"/>
      <c r="AD168" s="159"/>
      <c r="AE168" s="350">
        <f>TRUNC(SUM(F168:AD168),2)</f>
        <v>0</v>
      </c>
      <c r="AF168" s="578">
        <f t="shared" si="841"/>
        <v>0</v>
      </c>
      <c r="AG168" s="1086"/>
      <c r="AH168" s="1088"/>
      <c r="AI168" s="1088"/>
      <c r="AJ168" s="1088"/>
      <c r="AK168" s="1088"/>
      <c r="AL168" s="1088"/>
      <c r="AM168" s="1088"/>
      <c r="AN168" s="1088"/>
      <c r="AO168" s="1088"/>
      <c r="AP168" s="1088"/>
      <c r="AQ168" s="1088"/>
      <c r="AR168" s="1088"/>
    </row>
    <row r="169" spans="1:44" s="589" customFormat="1" ht="21.95" hidden="1" customHeight="1" thickBot="1" x14ac:dyDescent="0.2">
      <c r="A169" s="2513"/>
      <c r="B169" s="2589"/>
      <c r="C169" s="928" t="s">
        <v>490</v>
      </c>
      <c r="D169" s="1996"/>
      <c r="E169" s="1519"/>
      <c r="F169" s="239">
        <f t="shared" ref="F169:G169" si="860">SUM(F167:F168)*1.1</f>
        <v>0</v>
      </c>
      <c r="G169" s="239">
        <f t="shared" si="860"/>
        <v>0</v>
      </c>
      <c r="H169" s="239">
        <f t="shared" ref="H169:M169" si="861">SUM(H167:H168)*1.1</f>
        <v>0</v>
      </c>
      <c r="I169" s="239">
        <f t="shared" si="861"/>
        <v>0</v>
      </c>
      <c r="J169" s="239">
        <f t="shared" si="861"/>
        <v>0</v>
      </c>
      <c r="K169" s="239">
        <f t="shared" si="861"/>
        <v>0</v>
      </c>
      <c r="L169" s="239">
        <f t="shared" si="861"/>
        <v>0</v>
      </c>
      <c r="M169" s="239">
        <f t="shared" si="861"/>
        <v>0</v>
      </c>
      <c r="N169" s="239">
        <f t="shared" ref="N169:O169" si="862">SUM(N167:N168)*1.1</f>
        <v>0</v>
      </c>
      <c r="O169" s="239">
        <f t="shared" si="862"/>
        <v>0</v>
      </c>
      <c r="P169" s="239">
        <f t="shared" ref="P169" si="863">SUM(P167:P168)*1.1</f>
        <v>0</v>
      </c>
      <c r="Q169" s="239">
        <f t="shared" ref="Q169:AA169" si="864">SUM(Q167:Q168)*1.1</f>
        <v>0</v>
      </c>
      <c r="R169" s="239">
        <f t="shared" ref="R169" si="865">SUM(R167:R168)*1.1</f>
        <v>0</v>
      </c>
      <c r="S169" s="239">
        <f t="shared" si="864"/>
        <v>0</v>
      </c>
      <c r="T169" s="239">
        <f t="shared" si="864"/>
        <v>0</v>
      </c>
      <c r="U169" s="239">
        <f t="shared" si="864"/>
        <v>0</v>
      </c>
      <c r="V169" s="239">
        <f t="shared" si="864"/>
        <v>0</v>
      </c>
      <c r="W169" s="239">
        <f t="shared" si="864"/>
        <v>0</v>
      </c>
      <c r="X169" s="239">
        <f t="shared" si="864"/>
        <v>0</v>
      </c>
      <c r="Y169" s="239">
        <f t="shared" si="864"/>
        <v>0</v>
      </c>
      <c r="Z169" s="239">
        <f t="shared" si="864"/>
        <v>0</v>
      </c>
      <c r="AA169" s="239">
        <f t="shared" si="864"/>
        <v>0</v>
      </c>
      <c r="AB169" s="237"/>
      <c r="AC169" s="237"/>
      <c r="AD169" s="237"/>
      <c r="AE169" s="361">
        <f>TRUNC(SUM(F169:AD169),2)</f>
        <v>0</v>
      </c>
      <c r="AF169" s="578">
        <f t="shared" si="841"/>
        <v>0</v>
      </c>
      <c r="AG169" s="1086"/>
      <c r="AH169" s="1088"/>
      <c r="AI169" s="1088"/>
      <c r="AJ169" s="1088"/>
      <c r="AK169" s="1088"/>
      <c r="AL169" s="1088"/>
      <c r="AM169" s="1088"/>
      <c r="AN169" s="1088"/>
      <c r="AO169" s="1088"/>
      <c r="AP169" s="1088"/>
      <c r="AQ169" s="1088"/>
      <c r="AR169" s="1088"/>
    </row>
    <row r="170" spans="1:44" s="589" customFormat="1" ht="21.95" hidden="1" customHeight="1" x14ac:dyDescent="0.15">
      <c r="A170" s="2513"/>
      <c r="B170" s="2588" t="s">
        <v>606</v>
      </c>
      <c r="C170" s="929" t="s">
        <v>16</v>
      </c>
      <c r="D170" s="1994"/>
      <c r="E170" s="591"/>
      <c r="F170" s="238">
        <f>Dren_Quantificacao!D105</f>
        <v>0</v>
      </c>
      <c r="G170" s="238">
        <f>Dren_Quantificacao!E105</f>
        <v>0</v>
      </c>
      <c r="H170" s="238">
        <f>Dren_Quantificacao!F105</f>
        <v>0</v>
      </c>
      <c r="I170" s="238">
        <f>Dren_Quantificacao!G105</f>
        <v>0</v>
      </c>
      <c r="J170" s="238">
        <f>Dren_Quantificacao!H105</f>
        <v>0</v>
      </c>
      <c r="K170" s="238">
        <f>Dren_Quantificacao!I105</f>
        <v>0</v>
      </c>
      <c r="L170" s="238">
        <f>Dren_Quantificacao!J105</f>
        <v>0</v>
      </c>
      <c r="M170" s="238">
        <f>Dren_Quantificacao!K105</f>
        <v>0</v>
      </c>
      <c r="N170" s="238">
        <f>Dren_Quantificacao!L105</f>
        <v>0</v>
      </c>
      <c r="O170" s="238">
        <f>Dren_Quantificacao!M105</f>
        <v>0</v>
      </c>
      <c r="P170" s="238">
        <f>Dren_Quantificacao!O105</f>
        <v>0</v>
      </c>
      <c r="Q170" s="238">
        <f>Dren_Quantificacao!P105</f>
        <v>0</v>
      </c>
      <c r="R170" s="238">
        <f>Dren_Quantificacao!Q105</f>
        <v>0</v>
      </c>
      <c r="S170" s="238">
        <f>Dren_Quantificacao!R105</f>
        <v>0</v>
      </c>
      <c r="T170" s="238">
        <f>Dren_Quantificacao!S105</f>
        <v>0</v>
      </c>
      <c r="U170" s="238">
        <f>Dren_Quantificacao!T105</f>
        <v>0</v>
      </c>
      <c r="V170" s="238">
        <f>Dren_Quantificacao!U105</f>
        <v>0</v>
      </c>
      <c r="W170" s="238">
        <f>Dren_Quantificacao!V105</f>
        <v>0</v>
      </c>
      <c r="X170" s="238">
        <f>Dren_Quantificacao!W105</f>
        <v>0</v>
      </c>
      <c r="Y170" s="238">
        <f>Dren_Quantificacao!X105</f>
        <v>0</v>
      </c>
      <c r="Z170" s="238">
        <f>Dren_Quantificacao!Y105</f>
        <v>0</v>
      </c>
      <c r="AA170" s="238">
        <f>Dren_Quantificacao!Z105</f>
        <v>0</v>
      </c>
      <c r="AB170" s="159"/>
      <c r="AC170" s="159"/>
      <c r="AD170" s="159"/>
      <c r="AE170" s="363"/>
      <c r="AF170" s="578">
        <f t="shared" si="841"/>
        <v>0</v>
      </c>
      <c r="AG170" s="1086"/>
      <c r="AH170" s="1088"/>
      <c r="AI170" s="1088"/>
      <c r="AJ170" s="1088"/>
      <c r="AK170" s="1088"/>
      <c r="AL170" s="1088"/>
      <c r="AM170" s="1088"/>
      <c r="AN170" s="1088"/>
      <c r="AO170" s="1088"/>
      <c r="AP170" s="1088"/>
      <c r="AQ170" s="1088"/>
      <c r="AR170" s="1088"/>
    </row>
    <row r="171" spans="1:44" s="589" customFormat="1" ht="21.95" hidden="1" customHeight="1" x14ac:dyDescent="0.15">
      <c r="A171" s="2513"/>
      <c r="B171" s="2585"/>
      <c r="C171" s="590" t="s">
        <v>3</v>
      </c>
      <c r="D171" s="1995"/>
      <c r="E171" s="591"/>
      <c r="F171" s="158">
        <f>Dren_Quantificacao!D106</f>
        <v>0</v>
      </c>
      <c r="G171" s="158">
        <f>Dren_Quantificacao!E106</f>
        <v>0</v>
      </c>
      <c r="H171" s="158">
        <f>Dren_Quantificacao!F106</f>
        <v>0</v>
      </c>
      <c r="I171" s="158">
        <f>Dren_Quantificacao!G106</f>
        <v>0</v>
      </c>
      <c r="J171" s="158">
        <f>Dren_Quantificacao!H106</f>
        <v>0</v>
      </c>
      <c r="K171" s="158">
        <f>Dren_Quantificacao!I106</f>
        <v>0</v>
      </c>
      <c r="L171" s="158">
        <f>Dren_Quantificacao!J106</f>
        <v>0</v>
      </c>
      <c r="M171" s="158">
        <f>Dren_Quantificacao!K106</f>
        <v>0</v>
      </c>
      <c r="N171" s="158">
        <f>Dren_Quantificacao!L106</f>
        <v>0</v>
      </c>
      <c r="O171" s="158">
        <f>Dren_Quantificacao!M106</f>
        <v>0</v>
      </c>
      <c r="P171" s="158">
        <f>Dren_Quantificacao!O106</f>
        <v>0</v>
      </c>
      <c r="Q171" s="158">
        <f>Dren_Quantificacao!P106</f>
        <v>0</v>
      </c>
      <c r="R171" s="158">
        <f>Dren_Quantificacao!Q106</f>
        <v>0</v>
      </c>
      <c r="S171" s="158">
        <f>Dren_Quantificacao!R106</f>
        <v>0</v>
      </c>
      <c r="T171" s="158">
        <f>Dren_Quantificacao!S106</f>
        <v>0</v>
      </c>
      <c r="U171" s="158">
        <f>Dren_Quantificacao!T106</f>
        <v>0</v>
      </c>
      <c r="V171" s="158">
        <f>Dren_Quantificacao!U106</f>
        <v>0</v>
      </c>
      <c r="W171" s="158">
        <f>Dren_Quantificacao!V106</f>
        <v>0</v>
      </c>
      <c r="X171" s="158">
        <f>Dren_Quantificacao!W106</f>
        <v>0</v>
      </c>
      <c r="Y171" s="158">
        <f>Dren_Quantificacao!X106</f>
        <v>0</v>
      </c>
      <c r="Z171" s="158">
        <f>Dren_Quantificacao!Y106</f>
        <v>0</v>
      </c>
      <c r="AA171" s="158">
        <f>Dren_Quantificacao!Z106</f>
        <v>0</v>
      </c>
      <c r="AB171" s="159"/>
      <c r="AC171" s="159"/>
      <c r="AD171" s="159"/>
      <c r="AE171" s="594">
        <f>TRUNC(SUM(F171:AD171),2)</f>
        <v>0</v>
      </c>
      <c r="AF171" s="578">
        <f t="shared" si="841"/>
        <v>0</v>
      </c>
      <c r="AG171" s="1086"/>
      <c r="AH171" s="1088"/>
      <c r="AI171" s="1088"/>
      <c r="AJ171" s="1088"/>
      <c r="AK171" s="1088"/>
      <c r="AL171" s="1088"/>
      <c r="AM171" s="1088"/>
      <c r="AN171" s="1088"/>
      <c r="AO171" s="1088"/>
      <c r="AP171" s="1088"/>
      <c r="AQ171" s="1088"/>
      <c r="AR171" s="1088"/>
    </row>
    <row r="172" spans="1:44" s="589" customFormat="1" ht="21.95" hidden="1" customHeight="1" x14ac:dyDescent="0.15">
      <c r="A172" s="2513"/>
      <c r="B172" s="2585"/>
      <c r="C172" s="590" t="s">
        <v>58</v>
      </c>
      <c r="D172" s="1995"/>
      <c r="E172" s="591"/>
      <c r="F172" s="158">
        <f>Dren_Quantificacao!D107</f>
        <v>0</v>
      </c>
      <c r="G172" s="158">
        <f>Dren_Quantificacao!E107</f>
        <v>0</v>
      </c>
      <c r="H172" s="158">
        <f>Dren_Quantificacao!F107</f>
        <v>0</v>
      </c>
      <c r="I172" s="158">
        <f>Dren_Quantificacao!G107</f>
        <v>0</v>
      </c>
      <c r="J172" s="158">
        <f>Dren_Quantificacao!H107</f>
        <v>0</v>
      </c>
      <c r="K172" s="158">
        <f>Dren_Quantificacao!I107</f>
        <v>0</v>
      </c>
      <c r="L172" s="158">
        <f>Dren_Quantificacao!J107</f>
        <v>0</v>
      </c>
      <c r="M172" s="158">
        <f>Dren_Quantificacao!K107</f>
        <v>0</v>
      </c>
      <c r="N172" s="158">
        <f>Dren_Quantificacao!L107</f>
        <v>0</v>
      </c>
      <c r="O172" s="158">
        <f>Dren_Quantificacao!M107</f>
        <v>0</v>
      </c>
      <c r="P172" s="158">
        <f>Dren_Quantificacao!O107</f>
        <v>0</v>
      </c>
      <c r="Q172" s="158">
        <f>Dren_Quantificacao!P107</f>
        <v>0</v>
      </c>
      <c r="R172" s="158">
        <f>Dren_Quantificacao!Q107</f>
        <v>0</v>
      </c>
      <c r="S172" s="158">
        <f>Dren_Quantificacao!R107</f>
        <v>0</v>
      </c>
      <c r="T172" s="158">
        <f>Dren_Quantificacao!S107</f>
        <v>0</v>
      </c>
      <c r="U172" s="158">
        <f>Dren_Quantificacao!T107</f>
        <v>0</v>
      </c>
      <c r="V172" s="158">
        <f>Dren_Quantificacao!U107</f>
        <v>0</v>
      </c>
      <c r="W172" s="158">
        <f>Dren_Quantificacao!V107</f>
        <v>0</v>
      </c>
      <c r="X172" s="158">
        <f>Dren_Quantificacao!W107</f>
        <v>0</v>
      </c>
      <c r="Y172" s="158">
        <f>Dren_Quantificacao!X107</f>
        <v>0</v>
      </c>
      <c r="Z172" s="158">
        <f>Dren_Quantificacao!Y107</f>
        <v>0</v>
      </c>
      <c r="AA172" s="158">
        <f>Dren_Quantificacao!Z107</f>
        <v>0</v>
      </c>
      <c r="AB172" s="159"/>
      <c r="AC172" s="159"/>
      <c r="AD172" s="159"/>
      <c r="AE172" s="600"/>
      <c r="AF172" s="578">
        <f t="shared" si="841"/>
        <v>0</v>
      </c>
      <c r="AG172" s="1086"/>
      <c r="AH172" s="1088"/>
      <c r="AI172" s="1088"/>
      <c r="AJ172" s="1088"/>
      <c r="AK172" s="1088"/>
      <c r="AL172" s="1088"/>
      <c r="AM172" s="1088"/>
      <c r="AN172" s="1088"/>
      <c r="AO172" s="1088"/>
      <c r="AP172" s="1088"/>
      <c r="AQ172" s="1088"/>
      <c r="AR172" s="1088"/>
    </row>
    <row r="173" spans="1:44" s="589" customFormat="1" ht="21.95" hidden="1" customHeight="1" x14ac:dyDescent="0.15">
      <c r="A173" s="2513"/>
      <c r="B173" s="2585"/>
      <c r="C173" s="590" t="s">
        <v>2408</v>
      </c>
      <c r="D173" s="1995"/>
      <c r="E173" s="591"/>
      <c r="F173" s="158">
        <f t="shared" ref="F173:G173" si="866">IF(F172&lt;=1.5,F172*F171*F170,0)</f>
        <v>0</v>
      </c>
      <c r="G173" s="158">
        <f t="shared" si="866"/>
        <v>0</v>
      </c>
      <c r="H173" s="158">
        <f t="shared" ref="H173:M173" si="867">IF(H172&lt;=1.5,H172*H171*H170,0)</f>
        <v>0</v>
      </c>
      <c r="I173" s="158">
        <f t="shared" si="867"/>
        <v>0</v>
      </c>
      <c r="J173" s="158">
        <f t="shared" si="867"/>
        <v>0</v>
      </c>
      <c r="K173" s="158">
        <f t="shared" si="867"/>
        <v>0</v>
      </c>
      <c r="L173" s="158">
        <f t="shared" si="867"/>
        <v>0</v>
      </c>
      <c r="M173" s="158">
        <f t="shared" si="867"/>
        <v>0</v>
      </c>
      <c r="N173" s="158">
        <f t="shared" ref="N173:O173" si="868">IF(N172&lt;=1.5,N172*N171*N170,0)</f>
        <v>0</v>
      </c>
      <c r="O173" s="158">
        <f t="shared" si="868"/>
        <v>0</v>
      </c>
      <c r="P173" s="158">
        <f t="shared" ref="P173" si="869">IF(P172&lt;=1.5,P172*P171*P170,0)</f>
        <v>0</v>
      </c>
      <c r="Q173" s="158">
        <f t="shared" ref="Q173:AA173" si="870">IF(Q172&lt;=1.5,Q172*Q171*Q170,0)</f>
        <v>0</v>
      </c>
      <c r="R173" s="158">
        <f t="shared" ref="R173" si="871">IF(R172&lt;=1.5,R172*R171*R170,0)</f>
        <v>0</v>
      </c>
      <c r="S173" s="158">
        <f t="shared" si="870"/>
        <v>0</v>
      </c>
      <c r="T173" s="158">
        <f t="shared" si="870"/>
        <v>0</v>
      </c>
      <c r="U173" s="158">
        <f t="shared" si="870"/>
        <v>0</v>
      </c>
      <c r="V173" s="158">
        <f t="shared" si="870"/>
        <v>0</v>
      </c>
      <c r="W173" s="158">
        <f t="shared" si="870"/>
        <v>0</v>
      </c>
      <c r="X173" s="158">
        <f t="shared" si="870"/>
        <v>0</v>
      </c>
      <c r="Y173" s="158">
        <f t="shared" si="870"/>
        <v>0</v>
      </c>
      <c r="Z173" s="158">
        <f t="shared" si="870"/>
        <v>0</v>
      </c>
      <c r="AA173" s="158">
        <f t="shared" si="870"/>
        <v>0</v>
      </c>
      <c r="AB173" s="159"/>
      <c r="AC173" s="159"/>
      <c r="AD173" s="159"/>
      <c r="AE173" s="350">
        <f>TRUNC(SUM(F173:AD173),2)</f>
        <v>0</v>
      </c>
      <c r="AF173" s="578">
        <f t="shared" si="841"/>
        <v>0</v>
      </c>
      <c r="AG173" s="1086"/>
      <c r="AH173" s="1088"/>
      <c r="AI173" s="1088"/>
      <c r="AJ173" s="1088"/>
      <c r="AK173" s="1088"/>
      <c r="AL173" s="1088"/>
      <c r="AM173" s="1088"/>
      <c r="AN173" s="1088"/>
      <c r="AO173" s="1088"/>
      <c r="AP173" s="1088"/>
      <c r="AQ173" s="1088"/>
      <c r="AR173" s="1088"/>
    </row>
    <row r="174" spans="1:44" s="589" customFormat="1" ht="21.95" hidden="1" customHeight="1" x14ac:dyDescent="0.15">
      <c r="A174" s="2513"/>
      <c r="B174" s="2585"/>
      <c r="C174" s="590" t="s">
        <v>2409</v>
      </c>
      <c r="D174" s="1995"/>
      <c r="E174" s="591"/>
      <c r="F174" s="158">
        <f t="shared" ref="F174:G174" si="872">IF(F172&gt;1.5,F172*F171*F170,0)</f>
        <v>0</v>
      </c>
      <c r="G174" s="158">
        <f t="shared" si="872"/>
        <v>0</v>
      </c>
      <c r="H174" s="158">
        <f t="shared" ref="H174:M174" si="873">IF(H172&gt;1.5,H172*H171*H170,0)</f>
        <v>0</v>
      </c>
      <c r="I174" s="158">
        <f t="shared" si="873"/>
        <v>0</v>
      </c>
      <c r="J174" s="158">
        <f t="shared" si="873"/>
        <v>0</v>
      </c>
      <c r="K174" s="158">
        <f t="shared" si="873"/>
        <v>0</v>
      </c>
      <c r="L174" s="158">
        <f t="shared" si="873"/>
        <v>0</v>
      </c>
      <c r="M174" s="158">
        <f t="shared" si="873"/>
        <v>0</v>
      </c>
      <c r="N174" s="158">
        <f t="shared" ref="N174:O174" si="874">IF(N172&gt;1.5,N172*N171*N170,0)</f>
        <v>0</v>
      </c>
      <c r="O174" s="158">
        <f t="shared" si="874"/>
        <v>0</v>
      </c>
      <c r="P174" s="158">
        <f t="shared" ref="P174" si="875">IF(P172&gt;1.5,P172*P171*P170,0)</f>
        <v>0</v>
      </c>
      <c r="Q174" s="158">
        <f t="shared" ref="Q174:AA174" si="876">IF(Q172&gt;1.5,Q172*Q171*Q170,0)</f>
        <v>0</v>
      </c>
      <c r="R174" s="158">
        <f t="shared" ref="R174" si="877">IF(R172&gt;1.5,R172*R171*R170,0)</f>
        <v>0</v>
      </c>
      <c r="S174" s="158">
        <f t="shared" si="876"/>
        <v>0</v>
      </c>
      <c r="T174" s="158">
        <f t="shared" si="876"/>
        <v>0</v>
      </c>
      <c r="U174" s="158">
        <f t="shared" si="876"/>
        <v>0</v>
      </c>
      <c r="V174" s="158">
        <f t="shared" si="876"/>
        <v>0</v>
      </c>
      <c r="W174" s="158">
        <f t="shared" si="876"/>
        <v>0</v>
      </c>
      <c r="X174" s="158">
        <f t="shared" si="876"/>
        <v>0</v>
      </c>
      <c r="Y174" s="158">
        <f t="shared" si="876"/>
        <v>0</v>
      </c>
      <c r="Z174" s="158">
        <f t="shared" si="876"/>
        <v>0</v>
      </c>
      <c r="AA174" s="158">
        <f t="shared" si="876"/>
        <v>0</v>
      </c>
      <c r="AB174" s="159"/>
      <c r="AC174" s="159"/>
      <c r="AD174" s="159"/>
      <c r="AE174" s="350">
        <f>TRUNC(SUM(F174:AD174),2)</f>
        <v>0</v>
      </c>
      <c r="AF174" s="578">
        <f t="shared" si="841"/>
        <v>0</v>
      </c>
      <c r="AG174" s="1086"/>
      <c r="AH174" s="1088"/>
      <c r="AI174" s="1088"/>
      <c r="AJ174" s="1088"/>
      <c r="AK174" s="1088"/>
      <c r="AL174" s="1088"/>
      <c r="AM174" s="1088"/>
      <c r="AN174" s="1088"/>
      <c r="AO174" s="1088"/>
      <c r="AP174" s="1088"/>
      <c r="AQ174" s="1088"/>
      <c r="AR174" s="1088"/>
    </row>
    <row r="175" spans="1:44" s="589" customFormat="1" ht="21.95" hidden="1" customHeight="1" thickBot="1" x14ac:dyDescent="0.2">
      <c r="A175" s="2513"/>
      <c r="B175" s="2589"/>
      <c r="C175" s="928" t="s">
        <v>490</v>
      </c>
      <c r="D175" s="1996"/>
      <c r="E175" s="1519"/>
      <c r="F175" s="239">
        <f t="shared" ref="F175:G175" si="878">(F173+F174)*1.1</f>
        <v>0</v>
      </c>
      <c r="G175" s="239">
        <f t="shared" si="878"/>
        <v>0</v>
      </c>
      <c r="H175" s="239">
        <f t="shared" ref="H175:M175" si="879">(H173+H174)*1.1</f>
        <v>0</v>
      </c>
      <c r="I175" s="239">
        <f t="shared" si="879"/>
        <v>0</v>
      </c>
      <c r="J175" s="239">
        <f t="shared" si="879"/>
        <v>0</v>
      </c>
      <c r="K175" s="239">
        <f t="shared" si="879"/>
        <v>0</v>
      </c>
      <c r="L175" s="239">
        <f t="shared" si="879"/>
        <v>0</v>
      </c>
      <c r="M175" s="239">
        <f t="shared" si="879"/>
        <v>0</v>
      </c>
      <c r="N175" s="239">
        <f t="shared" ref="N175:O175" si="880">(N173+N174)*1.1</f>
        <v>0</v>
      </c>
      <c r="O175" s="239">
        <f t="shared" si="880"/>
        <v>0</v>
      </c>
      <c r="P175" s="239">
        <f t="shared" ref="P175" si="881">(P173+P174)*1.1</f>
        <v>0</v>
      </c>
      <c r="Q175" s="239">
        <f t="shared" ref="Q175:AA175" si="882">(Q173+Q174)*1.1</f>
        <v>0</v>
      </c>
      <c r="R175" s="239">
        <f t="shared" ref="R175" si="883">(R173+R174)*1.1</f>
        <v>0</v>
      </c>
      <c r="S175" s="239">
        <f t="shared" si="882"/>
        <v>0</v>
      </c>
      <c r="T175" s="239">
        <f t="shared" si="882"/>
        <v>0</v>
      </c>
      <c r="U175" s="239">
        <f t="shared" si="882"/>
        <v>0</v>
      </c>
      <c r="V175" s="239">
        <f t="shared" si="882"/>
        <v>0</v>
      </c>
      <c r="W175" s="239">
        <f t="shared" si="882"/>
        <v>0</v>
      </c>
      <c r="X175" s="239">
        <f t="shared" si="882"/>
        <v>0</v>
      </c>
      <c r="Y175" s="239">
        <f t="shared" si="882"/>
        <v>0</v>
      </c>
      <c r="Z175" s="239">
        <f t="shared" si="882"/>
        <v>0</v>
      </c>
      <c r="AA175" s="239">
        <f t="shared" si="882"/>
        <v>0</v>
      </c>
      <c r="AB175" s="159"/>
      <c r="AC175" s="159"/>
      <c r="AD175" s="159"/>
      <c r="AE175" s="361">
        <f>TRUNC(SUM(F175:AD175),2)</f>
        <v>0</v>
      </c>
      <c r="AF175" s="578">
        <f t="shared" si="841"/>
        <v>0</v>
      </c>
      <c r="AG175" s="1086"/>
      <c r="AH175" s="1088"/>
      <c r="AI175" s="1088"/>
      <c r="AJ175" s="1088"/>
      <c r="AK175" s="1088"/>
      <c r="AL175" s="1088"/>
      <c r="AM175" s="1088"/>
      <c r="AN175" s="1088"/>
      <c r="AO175" s="1088"/>
      <c r="AP175" s="1088"/>
      <c r="AQ175" s="1088"/>
      <c r="AR175" s="1088"/>
    </row>
    <row r="176" spans="1:44" s="589" customFormat="1" ht="21.95" hidden="1" customHeight="1" x14ac:dyDescent="0.15">
      <c r="A176" s="2513"/>
      <c r="B176" s="2588" t="s">
        <v>608</v>
      </c>
      <c r="C176" s="929" t="s">
        <v>16</v>
      </c>
      <c r="D176" s="1994"/>
      <c r="E176" s="1516"/>
      <c r="F176" s="238">
        <f>Dren_Quantificacao!D22</f>
        <v>0</v>
      </c>
      <c r="G176" s="238">
        <f>Dren_Quantificacao!E22</f>
        <v>0</v>
      </c>
      <c r="H176" s="238">
        <f>Dren_Quantificacao!F22</f>
        <v>0</v>
      </c>
      <c r="I176" s="238">
        <f>Dren_Quantificacao!G22</f>
        <v>0</v>
      </c>
      <c r="J176" s="238">
        <f>Dren_Quantificacao!H22</f>
        <v>0</v>
      </c>
      <c r="K176" s="238">
        <f>Dren_Quantificacao!I22</f>
        <v>0</v>
      </c>
      <c r="L176" s="238">
        <f>Dren_Quantificacao!J22</f>
        <v>0</v>
      </c>
      <c r="M176" s="238">
        <f>Dren_Quantificacao!K22</f>
        <v>0</v>
      </c>
      <c r="N176" s="238">
        <f>Dren_Quantificacao!L22</f>
        <v>0</v>
      </c>
      <c r="O176" s="238">
        <f>Dren_Quantificacao!M22</f>
        <v>0</v>
      </c>
      <c r="P176" s="238">
        <f>Dren_Quantificacao!O22</f>
        <v>0</v>
      </c>
      <c r="Q176" s="238">
        <f>Dren_Quantificacao!P22</f>
        <v>0</v>
      </c>
      <c r="R176" s="238">
        <f>Dren_Quantificacao!Q22</f>
        <v>0</v>
      </c>
      <c r="S176" s="238">
        <f>Dren_Quantificacao!R22</f>
        <v>0</v>
      </c>
      <c r="T176" s="238">
        <f>Dren_Quantificacao!S22</f>
        <v>0</v>
      </c>
      <c r="U176" s="238">
        <f>Dren_Quantificacao!T22</f>
        <v>0</v>
      </c>
      <c r="V176" s="238">
        <f>Dren_Quantificacao!U22</f>
        <v>0</v>
      </c>
      <c r="W176" s="238">
        <f>Dren_Quantificacao!V22</f>
        <v>0</v>
      </c>
      <c r="X176" s="238">
        <f>Dren_Quantificacao!W22</f>
        <v>0</v>
      </c>
      <c r="Y176" s="238">
        <f>Dren_Quantificacao!X22</f>
        <v>0</v>
      </c>
      <c r="Z176" s="238">
        <f>Dren_Quantificacao!Y22</f>
        <v>0</v>
      </c>
      <c r="AA176" s="238">
        <f>Dren_Quantificacao!Z22</f>
        <v>0</v>
      </c>
      <c r="AB176" s="238"/>
      <c r="AC176" s="238"/>
      <c r="AD176" s="238"/>
      <c r="AE176" s="363"/>
      <c r="AF176" s="578">
        <f t="shared" si="841"/>
        <v>0</v>
      </c>
      <c r="AG176" s="1086"/>
      <c r="AH176" s="1088"/>
      <c r="AI176" s="1088"/>
      <c r="AJ176" s="1088"/>
      <c r="AK176" s="1088"/>
      <c r="AL176" s="1088"/>
      <c r="AM176" s="1088"/>
      <c r="AN176" s="1088"/>
      <c r="AO176" s="1088"/>
      <c r="AP176" s="1088"/>
      <c r="AQ176" s="1088"/>
      <c r="AR176" s="1088"/>
    </row>
    <row r="177" spans="1:44" s="589" customFormat="1" ht="21.95" hidden="1" customHeight="1" x14ac:dyDescent="0.15">
      <c r="A177" s="2513"/>
      <c r="B177" s="2585"/>
      <c r="C177" s="590" t="s">
        <v>3</v>
      </c>
      <c r="D177" s="1995"/>
      <c r="E177" s="591"/>
      <c r="F177" s="158">
        <f>IF(F176=0,0,Dren_Quantificacao!D23)</f>
        <v>0</v>
      </c>
      <c r="G177" s="158">
        <f>IF(G176=0,0,Dren_Quantificacao!E23)</f>
        <v>0</v>
      </c>
      <c r="H177" s="158">
        <f>IF(H176=0,0,Dren_Quantificacao!F23)</f>
        <v>0</v>
      </c>
      <c r="I177" s="158">
        <f>IF(I176=0,0,Dren_Quantificacao!G23)</f>
        <v>0</v>
      </c>
      <c r="J177" s="158">
        <f>IF(J176=0,0,Dren_Quantificacao!H23)</f>
        <v>0</v>
      </c>
      <c r="K177" s="158">
        <f>IF(K176=0,0,Dren_Quantificacao!I23)</f>
        <v>0</v>
      </c>
      <c r="L177" s="158">
        <f>IF(L176=0,0,Dren_Quantificacao!J23)</f>
        <v>0</v>
      </c>
      <c r="M177" s="158">
        <f>IF(M176=0,0,Dren_Quantificacao!K23)</f>
        <v>0</v>
      </c>
      <c r="N177" s="158">
        <f>IF(N176=0,0,Dren_Quantificacao!L23)</f>
        <v>0</v>
      </c>
      <c r="O177" s="158">
        <f>IF(O176=0,0,Dren_Quantificacao!M23)</f>
        <v>0</v>
      </c>
      <c r="P177" s="158">
        <f>IF(P176=0,0,Dren_Quantificacao!O23)</f>
        <v>0</v>
      </c>
      <c r="Q177" s="158">
        <f>IF(Q176=0,0,Dren_Quantificacao!P23)</f>
        <v>0</v>
      </c>
      <c r="R177" s="158">
        <f>IF(R176=0,0,Dren_Quantificacao!Q23)</f>
        <v>0</v>
      </c>
      <c r="S177" s="158">
        <f>IF(S176=0,0,Dren_Quantificacao!R23)</f>
        <v>0</v>
      </c>
      <c r="T177" s="158">
        <f>IF(T176=0,0,Dren_Quantificacao!S23)</f>
        <v>0</v>
      </c>
      <c r="U177" s="158">
        <f>IF(U176=0,0,Dren_Quantificacao!T23)</f>
        <v>0</v>
      </c>
      <c r="V177" s="158">
        <f>IF(V176=0,0,Dren_Quantificacao!U23)</f>
        <v>0</v>
      </c>
      <c r="W177" s="158">
        <f>IF(W176=0,0,Dren_Quantificacao!V23)</f>
        <v>0</v>
      </c>
      <c r="X177" s="158">
        <f>IF(X176=0,0,Dren_Quantificacao!W23)</f>
        <v>0</v>
      </c>
      <c r="Y177" s="158">
        <f>IF(Y176=0,0,Dren_Quantificacao!X23)</f>
        <v>0</v>
      </c>
      <c r="Z177" s="158">
        <f>IF(Z176=0,0,Dren_Quantificacao!Y23)</f>
        <v>0</v>
      </c>
      <c r="AA177" s="158">
        <f>IF(AA176=0,0,Dren_Quantificacao!Z23)</f>
        <v>0</v>
      </c>
      <c r="AB177" s="158"/>
      <c r="AC177" s="158"/>
      <c r="AD177" s="158"/>
      <c r="AE177" s="594">
        <f>TRUNC(SUM(F177:AD177),2)</f>
        <v>0</v>
      </c>
      <c r="AF177" s="578">
        <f t="shared" si="841"/>
        <v>0</v>
      </c>
      <c r="AG177" s="1086"/>
      <c r="AH177" s="1088"/>
      <c r="AI177" s="1088"/>
      <c r="AJ177" s="1088"/>
      <c r="AK177" s="1088"/>
      <c r="AL177" s="1088"/>
      <c r="AM177" s="1088"/>
      <c r="AN177" s="1088"/>
      <c r="AO177" s="1088"/>
      <c r="AP177" s="1088"/>
      <c r="AQ177" s="1088"/>
      <c r="AR177" s="1088"/>
    </row>
    <row r="178" spans="1:44" s="589" customFormat="1" ht="21.95" hidden="1" customHeight="1" x14ac:dyDescent="0.15">
      <c r="A178" s="2513"/>
      <c r="B178" s="2585"/>
      <c r="C178" s="590" t="s">
        <v>58</v>
      </c>
      <c r="D178" s="1995"/>
      <c r="E178" s="591"/>
      <c r="F178" s="158">
        <f t="shared" ref="F178:G178" si="884">IF(F176=0,0,F$33+F$34)</f>
        <v>0</v>
      </c>
      <c r="G178" s="158">
        <f t="shared" si="884"/>
        <v>0</v>
      </c>
      <c r="H178" s="158">
        <f t="shared" ref="H178:M178" si="885">IF(H176=0,0,H$33+H$34)</f>
        <v>0</v>
      </c>
      <c r="I178" s="158">
        <f t="shared" si="885"/>
        <v>0</v>
      </c>
      <c r="J178" s="158">
        <f t="shared" si="885"/>
        <v>0</v>
      </c>
      <c r="K178" s="158">
        <f t="shared" si="885"/>
        <v>0</v>
      </c>
      <c r="L178" s="158">
        <f t="shared" si="885"/>
        <v>0</v>
      </c>
      <c r="M178" s="158">
        <f t="shared" si="885"/>
        <v>0</v>
      </c>
      <c r="N178" s="158">
        <f t="shared" ref="N178:O178" si="886">IF(N176=0,0,N$33+N$34)</f>
        <v>0</v>
      </c>
      <c r="O178" s="158">
        <f t="shared" si="886"/>
        <v>0</v>
      </c>
      <c r="P178" s="158">
        <f t="shared" ref="P178" si="887">IF(P176=0,0,P$33+P$34)</f>
        <v>0</v>
      </c>
      <c r="Q178" s="158">
        <f t="shared" ref="Q178:AA178" si="888">IF(Q176=0,0,Q$33+Q$34)</f>
        <v>0</v>
      </c>
      <c r="R178" s="158">
        <f t="shared" ref="R178" si="889">IF(R176=0,0,R$33+R$34)</f>
        <v>0</v>
      </c>
      <c r="S178" s="158">
        <f t="shared" si="888"/>
        <v>0</v>
      </c>
      <c r="T178" s="158">
        <f t="shared" si="888"/>
        <v>0</v>
      </c>
      <c r="U178" s="158">
        <f t="shared" si="888"/>
        <v>0</v>
      </c>
      <c r="V178" s="158">
        <f t="shared" si="888"/>
        <v>0</v>
      </c>
      <c r="W178" s="158">
        <f t="shared" si="888"/>
        <v>0</v>
      </c>
      <c r="X178" s="158">
        <f t="shared" si="888"/>
        <v>0</v>
      </c>
      <c r="Y178" s="158">
        <f t="shared" si="888"/>
        <v>0</v>
      </c>
      <c r="Z178" s="158">
        <f t="shared" si="888"/>
        <v>0</v>
      </c>
      <c r="AA178" s="158">
        <f t="shared" si="888"/>
        <v>0</v>
      </c>
      <c r="AB178" s="158"/>
      <c r="AC178" s="158"/>
      <c r="AD178" s="158"/>
      <c r="AE178" s="351"/>
      <c r="AF178" s="578">
        <f t="shared" si="841"/>
        <v>0</v>
      </c>
      <c r="AG178" s="1086"/>
      <c r="AH178" s="1088"/>
      <c r="AI178" s="1088"/>
      <c r="AJ178" s="1088"/>
      <c r="AK178" s="1088"/>
      <c r="AL178" s="1088"/>
      <c r="AM178" s="1088"/>
      <c r="AN178" s="1088"/>
      <c r="AO178" s="1088"/>
      <c r="AP178" s="1088"/>
      <c r="AQ178" s="1088"/>
      <c r="AR178" s="1088"/>
    </row>
    <row r="179" spans="1:44" s="589" customFormat="1" ht="21.95" hidden="1" customHeight="1" x14ac:dyDescent="0.15">
      <c r="A179" s="2513"/>
      <c r="B179" s="2585"/>
      <c r="C179" s="590" t="s">
        <v>300</v>
      </c>
      <c r="D179" s="1995"/>
      <c r="E179" s="591"/>
      <c r="F179" s="158">
        <f t="shared" ref="F179:G179" si="890">F178*F177*F176</f>
        <v>0</v>
      </c>
      <c r="G179" s="158">
        <f t="shared" si="890"/>
        <v>0</v>
      </c>
      <c r="H179" s="158">
        <f t="shared" ref="H179:M179" si="891">H178*H177*H176</f>
        <v>0</v>
      </c>
      <c r="I179" s="158">
        <f t="shared" si="891"/>
        <v>0</v>
      </c>
      <c r="J179" s="158">
        <f t="shared" si="891"/>
        <v>0</v>
      </c>
      <c r="K179" s="158">
        <f t="shared" si="891"/>
        <v>0</v>
      </c>
      <c r="L179" s="158">
        <f t="shared" si="891"/>
        <v>0</v>
      </c>
      <c r="M179" s="158">
        <f t="shared" si="891"/>
        <v>0</v>
      </c>
      <c r="N179" s="158">
        <f t="shared" ref="N179:O179" si="892">N178*N177*N176</f>
        <v>0</v>
      </c>
      <c r="O179" s="158">
        <f t="shared" si="892"/>
        <v>0</v>
      </c>
      <c r="P179" s="158">
        <f t="shared" ref="P179" si="893">P178*P177*P176</f>
        <v>0</v>
      </c>
      <c r="Q179" s="158">
        <f t="shared" ref="Q179:AA179" si="894">Q178*Q177*Q176</f>
        <v>0</v>
      </c>
      <c r="R179" s="158">
        <f t="shared" ref="R179" si="895">R178*R177*R176</f>
        <v>0</v>
      </c>
      <c r="S179" s="158">
        <f t="shared" si="894"/>
        <v>0</v>
      </c>
      <c r="T179" s="158">
        <f t="shared" si="894"/>
        <v>0</v>
      </c>
      <c r="U179" s="158">
        <f t="shared" si="894"/>
        <v>0</v>
      </c>
      <c r="V179" s="158">
        <f t="shared" si="894"/>
        <v>0</v>
      </c>
      <c r="W179" s="158">
        <f t="shared" si="894"/>
        <v>0</v>
      </c>
      <c r="X179" s="158">
        <f t="shared" si="894"/>
        <v>0</v>
      </c>
      <c r="Y179" s="158">
        <f t="shared" si="894"/>
        <v>0</v>
      </c>
      <c r="Z179" s="158">
        <f t="shared" si="894"/>
        <v>0</v>
      </c>
      <c r="AA179" s="158">
        <f t="shared" si="894"/>
        <v>0</v>
      </c>
      <c r="AB179" s="158"/>
      <c r="AC179" s="158"/>
      <c r="AD179" s="158"/>
      <c r="AE179" s="350">
        <f>TRUNC(SUM(F179:AD179),2)</f>
        <v>0</v>
      </c>
      <c r="AF179" s="578">
        <f t="shared" si="841"/>
        <v>0</v>
      </c>
      <c r="AG179" s="1086"/>
      <c r="AH179" s="1088"/>
      <c r="AI179" s="1088"/>
      <c r="AJ179" s="1088"/>
      <c r="AK179" s="1088"/>
      <c r="AL179" s="1088"/>
      <c r="AM179" s="1088"/>
      <c r="AN179" s="1088"/>
      <c r="AO179" s="1088"/>
      <c r="AP179" s="1088"/>
      <c r="AQ179" s="1088"/>
      <c r="AR179" s="1088"/>
    </row>
    <row r="180" spans="1:44" s="589" customFormat="1" ht="21.95" hidden="1" customHeight="1" thickBot="1" x14ac:dyDescent="0.2">
      <c r="A180" s="2513"/>
      <c r="B180" s="2589"/>
      <c r="C180" s="928" t="s">
        <v>490</v>
      </c>
      <c r="D180" s="1996"/>
      <c r="E180" s="1519"/>
      <c r="F180" s="239">
        <f t="shared" ref="F180:G180" si="896">F179*1.1</f>
        <v>0</v>
      </c>
      <c r="G180" s="239">
        <f t="shared" si="896"/>
        <v>0</v>
      </c>
      <c r="H180" s="239">
        <f t="shared" ref="H180:M180" si="897">H179*1.1</f>
        <v>0</v>
      </c>
      <c r="I180" s="239">
        <f t="shared" si="897"/>
        <v>0</v>
      </c>
      <c r="J180" s="239">
        <f t="shared" si="897"/>
        <v>0</v>
      </c>
      <c r="K180" s="239">
        <f t="shared" si="897"/>
        <v>0</v>
      </c>
      <c r="L180" s="239">
        <f t="shared" si="897"/>
        <v>0</v>
      </c>
      <c r="M180" s="239">
        <f t="shared" si="897"/>
        <v>0</v>
      </c>
      <c r="N180" s="239">
        <f t="shared" ref="N180:O180" si="898">N179*1.1</f>
        <v>0</v>
      </c>
      <c r="O180" s="239">
        <f t="shared" si="898"/>
        <v>0</v>
      </c>
      <c r="P180" s="239">
        <f t="shared" ref="P180" si="899">P179*1.1</f>
        <v>0</v>
      </c>
      <c r="Q180" s="239">
        <f t="shared" ref="Q180:AA180" si="900">Q179*1.1</f>
        <v>0</v>
      </c>
      <c r="R180" s="239">
        <f t="shared" ref="R180" si="901">R179*1.1</f>
        <v>0</v>
      </c>
      <c r="S180" s="239">
        <f t="shared" si="900"/>
        <v>0</v>
      </c>
      <c r="T180" s="239">
        <f t="shared" si="900"/>
        <v>0</v>
      </c>
      <c r="U180" s="239">
        <f t="shared" si="900"/>
        <v>0</v>
      </c>
      <c r="V180" s="239">
        <f t="shared" si="900"/>
        <v>0</v>
      </c>
      <c r="W180" s="239">
        <f t="shared" si="900"/>
        <v>0</v>
      </c>
      <c r="X180" s="239">
        <f t="shared" si="900"/>
        <v>0</v>
      </c>
      <c r="Y180" s="239">
        <f t="shared" si="900"/>
        <v>0</v>
      </c>
      <c r="Z180" s="239">
        <f t="shared" si="900"/>
        <v>0</v>
      </c>
      <c r="AA180" s="239">
        <f t="shared" si="900"/>
        <v>0</v>
      </c>
      <c r="AB180" s="239"/>
      <c r="AC180" s="239"/>
      <c r="AD180" s="239"/>
      <c r="AE180" s="361">
        <f>TRUNC(SUM(F180:AD180),2)</f>
        <v>0</v>
      </c>
      <c r="AF180" s="578">
        <f t="shared" si="841"/>
        <v>0</v>
      </c>
      <c r="AG180" s="1086"/>
      <c r="AH180" s="1088"/>
      <c r="AI180" s="1088"/>
      <c r="AJ180" s="1088"/>
      <c r="AK180" s="1088"/>
      <c r="AL180" s="1088"/>
      <c r="AM180" s="1088"/>
      <c r="AN180" s="1088"/>
      <c r="AO180" s="1088"/>
      <c r="AP180" s="1088"/>
      <c r="AQ180" s="1088"/>
      <c r="AR180" s="1088"/>
    </row>
    <row r="181" spans="1:44" s="589" customFormat="1" ht="21.95" hidden="1" customHeight="1" x14ac:dyDescent="0.15">
      <c r="A181" s="2513"/>
      <c r="B181" s="2588" t="s">
        <v>607</v>
      </c>
      <c r="C181" s="929" t="s">
        <v>16</v>
      </c>
      <c r="D181" s="1994"/>
      <c r="E181" s="1516"/>
      <c r="F181" s="238">
        <f>Dren_Quantificacao!D108</f>
        <v>0</v>
      </c>
      <c r="G181" s="238">
        <f>Dren_Quantificacao!E108</f>
        <v>0</v>
      </c>
      <c r="H181" s="238">
        <f>Dren_Quantificacao!F108</f>
        <v>0</v>
      </c>
      <c r="I181" s="238">
        <f>Dren_Quantificacao!G108</f>
        <v>0</v>
      </c>
      <c r="J181" s="238">
        <f>Dren_Quantificacao!H108</f>
        <v>0</v>
      </c>
      <c r="K181" s="238">
        <f>Dren_Quantificacao!I108</f>
        <v>0</v>
      </c>
      <c r="L181" s="238">
        <f>Dren_Quantificacao!J108</f>
        <v>0</v>
      </c>
      <c r="M181" s="238">
        <f>Dren_Quantificacao!K108</f>
        <v>0</v>
      </c>
      <c r="N181" s="238">
        <f>Dren_Quantificacao!L108</f>
        <v>0</v>
      </c>
      <c r="O181" s="238">
        <f>Dren_Quantificacao!M108</f>
        <v>0</v>
      </c>
      <c r="P181" s="238">
        <f>Dren_Quantificacao!O108</f>
        <v>0</v>
      </c>
      <c r="Q181" s="238">
        <f>Dren_Quantificacao!P108</f>
        <v>0</v>
      </c>
      <c r="R181" s="238">
        <f>Dren_Quantificacao!Q108</f>
        <v>0</v>
      </c>
      <c r="S181" s="238">
        <f>Dren_Quantificacao!R108</f>
        <v>0</v>
      </c>
      <c r="T181" s="238">
        <f>Dren_Quantificacao!S108</f>
        <v>0</v>
      </c>
      <c r="U181" s="238">
        <f>Dren_Quantificacao!T108</f>
        <v>0</v>
      </c>
      <c r="V181" s="238">
        <f>Dren_Quantificacao!U108</f>
        <v>0</v>
      </c>
      <c r="W181" s="238">
        <f>Dren_Quantificacao!V108</f>
        <v>0</v>
      </c>
      <c r="X181" s="238">
        <f>Dren_Quantificacao!W108</f>
        <v>0</v>
      </c>
      <c r="Y181" s="238">
        <f>Dren_Quantificacao!X108</f>
        <v>0</v>
      </c>
      <c r="Z181" s="238">
        <f>Dren_Quantificacao!Y108</f>
        <v>0</v>
      </c>
      <c r="AA181" s="238">
        <f>Dren_Quantificacao!Z108</f>
        <v>0</v>
      </c>
      <c r="AB181" s="238"/>
      <c r="AC181" s="238"/>
      <c r="AD181" s="238"/>
      <c r="AE181" s="363"/>
      <c r="AF181" s="578">
        <f t="shared" si="841"/>
        <v>0</v>
      </c>
      <c r="AG181" s="1086"/>
      <c r="AH181" s="1088"/>
      <c r="AI181" s="1088"/>
      <c r="AJ181" s="1088"/>
      <c r="AK181" s="1088"/>
      <c r="AL181" s="1088"/>
      <c r="AM181" s="1088"/>
      <c r="AN181" s="1088"/>
      <c r="AO181" s="1088"/>
      <c r="AP181" s="1088"/>
      <c r="AQ181" s="1088"/>
      <c r="AR181" s="1088"/>
    </row>
    <row r="182" spans="1:44" s="589" customFormat="1" ht="21.95" hidden="1" customHeight="1" x14ac:dyDescent="0.15">
      <c r="A182" s="2513"/>
      <c r="B182" s="2585"/>
      <c r="C182" s="590" t="s">
        <v>3</v>
      </c>
      <c r="D182" s="1995"/>
      <c r="E182" s="591"/>
      <c r="F182" s="158">
        <f>Dren_Quantificacao!D109</f>
        <v>0</v>
      </c>
      <c r="G182" s="158">
        <f>Dren_Quantificacao!E109</f>
        <v>0</v>
      </c>
      <c r="H182" s="158">
        <f>Dren_Quantificacao!F109</f>
        <v>0</v>
      </c>
      <c r="I182" s="158">
        <f>Dren_Quantificacao!G109</f>
        <v>0</v>
      </c>
      <c r="J182" s="158">
        <f>Dren_Quantificacao!H109</f>
        <v>0</v>
      </c>
      <c r="K182" s="158">
        <f>Dren_Quantificacao!I109</f>
        <v>0</v>
      </c>
      <c r="L182" s="158">
        <f>Dren_Quantificacao!J109</f>
        <v>0</v>
      </c>
      <c r="M182" s="158">
        <f>Dren_Quantificacao!K109</f>
        <v>0</v>
      </c>
      <c r="N182" s="158">
        <f>Dren_Quantificacao!L109</f>
        <v>0</v>
      </c>
      <c r="O182" s="158">
        <f>Dren_Quantificacao!M109</f>
        <v>0</v>
      </c>
      <c r="P182" s="158">
        <f>Dren_Quantificacao!O109</f>
        <v>0</v>
      </c>
      <c r="Q182" s="158">
        <f>Dren_Quantificacao!P109</f>
        <v>0</v>
      </c>
      <c r="R182" s="158">
        <f>Dren_Quantificacao!Q109</f>
        <v>0</v>
      </c>
      <c r="S182" s="158">
        <f>Dren_Quantificacao!R109</f>
        <v>0</v>
      </c>
      <c r="T182" s="158">
        <f>Dren_Quantificacao!S109</f>
        <v>0</v>
      </c>
      <c r="U182" s="158">
        <f>Dren_Quantificacao!T109</f>
        <v>0</v>
      </c>
      <c r="V182" s="158">
        <f>Dren_Quantificacao!U109</f>
        <v>0</v>
      </c>
      <c r="W182" s="158">
        <f>Dren_Quantificacao!V109</f>
        <v>0</v>
      </c>
      <c r="X182" s="158">
        <f>Dren_Quantificacao!W109</f>
        <v>0</v>
      </c>
      <c r="Y182" s="158">
        <f>Dren_Quantificacao!X109</f>
        <v>0</v>
      </c>
      <c r="Z182" s="158">
        <f>Dren_Quantificacao!Y109</f>
        <v>0</v>
      </c>
      <c r="AA182" s="158">
        <f>Dren_Quantificacao!Z109</f>
        <v>0</v>
      </c>
      <c r="AB182" s="158"/>
      <c r="AC182" s="158"/>
      <c r="AD182" s="158"/>
      <c r="AE182" s="594">
        <f>TRUNC(SUM(F182:AD182),2)</f>
        <v>0</v>
      </c>
      <c r="AF182" s="578">
        <f t="shared" si="841"/>
        <v>0</v>
      </c>
      <c r="AG182" s="1086"/>
      <c r="AH182" s="1088"/>
      <c r="AI182" s="1088"/>
      <c r="AJ182" s="1088"/>
      <c r="AK182" s="1088"/>
      <c r="AL182" s="1088"/>
      <c r="AM182" s="1088"/>
      <c r="AN182" s="1088"/>
      <c r="AO182" s="1088"/>
      <c r="AP182" s="1088"/>
      <c r="AQ182" s="1088"/>
      <c r="AR182" s="1088"/>
    </row>
    <row r="183" spans="1:44" s="589" customFormat="1" ht="21.95" hidden="1" customHeight="1" x14ac:dyDescent="0.15">
      <c r="A183" s="2513"/>
      <c r="B183" s="2585"/>
      <c r="C183" s="590" t="s">
        <v>58</v>
      </c>
      <c r="D183" s="1995"/>
      <c r="E183" s="591"/>
      <c r="F183" s="158">
        <f>Dren_Quantificacao!D110</f>
        <v>0</v>
      </c>
      <c r="G183" s="158">
        <f>Dren_Quantificacao!E110</f>
        <v>0</v>
      </c>
      <c r="H183" s="158">
        <f>Dren_Quantificacao!F110</f>
        <v>0</v>
      </c>
      <c r="I183" s="158">
        <f>Dren_Quantificacao!G110</f>
        <v>0</v>
      </c>
      <c r="J183" s="158">
        <f>Dren_Quantificacao!H110</f>
        <v>0</v>
      </c>
      <c r="K183" s="158">
        <f>Dren_Quantificacao!I110</f>
        <v>0</v>
      </c>
      <c r="L183" s="158">
        <f>Dren_Quantificacao!J110</f>
        <v>0</v>
      </c>
      <c r="M183" s="158">
        <f>Dren_Quantificacao!K110</f>
        <v>0</v>
      </c>
      <c r="N183" s="158">
        <f>Dren_Quantificacao!L110</f>
        <v>0</v>
      </c>
      <c r="O183" s="158">
        <f>Dren_Quantificacao!M110</f>
        <v>0</v>
      </c>
      <c r="P183" s="158">
        <f>Dren_Quantificacao!O110</f>
        <v>0</v>
      </c>
      <c r="Q183" s="158">
        <f>Dren_Quantificacao!P110</f>
        <v>0</v>
      </c>
      <c r="R183" s="158">
        <f>Dren_Quantificacao!Q110</f>
        <v>0</v>
      </c>
      <c r="S183" s="158">
        <f>Dren_Quantificacao!R110</f>
        <v>0</v>
      </c>
      <c r="T183" s="158">
        <f>Dren_Quantificacao!S110</f>
        <v>0</v>
      </c>
      <c r="U183" s="158">
        <f>Dren_Quantificacao!T110</f>
        <v>0</v>
      </c>
      <c r="V183" s="158">
        <f>Dren_Quantificacao!U110</f>
        <v>0</v>
      </c>
      <c r="W183" s="158">
        <f>Dren_Quantificacao!V110</f>
        <v>0</v>
      </c>
      <c r="X183" s="158">
        <f>Dren_Quantificacao!W110</f>
        <v>0</v>
      </c>
      <c r="Y183" s="158">
        <f>Dren_Quantificacao!X110</f>
        <v>0</v>
      </c>
      <c r="Z183" s="158">
        <f>Dren_Quantificacao!Y110</f>
        <v>0</v>
      </c>
      <c r="AA183" s="158">
        <f>Dren_Quantificacao!Z110</f>
        <v>0</v>
      </c>
      <c r="AB183" s="158"/>
      <c r="AC183" s="158"/>
      <c r="AD183" s="158"/>
      <c r="AE183" s="351"/>
      <c r="AF183" s="578">
        <f t="shared" si="841"/>
        <v>0</v>
      </c>
      <c r="AG183" s="1086"/>
      <c r="AH183" s="1088"/>
      <c r="AI183" s="1088"/>
      <c r="AJ183" s="1088"/>
      <c r="AK183" s="1088"/>
      <c r="AL183" s="1088"/>
      <c r="AM183" s="1088"/>
      <c r="AN183" s="1088"/>
      <c r="AO183" s="1088"/>
      <c r="AP183" s="1088"/>
      <c r="AQ183" s="1088"/>
      <c r="AR183" s="1088"/>
    </row>
    <row r="184" spans="1:44" s="589" customFormat="1" ht="21.95" hidden="1" customHeight="1" x14ac:dyDescent="0.15">
      <c r="A184" s="2513"/>
      <c r="B184" s="2585"/>
      <c r="C184" s="590" t="s">
        <v>300</v>
      </c>
      <c r="D184" s="1995"/>
      <c r="E184" s="591"/>
      <c r="F184" s="158">
        <f t="shared" ref="F184:G184" si="902">F183*F182*F181</f>
        <v>0</v>
      </c>
      <c r="G184" s="158">
        <f t="shared" si="902"/>
        <v>0</v>
      </c>
      <c r="H184" s="158">
        <f t="shared" ref="H184:M184" si="903">H183*H182*H181</f>
        <v>0</v>
      </c>
      <c r="I184" s="158">
        <f t="shared" si="903"/>
        <v>0</v>
      </c>
      <c r="J184" s="158">
        <f t="shared" si="903"/>
        <v>0</v>
      </c>
      <c r="K184" s="158">
        <f t="shared" si="903"/>
        <v>0</v>
      </c>
      <c r="L184" s="158">
        <f t="shared" si="903"/>
        <v>0</v>
      </c>
      <c r="M184" s="158">
        <f t="shared" si="903"/>
        <v>0</v>
      </c>
      <c r="N184" s="158">
        <f t="shared" ref="N184:O184" si="904">N183*N182*N181</f>
        <v>0</v>
      </c>
      <c r="O184" s="158">
        <f t="shared" si="904"/>
        <v>0</v>
      </c>
      <c r="P184" s="158">
        <f t="shared" ref="P184" si="905">P183*P182*P181</f>
        <v>0</v>
      </c>
      <c r="Q184" s="158">
        <f t="shared" ref="Q184:AA184" si="906">Q183*Q182*Q181</f>
        <v>0</v>
      </c>
      <c r="R184" s="158">
        <f t="shared" ref="R184" si="907">R183*R182*R181</f>
        <v>0</v>
      </c>
      <c r="S184" s="158">
        <f t="shared" si="906"/>
        <v>0</v>
      </c>
      <c r="T184" s="158">
        <f t="shared" si="906"/>
        <v>0</v>
      </c>
      <c r="U184" s="158">
        <f t="shared" si="906"/>
        <v>0</v>
      </c>
      <c r="V184" s="158">
        <f t="shared" si="906"/>
        <v>0</v>
      </c>
      <c r="W184" s="158">
        <f t="shared" si="906"/>
        <v>0</v>
      </c>
      <c r="X184" s="158">
        <f t="shared" si="906"/>
        <v>0</v>
      </c>
      <c r="Y184" s="158">
        <f t="shared" si="906"/>
        <v>0</v>
      </c>
      <c r="Z184" s="158">
        <f t="shared" si="906"/>
        <v>0</v>
      </c>
      <c r="AA184" s="158">
        <f t="shared" si="906"/>
        <v>0</v>
      </c>
      <c r="AB184" s="158"/>
      <c r="AC184" s="158"/>
      <c r="AD184" s="158"/>
      <c r="AE184" s="350">
        <f>TRUNC(SUM(F184:AD184),2)</f>
        <v>0</v>
      </c>
      <c r="AF184" s="578">
        <f t="shared" si="841"/>
        <v>0</v>
      </c>
      <c r="AG184" s="1086"/>
      <c r="AH184" s="1088"/>
      <c r="AI184" s="1088"/>
      <c r="AJ184" s="1088"/>
      <c r="AK184" s="1088"/>
      <c r="AL184" s="1088"/>
      <c r="AM184" s="1088"/>
      <c r="AN184" s="1088"/>
      <c r="AO184" s="1088"/>
      <c r="AP184" s="1088"/>
      <c r="AQ184" s="1088"/>
      <c r="AR184" s="1088"/>
    </row>
    <row r="185" spans="1:44" s="589" customFormat="1" ht="21.95" hidden="1" customHeight="1" thickBot="1" x14ac:dyDescent="0.2">
      <c r="A185" s="2513"/>
      <c r="B185" s="2589"/>
      <c r="C185" s="928" t="s">
        <v>490</v>
      </c>
      <c r="D185" s="1996"/>
      <c r="E185" s="1519"/>
      <c r="F185" s="239">
        <f t="shared" ref="F185:G185" si="908">F184*1.1</f>
        <v>0</v>
      </c>
      <c r="G185" s="239">
        <f t="shared" si="908"/>
        <v>0</v>
      </c>
      <c r="H185" s="239">
        <f t="shared" ref="H185:M185" si="909">H184*1.1</f>
        <v>0</v>
      </c>
      <c r="I185" s="239">
        <f t="shared" si="909"/>
        <v>0</v>
      </c>
      <c r="J185" s="239">
        <f t="shared" si="909"/>
        <v>0</v>
      </c>
      <c r="K185" s="239">
        <f t="shared" si="909"/>
        <v>0</v>
      </c>
      <c r="L185" s="239">
        <f t="shared" si="909"/>
        <v>0</v>
      </c>
      <c r="M185" s="239">
        <f t="shared" si="909"/>
        <v>0</v>
      </c>
      <c r="N185" s="239">
        <f t="shared" ref="N185:O185" si="910">N184*1.1</f>
        <v>0</v>
      </c>
      <c r="O185" s="239">
        <f t="shared" si="910"/>
        <v>0</v>
      </c>
      <c r="P185" s="239">
        <f t="shared" ref="P185" si="911">P184*1.1</f>
        <v>0</v>
      </c>
      <c r="Q185" s="239">
        <f t="shared" ref="Q185:AA185" si="912">Q184*1.1</f>
        <v>0</v>
      </c>
      <c r="R185" s="239">
        <f t="shared" ref="R185" si="913">R184*1.1</f>
        <v>0</v>
      </c>
      <c r="S185" s="239">
        <f t="shared" si="912"/>
        <v>0</v>
      </c>
      <c r="T185" s="239">
        <f t="shared" si="912"/>
        <v>0</v>
      </c>
      <c r="U185" s="239">
        <f t="shared" si="912"/>
        <v>0</v>
      </c>
      <c r="V185" s="239">
        <f t="shared" si="912"/>
        <v>0</v>
      </c>
      <c r="W185" s="239">
        <f t="shared" si="912"/>
        <v>0</v>
      </c>
      <c r="X185" s="239">
        <f t="shared" si="912"/>
        <v>0</v>
      </c>
      <c r="Y185" s="239">
        <f t="shared" si="912"/>
        <v>0</v>
      </c>
      <c r="Z185" s="239">
        <f t="shared" si="912"/>
        <v>0</v>
      </c>
      <c r="AA185" s="239">
        <f t="shared" si="912"/>
        <v>0</v>
      </c>
      <c r="AB185" s="239"/>
      <c r="AC185" s="239"/>
      <c r="AD185" s="239"/>
      <c r="AE185" s="361">
        <f>TRUNC(SUM(F185:AD185),2)</f>
        <v>0</v>
      </c>
      <c r="AF185" s="578">
        <f t="shared" si="841"/>
        <v>0</v>
      </c>
      <c r="AG185" s="1086"/>
      <c r="AH185" s="1088"/>
      <c r="AI185" s="1088"/>
      <c r="AJ185" s="1088"/>
      <c r="AK185" s="1088"/>
      <c r="AL185" s="1088"/>
      <c r="AM185" s="1088"/>
      <c r="AN185" s="1088"/>
      <c r="AO185" s="1088"/>
      <c r="AP185" s="1088"/>
      <c r="AQ185" s="1088"/>
      <c r="AR185" s="1088"/>
    </row>
    <row r="186" spans="1:44" s="589" customFormat="1" ht="21.95" hidden="1" customHeight="1" x14ac:dyDescent="0.15">
      <c r="A186" s="2513"/>
      <c r="B186" s="2608" t="s">
        <v>25</v>
      </c>
      <c r="C186" s="929" t="s">
        <v>3</v>
      </c>
      <c r="D186" s="1994"/>
      <c r="E186" s="1516"/>
      <c r="F186" s="238">
        <f>Dren_Quantificacao!D101</f>
        <v>0</v>
      </c>
      <c r="G186" s="238">
        <f>Dren_Quantificacao!E101</f>
        <v>0</v>
      </c>
      <c r="H186" s="238">
        <f>Dren_Quantificacao!F101</f>
        <v>0</v>
      </c>
      <c r="I186" s="238">
        <f>Dren_Quantificacao!G101</f>
        <v>0</v>
      </c>
      <c r="J186" s="238">
        <f>Dren_Quantificacao!H101</f>
        <v>0</v>
      </c>
      <c r="K186" s="238">
        <f>Dren_Quantificacao!I101</f>
        <v>0</v>
      </c>
      <c r="L186" s="238">
        <f>Dren_Quantificacao!J101</f>
        <v>0</v>
      </c>
      <c r="M186" s="238">
        <f>Dren_Quantificacao!K101</f>
        <v>0</v>
      </c>
      <c r="N186" s="238">
        <f>Dren_Quantificacao!L101</f>
        <v>0</v>
      </c>
      <c r="O186" s="238">
        <f>Dren_Quantificacao!M101</f>
        <v>0</v>
      </c>
      <c r="P186" s="238">
        <f>Dren_Quantificacao!O101</f>
        <v>0</v>
      </c>
      <c r="Q186" s="238">
        <f>Dren_Quantificacao!P101</f>
        <v>0</v>
      </c>
      <c r="R186" s="238">
        <f>Dren_Quantificacao!Q101</f>
        <v>0</v>
      </c>
      <c r="S186" s="238">
        <f>Dren_Quantificacao!R101</f>
        <v>0</v>
      </c>
      <c r="T186" s="238">
        <f>Dren_Quantificacao!S101</f>
        <v>0</v>
      </c>
      <c r="U186" s="238">
        <f>Dren_Quantificacao!T101</f>
        <v>0</v>
      </c>
      <c r="V186" s="238">
        <f>Dren_Quantificacao!U101</f>
        <v>0</v>
      </c>
      <c r="W186" s="238">
        <f>Dren_Quantificacao!V101</f>
        <v>0</v>
      </c>
      <c r="X186" s="238">
        <f>Dren_Quantificacao!W101</f>
        <v>0</v>
      </c>
      <c r="Y186" s="238">
        <f>Dren_Quantificacao!X101</f>
        <v>0</v>
      </c>
      <c r="Z186" s="238">
        <f>Dren_Quantificacao!Y101</f>
        <v>0</v>
      </c>
      <c r="AA186" s="238">
        <f>Dren_Quantificacao!Z101</f>
        <v>0</v>
      </c>
      <c r="AB186" s="238"/>
      <c r="AC186" s="238"/>
      <c r="AD186" s="238"/>
      <c r="AE186" s="594">
        <f>TRUNC(SUM(F186:AD186),2)</f>
        <v>0</v>
      </c>
      <c r="AF186" s="578">
        <f t="shared" si="841"/>
        <v>0</v>
      </c>
      <c r="AG186" s="1086"/>
      <c r="AH186" s="1088"/>
      <c r="AI186" s="1088"/>
      <c r="AJ186" s="1088"/>
      <c r="AK186" s="1088"/>
      <c r="AL186" s="1088"/>
      <c r="AM186" s="1088"/>
      <c r="AN186" s="1088"/>
      <c r="AO186" s="1088"/>
      <c r="AP186" s="1088"/>
      <c r="AQ186" s="1088"/>
      <c r="AR186" s="1088"/>
    </row>
    <row r="187" spans="1:44" s="589" customFormat="1" ht="21.95" hidden="1" customHeight="1" x14ac:dyDescent="0.15">
      <c r="A187" s="2513"/>
      <c r="B187" s="2609"/>
      <c r="C187" s="590" t="s">
        <v>58</v>
      </c>
      <c r="D187" s="1995"/>
      <c r="E187" s="591"/>
      <c r="F187" s="158">
        <f>Dren_Quantificacao!D102</f>
        <v>0</v>
      </c>
      <c r="G187" s="158">
        <f>Dren_Quantificacao!E102</f>
        <v>0</v>
      </c>
      <c r="H187" s="158">
        <f>Dren_Quantificacao!F102</f>
        <v>0</v>
      </c>
      <c r="I187" s="158">
        <f>Dren_Quantificacao!G102</f>
        <v>0</v>
      </c>
      <c r="J187" s="158">
        <f>Dren_Quantificacao!H102</f>
        <v>0</v>
      </c>
      <c r="K187" s="158">
        <f>Dren_Quantificacao!I102</f>
        <v>0</v>
      </c>
      <c r="L187" s="158">
        <f>Dren_Quantificacao!J102</f>
        <v>0</v>
      </c>
      <c r="M187" s="158">
        <f>Dren_Quantificacao!K102</f>
        <v>0</v>
      </c>
      <c r="N187" s="158">
        <f>Dren_Quantificacao!L102</f>
        <v>0</v>
      </c>
      <c r="O187" s="158">
        <f>Dren_Quantificacao!M102</f>
        <v>0</v>
      </c>
      <c r="P187" s="158">
        <f>Dren_Quantificacao!O102</f>
        <v>0</v>
      </c>
      <c r="Q187" s="158">
        <f>Dren_Quantificacao!P102</f>
        <v>0</v>
      </c>
      <c r="R187" s="158">
        <f>Dren_Quantificacao!Q102</f>
        <v>0</v>
      </c>
      <c r="S187" s="158">
        <f>Dren_Quantificacao!R102</f>
        <v>0</v>
      </c>
      <c r="T187" s="158">
        <f>Dren_Quantificacao!S102</f>
        <v>0</v>
      </c>
      <c r="U187" s="158">
        <f>Dren_Quantificacao!T102</f>
        <v>0</v>
      </c>
      <c r="V187" s="158">
        <f>Dren_Quantificacao!U102</f>
        <v>0</v>
      </c>
      <c r="W187" s="158">
        <f>Dren_Quantificacao!V102</f>
        <v>0</v>
      </c>
      <c r="X187" s="158">
        <f>Dren_Quantificacao!W102</f>
        <v>0</v>
      </c>
      <c r="Y187" s="158">
        <f>Dren_Quantificacao!X102</f>
        <v>0</v>
      </c>
      <c r="Z187" s="158">
        <f>Dren_Quantificacao!Y102</f>
        <v>0</v>
      </c>
      <c r="AA187" s="158">
        <f>Dren_Quantificacao!Z102</f>
        <v>0</v>
      </c>
      <c r="AB187" s="158"/>
      <c r="AC187" s="158"/>
      <c r="AD187" s="158"/>
      <c r="AE187" s="351"/>
      <c r="AF187" s="578">
        <f t="shared" si="841"/>
        <v>0</v>
      </c>
      <c r="AG187" s="1086"/>
      <c r="AH187" s="1088"/>
      <c r="AI187" s="1088"/>
      <c r="AJ187" s="1088"/>
      <c r="AK187" s="1088"/>
      <c r="AL187" s="1088"/>
      <c r="AM187" s="1088"/>
      <c r="AN187" s="1088"/>
      <c r="AO187" s="1088"/>
      <c r="AP187" s="1088"/>
      <c r="AQ187" s="1088"/>
      <c r="AR187" s="1088"/>
    </row>
    <row r="188" spans="1:44" s="589" customFormat="1" ht="21.95" hidden="1" customHeight="1" thickBot="1" x14ac:dyDescent="0.2">
      <c r="A188" s="2513"/>
      <c r="B188" s="2610"/>
      <c r="C188" s="928" t="s">
        <v>29</v>
      </c>
      <c r="D188" s="1996"/>
      <c r="E188" s="1519"/>
      <c r="F188" s="239">
        <f t="shared" ref="F188:G188" si="914">F187*F186</f>
        <v>0</v>
      </c>
      <c r="G188" s="239">
        <f t="shared" si="914"/>
        <v>0</v>
      </c>
      <c r="H188" s="239">
        <f t="shared" ref="H188:M188" si="915">H187*H186</f>
        <v>0</v>
      </c>
      <c r="I188" s="239">
        <f t="shared" si="915"/>
        <v>0</v>
      </c>
      <c r="J188" s="239">
        <f t="shared" si="915"/>
        <v>0</v>
      </c>
      <c r="K188" s="239">
        <f t="shared" si="915"/>
        <v>0</v>
      </c>
      <c r="L188" s="239">
        <f t="shared" si="915"/>
        <v>0</v>
      </c>
      <c r="M188" s="239">
        <f t="shared" si="915"/>
        <v>0</v>
      </c>
      <c r="N188" s="239">
        <f t="shared" ref="N188:O188" si="916">N187*N186</f>
        <v>0</v>
      </c>
      <c r="O188" s="239">
        <f t="shared" si="916"/>
        <v>0</v>
      </c>
      <c r="P188" s="239">
        <f t="shared" ref="P188" si="917">P187*P186</f>
        <v>0</v>
      </c>
      <c r="Q188" s="239">
        <f t="shared" ref="Q188:AA188" si="918">Q187*Q186</f>
        <v>0</v>
      </c>
      <c r="R188" s="239">
        <f t="shared" ref="R188" si="919">R187*R186</f>
        <v>0</v>
      </c>
      <c r="S188" s="239">
        <f t="shared" si="918"/>
        <v>0</v>
      </c>
      <c r="T188" s="239">
        <f t="shared" si="918"/>
        <v>0</v>
      </c>
      <c r="U188" s="239">
        <f t="shared" si="918"/>
        <v>0</v>
      </c>
      <c r="V188" s="239">
        <f t="shared" si="918"/>
        <v>0</v>
      </c>
      <c r="W188" s="239">
        <f t="shared" si="918"/>
        <v>0</v>
      </c>
      <c r="X188" s="239">
        <f t="shared" si="918"/>
        <v>0</v>
      </c>
      <c r="Y188" s="239">
        <f t="shared" si="918"/>
        <v>0</v>
      </c>
      <c r="Z188" s="239">
        <f t="shared" si="918"/>
        <v>0</v>
      </c>
      <c r="AA188" s="239">
        <f t="shared" si="918"/>
        <v>0</v>
      </c>
      <c r="AB188" s="239"/>
      <c r="AC188" s="239"/>
      <c r="AD188" s="239"/>
      <c r="AE188" s="361">
        <f>TRUNC(SUM(F188:AD188),2)</f>
        <v>0</v>
      </c>
      <c r="AF188" s="578">
        <f t="shared" si="841"/>
        <v>0</v>
      </c>
      <c r="AG188" s="1086"/>
      <c r="AH188" s="1088"/>
      <c r="AI188" s="1088"/>
      <c r="AJ188" s="1088"/>
      <c r="AK188" s="1088"/>
      <c r="AL188" s="1088"/>
      <c r="AM188" s="1088"/>
      <c r="AN188" s="1088"/>
      <c r="AO188" s="1088"/>
      <c r="AP188" s="1088"/>
      <c r="AQ188" s="1088"/>
      <c r="AR188" s="1088"/>
    </row>
    <row r="189" spans="1:44" s="589" customFormat="1" ht="21.95" hidden="1" customHeight="1" x14ac:dyDescent="0.15">
      <c r="A189" s="2513"/>
      <c r="B189" s="2611" t="s">
        <v>325</v>
      </c>
      <c r="C189" s="542" t="s">
        <v>1424</v>
      </c>
      <c r="D189" s="1991"/>
      <c r="E189" s="1516"/>
      <c r="F189" s="228">
        <f>Dren_Quantificacao!D103</f>
        <v>0</v>
      </c>
      <c r="G189" s="228">
        <f>Dren_Quantificacao!E103</f>
        <v>0</v>
      </c>
      <c r="H189" s="228">
        <f>Dren_Quantificacao!F103</f>
        <v>0</v>
      </c>
      <c r="I189" s="228">
        <f>Dren_Quantificacao!G103</f>
        <v>0</v>
      </c>
      <c r="J189" s="228">
        <f>Dren_Quantificacao!H103</f>
        <v>0</v>
      </c>
      <c r="K189" s="228">
        <f>Dren_Quantificacao!I103</f>
        <v>0</v>
      </c>
      <c r="L189" s="228">
        <f>Dren_Quantificacao!J103</f>
        <v>0</v>
      </c>
      <c r="M189" s="228">
        <f>Dren_Quantificacao!K103</f>
        <v>0</v>
      </c>
      <c r="N189" s="228">
        <f>Dren_Quantificacao!L103</f>
        <v>0</v>
      </c>
      <c r="O189" s="228">
        <f>Dren_Quantificacao!M103</f>
        <v>0</v>
      </c>
      <c r="P189" s="228">
        <f>Dren_Quantificacao!O103</f>
        <v>0</v>
      </c>
      <c r="Q189" s="228">
        <f>Dren_Quantificacao!P103</f>
        <v>0</v>
      </c>
      <c r="R189" s="228">
        <f>Dren_Quantificacao!Q103</f>
        <v>0</v>
      </c>
      <c r="S189" s="228">
        <f>Dren_Quantificacao!R103</f>
        <v>0</v>
      </c>
      <c r="T189" s="228">
        <f>Dren_Quantificacao!S103</f>
        <v>0</v>
      </c>
      <c r="U189" s="228">
        <f>Dren_Quantificacao!T103</f>
        <v>0</v>
      </c>
      <c r="V189" s="228">
        <f>Dren_Quantificacao!U103</f>
        <v>0</v>
      </c>
      <c r="W189" s="228">
        <f>Dren_Quantificacao!V103</f>
        <v>0</v>
      </c>
      <c r="X189" s="228">
        <f>Dren_Quantificacao!W103</f>
        <v>0</v>
      </c>
      <c r="Y189" s="228">
        <f>Dren_Quantificacao!X103</f>
        <v>0</v>
      </c>
      <c r="Z189" s="228">
        <f>Dren_Quantificacao!Y103</f>
        <v>0</v>
      </c>
      <c r="AA189" s="228">
        <f>Dren_Quantificacao!Z103</f>
        <v>0</v>
      </c>
      <c r="AB189" s="228">
        <f>Dren_Quantificacao!AA103</f>
        <v>0</v>
      </c>
      <c r="AC189" s="228">
        <f>Dren_Quantificacao!AB103</f>
        <v>0</v>
      </c>
      <c r="AD189" s="228">
        <f>Dren_Quantificacao!AC103</f>
        <v>0</v>
      </c>
      <c r="AE189" s="362">
        <f>TRUNC(SUM(F189:AD189),2)</f>
        <v>0</v>
      </c>
      <c r="AF189" s="578">
        <f t="shared" si="841"/>
        <v>0</v>
      </c>
      <c r="AG189" s="1086"/>
      <c r="AH189" s="1088"/>
      <c r="AI189" s="1088"/>
      <c r="AJ189" s="1088"/>
      <c r="AK189" s="1088"/>
      <c r="AL189" s="1088"/>
      <c r="AM189" s="1088"/>
      <c r="AN189" s="1088"/>
      <c r="AO189" s="1088"/>
      <c r="AP189" s="1088"/>
      <c r="AQ189" s="1088"/>
      <c r="AR189" s="1088"/>
    </row>
    <row r="190" spans="1:44" s="589" customFormat="1" ht="21.95" hidden="1" customHeight="1" thickBot="1" x14ac:dyDescent="0.2">
      <c r="A190" s="2513"/>
      <c r="B190" s="2535"/>
      <c r="C190" s="545" t="s">
        <v>1425</v>
      </c>
      <c r="D190" s="1997"/>
      <c r="E190" s="1519"/>
      <c r="F190" s="359">
        <f>Dren_Quantificacao!D104</f>
        <v>0</v>
      </c>
      <c r="G190" s="359">
        <f>Dren_Quantificacao!E104</f>
        <v>0</v>
      </c>
      <c r="H190" s="359">
        <f>Dren_Quantificacao!F104</f>
        <v>0</v>
      </c>
      <c r="I190" s="359">
        <f>Dren_Quantificacao!G104</f>
        <v>0</v>
      </c>
      <c r="J190" s="359">
        <f>Dren_Quantificacao!H104</f>
        <v>0</v>
      </c>
      <c r="K190" s="359">
        <f>Dren_Quantificacao!I104</f>
        <v>0</v>
      </c>
      <c r="L190" s="359">
        <f>Dren_Quantificacao!J104</f>
        <v>0</v>
      </c>
      <c r="M190" s="359">
        <f>Dren_Quantificacao!K104</f>
        <v>0</v>
      </c>
      <c r="N190" s="359">
        <f>Dren_Quantificacao!L104</f>
        <v>0</v>
      </c>
      <c r="O190" s="359">
        <f>Dren_Quantificacao!M104</f>
        <v>0</v>
      </c>
      <c r="P190" s="359">
        <f>Dren_Quantificacao!O104</f>
        <v>0</v>
      </c>
      <c r="Q190" s="359">
        <f>Dren_Quantificacao!P104</f>
        <v>0</v>
      </c>
      <c r="R190" s="359">
        <f>Dren_Quantificacao!Q104</f>
        <v>0</v>
      </c>
      <c r="S190" s="359">
        <f>Dren_Quantificacao!R104</f>
        <v>0</v>
      </c>
      <c r="T190" s="359">
        <f>Dren_Quantificacao!S104</f>
        <v>0</v>
      </c>
      <c r="U190" s="359">
        <f>Dren_Quantificacao!T104</f>
        <v>0</v>
      </c>
      <c r="V190" s="359">
        <f>Dren_Quantificacao!U104</f>
        <v>0</v>
      </c>
      <c r="W190" s="359">
        <f>Dren_Quantificacao!V104</f>
        <v>0</v>
      </c>
      <c r="X190" s="359">
        <f>Dren_Quantificacao!W104</f>
        <v>0</v>
      </c>
      <c r="Y190" s="359">
        <f>Dren_Quantificacao!X104</f>
        <v>0</v>
      </c>
      <c r="Z190" s="359">
        <f>Dren_Quantificacao!Y104</f>
        <v>0</v>
      </c>
      <c r="AA190" s="359">
        <f>Dren_Quantificacao!Z104</f>
        <v>0</v>
      </c>
      <c r="AB190" s="359">
        <f>Dren_Quantificacao!AA104</f>
        <v>0</v>
      </c>
      <c r="AC190" s="359">
        <f>Dren_Quantificacao!AB104</f>
        <v>0</v>
      </c>
      <c r="AD190" s="359">
        <f>Dren_Quantificacao!AC104</f>
        <v>0</v>
      </c>
      <c r="AE190" s="361">
        <f>TRUNC(SUM(F190:AD190),2)</f>
        <v>0</v>
      </c>
      <c r="AF190" s="578">
        <f t="shared" si="841"/>
        <v>0</v>
      </c>
      <c r="AG190" s="1086"/>
      <c r="AH190" s="1088"/>
      <c r="AI190" s="1088"/>
      <c r="AJ190" s="1088"/>
      <c r="AK190" s="1088"/>
      <c r="AL190" s="1088"/>
      <c r="AM190" s="1088"/>
      <c r="AN190" s="1088"/>
      <c r="AO190" s="1088"/>
      <c r="AP190" s="1088"/>
      <c r="AQ190" s="1088"/>
      <c r="AR190" s="1088"/>
    </row>
    <row r="191" spans="1:44" s="589" customFormat="1" ht="21.95" hidden="1" customHeight="1" thickBot="1" x14ac:dyDescent="0.2">
      <c r="A191" s="2513"/>
      <c r="B191" s="2603" t="s">
        <v>491</v>
      </c>
      <c r="C191" s="2604"/>
      <c r="D191" s="2007"/>
      <c r="E191" s="1532"/>
      <c r="F191" s="365">
        <f t="shared" ref="F191:G191" si="920">IF((F169+F180)&gt;0,F2/1.7+F120/10*(1/3),0)</f>
        <v>0</v>
      </c>
      <c r="G191" s="365">
        <f t="shared" si="920"/>
        <v>0</v>
      </c>
      <c r="H191" s="365">
        <f t="shared" ref="H191:M191" si="921">IF((H169+H180)&gt;0,H2/1.7+H120/10*(1/3),0)</f>
        <v>0</v>
      </c>
      <c r="I191" s="365">
        <f t="shared" si="921"/>
        <v>0</v>
      </c>
      <c r="J191" s="365">
        <f t="shared" si="921"/>
        <v>0</v>
      </c>
      <c r="K191" s="365">
        <f t="shared" si="921"/>
        <v>0</v>
      </c>
      <c r="L191" s="365">
        <f t="shared" si="921"/>
        <v>0</v>
      </c>
      <c r="M191" s="365">
        <f t="shared" si="921"/>
        <v>0</v>
      </c>
      <c r="N191" s="365">
        <f t="shared" ref="N191:O191" si="922">IF((N169+N180)&gt;0,N2/1.7+N120/10*(1/3),0)</f>
        <v>0</v>
      </c>
      <c r="O191" s="365">
        <f t="shared" si="922"/>
        <v>0</v>
      </c>
      <c r="P191" s="365">
        <f t="shared" ref="P191" si="923">IF((P169+P180)&gt;0,P2/1.7+P120/10*(1/3),0)</f>
        <v>0</v>
      </c>
      <c r="Q191" s="365">
        <f t="shared" ref="Q191:AD191" si="924">IF((Q169+Q180)&gt;0,Q2/1.7+Q120/10*(1/3),0)</f>
        <v>0</v>
      </c>
      <c r="R191" s="365">
        <f t="shared" ref="R191" si="925">IF((R169+R180)&gt;0,R2/1.7+R120/10*(1/3),0)</f>
        <v>0</v>
      </c>
      <c r="S191" s="365">
        <f t="shared" si="924"/>
        <v>0</v>
      </c>
      <c r="T191" s="365">
        <f t="shared" si="924"/>
        <v>0</v>
      </c>
      <c r="U191" s="365">
        <f t="shared" si="924"/>
        <v>0</v>
      </c>
      <c r="V191" s="365">
        <f t="shared" si="924"/>
        <v>0</v>
      </c>
      <c r="W191" s="365">
        <f t="shared" si="924"/>
        <v>0</v>
      </c>
      <c r="X191" s="365">
        <f t="shared" si="924"/>
        <v>0</v>
      </c>
      <c r="Y191" s="365">
        <f t="shared" si="924"/>
        <v>0</v>
      </c>
      <c r="Z191" s="365">
        <f t="shared" si="924"/>
        <v>0</v>
      </c>
      <c r="AA191" s="365">
        <f t="shared" si="924"/>
        <v>0</v>
      </c>
      <c r="AB191" s="365">
        <f t="shared" si="924"/>
        <v>0</v>
      </c>
      <c r="AC191" s="365">
        <f t="shared" si="924"/>
        <v>0</v>
      </c>
      <c r="AD191" s="365">
        <f t="shared" si="924"/>
        <v>0</v>
      </c>
      <c r="AE191" s="366">
        <f>TRUNC(SUM(F191:AD191),2)</f>
        <v>0</v>
      </c>
      <c r="AF191" s="578">
        <f t="shared" si="841"/>
        <v>0</v>
      </c>
      <c r="AG191" s="1086"/>
      <c r="AH191" s="1088"/>
      <c r="AI191" s="1088"/>
      <c r="AJ191" s="1088"/>
      <c r="AK191" s="1088"/>
      <c r="AL191" s="1088"/>
      <c r="AM191" s="1088"/>
      <c r="AN191" s="1088"/>
      <c r="AO191" s="1088"/>
      <c r="AP191" s="1088"/>
      <c r="AQ191" s="1088"/>
      <c r="AR191" s="1088"/>
    </row>
    <row r="192" spans="1:44" s="589" customFormat="1" ht="21.95" hidden="1" customHeight="1" x14ac:dyDescent="0.15">
      <c r="A192" s="2513"/>
      <c r="B192" s="2594" t="s">
        <v>65</v>
      </c>
      <c r="C192" s="590" t="s">
        <v>66</v>
      </c>
      <c r="D192" s="1994"/>
      <c r="E192" s="1516"/>
      <c r="F192" s="238">
        <f>Dren_Quantificacao!D111</f>
        <v>0</v>
      </c>
      <c r="G192" s="238">
        <f>Dren_Quantificacao!E111</f>
        <v>0</v>
      </c>
      <c r="H192" s="238">
        <f>Dren_Quantificacao!F111</f>
        <v>0</v>
      </c>
      <c r="I192" s="238">
        <f>Dren_Quantificacao!G111</f>
        <v>0</v>
      </c>
      <c r="J192" s="238">
        <f>Dren_Quantificacao!H111</f>
        <v>0</v>
      </c>
      <c r="K192" s="238">
        <f>Dren_Quantificacao!I111</f>
        <v>0</v>
      </c>
      <c r="L192" s="238">
        <f>Dren_Quantificacao!J111</f>
        <v>0</v>
      </c>
      <c r="M192" s="238">
        <f>Dren_Quantificacao!K111</f>
        <v>0</v>
      </c>
      <c r="N192" s="238">
        <f>Dren_Quantificacao!L111</f>
        <v>0</v>
      </c>
      <c r="O192" s="238">
        <f>Dren_Quantificacao!M111</f>
        <v>0</v>
      </c>
      <c r="P192" s="238">
        <f>Dren_Quantificacao!O111</f>
        <v>0</v>
      </c>
      <c r="Q192" s="238">
        <f>Dren_Quantificacao!P111</f>
        <v>0</v>
      </c>
      <c r="R192" s="238">
        <f>Dren_Quantificacao!Q111</f>
        <v>0</v>
      </c>
      <c r="S192" s="238">
        <f>Dren_Quantificacao!R111</f>
        <v>0</v>
      </c>
      <c r="T192" s="238">
        <f>Dren_Quantificacao!S111</f>
        <v>0</v>
      </c>
      <c r="U192" s="238">
        <f>Dren_Quantificacao!T111</f>
        <v>0</v>
      </c>
      <c r="V192" s="238">
        <f>Dren_Quantificacao!U111</f>
        <v>0</v>
      </c>
      <c r="W192" s="238">
        <f>Dren_Quantificacao!V111</f>
        <v>0</v>
      </c>
      <c r="X192" s="238">
        <f>Dren_Quantificacao!W111</f>
        <v>0</v>
      </c>
      <c r="Y192" s="238">
        <f>Dren_Quantificacao!X111</f>
        <v>0</v>
      </c>
      <c r="Z192" s="238">
        <f>Dren_Quantificacao!Y111</f>
        <v>0</v>
      </c>
      <c r="AA192" s="238">
        <f>Dren_Quantificacao!Z111</f>
        <v>0</v>
      </c>
      <c r="AB192" s="238"/>
      <c r="AC192" s="238"/>
      <c r="AD192" s="238"/>
      <c r="AE192" s="592"/>
      <c r="AF192" s="578">
        <f t="shared" si="841"/>
        <v>0</v>
      </c>
      <c r="AG192" s="1086"/>
      <c r="AH192" s="1088"/>
      <c r="AI192" s="1088"/>
      <c r="AJ192" s="1088"/>
      <c r="AK192" s="1088"/>
      <c r="AL192" s="1088"/>
      <c r="AM192" s="1088"/>
      <c r="AN192" s="1088"/>
      <c r="AO192" s="1088"/>
      <c r="AP192" s="1088"/>
      <c r="AQ192" s="1088"/>
      <c r="AR192" s="1088"/>
    </row>
    <row r="193" spans="1:44" s="589" customFormat="1" ht="21.95" hidden="1" customHeight="1" x14ac:dyDescent="0.15">
      <c r="A193" s="2513"/>
      <c r="B193" s="2595"/>
      <c r="C193" s="590" t="s">
        <v>631</v>
      </c>
      <c r="D193" s="1995"/>
      <c r="E193" s="591"/>
      <c r="F193" s="158">
        <f>Dren_Quantificacao!D112</f>
        <v>0</v>
      </c>
      <c r="G193" s="158">
        <f>Dren_Quantificacao!E112</f>
        <v>0</v>
      </c>
      <c r="H193" s="158">
        <f>Dren_Quantificacao!F112</f>
        <v>0</v>
      </c>
      <c r="I193" s="158">
        <f>Dren_Quantificacao!G112</f>
        <v>0</v>
      </c>
      <c r="J193" s="158">
        <f>Dren_Quantificacao!H112</f>
        <v>0</v>
      </c>
      <c r="K193" s="158">
        <f>Dren_Quantificacao!I112</f>
        <v>0</v>
      </c>
      <c r="L193" s="158">
        <f>Dren_Quantificacao!J112</f>
        <v>0</v>
      </c>
      <c r="M193" s="158">
        <f>Dren_Quantificacao!K112</f>
        <v>0</v>
      </c>
      <c r="N193" s="158">
        <f>Dren_Quantificacao!L112</f>
        <v>0</v>
      </c>
      <c r="O193" s="158">
        <f>Dren_Quantificacao!M112</f>
        <v>0</v>
      </c>
      <c r="P193" s="158">
        <f>Dren_Quantificacao!O112</f>
        <v>0</v>
      </c>
      <c r="Q193" s="158">
        <f>Dren_Quantificacao!P112</f>
        <v>0</v>
      </c>
      <c r="R193" s="158">
        <f>Dren_Quantificacao!Q112</f>
        <v>0</v>
      </c>
      <c r="S193" s="158">
        <f>Dren_Quantificacao!R112</f>
        <v>0</v>
      </c>
      <c r="T193" s="158">
        <f>Dren_Quantificacao!S112</f>
        <v>0</v>
      </c>
      <c r="U193" s="158">
        <f>Dren_Quantificacao!T112</f>
        <v>0</v>
      </c>
      <c r="V193" s="158">
        <f>Dren_Quantificacao!U112</f>
        <v>0</v>
      </c>
      <c r="W193" s="158">
        <f>Dren_Quantificacao!V112</f>
        <v>0</v>
      </c>
      <c r="X193" s="158">
        <f>Dren_Quantificacao!W112</f>
        <v>0</v>
      </c>
      <c r="Y193" s="158">
        <f>Dren_Quantificacao!X112</f>
        <v>0</v>
      </c>
      <c r="Z193" s="158">
        <f>Dren_Quantificacao!Y112</f>
        <v>0</v>
      </c>
      <c r="AA193" s="158">
        <f>Dren_Quantificacao!Z112</f>
        <v>0</v>
      </c>
      <c r="AB193" s="158"/>
      <c r="AC193" s="158"/>
      <c r="AD193" s="158"/>
      <c r="AE193" s="594"/>
      <c r="AF193" s="578">
        <f t="shared" si="841"/>
        <v>0</v>
      </c>
      <c r="AG193" s="1086"/>
      <c r="AH193" s="1088"/>
      <c r="AI193" s="1088"/>
      <c r="AJ193" s="1088"/>
      <c r="AK193" s="1088"/>
      <c r="AL193" s="1088"/>
      <c r="AM193" s="1088"/>
      <c r="AN193" s="1088"/>
      <c r="AO193" s="1088"/>
      <c r="AP193" s="1088"/>
      <c r="AQ193" s="1088"/>
      <c r="AR193" s="1088"/>
    </row>
    <row r="194" spans="1:44" s="589" customFormat="1" ht="21.95" hidden="1" customHeight="1" x14ac:dyDescent="0.15">
      <c r="A194" s="2513"/>
      <c r="B194" s="2595"/>
      <c r="C194" s="590" t="s">
        <v>632</v>
      </c>
      <c r="D194" s="1995"/>
      <c r="E194" s="591"/>
      <c r="F194" s="158">
        <f t="shared" ref="F194:G194" si="926">2*F192*1.5+F193</f>
        <v>0</v>
      </c>
      <c r="G194" s="158">
        <f t="shared" si="926"/>
        <v>0</v>
      </c>
      <c r="H194" s="158">
        <f t="shared" ref="H194:M194" si="927">2*H192*1.5+H193</f>
        <v>0</v>
      </c>
      <c r="I194" s="158">
        <f t="shared" si="927"/>
        <v>0</v>
      </c>
      <c r="J194" s="158">
        <f t="shared" si="927"/>
        <v>0</v>
      </c>
      <c r="K194" s="158">
        <f t="shared" si="927"/>
        <v>0</v>
      </c>
      <c r="L194" s="158">
        <f t="shared" si="927"/>
        <v>0</v>
      </c>
      <c r="M194" s="158">
        <f t="shared" si="927"/>
        <v>0</v>
      </c>
      <c r="N194" s="158">
        <f t="shared" ref="N194:O194" si="928">2*N192*1.5+N193</f>
        <v>0</v>
      </c>
      <c r="O194" s="158">
        <f t="shared" si="928"/>
        <v>0</v>
      </c>
      <c r="P194" s="158">
        <f t="shared" ref="P194" si="929">2*P192*1.5+P193</f>
        <v>0</v>
      </c>
      <c r="Q194" s="158">
        <f t="shared" ref="Q194:AA194" si="930">2*Q192*1.5+Q193</f>
        <v>0</v>
      </c>
      <c r="R194" s="158">
        <f t="shared" ref="R194" si="931">2*R192*1.5+R193</f>
        <v>0</v>
      </c>
      <c r="S194" s="158">
        <f t="shared" si="930"/>
        <v>0</v>
      </c>
      <c r="T194" s="158">
        <f t="shared" si="930"/>
        <v>0</v>
      </c>
      <c r="U194" s="158">
        <f t="shared" si="930"/>
        <v>0</v>
      </c>
      <c r="V194" s="158">
        <f t="shared" si="930"/>
        <v>0</v>
      </c>
      <c r="W194" s="158">
        <f t="shared" si="930"/>
        <v>0</v>
      </c>
      <c r="X194" s="158">
        <f t="shared" si="930"/>
        <v>0</v>
      </c>
      <c r="Y194" s="158">
        <f t="shared" si="930"/>
        <v>0</v>
      </c>
      <c r="Z194" s="158">
        <f t="shared" si="930"/>
        <v>0</v>
      </c>
      <c r="AA194" s="158">
        <f t="shared" si="930"/>
        <v>0</v>
      </c>
      <c r="AB194" s="158"/>
      <c r="AC194" s="158"/>
      <c r="AD194" s="158"/>
      <c r="AE194" s="594"/>
      <c r="AF194" s="578">
        <f t="shared" si="841"/>
        <v>0</v>
      </c>
      <c r="AG194" s="1086"/>
      <c r="AH194" s="1088"/>
      <c r="AI194" s="1088"/>
      <c r="AJ194" s="1088"/>
      <c r="AK194" s="1088"/>
      <c r="AL194" s="1088"/>
      <c r="AM194" s="1088"/>
      <c r="AN194" s="1088"/>
      <c r="AO194" s="1088"/>
      <c r="AP194" s="1088"/>
      <c r="AQ194" s="1088"/>
      <c r="AR194" s="1088"/>
    </row>
    <row r="195" spans="1:44" s="589" customFormat="1" ht="21.95" hidden="1" customHeight="1" x14ac:dyDescent="0.15">
      <c r="A195" s="2513"/>
      <c r="B195" s="2595"/>
      <c r="C195" s="590" t="s">
        <v>3</v>
      </c>
      <c r="D195" s="1995"/>
      <c r="E195" s="591"/>
      <c r="F195" s="158">
        <f>Dren_Quantificacao!D113</f>
        <v>0</v>
      </c>
      <c r="G195" s="158">
        <f>Dren_Quantificacao!E113</f>
        <v>0</v>
      </c>
      <c r="H195" s="158">
        <f>Dren_Quantificacao!F113</f>
        <v>0</v>
      </c>
      <c r="I195" s="158">
        <f>Dren_Quantificacao!G113</f>
        <v>0</v>
      </c>
      <c r="J195" s="158">
        <f>Dren_Quantificacao!H113</f>
        <v>0</v>
      </c>
      <c r="K195" s="158">
        <f>Dren_Quantificacao!I113</f>
        <v>0</v>
      </c>
      <c r="L195" s="158">
        <f>Dren_Quantificacao!J113</f>
        <v>0</v>
      </c>
      <c r="M195" s="158">
        <f>Dren_Quantificacao!K113</f>
        <v>0</v>
      </c>
      <c r="N195" s="158">
        <f>Dren_Quantificacao!L113</f>
        <v>0</v>
      </c>
      <c r="O195" s="158">
        <f>Dren_Quantificacao!M113</f>
        <v>0</v>
      </c>
      <c r="P195" s="158">
        <f>Dren_Quantificacao!O113</f>
        <v>0</v>
      </c>
      <c r="Q195" s="158">
        <f>Dren_Quantificacao!P113</f>
        <v>0</v>
      </c>
      <c r="R195" s="158">
        <f>Dren_Quantificacao!Q113</f>
        <v>0</v>
      </c>
      <c r="S195" s="158">
        <f>Dren_Quantificacao!R113</f>
        <v>0</v>
      </c>
      <c r="T195" s="158">
        <f>Dren_Quantificacao!S113</f>
        <v>0</v>
      </c>
      <c r="U195" s="158">
        <f>Dren_Quantificacao!T113</f>
        <v>0</v>
      </c>
      <c r="V195" s="158">
        <f>Dren_Quantificacao!U113</f>
        <v>0</v>
      </c>
      <c r="W195" s="158">
        <f>Dren_Quantificacao!V113</f>
        <v>0</v>
      </c>
      <c r="X195" s="158">
        <f>Dren_Quantificacao!W113</f>
        <v>0</v>
      </c>
      <c r="Y195" s="158">
        <f>Dren_Quantificacao!X113</f>
        <v>0</v>
      </c>
      <c r="Z195" s="158">
        <f>Dren_Quantificacao!Y113</f>
        <v>0</v>
      </c>
      <c r="AA195" s="158">
        <f>Dren_Quantificacao!Z113</f>
        <v>0</v>
      </c>
      <c r="AB195" s="158"/>
      <c r="AC195" s="158"/>
      <c r="AD195" s="158"/>
      <c r="AE195" s="594">
        <f t="shared" ref="AE195:AE211" si="932">TRUNC(SUM(F195:AD195),2)</f>
        <v>0</v>
      </c>
      <c r="AF195" s="578">
        <f t="shared" si="841"/>
        <v>0</v>
      </c>
      <c r="AG195" s="1086"/>
      <c r="AH195" s="1088"/>
      <c r="AI195" s="1088"/>
      <c r="AJ195" s="1088"/>
      <c r="AK195" s="1088"/>
      <c r="AL195" s="1088"/>
      <c r="AM195" s="1088"/>
      <c r="AN195" s="1088"/>
      <c r="AO195" s="1088"/>
      <c r="AP195" s="1088"/>
      <c r="AQ195" s="1088"/>
      <c r="AR195" s="1088"/>
    </row>
    <row r="196" spans="1:44" s="589" customFormat="1" ht="21.95" hidden="1" customHeight="1" x14ac:dyDescent="0.15">
      <c r="A196" s="2513"/>
      <c r="B196" s="2595"/>
      <c r="C196" s="597" t="s">
        <v>2410</v>
      </c>
      <c r="D196" s="1995"/>
      <c r="E196" s="591"/>
      <c r="F196" s="158">
        <f t="shared" ref="F196:G196" si="933">IF(F192&lt;1.5,(F193+F194)/2*F192*F195,0)</f>
        <v>0</v>
      </c>
      <c r="G196" s="158">
        <f t="shared" si="933"/>
        <v>0</v>
      </c>
      <c r="H196" s="158">
        <f t="shared" ref="H196:M196" si="934">IF(H192&lt;1.5,(H193+H194)/2*H192*H195,0)</f>
        <v>0</v>
      </c>
      <c r="I196" s="158">
        <f t="shared" si="934"/>
        <v>0</v>
      </c>
      <c r="J196" s="158">
        <f t="shared" si="934"/>
        <v>0</v>
      </c>
      <c r="K196" s="158">
        <f t="shared" si="934"/>
        <v>0</v>
      </c>
      <c r="L196" s="158">
        <f t="shared" si="934"/>
        <v>0</v>
      </c>
      <c r="M196" s="158">
        <f t="shared" si="934"/>
        <v>0</v>
      </c>
      <c r="N196" s="158">
        <f t="shared" ref="N196:O196" si="935">IF(N192&lt;1.5,(N193+N194)/2*N192*N195,0)</f>
        <v>0</v>
      </c>
      <c r="O196" s="158">
        <f t="shared" si="935"/>
        <v>0</v>
      </c>
      <c r="P196" s="158">
        <f t="shared" ref="P196" si="936">IF(P192&lt;1.5,(P193+P194)/2*P192*P195,0)</f>
        <v>0</v>
      </c>
      <c r="Q196" s="158">
        <f t="shared" ref="Q196:AA196" si="937">IF(Q192&lt;1.5,(Q193+Q194)/2*Q192*Q195,0)</f>
        <v>0</v>
      </c>
      <c r="R196" s="158">
        <f t="shared" ref="R196" si="938">IF(R192&lt;1.5,(R193+R194)/2*R192*R195,0)</f>
        <v>0</v>
      </c>
      <c r="S196" s="158">
        <f t="shared" si="937"/>
        <v>0</v>
      </c>
      <c r="T196" s="158">
        <f t="shared" si="937"/>
        <v>0</v>
      </c>
      <c r="U196" s="158">
        <f t="shared" si="937"/>
        <v>0</v>
      </c>
      <c r="V196" s="158">
        <f t="shared" si="937"/>
        <v>0</v>
      </c>
      <c r="W196" s="158">
        <f t="shared" si="937"/>
        <v>0</v>
      </c>
      <c r="X196" s="158">
        <f t="shared" si="937"/>
        <v>0</v>
      </c>
      <c r="Y196" s="158">
        <f t="shared" si="937"/>
        <v>0</v>
      </c>
      <c r="Z196" s="158">
        <f t="shared" si="937"/>
        <v>0</v>
      </c>
      <c r="AA196" s="158">
        <f t="shared" si="937"/>
        <v>0</v>
      </c>
      <c r="AB196" s="158"/>
      <c r="AC196" s="158"/>
      <c r="AD196" s="158"/>
      <c r="AE196" s="350">
        <f t="shared" si="932"/>
        <v>0</v>
      </c>
      <c r="AF196" s="578">
        <f t="shared" si="841"/>
        <v>0</v>
      </c>
      <c r="AG196" s="1086"/>
      <c r="AH196" s="1088"/>
      <c r="AI196" s="1088"/>
      <c r="AJ196" s="1088"/>
      <c r="AK196" s="1088"/>
      <c r="AL196" s="1088"/>
      <c r="AM196" s="1088"/>
      <c r="AN196" s="1088"/>
      <c r="AO196" s="1088"/>
      <c r="AP196" s="1088"/>
      <c r="AQ196" s="1088"/>
      <c r="AR196" s="1088"/>
    </row>
    <row r="197" spans="1:44" s="589" customFormat="1" ht="21.95" hidden="1" customHeight="1" thickBot="1" x14ac:dyDescent="0.2">
      <c r="A197" s="2513"/>
      <c r="B197" s="2587"/>
      <c r="C197" s="928" t="s">
        <v>2411</v>
      </c>
      <c r="D197" s="1996"/>
      <c r="E197" s="1519"/>
      <c r="F197" s="239">
        <f t="shared" ref="F197:G197" si="939">IF(F196=0,(F193+F194)/2*F192*F195,0)</f>
        <v>0</v>
      </c>
      <c r="G197" s="239">
        <f t="shared" si="939"/>
        <v>0</v>
      </c>
      <c r="H197" s="239">
        <f t="shared" ref="H197:M197" si="940">IF(H196=0,(H193+H194)/2*H192*H195,0)</f>
        <v>0</v>
      </c>
      <c r="I197" s="239">
        <f t="shared" si="940"/>
        <v>0</v>
      </c>
      <c r="J197" s="239">
        <f t="shared" si="940"/>
        <v>0</v>
      </c>
      <c r="K197" s="239">
        <f t="shared" si="940"/>
        <v>0</v>
      </c>
      <c r="L197" s="239">
        <f t="shared" si="940"/>
        <v>0</v>
      </c>
      <c r="M197" s="239">
        <f t="shared" si="940"/>
        <v>0</v>
      </c>
      <c r="N197" s="239">
        <f t="shared" ref="N197:O197" si="941">IF(N196=0,(N193+N194)/2*N192*N195,0)</f>
        <v>0</v>
      </c>
      <c r="O197" s="239">
        <f t="shared" si="941"/>
        <v>0</v>
      </c>
      <c r="P197" s="239">
        <f t="shared" ref="P197" si="942">IF(P196=0,(P193+P194)/2*P192*P195,0)</f>
        <v>0</v>
      </c>
      <c r="Q197" s="239">
        <f t="shared" ref="Q197:AA197" si="943">IF(Q196=0,(Q193+Q194)/2*Q192*Q195,0)</f>
        <v>0</v>
      </c>
      <c r="R197" s="239">
        <f t="shared" ref="R197" si="944">IF(R196=0,(R193+R194)/2*R192*R195,0)</f>
        <v>0</v>
      </c>
      <c r="S197" s="239">
        <f t="shared" si="943"/>
        <v>0</v>
      </c>
      <c r="T197" s="239">
        <f t="shared" si="943"/>
        <v>0</v>
      </c>
      <c r="U197" s="239">
        <f t="shared" si="943"/>
        <v>0</v>
      </c>
      <c r="V197" s="239">
        <f t="shared" si="943"/>
        <v>0</v>
      </c>
      <c r="W197" s="239">
        <f t="shared" si="943"/>
        <v>0</v>
      </c>
      <c r="X197" s="239">
        <f t="shared" si="943"/>
        <v>0</v>
      </c>
      <c r="Y197" s="239">
        <f t="shared" si="943"/>
        <v>0</v>
      </c>
      <c r="Z197" s="239">
        <f t="shared" si="943"/>
        <v>0</v>
      </c>
      <c r="AA197" s="239">
        <f t="shared" si="943"/>
        <v>0</v>
      </c>
      <c r="AB197" s="239"/>
      <c r="AC197" s="239"/>
      <c r="AD197" s="239"/>
      <c r="AE197" s="361">
        <f t="shared" si="932"/>
        <v>0</v>
      </c>
      <c r="AF197" s="578">
        <f t="shared" ref="AF197:AF211" si="945">SUM(F197:AE197)</f>
        <v>0</v>
      </c>
      <c r="AG197" s="1086"/>
      <c r="AH197" s="1088"/>
      <c r="AI197" s="1088"/>
      <c r="AJ197" s="1088"/>
      <c r="AK197" s="1088"/>
      <c r="AL197" s="1088"/>
      <c r="AM197" s="1088"/>
      <c r="AN197" s="1088"/>
      <c r="AO197" s="1088"/>
      <c r="AP197" s="1088"/>
      <c r="AQ197" s="1088"/>
      <c r="AR197" s="1088"/>
    </row>
    <row r="198" spans="1:44" s="589" customFormat="1" ht="21.95" hidden="1" customHeight="1" thickBot="1" x14ac:dyDescent="0.2">
      <c r="A198" s="2513"/>
      <c r="B198" s="2393"/>
      <c r="C198" s="2263" t="s">
        <v>1471</v>
      </c>
      <c r="D198" s="1994"/>
      <c r="E198" s="1516"/>
      <c r="F198" s="238">
        <f t="shared" ref="F198:G198" si="946">F41*1.4</f>
        <v>0</v>
      </c>
      <c r="G198" s="238">
        <f t="shared" si="946"/>
        <v>0</v>
      </c>
      <c r="H198" s="238">
        <f t="shared" ref="H198:M198" si="947">H41*1.4</f>
        <v>0</v>
      </c>
      <c r="I198" s="238">
        <f t="shared" si="947"/>
        <v>0</v>
      </c>
      <c r="J198" s="238">
        <f t="shared" si="947"/>
        <v>0</v>
      </c>
      <c r="K198" s="238">
        <f t="shared" si="947"/>
        <v>0</v>
      </c>
      <c r="L198" s="238">
        <f t="shared" si="947"/>
        <v>0</v>
      </c>
      <c r="M198" s="238">
        <f t="shared" si="947"/>
        <v>0</v>
      </c>
      <c r="N198" s="238">
        <f t="shared" ref="N198:O198" si="948">N41*1.4</f>
        <v>0</v>
      </c>
      <c r="O198" s="238">
        <f t="shared" si="948"/>
        <v>0</v>
      </c>
      <c r="P198" s="238">
        <f t="shared" ref="P198" si="949">P41*1.4</f>
        <v>0</v>
      </c>
      <c r="Q198" s="238">
        <f t="shared" ref="Q198:AA198" si="950">Q41*1.4</f>
        <v>0</v>
      </c>
      <c r="R198" s="238">
        <f t="shared" ref="R198" si="951">R41*1.4</f>
        <v>0</v>
      </c>
      <c r="S198" s="238">
        <f t="shared" si="950"/>
        <v>0</v>
      </c>
      <c r="T198" s="238">
        <f t="shared" si="950"/>
        <v>0</v>
      </c>
      <c r="U198" s="238">
        <f t="shared" si="950"/>
        <v>0</v>
      </c>
      <c r="V198" s="238">
        <f t="shared" si="950"/>
        <v>0</v>
      </c>
      <c r="W198" s="238">
        <f t="shared" si="950"/>
        <v>0</v>
      </c>
      <c r="X198" s="238">
        <f t="shared" si="950"/>
        <v>0</v>
      </c>
      <c r="Y198" s="238">
        <f t="shared" si="950"/>
        <v>0</v>
      </c>
      <c r="Z198" s="238">
        <f t="shared" si="950"/>
        <v>0</v>
      </c>
      <c r="AA198" s="238">
        <f t="shared" si="950"/>
        <v>0</v>
      </c>
      <c r="AB198" s="238">
        <f>+AB41</f>
        <v>0</v>
      </c>
      <c r="AC198" s="238">
        <f>+AC41</f>
        <v>0</v>
      </c>
      <c r="AD198" s="238">
        <f>+AD41</f>
        <v>0</v>
      </c>
      <c r="AE198" s="362">
        <f t="shared" si="932"/>
        <v>0</v>
      </c>
      <c r="AF198" s="578">
        <f t="shared" si="945"/>
        <v>0</v>
      </c>
      <c r="AG198" s="1086"/>
      <c r="AH198" s="1088"/>
      <c r="AI198" s="1088"/>
      <c r="AJ198" s="1088"/>
      <c r="AK198" s="1088"/>
      <c r="AL198" s="1088"/>
      <c r="AM198" s="1088"/>
      <c r="AN198" s="1088"/>
      <c r="AO198" s="1088"/>
      <c r="AP198" s="1088"/>
      <c r="AQ198" s="1088"/>
      <c r="AR198" s="1088"/>
    </row>
    <row r="199" spans="1:44" s="589" customFormat="1" ht="21.95" customHeight="1" x14ac:dyDescent="0.15">
      <c r="A199" s="2513"/>
      <c r="B199" s="2533" t="s">
        <v>1351</v>
      </c>
      <c r="C199" s="929" t="s">
        <v>1359</v>
      </c>
      <c r="D199" s="1995"/>
      <c r="E199" s="591"/>
      <c r="F199" s="238">
        <f ca="1">(F46-F41-F120)*1.25</f>
        <v>22.922567965064857</v>
      </c>
      <c r="G199" s="238">
        <f t="shared" ref="G199" ca="1" si="952">(G46-G41-G120)*1.25</f>
        <v>22.922567965064857</v>
      </c>
      <c r="H199" s="238">
        <f t="shared" ref="H199:M199" ca="1" si="953">(H46-H41-H120)*1.25</f>
        <v>30.755123937141846</v>
      </c>
      <c r="I199" s="238">
        <f t="shared" ca="1" si="953"/>
        <v>54.675775888252147</v>
      </c>
      <c r="J199" s="238">
        <f t="shared" ca="1" si="953"/>
        <v>54.675775888252218</v>
      </c>
      <c r="K199" s="238">
        <f t="shared" ca="1" si="953"/>
        <v>54.68482367509452</v>
      </c>
      <c r="L199" s="158">
        <f t="shared" si="953"/>
        <v>0</v>
      </c>
      <c r="M199" s="158">
        <f t="shared" si="953"/>
        <v>0</v>
      </c>
      <c r="N199" s="158">
        <f t="shared" ref="N199:O199" si="954">(N46-N41-N120)*1.25</f>
        <v>0</v>
      </c>
      <c r="O199" s="158">
        <f t="shared" si="954"/>
        <v>0</v>
      </c>
      <c r="P199" s="158">
        <f t="shared" ref="P199" si="955">(P46-P41-P120)*1.25</f>
        <v>0</v>
      </c>
      <c r="Q199" s="238">
        <f t="shared" ref="Q199:S199" si="956">(Q46-Q41-Q120)*1.25</f>
        <v>48.858048948628436</v>
      </c>
      <c r="R199" s="158">
        <f t="shared" ref="R199" si="957">(R46-R41-R120)*1.25</f>
        <v>0</v>
      </c>
      <c r="S199" s="238">
        <f t="shared" si="956"/>
        <v>29.009466563248143</v>
      </c>
      <c r="T199" s="158">
        <f>T46-T41</f>
        <v>0</v>
      </c>
      <c r="U199" s="158">
        <f t="shared" ref="U199:AD199" si="958">+U46-U41</f>
        <v>0</v>
      </c>
      <c r="V199" s="158">
        <f t="shared" si="958"/>
        <v>0</v>
      </c>
      <c r="W199" s="158">
        <f t="shared" si="958"/>
        <v>0</v>
      </c>
      <c r="X199" s="158">
        <f t="shared" si="958"/>
        <v>0</v>
      </c>
      <c r="Y199" s="158">
        <f t="shared" si="958"/>
        <v>0</v>
      </c>
      <c r="Z199" s="158">
        <f t="shared" si="958"/>
        <v>0</v>
      </c>
      <c r="AA199" s="158">
        <f t="shared" si="958"/>
        <v>0</v>
      </c>
      <c r="AB199" s="158">
        <f t="shared" si="958"/>
        <v>0</v>
      </c>
      <c r="AC199" s="158">
        <f t="shared" si="958"/>
        <v>0</v>
      </c>
      <c r="AD199" s="158">
        <f t="shared" si="958"/>
        <v>0</v>
      </c>
      <c r="AE199" s="362">
        <f t="shared" ca="1" si="932"/>
        <v>318.5</v>
      </c>
      <c r="AF199" s="578">
        <f t="shared" ca="1" si="945"/>
        <v>637.00415083074699</v>
      </c>
      <c r="AG199" s="1086"/>
      <c r="AH199" s="1088"/>
      <c r="AI199" s="1088"/>
      <c r="AJ199" s="1088"/>
      <c r="AK199" s="1088"/>
      <c r="AL199" s="1088"/>
      <c r="AM199" s="1088"/>
      <c r="AN199" s="1088"/>
      <c r="AO199" s="1088"/>
      <c r="AP199" s="1088"/>
      <c r="AQ199" s="1088"/>
      <c r="AR199" s="1088"/>
    </row>
    <row r="200" spans="1:44" s="589" customFormat="1" ht="21.95" customHeight="1" thickBot="1" x14ac:dyDescent="0.2">
      <c r="A200" s="2513"/>
      <c r="B200" s="2535"/>
      <c r="C200" s="928" t="s">
        <v>1358</v>
      </c>
      <c r="D200" s="1996"/>
      <c r="E200" s="1519"/>
      <c r="F200" s="239">
        <f t="shared" ref="F200:G200" ca="1" si="959">F91</f>
        <v>0</v>
      </c>
      <c r="G200" s="239">
        <f t="shared" ca="1" si="959"/>
        <v>0</v>
      </c>
      <c r="H200" s="239">
        <f t="shared" ref="H200:M200" ca="1" si="960">H91</f>
        <v>0</v>
      </c>
      <c r="I200" s="239">
        <f t="shared" ca="1" si="960"/>
        <v>174.25140192744792</v>
      </c>
      <c r="J200" s="239">
        <f t="shared" ca="1" si="960"/>
        <v>232.19700636593336</v>
      </c>
      <c r="K200" s="239">
        <f t="shared" ca="1" si="960"/>
        <v>219.24960348945658</v>
      </c>
      <c r="L200" s="239">
        <f t="shared" si="960"/>
        <v>0</v>
      </c>
      <c r="M200" s="239">
        <f t="shared" si="960"/>
        <v>0</v>
      </c>
      <c r="N200" s="239">
        <f t="shared" ref="N200:O200" si="961">N91</f>
        <v>0</v>
      </c>
      <c r="O200" s="239">
        <f t="shared" si="961"/>
        <v>0</v>
      </c>
      <c r="P200" s="239">
        <f t="shared" ref="P200" si="962">P91</f>
        <v>0</v>
      </c>
      <c r="Q200" s="239">
        <f t="shared" ref="Q200:AD200" si="963">Q91</f>
        <v>0</v>
      </c>
      <c r="R200" s="239">
        <f t="shared" ref="R200" si="964">R91</f>
        <v>0</v>
      </c>
      <c r="S200" s="239">
        <f t="shared" si="963"/>
        <v>0</v>
      </c>
      <c r="T200" s="239">
        <f t="shared" si="963"/>
        <v>0</v>
      </c>
      <c r="U200" s="239">
        <f t="shared" si="963"/>
        <v>0</v>
      </c>
      <c r="V200" s="239">
        <f t="shared" si="963"/>
        <v>0</v>
      </c>
      <c r="W200" s="239">
        <f t="shared" si="963"/>
        <v>0</v>
      </c>
      <c r="X200" s="239">
        <f t="shared" si="963"/>
        <v>0</v>
      </c>
      <c r="Y200" s="239">
        <f t="shared" si="963"/>
        <v>0</v>
      </c>
      <c r="Z200" s="239">
        <f t="shared" si="963"/>
        <v>0</v>
      </c>
      <c r="AA200" s="239">
        <f t="shared" si="963"/>
        <v>0</v>
      </c>
      <c r="AB200" s="239">
        <f t="shared" si="963"/>
        <v>0</v>
      </c>
      <c r="AC200" s="239">
        <f t="shared" si="963"/>
        <v>0</v>
      </c>
      <c r="AD200" s="239">
        <f t="shared" si="963"/>
        <v>0</v>
      </c>
      <c r="AE200" s="361">
        <f t="shared" ca="1" si="932"/>
        <v>625.69000000000005</v>
      </c>
      <c r="AF200" s="578">
        <f t="shared" ca="1" si="945"/>
        <v>1251.388011782838</v>
      </c>
      <c r="AG200" s="1086"/>
      <c r="AH200" s="1088"/>
      <c r="AI200" s="1088"/>
      <c r="AJ200" s="1088"/>
      <c r="AK200" s="1088"/>
      <c r="AL200" s="1088"/>
      <c r="AM200" s="1088"/>
      <c r="AN200" s="1088"/>
      <c r="AO200" s="1088"/>
      <c r="AP200" s="1088"/>
      <c r="AQ200" s="1088"/>
      <c r="AR200" s="1088"/>
    </row>
    <row r="201" spans="1:44" s="589" customFormat="1" ht="21.95" customHeight="1" x14ac:dyDescent="0.15">
      <c r="A201" s="2513"/>
      <c r="B201" s="2594" t="s">
        <v>1374</v>
      </c>
      <c r="C201" s="929" t="s">
        <v>1360</v>
      </c>
      <c r="D201" s="1995"/>
      <c r="E201" s="591"/>
      <c r="F201" s="158">
        <f t="shared" ref="F201:G201" ca="1" si="965">F89+F91</f>
        <v>0</v>
      </c>
      <c r="G201" s="158">
        <f t="shared" ca="1" si="965"/>
        <v>0</v>
      </c>
      <c r="H201" s="158">
        <f t="shared" ref="H201:M201" ca="1" si="966">H89+H91</f>
        <v>0</v>
      </c>
      <c r="I201" s="158">
        <f t="shared" ca="1" si="966"/>
        <v>313.65252346940622</v>
      </c>
      <c r="J201" s="158">
        <f t="shared" ca="1" si="966"/>
        <v>417.95461145868006</v>
      </c>
      <c r="K201" s="158">
        <f t="shared" ca="1" si="966"/>
        <v>394.64928628102183</v>
      </c>
      <c r="L201" s="158">
        <f t="shared" si="966"/>
        <v>0</v>
      </c>
      <c r="M201" s="158">
        <f t="shared" si="966"/>
        <v>0</v>
      </c>
      <c r="N201" s="158">
        <f t="shared" ref="N201:O201" si="967">N89+N91</f>
        <v>0</v>
      </c>
      <c r="O201" s="158">
        <f t="shared" si="967"/>
        <v>0</v>
      </c>
      <c r="P201" s="158">
        <f>P89+P91</f>
        <v>0</v>
      </c>
      <c r="Q201" s="158">
        <f>Q89+Q91</f>
        <v>0</v>
      </c>
      <c r="R201" s="158">
        <f>R89+R91</f>
        <v>0</v>
      </c>
      <c r="S201" s="158">
        <f>S89+S91</f>
        <v>0</v>
      </c>
      <c r="T201" s="158">
        <f>T89+T91</f>
        <v>0</v>
      </c>
      <c r="U201" s="158">
        <f t="shared" ref="U201:AD201" si="968">+U89+U91</f>
        <v>0</v>
      </c>
      <c r="V201" s="158">
        <f t="shared" si="968"/>
        <v>0</v>
      </c>
      <c r="W201" s="158">
        <f t="shared" si="968"/>
        <v>0</v>
      </c>
      <c r="X201" s="158">
        <f t="shared" si="968"/>
        <v>0</v>
      </c>
      <c r="Y201" s="158">
        <f t="shared" si="968"/>
        <v>0</v>
      </c>
      <c r="Z201" s="158">
        <f t="shared" si="968"/>
        <v>0</v>
      </c>
      <c r="AA201" s="158">
        <f t="shared" si="968"/>
        <v>0</v>
      </c>
      <c r="AB201" s="158">
        <f t="shared" si="968"/>
        <v>0</v>
      </c>
      <c r="AC201" s="158">
        <f t="shared" si="968"/>
        <v>0</v>
      </c>
      <c r="AD201" s="158">
        <f t="shared" si="968"/>
        <v>0</v>
      </c>
      <c r="AE201" s="362">
        <f t="shared" ca="1" si="932"/>
        <v>1126.25</v>
      </c>
      <c r="AF201" s="578">
        <f t="shared" ca="1" si="945"/>
        <v>2252.5064212091083</v>
      </c>
      <c r="AG201" s="1086"/>
      <c r="AH201" s="1088"/>
      <c r="AI201" s="1088"/>
      <c r="AJ201" s="1088"/>
      <c r="AK201" s="1088"/>
      <c r="AL201" s="1088"/>
      <c r="AM201" s="1088"/>
      <c r="AN201" s="1088"/>
      <c r="AO201" s="1088"/>
      <c r="AP201" s="1088"/>
      <c r="AQ201" s="1088"/>
      <c r="AR201" s="1088"/>
    </row>
    <row r="202" spans="1:44" s="589" customFormat="1" ht="21.95" hidden="1" customHeight="1" x14ac:dyDescent="0.15">
      <c r="A202" s="2513"/>
      <c r="B202" s="2595"/>
      <c r="C202" s="590" t="s">
        <v>1471</v>
      </c>
      <c r="D202" s="1995"/>
      <c r="E202" s="591"/>
      <c r="F202" s="158">
        <f t="shared" ref="F202:G202" si="969">F198</f>
        <v>0</v>
      </c>
      <c r="G202" s="158">
        <f t="shared" si="969"/>
        <v>0</v>
      </c>
      <c r="H202" s="158">
        <f t="shared" ref="H202:M202" si="970">H198</f>
        <v>0</v>
      </c>
      <c r="I202" s="158">
        <f t="shared" si="970"/>
        <v>0</v>
      </c>
      <c r="J202" s="158">
        <f t="shared" si="970"/>
        <v>0</v>
      </c>
      <c r="K202" s="158">
        <f t="shared" si="970"/>
        <v>0</v>
      </c>
      <c r="L202" s="158">
        <f t="shared" si="970"/>
        <v>0</v>
      </c>
      <c r="M202" s="158">
        <f t="shared" si="970"/>
        <v>0</v>
      </c>
      <c r="N202" s="158">
        <f t="shared" ref="N202:O202" si="971">N198</f>
        <v>0</v>
      </c>
      <c r="O202" s="158">
        <f t="shared" si="971"/>
        <v>0</v>
      </c>
      <c r="P202" s="158">
        <f t="shared" ref="P202" si="972">P198</f>
        <v>0</v>
      </c>
      <c r="Q202" s="158">
        <f t="shared" ref="Q202:AD202" si="973">Q198</f>
        <v>0</v>
      </c>
      <c r="R202" s="158">
        <f t="shared" ref="R202" si="974">R198</f>
        <v>0</v>
      </c>
      <c r="S202" s="158">
        <f t="shared" si="973"/>
        <v>0</v>
      </c>
      <c r="T202" s="158">
        <f t="shared" si="973"/>
        <v>0</v>
      </c>
      <c r="U202" s="158">
        <f t="shared" si="973"/>
        <v>0</v>
      </c>
      <c r="V202" s="158">
        <f t="shared" si="973"/>
        <v>0</v>
      </c>
      <c r="W202" s="158">
        <f t="shared" si="973"/>
        <v>0</v>
      </c>
      <c r="X202" s="158">
        <f t="shared" si="973"/>
        <v>0</v>
      </c>
      <c r="Y202" s="158">
        <f t="shared" si="973"/>
        <v>0</v>
      </c>
      <c r="Z202" s="158">
        <f t="shared" si="973"/>
        <v>0</v>
      </c>
      <c r="AA202" s="158">
        <f t="shared" si="973"/>
        <v>0</v>
      </c>
      <c r="AB202" s="158">
        <f t="shared" si="973"/>
        <v>0</v>
      </c>
      <c r="AC202" s="158">
        <f t="shared" si="973"/>
        <v>0</v>
      </c>
      <c r="AD202" s="158">
        <f t="shared" si="973"/>
        <v>0</v>
      </c>
      <c r="AE202" s="350">
        <f t="shared" si="932"/>
        <v>0</v>
      </c>
      <c r="AF202" s="578">
        <f t="shared" si="945"/>
        <v>0</v>
      </c>
      <c r="AG202" s="1086"/>
      <c r="AH202" s="1088"/>
      <c r="AI202" s="1088"/>
      <c r="AJ202" s="1088"/>
      <c r="AK202" s="1088"/>
      <c r="AL202" s="1088"/>
      <c r="AM202" s="1088"/>
      <c r="AN202" s="1088"/>
      <c r="AO202" s="1088"/>
      <c r="AP202" s="1088"/>
      <c r="AQ202" s="1088"/>
      <c r="AR202" s="1088"/>
    </row>
    <row r="203" spans="1:44" s="589" customFormat="1" ht="21.95" customHeight="1" thickBot="1" x14ac:dyDescent="0.2">
      <c r="A203" s="2513"/>
      <c r="B203" s="2595"/>
      <c r="C203" s="590" t="s">
        <v>1356</v>
      </c>
      <c r="D203" s="1995"/>
      <c r="E203" s="591"/>
      <c r="F203" s="158">
        <f ca="1">IF(F122=0,(F82+F83)*1.25,(F83+F122)*1.25)</f>
        <v>22.922567965064854</v>
      </c>
      <c r="G203" s="158">
        <f t="shared" ref="G203" ca="1" si="975">IF(G122=0,(G82+G83)*1.25,(G83+G122)*1.25)</f>
        <v>22.922567965064854</v>
      </c>
      <c r="H203" s="158">
        <f t="shared" ref="H203:M203" ca="1" si="976">IF(H122=0,(H82+H83)*1.25,(H83+H122)*1.25)</f>
        <v>30.75512393714185</v>
      </c>
      <c r="I203" s="158">
        <f t="shared" ca="1" si="976"/>
        <v>54.675775888252183</v>
      </c>
      <c r="J203" s="158">
        <f t="shared" ca="1" si="976"/>
        <v>54.675775888252183</v>
      </c>
      <c r="K203" s="158">
        <f t="shared" ca="1" si="976"/>
        <v>54.68482367509452</v>
      </c>
      <c r="L203" s="158">
        <f t="shared" si="976"/>
        <v>0</v>
      </c>
      <c r="M203" s="158">
        <f t="shared" si="976"/>
        <v>0</v>
      </c>
      <c r="N203" s="158">
        <f t="shared" ref="N203:O203" si="977">IF(N122=0,(N82+N83)*1.25,(N83+N122)*1.25)</f>
        <v>0</v>
      </c>
      <c r="O203" s="158">
        <f t="shared" si="977"/>
        <v>0</v>
      </c>
      <c r="P203" s="158">
        <f t="shared" ref="P203" si="978">IF(P122=0,(P82+P83)*1.25,(P83+P122)*1.25)</f>
        <v>0</v>
      </c>
      <c r="Q203" s="158">
        <f t="shared" ref="Q203:S203" si="979">IF(Q122=0,(Q82+Q83)*1.25,(Q83+Q122)*1.25)</f>
        <v>48.858048948628465</v>
      </c>
      <c r="R203" s="158">
        <f t="shared" ref="R203" si="980">IF(R122=0,(R82+R83)*1.25,(R83+R122)*1.25)</f>
        <v>0</v>
      </c>
      <c r="S203" s="158">
        <f t="shared" si="979"/>
        <v>29.009466563248147</v>
      </c>
      <c r="T203" s="158">
        <f t="shared" ref="T203:AD203" si="981">T199-T89</f>
        <v>0</v>
      </c>
      <c r="U203" s="158">
        <f t="shared" si="981"/>
        <v>0</v>
      </c>
      <c r="V203" s="158">
        <f t="shared" si="981"/>
        <v>0</v>
      </c>
      <c r="W203" s="158">
        <f t="shared" si="981"/>
        <v>0</v>
      </c>
      <c r="X203" s="158">
        <f t="shared" si="981"/>
        <v>0</v>
      </c>
      <c r="Y203" s="158">
        <f t="shared" si="981"/>
        <v>0</v>
      </c>
      <c r="Z203" s="158">
        <f t="shared" si="981"/>
        <v>0</v>
      </c>
      <c r="AA203" s="158">
        <f t="shared" si="981"/>
        <v>0</v>
      </c>
      <c r="AB203" s="158">
        <f t="shared" si="981"/>
        <v>0</v>
      </c>
      <c r="AC203" s="158">
        <f t="shared" si="981"/>
        <v>0</v>
      </c>
      <c r="AD203" s="158">
        <f t="shared" si="981"/>
        <v>0</v>
      </c>
      <c r="AE203" s="350">
        <f t="shared" ca="1" si="932"/>
        <v>318.5</v>
      </c>
      <c r="AF203" s="578">
        <f t="shared" ca="1" si="945"/>
        <v>637.00415083074699</v>
      </c>
      <c r="AG203" s="1086"/>
      <c r="AH203" s="1088"/>
      <c r="AI203" s="1088"/>
      <c r="AJ203" s="1088"/>
      <c r="AK203" s="1088"/>
      <c r="AL203" s="1088"/>
      <c r="AM203" s="1088"/>
      <c r="AN203" s="1088"/>
      <c r="AO203" s="1088"/>
      <c r="AP203" s="1088"/>
      <c r="AQ203" s="1088"/>
      <c r="AR203" s="1088"/>
    </row>
    <row r="204" spans="1:44" s="589" customFormat="1" ht="21.95" hidden="1" customHeight="1" x14ac:dyDescent="0.15">
      <c r="A204" s="2513"/>
      <c r="B204" s="2595"/>
      <c r="C204" s="590" t="s">
        <v>2001</v>
      </c>
      <c r="D204" s="1995"/>
      <c r="E204" s="591"/>
      <c r="F204" s="158">
        <f t="shared" ref="F204:G204" ca="1" si="982">F212</f>
        <v>0</v>
      </c>
      <c r="G204" s="158">
        <f t="shared" ca="1" si="982"/>
        <v>0</v>
      </c>
      <c r="H204" s="158">
        <f t="shared" ref="H204:M204" ca="1" si="983">H212</f>
        <v>0</v>
      </c>
      <c r="I204" s="158">
        <f t="shared" ca="1" si="983"/>
        <v>0</v>
      </c>
      <c r="J204" s="158">
        <f t="shared" ca="1" si="983"/>
        <v>0</v>
      </c>
      <c r="K204" s="158">
        <f t="shared" ca="1" si="983"/>
        <v>0</v>
      </c>
      <c r="L204" s="158">
        <f t="shared" si="983"/>
        <v>0</v>
      </c>
      <c r="M204" s="158">
        <f t="shared" si="983"/>
        <v>0</v>
      </c>
      <c r="N204" s="158">
        <f t="shared" ref="N204:O204" si="984">N212</f>
        <v>0</v>
      </c>
      <c r="O204" s="158">
        <f t="shared" si="984"/>
        <v>0</v>
      </c>
      <c r="P204" s="158">
        <f t="shared" ref="P204" si="985">P212</f>
        <v>0</v>
      </c>
      <c r="Q204" s="158">
        <f t="shared" ref="Q204:AD204" si="986">Q212</f>
        <v>0</v>
      </c>
      <c r="R204" s="158">
        <f t="shared" ref="R204" si="987">R212</f>
        <v>0</v>
      </c>
      <c r="S204" s="158">
        <f t="shared" si="986"/>
        <v>0</v>
      </c>
      <c r="T204" s="158">
        <f t="shared" si="986"/>
        <v>0</v>
      </c>
      <c r="U204" s="158">
        <f t="shared" si="986"/>
        <v>0</v>
      </c>
      <c r="V204" s="158">
        <f t="shared" si="986"/>
        <v>0</v>
      </c>
      <c r="W204" s="158">
        <f t="shared" si="986"/>
        <v>0</v>
      </c>
      <c r="X204" s="158">
        <f t="shared" si="986"/>
        <v>0</v>
      </c>
      <c r="Y204" s="158">
        <f t="shared" si="986"/>
        <v>0</v>
      </c>
      <c r="Z204" s="158">
        <f t="shared" si="986"/>
        <v>0</v>
      </c>
      <c r="AA204" s="158">
        <f t="shared" si="986"/>
        <v>0</v>
      </c>
      <c r="AB204" s="158">
        <f t="shared" si="986"/>
        <v>0</v>
      </c>
      <c r="AC204" s="158">
        <f t="shared" si="986"/>
        <v>0</v>
      </c>
      <c r="AD204" s="158">
        <f t="shared" si="986"/>
        <v>0</v>
      </c>
      <c r="AE204" s="350">
        <f t="shared" ca="1" si="932"/>
        <v>0</v>
      </c>
      <c r="AF204" s="578">
        <f t="shared" ca="1" si="945"/>
        <v>0</v>
      </c>
      <c r="AG204" s="1086"/>
      <c r="AH204" s="1088"/>
      <c r="AI204" s="1088"/>
      <c r="AJ204" s="1088"/>
      <c r="AK204" s="1088"/>
      <c r="AL204" s="1088"/>
      <c r="AM204" s="1088"/>
      <c r="AN204" s="1088"/>
      <c r="AO204" s="1088"/>
      <c r="AP204" s="1088"/>
      <c r="AQ204" s="1088"/>
      <c r="AR204" s="1088"/>
    </row>
    <row r="205" spans="1:44" s="589" customFormat="1" ht="21.95" hidden="1" customHeight="1" x14ac:dyDescent="0.15">
      <c r="A205" s="2513"/>
      <c r="B205" s="2595"/>
      <c r="C205" s="590" t="s">
        <v>1207</v>
      </c>
      <c r="D205" s="1995"/>
      <c r="E205" s="591"/>
      <c r="F205" s="158">
        <f t="shared" ref="F205:G205" si="988">F188*0.02</f>
        <v>0</v>
      </c>
      <c r="G205" s="158">
        <f t="shared" si="988"/>
        <v>0</v>
      </c>
      <c r="H205" s="158">
        <f t="shared" ref="H205:M205" si="989">H188*0.02</f>
        <v>0</v>
      </c>
      <c r="I205" s="158">
        <f t="shared" si="989"/>
        <v>0</v>
      </c>
      <c r="J205" s="158">
        <f t="shared" si="989"/>
        <v>0</v>
      </c>
      <c r="K205" s="158">
        <f t="shared" si="989"/>
        <v>0</v>
      </c>
      <c r="L205" s="158">
        <f t="shared" si="989"/>
        <v>0</v>
      </c>
      <c r="M205" s="158">
        <f t="shared" si="989"/>
        <v>0</v>
      </c>
      <c r="N205" s="158">
        <f t="shared" ref="N205:O205" si="990">N188*0.02</f>
        <v>0</v>
      </c>
      <c r="O205" s="158">
        <f t="shared" si="990"/>
        <v>0</v>
      </c>
      <c r="P205" s="158">
        <f t="shared" ref="P205" si="991">P188*0.02</f>
        <v>0</v>
      </c>
      <c r="Q205" s="158">
        <f t="shared" ref="Q205:AD205" si="992">Q188*0.02</f>
        <v>0</v>
      </c>
      <c r="R205" s="158">
        <f t="shared" ref="R205" si="993">R188*0.02</f>
        <v>0</v>
      </c>
      <c r="S205" s="158">
        <f t="shared" si="992"/>
        <v>0</v>
      </c>
      <c r="T205" s="158">
        <f t="shared" si="992"/>
        <v>0</v>
      </c>
      <c r="U205" s="158">
        <f t="shared" si="992"/>
        <v>0</v>
      </c>
      <c r="V205" s="158">
        <f t="shared" si="992"/>
        <v>0</v>
      </c>
      <c r="W205" s="158">
        <f t="shared" si="992"/>
        <v>0</v>
      </c>
      <c r="X205" s="158">
        <f t="shared" si="992"/>
        <v>0</v>
      </c>
      <c r="Y205" s="158">
        <f t="shared" si="992"/>
        <v>0</v>
      </c>
      <c r="Z205" s="158">
        <f t="shared" si="992"/>
        <v>0</v>
      </c>
      <c r="AA205" s="158">
        <f t="shared" si="992"/>
        <v>0</v>
      </c>
      <c r="AB205" s="158">
        <f t="shared" si="992"/>
        <v>0</v>
      </c>
      <c r="AC205" s="158">
        <f t="shared" si="992"/>
        <v>0</v>
      </c>
      <c r="AD205" s="158">
        <f t="shared" si="992"/>
        <v>0</v>
      </c>
      <c r="AE205" s="350">
        <f t="shared" si="932"/>
        <v>0</v>
      </c>
      <c r="AF205" s="578">
        <f t="shared" si="945"/>
        <v>0</v>
      </c>
      <c r="AG205" s="1086"/>
      <c r="AH205" s="1088"/>
      <c r="AI205" s="1088"/>
      <c r="AJ205" s="1088"/>
      <c r="AK205" s="1088"/>
      <c r="AL205" s="1088"/>
      <c r="AM205" s="1088"/>
      <c r="AN205" s="1088"/>
      <c r="AO205" s="1088"/>
      <c r="AP205" s="1088"/>
      <c r="AQ205" s="1088"/>
      <c r="AR205" s="1088"/>
    </row>
    <row r="206" spans="1:44" s="589" customFormat="1" ht="21.95" hidden="1" customHeight="1" x14ac:dyDescent="0.15">
      <c r="A206" s="2513"/>
      <c r="B206" s="2595"/>
      <c r="C206" s="590" t="s">
        <v>1434</v>
      </c>
      <c r="D206" s="1995"/>
      <c r="E206" s="591"/>
      <c r="F206" s="158">
        <f t="shared" ref="F206:G206" si="994">F189*0.08+F190*0.05</f>
        <v>0</v>
      </c>
      <c r="G206" s="158">
        <f t="shared" si="994"/>
        <v>0</v>
      </c>
      <c r="H206" s="158">
        <f t="shared" ref="H206:M206" si="995">H189*0.08+H190*0.05</f>
        <v>0</v>
      </c>
      <c r="I206" s="158">
        <f t="shared" si="995"/>
        <v>0</v>
      </c>
      <c r="J206" s="158">
        <f t="shared" si="995"/>
        <v>0</v>
      </c>
      <c r="K206" s="158">
        <f t="shared" si="995"/>
        <v>0</v>
      </c>
      <c r="L206" s="158">
        <f t="shared" si="995"/>
        <v>0</v>
      </c>
      <c r="M206" s="158">
        <f t="shared" si="995"/>
        <v>0</v>
      </c>
      <c r="N206" s="158">
        <f t="shared" ref="N206:O206" si="996">N189*0.08+N190*0.05</f>
        <v>0</v>
      </c>
      <c r="O206" s="158">
        <f t="shared" si="996"/>
        <v>0</v>
      </c>
      <c r="P206" s="158">
        <f t="shared" ref="P206" si="997">P189*0.08+P190*0.05</f>
        <v>0</v>
      </c>
      <c r="Q206" s="158">
        <f t="shared" ref="Q206:AD206" si="998">Q189*0.08+Q190*0.05</f>
        <v>0</v>
      </c>
      <c r="R206" s="158">
        <f t="shared" ref="R206" si="999">R189*0.08+R190*0.05</f>
        <v>0</v>
      </c>
      <c r="S206" s="158">
        <f t="shared" si="998"/>
        <v>0</v>
      </c>
      <c r="T206" s="158">
        <f t="shared" si="998"/>
        <v>0</v>
      </c>
      <c r="U206" s="158">
        <f t="shared" si="998"/>
        <v>0</v>
      </c>
      <c r="V206" s="158">
        <f t="shared" si="998"/>
        <v>0</v>
      </c>
      <c r="W206" s="158">
        <f t="shared" si="998"/>
        <v>0</v>
      </c>
      <c r="X206" s="158">
        <f t="shared" si="998"/>
        <v>0</v>
      </c>
      <c r="Y206" s="158">
        <f t="shared" si="998"/>
        <v>0</v>
      </c>
      <c r="Z206" s="158">
        <f t="shared" si="998"/>
        <v>0</v>
      </c>
      <c r="AA206" s="158">
        <f t="shared" si="998"/>
        <v>0</v>
      </c>
      <c r="AB206" s="158">
        <f t="shared" si="998"/>
        <v>0</v>
      </c>
      <c r="AC206" s="158">
        <f t="shared" si="998"/>
        <v>0</v>
      </c>
      <c r="AD206" s="158">
        <f t="shared" si="998"/>
        <v>0</v>
      </c>
      <c r="AE206" s="350">
        <f t="shared" si="932"/>
        <v>0</v>
      </c>
      <c r="AF206" s="578">
        <f t="shared" si="945"/>
        <v>0</v>
      </c>
      <c r="AG206" s="1086"/>
      <c r="AH206" s="1088"/>
      <c r="AI206" s="1088"/>
      <c r="AJ206" s="1088"/>
      <c r="AK206" s="1088"/>
      <c r="AL206" s="1088"/>
      <c r="AM206" s="1088"/>
      <c r="AN206" s="1088"/>
      <c r="AO206" s="1088"/>
      <c r="AP206" s="1088"/>
      <c r="AQ206" s="1088"/>
      <c r="AR206" s="1088"/>
    </row>
    <row r="207" spans="1:44" s="589" customFormat="1" ht="21.95" hidden="1" customHeight="1" x14ac:dyDescent="0.15">
      <c r="A207" s="2513"/>
      <c r="B207" s="2595"/>
      <c r="C207" s="590" t="s">
        <v>1203</v>
      </c>
      <c r="D207" s="1995"/>
      <c r="E207" s="591"/>
      <c r="F207" s="158">
        <f t="shared" ref="F207:G211" ca="1" si="1000">F217</f>
        <v>0</v>
      </c>
      <c r="G207" s="158">
        <f t="shared" ca="1" si="1000"/>
        <v>0</v>
      </c>
      <c r="H207" s="158">
        <f t="shared" ref="H207:M207" ca="1" si="1001">H217</f>
        <v>0</v>
      </c>
      <c r="I207" s="158">
        <f t="shared" ca="1" si="1001"/>
        <v>0</v>
      </c>
      <c r="J207" s="158">
        <f t="shared" ca="1" si="1001"/>
        <v>0</v>
      </c>
      <c r="K207" s="158">
        <f t="shared" ca="1" si="1001"/>
        <v>0</v>
      </c>
      <c r="L207" s="158">
        <f t="shared" si="1001"/>
        <v>0</v>
      </c>
      <c r="M207" s="158">
        <f t="shared" si="1001"/>
        <v>0</v>
      </c>
      <c r="N207" s="158">
        <f t="shared" ref="N207:O207" si="1002">N217</f>
        <v>0</v>
      </c>
      <c r="O207" s="158">
        <f t="shared" si="1002"/>
        <v>0</v>
      </c>
      <c r="P207" s="158">
        <f t="shared" ref="P207" si="1003">P217</f>
        <v>0</v>
      </c>
      <c r="Q207" s="158">
        <f t="shared" ref="Q207:AD207" si="1004">Q217</f>
        <v>0</v>
      </c>
      <c r="R207" s="158">
        <f t="shared" ref="R207" si="1005">R217</f>
        <v>0</v>
      </c>
      <c r="S207" s="158">
        <f t="shared" si="1004"/>
        <v>0</v>
      </c>
      <c r="T207" s="158">
        <f t="shared" si="1004"/>
        <v>0</v>
      </c>
      <c r="U207" s="158">
        <f t="shared" si="1004"/>
        <v>0</v>
      </c>
      <c r="V207" s="158">
        <f t="shared" si="1004"/>
        <v>0</v>
      </c>
      <c r="W207" s="158">
        <f t="shared" si="1004"/>
        <v>0</v>
      </c>
      <c r="X207" s="158">
        <f t="shared" si="1004"/>
        <v>0</v>
      </c>
      <c r="Y207" s="158">
        <f t="shared" si="1004"/>
        <v>0</v>
      </c>
      <c r="Z207" s="158">
        <f t="shared" si="1004"/>
        <v>0</v>
      </c>
      <c r="AA207" s="158">
        <f t="shared" si="1004"/>
        <v>0</v>
      </c>
      <c r="AB207" s="158">
        <f t="shared" si="1004"/>
        <v>0</v>
      </c>
      <c r="AC207" s="158">
        <f t="shared" si="1004"/>
        <v>0</v>
      </c>
      <c r="AD207" s="158">
        <f t="shared" si="1004"/>
        <v>0</v>
      </c>
      <c r="AE207" s="350">
        <f t="shared" ca="1" si="932"/>
        <v>0</v>
      </c>
      <c r="AF207" s="578">
        <f t="shared" ca="1" si="945"/>
        <v>0</v>
      </c>
      <c r="AG207" s="1086"/>
      <c r="AH207" s="1088"/>
      <c r="AI207" s="1088"/>
      <c r="AJ207" s="1088"/>
      <c r="AK207" s="1088"/>
      <c r="AL207" s="1088"/>
      <c r="AM207" s="1088"/>
      <c r="AN207" s="1088"/>
      <c r="AO207" s="1088"/>
      <c r="AP207" s="1088"/>
      <c r="AQ207" s="1088"/>
      <c r="AR207" s="1088"/>
    </row>
    <row r="208" spans="1:44" s="589" customFormat="1" ht="21.95" hidden="1" customHeight="1" x14ac:dyDescent="0.15">
      <c r="A208" s="2513"/>
      <c r="B208" s="2595"/>
      <c r="C208" s="590" t="s">
        <v>1680</v>
      </c>
      <c r="D208" s="1995"/>
      <c r="E208" s="591"/>
      <c r="F208" s="158">
        <f t="shared" ca="1" si="1000"/>
        <v>0</v>
      </c>
      <c r="G208" s="158">
        <f t="shared" ref="G208:G211" ca="1" si="1006">G218</f>
        <v>0</v>
      </c>
      <c r="H208" s="158">
        <f t="shared" ref="H208:M208" ca="1" si="1007">H218</f>
        <v>0</v>
      </c>
      <c r="I208" s="158">
        <f t="shared" ca="1" si="1007"/>
        <v>0</v>
      </c>
      <c r="J208" s="158">
        <f t="shared" ca="1" si="1007"/>
        <v>0</v>
      </c>
      <c r="K208" s="158">
        <f t="shared" ca="1" si="1007"/>
        <v>0</v>
      </c>
      <c r="L208" s="158">
        <f t="shared" si="1007"/>
        <v>0</v>
      </c>
      <c r="M208" s="158">
        <f t="shared" si="1007"/>
        <v>0</v>
      </c>
      <c r="N208" s="158">
        <f t="shared" ref="N208:O208" si="1008">N218</f>
        <v>0</v>
      </c>
      <c r="O208" s="158">
        <f t="shared" si="1008"/>
        <v>0</v>
      </c>
      <c r="P208" s="158">
        <f t="shared" ref="P208" si="1009">P218</f>
        <v>0</v>
      </c>
      <c r="Q208" s="158">
        <f t="shared" ref="Q208:AD208" si="1010">Q218</f>
        <v>0</v>
      </c>
      <c r="R208" s="158">
        <f t="shared" ref="R208" si="1011">R218</f>
        <v>0</v>
      </c>
      <c r="S208" s="158">
        <f t="shared" si="1010"/>
        <v>0</v>
      </c>
      <c r="T208" s="158">
        <f t="shared" si="1010"/>
        <v>0</v>
      </c>
      <c r="U208" s="158">
        <f t="shared" si="1010"/>
        <v>0</v>
      </c>
      <c r="V208" s="158">
        <f t="shared" si="1010"/>
        <v>0</v>
      </c>
      <c r="W208" s="158">
        <f t="shared" si="1010"/>
        <v>0</v>
      </c>
      <c r="X208" s="158">
        <f t="shared" si="1010"/>
        <v>0</v>
      </c>
      <c r="Y208" s="158">
        <f t="shared" si="1010"/>
        <v>0</v>
      </c>
      <c r="Z208" s="158">
        <f t="shared" si="1010"/>
        <v>0</v>
      </c>
      <c r="AA208" s="158">
        <f t="shared" si="1010"/>
        <v>0</v>
      </c>
      <c r="AB208" s="158">
        <f t="shared" si="1010"/>
        <v>0</v>
      </c>
      <c r="AC208" s="158">
        <f t="shared" si="1010"/>
        <v>0</v>
      </c>
      <c r="AD208" s="158">
        <f t="shared" si="1010"/>
        <v>0</v>
      </c>
      <c r="AE208" s="350">
        <f t="shared" ca="1" si="932"/>
        <v>0</v>
      </c>
      <c r="AF208" s="578">
        <f t="shared" ca="1" si="945"/>
        <v>0</v>
      </c>
      <c r="AG208" s="1086"/>
      <c r="AH208" s="1088"/>
      <c r="AI208" s="1088"/>
      <c r="AJ208" s="1088"/>
      <c r="AK208" s="1088"/>
      <c r="AL208" s="1088"/>
      <c r="AM208" s="1088"/>
      <c r="AN208" s="1088"/>
      <c r="AO208" s="1088"/>
      <c r="AP208" s="1088"/>
      <c r="AQ208" s="1088"/>
      <c r="AR208" s="1088"/>
    </row>
    <row r="209" spans="1:44" s="589" customFormat="1" ht="21.95" hidden="1" customHeight="1" x14ac:dyDescent="0.15">
      <c r="A209" s="2513"/>
      <c r="B209" s="2595"/>
      <c r="C209" s="597" t="s">
        <v>1679</v>
      </c>
      <c r="D209" s="1995"/>
      <c r="E209" s="591"/>
      <c r="F209" s="158">
        <f t="shared" si="1000"/>
        <v>0</v>
      </c>
      <c r="G209" s="158">
        <f t="shared" si="1006"/>
        <v>0</v>
      </c>
      <c r="H209" s="158">
        <f t="shared" ref="H209:M209" si="1012">H219</f>
        <v>0</v>
      </c>
      <c r="I209" s="158">
        <f t="shared" si="1012"/>
        <v>0</v>
      </c>
      <c r="J209" s="158">
        <f t="shared" si="1012"/>
        <v>0</v>
      </c>
      <c r="K209" s="158">
        <f t="shared" si="1012"/>
        <v>0</v>
      </c>
      <c r="L209" s="158">
        <f t="shared" si="1012"/>
        <v>0</v>
      </c>
      <c r="M209" s="158">
        <f t="shared" si="1012"/>
        <v>0</v>
      </c>
      <c r="N209" s="158">
        <f t="shared" ref="N209:O209" si="1013">N219</f>
        <v>0</v>
      </c>
      <c r="O209" s="158">
        <f t="shared" si="1013"/>
        <v>0</v>
      </c>
      <c r="P209" s="158">
        <f t="shared" ref="P209" si="1014">P219</f>
        <v>0</v>
      </c>
      <c r="Q209" s="158">
        <f t="shared" ref="Q209:T211" si="1015">Q219</f>
        <v>0</v>
      </c>
      <c r="R209" s="158">
        <f t="shared" ref="R209" si="1016">R219</f>
        <v>0</v>
      </c>
      <c r="S209" s="158">
        <f t="shared" si="1015"/>
        <v>0</v>
      </c>
      <c r="T209" s="158">
        <f t="shared" si="1015"/>
        <v>0</v>
      </c>
      <c r="U209" s="158">
        <f t="shared" ref="U209:AD209" si="1017">+U219</f>
        <v>0</v>
      </c>
      <c r="V209" s="158">
        <f t="shared" si="1017"/>
        <v>0</v>
      </c>
      <c r="W209" s="158">
        <f t="shared" si="1017"/>
        <v>0</v>
      </c>
      <c r="X209" s="158">
        <f t="shared" si="1017"/>
        <v>0</v>
      </c>
      <c r="Y209" s="158">
        <f t="shared" si="1017"/>
        <v>0</v>
      </c>
      <c r="Z209" s="158">
        <f t="shared" si="1017"/>
        <v>0</v>
      </c>
      <c r="AA209" s="158">
        <f t="shared" si="1017"/>
        <v>0</v>
      </c>
      <c r="AB209" s="158">
        <f t="shared" si="1017"/>
        <v>0</v>
      </c>
      <c r="AC209" s="158">
        <f t="shared" si="1017"/>
        <v>0</v>
      </c>
      <c r="AD209" s="158">
        <f t="shared" si="1017"/>
        <v>0</v>
      </c>
      <c r="AE209" s="350">
        <f t="shared" si="932"/>
        <v>0</v>
      </c>
      <c r="AF209" s="578">
        <f t="shared" si="945"/>
        <v>0</v>
      </c>
      <c r="AG209" s="1086"/>
      <c r="AH209" s="1088"/>
      <c r="AI209" s="1088"/>
      <c r="AJ209" s="1088"/>
      <c r="AK209" s="1088"/>
      <c r="AL209" s="1088"/>
      <c r="AM209" s="1088"/>
      <c r="AN209" s="1088"/>
      <c r="AO209" s="1088"/>
      <c r="AP209" s="1088"/>
      <c r="AQ209" s="1088"/>
      <c r="AR209" s="1088"/>
    </row>
    <row r="210" spans="1:44" s="589" customFormat="1" ht="21.95" hidden="1" customHeight="1" x14ac:dyDescent="0.15">
      <c r="A210" s="2513"/>
      <c r="B210" s="2595"/>
      <c r="C210" s="597" t="s">
        <v>1677</v>
      </c>
      <c r="D210" s="1995"/>
      <c r="E210" s="591"/>
      <c r="F210" s="158">
        <f t="shared" ca="1" si="1000"/>
        <v>0</v>
      </c>
      <c r="G210" s="158">
        <f t="shared" ca="1" si="1006"/>
        <v>0</v>
      </c>
      <c r="H210" s="158">
        <f t="shared" ref="H210:M210" ca="1" si="1018">H220</f>
        <v>0</v>
      </c>
      <c r="I210" s="158">
        <f t="shared" ca="1" si="1018"/>
        <v>0</v>
      </c>
      <c r="J210" s="158">
        <f t="shared" ca="1" si="1018"/>
        <v>0</v>
      </c>
      <c r="K210" s="158">
        <f t="shared" ca="1" si="1018"/>
        <v>0</v>
      </c>
      <c r="L210" s="158">
        <f t="shared" si="1018"/>
        <v>0</v>
      </c>
      <c r="M210" s="158">
        <f t="shared" si="1018"/>
        <v>0</v>
      </c>
      <c r="N210" s="158">
        <f t="shared" ref="N210:O210" si="1019">N220</f>
        <v>0</v>
      </c>
      <c r="O210" s="158">
        <f t="shared" si="1019"/>
        <v>0</v>
      </c>
      <c r="P210" s="158">
        <f t="shared" ref="P210" si="1020">P220</f>
        <v>0</v>
      </c>
      <c r="Q210" s="158">
        <f t="shared" si="1015"/>
        <v>0</v>
      </c>
      <c r="R210" s="158">
        <f t="shared" ref="R210" si="1021">R220</f>
        <v>0</v>
      </c>
      <c r="S210" s="158">
        <f t="shared" si="1015"/>
        <v>0</v>
      </c>
      <c r="T210" s="158">
        <f t="shared" si="1015"/>
        <v>0</v>
      </c>
      <c r="U210" s="158">
        <f t="shared" ref="U210:AD210" si="1022">+U220</f>
        <v>0</v>
      </c>
      <c r="V210" s="158">
        <f t="shared" si="1022"/>
        <v>0</v>
      </c>
      <c r="W210" s="158">
        <f t="shared" si="1022"/>
        <v>0</v>
      </c>
      <c r="X210" s="158">
        <f t="shared" si="1022"/>
        <v>0</v>
      </c>
      <c r="Y210" s="158">
        <f t="shared" si="1022"/>
        <v>0</v>
      </c>
      <c r="Z210" s="158">
        <f t="shared" si="1022"/>
        <v>0</v>
      </c>
      <c r="AA210" s="158">
        <f t="shared" si="1022"/>
        <v>0</v>
      </c>
      <c r="AB210" s="158">
        <f t="shared" si="1022"/>
        <v>0</v>
      </c>
      <c r="AC210" s="158">
        <f t="shared" si="1022"/>
        <v>0</v>
      </c>
      <c r="AD210" s="158">
        <f t="shared" si="1022"/>
        <v>0</v>
      </c>
      <c r="AE210" s="350">
        <f t="shared" ca="1" si="932"/>
        <v>0</v>
      </c>
      <c r="AF210" s="578">
        <f t="shared" ca="1" si="945"/>
        <v>0</v>
      </c>
      <c r="AG210" s="1086"/>
      <c r="AH210" s="1088"/>
      <c r="AI210" s="1088"/>
      <c r="AJ210" s="1088"/>
      <c r="AK210" s="1088"/>
      <c r="AL210" s="1088"/>
      <c r="AM210" s="1088"/>
      <c r="AN210" s="1088"/>
      <c r="AO210" s="1088"/>
      <c r="AP210" s="1088"/>
      <c r="AQ210" s="1088"/>
      <c r="AR210" s="1088"/>
    </row>
    <row r="211" spans="1:44" s="589" customFormat="1" ht="21.95" hidden="1" customHeight="1" thickBot="1" x14ac:dyDescent="0.2">
      <c r="A211" s="2513"/>
      <c r="B211" s="2587"/>
      <c r="C211" s="928" t="s">
        <v>1678</v>
      </c>
      <c r="D211" s="1995"/>
      <c r="E211" s="591"/>
      <c r="F211" s="158">
        <f t="shared" si="1000"/>
        <v>0</v>
      </c>
      <c r="G211" s="158">
        <f t="shared" si="1006"/>
        <v>0</v>
      </c>
      <c r="H211" s="158">
        <f t="shared" ref="H211:M211" si="1023">H221</f>
        <v>0</v>
      </c>
      <c r="I211" s="158">
        <f t="shared" si="1023"/>
        <v>0</v>
      </c>
      <c r="J211" s="158">
        <f t="shared" si="1023"/>
        <v>0</v>
      </c>
      <c r="K211" s="158">
        <f t="shared" si="1023"/>
        <v>0</v>
      </c>
      <c r="L211" s="158">
        <f t="shared" si="1023"/>
        <v>0</v>
      </c>
      <c r="M211" s="158">
        <f t="shared" si="1023"/>
        <v>0</v>
      </c>
      <c r="N211" s="158">
        <f t="shared" ref="N211:O211" si="1024">N221</f>
        <v>0</v>
      </c>
      <c r="O211" s="158">
        <f t="shared" si="1024"/>
        <v>0</v>
      </c>
      <c r="P211" s="158">
        <f t="shared" ref="P211" si="1025">P221</f>
        <v>0</v>
      </c>
      <c r="Q211" s="158">
        <f t="shared" si="1015"/>
        <v>0</v>
      </c>
      <c r="R211" s="158">
        <f t="shared" ref="R211" si="1026">R221</f>
        <v>0</v>
      </c>
      <c r="S211" s="158">
        <f t="shared" si="1015"/>
        <v>0</v>
      </c>
      <c r="T211" s="158">
        <f t="shared" si="1015"/>
        <v>0</v>
      </c>
      <c r="U211" s="158">
        <f t="shared" ref="U211:AD211" si="1027">+U221</f>
        <v>0</v>
      </c>
      <c r="V211" s="158">
        <f t="shared" si="1027"/>
        <v>0</v>
      </c>
      <c r="W211" s="158">
        <f t="shared" si="1027"/>
        <v>0</v>
      </c>
      <c r="X211" s="158">
        <f t="shared" si="1027"/>
        <v>0</v>
      </c>
      <c r="Y211" s="158">
        <f t="shared" si="1027"/>
        <v>0</v>
      </c>
      <c r="Z211" s="158">
        <f t="shared" si="1027"/>
        <v>0</v>
      </c>
      <c r="AA211" s="158">
        <f t="shared" si="1027"/>
        <v>0</v>
      </c>
      <c r="AB211" s="158">
        <f t="shared" si="1027"/>
        <v>0</v>
      </c>
      <c r="AC211" s="158">
        <f t="shared" si="1027"/>
        <v>0</v>
      </c>
      <c r="AD211" s="158">
        <f t="shared" si="1027"/>
        <v>0</v>
      </c>
      <c r="AE211" s="361">
        <f t="shared" si="932"/>
        <v>0</v>
      </c>
      <c r="AF211" s="578">
        <f t="shared" si="945"/>
        <v>0</v>
      </c>
      <c r="AG211" s="1086"/>
      <c r="AH211" s="1088"/>
      <c r="AI211" s="1088"/>
      <c r="AJ211" s="1088"/>
      <c r="AK211" s="1088"/>
      <c r="AL211" s="1088"/>
      <c r="AM211" s="1088"/>
      <c r="AN211" s="1088"/>
      <c r="AO211" s="1088"/>
      <c r="AP211" s="1088"/>
      <c r="AQ211" s="1088"/>
      <c r="AR211" s="1088"/>
    </row>
    <row r="212" spans="1:44" s="589" customFormat="1" ht="21.95" hidden="1" customHeight="1" x14ac:dyDescent="0.15">
      <c r="A212" s="2513"/>
      <c r="B212" s="2599" t="s">
        <v>1362</v>
      </c>
      <c r="C212" s="1083" t="s">
        <v>1361</v>
      </c>
      <c r="D212" s="1994"/>
      <c r="E212" s="1516"/>
      <c r="F212" s="238">
        <f t="shared" ref="F212:G212" ca="1" si="1028">F96</f>
        <v>0</v>
      </c>
      <c r="G212" s="238">
        <f t="shared" ca="1" si="1028"/>
        <v>0</v>
      </c>
      <c r="H212" s="238">
        <f t="shared" ref="H212:M212" ca="1" si="1029">H96</f>
        <v>0</v>
      </c>
      <c r="I212" s="238">
        <f t="shared" ca="1" si="1029"/>
        <v>0</v>
      </c>
      <c r="J212" s="238">
        <f t="shared" ca="1" si="1029"/>
        <v>0</v>
      </c>
      <c r="K212" s="238">
        <f t="shared" ca="1" si="1029"/>
        <v>0</v>
      </c>
      <c r="L212" s="238">
        <f t="shared" si="1029"/>
        <v>0</v>
      </c>
      <c r="M212" s="238">
        <f t="shared" si="1029"/>
        <v>0</v>
      </c>
      <c r="N212" s="238">
        <f t="shared" ref="N212:O212" si="1030">N96</f>
        <v>0</v>
      </c>
      <c r="O212" s="238">
        <f t="shared" si="1030"/>
        <v>0</v>
      </c>
      <c r="P212" s="238">
        <f t="shared" ref="P212" si="1031">P96</f>
        <v>0</v>
      </c>
      <c r="Q212" s="238">
        <f t="shared" ref="Q212:AD212" si="1032">Q96</f>
        <v>0</v>
      </c>
      <c r="R212" s="238">
        <f t="shared" ref="R212" si="1033">R96</f>
        <v>0</v>
      </c>
      <c r="S212" s="238">
        <f t="shared" si="1032"/>
        <v>0</v>
      </c>
      <c r="T212" s="238">
        <f t="shared" si="1032"/>
        <v>0</v>
      </c>
      <c r="U212" s="238">
        <f t="shared" si="1032"/>
        <v>0</v>
      </c>
      <c r="V212" s="238">
        <f t="shared" si="1032"/>
        <v>0</v>
      </c>
      <c r="W212" s="238">
        <f t="shared" si="1032"/>
        <v>0</v>
      </c>
      <c r="X212" s="238">
        <f t="shared" si="1032"/>
        <v>0</v>
      </c>
      <c r="Y212" s="238">
        <f t="shared" si="1032"/>
        <v>0</v>
      </c>
      <c r="Z212" s="238">
        <f t="shared" si="1032"/>
        <v>0</v>
      </c>
      <c r="AA212" s="238">
        <f t="shared" si="1032"/>
        <v>0</v>
      </c>
      <c r="AB212" s="238">
        <f t="shared" si="1032"/>
        <v>0</v>
      </c>
      <c r="AC212" s="238">
        <f t="shared" si="1032"/>
        <v>0</v>
      </c>
      <c r="AD212" s="238">
        <f t="shared" si="1032"/>
        <v>0</v>
      </c>
      <c r="AE212" s="362"/>
      <c r="AF212" s="578"/>
      <c r="AG212" s="1086"/>
      <c r="AH212" s="1088"/>
      <c r="AI212" s="1088"/>
      <c r="AJ212" s="1088"/>
      <c r="AK212" s="1088"/>
      <c r="AL212" s="1088"/>
      <c r="AM212" s="1088"/>
      <c r="AN212" s="1088"/>
      <c r="AO212" s="1088"/>
      <c r="AP212" s="1088"/>
      <c r="AQ212" s="1088"/>
      <c r="AR212" s="1088"/>
    </row>
    <row r="213" spans="1:44" s="589" customFormat="1" ht="21.95" hidden="1" customHeight="1" x14ac:dyDescent="0.15">
      <c r="A213" s="2513"/>
      <c r="B213" s="2586"/>
      <c r="C213" s="590" t="s">
        <v>1207</v>
      </c>
      <c r="D213" s="1995"/>
      <c r="E213" s="591"/>
      <c r="F213" s="158">
        <f t="shared" ref="F213:G214" si="1034">F205</f>
        <v>0</v>
      </c>
      <c r="G213" s="158">
        <f t="shared" si="1034"/>
        <v>0</v>
      </c>
      <c r="H213" s="158">
        <f t="shared" ref="H213:M213" si="1035">H205</f>
        <v>0</v>
      </c>
      <c r="I213" s="158">
        <f t="shared" si="1035"/>
        <v>0</v>
      </c>
      <c r="J213" s="158">
        <f t="shared" si="1035"/>
        <v>0</v>
      </c>
      <c r="K213" s="158">
        <f t="shared" si="1035"/>
        <v>0</v>
      </c>
      <c r="L213" s="158">
        <f t="shared" si="1035"/>
        <v>0</v>
      </c>
      <c r="M213" s="158">
        <f t="shared" si="1035"/>
        <v>0</v>
      </c>
      <c r="N213" s="158">
        <f t="shared" ref="N213:O213" si="1036">N205</f>
        <v>0</v>
      </c>
      <c r="O213" s="158">
        <f t="shared" si="1036"/>
        <v>0</v>
      </c>
      <c r="P213" s="158">
        <f t="shared" ref="P213" si="1037">P205</f>
        <v>0</v>
      </c>
      <c r="Q213" s="158">
        <f t="shared" ref="Q213:AD213" si="1038">Q205</f>
        <v>0</v>
      </c>
      <c r="R213" s="158">
        <f t="shared" ref="R213" si="1039">R205</f>
        <v>0</v>
      </c>
      <c r="S213" s="158">
        <f t="shared" si="1038"/>
        <v>0</v>
      </c>
      <c r="T213" s="158">
        <f t="shared" si="1038"/>
        <v>0</v>
      </c>
      <c r="U213" s="158">
        <f t="shared" si="1038"/>
        <v>0</v>
      </c>
      <c r="V213" s="158">
        <f t="shared" si="1038"/>
        <v>0</v>
      </c>
      <c r="W213" s="158">
        <f t="shared" si="1038"/>
        <v>0</v>
      </c>
      <c r="X213" s="158">
        <f t="shared" si="1038"/>
        <v>0</v>
      </c>
      <c r="Y213" s="158">
        <f t="shared" si="1038"/>
        <v>0</v>
      </c>
      <c r="Z213" s="158">
        <f t="shared" si="1038"/>
        <v>0</v>
      </c>
      <c r="AA213" s="158">
        <f t="shared" si="1038"/>
        <v>0</v>
      </c>
      <c r="AB213" s="158">
        <f t="shared" si="1038"/>
        <v>0</v>
      </c>
      <c r="AC213" s="158">
        <f t="shared" si="1038"/>
        <v>0</v>
      </c>
      <c r="AD213" s="158">
        <f t="shared" si="1038"/>
        <v>0</v>
      </c>
      <c r="AE213" s="350"/>
      <c r="AF213" s="578"/>
      <c r="AG213" s="1086"/>
      <c r="AH213" s="1088"/>
      <c r="AI213" s="1088"/>
      <c r="AJ213" s="1088"/>
      <c r="AK213" s="1088"/>
      <c r="AL213" s="1088"/>
      <c r="AM213" s="1088"/>
      <c r="AN213" s="1088"/>
      <c r="AO213" s="1088"/>
      <c r="AP213" s="1088"/>
      <c r="AQ213" s="1088"/>
      <c r="AR213" s="1088"/>
    </row>
    <row r="214" spans="1:44" s="589" customFormat="1" ht="21.95" hidden="1" customHeight="1" x14ac:dyDescent="0.15">
      <c r="A214" s="2513"/>
      <c r="B214" s="2586"/>
      <c r="C214" s="590" t="s">
        <v>1434</v>
      </c>
      <c r="D214" s="1995"/>
      <c r="E214" s="591"/>
      <c r="F214" s="158">
        <f t="shared" si="1034"/>
        <v>0</v>
      </c>
      <c r="G214" s="158">
        <f t="shared" ref="G214" si="1040">G206</f>
        <v>0</v>
      </c>
      <c r="H214" s="158">
        <f t="shared" ref="H214:M214" si="1041">H206</f>
        <v>0</v>
      </c>
      <c r="I214" s="158">
        <f t="shared" si="1041"/>
        <v>0</v>
      </c>
      <c r="J214" s="158">
        <f t="shared" si="1041"/>
        <v>0</v>
      </c>
      <c r="K214" s="158">
        <f t="shared" si="1041"/>
        <v>0</v>
      </c>
      <c r="L214" s="158">
        <f t="shared" si="1041"/>
        <v>0</v>
      </c>
      <c r="M214" s="158">
        <f t="shared" si="1041"/>
        <v>0</v>
      </c>
      <c r="N214" s="158">
        <f t="shared" ref="N214:O214" si="1042">N206</f>
        <v>0</v>
      </c>
      <c r="O214" s="158">
        <f t="shared" si="1042"/>
        <v>0</v>
      </c>
      <c r="P214" s="158">
        <f t="shared" ref="P214" si="1043">P206</f>
        <v>0</v>
      </c>
      <c r="Q214" s="158">
        <f t="shared" ref="Q214:AD214" si="1044">Q206</f>
        <v>0</v>
      </c>
      <c r="R214" s="158">
        <f t="shared" ref="R214" si="1045">R206</f>
        <v>0</v>
      </c>
      <c r="S214" s="158">
        <f t="shared" si="1044"/>
        <v>0</v>
      </c>
      <c r="T214" s="158">
        <f t="shared" si="1044"/>
        <v>0</v>
      </c>
      <c r="U214" s="158">
        <f t="shared" si="1044"/>
        <v>0</v>
      </c>
      <c r="V214" s="158">
        <f t="shared" si="1044"/>
        <v>0</v>
      </c>
      <c r="W214" s="158">
        <f t="shared" si="1044"/>
        <v>0</v>
      </c>
      <c r="X214" s="158">
        <f t="shared" si="1044"/>
        <v>0</v>
      </c>
      <c r="Y214" s="158">
        <f t="shared" si="1044"/>
        <v>0</v>
      </c>
      <c r="Z214" s="158">
        <f t="shared" si="1044"/>
        <v>0</v>
      </c>
      <c r="AA214" s="158">
        <f t="shared" si="1044"/>
        <v>0</v>
      </c>
      <c r="AB214" s="158">
        <f t="shared" si="1044"/>
        <v>0</v>
      </c>
      <c r="AC214" s="158">
        <f t="shared" si="1044"/>
        <v>0</v>
      </c>
      <c r="AD214" s="158">
        <f t="shared" si="1044"/>
        <v>0</v>
      </c>
      <c r="AE214" s="350"/>
      <c r="AF214" s="578"/>
      <c r="AG214" s="1086"/>
      <c r="AH214" s="1088"/>
      <c r="AI214" s="1088"/>
      <c r="AJ214" s="1088"/>
      <c r="AK214" s="1088"/>
      <c r="AL214" s="1088"/>
      <c r="AM214" s="1088"/>
      <c r="AN214" s="1088"/>
      <c r="AO214" s="1088"/>
      <c r="AP214" s="1088"/>
      <c r="AQ214" s="1088"/>
      <c r="AR214" s="1088"/>
    </row>
    <row r="215" spans="1:44" s="589" customFormat="1" ht="21.95" hidden="1" customHeight="1" x14ac:dyDescent="0.15">
      <c r="A215" s="2513"/>
      <c r="B215" s="2600"/>
      <c r="C215" s="590" t="s">
        <v>1363</v>
      </c>
      <c r="D215" s="1995"/>
      <c r="E215" s="591"/>
      <c r="F215" s="158">
        <f t="shared" ref="F215:G215" ca="1" si="1046">F91</f>
        <v>0</v>
      </c>
      <c r="G215" s="158">
        <f t="shared" ca="1" si="1046"/>
        <v>0</v>
      </c>
      <c r="H215" s="158">
        <f t="shared" ref="H215:M215" ca="1" si="1047">H91</f>
        <v>0</v>
      </c>
      <c r="I215" s="158">
        <f t="shared" ca="1" si="1047"/>
        <v>174.25140192744792</v>
      </c>
      <c r="J215" s="158">
        <f t="shared" ca="1" si="1047"/>
        <v>232.19700636593336</v>
      </c>
      <c r="K215" s="158">
        <f t="shared" ca="1" si="1047"/>
        <v>219.24960348945658</v>
      </c>
      <c r="L215" s="158">
        <f t="shared" si="1047"/>
        <v>0</v>
      </c>
      <c r="M215" s="158">
        <f t="shared" si="1047"/>
        <v>0</v>
      </c>
      <c r="N215" s="158">
        <f t="shared" ref="N215:O215" si="1048">N91</f>
        <v>0</v>
      </c>
      <c r="O215" s="158">
        <f t="shared" si="1048"/>
        <v>0</v>
      </c>
      <c r="P215" s="158">
        <f t="shared" ref="P215" si="1049">P91</f>
        <v>0</v>
      </c>
      <c r="Q215" s="158">
        <f t="shared" ref="Q215:AD215" si="1050">Q91</f>
        <v>0</v>
      </c>
      <c r="R215" s="158">
        <f t="shared" ref="R215" si="1051">R91</f>
        <v>0</v>
      </c>
      <c r="S215" s="158">
        <f t="shared" si="1050"/>
        <v>0</v>
      </c>
      <c r="T215" s="158">
        <f t="shared" si="1050"/>
        <v>0</v>
      </c>
      <c r="U215" s="158">
        <f t="shared" si="1050"/>
        <v>0</v>
      </c>
      <c r="V215" s="158">
        <f t="shared" si="1050"/>
        <v>0</v>
      </c>
      <c r="W215" s="158">
        <f t="shared" si="1050"/>
        <v>0</v>
      </c>
      <c r="X215" s="158">
        <f t="shared" si="1050"/>
        <v>0</v>
      </c>
      <c r="Y215" s="158">
        <f t="shared" si="1050"/>
        <v>0</v>
      </c>
      <c r="Z215" s="158">
        <f t="shared" si="1050"/>
        <v>0</v>
      </c>
      <c r="AA215" s="158">
        <f t="shared" si="1050"/>
        <v>0</v>
      </c>
      <c r="AB215" s="158">
        <f t="shared" si="1050"/>
        <v>0</v>
      </c>
      <c r="AC215" s="158">
        <f t="shared" si="1050"/>
        <v>0</v>
      </c>
      <c r="AD215" s="158">
        <f t="shared" si="1050"/>
        <v>0</v>
      </c>
      <c r="AE215" s="350"/>
      <c r="AF215" s="578"/>
      <c r="AG215" s="1086"/>
      <c r="AH215" s="1088"/>
      <c r="AI215" s="1088"/>
      <c r="AJ215" s="1088"/>
      <c r="AK215" s="1088"/>
      <c r="AL215" s="1088"/>
      <c r="AM215" s="1088"/>
      <c r="AN215" s="1088"/>
      <c r="AO215" s="1088"/>
      <c r="AP215" s="1088"/>
      <c r="AQ215" s="1088"/>
      <c r="AR215" s="1088"/>
    </row>
    <row r="216" spans="1:44" s="589" customFormat="1" ht="21.95" hidden="1" customHeight="1" x14ac:dyDescent="0.15">
      <c r="A216" s="2513"/>
      <c r="B216" s="2600"/>
      <c r="C216" s="590" t="s">
        <v>7</v>
      </c>
      <c r="D216" s="1995"/>
      <c r="E216" s="591"/>
      <c r="F216" s="158">
        <f t="shared" ref="F216:G216" ca="1" si="1052">F85</f>
        <v>18.338054372051882</v>
      </c>
      <c r="G216" s="158">
        <f t="shared" ca="1" si="1052"/>
        <v>18.338054372051882</v>
      </c>
      <c r="H216" s="158">
        <f t="shared" ref="H216:M216" ca="1" si="1053">H85</f>
        <v>24.60409914971348</v>
      </c>
      <c r="I216" s="158">
        <f t="shared" ca="1" si="1053"/>
        <v>43.740620710601746</v>
      </c>
      <c r="J216" s="158">
        <f t="shared" ca="1" si="1053"/>
        <v>43.740620710601746</v>
      </c>
      <c r="K216" s="158">
        <f t="shared" ca="1" si="1053"/>
        <v>43.747858940075616</v>
      </c>
      <c r="L216" s="158">
        <f t="shared" si="1053"/>
        <v>0</v>
      </c>
      <c r="M216" s="158">
        <f t="shared" si="1053"/>
        <v>0</v>
      </c>
      <c r="N216" s="158">
        <f t="shared" ref="N216:O216" si="1054">N85</f>
        <v>0</v>
      </c>
      <c r="O216" s="158">
        <f t="shared" si="1054"/>
        <v>0</v>
      </c>
      <c r="P216" s="158">
        <f t="shared" ref="P216" si="1055">P85</f>
        <v>0</v>
      </c>
      <c r="Q216" s="158">
        <f t="shared" ref="Q216:AD216" si="1056">Q85</f>
        <v>39.08643915890277</v>
      </c>
      <c r="R216" s="158">
        <f t="shared" ref="R216" si="1057">R85</f>
        <v>0</v>
      </c>
      <c r="S216" s="158">
        <f t="shared" si="1056"/>
        <v>23.207573250598518</v>
      </c>
      <c r="T216" s="158">
        <f t="shared" si="1056"/>
        <v>0</v>
      </c>
      <c r="U216" s="158">
        <f t="shared" si="1056"/>
        <v>0</v>
      </c>
      <c r="V216" s="158">
        <f t="shared" si="1056"/>
        <v>0</v>
      </c>
      <c r="W216" s="158">
        <f t="shared" si="1056"/>
        <v>0</v>
      </c>
      <c r="X216" s="158">
        <f t="shared" si="1056"/>
        <v>0</v>
      </c>
      <c r="Y216" s="158">
        <f t="shared" si="1056"/>
        <v>0</v>
      </c>
      <c r="Z216" s="158">
        <f t="shared" si="1056"/>
        <v>0</v>
      </c>
      <c r="AA216" s="158">
        <f t="shared" si="1056"/>
        <v>0</v>
      </c>
      <c r="AB216" s="158">
        <f t="shared" si="1056"/>
        <v>0</v>
      </c>
      <c r="AC216" s="158">
        <f t="shared" si="1056"/>
        <v>0</v>
      </c>
      <c r="AD216" s="158">
        <f t="shared" si="1056"/>
        <v>0</v>
      </c>
      <c r="AE216" s="350"/>
      <c r="AF216" s="578"/>
      <c r="AG216" s="1086"/>
      <c r="AH216" s="1088"/>
      <c r="AI216" s="1088"/>
      <c r="AJ216" s="1088"/>
      <c r="AK216" s="1088"/>
      <c r="AL216" s="1088"/>
      <c r="AM216" s="1088"/>
      <c r="AN216" s="1088"/>
      <c r="AO216" s="1088"/>
      <c r="AP216" s="1088"/>
      <c r="AQ216" s="1088"/>
      <c r="AR216" s="1088"/>
    </row>
    <row r="217" spans="1:44" s="589" customFormat="1" ht="21.95" hidden="1" customHeight="1" x14ac:dyDescent="0.15">
      <c r="A217" s="2513"/>
      <c r="B217" s="2600"/>
      <c r="C217" s="590" t="s">
        <v>1364</v>
      </c>
      <c r="D217" s="1995"/>
      <c r="E217" s="591"/>
      <c r="F217" s="158">
        <f t="shared" ref="F217:G217" ca="1" si="1058">212.02*F163/1000</f>
        <v>0</v>
      </c>
      <c r="G217" s="158">
        <f t="shared" ca="1" si="1058"/>
        <v>0</v>
      </c>
      <c r="H217" s="158">
        <f t="shared" ref="H217:M217" ca="1" si="1059">212.02*H163/1000</f>
        <v>0</v>
      </c>
      <c r="I217" s="158">
        <f t="shared" ca="1" si="1059"/>
        <v>0</v>
      </c>
      <c r="J217" s="158">
        <f t="shared" ca="1" si="1059"/>
        <v>0</v>
      </c>
      <c r="K217" s="158">
        <f t="shared" ca="1" si="1059"/>
        <v>0</v>
      </c>
      <c r="L217" s="158">
        <f t="shared" si="1059"/>
        <v>0</v>
      </c>
      <c r="M217" s="158">
        <f t="shared" si="1059"/>
        <v>0</v>
      </c>
      <c r="N217" s="158">
        <f t="shared" ref="N217:O217" si="1060">212.02*N163/1000</f>
        <v>0</v>
      </c>
      <c r="O217" s="158">
        <f t="shared" si="1060"/>
        <v>0</v>
      </c>
      <c r="P217" s="158">
        <f t="shared" ref="P217" si="1061">212.02*P163/1000</f>
        <v>0</v>
      </c>
      <c r="Q217" s="158">
        <f t="shared" ref="Q217:AD217" si="1062">212.02*Q163/1000</f>
        <v>0</v>
      </c>
      <c r="R217" s="158">
        <f t="shared" ref="R217" si="1063">212.02*R163/1000</f>
        <v>0</v>
      </c>
      <c r="S217" s="158">
        <f t="shared" si="1062"/>
        <v>0</v>
      </c>
      <c r="T217" s="158">
        <f t="shared" si="1062"/>
        <v>0</v>
      </c>
      <c r="U217" s="158">
        <f t="shared" si="1062"/>
        <v>0</v>
      </c>
      <c r="V217" s="158">
        <f t="shared" si="1062"/>
        <v>0</v>
      </c>
      <c r="W217" s="158">
        <f t="shared" si="1062"/>
        <v>0</v>
      </c>
      <c r="X217" s="158">
        <f t="shared" si="1062"/>
        <v>0</v>
      </c>
      <c r="Y217" s="158">
        <f t="shared" si="1062"/>
        <v>0</v>
      </c>
      <c r="Z217" s="158">
        <f t="shared" si="1062"/>
        <v>0</v>
      </c>
      <c r="AA217" s="158">
        <f t="shared" si="1062"/>
        <v>0</v>
      </c>
      <c r="AB217" s="158">
        <f t="shared" si="1062"/>
        <v>0</v>
      </c>
      <c r="AC217" s="158">
        <f t="shared" si="1062"/>
        <v>0</v>
      </c>
      <c r="AD217" s="158">
        <f t="shared" si="1062"/>
        <v>0</v>
      </c>
      <c r="AE217" s="350"/>
      <c r="AF217" s="578"/>
      <c r="AG217" s="1086"/>
      <c r="AH217" s="1088"/>
      <c r="AI217" s="1088"/>
      <c r="AJ217" s="1088"/>
      <c r="AK217" s="1088"/>
      <c r="AL217" s="1088"/>
      <c r="AM217" s="1088"/>
      <c r="AN217" s="1088"/>
      <c r="AO217" s="1088"/>
      <c r="AP217" s="1088"/>
      <c r="AQ217" s="1088"/>
      <c r="AR217" s="1088"/>
    </row>
    <row r="218" spans="1:44" s="589" customFormat="1" ht="21.95" hidden="1" customHeight="1" x14ac:dyDescent="0.15">
      <c r="A218" s="2513"/>
      <c r="B218" s="2600"/>
      <c r="C218" s="590" t="s">
        <v>1680</v>
      </c>
      <c r="D218" s="1995"/>
      <c r="E218" s="591"/>
      <c r="F218" s="158">
        <f t="shared" ref="F218:G218" ca="1" si="1064">F163*0.827</f>
        <v>0</v>
      </c>
      <c r="G218" s="158">
        <f t="shared" ca="1" si="1064"/>
        <v>0</v>
      </c>
      <c r="H218" s="158">
        <f t="shared" ref="H218:M218" ca="1" si="1065">H163*0.827</f>
        <v>0</v>
      </c>
      <c r="I218" s="158">
        <f t="shared" ca="1" si="1065"/>
        <v>0</v>
      </c>
      <c r="J218" s="158">
        <f t="shared" ca="1" si="1065"/>
        <v>0</v>
      </c>
      <c r="K218" s="158">
        <f t="shared" ca="1" si="1065"/>
        <v>0</v>
      </c>
      <c r="L218" s="158">
        <f t="shared" si="1065"/>
        <v>0</v>
      </c>
      <c r="M218" s="158">
        <f t="shared" si="1065"/>
        <v>0</v>
      </c>
      <c r="N218" s="158">
        <f t="shared" ref="N218:O218" si="1066">N163*0.827</f>
        <v>0</v>
      </c>
      <c r="O218" s="158">
        <f t="shared" si="1066"/>
        <v>0</v>
      </c>
      <c r="P218" s="158">
        <f>P163*0.827</f>
        <v>0</v>
      </c>
      <c r="Q218" s="158">
        <f>Q163*0.827</f>
        <v>0</v>
      </c>
      <c r="R218" s="158">
        <f>R163*0.827</f>
        <v>0</v>
      </c>
      <c r="S218" s="158">
        <f>S163*0.827</f>
        <v>0</v>
      </c>
      <c r="T218" s="158">
        <f>T163*0.827</f>
        <v>0</v>
      </c>
      <c r="U218" s="158">
        <f t="shared" ref="U218:AD218" si="1067">+U163*0.827</f>
        <v>0</v>
      </c>
      <c r="V218" s="158">
        <f t="shared" si="1067"/>
        <v>0</v>
      </c>
      <c r="W218" s="158">
        <f t="shared" si="1067"/>
        <v>0</v>
      </c>
      <c r="X218" s="158">
        <f t="shared" si="1067"/>
        <v>0</v>
      </c>
      <c r="Y218" s="158">
        <f t="shared" si="1067"/>
        <v>0</v>
      </c>
      <c r="Z218" s="158">
        <f t="shared" si="1067"/>
        <v>0</v>
      </c>
      <c r="AA218" s="158">
        <f t="shared" si="1067"/>
        <v>0</v>
      </c>
      <c r="AB218" s="158">
        <f t="shared" si="1067"/>
        <v>0</v>
      </c>
      <c r="AC218" s="158">
        <f t="shared" si="1067"/>
        <v>0</v>
      </c>
      <c r="AD218" s="158">
        <f t="shared" si="1067"/>
        <v>0</v>
      </c>
      <c r="AE218" s="350"/>
      <c r="AF218" s="578"/>
      <c r="AG218" s="1086"/>
      <c r="AH218" s="1088"/>
      <c r="AI218" s="1088"/>
      <c r="AJ218" s="1088"/>
      <c r="AK218" s="1088"/>
      <c r="AL218" s="1088"/>
      <c r="AM218" s="1088"/>
      <c r="AN218" s="1088"/>
      <c r="AO218" s="1088"/>
      <c r="AP218" s="1088"/>
      <c r="AQ218" s="1088"/>
      <c r="AR218" s="1088"/>
    </row>
    <row r="219" spans="1:44" s="589" customFormat="1" ht="21.95" hidden="1" customHeight="1" x14ac:dyDescent="0.15">
      <c r="A219" s="2513"/>
      <c r="B219" s="2601"/>
      <c r="C219" s="597" t="s">
        <v>1679</v>
      </c>
      <c r="D219" s="1995"/>
      <c r="E219" s="591"/>
      <c r="F219" s="158">
        <f t="shared" ref="F219:G219" si="1068">F159+F133*1.25</f>
        <v>0</v>
      </c>
      <c r="G219" s="158">
        <f t="shared" si="1068"/>
        <v>0</v>
      </c>
      <c r="H219" s="158">
        <f t="shared" ref="H219:M219" si="1069">H159+H133*1.25</f>
        <v>0</v>
      </c>
      <c r="I219" s="158">
        <f t="shared" si="1069"/>
        <v>0</v>
      </c>
      <c r="J219" s="158">
        <f t="shared" si="1069"/>
        <v>0</v>
      </c>
      <c r="K219" s="158">
        <f t="shared" si="1069"/>
        <v>0</v>
      </c>
      <c r="L219" s="158">
        <f t="shared" si="1069"/>
        <v>0</v>
      </c>
      <c r="M219" s="158">
        <f t="shared" si="1069"/>
        <v>0</v>
      </c>
      <c r="N219" s="158">
        <f t="shared" ref="N219:O219" si="1070">N159+N133*1.25</f>
        <v>0</v>
      </c>
      <c r="O219" s="158">
        <f t="shared" si="1070"/>
        <v>0</v>
      </c>
      <c r="P219" s="158">
        <f t="shared" ref="P219" si="1071">P159+P133*1.25</f>
        <v>0</v>
      </c>
      <c r="Q219" s="158">
        <f t="shared" ref="Q219:AD219" si="1072">Q159+Q133*1.25</f>
        <v>0</v>
      </c>
      <c r="R219" s="158">
        <f t="shared" ref="R219" si="1073">R159+R133*1.25</f>
        <v>0</v>
      </c>
      <c r="S219" s="158">
        <f t="shared" si="1072"/>
        <v>0</v>
      </c>
      <c r="T219" s="158">
        <f t="shared" si="1072"/>
        <v>0</v>
      </c>
      <c r="U219" s="158">
        <f t="shared" si="1072"/>
        <v>0</v>
      </c>
      <c r="V219" s="158">
        <f t="shared" si="1072"/>
        <v>0</v>
      </c>
      <c r="W219" s="158">
        <f t="shared" si="1072"/>
        <v>0</v>
      </c>
      <c r="X219" s="158">
        <f t="shared" si="1072"/>
        <v>0</v>
      </c>
      <c r="Y219" s="158">
        <f t="shared" si="1072"/>
        <v>0</v>
      </c>
      <c r="Z219" s="158">
        <f t="shared" si="1072"/>
        <v>0</v>
      </c>
      <c r="AA219" s="158">
        <f t="shared" si="1072"/>
        <v>0</v>
      </c>
      <c r="AB219" s="158">
        <f t="shared" si="1072"/>
        <v>0</v>
      </c>
      <c r="AC219" s="158">
        <f t="shared" si="1072"/>
        <v>0</v>
      </c>
      <c r="AD219" s="158">
        <f t="shared" si="1072"/>
        <v>0</v>
      </c>
      <c r="AE219" s="350"/>
      <c r="AF219" s="578"/>
      <c r="AG219" s="1086"/>
      <c r="AH219" s="1088"/>
      <c r="AI219" s="1088"/>
      <c r="AJ219" s="1088"/>
      <c r="AK219" s="1088"/>
      <c r="AL219" s="1088"/>
      <c r="AM219" s="1088"/>
      <c r="AN219" s="1088"/>
      <c r="AO219" s="1088"/>
      <c r="AP219" s="1088"/>
      <c r="AQ219" s="1088"/>
      <c r="AR219" s="1088"/>
    </row>
    <row r="220" spans="1:44" s="589" customFormat="1" ht="21.95" hidden="1" customHeight="1" x14ac:dyDescent="0.15">
      <c r="A220" s="2513"/>
      <c r="B220" s="2601"/>
      <c r="C220" s="597" t="s">
        <v>1676</v>
      </c>
      <c r="D220" s="1995"/>
      <c r="E220" s="591"/>
      <c r="F220" s="158">
        <f t="shared" ref="F220:G220" ca="1" si="1074">F163*0.578</f>
        <v>0</v>
      </c>
      <c r="G220" s="158">
        <f t="shared" ca="1" si="1074"/>
        <v>0</v>
      </c>
      <c r="H220" s="158">
        <f t="shared" ref="H220:M220" ca="1" si="1075">H163*0.578</f>
        <v>0</v>
      </c>
      <c r="I220" s="158">
        <f t="shared" ca="1" si="1075"/>
        <v>0</v>
      </c>
      <c r="J220" s="158">
        <f t="shared" ca="1" si="1075"/>
        <v>0</v>
      </c>
      <c r="K220" s="158">
        <f t="shared" ca="1" si="1075"/>
        <v>0</v>
      </c>
      <c r="L220" s="158">
        <f t="shared" si="1075"/>
        <v>0</v>
      </c>
      <c r="M220" s="158">
        <f t="shared" si="1075"/>
        <v>0</v>
      </c>
      <c r="N220" s="158">
        <f t="shared" ref="N220:O220" si="1076">N163*0.578</f>
        <v>0</v>
      </c>
      <c r="O220" s="158">
        <f t="shared" si="1076"/>
        <v>0</v>
      </c>
      <c r="P220" s="158">
        <f t="shared" ref="P220" si="1077">P163*0.578</f>
        <v>0</v>
      </c>
      <c r="Q220" s="158">
        <f t="shared" ref="Q220:AD220" si="1078">Q163*0.578</f>
        <v>0</v>
      </c>
      <c r="R220" s="158">
        <f t="shared" ref="R220" si="1079">R163*0.578</f>
        <v>0</v>
      </c>
      <c r="S220" s="158">
        <f t="shared" si="1078"/>
        <v>0</v>
      </c>
      <c r="T220" s="158">
        <f t="shared" si="1078"/>
        <v>0</v>
      </c>
      <c r="U220" s="158">
        <f t="shared" si="1078"/>
        <v>0</v>
      </c>
      <c r="V220" s="158">
        <f t="shared" si="1078"/>
        <v>0</v>
      </c>
      <c r="W220" s="158">
        <f t="shared" si="1078"/>
        <v>0</v>
      </c>
      <c r="X220" s="158">
        <f t="shared" si="1078"/>
        <v>0</v>
      </c>
      <c r="Y220" s="158">
        <f t="shared" si="1078"/>
        <v>0</v>
      </c>
      <c r="Z220" s="158">
        <f t="shared" si="1078"/>
        <v>0</v>
      </c>
      <c r="AA220" s="158">
        <f t="shared" si="1078"/>
        <v>0</v>
      </c>
      <c r="AB220" s="158">
        <f t="shared" si="1078"/>
        <v>0</v>
      </c>
      <c r="AC220" s="158">
        <f t="shared" si="1078"/>
        <v>0</v>
      </c>
      <c r="AD220" s="158">
        <f t="shared" si="1078"/>
        <v>0</v>
      </c>
      <c r="AE220" s="350"/>
      <c r="AF220" s="578"/>
      <c r="AG220" s="1086"/>
      <c r="AH220" s="1088"/>
      <c r="AI220" s="1088"/>
      <c r="AJ220" s="1088"/>
      <c r="AK220" s="1088"/>
      <c r="AL220" s="1088"/>
      <c r="AM220" s="1088"/>
      <c r="AN220" s="1088"/>
      <c r="AO220" s="1088"/>
      <c r="AP220" s="1088"/>
      <c r="AQ220" s="1088"/>
      <c r="AR220" s="1088"/>
    </row>
    <row r="221" spans="1:44" s="589" customFormat="1" ht="21.95" hidden="1" customHeight="1" thickBot="1" x14ac:dyDescent="0.2">
      <c r="A221" s="2513"/>
      <c r="B221" s="2602"/>
      <c r="C221" s="928" t="s">
        <v>1678</v>
      </c>
      <c r="D221" s="1996"/>
      <c r="E221" s="1519"/>
      <c r="F221" s="239">
        <f t="shared" ref="F221:G221" si="1080">F169+F175+F180+F185</f>
        <v>0</v>
      </c>
      <c r="G221" s="239">
        <f t="shared" si="1080"/>
        <v>0</v>
      </c>
      <c r="H221" s="239">
        <f t="shared" ref="H221:M221" si="1081">H169+H175+H180+H185</f>
        <v>0</v>
      </c>
      <c r="I221" s="239">
        <f t="shared" si="1081"/>
        <v>0</v>
      </c>
      <c r="J221" s="239">
        <f t="shared" si="1081"/>
        <v>0</v>
      </c>
      <c r="K221" s="239">
        <f t="shared" si="1081"/>
        <v>0</v>
      </c>
      <c r="L221" s="239">
        <f t="shared" si="1081"/>
        <v>0</v>
      </c>
      <c r="M221" s="239">
        <f t="shared" si="1081"/>
        <v>0</v>
      </c>
      <c r="N221" s="239">
        <f t="shared" ref="N221:O221" si="1082">N169+N175+N180+N185</f>
        <v>0</v>
      </c>
      <c r="O221" s="239">
        <f t="shared" si="1082"/>
        <v>0</v>
      </c>
      <c r="P221" s="239">
        <f>P169+P175+P180+P185</f>
        <v>0</v>
      </c>
      <c r="Q221" s="239">
        <f>Q169+Q175+Q180+Q185</f>
        <v>0</v>
      </c>
      <c r="R221" s="239">
        <f>R169+R175+R180+R185</f>
        <v>0</v>
      </c>
      <c r="S221" s="239">
        <f>S169+S175+S180+S185</f>
        <v>0</v>
      </c>
      <c r="T221" s="239">
        <f>T169+T175+T180+T185</f>
        <v>0</v>
      </c>
      <c r="U221" s="239">
        <f t="shared" ref="U221:AD221" si="1083">+U169+U175+U180+U185</f>
        <v>0</v>
      </c>
      <c r="V221" s="239">
        <f t="shared" si="1083"/>
        <v>0</v>
      </c>
      <c r="W221" s="239">
        <f t="shared" si="1083"/>
        <v>0</v>
      </c>
      <c r="X221" s="239">
        <f t="shared" si="1083"/>
        <v>0</v>
      </c>
      <c r="Y221" s="239">
        <f t="shared" si="1083"/>
        <v>0</v>
      </c>
      <c r="Z221" s="239">
        <f t="shared" si="1083"/>
        <v>0</v>
      </c>
      <c r="AA221" s="239">
        <f t="shared" si="1083"/>
        <v>0</v>
      </c>
      <c r="AB221" s="239">
        <f t="shared" si="1083"/>
        <v>0</v>
      </c>
      <c r="AC221" s="239">
        <f t="shared" si="1083"/>
        <v>0</v>
      </c>
      <c r="AD221" s="239">
        <f t="shared" si="1083"/>
        <v>0</v>
      </c>
      <c r="AE221" s="361"/>
      <c r="AF221" s="578"/>
      <c r="AG221" s="1086"/>
      <c r="AH221" s="1088"/>
      <c r="AI221" s="1088"/>
      <c r="AJ221" s="1088"/>
      <c r="AK221" s="1088"/>
      <c r="AL221" s="1088"/>
      <c r="AM221" s="1088"/>
      <c r="AN221" s="1088"/>
      <c r="AO221" s="1088"/>
      <c r="AP221" s="1088"/>
      <c r="AQ221" s="1088"/>
      <c r="AR221" s="1088"/>
    </row>
    <row r="222" spans="1:44" ht="50.1" customHeight="1" thickBot="1" x14ac:dyDescent="0.2">
      <c r="A222" s="2514"/>
      <c r="B222" s="2593" t="s">
        <v>12</v>
      </c>
      <c r="C222" s="2569"/>
      <c r="D222" s="2008"/>
      <c r="E222" s="1534"/>
      <c r="F222" s="2089">
        <f>Dren_Quantificacao!D157</f>
        <v>0</v>
      </c>
      <c r="G222" s="2089">
        <f>Dren_Quantificacao!E157</f>
        <v>0</v>
      </c>
      <c r="H222" s="2089">
        <f>Dren_Quantificacao!F157</f>
        <v>0</v>
      </c>
      <c r="I222" s="2089">
        <f>Dren_Quantificacao!G157</f>
        <v>0</v>
      </c>
      <c r="J222" s="2089">
        <f>Dren_Quantificacao!H157</f>
        <v>0</v>
      </c>
      <c r="K222" s="2089">
        <f>Dren_Quantificacao!I157</f>
        <v>0</v>
      </c>
      <c r="L222" s="2089">
        <f>Dren_Quantificacao!J157</f>
        <v>0</v>
      </c>
      <c r="M222" s="2089">
        <f>Dren_Quantificacao!K157</f>
        <v>0</v>
      </c>
      <c r="N222" s="2089">
        <f>Dren_Quantificacao!L157</f>
        <v>0</v>
      </c>
      <c r="O222" s="2089">
        <f>Dren_Quantificacao!M157</f>
        <v>0</v>
      </c>
      <c r="P222" s="2089">
        <f>Dren_Quantificacao!O157</f>
        <v>0</v>
      </c>
      <c r="Q222" s="2089">
        <f>Dren_Quantificacao!P157</f>
        <v>0</v>
      </c>
      <c r="R222" s="2089">
        <f>Dren_Quantificacao!Q157</f>
        <v>0</v>
      </c>
      <c r="S222" s="2089">
        <f>Dren_Quantificacao!R157</f>
        <v>0</v>
      </c>
      <c r="T222" s="135">
        <f>Dren_Quantificacao!S157</f>
        <v>0</v>
      </c>
      <c r="U222" s="135">
        <f>Dren_Quantificacao!T157</f>
        <v>0</v>
      </c>
      <c r="V222" s="135">
        <f>Dren_Quantificacao!U157</f>
        <v>0</v>
      </c>
      <c r="W222" s="135">
        <f>Dren_Quantificacao!V157</f>
        <v>0</v>
      </c>
      <c r="X222" s="135">
        <f>Dren_Quantificacao!W157</f>
        <v>0</v>
      </c>
      <c r="Y222" s="135">
        <f>Dren_Quantificacao!X157</f>
        <v>0</v>
      </c>
      <c r="Z222" s="135">
        <f>Dren_Quantificacao!Y157</f>
        <v>0</v>
      </c>
      <c r="AA222" s="135">
        <f>Dren_Quantificacao!Z157</f>
        <v>0</v>
      </c>
      <c r="AB222" s="135">
        <f>Dren_Quantificacao!AA157</f>
        <v>0</v>
      </c>
      <c r="AC222" s="135">
        <f>Dren_Quantificacao!AB157</f>
        <v>0</v>
      </c>
      <c r="AD222" s="135">
        <f>Dren_Quantificacao!AC157</f>
        <v>0</v>
      </c>
      <c r="AE222" s="576"/>
      <c r="AF222" s="667">
        <v>1</v>
      </c>
    </row>
    <row r="223" spans="1:44" ht="19.5" thickTop="1" x14ac:dyDescent="0.15"/>
  </sheetData>
  <autoFilter ref="AF1:AF222">
    <filterColumn colId="0">
      <customFilters>
        <customFilter operator="notEqual" val=" "/>
      </customFilters>
    </filterColumn>
  </autoFilter>
  <mergeCells count="43">
    <mergeCell ref="B28:C28"/>
    <mergeCell ref="B164:B169"/>
    <mergeCell ref="B82:B86"/>
    <mergeCell ref="B87:B91"/>
    <mergeCell ref="B154:B159"/>
    <mergeCell ref="B29:C29"/>
    <mergeCell ref="B40:B47"/>
    <mergeCell ref="B97:B103"/>
    <mergeCell ref="B104:B108"/>
    <mergeCell ref="B31:B32"/>
    <mergeCell ref="B70:B79"/>
    <mergeCell ref="B80:B81"/>
    <mergeCell ref="B113:B117"/>
    <mergeCell ref="B118:B119"/>
    <mergeCell ref="B48:B58"/>
    <mergeCell ref="B212:B221"/>
    <mergeCell ref="B181:B185"/>
    <mergeCell ref="B92:B96"/>
    <mergeCell ref="B191:C191"/>
    <mergeCell ref="B144:B153"/>
    <mergeCell ref="B120:B132"/>
    <mergeCell ref="B133:B143"/>
    <mergeCell ref="B186:B188"/>
    <mergeCell ref="B160:B163"/>
    <mergeCell ref="B201:B211"/>
    <mergeCell ref="B189:B190"/>
    <mergeCell ref="B199:B200"/>
    <mergeCell ref="A1:A222"/>
    <mergeCell ref="B1:C1"/>
    <mergeCell ref="B2:C2"/>
    <mergeCell ref="B3:B5"/>
    <mergeCell ref="B6:C6"/>
    <mergeCell ref="B7:C7"/>
    <mergeCell ref="B30:C30"/>
    <mergeCell ref="B33:B39"/>
    <mergeCell ref="B109:B112"/>
    <mergeCell ref="B8:B10"/>
    <mergeCell ref="B222:C222"/>
    <mergeCell ref="B11:B27"/>
    <mergeCell ref="B170:B175"/>
    <mergeCell ref="B176:B180"/>
    <mergeCell ref="B192:B197"/>
    <mergeCell ref="B59:B69"/>
  </mergeCells>
  <conditionalFormatting sqref="D10">
    <cfRule type="cellIs" dxfId="91" priority="185" operator="greaterThan">
      <formula>3</formula>
    </cfRule>
  </conditionalFormatting>
  <conditionalFormatting sqref="D28 F28:AA28">
    <cfRule type="cellIs" dxfId="90" priority="188" operator="equal">
      <formula>"rocha"</formula>
    </cfRule>
  </conditionalFormatting>
  <conditionalFormatting sqref="D29 F29:AA29">
    <cfRule type="expression" dxfId="89" priority="116">
      <formula>D$29=2</formula>
    </cfRule>
  </conditionalFormatting>
  <conditionalFormatting sqref="D30 F30:I30 L30:M30 P30:AD30">
    <cfRule type="expression" dxfId="88" priority="187">
      <formula>D$28="rocha"</formula>
    </cfRule>
    <cfRule type="expression" dxfId="87" priority="193">
      <formula>D11&gt;3.5</formula>
    </cfRule>
  </conditionalFormatting>
  <conditionalFormatting sqref="P10:AA10">
    <cfRule type="cellIs" dxfId="86" priority="275" operator="greaterThan">
      <formula>3</formula>
    </cfRule>
  </conditionalFormatting>
  <hyperlinks>
    <hyperlink ref="B1:C1" location="PAINEL!A1" display="TRECHOS"/>
  </hyperlinks>
  <printOptions horizontalCentered="1"/>
  <pageMargins left="0.39370078740157483" right="0.39370078740157483" top="0.59055118110236227" bottom="0.59055118110236227" header="0.23622047244094491" footer="0.23622047244094491"/>
  <pageSetup paperSize="9" scale="50" fitToWidth="12" orientation="portrait" r:id="rId1"/>
  <headerFooter>
    <oddFooter>&amp;L&amp;"Arial,Normal"&amp;8&amp;F&amp;C&amp;"Arial,Normal"&amp;8&amp;P / &amp;N&amp;R&amp;"Cambria,Regular"&amp;8Ricardo Schettini Figueiredo&amp;10
&amp;8Eng. Civil - CREA-RJ 52.656/D</oddFooter>
  </headerFooter>
  <ignoredErrors>
    <ignoredError sqref="Q97 Q200:Q202 S97 G113" formula="1"/>
    <ignoredError sqref="AE30" evalError="1"/>
  </ignoredErrors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27" filterMode="1">
    <tabColor theme="5" tint="0.59999389629810485"/>
  </sheetPr>
  <dimension ref="A1:BP186"/>
  <sheetViews>
    <sheetView showZeros="0" zoomScaleNormal="100" zoomScaleSheetLayoutView="100" workbookViewId="0">
      <pane xSplit="5" ySplit="1" topLeftCell="F2" activePane="bottomRight" state="frozenSplit"/>
      <selection activeCell="D18" sqref="B13:I28"/>
      <selection pane="topRight" activeCell="D18" sqref="B13:I28"/>
      <selection pane="bottomLeft" activeCell="D18" sqref="B13:I28"/>
      <selection pane="bottomRight" activeCell="F2" sqref="F2"/>
    </sheetView>
  </sheetViews>
  <sheetFormatPr defaultColWidth="9" defaultRowHeight="19.5" customHeight="1" x14ac:dyDescent="0.15"/>
  <cols>
    <col min="1" max="1" width="9.75" style="133" customWidth="1"/>
    <col min="2" max="2" width="14.625" style="13" customWidth="1"/>
    <col min="3" max="3" width="35.625" style="13" customWidth="1"/>
    <col min="4" max="4" width="4.375" style="985" hidden="1" customWidth="1"/>
    <col min="5" max="5" width="8.375" style="13" hidden="1" customWidth="1"/>
    <col min="6" max="15" width="12.625" style="133" customWidth="1"/>
    <col min="16" max="16" width="12.625" style="133" hidden="1" customWidth="1"/>
    <col min="17" max="17" width="12.625" style="133" customWidth="1"/>
    <col min="18" max="18" width="12.625" style="133" hidden="1" customWidth="1"/>
    <col min="19" max="19" width="12.625" style="133" customWidth="1"/>
    <col min="20" max="30" width="12.625" style="133" hidden="1" customWidth="1"/>
    <col min="31" max="31" width="12.625" style="133" customWidth="1"/>
    <col min="32" max="32" width="13.875" style="133" customWidth="1"/>
    <col min="33" max="36" width="10.75" style="969" customWidth="1"/>
    <col min="37" max="42" width="9" style="133"/>
    <col min="43" max="43" width="9.5" style="133" bestFit="1" customWidth="1"/>
    <col min="44" max="51" width="9" style="133"/>
    <col min="52" max="52" width="9.5" style="133" bestFit="1" customWidth="1"/>
    <col min="53" max="16384" width="9" style="133"/>
  </cols>
  <sheetData>
    <row r="1" spans="1:67" s="16" customFormat="1" ht="69" thickTop="1" thickBot="1" x14ac:dyDescent="0.2">
      <c r="A1" s="2512" t="s">
        <v>323</v>
      </c>
      <c r="B1" s="2525" t="s">
        <v>346</v>
      </c>
      <c r="C1" s="2526"/>
      <c r="D1" s="990"/>
      <c r="E1" s="1501" t="s">
        <v>587</v>
      </c>
      <c r="F1" s="225">
        <f ca="1">Dren_Quantificacao!D1</f>
        <v>1</v>
      </c>
      <c r="G1" s="225">
        <f ca="1">Dren_Quantificacao!E1</f>
        <v>2</v>
      </c>
      <c r="H1" s="225">
        <f ca="1">Dren_Quantificacao!F1</f>
        <v>3</v>
      </c>
      <c r="I1" s="225">
        <f ca="1">Dren_Quantificacao!G1</f>
        <v>4</v>
      </c>
      <c r="J1" s="225">
        <f ca="1">Dren_Quantificacao!H1</f>
        <v>5</v>
      </c>
      <c r="K1" s="225">
        <f ca="1">Dren_Quantificacao!I1</f>
        <v>6</v>
      </c>
      <c r="L1" s="225" t="str">
        <f>Dren_Quantificacao!J1</f>
        <v>DRENAGEM EXISTENTE - RUA PAULO SOARES VALENTIN</v>
      </c>
      <c r="M1" s="225" t="str">
        <f>Dren_Quantificacao!K1</f>
        <v>DRENAGEM EXISTENTE - RUA OLINDA GARCIA DE OLIVEIRA / RUA JOÃO TRIVELLATO</v>
      </c>
      <c r="N1" s="225" t="str">
        <f>Dren_Quantificacao!L1</f>
        <v>DRENAGEM EXISTENTE - RUA CLELIA SANTOS DA ROSA</v>
      </c>
      <c r="O1" s="225" t="str">
        <f>Dren_Quantificacao!M1</f>
        <v>DRENAGEM EXISTENTE - RUA FRANCISCO MARTINS DE SOUZA</v>
      </c>
      <c r="P1" s="225" t="str">
        <f>Dren_Quantificacao!O1</f>
        <v>RAMAL CONCRETO Ø 0,40 (m) SOLO baixa inter.</v>
      </c>
      <c r="Q1" s="225" t="str">
        <f>Dren_Quantificacao!P1</f>
        <v>RAMAL CONCRETO Ø 0,40 (m) SOLO alta inter.</v>
      </c>
      <c r="R1" s="225" t="str">
        <f>Dren_Quantificacao!Q1</f>
        <v>RAMAL CONCRETO Ø 0,60 (m) SOLO baixa inter.</v>
      </c>
      <c r="S1" s="225" t="str">
        <f>Dren_Quantificacao!R1</f>
        <v>RAMAL CONCRETO Ø 0,60 (m) SOLO alta inter.</v>
      </c>
      <c r="T1" s="225" t="str">
        <f>Dren_Quantificacao!S1</f>
        <v>RAMAL CONCRETO Ø 0,40 (m) ROCHA</v>
      </c>
      <c r="U1" s="225" t="str">
        <f>+Dren_Quantificacao!T1</f>
        <v>RAMAL CONCRETO Ø 0,60 (m) ROCHA</v>
      </c>
      <c r="V1" s="225" t="str">
        <f>+Dren_Quantificacao!U1</f>
        <v>RAMAL PEAD Ø 0,40 (m) SOLO baixa inter.</v>
      </c>
      <c r="W1" s="225" t="str">
        <f>+Dren_Quantificacao!V1</f>
        <v>RAMAL PEAD Ø 0,40 (m) SOLO alta inter.</v>
      </c>
      <c r="X1" s="225" t="str">
        <f>+Dren_Quantificacao!W1</f>
        <v>RAMAL PEAD Ø 0,50 (m) SOLO baixa inter.</v>
      </c>
      <c r="Y1" s="225" t="str">
        <f>+Dren_Quantificacao!X1</f>
        <v>RAMAL PEAD Ø 0,50 (m) SOLO alta inter.</v>
      </c>
      <c r="Z1" s="225" t="str">
        <f>+Dren_Quantificacao!Y1</f>
        <v>RAMAL PEAD Ø 0,40 (m) ROCHA</v>
      </c>
      <c r="AA1" s="225" t="str">
        <f>+Dren_Quantificacao!Z1</f>
        <v>RAMAL PEAD Ø 0,50 (m) ROCHA</v>
      </c>
      <c r="AB1" s="225" t="s">
        <v>143</v>
      </c>
      <c r="AC1" s="225" t="s">
        <v>143</v>
      </c>
      <c r="AD1" s="225" t="s">
        <v>143</v>
      </c>
      <c r="AE1" s="367" t="s">
        <v>0</v>
      </c>
      <c r="AF1" s="577" t="s">
        <v>1355</v>
      </c>
      <c r="AG1" s="1803" t="s">
        <v>2093</v>
      </c>
      <c r="AH1" s="1804" t="str">
        <f ca="1">IF(AG2=AH2,"OK","Erro")</f>
        <v>OK</v>
      </c>
      <c r="AI1" s="969"/>
      <c r="AJ1" s="969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spans="1:67" ht="21.95" customHeight="1" thickTop="1" thickBot="1" x14ac:dyDescent="0.3">
      <c r="A2" s="2627"/>
      <c r="B2" s="2564" t="s">
        <v>3</v>
      </c>
      <c r="C2" s="2565"/>
      <c r="D2" s="994"/>
      <c r="E2" s="2234"/>
      <c r="F2" s="244">
        <f ca="1">Dren_Quantificacao!D3</f>
        <v>45.04</v>
      </c>
      <c r="G2" s="244">
        <f ca="1">Dren_Quantificacao!E3</f>
        <v>45.04</v>
      </c>
      <c r="H2" s="244">
        <f ca="1">Dren_Quantificacao!F3</f>
        <v>60.43</v>
      </c>
      <c r="I2" s="244">
        <f ca="1">Dren_Quantificacao!G3</f>
        <v>60.43</v>
      </c>
      <c r="J2" s="244">
        <f ca="1">Dren_Quantificacao!H3</f>
        <v>60.43</v>
      </c>
      <c r="K2" s="244">
        <f ca="1">Dren_Quantificacao!I3</f>
        <v>60.44</v>
      </c>
      <c r="L2" s="244">
        <f>Dren_Quantificacao!J3</f>
        <v>0</v>
      </c>
      <c r="M2" s="244">
        <f>Dren_Quantificacao!K3</f>
        <v>0</v>
      </c>
      <c r="N2" s="244">
        <f>Dren_Quantificacao!L3</f>
        <v>0</v>
      </c>
      <c r="O2" s="244">
        <f>Dren_Quantificacao!M3</f>
        <v>0</v>
      </c>
      <c r="P2" s="244">
        <f>Dren_Quantificacao!O3</f>
        <v>0</v>
      </c>
      <c r="Q2" s="244">
        <f>Dren_Quantificacao!P3</f>
        <v>216</v>
      </c>
      <c r="R2" s="244">
        <f>Dren_Quantificacao!Q3</f>
        <v>0</v>
      </c>
      <c r="S2" s="244">
        <f>Dren_Quantificacao!R3</f>
        <v>57</v>
      </c>
      <c r="T2" s="244">
        <f>Dren_Quantificacao!S3</f>
        <v>0</v>
      </c>
      <c r="U2" s="244">
        <f>+Dren_Quantificacao!T3</f>
        <v>0</v>
      </c>
      <c r="V2" s="244">
        <f>+Dren_Quantificacao!U3</f>
        <v>0</v>
      </c>
      <c r="W2" s="244">
        <f>+Dren_Quantificacao!V3</f>
        <v>0</v>
      </c>
      <c r="X2" s="244">
        <f>+Dren_Quantificacao!W3</f>
        <v>0</v>
      </c>
      <c r="Y2" s="244">
        <f>+Dren_Quantificacao!X3</f>
        <v>0</v>
      </c>
      <c r="Z2" s="244">
        <f>+Dren_Quantificacao!Y3</f>
        <v>0</v>
      </c>
      <c r="AA2" s="244">
        <f>+Dren_Quantificacao!Z3</f>
        <v>0</v>
      </c>
      <c r="AB2" s="244">
        <f>+Dren_Quantificacao!AA113</f>
        <v>0</v>
      </c>
      <c r="AC2" s="244">
        <f>+Dren_Quantificacao!AB113</f>
        <v>0</v>
      </c>
      <c r="AD2" s="244">
        <f>+Dren_Quantificacao!AC113</f>
        <v>0</v>
      </c>
      <c r="AE2" s="352">
        <f ca="1">ROUND(SUM(F2:AD2),2)</f>
        <v>604.80999999999995</v>
      </c>
      <c r="AF2" s="578">
        <f t="shared" ref="AF2:AF33" ca="1" si="0">SUM(F2:AE2)</f>
        <v>1209.6199999999999</v>
      </c>
      <c r="AG2" s="1810">
        <f ca="1">SUMPRODUCT(F2:AA2,F3:AA3)</f>
        <v>604.80999999999995</v>
      </c>
      <c r="AH2" s="1810">
        <f ca="1">SUM(AE10:AE59)</f>
        <v>604.81000000000006</v>
      </c>
      <c r="BG2" s="960"/>
      <c r="BI2" s="960"/>
      <c r="BJ2" s="960"/>
      <c r="BK2" s="960"/>
    </row>
    <row r="3" spans="1:67" s="14" customFormat="1" ht="21.95" customHeight="1" x14ac:dyDescent="0.25">
      <c r="A3" s="2627"/>
      <c r="B3" s="2522" t="s">
        <v>4</v>
      </c>
      <c r="C3" s="551" t="s">
        <v>41</v>
      </c>
      <c r="D3" s="995"/>
      <c r="E3" s="2227"/>
      <c r="F3" s="228">
        <f ca="1">Dren_Quantificacao!D4</f>
        <v>1</v>
      </c>
      <c r="G3" s="228">
        <f ca="1">Dren_Quantificacao!E4</f>
        <v>1</v>
      </c>
      <c r="H3" s="228">
        <f ca="1">Dren_Quantificacao!F4</f>
        <v>1</v>
      </c>
      <c r="I3" s="228">
        <f ca="1">Dren_Quantificacao!G4</f>
        <v>1</v>
      </c>
      <c r="J3" s="228">
        <f ca="1">Dren_Quantificacao!H4</f>
        <v>1</v>
      </c>
      <c r="K3" s="228">
        <f ca="1">Dren_Quantificacao!I4</f>
        <v>1</v>
      </c>
      <c r="L3" s="228">
        <f>Dren_Quantificacao!J4</f>
        <v>0</v>
      </c>
      <c r="M3" s="228">
        <f>Dren_Quantificacao!K4</f>
        <v>0</v>
      </c>
      <c r="N3" s="228">
        <f>Dren_Quantificacao!L4</f>
        <v>0</v>
      </c>
      <c r="O3" s="228">
        <f>Dren_Quantificacao!M4</f>
        <v>0</v>
      </c>
      <c r="P3" s="228">
        <f>Dren_Quantificacao!O4</f>
        <v>1</v>
      </c>
      <c r="Q3" s="228">
        <f>Dren_Quantificacao!P4</f>
        <v>1</v>
      </c>
      <c r="R3" s="228">
        <f>Dren_Quantificacao!Q4</f>
        <v>1</v>
      </c>
      <c r="S3" s="228">
        <f>Dren_Quantificacao!R4</f>
        <v>1</v>
      </c>
      <c r="T3" s="228">
        <f>Dren_Quantificacao!S4</f>
        <v>1</v>
      </c>
      <c r="U3" s="228">
        <f>+Dren_Quantificacao!T4</f>
        <v>1</v>
      </c>
      <c r="V3" s="228">
        <f>+Dren_Quantificacao!U4</f>
        <v>1</v>
      </c>
      <c r="W3" s="228">
        <f>+Dren_Quantificacao!V4</f>
        <v>1</v>
      </c>
      <c r="X3" s="228">
        <f>+Dren_Quantificacao!W4</f>
        <v>1</v>
      </c>
      <c r="Y3" s="228">
        <f>+Dren_Quantificacao!X4</f>
        <v>1</v>
      </c>
      <c r="Z3" s="228">
        <f>+Dren_Quantificacao!Y4</f>
        <v>1</v>
      </c>
      <c r="AA3" s="228">
        <f>+Dren_Quantificacao!Z4</f>
        <v>1</v>
      </c>
      <c r="AB3" s="229"/>
      <c r="AC3" s="229"/>
      <c r="AD3" s="229"/>
      <c r="AE3" s="354"/>
      <c r="AF3" s="578">
        <f t="shared" ca="1" si="0"/>
        <v>18</v>
      </c>
      <c r="AG3" s="969"/>
      <c r="AH3" s="969"/>
      <c r="AI3" s="969"/>
      <c r="AJ3" s="969"/>
      <c r="AK3" s="133"/>
      <c r="AL3" s="133"/>
      <c r="AM3" s="133"/>
      <c r="AN3" s="133"/>
      <c r="AO3" s="133"/>
      <c r="AP3" s="133"/>
      <c r="AQ3" s="133"/>
      <c r="AR3" s="133"/>
      <c r="AS3" s="133"/>
      <c r="AT3" s="133"/>
      <c r="AU3" s="133"/>
      <c r="AV3" s="133"/>
      <c r="AW3" s="133"/>
      <c r="AX3" s="133"/>
      <c r="AY3" s="133"/>
      <c r="AZ3" s="133"/>
      <c r="BA3" s="133"/>
      <c r="BB3" s="133"/>
      <c r="BC3" s="133"/>
      <c r="BD3" s="133"/>
      <c r="BE3" s="133"/>
      <c r="BF3" s="133"/>
      <c r="BG3" s="970"/>
      <c r="BH3" s="133"/>
      <c r="BI3" s="970"/>
      <c r="BJ3" s="970"/>
      <c r="BK3" s="970"/>
      <c r="BM3" s="133"/>
      <c r="BN3" s="133"/>
    </row>
    <row r="4" spans="1:67" ht="21.95" customHeight="1" x14ac:dyDescent="0.15">
      <c r="A4" s="2627"/>
      <c r="B4" s="2523"/>
      <c r="C4" s="566" t="s">
        <v>71</v>
      </c>
      <c r="D4" s="996"/>
      <c r="E4" s="1286"/>
      <c r="F4" s="134">
        <f ca="1">Dren_Quantificacao!D5</f>
        <v>0.6</v>
      </c>
      <c r="G4" s="134">
        <f ca="1">Dren_Quantificacao!E5</f>
        <v>0.6</v>
      </c>
      <c r="H4" s="134">
        <f ca="1">Dren_Quantificacao!F5</f>
        <v>0.6</v>
      </c>
      <c r="I4" s="134">
        <f ca="1">Dren_Quantificacao!G5</f>
        <v>0.8</v>
      </c>
      <c r="J4" s="134">
        <f ca="1">Dren_Quantificacao!H5</f>
        <v>0.8</v>
      </c>
      <c r="K4" s="134">
        <f ca="1">Dren_Quantificacao!I5</f>
        <v>0.8</v>
      </c>
      <c r="L4" s="134">
        <f>Dren_Quantificacao!J5</f>
        <v>0</v>
      </c>
      <c r="M4" s="134">
        <f>Dren_Quantificacao!K5</f>
        <v>0</v>
      </c>
      <c r="N4" s="134">
        <f>Dren_Quantificacao!L5</f>
        <v>0</v>
      </c>
      <c r="O4" s="134">
        <f>Dren_Quantificacao!M5</f>
        <v>0</v>
      </c>
      <c r="P4" s="134">
        <f>Dren_Quantificacao!O5</f>
        <v>0.4</v>
      </c>
      <c r="Q4" s="134">
        <f>Dren_Quantificacao!P5</f>
        <v>0.4</v>
      </c>
      <c r="R4" s="134">
        <f>Dren_Quantificacao!Q5</f>
        <v>0.6</v>
      </c>
      <c r="S4" s="134">
        <f>Dren_Quantificacao!R5</f>
        <v>0.6</v>
      </c>
      <c r="T4" s="134">
        <f>Dren_Quantificacao!S5</f>
        <v>0.4</v>
      </c>
      <c r="U4" s="134">
        <f>+Dren_Quantificacao!T5</f>
        <v>0.6</v>
      </c>
      <c r="V4" s="134">
        <f>+Dren_Quantificacao!U5</f>
        <v>0.4</v>
      </c>
      <c r="W4" s="134">
        <f>+Dren_Quantificacao!V5</f>
        <v>0.4</v>
      </c>
      <c r="X4" s="134">
        <f>+Dren_Quantificacao!W5</f>
        <v>0.5</v>
      </c>
      <c r="Y4" s="134">
        <f>+Dren_Quantificacao!X5</f>
        <v>0.5</v>
      </c>
      <c r="Z4" s="134">
        <f>+Dren_Quantificacao!Y5</f>
        <v>0.4</v>
      </c>
      <c r="AA4" s="134">
        <f>+Dren_Quantificacao!Z5</f>
        <v>0.5</v>
      </c>
      <c r="AB4" s="11"/>
      <c r="AC4" s="11"/>
      <c r="AD4" s="11"/>
      <c r="AE4" s="348"/>
      <c r="AF4" s="578">
        <f t="shared" ca="1" si="0"/>
        <v>9.9</v>
      </c>
      <c r="AJ4" s="133"/>
    </row>
    <row r="5" spans="1:67" ht="21.95" customHeight="1" thickBot="1" x14ac:dyDescent="0.2">
      <c r="A5" s="2627"/>
      <c r="B5" s="2524"/>
      <c r="C5" s="565" t="s">
        <v>914</v>
      </c>
      <c r="D5" s="997"/>
      <c r="E5" s="2231"/>
      <c r="F5" s="231" t="str">
        <f ca="1">Dren_Quantificacao!D9</f>
        <v>PS-1</v>
      </c>
      <c r="G5" s="231" t="str">
        <f>Dren_Quantificacao!E9</f>
        <v>PA-2</v>
      </c>
      <c r="H5" s="231" t="str">
        <f>Dren_Quantificacao!F9</f>
        <v>PA-2</v>
      </c>
      <c r="I5" s="231" t="str">
        <f ca="1">Dren_Quantificacao!G9</f>
        <v>PA-1</v>
      </c>
      <c r="J5" s="231" t="str">
        <f ca="1">Dren_Quantificacao!H9</f>
        <v>PA-1</v>
      </c>
      <c r="K5" s="231" t="str">
        <f ca="1">Dren_Quantificacao!I9</f>
        <v>PA-1</v>
      </c>
      <c r="L5" s="231">
        <f>Dren_Quantificacao!J9</f>
        <v>0</v>
      </c>
      <c r="M5" s="231">
        <f>Dren_Quantificacao!K9</f>
        <v>0</v>
      </c>
      <c r="N5" s="231">
        <f>Dren_Quantificacao!L9</f>
        <v>0</v>
      </c>
      <c r="O5" s="231">
        <f>Dren_Quantificacao!M9</f>
        <v>0</v>
      </c>
      <c r="P5" s="231" t="str">
        <f>Dren_Quantificacao!O9</f>
        <v>PS-1</v>
      </c>
      <c r="Q5" s="231" t="str">
        <f>Dren_Quantificacao!P9</f>
        <v>PS-1</v>
      </c>
      <c r="R5" s="231" t="str">
        <f>Dren_Quantificacao!Q9</f>
        <v>PS-1</v>
      </c>
      <c r="S5" s="231" t="str">
        <f>Dren_Quantificacao!R9</f>
        <v>PS-1</v>
      </c>
      <c r="T5" s="231" t="str">
        <f>Dren_Quantificacao!S9</f>
        <v>PS-1</v>
      </c>
      <c r="U5" s="231" t="str">
        <f>+Dren_Quantificacao!T9</f>
        <v>PS-1</v>
      </c>
      <c r="V5" s="231" t="str">
        <f>+Dren_Quantificacao!U9</f>
        <v>PEAD</v>
      </c>
      <c r="W5" s="231" t="str">
        <f>+Dren_Quantificacao!V9</f>
        <v>PEAD</v>
      </c>
      <c r="X5" s="231" t="str">
        <f>+Dren_Quantificacao!W9</f>
        <v>PEAD</v>
      </c>
      <c r="Y5" s="231" t="str">
        <f>+Dren_Quantificacao!X9</f>
        <v>PEAD</v>
      </c>
      <c r="Z5" s="231" t="str">
        <f>+Dren_Quantificacao!Y9</f>
        <v>PEAD</v>
      </c>
      <c r="AA5" s="231" t="str">
        <f>+Dren_Quantificacao!Z9</f>
        <v>PEAD</v>
      </c>
      <c r="AB5" s="232"/>
      <c r="AC5" s="232"/>
      <c r="AD5" s="232"/>
      <c r="AE5" s="796">
        <f ca="1">+COUNTA(F5:AA5)</f>
        <v>22</v>
      </c>
      <c r="AF5" s="578">
        <f t="shared" ca="1" si="0"/>
        <v>22</v>
      </c>
      <c r="AG5" s="2633" t="s">
        <v>1192</v>
      </c>
      <c r="AH5" s="2634"/>
      <c r="AI5" s="2634"/>
      <c r="AJ5" s="2634"/>
      <c r="AK5" s="2634"/>
      <c r="AL5" s="2634"/>
      <c r="AM5" s="2634"/>
      <c r="AN5" s="2634"/>
      <c r="AO5" s="2635"/>
      <c r="AP5" s="2633" t="s">
        <v>1193</v>
      </c>
      <c r="AQ5" s="2634"/>
      <c r="AR5" s="2634"/>
      <c r="AS5" s="2634"/>
      <c r="AT5" s="2634"/>
      <c r="AU5" s="2634"/>
      <c r="AV5" s="2634"/>
      <c r="AW5" s="2634"/>
      <c r="AX5" s="2635"/>
      <c r="AY5" s="2633" t="s">
        <v>1194</v>
      </c>
      <c r="AZ5" s="2634"/>
      <c r="BA5" s="2634"/>
      <c r="BB5" s="2634"/>
      <c r="BC5" s="2634"/>
      <c r="BD5" s="2634"/>
      <c r="BE5" s="2635"/>
      <c r="BF5" s="2631" t="s">
        <v>1195</v>
      </c>
      <c r="BG5" s="2633" t="s">
        <v>1182</v>
      </c>
      <c r="BH5" s="2634"/>
      <c r="BI5" s="2634"/>
      <c r="BJ5" s="2634"/>
      <c r="BK5" s="2634"/>
      <c r="BL5" s="2635"/>
      <c r="BM5" s="2631" t="s">
        <v>1206</v>
      </c>
      <c r="BN5" s="2631" t="s">
        <v>1196</v>
      </c>
    </row>
    <row r="6" spans="1:67" ht="21.95" hidden="1" customHeight="1" x14ac:dyDescent="0.15">
      <c r="A6" s="2627"/>
      <c r="B6" s="2620" t="s">
        <v>209</v>
      </c>
      <c r="C6" s="2629"/>
      <c r="D6" s="998"/>
      <c r="E6" s="2227"/>
      <c r="F6" s="235">
        <f ca="1">Dren_Quantificacao!D7</f>
        <v>0</v>
      </c>
      <c r="G6" s="235">
        <f ca="1">Dren_Quantificacao!E7</f>
        <v>0</v>
      </c>
      <c r="H6" s="235">
        <f ca="1">Dren_Quantificacao!F7</f>
        <v>0</v>
      </c>
      <c r="I6" s="235">
        <f ca="1">Dren_Quantificacao!G7</f>
        <v>0</v>
      </c>
      <c r="J6" s="235">
        <f ca="1">Dren_Quantificacao!H7</f>
        <v>0</v>
      </c>
      <c r="K6" s="235">
        <f ca="1">Dren_Quantificacao!I7</f>
        <v>0</v>
      </c>
      <c r="L6" s="235">
        <f>Dren_Quantificacao!J7</f>
        <v>0</v>
      </c>
      <c r="M6" s="235">
        <f>Dren_Quantificacao!K7</f>
        <v>0</v>
      </c>
      <c r="N6" s="235">
        <f>Dren_Quantificacao!L7</f>
        <v>0</v>
      </c>
      <c r="O6" s="235">
        <f>Dren_Quantificacao!M7</f>
        <v>0</v>
      </c>
      <c r="P6" s="235">
        <f>Dren_Quantificacao!O7</f>
        <v>0</v>
      </c>
      <c r="Q6" s="235">
        <f>Dren_Quantificacao!P7</f>
        <v>0</v>
      </c>
      <c r="R6" s="235">
        <f>Dren_Quantificacao!Q7</f>
        <v>0</v>
      </c>
      <c r="S6" s="235">
        <f>Dren_Quantificacao!R7</f>
        <v>0</v>
      </c>
      <c r="T6" s="235">
        <f>Dren_Quantificacao!S7</f>
        <v>0</v>
      </c>
      <c r="U6" s="235">
        <f>Dren_Quantificacao!T7</f>
        <v>0</v>
      </c>
      <c r="V6" s="235">
        <f>Dren_Quantificacao!U7</f>
        <v>0</v>
      </c>
      <c r="W6" s="235">
        <f>Dren_Quantificacao!V7</f>
        <v>0</v>
      </c>
      <c r="X6" s="235">
        <f>Dren_Quantificacao!W7</f>
        <v>0</v>
      </c>
      <c r="Y6" s="235">
        <f>Dren_Quantificacao!X7</f>
        <v>0</v>
      </c>
      <c r="Z6" s="235">
        <f>Dren_Quantificacao!Y7</f>
        <v>0</v>
      </c>
      <c r="AA6" s="235">
        <f>Dren_Quantificacao!Z7</f>
        <v>0</v>
      </c>
      <c r="AB6" s="236"/>
      <c r="AC6" s="236"/>
      <c r="AD6" s="236"/>
      <c r="AE6" s="355"/>
      <c r="AF6" s="578">
        <f t="shared" ca="1" si="0"/>
        <v>0</v>
      </c>
      <c r="AG6" s="1023" t="s">
        <v>1184</v>
      </c>
      <c r="AH6" s="1023" t="s">
        <v>1199</v>
      </c>
      <c r="AI6" s="1023" t="s">
        <v>1178</v>
      </c>
      <c r="AJ6" s="1023" t="s">
        <v>1179</v>
      </c>
      <c r="AK6" s="1023" t="s">
        <v>1180</v>
      </c>
      <c r="AL6" s="1023" t="s">
        <v>1186</v>
      </c>
      <c r="AM6" s="1023" t="s">
        <v>1185</v>
      </c>
      <c r="AN6" s="1023" t="s">
        <v>1183</v>
      </c>
      <c r="AO6" s="1023" t="s">
        <v>1181</v>
      </c>
      <c r="AP6" s="1023" t="s">
        <v>1184</v>
      </c>
      <c r="AQ6" s="1023" t="s">
        <v>1199</v>
      </c>
      <c r="AR6" s="1023" t="s">
        <v>1178</v>
      </c>
      <c r="AS6" s="1023" t="s">
        <v>1179</v>
      </c>
      <c r="AT6" s="1023" t="s">
        <v>1180</v>
      </c>
      <c r="AU6" s="1023" t="s">
        <v>1186</v>
      </c>
      <c r="AV6" s="1023" t="s">
        <v>1185</v>
      </c>
      <c r="AW6" s="1023" t="s">
        <v>1183</v>
      </c>
      <c r="AX6" s="1023" t="s">
        <v>1181</v>
      </c>
      <c r="AY6" s="1023" t="s">
        <v>1177</v>
      </c>
      <c r="AZ6" s="1023" t="s">
        <v>1199</v>
      </c>
      <c r="BA6" s="1023" t="s">
        <v>1178</v>
      </c>
      <c r="BB6" s="1023" t="s">
        <v>1179</v>
      </c>
      <c r="BC6" s="1023" t="s">
        <v>1180</v>
      </c>
      <c r="BD6" s="1023" t="s">
        <v>1181</v>
      </c>
      <c r="BE6" s="1023" t="s">
        <v>641</v>
      </c>
      <c r="BF6" s="2632"/>
      <c r="BG6" s="1032" t="s">
        <v>1197</v>
      </c>
      <c r="BH6" s="1032" t="s">
        <v>1191</v>
      </c>
      <c r="BI6" s="1032" t="s">
        <v>1189</v>
      </c>
      <c r="BJ6" s="1032" t="s">
        <v>1190</v>
      </c>
      <c r="BK6" s="1032" t="s">
        <v>1201</v>
      </c>
      <c r="BL6" s="1032" t="s">
        <v>1198</v>
      </c>
      <c r="BM6" s="2632"/>
      <c r="BN6" s="2632"/>
    </row>
    <row r="7" spans="1:67" ht="21.95" hidden="1" customHeight="1" thickBot="1" x14ac:dyDescent="0.2">
      <c r="A7" s="2627"/>
      <c r="B7" s="2623" t="s">
        <v>210</v>
      </c>
      <c r="C7" s="2630"/>
      <c r="D7" s="999"/>
      <c r="E7" s="2228"/>
      <c r="F7" s="233">
        <f ca="1">Dren_Quantificacao!D8</f>
        <v>0</v>
      </c>
      <c r="G7" s="233">
        <f ca="1">Dren_Quantificacao!E8</f>
        <v>0</v>
      </c>
      <c r="H7" s="233">
        <f ca="1">Dren_Quantificacao!F8</f>
        <v>0</v>
      </c>
      <c r="I7" s="233">
        <f ca="1">Dren_Quantificacao!G8</f>
        <v>0</v>
      </c>
      <c r="J7" s="233">
        <f ca="1">Dren_Quantificacao!H8</f>
        <v>0</v>
      </c>
      <c r="K7" s="233">
        <f ca="1">Dren_Quantificacao!I8</f>
        <v>0</v>
      </c>
      <c r="L7" s="233">
        <f>Dren_Quantificacao!J8</f>
        <v>0</v>
      </c>
      <c r="M7" s="233">
        <f>Dren_Quantificacao!K8</f>
        <v>0</v>
      </c>
      <c r="N7" s="233">
        <f>Dren_Quantificacao!L8</f>
        <v>0</v>
      </c>
      <c r="O7" s="233">
        <f>Dren_Quantificacao!M8</f>
        <v>0</v>
      </c>
      <c r="P7" s="233">
        <f>Dren_Quantificacao!O8</f>
        <v>0</v>
      </c>
      <c r="Q7" s="233">
        <f>Dren_Quantificacao!P8</f>
        <v>0</v>
      </c>
      <c r="R7" s="233">
        <f>Dren_Quantificacao!Q8</f>
        <v>0</v>
      </c>
      <c r="S7" s="233">
        <f>Dren_Quantificacao!R8</f>
        <v>0</v>
      </c>
      <c r="T7" s="233">
        <f>Dren_Quantificacao!S8</f>
        <v>0</v>
      </c>
      <c r="U7" s="233">
        <f>+Dren_Quantificacao!T8</f>
        <v>0</v>
      </c>
      <c r="V7" s="233">
        <f>+Dren_Quantificacao!U8</f>
        <v>0</v>
      </c>
      <c r="W7" s="233">
        <f>+Dren_Quantificacao!V8</f>
        <v>0</v>
      </c>
      <c r="X7" s="233">
        <f>+Dren_Quantificacao!W8</f>
        <v>0</v>
      </c>
      <c r="Y7" s="233">
        <f>+Dren_Quantificacao!X8</f>
        <v>0</v>
      </c>
      <c r="Z7" s="233">
        <f>+Dren_Quantificacao!Y8</f>
        <v>0</v>
      </c>
      <c r="AA7" s="233">
        <f>+Dren_Quantificacao!Z8</f>
        <v>0</v>
      </c>
      <c r="AB7" s="234"/>
      <c r="AC7" s="234"/>
      <c r="AD7" s="234"/>
      <c r="AE7" s="353"/>
      <c r="AF7" s="578">
        <f t="shared" ca="1" si="0"/>
        <v>0</v>
      </c>
      <c r="AG7" s="1024">
        <v>94968</v>
      </c>
      <c r="AH7" s="1024">
        <v>90279</v>
      </c>
      <c r="AI7" s="1024">
        <v>94963</v>
      </c>
      <c r="AJ7" s="1024">
        <v>94964</v>
      </c>
      <c r="AK7" s="1024">
        <v>94965</v>
      </c>
      <c r="AL7" s="1024">
        <v>100475</v>
      </c>
      <c r="AM7" s="1024">
        <v>88631</v>
      </c>
      <c r="AN7" s="1024">
        <v>87878</v>
      </c>
      <c r="AO7" s="1024">
        <v>73361</v>
      </c>
      <c r="AP7" s="1024">
        <v>94968</v>
      </c>
      <c r="AQ7" s="1024">
        <v>90279</v>
      </c>
      <c r="AR7" s="1024">
        <v>94963</v>
      </c>
      <c r="AS7" s="1024">
        <v>94964</v>
      </c>
      <c r="AT7" s="1024">
        <v>94965</v>
      </c>
      <c r="AU7" s="1024">
        <v>100475</v>
      </c>
      <c r="AV7" s="1024">
        <v>88631</v>
      </c>
      <c r="AW7" s="1024">
        <v>87878</v>
      </c>
      <c r="AX7" s="1024">
        <v>73361</v>
      </c>
      <c r="AY7" s="1024">
        <v>94968</v>
      </c>
      <c r="AZ7" s="1024">
        <v>90279</v>
      </c>
      <c r="BA7" s="1024">
        <v>94963</v>
      </c>
      <c r="BB7" s="1024">
        <v>94964</v>
      </c>
      <c r="BC7" s="1024">
        <v>94965</v>
      </c>
      <c r="BD7" s="1024">
        <v>87878</v>
      </c>
      <c r="BE7" s="1024">
        <v>100324</v>
      </c>
      <c r="BF7" s="2632"/>
      <c r="BG7" s="1024">
        <v>92411</v>
      </c>
      <c r="BH7" s="1024">
        <v>96536</v>
      </c>
      <c r="BI7" s="1024">
        <v>92431</v>
      </c>
      <c r="BJ7" s="1024">
        <v>92517</v>
      </c>
      <c r="BK7" s="1024">
        <v>92415</v>
      </c>
      <c r="BL7" s="1024">
        <v>73301</v>
      </c>
      <c r="BM7" s="2632"/>
      <c r="BN7" s="2632"/>
    </row>
    <row r="8" spans="1:67" ht="21.95" customHeight="1" thickBot="1" x14ac:dyDescent="0.2">
      <c r="A8" s="2627"/>
      <c r="B8" s="2529" t="s">
        <v>493</v>
      </c>
      <c r="C8" s="2530"/>
      <c r="D8" s="1000"/>
      <c r="E8" s="2229"/>
      <c r="F8" s="365">
        <f ca="1">MAX(Dre_Terraplenagem!F8:F9)-F4-F7</f>
        <v>1.5000000000000226</v>
      </c>
      <c r="G8" s="365">
        <f ca="1">MAX(Dre_Terraplenagem!G8:G9)-G4-G7</f>
        <v>1.484639999999922</v>
      </c>
      <c r="H8" s="365">
        <f ca="1">MAX(Dre_Terraplenagem!H8:H9)-H4-H7</f>
        <v>1.7472900000001572</v>
      </c>
      <c r="I8" s="365">
        <f ca="1">MAX(Dre_Terraplenagem!I8:I9)-I4-I7</f>
        <v>2.920580000000041</v>
      </c>
      <c r="J8" s="365">
        <f ca="1">MAX(Dre_Terraplenagem!J8:J9)-J4-J7</f>
        <v>2.920580000000041</v>
      </c>
      <c r="K8" s="365">
        <f ca="1">MAX(Dre_Terraplenagem!K8:K9)-K4-K7</f>
        <v>2.851870000000031</v>
      </c>
      <c r="L8" s="365">
        <f>MAX(Dre_Terraplenagem!L8:L9)-L4-L7</f>
        <v>0</v>
      </c>
      <c r="M8" s="365">
        <f>MAX(Dre_Terraplenagem!M8:M9)-M4-M7</f>
        <v>0</v>
      </c>
      <c r="N8" s="365">
        <f>MAX(Dre_Terraplenagem!N8:N9)-N4-N7</f>
        <v>0</v>
      </c>
      <c r="O8" s="365">
        <f>MAX(Dre_Terraplenagem!O8:O9)-O4-O7</f>
        <v>0</v>
      </c>
      <c r="P8" s="365">
        <f>Dren_Quantificacao!O12</f>
        <v>0.85</v>
      </c>
      <c r="Q8" s="365">
        <f>Dren_Quantificacao!P12</f>
        <v>0.85</v>
      </c>
      <c r="R8" s="365">
        <f>Dren_Quantificacao!Q12</f>
        <v>0.79999999999999993</v>
      </c>
      <c r="S8" s="365">
        <f>Dren_Quantificacao!R12</f>
        <v>0.79999999999999993</v>
      </c>
      <c r="T8" s="365">
        <f>Dren_Quantificacao!S12</f>
        <v>0.85</v>
      </c>
      <c r="U8" s="365">
        <f>+Dren_Quantificacao!T12</f>
        <v>0.79999999999999993</v>
      </c>
      <c r="V8" s="365">
        <f>+Dren_Quantificacao!U12</f>
        <v>0.85</v>
      </c>
      <c r="W8" s="365">
        <f>+Dren_Quantificacao!V12</f>
        <v>0.85</v>
      </c>
      <c r="X8" s="365">
        <f>+Dren_Quantificacao!W12</f>
        <v>0.89999999999999991</v>
      </c>
      <c r="Y8" s="365">
        <f>+Dren_Quantificacao!X12</f>
        <v>0.89999999999999991</v>
      </c>
      <c r="Z8" s="365">
        <f>+Dren_Quantificacao!Y12</f>
        <v>0.85</v>
      </c>
      <c r="AA8" s="365">
        <f>+Dren_Quantificacao!Z12</f>
        <v>0.89999999999999991</v>
      </c>
      <c r="AB8" s="356"/>
      <c r="AC8" s="356"/>
      <c r="AD8" s="356"/>
      <c r="AE8" s="357"/>
      <c r="AF8" s="578">
        <f t="shared" ca="1" si="0"/>
        <v>23.624960000000218</v>
      </c>
      <c r="AG8" s="1025">
        <v>213.45</v>
      </c>
      <c r="AH8" s="1025">
        <v>428.12360000000001</v>
      </c>
      <c r="AI8" s="1025">
        <v>273.06</v>
      </c>
      <c r="AJ8" s="1025">
        <v>322.98</v>
      </c>
      <c r="AK8" s="1025">
        <v>362.66</v>
      </c>
      <c r="AL8" s="1025">
        <v>486</v>
      </c>
      <c r="AM8" s="1025">
        <v>362.66</v>
      </c>
      <c r="AN8" s="1033">
        <v>422.63</v>
      </c>
      <c r="AO8" s="1025">
        <v>148.41399999999999</v>
      </c>
      <c r="AP8" s="1026">
        <v>0.83199999999999996</v>
      </c>
      <c r="AQ8" s="1026">
        <v>0.67369999999999997</v>
      </c>
      <c r="AR8" s="1026">
        <v>0.80500000000000005</v>
      </c>
      <c r="AS8" s="1026">
        <v>0.75580000000000003</v>
      </c>
      <c r="AT8" s="1026">
        <v>0.72299999999999998</v>
      </c>
      <c r="AU8" s="1025">
        <v>1.08</v>
      </c>
      <c r="AV8" s="1025">
        <v>1.1499999999999999</v>
      </c>
      <c r="AW8" s="1033">
        <v>0.94</v>
      </c>
      <c r="AX8" s="1026">
        <v>0.57889999999999997</v>
      </c>
      <c r="AY8" s="1034">
        <v>0.58199999999999996</v>
      </c>
      <c r="AZ8" s="1026">
        <v>0.67369999999999997</v>
      </c>
      <c r="BA8" s="1026">
        <v>0.57899999999999996</v>
      </c>
      <c r="BB8" s="1026">
        <v>0.58699999999999997</v>
      </c>
      <c r="BC8" s="1026">
        <v>0.59299999999999997</v>
      </c>
      <c r="BD8" s="1026">
        <v>0.9446</v>
      </c>
      <c r="BE8" s="1026">
        <v>1.1299999999999999</v>
      </c>
      <c r="BF8" s="2636"/>
      <c r="BG8" s="1035">
        <v>7.1000000000000004E-3</v>
      </c>
      <c r="BH8" s="1035">
        <v>1.21E-2</v>
      </c>
      <c r="BI8" s="1035">
        <v>5.7000000000000002E-3</v>
      </c>
      <c r="BJ8" s="1035">
        <v>4.4000000000000003E-3</v>
      </c>
      <c r="BK8" s="1035">
        <v>2.75E-2</v>
      </c>
      <c r="BL8" s="1035">
        <v>3.7000000000000002E-3</v>
      </c>
      <c r="BM8" s="1036">
        <f>8.7/1000</f>
        <v>8.6999999999999994E-3</v>
      </c>
      <c r="BN8" s="1036">
        <f>2.5/1000</f>
        <v>2.5000000000000001E-3</v>
      </c>
    </row>
    <row r="9" spans="1:67" ht="21.95" customHeight="1" thickBot="1" x14ac:dyDescent="0.2">
      <c r="A9" s="2627"/>
      <c r="B9" s="2622" t="s">
        <v>1082</v>
      </c>
      <c r="C9" s="2583"/>
      <c r="D9" s="999"/>
      <c r="E9" s="2228"/>
      <c r="F9" s="240">
        <f>Dre_Terraplenagem!F29</f>
        <v>1</v>
      </c>
      <c r="G9" s="240">
        <f>Dre_Terraplenagem!G29</f>
        <v>1</v>
      </c>
      <c r="H9" s="240">
        <f>Dre_Terraplenagem!H29</f>
        <v>1</v>
      </c>
      <c r="I9" s="240">
        <f>Dre_Terraplenagem!I29</f>
        <v>1</v>
      </c>
      <c r="J9" s="240">
        <f>Dre_Terraplenagem!J29</f>
        <v>1</v>
      </c>
      <c r="K9" s="240">
        <f>Dre_Terraplenagem!K29</f>
        <v>1</v>
      </c>
      <c r="L9" s="240">
        <f>Dre_Terraplenagem!L29</f>
        <v>1</v>
      </c>
      <c r="M9" s="240">
        <f>Dre_Terraplenagem!M29</f>
        <v>1</v>
      </c>
      <c r="N9" s="240">
        <f>Dre_Terraplenagem!N29</f>
        <v>1</v>
      </c>
      <c r="O9" s="240">
        <f>Dre_Terraplenagem!O29</f>
        <v>1</v>
      </c>
      <c r="P9" s="235"/>
      <c r="Q9" s="240">
        <f>Dre_Terraplenagem!Q29</f>
        <v>1</v>
      </c>
      <c r="R9" s="235"/>
      <c r="S9" s="240">
        <f>Dre_Terraplenagem!S29</f>
        <v>1</v>
      </c>
      <c r="T9" s="235"/>
      <c r="U9" s="235"/>
      <c r="V9" s="235"/>
      <c r="W9" s="235"/>
      <c r="X9" s="235"/>
      <c r="Y9" s="235"/>
      <c r="Z9" s="235"/>
      <c r="AA9" s="235"/>
      <c r="AB9" s="236"/>
      <c r="AC9" s="236"/>
      <c r="AD9" s="236"/>
      <c r="AE9" s="355"/>
      <c r="AF9" s="578">
        <f t="shared" si="0"/>
        <v>12</v>
      </c>
      <c r="AG9" s="1046"/>
      <c r="AH9" s="1037"/>
      <c r="AI9" s="1037"/>
      <c r="AJ9" s="1037"/>
      <c r="AK9" s="1037"/>
      <c r="AL9" s="1037"/>
      <c r="AM9" s="1037"/>
      <c r="AN9" s="1037"/>
      <c r="AO9" s="1038"/>
      <c r="AP9" s="1037"/>
      <c r="AQ9" s="1037"/>
      <c r="AR9" s="1037"/>
      <c r="AS9" s="1037"/>
      <c r="AT9" s="1037"/>
      <c r="AU9" s="1037"/>
      <c r="AV9" s="1037"/>
      <c r="AW9" s="1037"/>
      <c r="AX9" s="1039"/>
      <c r="AY9" s="1037"/>
      <c r="AZ9" s="1037"/>
      <c r="BA9" s="1037"/>
      <c r="BB9" s="1037"/>
      <c r="BC9" s="1037"/>
      <c r="BD9" s="1037"/>
      <c r="BE9" s="1038"/>
      <c r="BF9" s="1039"/>
      <c r="BG9" s="1037"/>
      <c r="BH9" s="1037"/>
      <c r="BI9" s="1037"/>
      <c r="BJ9" s="1037"/>
      <c r="BK9" s="1037"/>
      <c r="BL9" s="1039"/>
      <c r="BM9" s="1040"/>
      <c r="BN9" s="1037"/>
      <c r="BO9" s="972"/>
    </row>
    <row r="10" spans="1:67" ht="21.95" customHeight="1" x14ac:dyDescent="0.15">
      <c r="A10" s="2627"/>
      <c r="B10" s="2522" t="s">
        <v>1114</v>
      </c>
      <c r="C10" s="549" t="s">
        <v>1116</v>
      </c>
      <c r="D10" s="1001"/>
      <c r="E10" s="2230"/>
      <c r="F10" s="238">
        <f>Dren_Quantificacao!D144+Dren_Quantificacao!D147</f>
        <v>0</v>
      </c>
      <c r="G10" s="238">
        <f>Dren_Quantificacao!E144+Dren_Quantificacao!E147</f>
        <v>7</v>
      </c>
      <c r="H10" s="238">
        <f>Dren_Quantificacao!F144+Dren_Quantificacao!F147</f>
        <v>29</v>
      </c>
      <c r="I10" s="238">
        <f>Dren_Quantificacao!G144+Dren_Quantificacao!G147</f>
        <v>3</v>
      </c>
      <c r="J10" s="238">
        <f>Dren_Quantificacao!H144+Dren_Quantificacao!H147</f>
        <v>3</v>
      </c>
      <c r="K10" s="238">
        <f>Dren_Quantificacao!I144+Dren_Quantificacao!I147</f>
        <v>3</v>
      </c>
      <c r="L10" s="238">
        <f>Dren_Quantificacao!J144+Dren_Quantificacao!J147</f>
        <v>52</v>
      </c>
      <c r="M10" s="238">
        <f>Dren_Quantificacao!K144+Dren_Quantificacao!K147</f>
        <v>8</v>
      </c>
      <c r="N10" s="238">
        <f>Dren_Quantificacao!L144+Dren_Quantificacao!L147</f>
        <v>97</v>
      </c>
      <c r="O10" s="238">
        <f>Dren_Quantificacao!M144+Dren_Quantificacao!M147</f>
        <v>14</v>
      </c>
      <c r="P10" s="241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362">
        <f t="shared" ref="AE10:AE41" si="1">ROUND(SUM(F10:AD10),2)</f>
        <v>216</v>
      </c>
      <c r="AF10" s="578">
        <f t="shared" si="0"/>
        <v>432</v>
      </c>
      <c r="AG10" s="1046"/>
      <c r="AH10" s="1037"/>
      <c r="AI10" s="1037"/>
      <c r="AJ10" s="1037"/>
      <c r="AK10" s="1037"/>
      <c r="AL10" s="1037">
        <v>2E-3</v>
      </c>
      <c r="AM10" s="1037"/>
      <c r="AN10" s="1037"/>
      <c r="AO10" s="1039"/>
      <c r="AP10" s="1037"/>
      <c r="AQ10" s="1037"/>
      <c r="AR10" s="1037"/>
      <c r="AS10" s="1037"/>
      <c r="AT10" s="1037"/>
      <c r="AU10" s="1037">
        <v>2E-3</v>
      </c>
      <c r="AV10" s="1037"/>
      <c r="AW10" s="1037"/>
      <c r="AX10" s="1039"/>
      <c r="AY10" s="1037"/>
      <c r="AZ10" s="1037"/>
      <c r="BA10" s="1037"/>
      <c r="BB10" s="1037"/>
      <c r="BC10" s="1037"/>
      <c r="BD10" s="1037"/>
      <c r="BE10" s="1039"/>
      <c r="BF10" s="1039"/>
      <c r="BG10" s="1037"/>
      <c r="BH10" s="1037"/>
      <c r="BI10" s="1037"/>
      <c r="BJ10" s="1037"/>
      <c r="BK10" s="1037"/>
      <c r="BL10" s="1039"/>
      <c r="BM10" s="1040"/>
      <c r="BN10" s="1037"/>
      <c r="BO10" s="972"/>
    </row>
    <row r="11" spans="1:67" ht="21.95" customHeight="1" x14ac:dyDescent="0.15">
      <c r="A11" s="2627"/>
      <c r="B11" s="2523"/>
      <c r="C11" s="566" t="s">
        <v>630</v>
      </c>
      <c r="D11" s="1002"/>
      <c r="E11" s="1286"/>
      <c r="F11" s="158">
        <f>Dren_Quantificacao!D146+Dren_Quantificacao!D148</f>
        <v>25</v>
      </c>
      <c r="G11" s="158">
        <f>Dren_Quantificacao!E146+Dren_Quantificacao!E148</f>
        <v>0</v>
      </c>
      <c r="H11" s="158">
        <f>Dren_Quantificacao!F146+Dren_Quantificacao!F148</f>
        <v>4</v>
      </c>
      <c r="I11" s="158">
        <f>Dren_Quantificacao!G146+Dren_Quantificacao!G148</f>
        <v>0</v>
      </c>
      <c r="J11" s="158">
        <f>Dren_Quantificacao!H146+Dren_Quantificacao!H148</f>
        <v>0</v>
      </c>
      <c r="K11" s="158">
        <f>Dren_Quantificacao!I146+Dren_Quantificacao!I148</f>
        <v>0</v>
      </c>
      <c r="L11" s="158">
        <f>Dren_Quantificacao!J146+Dren_Quantificacao!J148</f>
        <v>10</v>
      </c>
      <c r="M11" s="158">
        <f>Dren_Quantificacao!K146+Dren_Quantificacao!K148</f>
        <v>7</v>
      </c>
      <c r="N11" s="158">
        <f>Dren_Quantificacao!L146+Dren_Quantificacao!L148</f>
        <v>11</v>
      </c>
      <c r="O11" s="158">
        <f>Dren_Quantificacao!M146+Dren_Quantificacao!M148</f>
        <v>0</v>
      </c>
      <c r="P11" s="159"/>
      <c r="Q11" s="159"/>
      <c r="R11" s="159"/>
      <c r="S11" s="159"/>
      <c r="T11" s="159"/>
      <c r="U11" s="159"/>
      <c r="V11" s="159"/>
      <c r="W11" s="159"/>
      <c r="X11" s="159"/>
      <c r="Y11" s="159"/>
      <c r="Z11" s="159"/>
      <c r="AA11" s="159"/>
      <c r="AB11" s="159"/>
      <c r="AC11" s="159"/>
      <c r="AD11" s="159"/>
      <c r="AE11" s="350">
        <f t="shared" si="1"/>
        <v>57</v>
      </c>
      <c r="AF11" s="578">
        <f t="shared" si="0"/>
        <v>114</v>
      </c>
      <c r="AG11" s="1046"/>
      <c r="AH11" s="1037"/>
      <c r="AI11" s="1037"/>
      <c r="AJ11" s="1037"/>
      <c r="AK11" s="1037"/>
      <c r="AL11" s="1037">
        <v>5.0000000000000001E-3</v>
      </c>
      <c r="AM11" s="1037"/>
      <c r="AN11" s="1037"/>
      <c r="AO11" s="1039"/>
      <c r="AP11" s="1037"/>
      <c r="AQ11" s="1037"/>
      <c r="AR11" s="1037"/>
      <c r="AS11" s="1037"/>
      <c r="AT11" s="1037"/>
      <c r="AU11" s="1037">
        <v>5.0000000000000001E-3</v>
      </c>
      <c r="AV11" s="1037"/>
      <c r="AW11" s="1037"/>
      <c r="AX11" s="1039"/>
      <c r="AY11" s="1037"/>
      <c r="AZ11" s="1037"/>
      <c r="BA11" s="1037"/>
      <c r="BB11" s="1037"/>
      <c r="BC11" s="1037"/>
      <c r="BD11" s="1037"/>
      <c r="BE11" s="1039"/>
      <c r="BF11" s="1039"/>
      <c r="BG11" s="1037"/>
      <c r="BH11" s="1037"/>
      <c r="BI11" s="1037"/>
      <c r="BJ11" s="1037"/>
      <c r="BK11" s="1037"/>
      <c r="BL11" s="1039"/>
      <c r="BM11" s="1040"/>
      <c r="BN11" s="1037"/>
      <c r="BO11" s="972"/>
    </row>
    <row r="12" spans="1:67" ht="21.95" customHeight="1" thickBot="1" x14ac:dyDescent="0.2">
      <c r="A12" s="2627"/>
      <c r="B12" s="2524"/>
      <c r="C12" s="565">
        <v>0.6</v>
      </c>
      <c r="D12" s="1003"/>
      <c r="E12" s="2231"/>
      <c r="F12" s="239">
        <f t="shared" ref="F12" ca="1" si="2">IF(F$4&lt;&gt;$C12,0,IF(AND(F$5="PS-1",F9=1),F2*F3,0))</f>
        <v>45.04</v>
      </c>
      <c r="G12" s="239">
        <f t="shared" ref="G12" ca="1" si="3">IF(G$4&lt;&gt;$C12,0,IF(AND(G$5="PS-1",G9=1),G2*G3,0))</f>
        <v>0</v>
      </c>
      <c r="H12" s="239">
        <f t="shared" ref="H12:M12" ca="1" si="4">IF(H$4&lt;&gt;$C12,0,IF(AND(H$5="PS-1",H9=1),H2*H3,0))</f>
        <v>0</v>
      </c>
      <c r="I12" s="239">
        <f t="shared" ca="1" si="4"/>
        <v>0</v>
      </c>
      <c r="J12" s="239">
        <f t="shared" ca="1" si="4"/>
        <v>0</v>
      </c>
      <c r="K12" s="239">
        <f t="shared" ca="1" si="4"/>
        <v>0</v>
      </c>
      <c r="L12" s="239">
        <f t="shared" si="4"/>
        <v>0</v>
      </c>
      <c r="M12" s="239">
        <f t="shared" si="4"/>
        <v>0</v>
      </c>
      <c r="N12" s="239">
        <f t="shared" ref="N12:O12" si="5">IF(N$4&lt;&gt;$C12,0,IF(AND(N$5="PS-1",N9=1),N2*N3,0))</f>
        <v>0</v>
      </c>
      <c r="O12" s="239">
        <f t="shared" si="5"/>
        <v>0</v>
      </c>
      <c r="P12" s="237"/>
      <c r="Q12" s="237"/>
      <c r="R12" s="237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361">
        <f t="shared" ca="1" si="1"/>
        <v>45.04</v>
      </c>
      <c r="AF12" s="578">
        <f t="shared" ca="1" si="0"/>
        <v>90.08</v>
      </c>
      <c r="AG12" s="1046"/>
      <c r="AH12" s="1037"/>
      <c r="AI12" s="1037"/>
      <c r="AJ12" s="1037"/>
      <c r="AK12" s="1037"/>
      <c r="AL12" s="1037">
        <v>5.0000000000000001E-3</v>
      </c>
      <c r="AM12" s="1037"/>
      <c r="AN12" s="1037"/>
      <c r="AO12" s="1039"/>
      <c r="AP12" s="1037"/>
      <c r="AQ12" s="1037"/>
      <c r="AR12" s="1037"/>
      <c r="AS12" s="1037"/>
      <c r="AT12" s="1037"/>
      <c r="AU12" s="1037">
        <v>5.0000000000000001E-3</v>
      </c>
      <c r="AV12" s="1037"/>
      <c r="AW12" s="1037"/>
      <c r="AX12" s="1039"/>
      <c r="AY12" s="1037"/>
      <c r="AZ12" s="1037"/>
      <c r="BA12" s="1037"/>
      <c r="BB12" s="1037"/>
      <c r="BC12" s="1037"/>
      <c r="BD12" s="1037"/>
      <c r="BE12" s="1039"/>
      <c r="BF12" s="1039"/>
      <c r="BG12" s="1037"/>
      <c r="BH12" s="1037"/>
      <c r="BI12" s="1037"/>
      <c r="BJ12" s="1037"/>
      <c r="BK12" s="1037"/>
      <c r="BL12" s="1039"/>
      <c r="BM12" s="1040"/>
      <c r="BN12" s="1037"/>
      <c r="BO12" s="972"/>
    </row>
    <row r="13" spans="1:67" ht="21.95" hidden="1" customHeight="1" x14ac:dyDescent="0.15">
      <c r="A13" s="2627"/>
      <c r="B13" s="2522" t="s">
        <v>1115</v>
      </c>
      <c r="C13" s="549">
        <v>0.4</v>
      </c>
      <c r="D13" s="1002"/>
      <c r="E13" s="1286"/>
      <c r="F13" s="238">
        <f>Dren_Quantificacao!D143</f>
        <v>0</v>
      </c>
      <c r="G13" s="238">
        <f>Dren_Quantificacao!E143</f>
        <v>0</v>
      </c>
      <c r="H13" s="238">
        <f>Dren_Quantificacao!F143</f>
        <v>0</v>
      </c>
      <c r="I13" s="238">
        <f>Dren_Quantificacao!G143</f>
        <v>0</v>
      </c>
      <c r="J13" s="238">
        <f>Dren_Quantificacao!H143</f>
        <v>0</v>
      </c>
      <c r="K13" s="238">
        <f>Dren_Quantificacao!I143</f>
        <v>0</v>
      </c>
      <c r="L13" s="238">
        <f>Dren_Quantificacao!J143</f>
        <v>0</v>
      </c>
      <c r="M13" s="238">
        <f>Dren_Quantificacao!K143</f>
        <v>0</v>
      </c>
      <c r="N13" s="238">
        <f>Dren_Quantificacao!L143</f>
        <v>0</v>
      </c>
      <c r="O13" s="238">
        <f>Dren_Quantificacao!M143</f>
        <v>0</v>
      </c>
      <c r="P13" s="241"/>
      <c r="Q13" s="159"/>
      <c r="R13" s="241"/>
      <c r="S13" s="159"/>
      <c r="T13" s="159"/>
      <c r="U13" s="159"/>
      <c r="V13" s="159"/>
      <c r="W13" s="159"/>
      <c r="X13" s="159"/>
      <c r="Y13" s="159"/>
      <c r="Z13" s="159"/>
      <c r="AA13" s="159"/>
      <c r="AB13" s="159"/>
      <c r="AC13" s="159"/>
      <c r="AD13" s="159"/>
      <c r="AE13" s="362">
        <f t="shared" si="1"/>
        <v>0</v>
      </c>
      <c r="AF13" s="578">
        <f t="shared" si="0"/>
        <v>0</v>
      </c>
      <c r="AG13" s="1046"/>
      <c r="AH13" s="1037"/>
      <c r="AI13" s="1037"/>
      <c r="AJ13" s="1037"/>
      <c r="AK13" s="1037"/>
      <c r="AL13" s="1037">
        <v>2E-3</v>
      </c>
      <c r="AM13" s="1037"/>
      <c r="AN13" s="1037"/>
      <c r="AO13" s="1039"/>
      <c r="AP13" s="1037"/>
      <c r="AQ13" s="1037"/>
      <c r="AR13" s="1037"/>
      <c r="AS13" s="1037"/>
      <c r="AT13" s="1037"/>
      <c r="AU13" s="1037">
        <v>2E-3</v>
      </c>
      <c r="AV13" s="1037"/>
      <c r="AW13" s="1037"/>
      <c r="AX13" s="1039"/>
      <c r="AY13" s="1037"/>
      <c r="AZ13" s="1037"/>
      <c r="BA13" s="1037"/>
      <c r="BB13" s="1037"/>
      <c r="BC13" s="1037"/>
      <c r="BD13" s="1037"/>
      <c r="BE13" s="1039"/>
      <c r="BF13" s="1039"/>
      <c r="BG13" s="1037"/>
      <c r="BH13" s="1037"/>
      <c r="BI13" s="1037"/>
      <c r="BJ13" s="1037"/>
      <c r="BK13" s="1037"/>
      <c r="BL13" s="1039"/>
      <c r="BM13" s="1040"/>
      <c r="BN13" s="1037"/>
      <c r="BO13" s="972"/>
    </row>
    <row r="14" spans="1:67" ht="21.95" hidden="1" customHeight="1" x14ac:dyDescent="0.15">
      <c r="A14" s="2627"/>
      <c r="B14" s="2523"/>
      <c r="C14" s="566" t="s">
        <v>630</v>
      </c>
      <c r="D14" s="1002"/>
      <c r="E14" s="1286"/>
      <c r="F14" s="158">
        <f>Dren_Quantificacao!D145</f>
        <v>0</v>
      </c>
      <c r="G14" s="158">
        <f>Dren_Quantificacao!E145</f>
        <v>0</v>
      </c>
      <c r="H14" s="158">
        <f>Dren_Quantificacao!F145</f>
        <v>0</v>
      </c>
      <c r="I14" s="158">
        <f>Dren_Quantificacao!G145</f>
        <v>0</v>
      </c>
      <c r="J14" s="158">
        <f>Dren_Quantificacao!H145</f>
        <v>0</v>
      </c>
      <c r="K14" s="158">
        <f>Dren_Quantificacao!I145</f>
        <v>0</v>
      </c>
      <c r="L14" s="158">
        <f>Dren_Quantificacao!J145</f>
        <v>0</v>
      </c>
      <c r="M14" s="158">
        <f>Dren_Quantificacao!K145</f>
        <v>0</v>
      </c>
      <c r="N14" s="158">
        <f>Dren_Quantificacao!L145</f>
        <v>0</v>
      </c>
      <c r="O14" s="158">
        <f>Dren_Quantificacao!M145</f>
        <v>0</v>
      </c>
      <c r="P14" s="159"/>
      <c r="Q14" s="159"/>
      <c r="R14" s="159"/>
      <c r="S14" s="159"/>
      <c r="T14" s="159"/>
      <c r="U14" s="159"/>
      <c r="V14" s="159"/>
      <c r="W14" s="159"/>
      <c r="X14" s="159"/>
      <c r="Y14" s="159"/>
      <c r="Z14" s="159"/>
      <c r="AA14" s="159"/>
      <c r="AB14" s="159"/>
      <c r="AC14" s="159"/>
      <c r="AD14" s="159"/>
      <c r="AE14" s="350">
        <f t="shared" si="1"/>
        <v>0</v>
      </c>
      <c r="AF14" s="578">
        <f t="shared" si="0"/>
        <v>0</v>
      </c>
      <c r="AG14" s="1046"/>
      <c r="AH14" s="1037"/>
      <c r="AI14" s="1037"/>
      <c r="AJ14" s="1037"/>
      <c r="AK14" s="1037"/>
      <c r="AL14" s="1037">
        <v>5.0000000000000001E-3</v>
      </c>
      <c r="AM14" s="1037"/>
      <c r="AN14" s="1037"/>
      <c r="AO14" s="1039"/>
      <c r="AP14" s="1037"/>
      <c r="AQ14" s="1037"/>
      <c r="AR14" s="1037"/>
      <c r="AS14" s="1037"/>
      <c r="AT14" s="1037"/>
      <c r="AU14" s="1037">
        <v>5.0000000000000001E-3</v>
      </c>
      <c r="AV14" s="1037"/>
      <c r="AW14" s="1037"/>
      <c r="AX14" s="1039"/>
      <c r="AY14" s="1037"/>
      <c r="AZ14" s="1037"/>
      <c r="BA14" s="1037"/>
      <c r="BB14" s="1037"/>
      <c r="BC14" s="1037"/>
      <c r="BD14" s="1037"/>
      <c r="BE14" s="1039"/>
      <c r="BF14" s="1039"/>
      <c r="BG14" s="1037"/>
      <c r="BH14" s="1037"/>
      <c r="BI14" s="1037"/>
      <c r="BJ14" s="1037"/>
      <c r="BK14" s="1037"/>
      <c r="BL14" s="1039"/>
      <c r="BM14" s="1040"/>
      <c r="BN14" s="1037"/>
      <c r="BO14" s="972"/>
    </row>
    <row r="15" spans="1:67" ht="21.95" hidden="1" customHeight="1" thickBot="1" x14ac:dyDescent="0.2">
      <c r="A15" s="2627"/>
      <c r="B15" s="2524"/>
      <c r="C15" s="565">
        <v>0.6</v>
      </c>
      <c r="D15" s="1002"/>
      <c r="E15" s="1286"/>
      <c r="F15" s="158">
        <f t="shared" ref="F15" ca="1" si="6">IF(F$4&lt;&gt;$C15,0,IF(AND(F$5="PS-1",F9=2),F2*F3,0))</f>
        <v>0</v>
      </c>
      <c r="G15" s="158">
        <f t="shared" ref="G15" ca="1" si="7">IF(G$4&lt;&gt;$C15,0,IF(AND(G$5="PS-1",G9=2),G2*G3,0))</f>
        <v>0</v>
      </c>
      <c r="H15" s="158">
        <f t="shared" ref="H15:M15" ca="1" si="8">IF(H$4&lt;&gt;$C15,0,IF(AND(H$5="PS-1",H9=2),H2*H3,0))</f>
        <v>0</v>
      </c>
      <c r="I15" s="158">
        <f t="shared" ca="1" si="8"/>
        <v>0</v>
      </c>
      <c r="J15" s="158">
        <f t="shared" ca="1" si="8"/>
        <v>0</v>
      </c>
      <c r="K15" s="158">
        <f t="shared" ca="1" si="8"/>
        <v>0</v>
      </c>
      <c r="L15" s="158">
        <f t="shared" si="8"/>
        <v>0</v>
      </c>
      <c r="M15" s="158">
        <f t="shared" si="8"/>
        <v>0</v>
      </c>
      <c r="N15" s="158">
        <f t="shared" ref="N15:O15" si="9">IF(N$4&lt;&gt;$C15,0,IF(AND(N$5="PS-1",N9=2),N2*N3,0))</f>
        <v>0</v>
      </c>
      <c r="O15" s="158">
        <f t="shared" si="9"/>
        <v>0</v>
      </c>
      <c r="P15" s="159"/>
      <c r="Q15" s="159"/>
      <c r="R15" s="159"/>
      <c r="S15" s="159"/>
      <c r="T15" s="159"/>
      <c r="U15" s="159"/>
      <c r="V15" s="159"/>
      <c r="W15" s="159"/>
      <c r="X15" s="159"/>
      <c r="Y15" s="159"/>
      <c r="Z15" s="159"/>
      <c r="AA15" s="159"/>
      <c r="AB15" s="159"/>
      <c r="AC15" s="159"/>
      <c r="AD15" s="159"/>
      <c r="AE15" s="361">
        <f t="shared" ca="1" si="1"/>
        <v>0</v>
      </c>
      <c r="AF15" s="578">
        <f t="shared" ca="1" si="0"/>
        <v>0</v>
      </c>
      <c r="AG15" s="1046"/>
      <c r="AH15" s="1037"/>
      <c r="AI15" s="1037"/>
      <c r="AJ15" s="1037"/>
      <c r="AK15" s="1037"/>
      <c r="AL15" s="1037">
        <v>5.0000000000000001E-3</v>
      </c>
      <c r="AM15" s="1037"/>
      <c r="AN15" s="1037"/>
      <c r="AO15" s="1039"/>
      <c r="AP15" s="1037"/>
      <c r="AQ15" s="1037"/>
      <c r="AR15" s="1037"/>
      <c r="AS15" s="1037"/>
      <c r="AT15" s="1037"/>
      <c r="AU15" s="1037">
        <v>5.0000000000000001E-3</v>
      </c>
      <c r="AV15" s="1037"/>
      <c r="AW15" s="1037"/>
      <c r="AX15" s="1039"/>
      <c r="AY15" s="1037"/>
      <c r="AZ15" s="1037"/>
      <c r="BA15" s="1037"/>
      <c r="BB15" s="1037"/>
      <c r="BC15" s="1037"/>
      <c r="BD15" s="1037"/>
      <c r="BE15" s="1039"/>
      <c r="BF15" s="1039"/>
      <c r="BG15" s="1037"/>
      <c r="BH15" s="1037"/>
      <c r="BI15" s="1037"/>
      <c r="BJ15" s="1037"/>
      <c r="BK15" s="1037"/>
      <c r="BL15" s="1039"/>
      <c r="BM15" s="1040"/>
      <c r="BN15" s="1037"/>
      <c r="BO15" s="972"/>
    </row>
    <row r="16" spans="1:67" ht="21.95" hidden="1" customHeight="1" thickBot="1" x14ac:dyDescent="0.2">
      <c r="A16" s="2627"/>
      <c r="B16" s="2375"/>
      <c r="C16" s="957">
        <v>0.6</v>
      </c>
      <c r="D16" s="1004"/>
      <c r="E16" s="2235"/>
      <c r="F16" s="238">
        <f t="shared" ref="F16" ca="1" si="10">IF(F$4&lt;&gt;$C16,0,IF(AND(F$5="PA-1",F9=1),F2*F3,0))</f>
        <v>0</v>
      </c>
      <c r="G16" s="238">
        <f t="shared" ref="G16" ca="1" si="11">IF(G$4&lt;&gt;$C16,0,IF(AND(G$5="PA-1",G9=1),G2*G3,0))</f>
        <v>0</v>
      </c>
      <c r="H16" s="238">
        <f t="shared" ref="H16:M16" ca="1" si="12">IF(H$4&lt;&gt;$C16,0,IF(AND(H$5="PA-1",H9=1),H2*H3,0))</f>
        <v>0</v>
      </c>
      <c r="I16" s="238">
        <f t="shared" ca="1" si="12"/>
        <v>0</v>
      </c>
      <c r="J16" s="238">
        <f t="shared" ca="1" si="12"/>
        <v>0</v>
      </c>
      <c r="K16" s="238">
        <f t="shared" ca="1" si="12"/>
        <v>0</v>
      </c>
      <c r="L16" s="238">
        <f t="shared" si="12"/>
        <v>0</v>
      </c>
      <c r="M16" s="238">
        <f t="shared" si="12"/>
        <v>0</v>
      </c>
      <c r="N16" s="238">
        <f t="shared" ref="N16:O16" si="13">IF(N$4&lt;&gt;$C16,0,IF(AND(N$5="PA-1",N9=1),N2*N3,0))</f>
        <v>0</v>
      </c>
      <c r="O16" s="238">
        <f t="shared" si="13"/>
        <v>0</v>
      </c>
      <c r="P16" s="241"/>
      <c r="Q16" s="241"/>
      <c r="R16" s="241"/>
      <c r="S16" s="241"/>
      <c r="T16" s="241"/>
      <c r="U16" s="241"/>
      <c r="V16" s="241"/>
      <c r="W16" s="241"/>
      <c r="X16" s="241"/>
      <c r="Y16" s="241"/>
      <c r="Z16" s="241"/>
      <c r="AA16" s="241"/>
      <c r="AB16" s="241"/>
      <c r="AC16" s="241"/>
      <c r="AD16" s="241"/>
      <c r="AE16" s="362">
        <f t="shared" ca="1" si="1"/>
        <v>0</v>
      </c>
      <c r="AF16" s="578">
        <f t="shared" ca="1" si="0"/>
        <v>0</v>
      </c>
      <c r="AG16" s="1046"/>
      <c r="AH16" s="1037"/>
      <c r="AI16" s="1037"/>
      <c r="AJ16" s="1037"/>
      <c r="AK16" s="1037"/>
      <c r="AL16" s="1037">
        <v>5.0000000000000001E-3</v>
      </c>
      <c r="AM16" s="1037"/>
      <c r="AN16" s="1037"/>
      <c r="AO16" s="1039"/>
      <c r="AP16" s="1037"/>
      <c r="AQ16" s="1037"/>
      <c r="AR16" s="1037"/>
      <c r="AS16" s="1037"/>
      <c r="AT16" s="1037"/>
      <c r="AU16" s="1037">
        <v>5.0000000000000001E-3</v>
      </c>
      <c r="AV16" s="1037"/>
      <c r="AW16" s="1037"/>
      <c r="AX16" s="1039"/>
      <c r="AY16" s="1037"/>
      <c r="AZ16" s="1037"/>
      <c r="BA16" s="1037"/>
      <c r="BB16" s="1037"/>
      <c r="BC16" s="1037"/>
      <c r="BD16" s="1037"/>
      <c r="BE16" s="1039"/>
      <c r="BF16" s="1039"/>
      <c r="BG16" s="1037"/>
      <c r="BH16" s="1037"/>
      <c r="BI16" s="1037"/>
      <c r="BJ16" s="1037"/>
      <c r="BK16" s="1037"/>
      <c r="BL16" s="1039"/>
      <c r="BM16" s="1040"/>
      <c r="BN16" s="1037"/>
      <c r="BO16" s="972"/>
    </row>
    <row r="17" spans="1:67" ht="60" customHeight="1" thickBot="1" x14ac:dyDescent="0.2">
      <c r="A17" s="2627"/>
      <c r="B17" s="2391" t="s">
        <v>1171</v>
      </c>
      <c r="C17" s="2372">
        <v>0.8</v>
      </c>
      <c r="D17" s="1005"/>
      <c r="E17" s="2236"/>
      <c r="F17" s="158">
        <f t="shared" ref="F17:O20" ca="1" si="14">IF(F$4&lt;&gt;$C17,0,IF(AND(F$5="PA-1",F$9=1),F$2*F$3,0))</f>
        <v>0</v>
      </c>
      <c r="G17" s="158">
        <f t="shared" ca="1" si="14"/>
        <v>0</v>
      </c>
      <c r="H17" s="158">
        <f t="shared" ca="1" si="14"/>
        <v>0</v>
      </c>
      <c r="I17" s="158">
        <f t="shared" ca="1" si="14"/>
        <v>60.43</v>
      </c>
      <c r="J17" s="158">
        <f t="shared" ca="1" si="14"/>
        <v>60.43</v>
      </c>
      <c r="K17" s="158">
        <f t="shared" ca="1" si="14"/>
        <v>60.44</v>
      </c>
      <c r="L17" s="158">
        <f t="shared" si="14"/>
        <v>0</v>
      </c>
      <c r="M17" s="158">
        <f t="shared" si="14"/>
        <v>0</v>
      </c>
      <c r="N17" s="158">
        <f t="shared" si="14"/>
        <v>0</v>
      </c>
      <c r="O17" s="158">
        <f t="shared" si="14"/>
        <v>0</v>
      </c>
      <c r="P17" s="159"/>
      <c r="Q17" s="159"/>
      <c r="R17" s="159"/>
      <c r="S17" s="159"/>
      <c r="T17" s="237"/>
      <c r="U17" s="237"/>
      <c r="V17" s="237"/>
      <c r="W17" s="159"/>
      <c r="X17" s="159"/>
      <c r="Y17" s="237"/>
      <c r="Z17" s="159"/>
      <c r="AA17" s="159"/>
      <c r="AB17" s="159"/>
      <c r="AC17" s="159"/>
      <c r="AD17" s="159"/>
      <c r="AE17" s="350">
        <f t="shared" ca="1" si="1"/>
        <v>181.3</v>
      </c>
      <c r="AF17" s="578">
        <f t="shared" ca="1" si="0"/>
        <v>362.6</v>
      </c>
      <c r="AG17" s="1046"/>
      <c r="AH17" s="1037"/>
      <c r="AI17" s="1037"/>
      <c r="AJ17" s="1037"/>
      <c r="AK17" s="1037"/>
      <c r="AL17" s="1037">
        <v>1.2E-2</v>
      </c>
      <c r="AM17" s="1037"/>
      <c r="AN17" s="1037"/>
      <c r="AO17" s="1039"/>
      <c r="AP17" s="1037"/>
      <c r="AQ17" s="1037"/>
      <c r="AR17" s="1037"/>
      <c r="AS17" s="1037"/>
      <c r="AT17" s="1037"/>
      <c r="AU17" s="1037">
        <v>1.2E-2</v>
      </c>
      <c r="AV17" s="1037"/>
      <c r="AW17" s="1037"/>
      <c r="AX17" s="1039"/>
      <c r="AY17" s="1037"/>
      <c r="AZ17" s="1037"/>
      <c r="BA17" s="1037"/>
      <c r="BB17" s="1037"/>
      <c r="BC17" s="1037"/>
      <c r="BD17" s="1037"/>
      <c r="BE17" s="1039"/>
      <c r="BF17" s="1039"/>
      <c r="BG17" s="1037"/>
      <c r="BH17" s="1037"/>
      <c r="BI17" s="1037"/>
      <c r="BJ17" s="1037"/>
      <c r="BK17" s="1037"/>
      <c r="BL17" s="1039"/>
      <c r="BM17" s="1040"/>
      <c r="BN17" s="1037"/>
      <c r="BO17" s="972"/>
    </row>
    <row r="18" spans="1:67" ht="21.95" hidden="1" customHeight="1" x14ac:dyDescent="0.15">
      <c r="A18" s="2627"/>
      <c r="B18" s="2522" t="s">
        <v>1171</v>
      </c>
      <c r="C18" s="957">
        <v>1</v>
      </c>
      <c r="D18" s="1005"/>
      <c r="E18" s="2236"/>
      <c r="F18" s="238">
        <f t="shared" ca="1" si="14"/>
        <v>0</v>
      </c>
      <c r="G18" s="238">
        <f t="shared" ca="1" si="14"/>
        <v>0</v>
      </c>
      <c r="H18" s="238">
        <f t="shared" ca="1" si="14"/>
        <v>0</v>
      </c>
      <c r="I18" s="238">
        <f t="shared" ca="1" si="14"/>
        <v>0</v>
      </c>
      <c r="J18" s="238">
        <f t="shared" ca="1" si="14"/>
        <v>0</v>
      </c>
      <c r="K18" s="238">
        <f t="shared" ca="1" si="14"/>
        <v>0</v>
      </c>
      <c r="L18" s="238">
        <f t="shared" si="14"/>
        <v>0</v>
      </c>
      <c r="M18" s="238">
        <f t="shared" si="14"/>
        <v>0</v>
      </c>
      <c r="N18" s="238">
        <f t="shared" si="14"/>
        <v>0</v>
      </c>
      <c r="O18" s="238">
        <f t="shared" si="14"/>
        <v>0</v>
      </c>
      <c r="P18" s="241"/>
      <c r="Q18" s="241"/>
      <c r="R18" s="241"/>
      <c r="S18" s="241"/>
      <c r="T18" s="159"/>
      <c r="U18" s="159"/>
      <c r="V18" s="159"/>
      <c r="W18" s="241"/>
      <c r="X18" s="241"/>
      <c r="Y18" s="159"/>
      <c r="Z18" s="241"/>
      <c r="AA18" s="241"/>
      <c r="AB18" s="241"/>
      <c r="AC18" s="241"/>
      <c r="AD18" s="241"/>
      <c r="AE18" s="362">
        <f t="shared" ca="1" si="1"/>
        <v>0</v>
      </c>
      <c r="AF18" s="578">
        <f t="shared" ca="1" si="0"/>
        <v>0</v>
      </c>
      <c r="AG18" s="1046"/>
      <c r="AH18" s="1037"/>
      <c r="AI18" s="1037"/>
      <c r="AJ18" s="1037"/>
      <c r="AK18" s="1037"/>
      <c r="AL18" s="1037">
        <v>2.8000000000000001E-2</v>
      </c>
      <c r="AM18" s="1037"/>
      <c r="AN18" s="1037"/>
      <c r="AO18" s="1039"/>
      <c r="AP18" s="1037"/>
      <c r="AQ18" s="1037"/>
      <c r="AR18" s="1037"/>
      <c r="AS18" s="1037"/>
      <c r="AT18" s="1037"/>
      <c r="AU18" s="1037">
        <v>2.8000000000000001E-2</v>
      </c>
      <c r="AV18" s="1037"/>
      <c r="AW18" s="1037"/>
      <c r="AX18" s="1039"/>
      <c r="AY18" s="1037"/>
      <c r="AZ18" s="1037"/>
      <c r="BA18" s="1037"/>
      <c r="BB18" s="1037"/>
      <c r="BC18" s="1037"/>
      <c r="BD18" s="1037"/>
      <c r="BE18" s="1039"/>
      <c r="BF18" s="1039"/>
      <c r="BG18" s="1037"/>
      <c r="BH18" s="1037"/>
      <c r="BI18" s="1037"/>
      <c r="BJ18" s="1037"/>
      <c r="BK18" s="1037"/>
      <c r="BL18" s="1039"/>
      <c r="BM18" s="1040"/>
      <c r="BN18" s="1037"/>
      <c r="BO18" s="972"/>
    </row>
    <row r="19" spans="1:67" ht="21.95" hidden="1" customHeight="1" x14ac:dyDescent="0.15">
      <c r="A19" s="2627"/>
      <c r="B19" s="2523"/>
      <c r="C19" s="958">
        <v>1.2</v>
      </c>
      <c r="D19" s="1005"/>
      <c r="E19" s="2236"/>
      <c r="F19" s="158">
        <f t="shared" ca="1" si="14"/>
        <v>0</v>
      </c>
      <c r="G19" s="158">
        <f t="shared" ref="G19:O20" ca="1" si="15">IF(G$4&lt;&gt;$C19,0,IF(AND(G$5="PA-1",G$9=1),G$2*G$3,0))</f>
        <v>0</v>
      </c>
      <c r="H19" s="158">
        <f t="shared" ca="1" si="15"/>
        <v>0</v>
      </c>
      <c r="I19" s="158">
        <f t="shared" ca="1" si="15"/>
        <v>0</v>
      </c>
      <c r="J19" s="158">
        <f t="shared" ca="1" si="15"/>
        <v>0</v>
      </c>
      <c r="K19" s="158">
        <f t="shared" ca="1" si="15"/>
        <v>0</v>
      </c>
      <c r="L19" s="158">
        <f t="shared" si="15"/>
        <v>0</v>
      </c>
      <c r="M19" s="158">
        <f t="shared" si="15"/>
        <v>0</v>
      </c>
      <c r="N19" s="158">
        <f t="shared" si="15"/>
        <v>0</v>
      </c>
      <c r="O19" s="158">
        <f t="shared" si="15"/>
        <v>0</v>
      </c>
      <c r="P19" s="159"/>
      <c r="Q19" s="159"/>
      <c r="R19" s="159"/>
      <c r="S19" s="159"/>
      <c r="T19" s="159"/>
      <c r="U19" s="159"/>
      <c r="V19" s="159"/>
      <c r="W19" s="159"/>
      <c r="X19" s="159"/>
      <c r="Y19" s="159"/>
      <c r="Z19" s="159"/>
      <c r="AA19" s="159"/>
      <c r="AB19" s="159"/>
      <c r="AC19" s="159"/>
      <c r="AD19" s="159"/>
      <c r="AE19" s="350">
        <f t="shared" ca="1" si="1"/>
        <v>0</v>
      </c>
      <c r="AF19" s="578">
        <f t="shared" ca="1" si="0"/>
        <v>0</v>
      </c>
      <c r="AG19" s="1046"/>
      <c r="AH19" s="1037"/>
      <c r="AI19" s="1037"/>
      <c r="AJ19" s="1037"/>
      <c r="AK19" s="1037"/>
      <c r="AL19" s="1037">
        <v>3.4700000000000002E-2</v>
      </c>
      <c r="AM19" s="1037"/>
      <c r="AN19" s="1037"/>
      <c r="AO19" s="1039"/>
      <c r="AP19" s="1037"/>
      <c r="AQ19" s="1037"/>
      <c r="AR19" s="1037"/>
      <c r="AS19" s="1037"/>
      <c r="AT19" s="1037"/>
      <c r="AU19" s="1037">
        <v>3.4700000000000002E-2</v>
      </c>
      <c r="AV19" s="1037"/>
      <c r="AW19" s="1037"/>
      <c r="AX19" s="1039"/>
      <c r="AY19" s="1037"/>
      <c r="AZ19" s="1037"/>
      <c r="BA19" s="1037"/>
      <c r="BB19" s="1037"/>
      <c r="BC19" s="1037"/>
      <c r="BD19" s="1037"/>
      <c r="BE19" s="1039"/>
      <c r="BF19" s="1039"/>
      <c r="BG19" s="1037"/>
      <c r="BH19" s="1037"/>
      <c r="BI19" s="1037"/>
      <c r="BJ19" s="1037"/>
      <c r="BK19" s="1037"/>
      <c r="BL19" s="1039"/>
      <c r="BM19" s="1040"/>
      <c r="BN19" s="1037"/>
      <c r="BO19" s="972"/>
    </row>
    <row r="20" spans="1:67" ht="21.95" hidden="1" customHeight="1" thickBot="1" x14ac:dyDescent="0.2">
      <c r="A20" s="2627"/>
      <c r="B20" s="2524"/>
      <c r="C20" s="959">
        <v>1.5</v>
      </c>
      <c r="D20" s="1006"/>
      <c r="E20" s="2237"/>
      <c r="F20" s="239">
        <f t="shared" ca="1" si="14"/>
        <v>0</v>
      </c>
      <c r="G20" s="239">
        <f t="shared" ca="1" si="15"/>
        <v>0</v>
      </c>
      <c r="H20" s="239">
        <f t="shared" ca="1" si="15"/>
        <v>0</v>
      </c>
      <c r="I20" s="239">
        <f t="shared" ca="1" si="15"/>
        <v>0</v>
      </c>
      <c r="J20" s="239">
        <f t="shared" ca="1" si="15"/>
        <v>0</v>
      </c>
      <c r="K20" s="239">
        <f t="shared" ca="1" si="15"/>
        <v>0</v>
      </c>
      <c r="L20" s="239">
        <f t="shared" si="15"/>
        <v>0</v>
      </c>
      <c r="M20" s="239">
        <f t="shared" si="15"/>
        <v>0</v>
      </c>
      <c r="N20" s="239">
        <f t="shared" si="15"/>
        <v>0</v>
      </c>
      <c r="O20" s="239">
        <f t="shared" si="15"/>
        <v>0</v>
      </c>
      <c r="P20" s="237"/>
      <c r="Q20" s="237"/>
      <c r="R20" s="237"/>
      <c r="S20" s="237"/>
      <c r="T20" s="237"/>
      <c r="U20" s="237"/>
      <c r="V20" s="237"/>
      <c r="W20" s="237"/>
      <c r="X20" s="237"/>
      <c r="Y20" s="237"/>
      <c r="Z20" s="237"/>
      <c r="AA20" s="237"/>
      <c r="AB20" s="237"/>
      <c r="AC20" s="237"/>
      <c r="AD20" s="237"/>
      <c r="AE20" s="361">
        <f t="shared" ca="1" si="1"/>
        <v>0</v>
      </c>
      <c r="AF20" s="578">
        <f t="shared" ca="1" si="0"/>
        <v>0</v>
      </c>
      <c r="AG20" s="1046"/>
      <c r="AH20" s="1037"/>
      <c r="AI20" s="1037"/>
      <c r="AJ20" s="1037"/>
      <c r="AK20" s="1037"/>
      <c r="AL20" s="1037">
        <v>4.6199999999999998E-2</v>
      </c>
      <c r="AM20" s="1037"/>
      <c r="AN20" s="1037"/>
      <c r="AO20" s="1039"/>
      <c r="AP20" s="1037"/>
      <c r="AQ20" s="1037"/>
      <c r="AR20" s="1037"/>
      <c r="AS20" s="1037"/>
      <c r="AT20" s="1037"/>
      <c r="AU20" s="1037">
        <v>4.6199999999999998E-2</v>
      </c>
      <c r="AV20" s="1037"/>
      <c r="AW20" s="1037"/>
      <c r="AX20" s="1039"/>
      <c r="AY20" s="1037"/>
      <c r="AZ20" s="1037"/>
      <c r="BA20" s="1037"/>
      <c r="BB20" s="1037"/>
      <c r="BC20" s="1037"/>
      <c r="BD20" s="1037"/>
      <c r="BE20" s="1039"/>
      <c r="BF20" s="1039"/>
      <c r="BG20" s="1037"/>
      <c r="BH20" s="1037"/>
      <c r="BI20" s="1037"/>
      <c r="BJ20" s="1037"/>
      <c r="BK20" s="1037"/>
      <c r="BL20" s="1039"/>
      <c r="BM20" s="1040"/>
      <c r="BN20" s="1037"/>
      <c r="BO20" s="972"/>
    </row>
    <row r="21" spans="1:67" ht="21.95" hidden="1" customHeight="1" x14ac:dyDescent="0.15">
      <c r="A21" s="2627"/>
      <c r="B21" s="2522" t="s">
        <v>1172</v>
      </c>
      <c r="C21" s="2257">
        <v>0.6</v>
      </c>
      <c r="D21" s="1002"/>
      <c r="E21" s="1286"/>
      <c r="F21" s="158">
        <f t="shared" ref="F21" ca="1" si="16">IF(F$4&lt;&gt;$C21,0,IF(AND(F$5="PA-1",F9=2),F2*F3,0))</f>
        <v>0</v>
      </c>
      <c r="G21" s="158">
        <f t="shared" ref="G21" ca="1" si="17">IF(G$4&lt;&gt;$C21,0,IF(AND(G$5="PA-1",G9=2),G2*G3,0))</f>
        <v>0</v>
      </c>
      <c r="H21" s="158">
        <f t="shared" ref="H21:M21" ca="1" si="18">IF(H$4&lt;&gt;$C21,0,IF(AND(H$5="PA-1",H9=2),H2*H3,0))</f>
        <v>0</v>
      </c>
      <c r="I21" s="158">
        <f t="shared" ca="1" si="18"/>
        <v>0</v>
      </c>
      <c r="J21" s="158">
        <f t="shared" ca="1" si="18"/>
        <v>0</v>
      </c>
      <c r="K21" s="158">
        <f t="shared" ca="1" si="18"/>
        <v>0</v>
      </c>
      <c r="L21" s="158">
        <f t="shared" si="18"/>
        <v>0</v>
      </c>
      <c r="M21" s="158">
        <f t="shared" si="18"/>
        <v>0</v>
      </c>
      <c r="N21" s="158">
        <f t="shared" ref="N21:O21" si="19">IF(N$4&lt;&gt;$C21,0,IF(AND(N$5="PA-1",N9=2),N2*N3,0))</f>
        <v>0</v>
      </c>
      <c r="O21" s="158">
        <f t="shared" si="19"/>
        <v>0</v>
      </c>
      <c r="P21" s="159"/>
      <c r="Q21" s="159"/>
      <c r="R21" s="159"/>
      <c r="S21" s="159"/>
      <c r="T21" s="159"/>
      <c r="U21" s="159"/>
      <c r="V21" s="159"/>
      <c r="W21" s="159"/>
      <c r="X21" s="159"/>
      <c r="Y21" s="159"/>
      <c r="Z21" s="159"/>
      <c r="AA21" s="159"/>
      <c r="AB21" s="159"/>
      <c r="AC21" s="159"/>
      <c r="AD21" s="159"/>
      <c r="AE21" s="362">
        <f t="shared" ca="1" si="1"/>
        <v>0</v>
      </c>
      <c r="AF21" s="578">
        <f t="shared" ca="1" si="0"/>
        <v>0</v>
      </c>
      <c r="AG21" s="1046"/>
      <c r="AH21" s="1037"/>
      <c r="AI21" s="1037"/>
      <c r="AJ21" s="1037"/>
      <c r="AK21" s="1037"/>
      <c r="AL21" s="1037">
        <v>5.0000000000000001E-3</v>
      </c>
      <c r="AM21" s="1037"/>
      <c r="AN21" s="1037"/>
      <c r="AO21" s="1039"/>
      <c r="AP21" s="1037"/>
      <c r="AQ21" s="1037"/>
      <c r="AR21" s="1037"/>
      <c r="AS21" s="1037"/>
      <c r="AT21" s="1037"/>
      <c r="AU21" s="1037">
        <v>5.0000000000000001E-3</v>
      </c>
      <c r="AV21" s="1037"/>
      <c r="AW21" s="1037"/>
      <c r="AX21" s="1039"/>
      <c r="AY21" s="1037"/>
      <c r="AZ21" s="1037"/>
      <c r="BA21" s="1037"/>
      <c r="BB21" s="1037"/>
      <c r="BC21" s="1037"/>
      <c r="BD21" s="1037"/>
      <c r="BE21" s="1039"/>
      <c r="BF21" s="1039"/>
      <c r="BG21" s="1037"/>
      <c r="BH21" s="1037"/>
      <c r="BI21" s="1037"/>
      <c r="BJ21" s="1037"/>
      <c r="BK21" s="1037"/>
      <c r="BL21" s="1039"/>
      <c r="BM21" s="1040"/>
      <c r="BN21" s="1037"/>
      <c r="BO21" s="972"/>
    </row>
    <row r="22" spans="1:67" ht="21.95" hidden="1" customHeight="1" x14ac:dyDescent="0.15">
      <c r="A22" s="2627"/>
      <c r="B22" s="2523"/>
      <c r="C22" s="566">
        <v>0.8</v>
      </c>
      <c r="D22" s="1002"/>
      <c r="E22" s="1286"/>
      <c r="F22" s="158">
        <f t="shared" ref="F22:O25" ca="1" si="20">IF(F$4&lt;&gt;$C22,0,IF(AND(F$5="PA-1",F$9=2),F$2*F$3,0))</f>
        <v>0</v>
      </c>
      <c r="G22" s="158">
        <f t="shared" ca="1" si="20"/>
        <v>0</v>
      </c>
      <c r="H22" s="158">
        <f t="shared" ca="1" si="20"/>
        <v>0</v>
      </c>
      <c r="I22" s="158">
        <f t="shared" ca="1" si="20"/>
        <v>0</v>
      </c>
      <c r="J22" s="158">
        <f t="shared" ca="1" si="20"/>
        <v>0</v>
      </c>
      <c r="K22" s="158">
        <f t="shared" ca="1" si="20"/>
        <v>0</v>
      </c>
      <c r="L22" s="158">
        <f t="shared" si="20"/>
        <v>0</v>
      </c>
      <c r="M22" s="158">
        <f t="shared" si="20"/>
        <v>0</v>
      </c>
      <c r="N22" s="158">
        <f t="shared" si="20"/>
        <v>0</v>
      </c>
      <c r="O22" s="158">
        <f t="shared" si="20"/>
        <v>0</v>
      </c>
      <c r="P22" s="159"/>
      <c r="Q22" s="159"/>
      <c r="R22" s="159"/>
      <c r="S22" s="159"/>
      <c r="T22" s="159"/>
      <c r="U22" s="159"/>
      <c r="V22" s="159"/>
      <c r="W22" s="159"/>
      <c r="X22" s="159"/>
      <c r="Y22" s="159"/>
      <c r="Z22" s="159"/>
      <c r="AA22" s="159"/>
      <c r="AB22" s="159"/>
      <c r="AC22" s="159"/>
      <c r="AD22" s="159"/>
      <c r="AE22" s="350">
        <f t="shared" ca="1" si="1"/>
        <v>0</v>
      </c>
      <c r="AF22" s="578">
        <f t="shared" ca="1" si="0"/>
        <v>0</v>
      </c>
      <c r="AG22" s="1046"/>
      <c r="AH22" s="1037"/>
      <c r="AI22" s="1037"/>
      <c r="AJ22" s="1037"/>
      <c r="AK22" s="1037"/>
      <c r="AL22" s="1037">
        <v>1.2E-2</v>
      </c>
      <c r="AM22" s="1037"/>
      <c r="AN22" s="1037"/>
      <c r="AO22" s="1039"/>
      <c r="AP22" s="1037"/>
      <c r="AQ22" s="1037"/>
      <c r="AR22" s="1037"/>
      <c r="AS22" s="1037"/>
      <c r="AT22" s="1037"/>
      <c r="AU22" s="1037">
        <v>1.2E-2</v>
      </c>
      <c r="AV22" s="1037"/>
      <c r="AW22" s="1037"/>
      <c r="AX22" s="1039"/>
      <c r="AY22" s="1037"/>
      <c r="AZ22" s="1037"/>
      <c r="BA22" s="1037"/>
      <c r="BB22" s="1037"/>
      <c r="BC22" s="1037"/>
      <c r="BD22" s="1037"/>
      <c r="BE22" s="1039"/>
      <c r="BF22" s="1039"/>
      <c r="BG22" s="1037"/>
      <c r="BH22" s="1037"/>
      <c r="BI22" s="1037"/>
      <c r="BJ22" s="1037"/>
      <c r="BK22" s="1037"/>
      <c r="BL22" s="1039"/>
      <c r="BM22" s="1040"/>
      <c r="BN22" s="1037"/>
      <c r="BO22" s="972"/>
    </row>
    <row r="23" spans="1:67" ht="21.95" hidden="1" customHeight="1" x14ac:dyDescent="0.15">
      <c r="A23" s="2627"/>
      <c r="B23" s="2523"/>
      <c r="C23" s="566">
        <v>1</v>
      </c>
      <c r="D23" s="1002"/>
      <c r="E23" s="1286"/>
      <c r="F23" s="158">
        <f t="shared" ca="1" si="20"/>
        <v>0</v>
      </c>
      <c r="G23" s="158">
        <f t="shared" ca="1" si="20"/>
        <v>0</v>
      </c>
      <c r="H23" s="158">
        <f t="shared" ca="1" si="20"/>
        <v>0</v>
      </c>
      <c r="I23" s="158">
        <f t="shared" ca="1" si="20"/>
        <v>0</v>
      </c>
      <c r="J23" s="158">
        <f t="shared" ca="1" si="20"/>
        <v>0</v>
      </c>
      <c r="K23" s="158">
        <f t="shared" ca="1" si="20"/>
        <v>0</v>
      </c>
      <c r="L23" s="158">
        <f t="shared" si="20"/>
        <v>0</v>
      </c>
      <c r="M23" s="158">
        <f t="shared" si="20"/>
        <v>0</v>
      </c>
      <c r="N23" s="158">
        <f t="shared" si="20"/>
        <v>0</v>
      </c>
      <c r="O23" s="158">
        <f t="shared" si="20"/>
        <v>0</v>
      </c>
      <c r="P23" s="159"/>
      <c r="Q23" s="159"/>
      <c r="R23" s="159"/>
      <c r="S23" s="159"/>
      <c r="T23" s="159"/>
      <c r="U23" s="159"/>
      <c r="V23" s="159"/>
      <c r="W23" s="159"/>
      <c r="X23" s="159"/>
      <c r="Y23" s="159"/>
      <c r="Z23" s="159"/>
      <c r="AA23" s="159"/>
      <c r="AB23" s="159"/>
      <c r="AC23" s="159"/>
      <c r="AD23" s="159"/>
      <c r="AE23" s="350">
        <f t="shared" ca="1" si="1"/>
        <v>0</v>
      </c>
      <c r="AF23" s="578">
        <f t="shared" ca="1" si="0"/>
        <v>0</v>
      </c>
      <c r="AG23" s="1046"/>
      <c r="AH23" s="1037"/>
      <c r="AI23" s="1037"/>
      <c r="AJ23" s="1037"/>
      <c r="AK23" s="1037"/>
      <c r="AL23" s="1037">
        <v>2.8000000000000001E-2</v>
      </c>
      <c r="AM23" s="1037"/>
      <c r="AN23" s="1037"/>
      <c r="AO23" s="1039"/>
      <c r="AP23" s="1037"/>
      <c r="AQ23" s="1037"/>
      <c r="AR23" s="1037"/>
      <c r="AS23" s="1037"/>
      <c r="AT23" s="1037"/>
      <c r="AU23" s="1037">
        <v>2.8000000000000001E-2</v>
      </c>
      <c r="AV23" s="1037"/>
      <c r="AW23" s="1037"/>
      <c r="AX23" s="1039"/>
      <c r="AY23" s="1037"/>
      <c r="AZ23" s="1037"/>
      <c r="BA23" s="1037"/>
      <c r="BB23" s="1037"/>
      <c r="BC23" s="1037"/>
      <c r="BD23" s="1037"/>
      <c r="BE23" s="1039"/>
      <c r="BF23" s="1039"/>
      <c r="BG23" s="1037"/>
      <c r="BH23" s="1037"/>
      <c r="BI23" s="1037"/>
      <c r="BJ23" s="1037"/>
      <c r="BK23" s="1037"/>
      <c r="BL23" s="1039"/>
      <c r="BM23" s="1040"/>
      <c r="BN23" s="1037"/>
      <c r="BO23" s="972"/>
    </row>
    <row r="24" spans="1:67" ht="21.95" hidden="1" customHeight="1" x14ac:dyDescent="0.15">
      <c r="A24" s="2627"/>
      <c r="B24" s="2523"/>
      <c r="C24" s="566">
        <v>1.2</v>
      </c>
      <c r="D24" s="1002"/>
      <c r="E24" s="1286"/>
      <c r="F24" s="158">
        <f t="shared" ca="1" si="20"/>
        <v>0</v>
      </c>
      <c r="G24" s="158">
        <f t="shared" ref="G24:O25" ca="1" si="21">IF(G$4&lt;&gt;$C24,0,IF(AND(G$5="PA-1",G$9=2),G$2*G$3,0))</f>
        <v>0</v>
      </c>
      <c r="H24" s="158">
        <f t="shared" ca="1" si="21"/>
        <v>0</v>
      </c>
      <c r="I24" s="158">
        <f t="shared" ca="1" si="21"/>
        <v>0</v>
      </c>
      <c r="J24" s="158">
        <f t="shared" ca="1" si="21"/>
        <v>0</v>
      </c>
      <c r="K24" s="158">
        <f t="shared" ca="1" si="21"/>
        <v>0</v>
      </c>
      <c r="L24" s="158">
        <f t="shared" si="21"/>
        <v>0</v>
      </c>
      <c r="M24" s="158">
        <f t="shared" si="21"/>
        <v>0</v>
      </c>
      <c r="N24" s="158">
        <f t="shared" si="21"/>
        <v>0</v>
      </c>
      <c r="O24" s="158">
        <f t="shared" si="21"/>
        <v>0</v>
      </c>
      <c r="P24" s="159"/>
      <c r="Q24" s="159"/>
      <c r="R24" s="159"/>
      <c r="S24" s="159"/>
      <c r="T24" s="159"/>
      <c r="U24" s="159"/>
      <c r="V24" s="159"/>
      <c r="W24" s="159"/>
      <c r="X24" s="159"/>
      <c r="Y24" s="159"/>
      <c r="Z24" s="159"/>
      <c r="AA24" s="159"/>
      <c r="AB24" s="159"/>
      <c r="AC24" s="159"/>
      <c r="AD24" s="159"/>
      <c r="AE24" s="350">
        <f t="shared" ca="1" si="1"/>
        <v>0</v>
      </c>
      <c r="AF24" s="578">
        <f t="shared" ca="1" si="0"/>
        <v>0</v>
      </c>
      <c r="AG24" s="1046"/>
      <c r="AH24" s="1037"/>
      <c r="AI24" s="1037"/>
      <c r="AJ24" s="1037"/>
      <c r="AK24" s="1037"/>
      <c r="AL24" s="1037">
        <v>3.4700000000000002E-2</v>
      </c>
      <c r="AM24" s="1037"/>
      <c r="AN24" s="1037"/>
      <c r="AO24" s="1039"/>
      <c r="AP24" s="1037"/>
      <c r="AQ24" s="1037"/>
      <c r="AR24" s="1037"/>
      <c r="AS24" s="1037"/>
      <c r="AT24" s="1037"/>
      <c r="AU24" s="1037">
        <v>3.4700000000000002E-2</v>
      </c>
      <c r="AV24" s="1037"/>
      <c r="AW24" s="1037"/>
      <c r="AX24" s="1039"/>
      <c r="AY24" s="1037"/>
      <c r="AZ24" s="1037"/>
      <c r="BA24" s="1037"/>
      <c r="BB24" s="1037"/>
      <c r="BC24" s="1037"/>
      <c r="BD24" s="1037"/>
      <c r="BE24" s="1039"/>
      <c r="BF24" s="1039"/>
      <c r="BG24" s="1037"/>
      <c r="BH24" s="1037"/>
      <c r="BI24" s="1037"/>
      <c r="BJ24" s="1037"/>
      <c r="BK24" s="1037"/>
      <c r="BL24" s="1039"/>
      <c r="BM24" s="1040"/>
      <c r="BN24" s="1037"/>
      <c r="BO24" s="972"/>
    </row>
    <row r="25" spans="1:67" ht="21.95" hidden="1" customHeight="1" thickBot="1" x14ac:dyDescent="0.2">
      <c r="A25" s="2627"/>
      <c r="B25" s="2524"/>
      <c r="C25" s="565">
        <v>1.5</v>
      </c>
      <c r="D25" s="1002"/>
      <c r="E25" s="1286"/>
      <c r="F25" s="158">
        <f t="shared" ca="1" si="20"/>
        <v>0</v>
      </c>
      <c r="G25" s="158">
        <f t="shared" ca="1" si="21"/>
        <v>0</v>
      </c>
      <c r="H25" s="158">
        <f t="shared" ca="1" si="21"/>
        <v>0</v>
      </c>
      <c r="I25" s="158">
        <f t="shared" ca="1" si="21"/>
        <v>0</v>
      </c>
      <c r="J25" s="158">
        <f t="shared" ca="1" si="21"/>
        <v>0</v>
      </c>
      <c r="K25" s="158">
        <f t="shared" ca="1" si="21"/>
        <v>0</v>
      </c>
      <c r="L25" s="158">
        <f t="shared" si="21"/>
        <v>0</v>
      </c>
      <c r="M25" s="158">
        <f t="shared" si="21"/>
        <v>0</v>
      </c>
      <c r="N25" s="158">
        <f t="shared" si="21"/>
        <v>0</v>
      </c>
      <c r="O25" s="158">
        <f t="shared" si="21"/>
        <v>0</v>
      </c>
      <c r="P25" s="159"/>
      <c r="Q25" s="159"/>
      <c r="R25" s="159"/>
      <c r="S25" s="159"/>
      <c r="T25" s="159"/>
      <c r="U25" s="159"/>
      <c r="V25" s="159"/>
      <c r="W25" s="159"/>
      <c r="X25" s="159"/>
      <c r="Y25" s="159"/>
      <c r="Z25" s="159"/>
      <c r="AA25" s="159"/>
      <c r="AB25" s="159"/>
      <c r="AC25" s="159"/>
      <c r="AD25" s="159"/>
      <c r="AE25" s="361">
        <f t="shared" ca="1" si="1"/>
        <v>0</v>
      </c>
      <c r="AF25" s="578">
        <f t="shared" ca="1" si="0"/>
        <v>0</v>
      </c>
      <c r="AG25" s="1046"/>
      <c r="AH25" s="1037"/>
      <c r="AI25" s="1037"/>
      <c r="AJ25" s="1037"/>
      <c r="AK25" s="1037"/>
      <c r="AL25" s="1037">
        <v>4.6199999999999998E-2</v>
      </c>
      <c r="AM25" s="1037"/>
      <c r="AN25" s="1037"/>
      <c r="AO25" s="1039"/>
      <c r="AP25" s="1037"/>
      <c r="AQ25" s="1037"/>
      <c r="AR25" s="1037"/>
      <c r="AS25" s="1037"/>
      <c r="AT25" s="1037"/>
      <c r="AU25" s="1037">
        <v>4.6199999999999998E-2</v>
      </c>
      <c r="AV25" s="1037"/>
      <c r="AW25" s="1037"/>
      <c r="AX25" s="1039"/>
      <c r="AY25" s="1037"/>
      <c r="AZ25" s="1037"/>
      <c r="BA25" s="1037"/>
      <c r="BB25" s="1037"/>
      <c r="BC25" s="1037"/>
      <c r="BD25" s="1037"/>
      <c r="BE25" s="1039"/>
      <c r="BF25" s="1039"/>
      <c r="BG25" s="1037"/>
      <c r="BH25" s="1037"/>
      <c r="BI25" s="1037"/>
      <c r="BJ25" s="1037"/>
      <c r="BK25" s="1037"/>
      <c r="BL25" s="1039"/>
      <c r="BM25" s="1040"/>
      <c r="BN25" s="1037"/>
      <c r="BO25" s="972"/>
    </row>
    <row r="26" spans="1:67" ht="60" customHeight="1" thickBot="1" x14ac:dyDescent="0.2">
      <c r="A26" s="2627"/>
      <c r="B26" s="2522" t="s">
        <v>1173</v>
      </c>
      <c r="C26" s="2257">
        <v>0.6</v>
      </c>
      <c r="D26" s="1001"/>
      <c r="E26" s="2230"/>
      <c r="F26" s="238">
        <f t="shared" ref="F26:O30" ca="1" si="22">IF(F$4&lt;&gt;$C26,0,IF(AND(F$5="PA-2",F$9=1),F$2*F$3,0))</f>
        <v>0</v>
      </c>
      <c r="G26" s="238">
        <f t="shared" ca="1" si="22"/>
        <v>45.04</v>
      </c>
      <c r="H26" s="238">
        <f t="shared" ca="1" si="22"/>
        <v>60.43</v>
      </c>
      <c r="I26" s="238">
        <f t="shared" ca="1" si="22"/>
        <v>0</v>
      </c>
      <c r="J26" s="238">
        <f t="shared" ca="1" si="22"/>
        <v>0</v>
      </c>
      <c r="K26" s="238">
        <f t="shared" ca="1" si="22"/>
        <v>0</v>
      </c>
      <c r="L26" s="238">
        <f t="shared" si="22"/>
        <v>0</v>
      </c>
      <c r="M26" s="238">
        <f t="shared" si="22"/>
        <v>0</v>
      </c>
      <c r="N26" s="238">
        <f t="shared" si="22"/>
        <v>0</v>
      </c>
      <c r="O26" s="238">
        <f t="shared" si="22"/>
        <v>0</v>
      </c>
      <c r="P26" s="241"/>
      <c r="Q26" s="241"/>
      <c r="R26" s="241"/>
      <c r="S26" s="241"/>
      <c r="T26" s="241"/>
      <c r="U26" s="241"/>
      <c r="V26" s="241"/>
      <c r="W26" s="241"/>
      <c r="X26" s="241"/>
      <c r="Y26" s="241"/>
      <c r="Z26" s="241"/>
      <c r="AA26" s="241"/>
      <c r="AB26" s="241"/>
      <c r="AC26" s="241"/>
      <c r="AD26" s="241"/>
      <c r="AE26" s="362">
        <f t="shared" ca="1" si="1"/>
        <v>105.47</v>
      </c>
      <c r="AF26" s="578">
        <f t="shared" ca="1" si="0"/>
        <v>210.94</v>
      </c>
      <c r="AG26" s="1046"/>
      <c r="AH26" s="1037"/>
      <c r="AI26" s="1037"/>
      <c r="AJ26" s="1037"/>
      <c r="AK26" s="1037"/>
      <c r="AL26" s="1037">
        <v>5.0000000000000001E-3</v>
      </c>
      <c r="AM26" s="1037"/>
      <c r="AN26" s="1037"/>
      <c r="AO26" s="1039"/>
      <c r="AP26" s="1037"/>
      <c r="AQ26" s="1037"/>
      <c r="AR26" s="1037"/>
      <c r="AS26" s="1037"/>
      <c r="AT26" s="1037"/>
      <c r="AU26" s="1037">
        <v>5.0000000000000001E-3</v>
      </c>
      <c r="AV26" s="1037"/>
      <c r="AW26" s="1037"/>
      <c r="AX26" s="1039"/>
      <c r="AY26" s="1037"/>
      <c r="AZ26" s="1037"/>
      <c r="BA26" s="1037"/>
      <c r="BB26" s="1037"/>
      <c r="BC26" s="1037"/>
      <c r="BD26" s="1037"/>
      <c r="BE26" s="1039"/>
      <c r="BF26" s="1039"/>
      <c r="BG26" s="1037"/>
      <c r="BH26" s="1037"/>
      <c r="BI26" s="1037"/>
      <c r="BJ26" s="1037"/>
      <c r="BK26" s="1037"/>
      <c r="BL26" s="1039"/>
      <c r="BM26" s="1040"/>
      <c r="BN26" s="1037"/>
      <c r="BO26" s="972"/>
    </row>
    <row r="27" spans="1:67" ht="60" hidden="1" customHeight="1" x14ac:dyDescent="0.15">
      <c r="A27" s="2627"/>
      <c r="B27" s="2522"/>
      <c r="C27" s="549">
        <v>0.8</v>
      </c>
      <c r="D27" s="1002"/>
      <c r="E27" s="1286"/>
      <c r="F27" s="238">
        <f t="shared" ca="1" si="22"/>
        <v>0</v>
      </c>
      <c r="G27" s="238">
        <f t="shared" ref="G27:O30" ca="1" si="23">IF(G$4&lt;&gt;$C27,0,IF(AND(G$5="PA-2",G$9=1),G$2*G$3,0))</f>
        <v>0</v>
      </c>
      <c r="H27" s="238">
        <f t="shared" ca="1" si="23"/>
        <v>0</v>
      </c>
      <c r="I27" s="238">
        <f t="shared" ca="1" si="23"/>
        <v>0</v>
      </c>
      <c r="J27" s="238">
        <f t="shared" ca="1" si="23"/>
        <v>0</v>
      </c>
      <c r="K27" s="238">
        <f t="shared" ca="1" si="23"/>
        <v>0</v>
      </c>
      <c r="L27" s="238">
        <f t="shared" si="23"/>
        <v>0</v>
      </c>
      <c r="M27" s="238">
        <f t="shared" si="23"/>
        <v>0</v>
      </c>
      <c r="N27" s="238">
        <f t="shared" si="23"/>
        <v>0</v>
      </c>
      <c r="O27" s="238">
        <f t="shared" si="23"/>
        <v>0</v>
      </c>
      <c r="P27" s="159"/>
      <c r="Q27" s="241"/>
      <c r="R27" s="159"/>
      <c r="S27" s="241"/>
      <c r="T27" s="159"/>
      <c r="U27" s="159"/>
      <c r="V27" s="159"/>
      <c r="W27" s="159"/>
      <c r="X27" s="159"/>
      <c r="Y27" s="159"/>
      <c r="Z27" s="159"/>
      <c r="AA27" s="159"/>
      <c r="AB27" s="159"/>
      <c r="AC27" s="159"/>
      <c r="AD27" s="159"/>
      <c r="AE27" s="362">
        <f t="shared" ca="1" si="1"/>
        <v>0</v>
      </c>
      <c r="AF27" s="578">
        <f t="shared" ca="1" si="0"/>
        <v>0</v>
      </c>
      <c r="AG27" s="1046"/>
      <c r="AH27" s="1037"/>
      <c r="AI27" s="1037"/>
      <c r="AJ27" s="1037"/>
      <c r="AK27" s="1037"/>
      <c r="AL27" s="1037">
        <v>1.2E-2</v>
      </c>
      <c r="AM27" s="1037"/>
      <c r="AN27" s="1037"/>
      <c r="AO27" s="1039"/>
      <c r="AP27" s="1037"/>
      <c r="AQ27" s="1037"/>
      <c r="AR27" s="1037"/>
      <c r="AS27" s="1037"/>
      <c r="AT27" s="1037"/>
      <c r="AU27" s="1037">
        <v>1.2E-2</v>
      </c>
      <c r="AV27" s="1037"/>
      <c r="AW27" s="1037"/>
      <c r="AX27" s="1039"/>
      <c r="AY27" s="1037"/>
      <c r="AZ27" s="1037"/>
      <c r="BA27" s="1037"/>
      <c r="BB27" s="1037"/>
      <c r="BC27" s="1037"/>
      <c r="BD27" s="1037"/>
      <c r="BE27" s="1039"/>
      <c r="BF27" s="1039"/>
      <c r="BG27" s="1037"/>
      <c r="BH27" s="1037"/>
      <c r="BI27" s="1037"/>
      <c r="BJ27" s="1037"/>
      <c r="BK27" s="1037"/>
      <c r="BL27" s="1039"/>
      <c r="BM27" s="1040"/>
      <c r="BN27" s="1037"/>
      <c r="BO27" s="972"/>
    </row>
    <row r="28" spans="1:67" ht="21.95" hidden="1" customHeight="1" x14ac:dyDescent="0.15">
      <c r="A28" s="2627"/>
      <c r="B28" s="2523"/>
      <c r="C28" s="566">
        <v>1</v>
      </c>
      <c r="D28" s="1002"/>
      <c r="E28" s="1286"/>
      <c r="F28" s="158">
        <f t="shared" ca="1" si="22"/>
        <v>0</v>
      </c>
      <c r="G28" s="158">
        <f t="shared" ca="1" si="23"/>
        <v>0</v>
      </c>
      <c r="H28" s="158">
        <f t="shared" ca="1" si="23"/>
        <v>0</v>
      </c>
      <c r="I28" s="158">
        <f t="shared" ca="1" si="23"/>
        <v>0</v>
      </c>
      <c r="J28" s="158">
        <f t="shared" ca="1" si="23"/>
        <v>0</v>
      </c>
      <c r="K28" s="158">
        <f t="shared" ca="1" si="23"/>
        <v>0</v>
      </c>
      <c r="L28" s="158">
        <f t="shared" si="23"/>
        <v>0</v>
      </c>
      <c r="M28" s="158">
        <f t="shared" si="23"/>
        <v>0</v>
      </c>
      <c r="N28" s="158">
        <f t="shared" si="23"/>
        <v>0</v>
      </c>
      <c r="O28" s="158">
        <f t="shared" si="23"/>
        <v>0</v>
      </c>
      <c r="P28" s="159"/>
      <c r="Q28" s="159"/>
      <c r="R28" s="159"/>
      <c r="S28" s="159"/>
      <c r="T28" s="159"/>
      <c r="U28" s="159"/>
      <c r="V28" s="159"/>
      <c r="W28" s="159"/>
      <c r="X28" s="159"/>
      <c r="Y28" s="159"/>
      <c r="Z28" s="159"/>
      <c r="AA28" s="159"/>
      <c r="AB28" s="159"/>
      <c r="AC28" s="159"/>
      <c r="AD28" s="159"/>
      <c r="AE28" s="350">
        <f t="shared" ca="1" si="1"/>
        <v>0</v>
      </c>
      <c r="AF28" s="578">
        <f t="shared" ca="1" si="0"/>
        <v>0</v>
      </c>
      <c r="AG28" s="1046"/>
      <c r="AH28" s="1037"/>
      <c r="AI28" s="1037"/>
      <c r="AJ28" s="1037"/>
      <c r="AK28" s="1037"/>
      <c r="AL28" s="1037">
        <v>2.8000000000000001E-2</v>
      </c>
      <c r="AM28" s="1037"/>
      <c r="AN28" s="1037"/>
      <c r="AO28" s="1039"/>
      <c r="AP28" s="1037"/>
      <c r="AQ28" s="1037"/>
      <c r="AR28" s="1037"/>
      <c r="AS28" s="1037"/>
      <c r="AT28" s="1037"/>
      <c r="AU28" s="1037">
        <v>2.8000000000000001E-2</v>
      </c>
      <c r="AV28" s="1037"/>
      <c r="AW28" s="1037"/>
      <c r="AX28" s="1039"/>
      <c r="AY28" s="1037"/>
      <c r="AZ28" s="1037"/>
      <c r="BA28" s="1037"/>
      <c r="BB28" s="1037"/>
      <c r="BC28" s="1037"/>
      <c r="BD28" s="1037"/>
      <c r="BE28" s="1039"/>
      <c r="BF28" s="1039"/>
      <c r="BG28" s="1037"/>
      <c r="BH28" s="1037"/>
      <c r="BI28" s="1037"/>
      <c r="BJ28" s="1037"/>
      <c r="BK28" s="1037"/>
      <c r="BL28" s="1039"/>
      <c r="BM28" s="1040"/>
      <c r="BN28" s="1037"/>
      <c r="BO28" s="972"/>
    </row>
    <row r="29" spans="1:67" ht="21.95" hidden="1" customHeight="1" x14ac:dyDescent="0.15">
      <c r="A29" s="2627"/>
      <c r="B29" s="2523"/>
      <c r="C29" s="566">
        <v>1.2</v>
      </c>
      <c r="D29" s="1002"/>
      <c r="E29" s="1286"/>
      <c r="F29" s="158">
        <f t="shared" ca="1" si="22"/>
        <v>0</v>
      </c>
      <c r="G29" s="158">
        <f t="shared" ca="1" si="23"/>
        <v>0</v>
      </c>
      <c r="H29" s="158">
        <f t="shared" ca="1" si="23"/>
        <v>0</v>
      </c>
      <c r="I29" s="158">
        <f t="shared" ca="1" si="23"/>
        <v>0</v>
      </c>
      <c r="J29" s="158">
        <f t="shared" ca="1" si="23"/>
        <v>0</v>
      </c>
      <c r="K29" s="158">
        <f t="shared" ca="1" si="23"/>
        <v>0</v>
      </c>
      <c r="L29" s="158">
        <f t="shared" si="23"/>
        <v>0</v>
      </c>
      <c r="M29" s="158">
        <f t="shared" si="23"/>
        <v>0</v>
      </c>
      <c r="N29" s="158">
        <f t="shared" si="23"/>
        <v>0</v>
      </c>
      <c r="O29" s="158">
        <f t="shared" si="23"/>
        <v>0</v>
      </c>
      <c r="P29" s="159"/>
      <c r="Q29" s="159"/>
      <c r="R29" s="159"/>
      <c r="S29" s="159"/>
      <c r="T29" s="159"/>
      <c r="U29" s="159"/>
      <c r="V29" s="159"/>
      <c r="W29" s="159"/>
      <c r="X29" s="159"/>
      <c r="Y29" s="159"/>
      <c r="Z29" s="159"/>
      <c r="AA29" s="159"/>
      <c r="AB29" s="159"/>
      <c r="AC29" s="159"/>
      <c r="AD29" s="159"/>
      <c r="AE29" s="350">
        <f t="shared" ca="1" si="1"/>
        <v>0</v>
      </c>
      <c r="AF29" s="578">
        <f t="shared" ca="1" si="0"/>
        <v>0</v>
      </c>
      <c r="AG29" s="1046"/>
      <c r="AH29" s="1037"/>
      <c r="AI29" s="1037"/>
      <c r="AJ29" s="1037"/>
      <c r="AK29" s="1037"/>
      <c r="AL29" s="1037">
        <v>3.4700000000000002E-2</v>
      </c>
      <c r="AM29" s="1037"/>
      <c r="AN29" s="1037"/>
      <c r="AO29" s="1039"/>
      <c r="AP29" s="1037"/>
      <c r="AQ29" s="1037"/>
      <c r="AR29" s="1037"/>
      <c r="AS29" s="1037"/>
      <c r="AT29" s="1037"/>
      <c r="AU29" s="1037">
        <v>3.4700000000000002E-2</v>
      </c>
      <c r="AV29" s="1037"/>
      <c r="AW29" s="1037"/>
      <c r="AX29" s="1039"/>
      <c r="AY29" s="1037"/>
      <c r="AZ29" s="1037"/>
      <c r="BA29" s="1037"/>
      <c r="BB29" s="1037"/>
      <c r="BC29" s="1037"/>
      <c r="BD29" s="1037"/>
      <c r="BE29" s="1039"/>
      <c r="BF29" s="1039"/>
      <c r="BG29" s="1037"/>
      <c r="BH29" s="1037"/>
      <c r="BI29" s="1037"/>
      <c r="BJ29" s="1037"/>
      <c r="BK29" s="1037"/>
      <c r="BL29" s="1039"/>
      <c r="BM29" s="1040"/>
      <c r="BN29" s="1037"/>
      <c r="BO29" s="972"/>
    </row>
    <row r="30" spans="1:67" ht="21.95" hidden="1" customHeight="1" thickBot="1" x14ac:dyDescent="0.2">
      <c r="A30" s="2627"/>
      <c r="B30" s="2524"/>
      <c r="C30" s="565">
        <v>1.5</v>
      </c>
      <c r="D30" s="1003"/>
      <c r="E30" s="2231"/>
      <c r="F30" s="239">
        <f t="shared" ca="1" si="22"/>
        <v>0</v>
      </c>
      <c r="G30" s="239">
        <f t="shared" ca="1" si="23"/>
        <v>0</v>
      </c>
      <c r="H30" s="239">
        <f t="shared" ca="1" si="23"/>
        <v>0</v>
      </c>
      <c r="I30" s="239">
        <f t="shared" ca="1" si="23"/>
        <v>0</v>
      </c>
      <c r="J30" s="239">
        <f t="shared" ca="1" si="23"/>
        <v>0</v>
      </c>
      <c r="K30" s="239">
        <f t="shared" ca="1" si="23"/>
        <v>0</v>
      </c>
      <c r="L30" s="239">
        <f t="shared" si="23"/>
        <v>0</v>
      </c>
      <c r="M30" s="239">
        <f t="shared" si="23"/>
        <v>0</v>
      </c>
      <c r="N30" s="239">
        <f t="shared" si="23"/>
        <v>0</v>
      </c>
      <c r="O30" s="239">
        <f t="shared" si="23"/>
        <v>0</v>
      </c>
      <c r="P30" s="237"/>
      <c r="Q30" s="237"/>
      <c r="R30" s="237"/>
      <c r="S30" s="237"/>
      <c r="T30" s="237"/>
      <c r="U30" s="237"/>
      <c r="V30" s="237"/>
      <c r="W30" s="237"/>
      <c r="X30" s="237"/>
      <c r="Y30" s="237"/>
      <c r="Z30" s="237"/>
      <c r="AA30" s="237"/>
      <c r="AB30" s="237"/>
      <c r="AC30" s="237"/>
      <c r="AD30" s="237"/>
      <c r="AE30" s="361">
        <f t="shared" ca="1" si="1"/>
        <v>0</v>
      </c>
      <c r="AF30" s="578">
        <f t="shared" ca="1" si="0"/>
        <v>0</v>
      </c>
      <c r="AG30" s="1046"/>
      <c r="AH30" s="1037"/>
      <c r="AI30" s="1037"/>
      <c r="AJ30" s="1037"/>
      <c r="AK30" s="1037"/>
      <c r="AL30" s="1037">
        <v>4.6199999999999998E-2</v>
      </c>
      <c r="AM30" s="1037"/>
      <c r="AN30" s="1037"/>
      <c r="AO30" s="1039"/>
      <c r="AP30" s="1037"/>
      <c r="AQ30" s="1037"/>
      <c r="AR30" s="1037"/>
      <c r="AS30" s="1037"/>
      <c r="AT30" s="1037"/>
      <c r="AU30" s="1037">
        <v>4.6199999999999998E-2</v>
      </c>
      <c r="AV30" s="1037"/>
      <c r="AW30" s="1037"/>
      <c r="AX30" s="1039"/>
      <c r="AY30" s="1037"/>
      <c r="AZ30" s="1037"/>
      <c r="BA30" s="1037"/>
      <c r="BB30" s="1037"/>
      <c r="BC30" s="1037"/>
      <c r="BD30" s="1037"/>
      <c r="BE30" s="1039"/>
      <c r="BF30" s="1039"/>
      <c r="BG30" s="1037"/>
      <c r="BH30" s="1037"/>
      <c r="BI30" s="1037"/>
      <c r="BJ30" s="1037"/>
      <c r="BK30" s="1037"/>
      <c r="BL30" s="1039"/>
      <c r="BM30" s="1040"/>
      <c r="BN30" s="1037"/>
      <c r="BO30" s="972"/>
    </row>
    <row r="31" spans="1:67" ht="21.95" hidden="1" customHeight="1" x14ac:dyDescent="0.15">
      <c r="A31" s="2627"/>
      <c r="B31" s="2522" t="s">
        <v>1174</v>
      </c>
      <c r="C31" s="549">
        <v>0.6</v>
      </c>
      <c r="D31" s="1002"/>
      <c r="E31" s="1286"/>
      <c r="F31" s="158">
        <f t="shared" ref="F31:O35" ca="1" si="24">IF(F$4&lt;&gt;$C31,0,IF(AND(F$5="PA-2",F$9=2),F$2*F$3,0))</f>
        <v>0</v>
      </c>
      <c r="G31" s="158">
        <f t="shared" ca="1" si="24"/>
        <v>0</v>
      </c>
      <c r="H31" s="158">
        <f t="shared" ca="1" si="24"/>
        <v>0</v>
      </c>
      <c r="I31" s="158">
        <f t="shared" ca="1" si="24"/>
        <v>0</v>
      </c>
      <c r="J31" s="158">
        <f t="shared" ca="1" si="24"/>
        <v>0</v>
      </c>
      <c r="K31" s="158">
        <f t="shared" ca="1" si="24"/>
        <v>0</v>
      </c>
      <c r="L31" s="158">
        <f t="shared" si="24"/>
        <v>0</v>
      </c>
      <c r="M31" s="158">
        <f t="shared" si="24"/>
        <v>0</v>
      </c>
      <c r="N31" s="158">
        <f t="shared" si="24"/>
        <v>0</v>
      </c>
      <c r="O31" s="158">
        <f t="shared" si="24"/>
        <v>0</v>
      </c>
      <c r="P31" s="159"/>
      <c r="Q31" s="159"/>
      <c r="R31" s="159"/>
      <c r="S31" s="159"/>
      <c r="T31" s="159"/>
      <c r="U31" s="159"/>
      <c r="V31" s="159"/>
      <c r="W31" s="159"/>
      <c r="X31" s="159"/>
      <c r="Y31" s="159"/>
      <c r="Z31" s="159"/>
      <c r="AA31" s="159"/>
      <c r="AB31" s="159"/>
      <c r="AC31" s="159"/>
      <c r="AD31" s="159"/>
      <c r="AE31" s="362">
        <f t="shared" ca="1" si="1"/>
        <v>0</v>
      </c>
      <c r="AF31" s="578">
        <f t="shared" ca="1" si="0"/>
        <v>0</v>
      </c>
      <c r="AG31" s="1046"/>
      <c r="AH31" s="1037"/>
      <c r="AI31" s="1037"/>
      <c r="AJ31" s="1037"/>
      <c r="AK31" s="1037"/>
      <c r="AL31" s="1037">
        <v>5.0000000000000001E-3</v>
      </c>
      <c r="AM31" s="1037"/>
      <c r="AN31" s="1037"/>
      <c r="AO31" s="1039"/>
      <c r="AP31" s="1037"/>
      <c r="AQ31" s="1037"/>
      <c r="AR31" s="1037"/>
      <c r="AS31" s="1037"/>
      <c r="AT31" s="1037"/>
      <c r="AU31" s="1037">
        <v>5.0000000000000001E-3</v>
      </c>
      <c r="AV31" s="1037"/>
      <c r="AW31" s="1037"/>
      <c r="AX31" s="1039"/>
      <c r="AY31" s="1037"/>
      <c r="AZ31" s="1037"/>
      <c r="BA31" s="1037"/>
      <c r="BB31" s="1037"/>
      <c r="BC31" s="1037"/>
      <c r="BD31" s="1037"/>
      <c r="BE31" s="1039"/>
      <c r="BF31" s="1039"/>
      <c r="BG31" s="1037"/>
      <c r="BH31" s="1037"/>
      <c r="BI31" s="1037"/>
      <c r="BJ31" s="1037"/>
      <c r="BK31" s="1037"/>
      <c r="BL31" s="1039"/>
      <c r="BM31" s="1040"/>
      <c r="BN31" s="1037"/>
      <c r="BO31" s="972"/>
    </row>
    <row r="32" spans="1:67" ht="21.95" hidden="1" customHeight="1" x14ac:dyDescent="0.15">
      <c r="A32" s="2627"/>
      <c r="B32" s="2523"/>
      <c r="C32" s="566">
        <v>0.8</v>
      </c>
      <c r="D32" s="1002"/>
      <c r="E32" s="1286"/>
      <c r="F32" s="158">
        <f t="shared" ca="1" si="24"/>
        <v>0</v>
      </c>
      <c r="G32" s="158">
        <f t="shared" ref="G32:O35" ca="1" si="25">IF(G$4&lt;&gt;$C32,0,IF(AND(G$5="PA-2",G$9=2),G$2*G$3,0))</f>
        <v>0</v>
      </c>
      <c r="H32" s="158">
        <f t="shared" ca="1" si="25"/>
        <v>0</v>
      </c>
      <c r="I32" s="158">
        <f t="shared" ca="1" si="25"/>
        <v>0</v>
      </c>
      <c r="J32" s="158">
        <f t="shared" ca="1" si="25"/>
        <v>0</v>
      </c>
      <c r="K32" s="158">
        <f t="shared" ca="1" si="25"/>
        <v>0</v>
      </c>
      <c r="L32" s="158">
        <f t="shared" si="25"/>
        <v>0</v>
      </c>
      <c r="M32" s="158">
        <f t="shared" si="25"/>
        <v>0</v>
      </c>
      <c r="N32" s="158">
        <f t="shared" si="25"/>
        <v>0</v>
      </c>
      <c r="O32" s="158">
        <f t="shared" si="25"/>
        <v>0</v>
      </c>
      <c r="P32" s="159"/>
      <c r="Q32" s="159"/>
      <c r="R32" s="159"/>
      <c r="S32" s="159"/>
      <c r="T32" s="159"/>
      <c r="U32" s="159"/>
      <c r="V32" s="159"/>
      <c r="W32" s="159"/>
      <c r="X32" s="159"/>
      <c r="Y32" s="159"/>
      <c r="Z32" s="159"/>
      <c r="AA32" s="159"/>
      <c r="AB32" s="159"/>
      <c r="AC32" s="159"/>
      <c r="AD32" s="159"/>
      <c r="AE32" s="350">
        <f t="shared" ca="1" si="1"/>
        <v>0</v>
      </c>
      <c r="AF32" s="578">
        <f t="shared" ca="1" si="0"/>
        <v>0</v>
      </c>
      <c r="AG32" s="1046"/>
      <c r="AH32" s="1037"/>
      <c r="AI32" s="1037"/>
      <c r="AJ32" s="1037"/>
      <c r="AK32" s="1037"/>
      <c r="AL32" s="1037">
        <v>1.2E-2</v>
      </c>
      <c r="AM32" s="1037"/>
      <c r="AN32" s="1037"/>
      <c r="AO32" s="1039"/>
      <c r="AP32" s="1037"/>
      <c r="AQ32" s="1037"/>
      <c r="AR32" s="1037"/>
      <c r="AS32" s="1037"/>
      <c r="AT32" s="1037"/>
      <c r="AU32" s="1037">
        <v>1.2E-2</v>
      </c>
      <c r="AV32" s="1037"/>
      <c r="AW32" s="1037"/>
      <c r="AX32" s="1039"/>
      <c r="AY32" s="1037"/>
      <c r="AZ32" s="1037"/>
      <c r="BA32" s="1037"/>
      <c r="BB32" s="1037"/>
      <c r="BC32" s="1037"/>
      <c r="BD32" s="1037"/>
      <c r="BE32" s="1039"/>
      <c r="BF32" s="1039"/>
      <c r="BG32" s="1037"/>
      <c r="BH32" s="1037"/>
      <c r="BI32" s="1037"/>
      <c r="BJ32" s="1037"/>
      <c r="BK32" s="1037"/>
      <c r="BL32" s="1039"/>
      <c r="BM32" s="1040"/>
      <c r="BN32" s="1037"/>
      <c r="BO32" s="972"/>
    </row>
    <row r="33" spans="1:67" ht="21.95" hidden="1" customHeight="1" x14ac:dyDescent="0.15">
      <c r="A33" s="2627"/>
      <c r="B33" s="2523"/>
      <c r="C33" s="566">
        <v>1</v>
      </c>
      <c r="D33" s="1002"/>
      <c r="E33" s="1286"/>
      <c r="F33" s="158">
        <f t="shared" ca="1" si="24"/>
        <v>0</v>
      </c>
      <c r="G33" s="158">
        <f t="shared" ca="1" si="25"/>
        <v>0</v>
      </c>
      <c r="H33" s="158">
        <f t="shared" ca="1" si="25"/>
        <v>0</v>
      </c>
      <c r="I33" s="158">
        <f t="shared" ca="1" si="25"/>
        <v>0</v>
      </c>
      <c r="J33" s="158">
        <f t="shared" ca="1" si="25"/>
        <v>0</v>
      </c>
      <c r="K33" s="158">
        <f t="shared" ca="1" si="25"/>
        <v>0</v>
      </c>
      <c r="L33" s="158">
        <f t="shared" si="25"/>
        <v>0</v>
      </c>
      <c r="M33" s="158">
        <f t="shared" si="25"/>
        <v>0</v>
      </c>
      <c r="N33" s="158">
        <f t="shared" si="25"/>
        <v>0</v>
      </c>
      <c r="O33" s="158">
        <f t="shared" si="25"/>
        <v>0</v>
      </c>
      <c r="P33" s="159"/>
      <c r="Q33" s="159"/>
      <c r="R33" s="159"/>
      <c r="S33" s="159"/>
      <c r="T33" s="159"/>
      <c r="U33" s="159"/>
      <c r="V33" s="159"/>
      <c r="W33" s="159"/>
      <c r="X33" s="159"/>
      <c r="Y33" s="159"/>
      <c r="Z33" s="159"/>
      <c r="AA33" s="159"/>
      <c r="AB33" s="159"/>
      <c r="AC33" s="159"/>
      <c r="AD33" s="159"/>
      <c r="AE33" s="350">
        <f t="shared" ca="1" si="1"/>
        <v>0</v>
      </c>
      <c r="AF33" s="578">
        <f t="shared" ca="1" si="0"/>
        <v>0</v>
      </c>
      <c r="AG33" s="1046"/>
      <c r="AH33" s="1037"/>
      <c r="AI33" s="1037"/>
      <c r="AJ33" s="1037"/>
      <c r="AK33" s="1037"/>
      <c r="AL33" s="1037">
        <v>2.8000000000000001E-2</v>
      </c>
      <c r="AM33" s="1037"/>
      <c r="AN33" s="1037"/>
      <c r="AO33" s="1039"/>
      <c r="AP33" s="1037"/>
      <c r="AQ33" s="1037"/>
      <c r="AR33" s="1037"/>
      <c r="AS33" s="1037"/>
      <c r="AT33" s="1037"/>
      <c r="AU33" s="1037">
        <v>2.8000000000000001E-2</v>
      </c>
      <c r="AV33" s="1037"/>
      <c r="AW33" s="1037"/>
      <c r="AX33" s="1039"/>
      <c r="AY33" s="1037"/>
      <c r="AZ33" s="1037"/>
      <c r="BA33" s="1037"/>
      <c r="BB33" s="1037"/>
      <c r="BC33" s="1037"/>
      <c r="BD33" s="1037"/>
      <c r="BE33" s="1039"/>
      <c r="BF33" s="1039"/>
      <c r="BG33" s="1037"/>
      <c r="BH33" s="1037"/>
      <c r="BI33" s="1037"/>
      <c r="BJ33" s="1037"/>
      <c r="BK33" s="1037"/>
      <c r="BL33" s="1039"/>
      <c r="BM33" s="1040"/>
      <c r="BN33" s="1037"/>
      <c r="BO33" s="972"/>
    </row>
    <row r="34" spans="1:67" ht="21.95" hidden="1" customHeight="1" x14ac:dyDescent="0.15">
      <c r="A34" s="2627"/>
      <c r="B34" s="2523"/>
      <c r="C34" s="566">
        <v>1.2</v>
      </c>
      <c r="D34" s="1002"/>
      <c r="E34" s="1286"/>
      <c r="F34" s="158">
        <f t="shared" ca="1" si="24"/>
        <v>0</v>
      </c>
      <c r="G34" s="158">
        <f t="shared" ca="1" si="25"/>
        <v>0</v>
      </c>
      <c r="H34" s="158">
        <f t="shared" ca="1" si="25"/>
        <v>0</v>
      </c>
      <c r="I34" s="158">
        <f t="shared" ca="1" si="25"/>
        <v>0</v>
      </c>
      <c r="J34" s="158">
        <f t="shared" ca="1" si="25"/>
        <v>0</v>
      </c>
      <c r="K34" s="158">
        <f t="shared" ca="1" si="25"/>
        <v>0</v>
      </c>
      <c r="L34" s="158">
        <f t="shared" si="25"/>
        <v>0</v>
      </c>
      <c r="M34" s="158">
        <f t="shared" si="25"/>
        <v>0</v>
      </c>
      <c r="N34" s="158">
        <f t="shared" si="25"/>
        <v>0</v>
      </c>
      <c r="O34" s="158">
        <f t="shared" si="25"/>
        <v>0</v>
      </c>
      <c r="P34" s="159"/>
      <c r="Q34" s="159"/>
      <c r="R34" s="159"/>
      <c r="S34" s="159"/>
      <c r="T34" s="159"/>
      <c r="U34" s="159"/>
      <c r="V34" s="159"/>
      <c r="W34" s="159"/>
      <c r="X34" s="159"/>
      <c r="Y34" s="159"/>
      <c r="Z34" s="159"/>
      <c r="AA34" s="159"/>
      <c r="AB34" s="159"/>
      <c r="AC34" s="159"/>
      <c r="AD34" s="159"/>
      <c r="AE34" s="350">
        <f t="shared" ca="1" si="1"/>
        <v>0</v>
      </c>
      <c r="AF34" s="578">
        <f t="shared" ref="AF34:AF65" ca="1" si="26">SUM(F34:AE34)</f>
        <v>0</v>
      </c>
      <c r="AG34" s="1046"/>
      <c r="AH34" s="1037"/>
      <c r="AI34" s="1037"/>
      <c r="AJ34" s="1037"/>
      <c r="AK34" s="1037"/>
      <c r="AL34" s="1037">
        <v>3.4700000000000002E-2</v>
      </c>
      <c r="AM34" s="1037"/>
      <c r="AN34" s="1037"/>
      <c r="AO34" s="1039"/>
      <c r="AP34" s="1037"/>
      <c r="AQ34" s="1037"/>
      <c r="AR34" s="1037"/>
      <c r="AS34" s="1037"/>
      <c r="AT34" s="1037"/>
      <c r="AU34" s="1037">
        <v>3.4700000000000002E-2</v>
      </c>
      <c r="AV34" s="1037"/>
      <c r="AW34" s="1037"/>
      <c r="AX34" s="1039"/>
      <c r="AY34" s="1037"/>
      <c r="AZ34" s="1037"/>
      <c r="BA34" s="1037"/>
      <c r="BB34" s="1037"/>
      <c r="BC34" s="1037"/>
      <c r="BD34" s="1037"/>
      <c r="BE34" s="1039"/>
      <c r="BF34" s="1039"/>
      <c r="BG34" s="1037"/>
      <c r="BH34" s="1037"/>
      <c r="BI34" s="1037"/>
      <c r="BJ34" s="1037"/>
      <c r="BK34" s="1037"/>
      <c r="BL34" s="1039"/>
      <c r="BM34" s="1040"/>
      <c r="BN34" s="1037"/>
      <c r="BO34" s="972"/>
    </row>
    <row r="35" spans="1:67" ht="21.95" hidden="1" customHeight="1" thickBot="1" x14ac:dyDescent="0.2">
      <c r="A35" s="2627"/>
      <c r="B35" s="2524"/>
      <c r="C35" s="565">
        <v>1.5</v>
      </c>
      <c r="D35" s="1002"/>
      <c r="E35" s="1286"/>
      <c r="F35" s="158">
        <f t="shared" ca="1" si="24"/>
        <v>0</v>
      </c>
      <c r="G35" s="158">
        <f t="shared" ca="1" si="25"/>
        <v>0</v>
      </c>
      <c r="H35" s="158">
        <f t="shared" ca="1" si="25"/>
        <v>0</v>
      </c>
      <c r="I35" s="158">
        <f t="shared" ca="1" si="25"/>
        <v>0</v>
      </c>
      <c r="J35" s="158">
        <f t="shared" ca="1" si="25"/>
        <v>0</v>
      </c>
      <c r="K35" s="158">
        <f t="shared" ca="1" si="25"/>
        <v>0</v>
      </c>
      <c r="L35" s="158">
        <f t="shared" si="25"/>
        <v>0</v>
      </c>
      <c r="M35" s="158">
        <f t="shared" si="25"/>
        <v>0</v>
      </c>
      <c r="N35" s="158">
        <f t="shared" si="25"/>
        <v>0</v>
      </c>
      <c r="O35" s="158">
        <f t="shared" si="25"/>
        <v>0</v>
      </c>
      <c r="P35" s="159"/>
      <c r="Q35" s="159"/>
      <c r="R35" s="159"/>
      <c r="S35" s="159"/>
      <c r="T35" s="159"/>
      <c r="U35" s="159"/>
      <c r="V35" s="159"/>
      <c r="W35" s="159"/>
      <c r="X35" s="159"/>
      <c r="Y35" s="159"/>
      <c r="Z35" s="159"/>
      <c r="AA35" s="159"/>
      <c r="AB35" s="159"/>
      <c r="AC35" s="159"/>
      <c r="AD35" s="159"/>
      <c r="AE35" s="361">
        <f t="shared" ca="1" si="1"/>
        <v>0</v>
      </c>
      <c r="AF35" s="578">
        <f t="shared" ca="1" si="26"/>
        <v>0</v>
      </c>
      <c r="AG35" s="1046"/>
      <c r="AH35" s="1037"/>
      <c r="AI35" s="1037"/>
      <c r="AJ35" s="1037"/>
      <c r="AK35" s="1037"/>
      <c r="AL35" s="1037">
        <v>4.6199999999999998E-2</v>
      </c>
      <c r="AM35" s="1037"/>
      <c r="AN35" s="1037"/>
      <c r="AO35" s="1039"/>
      <c r="AP35" s="1037"/>
      <c r="AQ35" s="1037"/>
      <c r="AR35" s="1037"/>
      <c r="AS35" s="1037"/>
      <c r="AT35" s="1037"/>
      <c r="AU35" s="1037">
        <v>4.6199999999999998E-2</v>
      </c>
      <c r="AV35" s="1037"/>
      <c r="AW35" s="1037"/>
      <c r="AX35" s="1039"/>
      <c r="AY35" s="1037"/>
      <c r="AZ35" s="1037"/>
      <c r="BA35" s="1037"/>
      <c r="BB35" s="1037"/>
      <c r="BC35" s="1037"/>
      <c r="BD35" s="1037"/>
      <c r="BE35" s="1039"/>
      <c r="BF35" s="1039"/>
      <c r="BG35" s="1037"/>
      <c r="BH35" s="1037"/>
      <c r="BI35" s="1037"/>
      <c r="BJ35" s="1037"/>
      <c r="BK35" s="1037"/>
      <c r="BL35" s="1039"/>
      <c r="BM35" s="1040"/>
      <c r="BN35" s="1037"/>
      <c r="BO35" s="972"/>
    </row>
    <row r="36" spans="1:67" ht="21.95" hidden="1" customHeight="1" x14ac:dyDescent="0.15">
      <c r="A36" s="2627"/>
      <c r="B36" s="2522" t="s">
        <v>1175</v>
      </c>
      <c r="C36" s="549" t="s">
        <v>1116</v>
      </c>
      <c r="D36" s="1001"/>
      <c r="E36" s="2230"/>
      <c r="F36" s="238">
        <f>Dren_Quantificacao!D150+Dren_Quantificacao!D153</f>
        <v>0</v>
      </c>
      <c r="G36" s="238">
        <f>Dren_Quantificacao!E150+Dren_Quantificacao!E153</f>
        <v>0</v>
      </c>
      <c r="H36" s="238">
        <f>Dren_Quantificacao!F150+Dren_Quantificacao!F153</f>
        <v>0</v>
      </c>
      <c r="I36" s="238">
        <f>Dren_Quantificacao!G150+Dren_Quantificacao!G153</f>
        <v>0</v>
      </c>
      <c r="J36" s="238">
        <f>Dren_Quantificacao!H150+Dren_Quantificacao!H153</f>
        <v>0</v>
      </c>
      <c r="K36" s="238">
        <f>Dren_Quantificacao!I150+Dren_Quantificacao!I153</f>
        <v>0</v>
      </c>
      <c r="L36" s="238">
        <f>Dren_Quantificacao!J150+Dren_Quantificacao!J153</f>
        <v>0</v>
      </c>
      <c r="M36" s="238">
        <f>Dren_Quantificacao!K150+Dren_Quantificacao!K153</f>
        <v>0</v>
      </c>
      <c r="N36" s="238">
        <f>Dren_Quantificacao!L150+Dren_Quantificacao!L153</f>
        <v>0</v>
      </c>
      <c r="O36" s="238">
        <f>Dren_Quantificacao!M150+Dren_Quantificacao!M153</f>
        <v>0</v>
      </c>
      <c r="P36" s="241"/>
      <c r="Q36" s="241"/>
      <c r="R36" s="241"/>
      <c r="S36" s="241"/>
      <c r="T36" s="241"/>
      <c r="U36" s="241"/>
      <c r="V36" s="241"/>
      <c r="W36" s="241"/>
      <c r="X36" s="241"/>
      <c r="Y36" s="241"/>
      <c r="Z36" s="241"/>
      <c r="AA36" s="241"/>
      <c r="AB36" s="241"/>
      <c r="AC36" s="241"/>
      <c r="AD36" s="241"/>
      <c r="AE36" s="362">
        <f t="shared" si="1"/>
        <v>0</v>
      </c>
      <c r="AF36" s="578">
        <f t="shared" si="26"/>
        <v>0</v>
      </c>
      <c r="AG36" s="1046"/>
      <c r="AH36" s="1037"/>
      <c r="AI36" s="1037"/>
      <c r="AJ36" s="1037"/>
      <c r="AK36" s="1037"/>
      <c r="AL36" s="1037"/>
      <c r="AM36" s="1037"/>
      <c r="AN36" s="1037"/>
      <c r="AO36" s="1039"/>
      <c r="AP36" s="1037"/>
      <c r="AQ36" s="1037"/>
      <c r="AR36" s="1037"/>
      <c r="AS36" s="1037"/>
      <c r="AT36" s="1037"/>
      <c r="AU36" s="1037"/>
      <c r="AV36" s="1037"/>
      <c r="AW36" s="1037"/>
      <c r="AX36" s="1039"/>
      <c r="AY36" s="1037"/>
      <c r="AZ36" s="1037"/>
      <c r="BA36" s="1037"/>
      <c r="BB36" s="1037"/>
      <c r="BC36" s="1037"/>
      <c r="BD36" s="1037"/>
      <c r="BE36" s="1039"/>
      <c r="BF36" s="1039"/>
      <c r="BG36" s="1037"/>
      <c r="BH36" s="1037"/>
      <c r="BI36" s="1037"/>
      <c r="BJ36" s="1037"/>
      <c r="BK36" s="1037"/>
      <c r="BL36" s="1039"/>
      <c r="BM36" s="1040"/>
      <c r="BN36" s="1037"/>
      <c r="BO36" s="972"/>
    </row>
    <row r="37" spans="1:67" ht="21.95" hidden="1" customHeight="1" x14ac:dyDescent="0.15">
      <c r="A37" s="2627"/>
      <c r="B37" s="2523"/>
      <c r="C37" s="566">
        <v>0.5</v>
      </c>
      <c r="D37" s="1002"/>
      <c r="E37" s="1286"/>
      <c r="F37" s="158">
        <f t="shared" ref="F37:O37" ca="1" si="27">IF(F$4&lt;&gt;$C37,0,IF(AND(F$5="P",F$9=1),F$2*F$3,0))</f>
        <v>0</v>
      </c>
      <c r="G37" s="158">
        <f t="shared" ca="1" si="27"/>
        <v>0</v>
      </c>
      <c r="H37" s="158">
        <f t="shared" ca="1" si="27"/>
        <v>0</v>
      </c>
      <c r="I37" s="158">
        <f t="shared" ca="1" si="27"/>
        <v>0</v>
      </c>
      <c r="J37" s="158">
        <f t="shared" ca="1" si="27"/>
        <v>0</v>
      </c>
      <c r="K37" s="158">
        <f t="shared" ca="1" si="27"/>
        <v>0</v>
      </c>
      <c r="L37" s="158">
        <f t="shared" si="27"/>
        <v>0</v>
      </c>
      <c r="M37" s="158">
        <f t="shared" si="27"/>
        <v>0</v>
      </c>
      <c r="N37" s="158">
        <f t="shared" si="27"/>
        <v>0</v>
      </c>
      <c r="O37" s="158">
        <f t="shared" si="27"/>
        <v>0</v>
      </c>
      <c r="P37" s="159"/>
      <c r="Q37" s="159"/>
      <c r="R37" s="159"/>
      <c r="S37" s="159"/>
      <c r="T37" s="159"/>
      <c r="U37" s="159"/>
      <c r="V37" s="159"/>
      <c r="W37" s="159"/>
      <c r="X37" s="159"/>
      <c r="Y37" s="159"/>
      <c r="Z37" s="159"/>
      <c r="AA37" s="159"/>
      <c r="AB37" s="159"/>
      <c r="AC37" s="159"/>
      <c r="AD37" s="159"/>
      <c r="AE37" s="350">
        <f t="shared" ca="1" si="1"/>
        <v>0</v>
      </c>
      <c r="AF37" s="578">
        <f t="shared" ca="1" si="26"/>
        <v>0</v>
      </c>
      <c r="AG37" s="1046"/>
      <c r="AH37" s="1037"/>
      <c r="AI37" s="1037"/>
      <c r="AJ37" s="1037"/>
      <c r="AK37" s="1037"/>
      <c r="AL37" s="1037"/>
      <c r="AM37" s="1037"/>
      <c r="AN37" s="1037"/>
      <c r="AO37" s="1039"/>
      <c r="AP37" s="1037"/>
      <c r="AQ37" s="1037"/>
      <c r="AR37" s="1037"/>
      <c r="AS37" s="1037"/>
      <c r="AT37" s="1037"/>
      <c r="AU37" s="1037"/>
      <c r="AV37" s="1037"/>
      <c r="AW37" s="1037"/>
      <c r="AX37" s="1039"/>
      <c r="AY37" s="1037"/>
      <c r="AZ37" s="1037"/>
      <c r="BA37" s="1037"/>
      <c r="BB37" s="1037"/>
      <c r="BC37" s="1037"/>
      <c r="BD37" s="1037"/>
      <c r="BE37" s="1039"/>
      <c r="BF37" s="1039"/>
      <c r="BG37" s="1037"/>
      <c r="BH37" s="1037"/>
      <c r="BI37" s="1037"/>
      <c r="BJ37" s="1037"/>
      <c r="BK37" s="1037"/>
      <c r="BL37" s="1039"/>
      <c r="BM37" s="1040"/>
      <c r="BN37" s="1037"/>
      <c r="BO37" s="972"/>
    </row>
    <row r="38" spans="1:67" ht="21.95" hidden="1" customHeight="1" x14ac:dyDescent="0.15">
      <c r="A38" s="2627"/>
      <c r="B38" s="2523"/>
      <c r="C38" s="567" t="s">
        <v>1566</v>
      </c>
      <c r="D38" s="1002"/>
      <c r="E38" s="1286"/>
      <c r="F38" s="158">
        <f>Dren_Quantificacao!D152+Dren_Quantificacao!D154</f>
        <v>0</v>
      </c>
      <c r="G38" s="158">
        <f>Dren_Quantificacao!E152+Dren_Quantificacao!E154</f>
        <v>0</v>
      </c>
      <c r="H38" s="158">
        <f>Dren_Quantificacao!F152+Dren_Quantificacao!F154</f>
        <v>0</v>
      </c>
      <c r="I38" s="158">
        <f>Dren_Quantificacao!G152+Dren_Quantificacao!G154</f>
        <v>0</v>
      </c>
      <c r="J38" s="158">
        <f>Dren_Quantificacao!H152+Dren_Quantificacao!H154</f>
        <v>0</v>
      </c>
      <c r="K38" s="158">
        <f>Dren_Quantificacao!I152+Dren_Quantificacao!I154</f>
        <v>0</v>
      </c>
      <c r="L38" s="158">
        <f>Dren_Quantificacao!J152+Dren_Quantificacao!J154</f>
        <v>0</v>
      </c>
      <c r="M38" s="158">
        <f>Dren_Quantificacao!K152+Dren_Quantificacao!K154</f>
        <v>0</v>
      </c>
      <c r="N38" s="158">
        <f>Dren_Quantificacao!L152+Dren_Quantificacao!L154</f>
        <v>0</v>
      </c>
      <c r="O38" s="158">
        <f>Dren_Quantificacao!M152+Dren_Quantificacao!M154</f>
        <v>0</v>
      </c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59"/>
      <c r="AC38" s="159"/>
      <c r="AD38" s="159"/>
      <c r="AE38" s="350">
        <f t="shared" si="1"/>
        <v>0</v>
      </c>
      <c r="AF38" s="578">
        <f t="shared" si="26"/>
        <v>0</v>
      </c>
      <c r="AG38" s="1046"/>
      <c r="AH38" s="1037"/>
      <c r="AI38" s="1037"/>
      <c r="AJ38" s="1037"/>
      <c r="AK38" s="1037"/>
      <c r="AL38" s="1037"/>
      <c r="AM38" s="1037"/>
      <c r="AN38" s="1037"/>
      <c r="AO38" s="1039"/>
      <c r="AP38" s="1037"/>
      <c r="AQ38" s="1037"/>
      <c r="AR38" s="1037"/>
      <c r="AS38" s="1037"/>
      <c r="AT38" s="1037"/>
      <c r="AU38" s="1037"/>
      <c r="AV38" s="1037"/>
      <c r="AW38" s="1037"/>
      <c r="AX38" s="1039"/>
      <c r="AY38" s="1037"/>
      <c r="AZ38" s="1037"/>
      <c r="BA38" s="1037"/>
      <c r="BB38" s="1037"/>
      <c r="BC38" s="1037"/>
      <c r="BD38" s="1037"/>
      <c r="BE38" s="1039"/>
      <c r="BF38" s="1039"/>
      <c r="BG38" s="1037"/>
      <c r="BH38" s="1037"/>
      <c r="BI38" s="1037"/>
      <c r="BJ38" s="1037"/>
      <c r="BK38" s="1037"/>
      <c r="BL38" s="1039"/>
      <c r="BM38" s="1040"/>
      <c r="BN38" s="1037"/>
      <c r="BO38" s="972"/>
    </row>
    <row r="39" spans="1:67" ht="21.95" hidden="1" customHeight="1" x14ac:dyDescent="0.15">
      <c r="A39" s="2627"/>
      <c r="B39" s="2523"/>
      <c r="C39" s="566">
        <v>0.6</v>
      </c>
      <c r="D39" s="1002"/>
      <c r="E39" s="1286"/>
      <c r="F39" s="158">
        <f t="shared" ref="F39:F45" ca="1" si="28">IF(F$4&lt;&gt;$C39,0,IF(AND(F$5="P",F$9=1),F$2*F$3,0))</f>
        <v>0</v>
      </c>
      <c r="G39" s="158">
        <f t="shared" ref="G39:O45" ca="1" si="29">IF(G$4&lt;&gt;$C39,0,IF(AND(G$5="P",G$9=1),G$2*G$3,0))</f>
        <v>0</v>
      </c>
      <c r="H39" s="158">
        <f t="shared" ca="1" si="29"/>
        <v>0</v>
      </c>
      <c r="I39" s="158">
        <f t="shared" ca="1" si="29"/>
        <v>0</v>
      </c>
      <c r="J39" s="158">
        <f t="shared" ca="1" si="29"/>
        <v>0</v>
      </c>
      <c r="K39" s="158">
        <f t="shared" ca="1" si="29"/>
        <v>0</v>
      </c>
      <c r="L39" s="158">
        <f t="shared" si="29"/>
        <v>0</v>
      </c>
      <c r="M39" s="158">
        <f t="shared" si="29"/>
        <v>0</v>
      </c>
      <c r="N39" s="158">
        <f t="shared" si="29"/>
        <v>0</v>
      </c>
      <c r="O39" s="158">
        <f t="shared" si="29"/>
        <v>0</v>
      </c>
      <c r="P39" s="159"/>
      <c r="Q39" s="159"/>
      <c r="R39" s="159"/>
      <c r="S39" s="159"/>
      <c r="T39" s="159"/>
      <c r="U39" s="159"/>
      <c r="V39" s="159"/>
      <c r="W39" s="159"/>
      <c r="X39" s="159"/>
      <c r="Y39" s="159"/>
      <c r="Z39" s="159"/>
      <c r="AA39" s="159"/>
      <c r="AB39" s="159"/>
      <c r="AC39" s="159"/>
      <c r="AD39" s="159"/>
      <c r="AE39" s="350">
        <f t="shared" ca="1" si="1"/>
        <v>0</v>
      </c>
      <c r="AF39" s="578">
        <f t="shared" ca="1" si="26"/>
        <v>0</v>
      </c>
      <c r="AG39" s="1046"/>
      <c r="AH39" s="1037"/>
      <c r="AI39" s="1037"/>
      <c r="AJ39" s="1037"/>
      <c r="AK39" s="1037"/>
      <c r="AL39" s="1037"/>
      <c r="AM39" s="1037"/>
      <c r="AN39" s="1037"/>
      <c r="AO39" s="1039"/>
      <c r="AP39" s="1037"/>
      <c r="AQ39" s="1037"/>
      <c r="AR39" s="1037"/>
      <c r="AS39" s="1037"/>
      <c r="AT39" s="1037"/>
      <c r="AU39" s="1037"/>
      <c r="AV39" s="1037"/>
      <c r="AW39" s="1037"/>
      <c r="AX39" s="1039"/>
      <c r="AY39" s="1037"/>
      <c r="AZ39" s="1037"/>
      <c r="BA39" s="1037"/>
      <c r="BB39" s="1037"/>
      <c r="BC39" s="1037"/>
      <c r="BD39" s="1037"/>
      <c r="BE39" s="1039"/>
      <c r="BF39" s="1039"/>
      <c r="BG39" s="1037"/>
      <c r="BH39" s="1037"/>
      <c r="BI39" s="1037"/>
      <c r="BJ39" s="1037"/>
      <c r="BK39" s="1037"/>
      <c r="BL39" s="1039"/>
      <c r="BM39" s="1040"/>
      <c r="BN39" s="1037"/>
      <c r="BO39" s="972"/>
    </row>
    <row r="40" spans="1:67" ht="21.95" hidden="1" customHeight="1" x14ac:dyDescent="0.15">
      <c r="A40" s="2627"/>
      <c r="B40" s="2523"/>
      <c r="C40" s="566">
        <v>0.75</v>
      </c>
      <c r="D40" s="1002"/>
      <c r="E40" s="1286"/>
      <c r="F40" s="158">
        <f t="shared" ca="1" si="28"/>
        <v>0</v>
      </c>
      <c r="G40" s="158">
        <f t="shared" ca="1" si="29"/>
        <v>0</v>
      </c>
      <c r="H40" s="158">
        <f t="shared" ca="1" si="29"/>
        <v>0</v>
      </c>
      <c r="I40" s="158">
        <f t="shared" ca="1" si="29"/>
        <v>0</v>
      </c>
      <c r="J40" s="158">
        <f t="shared" ca="1" si="29"/>
        <v>0</v>
      </c>
      <c r="K40" s="158">
        <f t="shared" ca="1" si="29"/>
        <v>0</v>
      </c>
      <c r="L40" s="158">
        <f t="shared" si="29"/>
        <v>0</v>
      </c>
      <c r="M40" s="158">
        <f t="shared" si="29"/>
        <v>0</v>
      </c>
      <c r="N40" s="158">
        <f t="shared" si="29"/>
        <v>0</v>
      </c>
      <c r="O40" s="158">
        <f t="shared" si="29"/>
        <v>0</v>
      </c>
      <c r="P40" s="159"/>
      <c r="Q40" s="159"/>
      <c r="R40" s="159"/>
      <c r="S40" s="159"/>
      <c r="T40" s="159"/>
      <c r="U40" s="159"/>
      <c r="V40" s="159"/>
      <c r="W40" s="159"/>
      <c r="X40" s="159"/>
      <c r="Y40" s="159"/>
      <c r="Z40" s="159"/>
      <c r="AA40" s="159"/>
      <c r="AB40" s="159"/>
      <c r="AC40" s="159"/>
      <c r="AD40" s="159"/>
      <c r="AE40" s="350">
        <f t="shared" ca="1" si="1"/>
        <v>0</v>
      </c>
      <c r="AF40" s="578">
        <f t="shared" ca="1" si="26"/>
        <v>0</v>
      </c>
      <c r="AG40" s="1046"/>
      <c r="AH40" s="1037"/>
      <c r="AI40" s="1037"/>
      <c r="AJ40" s="1037"/>
      <c r="AK40" s="1037"/>
      <c r="AL40" s="1037"/>
      <c r="AM40" s="1037"/>
      <c r="AN40" s="1037"/>
      <c r="AO40" s="1039"/>
      <c r="AP40" s="1037"/>
      <c r="AQ40" s="1037"/>
      <c r="AR40" s="1037"/>
      <c r="AS40" s="1037"/>
      <c r="AT40" s="1037"/>
      <c r="AU40" s="1037"/>
      <c r="AV40" s="1037"/>
      <c r="AW40" s="1037"/>
      <c r="AX40" s="1039"/>
      <c r="AY40" s="1037"/>
      <c r="AZ40" s="1037"/>
      <c r="BA40" s="1037"/>
      <c r="BB40" s="1037"/>
      <c r="BC40" s="1037"/>
      <c r="BD40" s="1037"/>
      <c r="BE40" s="1039"/>
      <c r="BF40" s="1039"/>
      <c r="BG40" s="1037"/>
      <c r="BH40" s="1037"/>
      <c r="BI40" s="1037"/>
      <c r="BJ40" s="1037"/>
      <c r="BK40" s="1037"/>
      <c r="BL40" s="1039"/>
      <c r="BM40" s="1040"/>
      <c r="BN40" s="1037"/>
      <c r="BO40" s="972"/>
    </row>
    <row r="41" spans="1:67" ht="21.95" hidden="1" customHeight="1" x14ac:dyDescent="0.15">
      <c r="A41" s="2627"/>
      <c r="B41" s="2523"/>
      <c r="C41" s="566">
        <v>0.8</v>
      </c>
      <c r="D41" s="1002"/>
      <c r="E41" s="1286"/>
      <c r="F41" s="158">
        <f t="shared" ca="1" si="28"/>
        <v>0</v>
      </c>
      <c r="G41" s="158">
        <f t="shared" ca="1" si="29"/>
        <v>0</v>
      </c>
      <c r="H41" s="158">
        <f t="shared" ca="1" si="29"/>
        <v>0</v>
      </c>
      <c r="I41" s="158">
        <f t="shared" ca="1" si="29"/>
        <v>0</v>
      </c>
      <c r="J41" s="158">
        <f t="shared" ca="1" si="29"/>
        <v>0</v>
      </c>
      <c r="K41" s="158">
        <f t="shared" ca="1" si="29"/>
        <v>0</v>
      </c>
      <c r="L41" s="158">
        <f t="shared" si="29"/>
        <v>0</v>
      </c>
      <c r="M41" s="158">
        <f t="shared" si="29"/>
        <v>0</v>
      </c>
      <c r="N41" s="158">
        <f t="shared" si="29"/>
        <v>0</v>
      </c>
      <c r="O41" s="158">
        <f t="shared" si="29"/>
        <v>0</v>
      </c>
      <c r="P41" s="159"/>
      <c r="Q41" s="159"/>
      <c r="R41" s="159"/>
      <c r="S41" s="159"/>
      <c r="T41" s="159"/>
      <c r="U41" s="159"/>
      <c r="V41" s="159"/>
      <c r="W41" s="159"/>
      <c r="X41" s="159"/>
      <c r="Y41" s="159"/>
      <c r="Z41" s="159"/>
      <c r="AA41" s="159"/>
      <c r="AB41" s="159"/>
      <c r="AC41" s="159"/>
      <c r="AD41" s="159"/>
      <c r="AE41" s="350">
        <f t="shared" ca="1" si="1"/>
        <v>0</v>
      </c>
      <c r="AF41" s="578">
        <f t="shared" ca="1" si="26"/>
        <v>0</v>
      </c>
      <c r="AG41" s="1046"/>
      <c r="AH41" s="1037"/>
      <c r="AI41" s="1037"/>
      <c r="AJ41" s="1037"/>
      <c r="AK41" s="1037"/>
      <c r="AL41" s="1037"/>
      <c r="AM41" s="1037"/>
      <c r="AN41" s="1037"/>
      <c r="AO41" s="1039"/>
      <c r="AP41" s="1037"/>
      <c r="AQ41" s="1037"/>
      <c r="AR41" s="1037"/>
      <c r="AS41" s="1037"/>
      <c r="AT41" s="1037"/>
      <c r="AU41" s="1037"/>
      <c r="AV41" s="1037"/>
      <c r="AW41" s="1037"/>
      <c r="AX41" s="1039"/>
      <c r="AY41" s="1037"/>
      <c r="AZ41" s="1037"/>
      <c r="BA41" s="1037"/>
      <c r="BB41" s="1037"/>
      <c r="BC41" s="1037"/>
      <c r="BD41" s="1037"/>
      <c r="BE41" s="1039"/>
      <c r="BF41" s="1039"/>
      <c r="BG41" s="1037"/>
      <c r="BH41" s="1037"/>
      <c r="BI41" s="1037"/>
      <c r="BJ41" s="1037"/>
      <c r="BK41" s="1037"/>
      <c r="BL41" s="1039"/>
      <c r="BM41" s="1040"/>
      <c r="BN41" s="1037"/>
      <c r="BO41" s="972"/>
    </row>
    <row r="42" spans="1:67" ht="21.95" hidden="1" customHeight="1" x14ac:dyDescent="0.15">
      <c r="A42" s="2627"/>
      <c r="B42" s="2523"/>
      <c r="C42" s="566">
        <v>0.9</v>
      </c>
      <c r="D42" s="1002"/>
      <c r="E42" s="1286"/>
      <c r="F42" s="158">
        <f t="shared" ca="1" si="28"/>
        <v>0</v>
      </c>
      <c r="G42" s="158">
        <f t="shared" ca="1" si="29"/>
        <v>0</v>
      </c>
      <c r="H42" s="158">
        <f t="shared" ca="1" si="29"/>
        <v>0</v>
      </c>
      <c r="I42" s="158">
        <f t="shared" ca="1" si="29"/>
        <v>0</v>
      </c>
      <c r="J42" s="158">
        <f t="shared" ca="1" si="29"/>
        <v>0</v>
      </c>
      <c r="K42" s="158">
        <f t="shared" ca="1" si="29"/>
        <v>0</v>
      </c>
      <c r="L42" s="158">
        <f t="shared" si="29"/>
        <v>0</v>
      </c>
      <c r="M42" s="158">
        <f t="shared" si="29"/>
        <v>0</v>
      </c>
      <c r="N42" s="158">
        <f t="shared" si="29"/>
        <v>0</v>
      </c>
      <c r="O42" s="158">
        <f t="shared" si="29"/>
        <v>0</v>
      </c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/>
      <c r="AC42" s="159"/>
      <c r="AD42" s="159"/>
      <c r="AE42" s="350">
        <f t="shared" ref="AE42:AE66" ca="1" si="30">ROUND(SUM(F42:AD42),2)</f>
        <v>0</v>
      </c>
      <c r="AF42" s="578">
        <f t="shared" ca="1" si="26"/>
        <v>0</v>
      </c>
      <c r="AG42" s="1046"/>
      <c r="AH42" s="1037"/>
      <c r="AI42" s="1037"/>
      <c r="AJ42" s="1037"/>
      <c r="AK42" s="1037"/>
      <c r="AL42" s="1037"/>
      <c r="AM42" s="1037"/>
      <c r="AN42" s="1037"/>
      <c r="AO42" s="1039"/>
      <c r="AP42" s="1037"/>
      <c r="AQ42" s="1037"/>
      <c r="AR42" s="1037"/>
      <c r="AS42" s="1037"/>
      <c r="AT42" s="1037"/>
      <c r="AU42" s="1037"/>
      <c r="AV42" s="1037"/>
      <c r="AW42" s="1037"/>
      <c r="AX42" s="1039"/>
      <c r="AY42" s="1037"/>
      <c r="AZ42" s="1037"/>
      <c r="BA42" s="1037"/>
      <c r="BB42" s="1037"/>
      <c r="BC42" s="1037"/>
      <c r="BD42" s="1037"/>
      <c r="BE42" s="1039"/>
      <c r="BF42" s="1039"/>
      <c r="BG42" s="1037"/>
      <c r="BH42" s="1037"/>
      <c r="BI42" s="1037"/>
      <c r="BJ42" s="1037"/>
      <c r="BK42" s="1037"/>
      <c r="BL42" s="1039"/>
      <c r="BM42" s="1040"/>
      <c r="BN42" s="1037"/>
      <c r="BO42" s="972"/>
    </row>
    <row r="43" spans="1:67" ht="21.95" hidden="1" customHeight="1" x14ac:dyDescent="0.15">
      <c r="A43" s="2627"/>
      <c r="B43" s="2523"/>
      <c r="C43" s="566">
        <v>1</v>
      </c>
      <c r="D43" s="1002"/>
      <c r="E43" s="1286"/>
      <c r="F43" s="158">
        <f t="shared" ca="1" si="28"/>
        <v>0</v>
      </c>
      <c r="G43" s="158">
        <f t="shared" ca="1" si="29"/>
        <v>0</v>
      </c>
      <c r="H43" s="158">
        <f t="shared" ca="1" si="29"/>
        <v>0</v>
      </c>
      <c r="I43" s="158">
        <f t="shared" ca="1" si="29"/>
        <v>0</v>
      </c>
      <c r="J43" s="158">
        <f t="shared" ca="1" si="29"/>
        <v>0</v>
      </c>
      <c r="K43" s="158">
        <f t="shared" ca="1" si="29"/>
        <v>0</v>
      </c>
      <c r="L43" s="158">
        <f t="shared" si="29"/>
        <v>0</v>
      </c>
      <c r="M43" s="158">
        <f t="shared" si="29"/>
        <v>0</v>
      </c>
      <c r="N43" s="158">
        <f t="shared" si="29"/>
        <v>0</v>
      </c>
      <c r="O43" s="158">
        <f t="shared" si="29"/>
        <v>0</v>
      </c>
      <c r="P43" s="159"/>
      <c r="Q43" s="159"/>
      <c r="R43" s="159"/>
      <c r="S43" s="159"/>
      <c r="T43" s="159"/>
      <c r="U43" s="159"/>
      <c r="V43" s="159"/>
      <c r="W43" s="159"/>
      <c r="X43" s="159"/>
      <c r="Y43" s="159"/>
      <c r="Z43" s="159"/>
      <c r="AA43" s="159"/>
      <c r="AB43" s="159"/>
      <c r="AC43" s="159"/>
      <c r="AD43" s="159"/>
      <c r="AE43" s="350">
        <f t="shared" ca="1" si="30"/>
        <v>0</v>
      </c>
      <c r="AF43" s="578">
        <f t="shared" ca="1" si="26"/>
        <v>0</v>
      </c>
      <c r="AG43" s="1046"/>
      <c r="AH43" s="1037"/>
      <c r="AI43" s="1037"/>
      <c r="AJ43" s="1037"/>
      <c r="AK43" s="1037"/>
      <c r="AL43" s="1037"/>
      <c r="AM43" s="1037"/>
      <c r="AN43" s="1037"/>
      <c r="AO43" s="1039"/>
      <c r="AP43" s="1037"/>
      <c r="AQ43" s="1037"/>
      <c r="AR43" s="1037"/>
      <c r="AS43" s="1037"/>
      <c r="AT43" s="1037"/>
      <c r="AU43" s="1037"/>
      <c r="AV43" s="1037"/>
      <c r="AW43" s="1037"/>
      <c r="AX43" s="1039"/>
      <c r="AY43" s="1037"/>
      <c r="AZ43" s="1037"/>
      <c r="BA43" s="1037"/>
      <c r="BB43" s="1037"/>
      <c r="BC43" s="1037"/>
      <c r="BD43" s="1037"/>
      <c r="BE43" s="1039"/>
      <c r="BF43" s="1039"/>
      <c r="BG43" s="1037"/>
      <c r="BH43" s="1037"/>
      <c r="BI43" s="1037"/>
      <c r="BJ43" s="1037"/>
      <c r="BK43" s="1037"/>
      <c r="BL43" s="1039"/>
      <c r="BM43" s="1040"/>
      <c r="BN43" s="1037"/>
      <c r="BO43" s="972"/>
    </row>
    <row r="44" spans="1:67" ht="21.95" hidden="1" customHeight="1" x14ac:dyDescent="0.15">
      <c r="A44" s="2627"/>
      <c r="B44" s="2523"/>
      <c r="C44" s="566">
        <v>1.2</v>
      </c>
      <c r="D44" s="1002"/>
      <c r="E44" s="1286"/>
      <c r="F44" s="158">
        <f t="shared" ca="1" si="28"/>
        <v>0</v>
      </c>
      <c r="G44" s="158">
        <f t="shared" ca="1" si="29"/>
        <v>0</v>
      </c>
      <c r="H44" s="158">
        <f t="shared" ca="1" si="29"/>
        <v>0</v>
      </c>
      <c r="I44" s="158">
        <f t="shared" ca="1" si="29"/>
        <v>0</v>
      </c>
      <c r="J44" s="158">
        <f t="shared" ca="1" si="29"/>
        <v>0</v>
      </c>
      <c r="K44" s="158">
        <f t="shared" ca="1" si="29"/>
        <v>0</v>
      </c>
      <c r="L44" s="158">
        <f t="shared" si="29"/>
        <v>0</v>
      </c>
      <c r="M44" s="158">
        <f t="shared" si="29"/>
        <v>0</v>
      </c>
      <c r="N44" s="158">
        <f t="shared" si="29"/>
        <v>0</v>
      </c>
      <c r="O44" s="158">
        <f t="shared" si="29"/>
        <v>0</v>
      </c>
      <c r="P44" s="159"/>
      <c r="Q44" s="159"/>
      <c r="R44" s="159"/>
      <c r="S44" s="159"/>
      <c r="T44" s="159"/>
      <c r="U44" s="159"/>
      <c r="V44" s="159"/>
      <c r="W44" s="159"/>
      <c r="X44" s="159"/>
      <c r="Y44" s="159"/>
      <c r="Z44" s="159"/>
      <c r="AA44" s="159"/>
      <c r="AB44" s="159"/>
      <c r="AC44" s="159"/>
      <c r="AD44" s="159"/>
      <c r="AE44" s="350">
        <f t="shared" ca="1" si="30"/>
        <v>0</v>
      </c>
      <c r="AF44" s="578">
        <f t="shared" ca="1" si="26"/>
        <v>0</v>
      </c>
      <c r="AG44" s="1046"/>
      <c r="AH44" s="1037"/>
      <c r="AI44" s="1037"/>
      <c r="AJ44" s="1037"/>
      <c r="AK44" s="1037"/>
      <c r="AL44" s="1037"/>
      <c r="AM44" s="1037"/>
      <c r="AN44" s="1037"/>
      <c r="AO44" s="1039"/>
      <c r="AP44" s="1037"/>
      <c r="AQ44" s="1037"/>
      <c r="AR44" s="1037"/>
      <c r="AS44" s="1037"/>
      <c r="AT44" s="1037"/>
      <c r="AU44" s="1037"/>
      <c r="AV44" s="1037"/>
      <c r="AW44" s="1037"/>
      <c r="AX44" s="1039"/>
      <c r="AY44" s="1037"/>
      <c r="AZ44" s="1037"/>
      <c r="BA44" s="1037"/>
      <c r="BB44" s="1037"/>
      <c r="BC44" s="1037"/>
      <c r="BD44" s="1037"/>
      <c r="BE44" s="1039"/>
      <c r="BF44" s="1039"/>
      <c r="BG44" s="1037"/>
      <c r="BH44" s="1037"/>
      <c r="BI44" s="1037"/>
      <c r="BJ44" s="1037"/>
      <c r="BK44" s="1037"/>
      <c r="BL44" s="1039"/>
      <c r="BM44" s="1040"/>
      <c r="BN44" s="1037"/>
      <c r="BO44" s="972"/>
    </row>
    <row r="45" spans="1:67" ht="21.95" hidden="1" customHeight="1" thickBot="1" x14ac:dyDescent="0.2">
      <c r="A45" s="2627"/>
      <c r="B45" s="2524"/>
      <c r="C45" s="565">
        <v>1.5</v>
      </c>
      <c r="D45" s="1003"/>
      <c r="E45" s="2231"/>
      <c r="F45" s="239">
        <f t="shared" ca="1" si="28"/>
        <v>0</v>
      </c>
      <c r="G45" s="239">
        <f t="shared" ca="1" si="29"/>
        <v>0</v>
      </c>
      <c r="H45" s="239">
        <f t="shared" ca="1" si="29"/>
        <v>0</v>
      </c>
      <c r="I45" s="239">
        <f t="shared" ca="1" si="29"/>
        <v>0</v>
      </c>
      <c r="J45" s="239">
        <f t="shared" ca="1" si="29"/>
        <v>0</v>
      </c>
      <c r="K45" s="239">
        <f t="shared" ca="1" si="29"/>
        <v>0</v>
      </c>
      <c r="L45" s="239">
        <f t="shared" si="29"/>
        <v>0</v>
      </c>
      <c r="M45" s="239">
        <f t="shared" si="29"/>
        <v>0</v>
      </c>
      <c r="N45" s="239">
        <f t="shared" si="29"/>
        <v>0</v>
      </c>
      <c r="O45" s="239">
        <f t="shared" si="29"/>
        <v>0</v>
      </c>
      <c r="P45" s="237"/>
      <c r="Q45" s="237"/>
      <c r="R45" s="237"/>
      <c r="S45" s="237"/>
      <c r="T45" s="237"/>
      <c r="U45" s="237"/>
      <c r="V45" s="237"/>
      <c r="W45" s="237"/>
      <c r="X45" s="237"/>
      <c r="Y45" s="237"/>
      <c r="Z45" s="237"/>
      <c r="AA45" s="237"/>
      <c r="AB45" s="237"/>
      <c r="AC45" s="237"/>
      <c r="AD45" s="237"/>
      <c r="AE45" s="361">
        <f t="shared" ca="1" si="30"/>
        <v>0</v>
      </c>
      <c r="AF45" s="578">
        <f t="shared" ca="1" si="26"/>
        <v>0</v>
      </c>
      <c r="AG45" s="1046"/>
      <c r="AH45" s="1037"/>
      <c r="AI45" s="1037"/>
      <c r="AJ45" s="1037"/>
      <c r="AK45" s="1037"/>
      <c r="AL45" s="1037"/>
      <c r="AM45" s="1037"/>
      <c r="AN45" s="1037"/>
      <c r="AO45" s="1039"/>
      <c r="AP45" s="1037"/>
      <c r="AQ45" s="1037"/>
      <c r="AR45" s="1037"/>
      <c r="AS45" s="1037"/>
      <c r="AT45" s="1037"/>
      <c r="AU45" s="1037"/>
      <c r="AV45" s="1037"/>
      <c r="AW45" s="1037"/>
      <c r="AX45" s="1039"/>
      <c r="AY45" s="1037"/>
      <c r="AZ45" s="1037"/>
      <c r="BA45" s="1037"/>
      <c r="BB45" s="1037"/>
      <c r="BC45" s="1037"/>
      <c r="BD45" s="1037"/>
      <c r="BE45" s="1039"/>
      <c r="BF45" s="1039"/>
      <c r="BG45" s="1037"/>
      <c r="BH45" s="1037"/>
      <c r="BI45" s="1037"/>
      <c r="BJ45" s="1037"/>
      <c r="BK45" s="1037"/>
      <c r="BL45" s="1039"/>
      <c r="BM45" s="1040"/>
      <c r="BN45" s="1037"/>
      <c r="BO45" s="972"/>
    </row>
    <row r="46" spans="1:67" ht="21.95" hidden="1" customHeight="1" x14ac:dyDescent="0.15">
      <c r="A46" s="2627"/>
      <c r="B46" s="2522" t="s">
        <v>1176</v>
      </c>
      <c r="C46" s="549" t="s">
        <v>1116</v>
      </c>
      <c r="D46" s="1002"/>
      <c r="E46" s="1286"/>
      <c r="F46" s="158">
        <f>Dren_Quantificacao!D149</f>
        <v>0</v>
      </c>
      <c r="G46" s="158">
        <f>Dren_Quantificacao!E149</f>
        <v>0</v>
      </c>
      <c r="H46" s="158">
        <f>Dren_Quantificacao!F149</f>
        <v>0</v>
      </c>
      <c r="I46" s="158">
        <f>Dren_Quantificacao!G149</f>
        <v>0</v>
      </c>
      <c r="J46" s="158">
        <f>Dren_Quantificacao!H149</f>
        <v>0</v>
      </c>
      <c r="K46" s="158">
        <f>Dren_Quantificacao!I149</f>
        <v>0</v>
      </c>
      <c r="L46" s="158">
        <f>Dren_Quantificacao!J149</f>
        <v>0</v>
      </c>
      <c r="M46" s="158">
        <f>Dren_Quantificacao!K149</f>
        <v>0</v>
      </c>
      <c r="N46" s="158">
        <f>Dren_Quantificacao!L149</f>
        <v>0</v>
      </c>
      <c r="O46" s="158">
        <f>Dren_Quantificacao!M149</f>
        <v>0</v>
      </c>
      <c r="P46" s="159"/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/>
      <c r="AC46" s="159"/>
      <c r="AD46" s="159"/>
      <c r="AE46" s="362">
        <f t="shared" si="30"/>
        <v>0</v>
      </c>
      <c r="AF46" s="578">
        <f t="shared" si="26"/>
        <v>0</v>
      </c>
      <c r="AG46" s="1046"/>
      <c r="AH46" s="1037"/>
      <c r="AI46" s="1037"/>
      <c r="AJ46" s="1037"/>
      <c r="AK46" s="1037"/>
      <c r="AL46" s="1037"/>
      <c r="AM46" s="1037"/>
      <c r="AN46" s="1037"/>
      <c r="AO46" s="1039"/>
      <c r="AP46" s="1037"/>
      <c r="AQ46" s="1037"/>
      <c r="AR46" s="1037"/>
      <c r="AS46" s="1037"/>
      <c r="AT46" s="1037"/>
      <c r="AU46" s="1037"/>
      <c r="AV46" s="1037"/>
      <c r="AW46" s="1037"/>
      <c r="AX46" s="1039"/>
      <c r="AY46" s="1037"/>
      <c r="AZ46" s="1037"/>
      <c r="BA46" s="1037"/>
      <c r="BB46" s="1037"/>
      <c r="BC46" s="1037"/>
      <c r="BD46" s="1037"/>
      <c r="BE46" s="1039"/>
      <c r="BF46" s="1039"/>
      <c r="BG46" s="1037"/>
      <c r="BH46" s="1037"/>
      <c r="BI46" s="1037"/>
      <c r="BJ46" s="1037"/>
      <c r="BK46" s="1037"/>
      <c r="BL46" s="1039"/>
      <c r="BM46" s="1040"/>
      <c r="BN46" s="1037"/>
      <c r="BO46" s="972"/>
    </row>
    <row r="47" spans="1:67" ht="21.95" hidden="1" customHeight="1" x14ac:dyDescent="0.15">
      <c r="A47" s="2627"/>
      <c r="B47" s="2523"/>
      <c r="C47" s="566">
        <v>0.5</v>
      </c>
      <c r="D47" s="1002"/>
      <c r="E47" s="1286"/>
      <c r="F47" s="158">
        <f t="shared" ref="F47:O47" ca="1" si="31">IF(F$4&lt;&gt;$C47,0,IF(AND(F$5="P",F$9=2),F$2*F$3,0))</f>
        <v>0</v>
      </c>
      <c r="G47" s="158">
        <f t="shared" ca="1" si="31"/>
        <v>0</v>
      </c>
      <c r="H47" s="158">
        <f t="shared" ca="1" si="31"/>
        <v>0</v>
      </c>
      <c r="I47" s="158">
        <f t="shared" ca="1" si="31"/>
        <v>0</v>
      </c>
      <c r="J47" s="158">
        <f t="shared" ca="1" si="31"/>
        <v>0</v>
      </c>
      <c r="K47" s="158">
        <f t="shared" ca="1" si="31"/>
        <v>0</v>
      </c>
      <c r="L47" s="158">
        <f t="shared" si="31"/>
        <v>0</v>
      </c>
      <c r="M47" s="158">
        <f t="shared" si="31"/>
        <v>0</v>
      </c>
      <c r="N47" s="158">
        <f t="shared" si="31"/>
        <v>0</v>
      </c>
      <c r="O47" s="158">
        <f t="shared" si="31"/>
        <v>0</v>
      </c>
      <c r="P47" s="159"/>
      <c r="Q47" s="159"/>
      <c r="R47" s="159"/>
      <c r="S47" s="159"/>
      <c r="T47" s="159"/>
      <c r="U47" s="159"/>
      <c r="V47" s="159"/>
      <c r="W47" s="159"/>
      <c r="X47" s="159"/>
      <c r="Y47" s="159"/>
      <c r="Z47" s="159"/>
      <c r="AA47" s="159"/>
      <c r="AB47" s="159"/>
      <c r="AC47" s="159"/>
      <c r="AD47" s="159"/>
      <c r="AE47" s="350">
        <f t="shared" ca="1" si="30"/>
        <v>0</v>
      </c>
      <c r="AF47" s="578">
        <f t="shared" ca="1" si="26"/>
        <v>0</v>
      </c>
      <c r="AG47" s="1046"/>
      <c r="AH47" s="1037"/>
      <c r="AI47" s="1037"/>
      <c r="AJ47" s="1037"/>
      <c r="AK47" s="1037"/>
      <c r="AL47" s="1037"/>
      <c r="AM47" s="1037"/>
      <c r="AN47" s="1037"/>
      <c r="AO47" s="1039"/>
      <c r="AP47" s="1037"/>
      <c r="AQ47" s="1037"/>
      <c r="AR47" s="1037"/>
      <c r="AS47" s="1037"/>
      <c r="AT47" s="1037"/>
      <c r="AU47" s="1037"/>
      <c r="AV47" s="1037"/>
      <c r="AW47" s="1037"/>
      <c r="AX47" s="1039"/>
      <c r="AY47" s="1037"/>
      <c r="AZ47" s="1037"/>
      <c r="BA47" s="1037"/>
      <c r="BB47" s="1037"/>
      <c r="BC47" s="1037"/>
      <c r="BD47" s="1037"/>
      <c r="BE47" s="1039"/>
      <c r="BF47" s="1039"/>
      <c r="BG47" s="1037"/>
      <c r="BH47" s="1037"/>
      <c r="BI47" s="1037"/>
      <c r="BJ47" s="1037"/>
      <c r="BK47" s="1037"/>
      <c r="BL47" s="1039"/>
      <c r="BM47" s="1040"/>
      <c r="BN47" s="1037"/>
      <c r="BO47" s="972"/>
    </row>
    <row r="48" spans="1:67" ht="21.95" hidden="1" customHeight="1" x14ac:dyDescent="0.15">
      <c r="A48" s="2627"/>
      <c r="B48" s="2523"/>
      <c r="C48" s="566" t="s">
        <v>1566</v>
      </c>
      <c r="D48" s="1002"/>
      <c r="E48" s="1286"/>
      <c r="F48" s="158">
        <f>Dren_Quantificacao!D151</f>
        <v>0</v>
      </c>
      <c r="G48" s="158">
        <f>Dren_Quantificacao!E151</f>
        <v>0</v>
      </c>
      <c r="H48" s="158">
        <f>Dren_Quantificacao!F151</f>
        <v>0</v>
      </c>
      <c r="I48" s="158">
        <f>Dren_Quantificacao!G151</f>
        <v>0</v>
      </c>
      <c r="J48" s="158">
        <f>Dren_Quantificacao!H151</f>
        <v>0</v>
      </c>
      <c r="K48" s="158">
        <f>Dren_Quantificacao!I151</f>
        <v>0</v>
      </c>
      <c r="L48" s="158">
        <f>Dren_Quantificacao!J151</f>
        <v>0</v>
      </c>
      <c r="M48" s="158">
        <f>Dren_Quantificacao!K151</f>
        <v>0</v>
      </c>
      <c r="N48" s="158">
        <f>Dren_Quantificacao!L151</f>
        <v>0</v>
      </c>
      <c r="O48" s="158">
        <f>Dren_Quantificacao!M151</f>
        <v>0</v>
      </c>
      <c r="P48" s="159"/>
      <c r="Q48" s="159"/>
      <c r="R48" s="159"/>
      <c r="S48" s="159"/>
      <c r="T48" s="159"/>
      <c r="U48" s="159"/>
      <c r="V48" s="159"/>
      <c r="W48" s="159"/>
      <c r="X48" s="159"/>
      <c r="Y48" s="159"/>
      <c r="Z48" s="159"/>
      <c r="AA48" s="159"/>
      <c r="AB48" s="159"/>
      <c r="AC48" s="159"/>
      <c r="AD48" s="159"/>
      <c r="AE48" s="350">
        <f t="shared" si="30"/>
        <v>0</v>
      </c>
      <c r="AF48" s="578">
        <f t="shared" si="26"/>
        <v>0</v>
      </c>
      <c r="AG48" s="1046"/>
      <c r="AH48" s="1037"/>
      <c r="AI48" s="1037"/>
      <c r="AJ48" s="1037"/>
      <c r="AK48" s="1037"/>
      <c r="AL48" s="1037"/>
      <c r="AM48" s="1037"/>
      <c r="AN48" s="1037"/>
      <c r="AO48" s="1039"/>
      <c r="AP48" s="1037"/>
      <c r="AQ48" s="1037"/>
      <c r="AR48" s="1037"/>
      <c r="AS48" s="1037"/>
      <c r="AT48" s="1037"/>
      <c r="AU48" s="1037"/>
      <c r="AV48" s="1037"/>
      <c r="AW48" s="1037"/>
      <c r="AX48" s="1039"/>
      <c r="AY48" s="1037"/>
      <c r="AZ48" s="1037"/>
      <c r="BA48" s="1037"/>
      <c r="BB48" s="1037"/>
      <c r="BC48" s="1037"/>
      <c r="BD48" s="1037"/>
      <c r="BE48" s="1039"/>
      <c r="BF48" s="1039"/>
      <c r="BG48" s="1037"/>
      <c r="BH48" s="1037"/>
      <c r="BI48" s="1037"/>
      <c r="BJ48" s="1037"/>
      <c r="BK48" s="1037"/>
      <c r="BL48" s="1039"/>
      <c r="BM48" s="1040"/>
      <c r="BN48" s="1037"/>
      <c r="BO48" s="972"/>
    </row>
    <row r="49" spans="1:67" ht="21.95" hidden="1" customHeight="1" x14ac:dyDescent="0.15">
      <c r="A49" s="2627"/>
      <c r="B49" s="2523"/>
      <c r="C49" s="566">
        <v>0.6</v>
      </c>
      <c r="D49" s="1002"/>
      <c r="E49" s="1286"/>
      <c r="F49" s="158">
        <f t="shared" ref="F49:F55" ca="1" si="32">IF(F$4&lt;&gt;$C49,0,IF(AND(F$5="P",F$9=2),F$2*F$3,0))</f>
        <v>0</v>
      </c>
      <c r="G49" s="158">
        <f t="shared" ref="G49:O55" ca="1" si="33">IF(G$4&lt;&gt;$C49,0,IF(AND(G$5="P",G$9=2),G$2*G$3,0))</f>
        <v>0</v>
      </c>
      <c r="H49" s="158">
        <f t="shared" ca="1" si="33"/>
        <v>0</v>
      </c>
      <c r="I49" s="158">
        <f t="shared" ca="1" si="33"/>
        <v>0</v>
      </c>
      <c r="J49" s="158">
        <f t="shared" ca="1" si="33"/>
        <v>0</v>
      </c>
      <c r="K49" s="158">
        <f t="shared" ca="1" si="33"/>
        <v>0</v>
      </c>
      <c r="L49" s="158">
        <f t="shared" si="33"/>
        <v>0</v>
      </c>
      <c r="M49" s="158">
        <f t="shared" si="33"/>
        <v>0</v>
      </c>
      <c r="N49" s="158">
        <f t="shared" si="33"/>
        <v>0</v>
      </c>
      <c r="O49" s="158">
        <f t="shared" si="33"/>
        <v>0</v>
      </c>
      <c r="P49" s="159"/>
      <c r="Q49" s="159"/>
      <c r="R49" s="159"/>
      <c r="S49" s="159"/>
      <c r="T49" s="159"/>
      <c r="U49" s="159"/>
      <c r="V49" s="159"/>
      <c r="W49" s="159"/>
      <c r="X49" s="159"/>
      <c r="Y49" s="159"/>
      <c r="Z49" s="159"/>
      <c r="AA49" s="159"/>
      <c r="AB49" s="159"/>
      <c r="AC49" s="159"/>
      <c r="AD49" s="159"/>
      <c r="AE49" s="350">
        <f t="shared" ca="1" si="30"/>
        <v>0</v>
      </c>
      <c r="AF49" s="578">
        <f t="shared" ca="1" si="26"/>
        <v>0</v>
      </c>
      <c r="AG49" s="1046"/>
      <c r="AH49" s="1037"/>
      <c r="AI49" s="1037"/>
      <c r="AJ49" s="1037"/>
      <c r="AK49" s="1037"/>
      <c r="AL49" s="1037"/>
      <c r="AM49" s="1037"/>
      <c r="AN49" s="1037"/>
      <c r="AO49" s="1039"/>
      <c r="AP49" s="1037"/>
      <c r="AQ49" s="1037"/>
      <c r="AR49" s="1037"/>
      <c r="AS49" s="1037"/>
      <c r="AT49" s="1037"/>
      <c r="AU49" s="1037"/>
      <c r="AV49" s="1037"/>
      <c r="AW49" s="1037"/>
      <c r="AX49" s="1039"/>
      <c r="AY49" s="1037"/>
      <c r="AZ49" s="1037"/>
      <c r="BA49" s="1037"/>
      <c r="BB49" s="1037"/>
      <c r="BC49" s="1037"/>
      <c r="BD49" s="1037"/>
      <c r="BE49" s="1039"/>
      <c r="BF49" s="1039"/>
      <c r="BG49" s="1037"/>
      <c r="BH49" s="1037"/>
      <c r="BI49" s="1037"/>
      <c r="BJ49" s="1037"/>
      <c r="BK49" s="1037"/>
      <c r="BL49" s="1039"/>
      <c r="BM49" s="1040"/>
      <c r="BN49" s="1037"/>
      <c r="BO49" s="972"/>
    </row>
    <row r="50" spans="1:67" ht="21.95" hidden="1" customHeight="1" x14ac:dyDescent="0.15">
      <c r="A50" s="2627"/>
      <c r="B50" s="2523"/>
      <c r="C50" s="566">
        <v>0.75</v>
      </c>
      <c r="D50" s="1002"/>
      <c r="E50" s="1286"/>
      <c r="F50" s="158">
        <f t="shared" ca="1" si="32"/>
        <v>0</v>
      </c>
      <c r="G50" s="158">
        <f t="shared" ca="1" si="33"/>
        <v>0</v>
      </c>
      <c r="H50" s="158">
        <f t="shared" ca="1" si="33"/>
        <v>0</v>
      </c>
      <c r="I50" s="158">
        <f t="shared" ca="1" si="33"/>
        <v>0</v>
      </c>
      <c r="J50" s="158">
        <f t="shared" ca="1" si="33"/>
        <v>0</v>
      </c>
      <c r="K50" s="158">
        <f t="shared" ca="1" si="33"/>
        <v>0</v>
      </c>
      <c r="L50" s="158">
        <f t="shared" si="33"/>
        <v>0</v>
      </c>
      <c r="M50" s="158">
        <f t="shared" si="33"/>
        <v>0</v>
      </c>
      <c r="N50" s="158">
        <f t="shared" si="33"/>
        <v>0</v>
      </c>
      <c r="O50" s="158">
        <f t="shared" si="33"/>
        <v>0</v>
      </c>
      <c r="P50" s="159"/>
      <c r="Q50" s="159"/>
      <c r="R50" s="159"/>
      <c r="S50" s="159"/>
      <c r="T50" s="159"/>
      <c r="U50" s="159"/>
      <c r="V50" s="159"/>
      <c r="W50" s="159"/>
      <c r="X50" s="159"/>
      <c r="Y50" s="159"/>
      <c r="Z50" s="159"/>
      <c r="AA50" s="159"/>
      <c r="AB50" s="159"/>
      <c r="AC50" s="159"/>
      <c r="AD50" s="159"/>
      <c r="AE50" s="350">
        <f t="shared" ca="1" si="30"/>
        <v>0</v>
      </c>
      <c r="AF50" s="578">
        <f t="shared" ca="1" si="26"/>
        <v>0</v>
      </c>
      <c r="AG50" s="1046"/>
      <c r="AH50" s="1037"/>
      <c r="AI50" s="1037"/>
      <c r="AJ50" s="1037"/>
      <c r="AK50" s="1037"/>
      <c r="AL50" s="1037"/>
      <c r="AM50" s="1037"/>
      <c r="AN50" s="1037"/>
      <c r="AO50" s="1039"/>
      <c r="AP50" s="1037"/>
      <c r="AQ50" s="1037"/>
      <c r="AR50" s="1037"/>
      <c r="AS50" s="1037"/>
      <c r="AT50" s="1037"/>
      <c r="AU50" s="1037"/>
      <c r="AV50" s="1037"/>
      <c r="AW50" s="1037"/>
      <c r="AX50" s="1039"/>
      <c r="AY50" s="1037"/>
      <c r="AZ50" s="1037"/>
      <c r="BA50" s="1037"/>
      <c r="BB50" s="1037"/>
      <c r="BC50" s="1037"/>
      <c r="BD50" s="1037"/>
      <c r="BE50" s="1039"/>
      <c r="BF50" s="1039"/>
      <c r="BG50" s="1037"/>
      <c r="BH50" s="1037"/>
      <c r="BI50" s="1037"/>
      <c r="BJ50" s="1037"/>
      <c r="BK50" s="1037"/>
      <c r="BL50" s="1039"/>
      <c r="BM50" s="1040"/>
      <c r="BN50" s="1037"/>
      <c r="BO50" s="972"/>
    </row>
    <row r="51" spans="1:67" ht="21.95" hidden="1" customHeight="1" x14ac:dyDescent="0.15">
      <c r="A51" s="2627"/>
      <c r="B51" s="2523"/>
      <c r="C51" s="566">
        <v>0.8</v>
      </c>
      <c r="D51" s="1002"/>
      <c r="E51" s="1286"/>
      <c r="F51" s="158">
        <f t="shared" ca="1" si="32"/>
        <v>0</v>
      </c>
      <c r="G51" s="158">
        <f t="shared" ca="1" si="33"/>
        <v>0</v>
      </c>
      <c r="H51" s="158">
        <f t="shared" ca="1" si="33"/>
        <v>0</v>
      </c>
      <c r="I51" s="158">
        <f t="shared" ca="1" si="33"/>
        <v>0</v>
      </c>
      <c r="J51" s="158">
        <f t="shared" ca="1" si="33"/>
        <v>0</v>
      </c>
      <c r="K51" s="158">
        <f t="shared" ca="1" si="33"/>
        <v>0</v>
      </c>
      <c r="L51" s="158">
        <f t="shared" si="33"/>
        <v>0</v>
      </c>
      <c r="M51" s="158">
        <f t="shared" si="33"/>
        <v>0</v>
      </c>
      <c r="N51" s="158">
        <f t="shared" si="33"/>
        <v>0</v>
      </c>
      <c r="O51" s="158">
        <f t="shared" si="33"/>
        <v>0</v>
      </c>
      <c r="P51" s="159"/>
      <c r="Q51" s="159"/>
      <c r="R51" s="159"/>
      <c r="S51" s="159"/>
      <c r="T51" s="159"/>
      <c r="U51" s="159"/>
      <c r="V51" s="159"/>
      <c r="W51" s="159"/>
      <c r="X51" s="159"/>
      <c r="Y51" s="159"/>
      <c r="Z51" s="159"/>
      <c r="AA51" s="159"/>
      <c r="AB51" s="159"/>
      <c r="AC51" s="159"/>
      <c r="AD51" s="159"/>
      <c r="AE51" s="350">
        <f t="shared" ca="1" si="30"/>
        <v>0</v>
      </c>
      <c r="AF51" s="578">
        <f t="shared" ca="1" si="26"/>
        <v>0</v>
      </c>
      <c r="AG51" s="1046"/>
      <c r="AH51" s="1037"/>
      <c r="AI51" s="1037"/>
      <c r="AJ51" s="1037"/>
      <c r="AK51" s="1037"/>
      <c r="AL51" s="1037"/>
      <c r="AM51" s="1037"/>
      <c r="AN51" s="1037"/>
      <c r="AO51" s="1039"/>
      <c r="AP51" s="1037"/>
      <c r="AQ51" s="1037"/>
      <c r="AR51" s="1037"/>
      <c r="AS51" s="1037"/>
      <c r="AT51" s="1037"/>
      <c r="AU51" s="1037"/>
      <c r="AV51" s="1037"/>
      <c r="AW51" s="1037"/>
      <c r="AX51" s="1039"/>
      <c r="AY51" s="1037"/>
      <c r="AZ51" s="1037"/>
      <c r="BA51" s="1037"/>
      <c r="BB51" s="1037"/>
      <c r="BC51" s="1037"/>
      <c r="BD51" s="1037"/>
      <c r="BE51" s="1039"/>
      <c r="BF51" s="1039"/>
      <c r="BG51" s="1037"/>
      <c r="BH51" s="1037"/>
      <c r="BI51" s="1037"/>
      <c r="BJ51" s="1037"/>
      <c r="BK51" s="1037"/>
      <c r="BL51" s="1039"/>
      <c r="BM51" s="1040"/>
      <c r="BN51" s="1037"/>
      <c r="BO51" s="972"/>
    </row>
    <row r="52" spans="1:67" ht="21.95" hidden="1" customHeight="1" x14ac:dyDescent="0.15">
      <c r="A52" s="2627"/>
      <c r="B52" s="2523"/>
      <c r="C52" s="566">
        <v>0.9</v>
      </c>
      <c r="D52" s="1002"/>
      <c r="E52" s="1286"/>
      <c r="F52" s="158">
        <f t="shared" ca="1" si="32"/>
        <v>0</v>
      </c>
      <c r="G52" s="158">
        <f t="shared" ca="1" si="33"/>
        <v>0</v>
      </c>
      <c r="H52" s="158">
        <f t="shared" ca="1" si="33"/>
        <v>0</v>
      </c>
      <c r="I52" s="158">
        <f t="shared" ca="1" si="33"/>
        <v>0</v>
      </c>
      <c r="J52" s="158">
        <f t="shared" ca="1" si="33"/>
        <v>0</v>
      </c>
      <c r="K52" s="158">
        <f t="shared" ca="1" si="33"/>
        <v>0</v>
      </c>
      <c r="L52" s="158">
        <f t="shared" si="33"/>
        <v>0</v>
      </c>
      <c r="M52" s="158">
        <f t="shared" si="33"/>
        <v>0</v>
      </c>
      <c r="N52" s="158">
        <f t="shared" si="33"/>
        <v>0</v>
      </c>
      <c r="O52" s="158">
        <f t="shared" si="33"/>
        <v>0</v>
      </c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59"/>
      <c r="AE52" s="350">
        <f t="shared" ca="1" si="30"/>
        <v>0</v>
      </c>
      <c r="AF52" s="578">
        <f t="shared" ca="1" si="26"/>
        <v>0</v>
      </c>
      <c r="AG52" s="1046"/>
      <c r="AH52" s="1037"/>
      <c r="AI52" s="1037"/>
      <c r="AJ52" s="1037"/>
      <c r="AK52" s="1037"/>
      <c r="AL52" s="1037"/>
      <c r="AM52" s="1037"/>
      <c r="AN52" s="1037"/>
      <c r="AO52" s="1039"/>
      <c r="AP52" s="1037"/>
      <c r="AQ52" s="1037"/>
      <c r="AR52" s="1037"/>
      <c r="AS52" s="1037"/>
      <c r="AT52" s="1037"/>
      <c r="AU52" s="1037"/>
      <c r="AV52" s="1037"/>
      <c r="AW52" s="1037"/>
      <c r="AX52" s="1039"/>
      <c r="AY52" s="1037"/>
      <c r="AZ52" s="1037"/>
      <c r="BA52" s="1037"/>
      <c r="BB52" s="1037"/>
      <c r="BC52" s="1037"/>
      <c r="BD52" s="1037"/>
      <c r="BE52" s="1039"/>
      <c r="BF52" s="1039"/>
      <c r="BG52" s="1037"/>
      <c r="BH52" s="1037"/>
      <c r="BI52" s="1037"/>
      <c r="BJ52" s="1037"/>
      <c r="BK52" s="1037"/>
      <c r="BL52" s="1039"/>
      <c r="BM52" s="1040"/>
      <c r="BN52" s="1037"/>
      <c r="BO52" s="972"/>
    </row>
    <row r="53" spans="1:67" ht="21.95" hidden="1" customHeight="1" x14ac:dyDescent="0.15">
      <c r="A53" s="2627"/>
      <c r="B53" s="2523"/>
      <c r="C53" s="566">
        <v>1</v>
      </c>
      <c r="D53" s="1002"/>
      <c r="E53" s="1286"/>
      <c r="F53" s="158">
        <f t="shared" ca="1" si="32"/>
        <v>0</v>
      </c>
      <c r="G53" s="158">
        <f t="shared" ca="1" si="33"/>
        <v>0</v>
      </c>
      <c r="H53" s="158">
        <f t="shared" ca="1" si="33"/>
        <v>0</v>
      </c>
      <c r="I53" s="158">
        <f t="shared" ca="1" si="33"/>
        <v>0</v>
      </c>
      <c r="J53" s="158">
        <f t="shared" ca="1" si="33"/>
        <v>0</v>
      </c>
      <c r="K53" s="158">
        <f t="shared" ca="1" si="33"/>
        <v>0</v>
      </c>
      <c r="L53" s="158">
        <f t="shared" si="33"/>
        <v>0</v>
      </c>
      <c r="M53" s="158">
        <f t="shared" si="33"/>
        <v>0</v>
      </c>
      <c r="N53" s="158">
        <f t="shared" si="33"/>
        <v>0</v>
      </c>
      <c r="O53" s="158">
        <f t="shared" si="33"/>
        <v>0</v>
      </c>
      <c r="P53" s="159"/>
      <c r="Q53" s="159"/>
      <c r="R53" s="159"/>
      <c r="S53" s="159"/>
      <c r="T53" s="159"/>
      <c r="U53" s="159"/>
      <c r="V53" s="159"/>
      <c r="W53" s="159"/>
      <c r="X53" s="159"/>
      <c r="Y53" s="159"/>
      <c r="Z53" s="159"/>
      <c r="AA53" s="159"/>
      <c r="AB53" s="159"/>
      <c r="AC53" s="159"/>
      <c r="AD53" s="159"/>
      <c r="AE53" s="350">
        <f t="shared" ca="1" si="30"/>
        <v>0</v>
      </c>
      <c r="AF53" s="578">
        <f t="shared" ca="1" si="26"/>
        <v>0</v>
      </c>
      <c r="AG53" s="1046"/>
      <c r="AH53" s="1037"/>
      <c r="AI53" s="1037"/>
      <c r="AJ53" s="1037"/>
      <c r="AK53" s="1037"/>
      <c r="AL53" s="1037"/>
      <c r="AM53" s="1037"/>
      <c r="AN53" s="1037"/>
      <c r="AO53" s="1039"/>
      <c r="AP53" s="1037"/>
      <c r="AQ53" s="1037"/>
      <c r="AR53" s="1037"/>
      <c r="AS53" s="1037"/>
      <c r="AT53" s="1037"/>
      <c r="AU53" s="1037"/>
      <c r="AV53" s="1037"/>
      <c r="AW53" s="1037"/>
      <c r="AX53" s="1039"/>
      <c r="AY53" s="1037"/>
      <c r="AZ53" s="1037"/>
      <c r="BA53" s="1037"/>
      <c r="BB53" s="1037"/>
      <c r="BC53" s="1037"/>
      <c r="BD53" s="1037"/>
      <c r="BE53" s="1039"/>
      <c r="BF53" s="1039"/>
      <c r="BG53" s="1037"/>
      <c r="BH53" s="1037"/>
      <c r="BI53" s="1037"/>
      <c r="BJ53" s="1037"/>
      <c r="BK53" s="1037"/>
      <c r="BL53" s="1039"/>
      <c r="BM53" s="1040"/>
      <c r="BN53" s="1037"/>
      <c r="BO53" s="972"/>
    </row>
    <row r="54" spans="1:67" ht="21.95" hidden="1" customHeight="1" x14ac:dyDescent="0.15">
      <c r="A54" s="2627"/>
      <c r="B54" s="2523"/>
      <c r="C54" s="566">
        <v>1.2</v>
      </c>
      <c r="D54" s="1002"/>
      <c r="E54" s="1286"/>
      <c r="F54" s="158">
        <f t="shared" ca="1" si="32"/>
        <v>0</v>
      </c>
      <c r="G54" s="158">
        <f t="shared" ca="1" si="33"/>
        <v>0</v>
      </c>
      <c r="H54" s="158">
        <f t="shared" ca="1" si="33"/>
        <v>0</v>
      </c>
      <c r="I54" s="158">
        <f t="shared" ca="1" si="33"/>
        <v>0</v>
      </c>
      <c r="J54" s="158">
        <f t="shared" ca="1" si="33"/>
        <v>0</v>
      </c>
      <c r="K54" s="158">
        <f t="shared" ca="1" si="33"/>
        <v>0</v>
      </c>
      <c r="L54" s="158">
        <f t="shared" si="33"/>
        <v>0</v>
      </c>
      <c r="M54" s="158">
        <f t="shared" si="33"/>
        <v>0</v>
      </c>
      <c r="N54" s="158">
        <f t="shared" si="33"/>
        <v>0</v>
      </c>
      <c r="O54" s="158">
        <f t="shared" si="33"/>
        <v>0</v>
      </c>
      <c r="P54" s="159"/>
      <c r="Q54" s="159"/>
      <c r="R54" s="159"/>
      <c r="S54" s="159"/>
      <c r="T54" s="159"/>
      <c r="U54" s="159"/>
      <c r="V54" s="159"/>
      <c r="W54" s="159"/>
      <c r="X54" s="159"/>
      <c r="Y54" s="159"/>
      <c r="Z54" s="159"/>
      <c r="AA54" s="159"/>
      <c r="AB54" s="159"/>
      <c r="AC54" s="159"/>
      <c r="AD54" s="159"/>
      <c r="AE54" s="350">
        <f t="shared" ca="1" si="30"/>
        <v>0</v>
      </c>
      <c r="AF54" s="578">
        <f t="shared" ca="1" si="26"/>
        <v>0</v>
      </c>
      <c r="AG54" s="1046"/>
      <c r="AH54" s="1037"/>
      <c r="AI54" s="1037"/>
      <c r="AJ54" s="1037"/>
      <c r="AK54" s="1037"/>
      <c r="AL54" s="1037"/>
      <c r="AM54" s="1037"/>
      <c r="AN54" s="1037"/>
      <c r="AO54" s="1039"/>
      <c r="AP54" s="1037"/>
      <c r="AQ54" s="1037"/>
      <c r="AR54" s="1037"/>
      <c r="AS54" s="1037"/>
      <c r="AT54" s="1037"/>
      <c r="AU54" s="1037"/>
      <c r="AV54" s="1037"/>
      <c r="AW54" s="1037"/>
      <c r="AX54" s="1039"/>
      <c r="AY54" s="1037"/>
      <c r="AZ54" s="1037"/>
      <c r="BA54" s="1037"/>
      <c r="BB54" s="1037"/>
      <c r="BC54" s="1037"/>
      <c r="BD54" s="1037"/>
      <c r="BE54" s="1039"/>
      <c r="BF54" s="1039"/>
      <c r="BG54" s="1037"/>
      <c r="BH54" s="1037"/>
      <c r="BI54" s="1037"/>
      <c r="BJ54" s="1037"/>
      <c r="BK54" s="1037"/>
      <c r="BL54" s="1039"/>
      <c r="BM54" s="1040"/>
      <c r="BN54" s="1037"/>
      <c r="BO54" s="972"/>
    </row>
    <row r="55" spans="1:67" ht="21.95" hidden="1" customHeight="1" thickBot="1" x14ac:dyDescent="0.2">
      <c r="A55" s="2627"/>
      <c r="B55" s="2524"/>
      <c r="C55" s="565">
        <v>1.5</v>
      </c>
      <c r="D55" s="1002"/>
      <c r="E55" s="1286"/>
      <c r="F55" s="158">
        <f t="shared" ca="1" si="32"/>
        <v>0</v>
      </c>
      <c r="G55" s="158">
        <f t="shared" ca="1" si="33"/>
        <v>0</v>
      </c>
      <c r="H55" s="158">
        <f t="shared" ca="1" si="33"/>
        <v>0</v>
      </c>
      <c r="I55" s="158">
        <f t="shared" ca="1" si="33"/>
        <v>0</v>
      </c>
      <c r="J55" s="158">
        <f t="shared" ca="1" si="33"/>
        <v>0</v>
      </c>
      <c r="K55" s="158">
        <f t="shared" ca="1" si="33"/>
        <v>0</v>
      </c>
      <c r="L55" s="158">
        <f t="shared" si="33"/>
        <v>0</v>
      </c>
      <c r="M55" s="158">
        <f t="shared" si="33"/>
        <v>0</v>
      </c>
      <c r="N55" s="158">
        <f t="shared" si="33"/>
        <v>0</v>
      </c>
      <c r="O55" s="158">
        <f t="shared" si="33"/>
        <v>0</v>
      </c>
      <c r="P55" s="159"/>
      <c r="Q55" s="159"/>
      <c r="R55" s="159"/>
      <c r="S55" s="159"/>
      <c r="T55" s="159"/>
      <c r="U55" s="159"/>
      <c r="V55" s="159"/>
      <c r="W55" s="159"/>
      <c r="X55" s="159"/>
      <c r="Y55" s="159"/>
      <c r="Z55" s="159"/>
      <c r="AA55" s="159"/>
      <c r="AB55" s="159"/>
      <c r="AC55" s="159"/>
      <c r="AD55" s="159"/>
      <c r="AE55" s="361">
        <f t="shared" ca="1" si="30"/>
        <v>0</v>
      </c>
      <c r="AF55" s="578">
        <f t="shared" ca="1" si="26"/>
        <v>0</v>
      </c>
      <c r="AG55" s="1046"/>
      <c r="AH55" s="1037"/>
      <c r="AI55" s="1037"/>
      <c r="AJ55" s="1037"/>
      <c r="AK55" s="1037"/>
      <c r="AL55" s="1037"/>
      <c r="AM55" s="1037"/>
      <c r="AN55" s="1037"/>
      <c r="AO55" s="1039"/>
      <c r="AP55" s="1037"/>
      <c r="AQ55" s="1037"/>
      <c r="AR55" s="1037"/>
      <c r="AS55" s="1037"/>
      <c r="AT55" s="1037"/>
      <c r="AU55" s="1037"/>
      <c r="AV55" s="1037"/>
      <c r="AW55" s="1037"/>
      <c r="AX55" s="1039"/>
      <c r="AY55" s="1037"/>
      <c r="AZ55" s="1037"/>
      <c r="BA55" s="1037"/>
      <c r="BB55" s="1037"/>
      <c r="BC55" s="1037"/>
      <c r="BD55" s="1037"/>
      <c r="BE55" s="1039"/>
      <c r="BF55" s="1039"/>
      <c r="BG55" s="1037"/>
      <c r="BH55" s="1037"/>
      <c r="BI55" s="1037"/>
      <c r="BJ55" s="1037"/>
      <c r="BK55" s="1037"/>
      <c r="BL55" s="1039"/>
      <c r="BM55" s="1040"/>
      <c r="BN55" s="1037"/>
      <c r="BO55" s="972"/>
    </row>
    <row r="56" spans="1:67" ht="21.95" hidden="1" customHeight="1" x14ac:dyDescent="0.15">
      <c r="A56" s="2627"/>
      <c r="B56" s="2522" t="s">
        <v>1118</v>
      </c>
      <c r="C56" s="549" t="s">
        <v>172</v>
      </c>
      <c r="D56" s="1001"/>
      <c r="E56" s="2230"/>
      <c r="F56" s="238">
        <f t="shared" ref="F56:O56" ca="1" si="34">IF(F$6=1.5,F$2*F$3,0)</f>
        <v>0</v>
      </c>
      <c r="G56" s="238">
        <f t="shared" ca="1" si="34"/>
        <v>0</v>
      </c>
      <c r="H56" s="238">
        <f t="shared" ca="1" si="34"/>
        <v>0</v>
      </c>
      <c r="I56" s="238">
        <f t="shared" ca="1" si="34"/>
        <v>0</v>
      </c>
      <c r="J56" s="238">
        <f t="shared" ca="1" si="34"/>
        <v>0</v>
      </c>
      <c r="K56" s="238">
        <f t="shared" ca="1" si="34"/>
        <v>0</v>
      </c>
      <c r="L56" s="238">
        <f t="shared" si="34"/>
        <v>0</v>
      </c>
      <c r="M56" s="238">
        <f t="shared" si="34"/>
        <v>0</v>
      </c>
      <c r="N56" s="238">
        <f t="shared" si="34"/>
        <v>0</v>
      </c>
      <c r="O56" s="238">
        <f t="shared" si="34"/>
        <v>0</v>
      </c>
      <c r="P56" s="241"/>
      <c r="Q56" s="241"/>
      <c r="R56" s="241"/>
      <c r="S56" s="241"/>
      <c r="T56" s="241"/>
      <c r="U56" s="241"/>
      <c r="V56" s="241"/>
      <c r="W56" s="241"/>
      <c r="X56" s="241"/>
      <c r="Y56" s="241"/>
      <c r="Z56" s="241"/>
      <c r="AA56" s="241"/>
      <c r="AB56" s="241"/>
      <c r="AC56" s="241"/>
      <c r="AD56" s="241"/>
      <c r="AE56" s="362">
        <f t="shared" ca="1" si="30"/>
        <v>0</v>
      </c>
      <c r="AF56" s="578">
        <f t="shared" ca="1" si="26"/>
        <v>0</v>
      </c>
      <c r="AG56" s="1046"/>
      <c r="AH56" s="1037"/>
      <c r="AI56" s="1037"/>
      <c r="AJ56" s="1037"/>
      <c r="AK56" s="1037"/>
      <c r="AL56" s="1037">
        <v>3.2000000000000001E-2</v>
      </c>
      <c r="AM56" s="1037"/>
      <c r="AN56" s="1037"/>
      <c r="AO56" s="1039"/>
      <c r="AP56" s="1037"/>
      <c r="AQ56" s="1037"/>
      <c r="AR56" s="1037"/>
      <c r="AS56" s="1037"/>
      <c r="AT56" s="1037"/>
      <c r="AU56" s="1037">
        <v>3.2000000000000001E-2</v>
      </c>
      <c r="AV56" s="1037"/>
      <c r="AW56" s="1037"/>
      <c r="AX56" s="1039"/>
      <c r="AY56" s="1037"/>
      <c r="AZ56" s="1037"/>
      <c r="BA56" s="1037"/>
      <c r="BB56" s="1037"/>
      <c r="BC56" s="1037"/>
      <c r="BD56" s="1037"/>
      <c r="BE56" s="1039"/>
      <c r="BF56" s="1039"/>
      <c r="BG56" s="1037"/>
      <c r="BH56" s="1037"/>
      <c r="BI56" s="1037"/>
      <c r="BJ56" s="1037"/>
      <c r="BK56" s="1037"/>
      <c r="BL56" s="1039"/>
      <c r="BM56" s="1040"/>
      <c r="BN56" s="1037"/>
      <c r="BO56" s="972"/>
    </row>
    <row r="57" spans="1:67" ht="21.95" hidden="1" customHeight="1" x14ac:dyDescent="0.15">
      <c r="A57" s="2627"/>
      <c r="B57" s="2523"/>
      <c r="C57" s="566" t="s">
        <v>154</v>
      </c>
      <c r="D57" s="1002"/>
      <c r="E57" s="1286"/>
      <c r="F57" s="158">
        <f t="shared" ref="F57:O57" ca="1" si="35">IF(F$6=2,F$2*F$3,0)</f>
        <v>0</v>
      </c>
      <c r="G57" s="158">
        <f t="shared" ca="1" si="35"/>
        <v>0</v>
      </c>
      <c r="H57" s="158">
        <f t="shared" ca="1" si="35"/>
        <v>0</v>
      </c>
      <c r="I57" s="158">
        <f t="shared" ca="1" si="35"/>
        <v>0</v>
      </c>
      <c r="J57" s="158">
        <f t="shared" ca="1" si="35"/>
        <v>0</v>
      </c>
      <c r="K57" s="158">
        <f t="shared" ca="1" si="35"/>
        <v>0</v>
      </c>
      <c r="L57" s="158">
        <f t="shared" si="35"/>
        <v>0</v>
      </c>
      <c r="M57" s="158">
        <f t="shared" si="35"/>
        <v>0</v>
      </c>
      <c r="N57" s="158">
        <f t="shared" si="35"/>
        <v>0</v>
      </c>
      <c r="O57" s="158">
        <f t="shared" si="35"/>
        <v>0</v>
      </c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59"/>
      <c r="AE57" s="350">
        <f t="shared" ca="1" si="30"/>
        <v>0</v>
      </c>
      <c r="AF57" s="578">
        <f t="shared" ca="1" si="26"/>
        <v>0</v>
      </c>
      <c r="AG57" s="1046"/>
      <c r="AH57" s="1037"/>
      <c r="AI57" s="1037"/>
      <c r="AJ57" s="1037"/>
      <c r="AK57" s="1037"/>
      <c r="AL57" s="1037">
        <v>4.2999999999999997E-2</v>
      </c>
      <c r="AM57" s="1037"/>
      <c r="AN57" s="1037"/>
      <c r="AO57" s="1039"/>
      <c r="AP57" s="1037"/>
      <c r="AQ57" s="1037"/>
      <c r="AR57" s="1037"/>
      <c r="AS57" s="1037"/>
      <c r="AT57" s="1037"/>
      <c r="AU57" s="1037">
        <v>4.2999999999999997E-2</v>
      </c>
      <c r="AV57" s="1037"/>
      <c r="AW57" s="1037"/>
      <c r="AX57" s="1039"/>
      <c r="AY57" s="1037"/>
      <c r="AZ57" s="1037"/>
      <c r="BA57" s="1037"/>
      <c r="BB57" s="1037"/>
      <c r="BC57" s="1037"/>
      <c r="BD57" s="1037"/>
      <c r="BE57" s="1039"/>
      <c r="BF57" s="1039"/>
      <c r="BG57" s="1037"/>
      <c r="BH57" s="1037"/>
      <c r="BI57" s="1037"/>
      <c r="BJ57" s="1037"/>
      <c r="BK57" s="1037"/>
      <c r="BL57" s="1039"/>
      <c r="BM57" s="1040"/>
      <c r="BN57" s="1037"/>
      <c r="BO57" s="972"/>
    </row>
    <row r="58" spans="1:67" ht="21.95" hidden="1" customHeight="1" x14ac:dyDescent="0.15">
      <c r="A58" s="2627"/>
      <c r="B58" s="2523"/>
      <c r="C58" s="566" t="s">
        <v>155</v>
      </c>
      <c r="D58" s="1002"/>
      <c r="E58" s="1286"/>
      <c r="F58" s="158">
        <f t="shared" ref="F58:O58" ca="1" si="36">IF(F$6=2.5,F$2*F$3,0)</f>
        <v>0</v>
      </c>
      <c r="G58" s="158">
        <f t="shared" ca="1" si="36"/>
        <v>0</v>
      </c>
      <c r="H58" s="158">
        <f t="shared" ca="1" si="36"/>
        <v>0</v>
      </c>
      <c r="I58" s="158">
        <f t="shared" ca="1" si="36"/>
        <v>0</v>
      </c>
      <c r="J58" s="158">
        <f t="shared" ca="1" si="36"/>
        <v>0</v>
      </c>
      <c r="K58" s="158">
        <f t="shared" ca="1" si="36"/>
        <v>0</v>
      </c>
      <c r="L58" s="158">
        <f t="shared" si="36"/>
        <v>0</v>
      </c>
      <c r="M58" s="158">
        <f t="shared" si="36"/>
        <v>0</v>
      </c>
      <c r="N58" s="158">
        <f t="shared" si="36"/>
        <v>0</v>
      </c>
      <c r="O58" s="158">
        <f t="shared" si="36"/>
        <v>0</v>
      </c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59"/>
      <c r="AE58" s="350">
        <f t="shared" ca="1" si="30"/>
        <v>0</v>
      </c>
      <c r="AF58" s="578">
        <f t="shared" ca="1" si="26"/>
        <v>0</v>
      </c>
      <c r="AG58" s="1046"/>
      <c r="AH58" s="1037"/>
      <c r="AI58" s="1037"/>
      <c r="AJ58" s="1037"/>
      <c r="AK58" s="1037"/>
      <c r="AL58" s="1037">
        <v>5.3999999999999999E-2</v>
      </c>
      <c r="AM58" s="1037"/>
      <c r="AN58" s="1037"/>
      <c r="AO58" s="1039"/>
      <c r="AP58" s="1037"/>
      <c r="AQ58" s="1037"/>
      <c r="AR58" s="1037"/>
      <c r="AS58" s="1037"/>
      <c r="AT58" s="1037"/>
      <c r="AU58" s="1037">
        <v>5.3999999999999999E-2</v>
      </c>
      <c r="AV58" s="1037"/>
      <c r="AW58" s="1037"/>
      <c r="AX58" s="1039"/>
      <c r="AY58" s="1037"/>
      <c r="AZ58" s="1037"/>
      <c r="BA58" s="1037"/>
      <c r="BB58" s="1037"/>
      <c r="BC58" s="1037"/>
      <c r="BD58" s="1037"/>
      <c r="BE58" s="1039"/>
      <c r="BF58" s="1039"/>
      <c r="BG58" s="1037"/>
      <c r="BH58" s="1037"/>
      <c r="BI58" s="1037"/>
      <c r="BJ58" s="1037"/>
      <c r="BK58" s="1037"/>
      <c r="BL58" s="1039"/>
      <c r="BM58" s="1040"/>
      <c r="BN58" s="1037"/>
      <c r="BO58" s="972"/>
    </row>
    <row r="59" spans="1:67" ht="21.95" hidden="1" customHeight="1" thickBot="1" x14ac:dyDescent="0.2">
      <c r="A59" s="2627"/>
      <c r="B59" s="2524"/>
      <c r="C59" s="565" t="s">
        <v>211</v>
      </c>
      <c r="D59" s="1003"/>
      <c r="E59" s="2231"/>
      <c r="F59" s="239">
        <f t="shared" ref="F59:O59" ca="1" si="37">IF(F$6=3,F$2*F$3,0)</f>
        <v>0</v>
      </c>
      <c r="G59" s="239">
        <f t="shared" ca="1" si="37"/>
        <v>0</v>
      </c>
      <c r="H59" s="239">
        <f t="shared" ca="1" si="37"/>
        <v>0</v>
      </c>
      <c r="I59" s="239">
        <f t="shared" ca="1" si="37"/>
        <v>0</v>
      </c>
      <c r="J59" s="239">
        <f t="shared" ca="1" si="37"/>
        <v>0</v>
      </c>
      <c r="K59" s="239">
        <f t="shared" ca="1" si="37"/>
        <v>0</v>
      </c>
      <c r="L59" s="239">
        <f t="shared" si="37"/>
        <v>0</v>
      </c>
      <c r="M59" s="239">
        <f t="shared" si="37"/>
        <v>0</v>
      </c>
      <c r="N59" s="239">
        <f t="shared" si="37"/>
        <v>0</v>
      </c>
      <c r="O59" s="239">
        <f t="shared" si="37"/>
        <v>0</v>
      </c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37"/>
      <c r="AD59" s="237"/>
      <c r="AE59" s="361">
        <f t="shared" ca="1" si="30"/>
        <v>0</v>
      </c>
      <c r="AF59" s="578">
        <f t="shared" ca="1" si="26"/>
        <v>0</v>
      </c>
      <c r="AG59" s="1046"/>
      <c r="AH59" s="1037"/>
      <c r="AI59" s="1037"/>
      <c r="AJ59" s="1037"/>
      <c r="AK59" s="1037"/>
      <c r="AL59" s="1037">
        <v>7.1999999999999995E-2</v>
      </c>
      <c r="AM59" s="1037"/>
      <c r="AN59" s="1037"/>
      <c r="AO59" s="1039"/>
      <c r="AP59" s="1037"/>
      <c r="AQ59" s="1037"/>
      <c r="AR59" s="1037"/>
      <c r="AS59" s="1037"/>
      <c r="AT59" s="1037"/>
      <c r="AU59" s="1037">
        <v>7.1999999999999995E-2</v>
      </c>
      <c r="AV59" s="1037"/>
      <c r="AW59" s="1037"/>
      <c r="AX59" s="1039"/>
      <c r="AY59" s="1037"/>
      <c r="AZ59" s="1037"/>
      <c r="BA59" s="1037"/>
      <c r="BB59" s="1037"/>
      <c r="BC59" s="1037"/>
      <c r="BD59" s="1037"/>
      <c r="BE59" s="1039"/>
      <c r="BF59" s="1039"/>
      <c r="BG59" s="1037"/>
      <c r="BH59" s="1037"/>
      <c r="BI59" s="1037"/>
      <c r="BJ59" s="1037"/>
      <c r="BK59" s="1037"/>
      <c r="BL59" s="1039"/>
      <c r="BM59" s="1040"/>
      <c r="BN59" s="1037"/>
      <c r="BO59" s="972"/>
    </row>
    <row r="60" spans="1:67" s="14" customFormat="1" ht="60" customHeight="1" thickBot="1" x14ac:dyDescent="0.2">
      <c r="A60" s="2627"/>
      <c r="B60" s="2624" t="s">
        <v>498</v>
      </c>
      <c r="C60" s="551" t="s">
        <v>17</v>
      </c>
      <c r="D60" s="1010"/>
      <c r="E60" s="2238"/>
      <c r="F60" s="228">
        <f>Dren_Quantificacao!D41</f>
        <v>1</v>
      </c>
      <c r="G60" s="228">
        <f>Dren_Quantificacao!E41</f>
        <v>1</v>
      </c>
      <c r="H60" s="228">
        <f>Dren_Quantificacao!F41</f>
        <v>1</v>
      </c>
      <c r="I60" s="228">
        <f>Dren_Quantificacao!G41</f>
        <v>1</v>
      </c>
      <c r="J60" s="228">
        <f>Dren_Quantificacao!H41</f>
        <v>1</v>
      </c>
      <c r="K60" s="228">
        <f>Dren_Quantificacao!I41</f>
        <v>1</v>
      </c>
      <c r="L60" s="228">
        <f>Dren_Quantificacao!J41</f>
        <v>2</v>
      </c>
      <c r="M60" s="228">
        <f>Dren_Quantificacao!K41</f>
        <v>1</v>
      </c>
      <c r="N60" s="228">
        <f>Dren_Quantificacao!L41</f>
        <v>1</v>
      </c>
      <c r="O60" s="228">
        <f>Dren_Quantificacao!M41</f>
        <v>0</v>
      </c>
      <c r="P60" s="229"/>
      <c r="Q60" s="229"/>
      <c r="R60" s="229"/>
      <c r="S60" s="229"/>
      <c r="T60" s="229"/>
      <c r="U60" s="229"/>
      <c r="V60" s="229"/>
      <c r="W60" s="229"/>
      <c r="X60" s="229"/>
      <c r="Y60" s="229"/>
      <c r="Z60" s="229"/>
      <c r="AA60" s="229"/>
      <c r="AB60" s="229"/>
      <c r="AC60" s="229"/>
      <c r="AD60" s="229"/>
      <c r="AE60" s="358">
        <f t="shared" si="30"/>
        <v>10</v>
      </c>
      <c r="AF60" s="578">
        <f t="shared" si="26"/>
        <v>20</v>
      </c>
      <c r="AG60" s="1046">
        <f>+'[1]DR-0135'!$G$44</f>
        <v>0.51029999999999998</v>
      </c>
      <c r="AH60" s="1037"/>
      <c r="AI60" s="1037"/>
      <c r="AJ60" s="1037">
        <f>+'[1]DR-0135'!$G$45</f>
        <v>2.3508800000000001</v>
      </c>
      <c r="AK60" s="1037"/>
      <c r="AL60" s="1037">
        <f>+'[1]DR-0135'!$G$50</f>
        <v>0.53412599999999999</v>
      </c>
      <c r="AM60" s="1037"/>
      <c r="AN60" s="1037">
        <f>+'[1]DR-0135'!$G$51</f>
        <v>13.464</v>
      </c>
      <c r="AO60" s="1039"/>
      <c r="AP60" s="1037">
        <f>+'[1]DR-0135'!$G$44</f>
        <v>0.51029999999999998</v>
      </c>
      <c r="AQ60" s="1037"/>
      <c r="AR60" s="1037"/>
      <c r="AS60" s="1037">
        <f>+'[1]DR-0135'!$G$45</f>
        <v>2.3508800000000001</v>
      </c>
      <c r="AT60" s="1037"/>
      <c r="AU60" s="1037">
        <f>+'[1]DR-0135'!$G$50</f>
        <v>0.53412599999999999</v>
      </c>
      <c r="AV60" s="1037"/>
      <c r="AW60" s="1037">
        <f>+'[1]DR-0135'!$G$51</f>
        <v>13.464</v>
      </c>
      <c r="AX60" s="1039"/>
      <c r="AY60" s="1037">
        <f>+'[1]DR-0135'!$G$44</f>
        <v>0.51029999999999998</v>
      </c>
      <c r="AZ60" s="1037"/>
      <c r="BA60" s="1037"/>
      <c r="BB60" s="1037">
        <f>+'[1]DR-0135'!$G$45</f>
        <v>2.3508800000000001</v>
      </c>
      <c r="BC60" s="1037"/>
      <c r="BD60" s="1037"/>
      <c r="BE60" s="1039">
        <v>0.84099999999999997</v>
      </c>
      <c r="BF60" s="1039">
        <f>+'[1]DR-0135'!$G$52*1.016+'[1]DR-0135'!$G$55+'[1]DR-0135'!$G$56*4.48+'[1]DR-0135'!$G$57</f>
        <v>135.36749200000003</v>
      </c>
      <c r="BG60" s="1037"/>
      <c r="BH60" s="1037">
        <f>+'[1]DR-0135'!$G$54</f>
        <v>2.9159999999999999</v>
      </c>
      <c r="BI60" s="1037"/>
      <c r="BJ60" s="1037">
        <f>+'[1]DR-0135'!$G$53</f>
        <v>5.0244</v>
      </c>
      <c r="BK60" s="1037"/>
      <c r="BL60" s="1039"/>
      <c r="BM60" s="1040">
        <f>+'[1]DR-0135'!$G$47+'[1]DR-0135'!$G$48/2+'[1]DR-0135'!$G$49</f>
        <v>249.27575999999999</v>
      </c>
      <c r="BN60" s="1037"/>
      <c r="BO60" s="972"/>
    </row>
    <row r="61" spans="1:67" s="14" customFormat="1" ht="32.1" hidden="1" customHeight="1" x14ac:dyDescent="0.15">
      <c r="A61" s="2627"/>
      <c r="B61" s="2625"/>
      <c r="C61" s="661" t="s">
        <v>18</v>
      </c>
      <c r="D61" s="1011"/>
      <c r="F61" s="18">
        <f>Dren_Quantificacao!D42</f>
        <v>0</v>
      </c>
      <c r="G61" s="18">
        <f>Dren_Quantificacao!E42</f>
        <v>0</v>
      </c>
      <c r="H61" s="18">
        <f>Dren_Quantificacao!F42</f>
        <v>0</v>
      </c>
      <c r="I61" s="18">
        <f>Dren_Quantificacao!G42</f>
        <v>0</v>
      </c>
      <c r="J61" s="18">
        <f>Dren_Quantificacao!H42</f>
        <v>0</v>
      </c>
      <c r="K61" s="18">
        <f>Dren_Quantificacao!I42</f>
        <v>0</v>
      </c>
      <c r="L61" s="18">
        <f>Dren_Quantificacao!J42</f>
        <v>0</v>
      </c>
      <c r="M61" s="18">
        <f>Dren_Quantificacao!K42</f>
        <v>0</v>
      </c>
      <c r="N61" s="18">
        <f>Dren_Quantificacao!L42</f>
        <v>0</v>
      </c>
      <c r="O61" s="18">
        <f>Dren_Quantificacao!M42</f>
        <v>0</v>
      </c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349">
        <f t="shared" si="30"/>
        <v>0</v>
      </c>
      <c r="AF61" s="578">
        <f t="shared" si="26"/>
        <v>0</v>
      </c>
      <c r="AG61" s="1046">
        <f>+'[1]DR-0140'!$G$44</f>
        <v>0.64259999999999995</v>
      </c>
      <c r="AH61" s="1037"/>
      <c r="AI61" s="1037"/>
      <c r="AJ61" s="1037">
        <f>+'[1]DR-0140'!$G$45</f>
        <v>2.9756800000000001</v>
      </c>
      <c r="AK61" s="1037"/>
      <c r="AL61" s="1037">
        <f>+'[1]DR-0140'!$G$50</f>
        <v>0.80887799999999999</v>
      </c>
      <c r="AM61" s="1037"/>
      <c r="AN61" s="1037">
        <f>+'[1]DR-0140'!$G$51</f>
        <v>20.504000000000001</v>
      </c>
      <c r="AO61" s="1039"/>
      <c r="AP61" s="1037">
        <f>+'[1]DR-0140'!$G$44</f>
        <v>0.64259999999999995</v>
      </c>
      <c r="AQ61" s="1037"/>
      <c r="AR61" s="1037"/>
      <c r="AS61" s="1037">
        <f>+'[1]DR-0140'!$G$45</f>
        <v>2.9756800000000001</v>
      </c>
      <c r="AT61" s="1037"/>
      <c r="AU61" s="1037">
        <f>+'[1]DR-0140'!$G$50</f>
        <v>0.80887799999999999</v>
      </c>
      <c r="AV61" s="1037"/>
      <c r="AW61" s="1037">
        <f>+'[1]DR-0140'!$G$51</f>
        <v>20.504000000000001</v>
      </c>
      <c r="AX61" s="1039"/>
      <c r="AY61" s="1037">
        <f>+'[1]DR-0140'!$G$44</f>
        <v>0.64259999999999995</v>
      </c>
      <c r="AZ61" s="1037"/>
      <c r="BA61" s="1037"/>
      <c r="BB61" s="1037">
        <f>+'[1]DR-0140'!$G$45</f>
        <v>2.9756800000000001</v>
      </c>
      <c r="BC61" s="1037"/>
      <c r="BD61" s="1037"/>
      <c r="BE61" s="1039">
        <v>0.84099999999999997</v>
      </c>
      <c r="BF61" s="1039">
        <f>+'[1]DR-0140'!$G$52*1.016+'[1]DR-0140'!$G$55+'[1]DR-0140'!$G$56*4.48+'[1]DR-0140'!$G$57</f>
        <v>171.86545000000001</v>
      </c>
      <c r="BG61" s="1037"/>
      <c r="BH61" s="1037">
        <f>+'[1]DR-0140'!$G$54</f>
        <v>3.294</v>
      </c>
      <c r="BI61" s="1037"/>
      <c r="BJ61" s="1037">
        <f>+'[1]DR-0140'!$G$53</f>
        <v>6.5784000000000002</v>
      </c>
      <c r="BK61" s="1037"/>
      <c r="BL61" s="1039"/>
      <c r="BM61" s="1040">
        <f>+'[1]DR-0140'!$G$47+'[1]DR-0140'!$G$48/2+'[1]DR-0140'!$G$49</f>
        <v>375.35255999999998</v>
      </c>
      <c r="BN61" s="1037"/>
      <c r="BO61" s="972"/>
    </row>
    <row r="62" spans="1:67" s="14" customFormat="1" ht="21.95" hidden="1" customHeight="1" x14ac:dyDescent="0.15">
      <c r="A62" s="2627"/>
      <c r="B62" s="2625"/>
      <c r="C62" s="661" t="s">
        <v>19</v>
      </c>
      <c r="D62" s="1011"/>
      <c r="F62" s="18">
        <f>Dren_Quantificacao!D43</f>
        <v>0</v>
      </c>
      <c r="G62" s="18">
        <f>Dren_Quantificacao!E43</f>
        <v>0</v>
      </c>
      <c r="H62" s="18">
        <f>Dren_Quantificacao!F43</f>
        <v>0</v>
      </c>
      <c r="I62" s="18">
        <f>Dren_Quantificacao!G43</f>
        <v>0</v>
      </c>
      <c r="J62" s="18">
        <f>Dren_Quantificacao!H43</f>
        <v>0</v>
      </c>
      <c r="K62" s="18">
        <f>Dren_Quantificacao!I43</f>
        <v>0</v>
      </c>
      <c r="L62" s="18">
        <f>Dren_Quantificacao!J43</f>
        <v>0</v>
      </c>
      <c r="M62" s="18">
        <f>Dren_Quantificacao!K43</f>
        <v>0</v>
      </c>
      <c r="N62" s="18">
        <f>Dren_Quantificacao!L43</f>
        <v>0</v>
      </c>
      <c r="O62" s="18">
        <f>Dren_Quantificacao!M43</f>
        <v>0</v>
      </c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349">
        <f t="shared" si="30"/>
        <v>0</v>
      </c>
      <c r="AF62" s="578">
        <f t="shared" si="26"/>
        <v>0</v>
      </c>
      <c r="AG62" s="1046">
        <f>+'[1]DR-0145'!$G$44</f>
        <v>0.79379999999999995</v>
      </c>
      <c r="AH62" s="1037"/>
      <c r="AI62" s="1037"/>
      <c r="AJ62" s="1037">
        <f>+'[1]DR-0145'!$G$45</f>
        <v>3.6668799999999999</v>
      </c>
      <c r="AK62" s="1037"/>
      <c r="AL62" s="1037">
        <f>+'[1]DR-0145'!$G$50</f>
        <v>0.94334200000000001</v>
      </c>
      <c r="AM62" s="1037"/>
      <c r="AN62" s="1037">
        <f>+'[1]DR-0145'!$G$51</f>
        <v>24.024000000000001</v>
      </c>
      <c r="AO62" s="1039"/>
      <c r="AP62" s="1037">
        <f>+'[1]DR-0145'!$G$44</f>
        <v>0.79379999999999995</v>
      </c>
      <c r="AQ62" s="1037"/>
      <c r="AR62" s="1037"/>
      <c r="AS62" s="1037">
        <f>+'[1]DR-0145'!$G$45</f>
        <v>3.6668799999999999</v>
      </c>
      <c r="AT62" s="1037"/>
      <c r="AU62" s="1037">
        <f>+'[1]DR-0145'!$G$50</f>
        <v>0.94334200000000001</v>
      </c>
      <c r="AV62" s="1037"/>
      <c r="AW62" s="1037">
        <f>+'[1]DR-0145'!$G$51</f>
        <v>24.024000000000001</v>
      </c>
      <c r="AX62" s="1039"/>
      <c r="AY62" s="1037">
        <f>+'[1]DR-0145'!$G$44</f>
        <v>0.79379999999999995</v>
      </c>
      <c r="AZ62" s="1037"/>
      <c r="BA62" s="1037"/>
      <c r="BB62" s="1037">
        <f>+'[1]DR-0145'!$G$45</f>
        <v>3.6668799999999999</v>
      </c>
      <c r="BC62" s="1037"/>
      <c r="BD62" s="1037"/>
      <c r="BE62" s="1039">
        <v>0.84099999999999997</v>
      </c>
      <c r="BF62" s="1039">
        <f>+'[1]DR-0145'!$G$52*1.016+'[1]DR-0145'!$G$55+'[1]DR-0145'!$G$56*4.48+'[1]DR-0145'!$G$57</f>
        <v>211.33740200000003</v>
      </c>
      <c r="BG62" s="1037"/>
      <c r="BH62" s="1037">
        <f>+'[1]DR-0145'!$G$54</f>
        <v>3.726</v>
      </c>
      <c r="BI62" s="1037"/>
      <c r="BJ62" s="1037">
        <f>+'[1]DR-0145'!$G$53</f>
        <v>8.3544</v>
      </c>
      <c r="BK62" s="1037"/>
      <c r="BL62" s="1039"/>
      <c r="BM62" s="1040">
        <f>+'[1]DR-0145'!$G$47+'[1]DR-0145'!$G$48/2+'[1]DR-0145'!$G$49</f>
        <v>435.65015999999997</v>
      </c>
      <c r="BN62" s="1037"/>
      <c r="BO62" s="972"/>
    </row>
    <row r="63" spans="1:67" s="14" customFormat="1" ht="21.95" hidden="1" customHeight="1" x14ac:dyDescent="0.15">
      <c r="A63" s="2627"/>
      <c r="B63" s="2625"/>
      <c r="C63" s="661" t="s">
        <v>20</v>
      </c>
      <c r="D63" s="1011"/>
      <c r="F63" s="18">
        <f>Dren_Quantificacao!D44</f>
        <v>0</v>
      </c>
      <c r="G63" s="18">
        <f>Dren_Quantificacao!E44</f>
        <v>0</v>
      </c>
      <c r="H63" s="18">
        <f>Dren_Quantificacao!F44</f>
        <v>0</v>
      </c>
      <c r="I63" s="18">
        <f>Dren_Quantificacao!G44</f>
        <v>0</v>
      </c>
      <c r="J63" s="18">
        <f>Dren_Quantificacao!H44</f>
        <v>0</v>
      </c>
      <c r="K63" s="18">
        <f>Dren_Quantificacao!I44</f>
        <v>0</v>
      </c>
      <c r="L63" s="18">
        <f>Dren_Quantificacao!J44</f>
        <v>0</v>
      </c>
      <c r="M63" s="18">
        <f>Dren_Quantificacao!K44</f>
        <v>0</v>
      </c>
      <c r="N63" s="18">
        <f>Dren_Quantificacao!L44</f>
        <v>0</v>
      </c>
      <c r="O63" s="18">
        <f>Dren_Quantificacao!M44</f>
        <v>0</v>
      </c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349">
        <f t="shared" si="30"/>
        <v>0</v>
      </c>
      <c r="AF63" s="578">
        <f t="shared" si="26"/>
        <v>0</v>
      </c>
      <c r="AG63" s="1046">
        <f>+'[1]DR-0150'!$G$44</f>
        <v>1.0772999999999999</v>
      </c>
      <c r="AH63" s="1037"/>
      <c r="AI63" s="1037"/>
      <c r="AJ63" s="1037">
        <f>+'[1]DR-0150'!$G$45</f>
        <v>4.9628800000000002</v>
      </c>
      <c r="AK63" s="1037"/>
      <c r="AL63" s="1037">
        <f>+'[1]DR-0150'!$G$50</f>
        <v>1.195462</v>
      </c>
      <c r="AM63" s="1037"/>
      <c r="AN63" s="1037">
        <f>+'[1]DR-0150'!$G$51</f>
        <v>30.623999999999999</v>
      </c>
      <c r="AO63" s="1039"/>
      <c r="AP63" s="1037">
        <f>+'[1]DR-0150'!$G$44</f>
        <v>1.0772999999999999</v>
      </c>
      <c r="AQ63" s="1037"/>
      <c r="AR63" s="1037"/>
      <c r="AS63" s="1037">
        <f>+'[1]DR-0150'!$G$45</f>
        <v>4.9628800000000002</v>
      </c>
      <c r="AT63" s="1037"/>
      <c r="AU63" s="1037">
        <f>+'[1]DR-0150'!$G$50</f>
        <v>1.195462</v>
      </c>
      <c r="AV63" s="1037"/>
      <c r="AW63" s="1037">
        <f>+'[1]DR-0150'!$G$51</f>
        <v>30.623999999999999</v>
      </c>
      <c r="AX63" s="1039"/>
      <c r="AY63" s="1037">
        <f>+'[1]DR-0150'!$G$44</f>
        <v>1.0772999999999999</v>
      </c>
      <c r="AZ63" s="1037"/>
      <c r="BA63" s="1037"/>
      <c r="BB63" s="1037">
        <f>+'[1]DR-0150'!$G$45</f>
        <v>4.9628800000000002</v>
      </c>
      <c r="BC63" s="1037"/>
      <c r="BD63" s="1037"/>
      <c r="BE63" s="1039">
        <v>0.84099999999999997</v>
      </c>
      <c r="BF63" s="1039">
        <f>+'[1]DR-0150'!$G$52*1.016+'[1]DR-0150'!$G$55+'[1]DR-0150'!$G$56*4.48+'[1]DR-0150'!$G$57</f>
        <v>285.34731200000004</v>
      </c>
      <c r="BG63" s="1037"/>
      <c r="BH63" s="1037">
        <f>+'[1]DR-0150'!$G$54</f>
        <v>4.5359999999999996</v>
      </c>
      <c r="BI63" s="1037"/>
      <c r="BJ63" s="1037">
        <f>+'[1]DR-0150'!$G$53</f>
        <v>11.6844</v>
      </c>
      <c r="BK63" s="1037"/>
      <c r="BL63" s="1039"/>
      <c r="BM63" s="1040">
        <f>+'[1]DR-0150'!$G$47+'[1]DR-0150'!$G$48/2+'[1]DR-0150'!$G$49</f>
        <v>548.70816000000002</v>
      </c>
      <c r="BN63" s="1037"/>
      <c r="BO63" s="972"/>
    </row>
    <row r="64" spans="1:67" s="14" customFormat="1" ht="21.95" hidden="1" customHeight="1" x14ac:dyDescent="0.15">
      <c r="A64" s="2627"/>
      <c r="B64" s="2625"/>
      <c r="C64" s="661" t="s">
        <v>21</v>
      </c>
      <c r="D64" s="1011"/>
      <c r="F64" s="18">
        <f>Dren_Quantificacao!D45</f>
        <v>0</v>
      </c>
      <c r="G64" s="18">
        <f>Dren_Quantificacao!E45</f>
        <v>0</v>
      </c>
      <c r="H64" s="18">
        <f>Dren_Quantificacao!F45</f>
        <v>0</v>
      </c>
      <c r="I64" s="18">
        <f>Dren_Quantificacao!G45</f>
        <v>0</v>
      </c>
      <c r="J64" s="18">
        <f>Dren_Quantificacao!H45</f>
        <v>0</v>
      </c>
      <c r="K64" s="18">
        <f>Dren_Quantificacao!I45</f>
        <v>0</v>
      </c>
      <c r="L64" s="18">
        <f>Dren_Quantificacao!J45</f>
        <v>0</v>
      </c>
      <c r="M64" s="18">
        <f>Dren_Quantificacao!K45</f>
        <v>0</v>
      </c>
      <c r="N64" s="18">
        <f>Dren_Quantificacao!L45</f>
        <v>0</v>
      </c>
      <c r="O64" s="18">
        <f>Dren_Quantificacao!M45</f>
        <v>0</v>
      </c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349">
        <f t="shared" si="30"/>
        <v>0</v>
      </c>
      <c r="AF64" s="578">
        <f t="shared" si="26"/>
        <v>0</v>
      </c>
      <c r="AG64" s="1046">
        <f>+'[1]DR-0155'!$G$44</f>
        <v>1.3796999999999999</v>
      </c>
      <c r="AH64" s="1037"/>
      <c r="AI64" s="1037"/>
      <c r="AJ64" s="1037">
        <f>+'[1]DR-0155'!$G$45</f>
        <v>6.3452799999999998</v>
      </c>
      <c r="AK64" s="1037"/>
      <c r="AL64" s="1037">
        <f>+'[1]DR-0155'!$G$50</f>
        <v>1.4643900000000001</v>
      </c>
      <c r="AM64" s="1037"/>
      <c r="AN64" s="1037">
        <f>+'[1]DR-0155'!$G$51</f>
        <v>37.664000000000001</v>
      </c>
      <c r="AO64" s="1039"/>
      <c r="AP64" s="1037">
        <f>+'[1]DR-0155'!$G$44</f>
        <v>1.3796999999999999</v>
      </c>
      <c r="AQ64" s="1037"/>
      <c r="AR64" s="1037"/>
      <c r="AS64" s="1037">
        <f>+'[1]DR-0155'!$G$45</f>
        <v>6.3452799999999998</v>
      </c>
      <c r="AT64" s="1037"/>
      <c r="AU64" s="1037">
        <f>+'[1]DR-0155'!$G$50</f>
        <v>1.4643900000000001</v>
      </c>
      <c r="AV64" s="1037"/>
      <c r="AW64" s="1037">
        <f>+'[1]DR-0155'!$G$51</f>
        <v>37.664000000000001</v>
      </c>
      <c r="AX64" s="1039"/>
      <c r="AY64" s="1037">
        <f>+'[1]DR-0155'!$G$44</f>
        <v>1.3796999999999999</v>
      </c>
      <c r="AZ64" s="1037"/>
      <c r="BA64" s="1037"/>
      <c r="BB64" s="1037">
        <f>+'[1]DR-0155'!$G$45</f>
        <v>6.3452799999999998</v>
      </c>
      <c r="BC64" s="1037"/>
      <c r="BD64" s="1037"/>
      <c r="BE64" s="1039">
        <v>0.84099999999999997</v>
      </c>
      <c r="BF64" s="1039">
        <f>+'[1]DR-0155'!$G$52*1.016+'[1]DR-0155'!$G$55+'[1]DR-0155'!$G$56*4.48+'[1]DR-0155'!$G$57</f>
        <v>364.29121600000002</v>
      </c>
      <c r="BG64" s="1037"/>
      <c r="BH64" s="1037">
        <f>+'[1]DR-0155'!$G$54</f>
        <v>5.4</v>
      </c>
      <c r="BI64" s="1037"/>
      <c r="BJ64" s="1037">
        <f>+'[1]DR-0155'!$G$53</f>
        <v>15.2364</v>
      </c>
      <c r="BK64" s="1037"/>
      <c r="BL64" s="1039"/>
      <c r="BM64" s="1040">
        <f>+'[1]DR-0155'!$G$47+'[1]DR-0155'!$G$48/2+'[1]DR-0155'!$G$49</f>
        <v>669.30336</v>
      </c>
      <c r="BN64" s="1037"/>
      <c r="BO64" s="972"/>
    </row>
    <row r="65" spans="1:67" s="14" customFormat="1" ht="21.95" hidden="1" customHeight="1" x14ac:dyDescent="0.15">
      <c r="A65" s="2627"/>
      <c r="B65" s="2625"/>
      <c r="C65" s="661" t="s">
        <v>22</v>
      </c>
      <c r="D65" s="1011"/>
      <c r="F65" s="18">
        <f>Dren_Quantificacao!D46</f>
        <v>0</v>
      </c>
      <c r="G65" s="18">
        <f>Dren_Quantificacao!E46</f>
        <v>0</v>
      </c>
      <c r="H65" s="18">
        <f>Dren_Quantificacao!F46</f>
        <v>0</v>
      </c>
      <c r="I65" s="18">
        <f>Dren_Quantificacao!G46</f>
        <v>0</v>
      </c>
      <c r="J65" s="18">
        <f>Dren_Quantificacao!H46</f>
        <v>0</v>
      </c>
      <c r="K65" s="18">
        <f>Dren_Quantificacao!I46</f>
        <v>0</v>
      </c>
      <c r="L65" s="18">
        <f>Dren_Quantificacao!J46</f>
        <v>0</v>
      </c>
      <c r="M65" s="18">
        <f>Dren_Quantificacao!K46</f>
        <v>0</v>
      </c>
      <c r="N65" s="18">
        <f>Dren_Quantificacao!L46</f>
        <v>0</v>
      </c>
      <c r="O65" s="18">
        <f>Dren_Quantificacao!M46</f>
        <v>0</v>
      </c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349">
        <f t="shared" si="30"/>
        <v>0</v>
      </c>
      <c r="AF65" s="578">
        <f t="shared" si="26"/>
        <v>0</v>
      </c>
      <c r="AG65" s="1046">
        <f>+'[1]DR-0160'!$G$44</f>
        <v>1.7955000000000001</v>
      </c>
      <c r="AH65" s="1037"/>
      <c r="AI65" s="1037"/>
      <c r="AJ65" s="1037">
        <f>+'[1]DR-0160'!$G$45</f>
        <v>8.2460799999999992</v>
      </c>
      <c r="AK65" s="1037"/>
      <c r="AL65" s="1037">
        <f>+'[1]DR-0160'!$G$50</f>
        <v>1.834166</v>
      </c>
      <c r="AM65" s="1037"/>
      <c r="AN65" s="1037">
        <f>+'[1]DR-0160'!$G$51</f>
        <v>47.344000000000001</v>
      </c>
      <c r="AO65" s="1039"/>
      <c r="AP65" s="1037">
        <f>+'[1]DR-0160'!$G$44</f>
        <v>1.7955000000000001</v>
      </c>
      <c r="AQ65" s="1037"/>
      <c r="AR65" s="1037"/>
      <c r="AS65" s="1037">
        <f>+'[1]DR-0160'!$G$45</f>
        <v>8.2460799999999992</v>
      </c>
      <c r="AT65" s="1037"/>
      <c r="AU65" s="1037">
        <f>+'[1]DR-0160'!$G$50</f>
        <v>1.834166</v>
      </c>
      <c r="AV65" s="1037"/>
      <c r="AW65" s="1037">
        <f>+'[1]DR-0160'!$G$51</f>
        <v>47.344000000000001</v>
      </c>
      <c r="AX65" s="1039"/>
      <c r="AY65" s="1037">
        <f>+'[1]DR-0160'!$G$44</f>
        <v>1.7955000000000001</v>
      </c>
      <c r="AZ65" s="1037"/>
      <c r="BA65" s="1037"/>
      <c r="BB65" s="1037">
        <f>+'[1]DR-0160'!$G$45</f>
        <v>8.2460799999999992</v>
      </c>
      <c r="BC65" s="1037"/>
      <c r="BD65" s="1037"/>
      <c r="BE65" s="1039">
        <v>0.84099999999999997</v>
      </c>
      <c r="BF65" s="1039">
        <f>+'[1]DR-0160'!$G$52*1.016+'[1]DR-0160'!$G$55+'[1]DR-0160'!$G$56*4.48+'[1]DR-0160'!$G$57</f>
        <v>472.83908400000007</v>
      </c>
      <c r="BG65" s="1037"/>
      <c r="BH65" s="1037">
        <f>+'[1]DR-0160'!$G$54</f>
        <v>6.5880000000000001</v>
      </c>
      <c r="BI65" s="1037"/>
      <c r="BJ65" s="1037">
        <f>+'[1]DR-0160'!$G$53</f>
        <v>20.1204</v>
      </c>
      <c r="BK65" s="1037"/>
      <c r="BL65" s="1039"/>
      <c r="BM65" s="1040">
        <f>+'[1]DR-0160'!$G$47+'[1]DR-0160'!$G$48/2+'[1]DR-0160'!$G$49</f>
        <v>835.12175999999999</v>
      </c>
      <c r="BN65" s="1037"/>
      <c r="BO65" s="972"/>
    </row>
    <row r="66" spans="1:67" s="14" customFormat="1" ht="21.95" hidden="1" customHeight="1" thickBot="1" x14ac:dyDescent="0.2">
      <c r="A66" s="2627"/>
      <c r="B66" s="2626"/>
      <c r="C66" s="565" t="s">
        <v>467</v>
      </c>
      <c r="D66" s="1012"/>
      <c r="E66" s="2239"/>
      <c r="F66" s="359">
        <f>Dren_Quantificacao!D47</f>
        <v>0</v>
      </c>
      <c r="G66" s="359">
        <f>Dren_Quantificacao!E47</f>
        <v>0</v>
      </c>
      <c r="H66" s="359">
        <f>Dren_Quantificacao!F47</f>
        <v>0</v>
      </c>
      <c r="I66" s="359">
        <f>Dren_Quantificacao!G47</f>
        <v>0</v>
      </c>
      <c r="J66" s="359">
        <f>Dren_Quantificacao!H47</f>
        <v>0</v>
      </c>
      <c r="K66" s="359">
        <f>Dren_Quantificacao!I47</f>
        <v>0</v>
      </c>
      <c r="L66" s="359">
        <f>Dren_Quantificacao!J47</f>
        <v>0</v>
      </c>
      <c r="M66" s="359">
        <f>Dren_Quantificacao!K47</f>
        <v>0</v>
      </c>
      <c r="N66" s="359">
        <f>Dren_Quantificacao!L47</f>
        <v>0</v>
      </c>
      <c r="O66" s="359">
        <f>Dren_Quantificacao!M47</f>
        <v>0</v>
      </c>
      <c r="P66" s="232"/>
      <c r="Q66" s="232"/>
      <c r="R66" s="232"/>
      <c r="S66" s="232"/>
      <c r="T66" s="232"/>
      <c r="U66" s="232"/>
      <c r="V66" s="232"/>
      <c r="W66" s="232"/>
      <c r="X66" s="232"/>
      <c r="Y66" s="232"/>
      <c r="Z66" s="232"/>
      <c r="AA66" s="232"/>
      <c r="AB66" s="232"/>
      <c r="AC66" s="232"/>
      <c r="AD66" s="232"/>
      <c r="AE66" s="360">
        <f t="shared" si="30"/>
        <v>0</v>
      </c>
      <c r="AF66" s="578">
        <f t="shared" ref="AF66:AF97" si="38">SUM(F66:AE66)</f>
        <v>0</v>
      </c>
      <c r="AG66" s="1046"/>
      <c r="AH66" s="1037"/>
      <c r="AI66" s="1037"/>
      <c r="AJ66" s="1037">
        <f>+'[1]DR-0165'!$G$44</f>
        <v>0.37265999999999999</v>
      </c>
      <c r="AK66" s="1037"/>
      <c r="AL66" s="1037">
        <f>+'[1]DR-0165'!$G$50</f>
        <v>0.227019</v>
      </c>
      <c r="AM66" s="1037"/>
      <c r="AN66" s="1037">
        <f>+'[1]DR-0165'!$G$49</f>
        <v>4.8301990000000004</v>
      </c>
      <c r="AO66" s="1039"/>
      <c r="AP66" s="1037"/>
      <c r="AQ66" s="1037"/>
      <c r="AR66" s="1037"/>
      <c r="AS66" s="1037">
        <f>+'[1]DR-0165'!$G$44</f>
        <v>0.37265999999999999</v>
      </c>
      <c r="AT66" s="1037"/>
      <c r="AU66" s="1037">
        <f>+'[1]DR-0165'!$G$50</f>
        <v>0.227019</v>
      </c>
      <c r="AV66" s="1037"/>
      <c r="AW66" s="1037">
        <f>+'[1]DR-0165'!$G$49</f>
        <v>4.8301990000000004</v>
      </c>
      <c r="AX66" s="1039"/>
      <c r="AY66" s="1037"/>
      <c r="AZ66" s="1037"/>
      <c r="BA66" s="1037"/>
      <c r="BB66" s="1037">
        <f>+'[1]DR-0165'!$G$44</f>
        <v>0.37265999999999999</v>
      </c>
      <c r="BC66" s="1037"/>
      <c r="BD66" s="1037"/>
      <c r="BE66" s="1039">
        <f>+'[1]DR-0165'!$G$43</f>
        <v>0.212058</v>
      </c>
      <c r="BF66" s="1039">
        <f>+'[1]DR-0165'!$G$46*4.48+'[1]DR-0165'!$G$47</f>
        <v>15.886642160000001</v>
      </c>
      <c r="BG66" s="1037"/>
      <c r="BH66" s="1037"/>
      <c r="BI66" s="1037"/>
      <c r="BJ66" s="1037"/>
      <c r="BK66" s="1037"/>
      <c r="BL66" s="1039"/>
      <c r="BM66" s="1040"/>
      <c r="BN66" s="1037">
        <f>+'[1]DR-0165'!$G$48</f>
        <v>772.83179299999995</v>
      </c>
      <c r="BO66" s="972"/>
    </row>
    <row r="67" spans="1:67" s="14" customFormat="1" ht="21.95" customHeight="1" x14ac:dyDescent="0.15">
      <c r="A67" s="2627"/>
      <c r="B67" s="2616" t="s">
        <v>2237</v>
      </c>
      <c r="C67" s="551" t="s">
        <v>2221</v>
      </c>
      <c r="D67" s="1011"/>
      <c r="F67" s="238">
        <f ca="1">Dren_Quantificacao!D63</f>
        <v>518.51700000000005</v>
      </c>
      <c r="G67" s="238">
        <f ca="1">Dren_Quantificacao!E63</f>
        <v>516.09199999999998</v>
      </c>
      <c r="H67" s="238">
        <f ca="1">Dren_Quantificacao!F63</f>
        <v>513.79700000000003</v>
      </c>
      <c r="I67" s="238">
        <f ca="1">Dren_Quantificacao!G63</f>
        <v>514.61300000000006</v>
      </c>
      <c r="J67" s="238">
        <f ca="1">Dren_Quantificacao!H63</f>
        <v>515.80499999999995</v>
      </c>
      <c r="K67" s="238">
        <f ca="1">Dren_Quantificacao!I63</f>
        <v>515.55499999999995</v>
      </c>
      <c r="L67" s="238">
        <f>Dren_Quantificacao!J63</f>
        <v>0</v>
      </c>
      <c r="M67" s="238">
        <f>Dren_Quantificacao!K63</f>
        <v>0</v>
      </c>
      <c r="N67" s="238">
        <f>Dren_Quantificacao!L63</f>
        <v>0</v>
      </c>
      <c r="O67" s="238">
        <f>Dren_Quantificacao!M63</f>
        <v>0</v>
      </c>
      <c r="P67" s="229"/>
      <c r="Q67" s="229"/>
      <c r="R67" s="229"/>
      <c r="S67" s="229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2090"/>
      <c r="AF67" s="578">
        <f t="shared" ca="1" si="38"/>
        <v>3094.3789999999999</v>
      </c>
      <c r="AG67" s="1046"/>
      <c r="AH67" s="1037"/>
      <c r="AI67" s="1037"/>
      <c r="AJ67" s="1037"/>
      <c r="AK67" s="1037"/>
      <c r="AL67" s="1037"/>
      <c r="AM67" s="1037"/>
      <c r="AN67" s="1037"/>
      <c r="AO67" s="1039"/>
      <c r="AP67" s="1037"/>
      <c r="AQ67" s="1037"/>
      <c r="AR67" s="1037"/>
      <c r="AS67" s="1037"/>
      <c r="AT67" s="1037"/>
      <c r="AU67" s="1037"/>
      <c r="AV67" s="1037"/>
      <c r="AW67" s="1037"/>
      <c r="AX67" s="1039"/>
      <c r="AY67" s="1037"/>
      <c r="AZ67" s="1037"/>
      <c r="BA67" s="1037"/>
      <c r="BB67" s="1037"/>
      <c r="BC67" s="1037"/>
      <c r="BD67" s="1037"/>
      <c r="BE67" s="1039"/>
      <c r="BF67" s="1039"/>
      <c r="BG67" s="1037"/>
      <c r="BH67" s="1037"/>
      <c r="BI67" s="1037"/>
      <c r="BJ67" s="1037"/>
      <c r="BK67" s="1037"/>
      <c r="BL67" s="1039"/>
      <c r="BM67" s="1040"/>
      <c r="BN67" s="1037"/>
      <c r="BO67" s="972"/>
    </row>
    <row r="68" spans="1:67" s="14" customFormat="1" ht="21.95" customHeight="1" x14ac:dyDescent="0.15">
      <c r="A68" s="2627"/>
      <c r="B68" s="2542"/>
      <c r="C68" s="1857" t="s">
        <v>2222</v>
      </c>
      <c r="D68" s="1011"/>
      <c r="F68" s="158">
        <f ca="1">IF(AND(F84=0,SUM(F99:F103)=0),0,Dren_Quantificacao!D64)</f>
        <v>518.84199999999998</v>
      </c>
      <c r="G68" s="158">
        <f ca="1">IF(AND(G84=0,SUM(G99:G103)=0),0,Dren_Quantificacao!E64)</f>
        <v>516.21199999999999</v>
      </c>
      <c r="H68" s="158">
        <f ca="1">IF(AND(H84=0,SUM(H99:H103)=0),0,Dren_Quantificacao!F64)</f>
        <v>513.79700000000003</v>
      </c>
      <c r="I68" s="158">
        <f ca="1">IF(AND(I84=0,SUM(I99:I103)=0),0,Dren_Quantificacao!G64)</f>
        <v>514.61300000000006</v>
      </c>
      <c r="J68" s="158">
        <f ca="1">IF(AND(J84=0,SUM(J99:J103)=0),0,Dren_Quantificacao!H64)</f>
        <v>516.04700000000003</v>
      </c>
      <c r="K68" s="158">
        <f ca="1">IF(AND(K84=0,SUM(K99:K103)=0),0,Dren_Quantificacao!I64)</f>
        <v>515.55499999999995</v>
      </c>
      <c r="L68" s="158">
        <f>IF(AND(L84=0,SUM(L99:L103)=0),0,Dren_Quantificacao!J64)</f>
        <v>0</v>
      </c>
      <c r="M68" s="158">
        <f>IF(AND(M84=0,SUM(M99:M103)=0),0,Dren_Quantificacao!K64)</f>
        <v>0</v>
      </c>
      <c r="N68" s="158">
        <f>IF(AND(N84=0,SUM(N99:N103)=0),0,Dren_Quantificacao!L64)</f>
        <v>0</v>
      </c>
      <c r="O68" s="158">
        <f>IF(AND(O84=0,SUM(O99:O103)=0),0,Dren_Quantificacao!M64)</f>
        <v>0</v>
      </c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869"/>
      <c r="AF68" s="578">
        <f t="shared" ca="1" si="38"/>
        <v>3095.0659999999998</v>
      </c>
      <c r="AG68" s="1046"/>
      <c r="AH68" s="1037"/>
      <c r="AI68" s="1037"/>
      <c r="AJ68" s="1037"/>
      <c r="AK68" s="1037"/>
      <c r="AL68" s="1037"/>
      <c r="AM68" s="1037"/>
      <c r="AN68" s="1037"/>
      <c r="AO68" s="1039"/>
      <c r="AP68" s="1037"/>
      <c r="AQ68" s="1037"/>
      <c r="AR68" s="1037"/>
      <c r="AS68" s="1037"/>
      <c r="AT68" s="1037"/>
      <c r="AU68" s="1037"/>
      <c r="AV68" s="1037"/>
      <c r="AW68" s="1037"/>
      <c r="AX68" s="1039"/>
      <c r="AY68" s="1037"/>
      <c r="AZ68" s="1037"/>
      <c r="BA68" s="1037"/>
      <c r="BB68" s="1037"/>
      <c r="BC68" s="1037"/>
      <c r="BD68" s="1037"/>
      <c r="BE68" s="1039"/>
      <c r="BF68" s="1039"/>
      <c r="BG68" s="1037"/>
      <c r="BH68" s="1037"/>
      <c r="BI68" s="1037"/>
      <c r="BJ68" s="1037"/>
      <c r="BK68" s="1037"/>
      <c r="BL68" s="1039"/>
      <c r="BM68" s="1040"/>
      <c r="BN68" s="1037"/>
      <c r="BO68" s="972"/>
    </row>
    <row r="69" spans="1:67" s="14" customFormat="1" ht="21.95" customHeight="1" x14ac:dyDescent="0.15">
      <c r="A69" s="2627"/>
      <c r="B69" s="2542"/>
      <c r="C69" s="1857" t="s">
        <v>2223</v>
      </c>
      <c r="D69" s="1011"/>
      <c r="F69" s="158">
        <f ca="1">Dren_Quantificacao!D65</f>
        <v>516.41700000000003</v>
      </c>
      <c r="G69" s="158">
        <f ca="1">Dren_Quantificacao!E65</f>
        <v>514.00736000000006</v>
      </c>
      <c r="H69" s="158">
        <f ca="1">Dren_Quantificacao!F65</f>
        <v>512.44699999999989</v>
      </c>
      <c r="I69" s="158">
        <f ca="1">Dren_Quantificacao!G65</f>
        <v>512.2657099999999</v>
      </c>
      <c r="J69" s="158">
        <f ca="1">Dren_Quantificacao!H65</f>
        <v>512.08441999999991</v>
      </c>
      <c r="K69" s="158">
        <f ca="1">Dren_Quantificacao!I65</f>
        <v>511.90312999999992</v>
      </c>
      <c r="L69" s="158">
        <f>Dren_Quantificacao!J65</f>
        <v>0</v>
      </c>
      <c r="M69" s="158">
        <f>Dren_Quantificacao!K65</f>
        <v>0</v>
      </c>
      <c r="N69" s="158">
        <f>Dren_Quantificacao!L65</f>
        <v>0</v>
      </c>
      <c r="O69" s="158">
        <f>Dren_Quantificacao!M65</f>
        <v>0</v>
      </c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869"/>
      <c r="AF69" s="578">
        <f t="shared" ca="1" si="38"/>
        <v>3079.1246199999996</v>
      </c>
      <c r="AG69" s="1046"/>
      <c r="AH69" s="1037"/>
      <c r="AI69" s="1037"/>
      <c r="AJ69" s="1037"/>
      <c r="AK69" s="1037"/>
      <c r="AL69" s="1037"/>
      <c r="AM69" s="1037"/>
      <c r="AN69" s="1037"/>
      <c r="AO69" s="1039"/>
      <c r="AP69" s="1037"/>
      <c r="AQ69" s="1037"/>
      <c r="AR69" s="1037"/>
      <c r="AS69" s="1037"/>
      <c r="AT69" s="1037"/>
      <c r="AU69" s="1037"/>
      <c r="AV69" s="1037"/>
      <c r="AW69" s="1037"/>
      <c r="AX69" s="1039"/>
      <c r="AY69" s="1037"/>
      <c r="AZ69" s="1037"/>
      <c r="BA69" s="1037"/>
      <c r="BB69" s="1037"/>
      <c r="BC69" s="1037"/>
      <c r="BD69" s="1037"/>
      <c r="BE69" s="1039"/>
      <c r="BF69" s="1039"/>
      <c r="BG69" s="1037"/>
      <c r="BH69" s="1037"/>
      <c r="BI69" s="1037"/>
      <c r="BJ69" s="1037"/>
      <c r="BK69" s="1037"/>
      <c r="BL69" s="1039"/>
      <c r="BM69" s="1040"/>
      <c r="BN69" s="1037"/>
      <c r="BO69" s="972"/>
    </row>
    <row r="70" spans="1:67" s="14" customFormat="1" ht="21.95" customHeight="1" x14ac:dyDescent="0.15">
      <c r="A70" s="2627"/>
      <c r="B70" s="2542"/>
      <c r="C70" s="1857" t="s">
        <v>2224</v>
      </c>
      <c r="D70" s="1011"/>
      <c r="F70" s="158">
        <f t="shared" ref="F70" ca="1" si="39">IF(F68=0,F67-F69,F68-F69)</f>
        <v>2.4249999999999545</v>
      </c>
      <c r="G70" s="158">
        <f t="shared" ref="G70" ca="1" si="40">IF(G68=0,G67-G69,G68-G69)</f>
        <v>2.2046399999999267</v>
      </c>
      <c r="H70" s="158">
        <f t="shared" ref="H70:M70" ca="1" si="41">IF(H68=0,H67-H69,H68-H69)</f>
        <v>1.3500000000001364</v>
      </c>
      <c r="I70" s="158">
        <f t="shared" ca="1" si="41"/>
        <v>2.3472900000001573</v>
      </c>
      <c r="J70" s="158">
        <f t="shared" ca="1" si="41"/>
        <v>3.9625800000001163</v>
      </c>
      <c r="K70" s="158">
        <f t="shared" ca="1" si="41"/>
        <v>3.6518700000000308</v>
      </c>
      <c r="L70" s="158">
        <f t="shared" si="41"/>
        <v>0</v>
      </c>
      <c r="M70" s="158">
        <f t="shared" si="41"/>
        <v>0</v>
      </c>
      <c r="N70" s="158">
        <f t="shared" ref="N70:O70" si="42">IF(N68=0,N67-N69,N68-N69)</f>
        <v>0</v>
      </c>
      <c r="O70" s="158">
        <f t="shared" si="42"/>
        <v>0</v>
      </c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869"/>
      <c r="AF70" s="578">
        <f t="shared" ca="1" si="38"/>
        <v>15.941380000000322</v>
      </c>
      <c r="AG70" s="1046"/>
      <c r="AH70" s="1037"/>
      <c r="AI70" s="1037"/>
      <c r="AJ70" s="1037"/>
      <c r="AK70" s="1037"/>
      <c r="AL70" s="1037"/>
      <c r="AM70" s="1037"/>
      <c r="AN70" s="1037"/>
      <c r="AO70" s="1039"/>
      <c r="AP70" s="1037"/>
      <c r="AQ70" s="1037"/>
      <c r="AR70" s="1037"/>
      <c r="AS70" s="1037"/>
      <c r="AT70" s="1037"/>
      <c r="AU70" s="1037"/>
      <c r="AV70" s="1037"/>
      <c r="AW70" s="1037"/>
      <c r="AX70" s="1039"/>
      <c r="AY70" s="1037"/>
      <c r="AZ70" s="1037"/>
      <c r="BA70" s="1037"/>
      <c r="BB70" s="1037"/>
      <c r="BC70" s="1037"/>
      <c r="BD70" s="1037"/>
      <c r="BE70" s="1039"/>
      <c r="BF70" s="1039"/>
      <c r="BG70" s="1037"/>
      <c r="BH70" s="1037"/>
      <c r="BI70" s="1037"/>
      <c r="BJ70" s="1037"/>
      <c r="BK70" s="1037"/>
      <c r="BL70" s="1039"/>
      <c r="BM70" s="1040"/>
      <c r="BN70" s="1037"/>
      <c r="BO70" s="972"/>
    </row>
    <row r="71" spans="1:67" s="14" customFormat="1" ht="21.95" customHeight="1" x14ac:dyDescent="0.15">
      <c r="A71" s="2627"/>
      <c r="B71" s="2542"/>
      <c r="C71" s="1857" t="s">
        <v>2233</v>
      </c>
      <c r="D71" s="1011"/>
      <c r="F71" s="158">
        <f ca="1">Dren_Quantificacao!D66</f>
        <v>514.73336000000006</v>
      </c>
      <c r="G71" s="158">
        <f ca="1">Dren_Quantificacao!E66</f>
        <v>513.17299999999989</v>
      </c>
      <c r="H71" s="158">
        <f ca="1">Dren_Quantificacao!F66</f>
        <v>512.9917099999999</v>
      </c>
      <c r="I71" s="158">
        <f ca="1">Dren_Quantificacao!G66</f>
        <v>513.05241999999987</v>
      </c>
      <c r="J71" s="158">
        <f ca="1">Dren_Quantificacao!H66</f>
        <v>512.87112999999988</v>
      </c>
      <c r="K71" s="158">
        <f ca="1">Dren_Quantificacao!I66</f>
        <v>512.68980999999985</v>
      </c>
      <c r="L71" s="158">
        <f>Dren_Quantificacao!J66</f>
        <v>0</v>
      </c>
      <c r="M71" s="158">
        <f>Dren_Quantificacao!K66</f>
        <v>0</v>
      </c>
      <c r="N71" s="158">
        <f>Dren_Quantificacao!L66</f>
        <v>0</v>
      </c>
      <c r="O71" s="158">
        <f>Dren_Quantificacao!M66</f>
        <v>0</v>
      </c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869"/>
      <c r="AF71" s="578">
        <f t="shared" ca="1" si="38"/>
        <v>3079.5114299999996</v>
      </c>
      <c r="AG71" s="1046"/>
      <c r="AH71" s="1037"/>
      <c r="AI71" s="1037"/>
      <c r="AJ71" s="1037"/>
      <c r="AK71" s="1037"/>
      <c r="AL71" s="1037"/>
      <c r="AM71" s="1037"/>
      <c r="AN71" s="1037"/>
      <c r="AO71" s="1039"/>
      <c r="AP71" s="1037"/>
      <c r="AQ71" s="1037"/>
      <c r="AR71" s="1037"/>
      <c r="AS71" s="1037"/>
      <c r="AT71" s="1037"/>
      <c r="AU71" s="1037"/>
      <c r="AV71" s="1037"/>
      <c r="AW71" s="1037"/>
      <c r="AX71" s="1039"/>
      <c r="AY71" s="1037"/>
      <c r="AZ71" s="1037"/>
      <c r="BA71" s="1037"/>
      <c r="BB71" s="1037"/>
      <c r="BC71" s="1037"/>
      <c r="BD71" s="1037"/>
      <c r="BE71" s="1039"/>
      <c r="BF71" s="1039"/>
      <c r="BG71" s="1037"/>
      <c r="BH71" s="1037"/>
      <c r="BI71" s="1037"/>
      <c r="BJ71" s="1037"/>
      <c r="BK71" s="1037"/>
      <c r="BL71" s="1039"/>
      <c r="BM71" s="1040"/>
      <c r="BN71" s="1037"/>
      <c r="BO71" s="972"/>
    </row>
    <row r="72" spans="1:67" s="14" customFormat="1" ht="21.95" customHeight="1" x14ac:dyDescent="0.15">
      <c r="A72" s="2627"/>
      <c r="B72" s="2542"/>
      <c r="C72" s="1857" t="s">
        <v>2232</v>
      </c>
      <c r="D72" s="1011"/>
      <c r="F72" s="158">
        <f ca="1">Dren_Quantificacao!D67</f>
        <v>517.14300000000003</v>
      </c>
      <c r="G72" s="158">
        <f ca="1">Dren_Quantificacao!E67</f>
        <v>514.73336000000006</v>
      </c>
      <c r="H72" s="158">
        <f ca="1">Dren_Quantificacao!F67</f>
        <v>513.17299999999989</v>
      </c>
      <c r="I72" s="158">
        <f ca="1">Dren_Quantificacao!G67</f>
        <v>513.23370999999986</v>
      </c>
      <c r="J72" s="158">
        <f ca="1">Dren_Quantificacao!H67</f>
        <v>513.05241999999987</v>
      </c>
      <c r="K72" s="158">
        <f ca="1">Dren_Quantificacao!I67</f>
        <v>512.87112999999988</v>
      </c>
      <c r="L72" s="158">
        <f>Dren_Quantificacao!J67</f>
        <v>0</v>
      </c>
      <c r="M72" s="158">
        <f>Dren_Quantificacao!K67</f>
        <v>0</v>
      </c>
      <c r="N72" s="158">
        <f>Dren_Quantificacao!L67</f>
        <v>0</v>
      </c>
      <c r="O72" s="158">
        <f>Dren_Quantificacao!M67</f>
        <v>0</v>
      </c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869"/>
      <c r="AF72" s="578">
        <f t="shared" ca="1" si="38"/>
        <v>3084.2066199999999</v>
      </c>
      <c r="AG72" s="1046"/>
      <c r="AH72" s="1037"/>
      <c r="AI72" s="1037"/>
      <c r="AJ72" s="1037"/>
      <c r="AK72" s="1037"/>
      <c r="AL72" s="1037"/>
      <c r="AM72" s="1037"/>
      <c r="AN72" s="1037"/>
      <c r="AO72" s="1039"/>
      <c r="AP72" s="1037"/>
      <c r="AQ72" s="1037"/>
      <c r="AR72" s="1037"/>
      <c r="AS72" s="1037"/>
      <c r="AT72" s="1037"/>
      <c r="AU72" s="1037"/>
      <c r="AV72" s="1037"/>
      <c r="AW72" s="1037"/>
      <c r="AX72" s="1039"/>
      <c r="AY72" s="1037"/>
      <c r="AZ72" s="1037"/>
      <c r="BA72" s="1037"/>
      <c r="BB72" s="1037"/>
      <c r="BC72" s="1037"/>
      <c r="BD72" s="1037"/>
      <c r="BE72" s="1039"/>
      <c r="BF72" s="1039"/>
      <c r="BG72" s="1037"/>
      <c r="BH72" s="1037"/>
      <c r="BI72" s="1037"/>
      <c r="BJ72" s="1037"/>
      <c r="BK72" s="1037"/>
      <c r="BL72" s="1039"/>
      <c r="BM72" s="1040"/>
      <c r="BN72" s="1037"/>
      <c r="BO72" s="972"/>
    </row>
    <row r="73" spans="1:67" s="14" customFormat="1" ht="21.95" customHeight="1" x14ac:dyDescent="0.15">
      <c r="A73" s="2627"/>
      <c r="B73" s="2542"/>
      <c r="C73" s="1857" t="s">
        <v>2234</v>
      </c>
      <c r="D73" s="1011"/>
      <c r="F73" s="158">
        <f ca="1">Dren_Quantificacao!D68</f>
        <v>0</v>
      </c>
      <c r="G73" s="158">
        <f ca="1">Dren_Quantificacao!E68</f>
        <v>514.73336000000006</v>
      </c>
      <c r="H73" s="158">
        <f ca="1">Dren_Quantificacao!F68</f>
        <v>513.17299999999989</v>
      </c>
      <c r="I73" s="158">
        <f ca="1">Dren_Quantificacao!G68</f>
        <v>512.9917099999999</v>
      </c>
      <c r="J73" s="158">
        <f ca="1">Dren_Quantificacao!H68</f>
        <v>513.05241999999987</v>
      </c>
      <c r="K73" s="158">
        <f ca="1">Dren_Quantificacao!I68</f>
        <v>512.87112999999988</v>
      </c>
      <c r="L73" s="158">
        <f>Dren_Quantificacao!J68</f>
        <v>0</v>
      </c>
      <c r="M73" s="158">
        <f>Dren_Quantificacao!K68</f>
        <v>0</v>
      </c>
      <c r="N73" s="158">
        <f>Dren_Quantificacao!L68</f>
        <v>0</v>
      </c>
      <c r="O73" s="158">
        <f>Dren_Quantificacao!M68</f>
        <v>0</v>
      </c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869"/>
      <c r="AF73" s="578">
        <f t="shared" ca="1" si="38"/>
        <v>2566.8216199999997</v>
      </c>
      <c r="AG73" s="1046"/>
      <c r="AH73" s="1037"/>
      <c r="AI73" s="1037"/>
      <c r="AJ73" s="1037"/>
      <c r="AK73" s="1037"/>
      <c r="AL73" s="1037"/>
      <c r="AM73" s="1037"/>
      <c r="AN73" s="1037"/>
      <c r="AO73" s="1039"/>
      <c r="AP73" s="1037"/>
      <c r="AQ73" s="1037"/>
      <c r="AR73" s="1037"/>
      <c r="AS73" s="1037"/>
      <c r="AT73" s="1037"/>
      <c r="AU73" s="1037"/>
      <c r="AV73" s="1037"/>
      <c r="AW73" s="1037"/>
      <c r="AX73" s="1039"/>
      <c r="AY73" s="1037"/>
      <c r="AZ73" s="1037"/>
      <c r="BA73" s="1037"/>
      <c r="BB73" s="1037"/>
      <c r="BC73" s="1037"/>
      <c r="BD73" s="1037"/>
      <c r="BE73" s="1039"/>
      <c r="BF73" s="1039"/>
      <c r="BG73" s="1037"/>
      <c r="BH73" s="1037"/>
      <c r="BI73" s="1037"/>
      <c r="BJ73" s="1037"/>
      <c r="BK73" s="1037"/>
      <c r="BL73" s="1039"/>
      <c r="BM73" s="1040"/>
      <c r="BN73" s="1037"/>
      <c r="BO73" s="972"/>
    </row>
    <row r="74" spans="1:67" s="14" customFormat="1" ht="21.95" hidden="1" customHeight="1" x14ac:dyDescent="0.15">
      <c r="A74" s="2627"/>
      <c r="B74" s="2542"/>
      <c r="C74" s="1857" t="s">
        <v>2235</v>
      </c>
      <c r="D74" s="1011"/>
      <c r="F74" s="158">
        <f ca="1">Dren_Quantificacao!D69</f>
        <v>0</v>
      </c>
      <c r="G74" s="158">
        <f ca="1">Dren_Quantificacao!E69</f>
        <v>0</v>
      </c>
      <c r="H74" s="158">
        <f ca="1">Dren_Quantificacao!F69</f>
        <v>0</v>
      </c>
      <c r="I74" s="158">
        <f ca="1">Dren_Quantificacao!G69</f>
        <v>0</v>
      </c>
      <c r="J74" s="158">
        <f ca="1">Dren_Quantificacao!H69</f>
        <v>0</v>
      </c>
      <c r="K74" s="158">
        <f ca="1">Dren_Quantificacao!I69</f>
        <v>0</v>
      </c>
      <c r="L74" s="158">
        <f>Dren_Quantificacao!J69</f>
        <v>0</v>
      </c>
      <c r="M74" s="158">
        <f>Dren_Quantificacao!K69</f>
        <v>0</v>
      </c>
      <c r="N74" s="158">
        <f>Dren_Quantificacao!L69</f>
        <v>0</v>
      </c>
      <c r="O74" s="158">
        <f>Dren_Quantificacao!M69</f>
        <v>0</v>
      </c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869"/>
      <c r="AF74" s="578">
        <f t="shared" ca="1" si="38"/>
        <v>0</v>
      </c>
      <c r="AG74" s="1046"/>
      <c r="AH74" s="1037"/>
      <c r="AI74" s="1037"/>
      <c r="AJ74" s="1037"/>
      <c r="AK74" s="1037"/>
      <c r="AL74" s="1037"/>
      <c r="AM74" s="1037"/>
      <c r="AN74" s="1037"/>
      <c r="AO74" s="1039"/>
      <c r="AP74" s="1037"/>
      <c r="AQ74" s="1037"/>
      <c r="AR74" s="1037"/>
      <c r="AS74" s="1037"/>
      <c r="AT74" s="1037"/>
      <c r="AU74" s="1037"/>
      <c r="AV74" s="1037"/>
      <c r="AW74" s="1037"/>
      <c r="AX74" s="1039"/>
      <c r="AY74" s="1037"/>
      <c r="AZ74" s="1037"/>
      <c r="BA74" s="1037"/>
      <c r="BB74" s="1037"/>
      <c r="BC74" s="1037"/>
      <c r="BD74" s="1037"/>
      <c r="BE74" s="1039"/>
      <c r="BF74" s="1039"/>
      <c r="BG74" s="1037"/>
      <c r="BH74" s="1037"/>
      <c r="BI74" s="1037"/>
      <c r="BJ74" s="1037"/>
      <c r="BK74" s="1037"/>
      <c r="BL74" s="1039"/>
      <c r="BM74" s="1040"/>
      <c r="BN74" s="1037"/>
      <c r="BO74" s="972"/>
    </row>
    <row r="75" spans="1:67" s="14" customFormat="1" ht="21.95" customHeight="1" thickBot="1" x14ac:dyDescent="0.2">
      <c r="A75" s="2627"/>
      <c r="B75" s="2542"/>
      <c r="C75" s="1857" t="s">
        <v>2231</v>
      </c>
      <c r="D75" s="1012"/>
      <c r="E75" s="2239"/>
      <c r="F75" s="239">
        <f ca="1">ROUND(IF(F67=0,0,IF(F6&gt;0,0,Dren_Quantificacao!D70)),2)</f>
        <v>1.5</v>
      </c>
      <c r="G75" s="239">
        <f ca="1">ROUND(IF(G67=0,0,IF(G6&gt;0,0,Dren_Quantificacao!E70)),2)</f>
        <v>1.5</v>
      </c>
      <c r="H75" s="239">
        <f ca="1">ROUND(IF(H67=0,0,IF(H6&gt;0,0,Dren_Quantificacao!F70)),2)</f>
        <v>1.5</v>
      </c>
      <c r="I75" s="239">
        <f ca="1">ROUND(IF(I67=0,0,IF(I6&gt;0,0,Dren_Quantificacao!G70)),2)</f>
        <v>1.5</v>
      </c>
      <c r="J75" s="239">
        <f ca="1">ROUND(IF(J67=0,0,IF(J6&gt;0,0,Dren_Quantificacao!H70)),2)</f>
        <v>1.5</v>
      </c>
      <c r="K75" s="239">
        <f ca="1">ROUND(IF(K67=0,0,IF(K6&gt;0,0,Dren_Quantificacao!I70)),2)</f>
        <v>1.5</v>
      </c>
      <c r="L75" s="239">
        <f>ROUND(IF(L67=0,0,IF(L6&gt;0,0,Dren_Quantificacao!J70)),2)</f>
        <v>0</v>
      </c>
      <c r="M75" s="239">
        <f>ROUND(IF(M67=0,0,IF(M6&gt;0,0,Dren_Quantificacao!K70)),2)</f>
        <v>0</v>
      </c>
      <c r="N75" s="239">
        <f>ROUND(IF(N67=0,0,IF(N6&gt;0,0,Dren_Quantificacao!L70)),2)</f>
        <v>0</v>
      </c>
      <c r="O75" s="239">
        <f>ROUND(IF(O67=0,0,IF(O6&gt;0,0,Dren_Quantificacao!M70)),2)</f>
        <v>0</v>
      </c>
      <c r="P75" s="232"/>
      <c r="Q75" s="232"/>
      <c r="R75" s="232"/>
      <c r="S75" s="232"/>
      <c r="T75" s="232"/>
      <c r="U75" s="232"/>
      <c r="V75" s="232"/>
      <c r="W75" s="232"/>
      <c r="X75" s="232"/>
      <c r="Y75" s="232"/>
      <c r="Z75" s="232"/>
      <c r="AA75" s="232"/>
      <c r="AB75" s="232"/>
      <c r="AC75" s="232"/>
      <c r="AD75" s="232"/>
      <c r="AE75" s="594">
        <f t="shared" ref="AE75:AE106" ca="1" si="43">ROUND(SUM(F75:AD75),2)</f>
        <v>9</v>
      </c>
      <c r="AF75" s="578">
        <f t="shared" ca="1" si="38"/>
        <v>18</v>
      </c>
      <c r="AG75" s="1046"/>
      <c r="AH75" s="1037"/>
      <c r="AI75" s="1037"/>
      <c r="AJ75" s="1037"/>
      <c r="AK75" s="1037"/>
      <c r="AL75" s="1037"/>
      <c r="AM75" s="1037"/>
      <c r="AN75" s="1037"/>
      <c r="AO75" s="1039"/>
      <c r="AP75" s="1037"/>
      <c r="AQ75" s="1037"/>
      <c r="AR75" s="1037"/>
      <c r="AS75" s="1037"/>
      <c r="AT75" s="1037"/>
      <c r="AU75" s="1037"/>
      <c r="AV75" s="1037"/>
      <c r="AW75" s="1037"/>
      <c r="AX75" s="1039"/>
      <c r="AY75" s="1037"/>
      <c r="AZ75" s="1037"/>
      <c r="BA75" s="1037"/>
      <c r="BB75" s="1037"/>
      <c r="BC75" s="1037"/>
      <c r="BD75" s="1037"/>
      <c r="BE75" s="1039"/>
      <c r="BF75" s="1039"/>
      <c r="BG75" s="1037"/>
      <c r="BH75" s="1037"/>
      <c r="BI75" s="1037"/>
      <c r="BJ75" s="1037"/>
      <c r="BK75" s="1037"/>
      <c r="BL75" s="1039"/>
      <c r="BM75" s="1040"/>
      <c r="BN75" s="1037"/>
      <c r="BO75" s="972"/>
    </row>
    <row r="76" spans="1:67" s="14" customFormat="1" ht="32.1" hidden="1" customHeight="1" x14ac:dyDescent="0.15">
      <c r="A76" s="2627"/>
      <c r="B76" s="2624" t="s">
        <v>1169</v>
      </c>
      <c r="C76" s="551" t="s">
        <v>17</v>
      </c>
      <c r="D76" s="1013"/>
      <c r="E76" s="133"/>
      <c r="F76" s="238">
        <f ca="1">ROUND(IF(F60+F102&gt;0,Dren_Quantificacao!D$71,0),2)</f>
        <v>0</v>
      </c>
      <c r="G76" s="238">
        <f ca="1">ROUND(IF(G60+G102&gt;0,Dren_Quantificacao!E$71,0),2)</f>
        <v>0</v>
      </c>
      <c r="H76" s="238">
        <f ca="1">ROUND(IF(H60+H102&gt;0,Dren_Quantificacao!F$71,0),2)</f>
        <v>0</v>
      </c>
      <c r="I76" s="238">
        <f ca="1">ROUND(IF(I60+I102&gt;0,Dren_Quantificacao!G$71,0),2)</f>
        <v>0</v>
      </c>
      <c r="J76" s="238">
        <f ca="1">ROUND(IF(J60+J102&gt;0,Dren_Quantificacao!H$71,0),2)</f>
        <v>0</v>
      </c>
      <c r="K76" s="238">
        <f ca="1">ROUND(IF(K60+K102&gt;0,Dren_Quantificacao!I$71,0),2)</f>
        <v>0</v>
      </c>
      <c r="L76" s="238">
        <f>ROUND(IF(L60+L102&gt;0,Dren_Quantificacao!J$71,0),2)</f>
        <v>0</v>
      </c>
      <c r="M76" s="238">
        <f>ROUND(IF(M60+M102&gt;0,Dren_Quantificacao!K$71,0),2)</f>
        <v>0</v>
      </c>
      <c r="N76" s="238">
        <f>ROUND(IF(N60+N102&gt;0,Dren_Quantificacao!L$71,0),2)</f>
        <v>0</v>
      </c>
      <c r="O76" s="238">
        <f>ROUND(IF(O60+O102&gt;0,Dren_Quantificacao!M$71,0),2)</f>
        <v>0</v>
      </c>
      <c r="P76" s="159"/>
      <c r="Q76" s="159"/>
      <c r="R76" s="159"/>
      <c r="S76" s="159"/>
      <c r="T76" s="159"/>
      <c r="U76" s="159"/>
      <c r="V76" s="159"/>
      <c r="W76" s="159"/>
      <c r="X76" s="159"/>
      <c r="Y76" s="159"/>
      <c r="Z76" s="159"/>
      <c r="AA76" s="159"/>
      <c r="AB76" s="159"/>
      <c r="AC76" s="159"/>
      <c r="AD76" s="159"/>
      <c r="AE76" s="362">
        <f t="shared" ca="1" si="43"/>
        <v>0</v>
      </c>
      <c r="AF76" s="578">
        <f t="shared" ca="1" si="38"/>
        <v>0</v>
      </c>
      <c r="AG76" s="1046"/>
      <c r="AH76" s="1037"/>
      <c r="AI76" s="1037"/>
      <c r="AJ76" s="1037">
        <f>+'[1]DR-0170'!$G$41</f>
        <v>0.13503999999999999</v>
      </c>
      <c r="AK76" s="1037"/>
      <c r="AL76" s="1037">
        <f>+'[1]DR-0170'!$G$46</f>
        <v>0.31419200000000003</v>
      </c>
      <c r="AM76" s="1037"/>
      <c r="AN76" s="1037">
        <f>+'[1]DR-0170'!$G$47</f>
        <v>7.92</v>
      </c>
      <c r="AO76" s="1039"/>
      <c r="AP76" s="1037"/>
      <c r="AQ76" s="1037"/>
      <c r="AR76" s="1037"/>
      <c r="AS76" s="1037">
        <f>+'[1]DR-0170'!$G$41</f>
        <v>0.13503999999999999</v>
      </c>
      <c r="AT76" s="1037"/>
      <c r="AU76" s="1037">
        <f>+'[1]DR-0170'!$G$46</f>
        <v>0.31419200000000003</v>
      </c>
      <c r="AV76" s="1037"/>
      <c r="AW76" s="1037">
        <f>+'[1]DR-0170'!$G$47</f>
        <v>7.92</v>
      </c>
      <c r="AX76" s="1039"/>
      <c r="AY76" s="1037"/>
      <c r="AZ76" s="1037"/>
      <c r="BA76" s="1037"/>
      <c r="BB76" s="1037">
        <f>+'[1]DR-0170'!$G$41</f>
        <v>0.13503999999999999</v>
      </c>
      <c r="BC76" s="1037"/>
      <c r="BD76" s="1037"/>
      <c r="BE76" s="1039"/>
      <c r="BF76" s="1039">
        <f>+'[1]DR-0170'!$G$48*1.016+'[1]DR-0170'!$G$49</f>
        <v>11.96672</v>
      </c>
      <c r="BG76" s="1037"/>
      <c r="BH76" s="1037"/>
      <c r="BI76" s="1037"/>
      <c r="BJ76" s="1037"/>
      <c r="BK76" s="1037"/>
      <c r="BL76" s="1039"/>
      <c r="BM76" s="1040">
        <f>+'[1]DR-0170'!$G$43+'[1]DR-0170'!$G$44/2+'[1]DR-0170'!$G$45</f>
        <v>146.6328</v>
      </c>
      <c r="BN76" s="1037"/>
      <c r="BO76" s="972"/>
    </row>
    <row r="77" spans="1:67" s="14" customFormat="1" ht="32.1" hidden="1" customHeight="1" x14ac:dyDescent="0.15">
      <c r="A77" s="2627"/>
      <c r="B77" s="2625"/>
      <c r="C77" s="661" t="s">
        <v>18</v>
      </c>
      <c r="D77" s="1013"/>
      <c r="E77" s="133"/>
      <c r="F77" s="158">
        <f>ROUND(IF(F61&gt;0,Dren_Quantificacao!D$71,0),)</f>
        <v>0</v>
      </c>
      <c r="G77" s="158">
        <f>ROUND(IF(G61&gt;0,Dren_Quantificacao!E$71,0),)</f>
        <v>0</v>
      </c>
      <c r="H77" s="158">
        <f>ROUND(IF(H61&gt;0,Dren_Quantificacao!F$71,0),)</f>
        <v>0</v>
      </c>
      <c r="I77" s="158">
        <f>ROUND(IF(I61&gt;0,Dren_Quantificacao!G$71,0),)</f>
        <v>0</v>
      </c>
      <c r="J77" s="158">
        <f>ROUND(IF(J61&gt;0,Dren_Quantificacao!H$71,0),)</f>
        <v>0</v>
      </c>
      <c r="K77" s="158">
        <f>ROUND(IF(K61&gt;0,Dren_Quantificacao!I$71,0),)</f>
        <v>0</v>
      </c>
      <c r="L77" s="158">
        <f>ROUND(IF(L61&gt;0,Dren_Quantificacao!J$71,0),)</f>
        <v>0</v>
      </c>
      <c r="M77" s="158">
        <f>ROUND(IF(M61&gt;0,Dren_Quantificacao!K$71,0),)</f>
        <v>0</v>
      </c>
      <c r="N77" s="158">
        <f>ROUND(IF(N61&gt;0,Dren_Quantificacao!L$71,0),)</f>
        <v>0</v>
      </c>
      <c r="O77" s="158">
        <f>ROUND(IF(O61&gt;0,Dren_Quantificacao!M$71,0),)</f>
        <v>0</v>
      </c>
      <c r="P77" s="159"/>
      <c r="Q77" s="159"/>
      <c r="R77" s="159"/>
      <c r="S77" s="159"/>
      <c r="T77" s="159"/>
      <c r="U77" s="159"/>
      <c r="V77" s="159"/>
      <c r="W77" s="159"/>
      <c r="X77" s="159"/>
      <c r="Y77" s="159"/>
      <c r="Z77" s="159"/>
      <c r="AA77" s="159"/>
      <c r="AB77" s="159"/>
      <c r="AC77" s="159"/>
      <c r="AD77" s="159"/>
      <c r="AE77" s="350">
        <f t="shared" si="43"/>
        <v>0</v>
      </c>
      <c r="AF77" s="578">
        <f t="shared" si="38"/>
        <v>0</v>
      </c>
      <c r="AG77" s="1046"/>
      <c r="AH77" s="1037"/>
      <c r="AI77" s="1037"/>
      <c r="AJ77" s="1037">
        <f>+'[1]DR-0175'!$G$41</f>
        <v>0.15184</v>
      </c>
      <c r="AK77" s="1037"/>
      <c r="AL77" s="1037">
        <f>+'[1]DR-0175'!$G$46</f>
        <v>0.367672</v>
      </c>
      <c r="AM77" s="1037"/>
      <c r="AN77" s="1037">
        <f>+'[1]DR-0175'!$G$47</f>
        <v>9.32</v>
      </c>
      <c r="AO77" s="1039"/>
      <c r="AP77" s="1037"/>
      <c r="AQ77" s="1037"/>
      <c r="AR77" s="1037"/>
      <c r="AS77" s="1037">
        <f>+'[1]DR-0175'!$G$41</f>
        <v>0.15184</v>
      </c>
      <c r="AT77" s="1037"/>
      <c r="AU77" s="1037">
        <f>+'[1]DR-0175'!$G$46</f>
        <v>0.367672</v>
      </c>
      <c r="AV77" s="1037"/>
      <c r="AW77" s="1037">
        <f>+'[1]DR-0175'!$G$47</f>
        <v>9.32</v>
      </c>
      <c r="AX77" s="1039"/>
      <c r="AY77" s="1037"/>
      <c r="AZ77" s="1037"/>
      <c r="BA77" s="1037"/>
      <c r="BB77" s="1037">
        <f>+'[1]DR-0175'!$G$41</f>
        <v>0.15184</v>
      </c>
      <c r="BC77" s="1037"/>
      <c r="BD77" s="1037"/>
      <c r="BE77" s="1039"/>
      <c r="BF77" s="1039">
        <f>+'[1]DR-0175'!$G$48*1.016+'[1]DR-0175'!$G$49</f>
        <v>13.38912</v>
      </c>
      <c r="BG77" s="1037"/>
      <c r="BH77" s="1037"/>
      <c r="BI77" s="1037"/>
      <c r="BJ77" s="1037"/>
      <c r="BK77" s="1037"/>
      <c r="BL77" s="1039"/>
      <c r="BM77" s="1040">
        <f>+'[1]DR-0175'!$G$43+'[1]DR-0175'!$G$44/2+'[1]DR-0175'!$G$45</f>
        <v>170.6148</v>
      </c>
      <c r="BN77" s="1037"/>
      <c r="BO77" s="972"/>
    </row>
    <row r="78" spans="1:67" s="14" customFormat="1" ht="21.95" hidden="1" customHeight="1" x14ac:dyDescent="0.15">
      <c r="A78" s="2627"/>
      <c r="B78" s="2625"/>
      <c r="C78" s="661" t="s">
        <v>19</v>
      </c>
      <c r="D78" s="1013"/>
      <c r="E78" s="133"/>
      <c r="F78" s="158">
        <f>ROUND(IF(F62&gt;0,Dren_Quantificacao!D$71,0),2)</f>
        <v>0</v>
      </c>
      <c r="G78" s="158">
        <f>ROUND(IF(G62&gt;0,Dren_Quantificacao!E$71,0),2)</f>
        <v>0</v>
      </c>
      <c r="H78" s="158">
        <f>ROUND(IF(H62&gt;0,Dren_Quantificacao!F$71,0),2)</f>
        <v>0</v>
      </c>
      <c r="I78" s="158">
        <f>ROUND(IF(I62&gt;0,Dren_Quantificacao!G$71,0),2)</f>
        <v>0</v>
      </c>
      <c r="J78" s="158">
        <f>ROUND(IF(J62&gt;0,Dren_Quantificacao!H$71,0),2)</f>
        <v>0</v>
      </c>
      <c r="K78" s="158">
        <f>ROUND(IF(K62&gt;0,Dren_Quantificacao!I$71,0),2)</f>
        <v>0</v>
      </c>
      <c r="L78" s="158">
        <f>ROUND(IF(L62&gt;0,Dren_Quantificacao!J$71,0),2)</f>
        <v>0</v>
      </c>
      <c r="M78" s="158">
        <f>ROUND(IF(M62&gt;0,Dren_Quantificacao!K$71,0),2)</f>
        <v>0</v>
      </c>
      <c r="N78" s="158">
        <f>ROUND(IF(N62&gt;0,Dren_Quantificacao!L$71,0),2)</f>
        <v>0</v>
      </c>
      <c r="O78" s="158">
        <f>ROUND(IF(O62&gt;0,Dren_Quantificacao!M$71,0),2)</f>
        <v>0</v>
      </c>
      <c r="P78" s="159"/>
      <c r="Q78" s="159"/>
      <c r="R78" s="159"/>
      <c r="S78" s="159"/>
      <c r="T78" s="159"/>
      <c r="U78" s="159"/>
      <c r="V78" s="159"/>
      <c r="W78" s="159"/>
      <c r="X78" s="159"/>
      <c r="Y78" s="159"/>
      <c r="Z78" s="159"/>
      <c r="AA78" s="159"/>
      <c r="AB78" s="159"/>
      <c r="AC78" s="159"/>
      <c r="AD78" s="159"/>
      <c r="AE78" s="350">
        <f t="shared" si="43"/>
        <v>0</v>
      </c>
      <c r="AF78" s="578">
        <f t="shared" si="38"/>
        <v>0</v>
      </c>
      <c r="AG78" s="1046"/>
      <c r="AH78" s="1037"/>
      <c r="AI78" s="1037"/>
      <c r="AJ78" s="1037">
        <f>+'[1]DR-0180'!$G$41</f>
        <v>0.17104</v>
      </c>
      <c r="AK78" s="1037"/>
      <c r="AL78" s="1037">
        <f>+'[1]DR-0180'!$G$46</f>
        <v>0.42879200000000001</v>
      </c>
      <c r="AM78" s="1037"/>
      <c r="AN78" s="1037">
        <f>+'[1]DR-0180'!$G$47</f>
        <v>10.92</v>
      </c>
      <c r="AO78" s="1039"/>
      <c r="AP78" s="1037"/>
      <c r="AQ78" s="1037"/>
      <c r="AR78" s="1037"/>
      <c r="AS78" s="1037">
        <f>+'[1]DR-0180'!$G$41</f>
        <v>0.17104</v>
      </c>
      <c r="AT78" s="1037"/>
      <c r="AU78" s="1037">
        <f>+'[1]DR-0180'!$G$46</f>
        <v>0.42879200000000001</v>
      </c>
      <c r="AV78" s="1037"/>
      <c r="AW78" s="1037">
        <f>+'[1]DR-0180'!$G$47</f>
        <v>10.92</v>
      </c>
      <c r="AX78" s="1039"/>
      <c r="AY78" s="1037"/>
      <c r="AZ78" s="1037"/>
      <c r="BA78" s="1037"/>
      <c r="BB78" s="1037">
        <f>+'[1]DR-0180'!$G$41</f>
        <v>0.17104</v>
      </c>
      <c r="BC78" s="1037"/>
      <c r="BD78" s="1037"/>
      <c r="BE78" s="1039"/>
      <c r="BF78" s="1039">
        <f>+'[1]DR-0180'!$G$48*1.016+'[1]DR-0180'!$G$49</f>
        <v>15.014720000000001</v>
      </c>
      <c r="BG78" s="1037"/>
      <c r="BH78" s="1037"/>
      <c r="BI78" s="1037"/>
      <c r="BJ78" s="1037"/>
      <c r="BK78" s="1037"/>
      <c r="BL78" s="1039"/>
      <c r="BM78" s="1040">
        <f>+'[1]DR-0180'!$G$43+'[1]DR-0180'!$G$44/2+'[1]DR-0180'!$G$45</f>
        <v>198.02279999999999</v>
      </c>
      <c r="BN78" s="1037"/>
      <c r="BO78" s="972"/>
    </row>
    <row r="79" spans="1:67" s="14" customFormat="1" ht="21.95" hidden="1" customHeight="1" x14ac:dyDescent="0.15">
      <c r="A79" s="2627"/>
      <c r="B79" s="2625"/>
      <c r="C79" s="661" t="s">
        <v>20</v>
      </c>
      <c r="D79" s="1013"/>
      <c r="E79" s="133"/>
      <c r="F79" s="158">
        <f>ROUND(IF(F63&gt;0,Dren_Quantificacao!D$71,0),2)</f>
        <v>0</v>
      </c>
      <c r="G79" s="158">
        <f>ROUND(IF(G63&gt;0,Dren_Quantificacao!E$71,0),2)</f>
        <v>0</v>
      </c>
      <c r="H79" s="158">
        <f>ROUND(IF(H63&gt;0,Dren_Quantificacao!F$71,0),2)</f>
        <v>0</v>
      </c>
      <c r="I79" s="158">
        <f>ROUND(IF(I63&gt;0,Dren_Quantificacao!G$71,0),2)</f>
        <v>0</v>
      </c>
      <c r="J79" s="158">
        <f>ROUND(IF(J63&gt;0,Dren_Quantificacao!H$71,0),2)</f>
        <v>0</v>
      </c>
      <c r="K79" s="158">
        <f>ROUND(IF(K63&gt;0,Dren_Quantificacao!I$71,0),2)</f>
        <v>0</v>
      </c>
      <c r="L79" s="158">
        <f>ROUND(IF(L63&gt;0,Dren_Quantificacao!J$71,0),2)</f>
        <v>0</v>
      </c>
      <c r="M79" s="158">
        <f>ROUND(IF(M63&gt;0,Dren_Quantificacao!K$71,0),2)</f>
        <v>0</v>
      </c>
      <c r="N79" s="158">
        <f>ROUND(IF(N63&gt;0,Dren_Quantificacao!L$71,0),2)</f>
        <v>0</v>
      </c>
      <c r="O79" s="158">
        <f>ROUND(IF(O63&gt;0,Dren_Quantificacao!M$71,0),2)</f>
        <v>0</v>
      </c>
      <c r="P79" s="159"/>
      <c r="Q79" s="159"/>
      <c r="R79" s="159"/>
      <c r="S79" s="159"/>
      <c r="T79" s="159"/>
      <c r="U79" s="159"/>
      <c r="V79" s="159"/>
      <c r="W79" s="159"/>
      <c r="X79" s="159"/>
      <c r="Y79" s="159"/>
      <c r="Z79" s="159"/>
      <c r="AA79" s="159"/>
      <c r="AB79" s="159"/>
      <c r="AC79" s="159"/>
      <c r="AD79" s="159"/>
      <c r="AE79" s="350">
        <f t="shared" si="43"/>
        <v>0</v>
      </c>
      <c r="AF79" s="578">
        <f t="shared" si="38"/>
        <v>0</v>
      </c>
      <c r="AG79" s="1046"/>
      <c r="AH79" s="1037"/>
      <c r="AI79" s="1037"/>
      <c r="AJ79" s="1037">
        <f>+'[1]DR-0185'!$G$41</f>
        <v>0.20704</v>
      </c>
      <c r="AK79" s="1037"/>
      <c r="AL79" s="1037">
        <f>+'[1]DR-0185'!$G$46</f>
        <v>0.54339199999999999</v>
      </c>
      <c r="AM79" s="1037"/>
      <c r="AN79" s="1037">
        <f>+'[1]DR-0185'!$G$47</f>
        <v>13.92</v>
      </c>
      <c r="AO79" s="1039"/>
      <c r="AP79" s="1037"/>
      <c r="AQ79" s="1037"/>
      <c r="AR79" s="1037"/>
      <c r="AS79" s="1037">
        <f>+'[1]DR-0185'!$G$41</f>
        <v>0.20704</v>
      </c>
      <c r="AT79" s="1037"/>
      <c r="AU79" s="1037">
        <f>+'[1]DR-0185'!$G$46</f>
        <v>0.54339199999999999</v>
      </c>
      <c r="AV79" s="1037"/>
      <c r="AW79" s="1037">
        <f>+'[1]DR-0185'!$G$47</f>
        <v>13.92</v>
      </c>
      <c r="AX79" s="1039"/>
      <c r="AY79" s="1037"/>
      <c r="AZ79" s="1037"/>
      <c r="BA79" s="1037"/>
      <c r="BB79" s="1037">
        <f>+'[1]DR-0185'!$G$41</f>
        <v>0.20704</v>
      </c>
      <c r="BC79" s="1037"/>
      <c r="BD79" s="1037"/>
      <c r="BE79" s="1039"/>
      <c r="BF79" s="1039">
        <f>+'[1]DR-0185'!$G$48*1.016+'[1]DR-0185'!$G$49</f>
        <v>18.062719999999999</v>
      </c>
      <c r="BG79" s="1037"/>
      <c r="BH79" s="1037"/>
      <c r="BI79" s="1037"/>
      <c r="BJ79" s="1037"/>
      <c r="BK79" s="1037"/>
      <c r="BL79" s="1039"/>
      <c r="BM79" s="1040">
        <f>+'[1]DR-0185'!$G$43+'[1]DR-0185'!$G$44/2+'[1]DR-0185'!$G$45</f>
        <v>249.4128</v>
      </c>
      <c r="BN79" s="1037"/>
      <c r="BO79" s="972"/>
    </row>
    <row r="80" spans="1:67" s="14" customFormat="1" ht="21.95" hidden="1" customHeight="1" x14ac:dyDescent="0.15">
      <c r="A80" s="2627"/>
      <c r="B80" s="2625"/>
      <c r="C80" s="661" t="s">
        <v>21</v>
      </c>
      <c r="D80" s="1013"/>
      <c r="E80" s="133"/>
      <c r="F80" s="158">
        <f>ROUND(IF(F64&gt;0,Dren_Quantificacao!D$71,0),2)</f>
        <v>0</v>
      </c>
      <c r="G80" s="158">
        <f>ROUND(IF(G64&gt;0,Dren_Quantificacao!E$71,0),2)</f>
        <v>0</v>
      </c>
      <c r="H80" s="158">
        <f>ROUND(IF(H64&gt;0,Dren_Quantificacao!F$71,0),2)</f>
        <v>0</v>
      </c>
      <c r="I80" s="158">
        <f>ROUND(IF(I64&gt;0,Dren_Quantificacao!G$71,0),2)</f>
        <v>0</v>
      </c>
      <c r="J80" s="158">
        <f>ROUND(IF(J64&gt;0,Dren_Quantificacao!H$71,0),2)</f>
        <v>0</v>
      </c>
      <c r="K80" s="158">
        <f>ROUND(IF(K64&gt;0,Dren_Quantificacao!I$71,0),2)</f>
        <v>0</v>
      </c>
      <c r="L80" s="158">
        <f>ROUND(IF(L64&gt;0,Dren_Quantificacao!J$71,0),2)</f>
        <v>0</v>
      </c>
      <c r="M80" s="158">
        <f>ROUND(IF(M64&gt;0,Dren_Quantificacao!K$71,0),2)</f>
        <v>0</v>
      </c>
      <c r="N80" s="158">
        <f>ROUND(IF(N64&gt;0,Dren_Quantificacao!L$71,0),2)</f>
        <v>0</v>
      </c>
      <c r="O80" s="158">
        <f>ROUND(IF(O64&gt;0,Dren_Quantificacao!M$71,0),2)</f>
        <v>0</v>
      </c>
      <c r="P80" s="159"/>
      <c r="Q80" s="159"/>
      <c r="R80" s="159"/>
      <c r="S80" s="159"/>
      <c r="T80" s="159"/>
      <c r="U80" s="159"/>
      <c r="V80" s="159"/>
      <c r="W80" s="159"/>
      <c r="X80" s="159"/>
      <c r="Y80" s="159"/>
      <c r="Z80" s="159"/>
      <c r="AA80" s="159"/>
      <c r="AB80" s="159"/>
      <c r="AC80" s="159"/>
      <c r="AD80" s="159"/>
      <c r="AE80" s="350">
        <f t="shared" si="43"/>
        <v>0</v>
      </c>
      <c r="AF80" s="578">
        <f t="shared" si="38"/>
        <v>0</v>
      </c>
      <c r="AG80" s="1046"/>
      <c r="AH80" s="1037"/>
      <c r="AI80" s="1037"/>
      <c r="AJ80" s="1037">
        <f>+'[1]DR-0190'!$G$41</f>
        <v>0.24543999999999999</v>
      </c>
      <c r="AK80" s="1037"/>
      <c r="AL80" s="1037">
        <f>+'[1]DR-0190'!$G$46</f>
        <v>0.665632</v>
      </c>
      <c r="AM80" s="1037"/>
      <c r="AN80" s="1037">
        <f>+'[1]DR-0190'!$G$47</f>
        <v>17.12</v>
      </c>
      <c r="AO80" s="1039"/>
      <c r="AP80" s="1037"/>
      <c r="AQ80" s="1037"/>
      <c r="AR80" s="1037"/>
      <c r="AS80" s="1037">
        <f>+'[1]DR-0190'!$G$41</f>
        <v>0.24543999999999999</v>
      </c>
      <c r="AT80" s="1037"/>
      <c r="AU80" s="1037">
        <f>+'[1]DR-0190'!$G$46</f>
        <v>0.665632</v>
      </c>
      <c r="AV80" s="1037"/>
      <c r="AW80" s="1037">
        <f>+'[1]DR-0190'!$G$47</f>
        <v>17.12</v>
      </c>
      <c r="AX80" s="1039"/>
      <c r="AY80" s="1037"/>
      <c r="AZ80" s="1037"/>
      <c r="BA80" s="1037"/>
      <c r="BB80" s="1037">
        <f>+'[1]DR-0190'!$G$41</f>
        <v>0.24543999999999999</v>
      </c>
      <c r="BC80" s="1037"/>
      <c r="BD80" s="1037"/>
      <c r="BE80" s="1039"/>
      <c r="BF80" s="1039">
        <f>+'[1]DR-0190'!$G$48*1.016+'[1]DR-0190'!$G$49</f>
        <v>21.313920000000003</v>
      </c>
      <c r="BG80" s="1037"/>
      <c r="BH80" s="1037"/>
      <c r="BI80" s="1037"/>
      <c r="BJ80" s="1037"/>
      <c r="BK80" s="1037"/>
      <c r="BL80" s="1039"/>
      <c r="BM80" s="1040">
        <f>+'[1]DR-0190'!$G$43+'[1]DR-0190'!$G$44/2+'[1]DR-0190'!$G$45</f>
        <v>304.22879999999998</v>
      </c>
      <c r="BN80" s="1037"/>
      <c r="BO80" s="972"/>
    </row>
    <row r="81" spans="1:67" s="14" customFormat="1" ht="21.95" hidden="1" customHeight="1" thickBot="1" x14ac:dyDescent="0.2">
      <c r="A81" s="2627"/>
      <c r="B81" s="2626"/>
      <c r="C81" s="661" t="s">
        <v>22</v>
      </c>
      <c r="D81" s="1013"/>
      <c r="E81" s="133"/>
      <c r="F81" s="158">
        <f>ROUND(IF(F65&gt;0,Dren_Quantificacao!D$71,0),2)</f>
        <v>0</v>
      </c>
      <c r="G81" s="158">
        <f>ROUND(IF(G65&gt;0,Dren_Quantificacao!E$71,0),2)</f>
        <v>0</v>
      </c>
      <c r="H81" s="158">
        <f>ROUND(IF(H65&gt;0,Dren_Quantificacao!F$71,0),2)</f>
        <v>0</v>
      </c>
      <c r="I81" s="158">
        <f>ROUND(IF(I65&gt;0,Dren_Quantificacao!G$71,0),2)</f>
        <v>0</v>
      </c>
      <c r="J81" s="158">
        <f>ROUND(IF(J65&gt;0,Dren_Quantificacao!H$71,0),2)</f>
        <v>0</v>
      </c>
      <c r="K81" s="158">
        <f>ROUND(IF(K65&gt;0,Dren_Quantificacao!I$71,0),2)</f>
        <v>0</v>
      </c>
      <c r="L81" s="158">
        <f>ROUND(IF(L65&gt;0,Dren_Quantificacao!J$71,0),2)</f>
        <v>0</v>
      </c>
      <c r="M81" s="158">
        <f>ROUND(IF(M65&gt;0,Dren_Quantificacao!K$71,0),2)</f>
        <v>0</v>
      </c>
      <c r="N81" s="158">
        <f>ROUND(IF(N65&gt;0,Dren_Quantificacao!L$71,0),2)</f>
        <v>0</v>
      </c>
      <c r="O81" s="158">
        <f>ROUND(IF(O65&gt;0,Dren_Quantificacao!M$71,0),2)</f>
        <v>0</v>
      </c>
      <c r="P81" s="237"/>
      <c r="Q81" s="237"/>
      <c r="R81" s="237"/>
      <c r="S81" s="237"/>
      <c r="T81" s="237"/>
      <c r="U81" s="237"/>
      <c r="V81" s="237"/>
      <c r="W81" s="237"/>
      <c r="X81" s="237"/>
      <c r="Y81" s="237"/>
      <c r="Z81" s="237"/>
      <c r="AA81" s="237"/>
      <c r="AB81" s="237"/>
      <c r="AC81" s="237"/>
      <c r="AD81" s="237"/>
      <c r="AE81" s="361">
        <f t="shared" si="43"/>
        <v>0</v>
      </c>
      <c r="AF81" s="578">
        <f t="shared" si="38"/>
        <v>0</v>
      </c>
      <c r="AG81" s="1046"/>
      <c r="AH81" s="1037"/>
      <c r="AI81" s="1037"/>
      <c r="AJ81" s="1037">
        <f>+'[1]DR-0195'!$G$41</f>
        <v>0.29824000000000001</v>
      </c>
      <c r="AK81" s="1037"/>
      <c r="AL81" s="1037">
        <f>+'[1]DR-0195'!$G$46</f>
        <v>0.83371200000000001</v>
      </c>
      <c r="AM81" s="1037"/>
      <c r="AN81" s="1037">
        <f>+'[1]DR-0195'!$G$47</f>
        <v>21.52</v>
      </c>
      <c r="AO81" s="1039"/>
      <c r="AP81" s="1037"/>
      <c r="AQ81" s="1037"/>
      <c r="AR81" s="1037"/>
      <c r="AS81" s="1037">
        <f>+'[1]DR-0195'!$G$41</f>
        <v>0.29824000000000001</v>
      </c>
      <c r="AT81" s="1037"/>
      <c r="AU81" s="1037">
        <f>+'[1]DR-0195'!$G$46</f>
        <v>0.83371200000000001</v>
      </c>
      <c r="AV81" s="1037"/>
      <c r="AW81" s="1037">
        <f>+'[1]DR-0195'!$G$47</f>
        <v>21.52</v>
      </c>
      <c r="AX81" s="1039"/>
      <c r="AY81" s="1037"/>
      <c r="AZ81" s="1037"/>
      <c r="BA81" s="1037"/>
      <c r="BB81" s="1037">
        <f>+'[1]DR-0195'!$G$41</f>
        <v>0.29824000000000001</v>
      </c>
      <c r="BC81" s="1037"/>
      <c r="BD81" s="1037"/>
      <c r="BE81" s="1039"/>
      <c r="BF81" s="1039">
        <f>+'[1]DR-0195'!$G$48*1.016+'[1]DR-0195'!$G$49</f>
        <v>25.784320000000001</v>
      </c>
      <c r="BG81" s="1037"/>
      <c r="BH81" s="1037"/>
      <c r="BI81" s="1037"/>
      <c r="BJ81" s="1037"/>
      <c r="BK81" s="1037"/>
      <c r="BL81" s="1039"/>
      <c r="BM81" s="1040">
        <f>+'[1]DR-0195'!$G$43+'[1]DR-0195'!$G$44/2+'[1]DR-0195'!$G$45</f>
        <v>379.60079999999999</v>
      </c>
      <c r="BN81" s="1037"/>
      <c r="BO81" s="972"/>
    </row>
    <row r="82" spans="1:67" s="14" customFormat="1" ht="21.95" customHeight="1" thickBot="1" x14ac:dyDescent="0.2">
      <c r="A82" s="2627"/>
      <c r="B82" s="2614" t="s">
        <v>1134</v>
      </c>
      <c r="C82" s="2615"/>
      <c r="D82" s="1014"/>
      <c r="E82" s="2240"/>
      <c r="F82" s="240">
        <f ca="1">ROUND(Dren_Quantificacao!D72,2)</f>
        <v>0</v>
      </c>
      <c r="G82" s="240">
        <f ca="1">ROUND(Dren_Quantificacao!E72,2)</f>
        <v>0</v>
      </c>
      <c r="H82" s="240">
        <f ca="1">ROUND(Dren_Quantificacao!F72,2)</f>
        <v>0</v>
      </c>
      <c r="I82" s="240">
        <f ca="1">ROUND(Dren_Quantificacao!G72,2)</f>
        <v>0</v>
      </c>
      <c r="J82" s="240">
        <f ca="1">ROUND(Dren_Quantificacao!H72,2)</f>
        <v>1</v>
      </c>
      <c r="K82" s="240">
        <f ca="1">ROUND(Dren_Quantificacao!I72,2)</f>
        <v>1</v>
      </c>
      <c r="L82" s="240">
        <f>ROUND(Dren_Quantificacao!J72,2)</f>
        <v>0</v>
      </c>
      <c r="M82" s="240">
        <f>ROUND(Dren_Quantificacao!K72,2)</f>
        <v>0</v>
      </c>
      <c r="N82" s="240">
        <f>ROUND(Dren_Quantificacao!L72,2)</f>
        <v>0</v>
      </c>
      <c r="O82" s="240">
        <f>ROUND(Dren_Quantificacao!M72,2)</f>
        <v>0</v>
      </c>
      <c r="P82" s="1092"/>
      <c r="Q82" s="1092"/>
      <c r="R82" s="1092"/>
      <c r="S82" s="1092"/>
      <c r="T82" s="1092"/>
      <c r="U82" s="1092"/>
      <c r="V82" s="1092"/>
      <c r="W82" s="1092"/>
      <c r="X82" s="1092"/>
      <c r="Y82" s="1092"/>
      <c r="Z82" s="1092"/>
      <c r="AA82" s="1092"/>
      <c r="AB82" s="1092"/>
      <c r="AC82" s="1092"/>
      <c r="AD82" s="1092"/>
      <c r="AE82" s="366">
        <f t="shared" ca="1" si="43"/>
        <v>2</v>
      </c>
      <c r="AF82" s="578">
        <f t="shared" ca="1" si="38"/>
        <v>4</v>
      </c>
      <c r="AG82" s="1046"/>
      <c r="AH82" s="1037"/>
      <c r="AI82" s="1037"/>
      <c r="AJ82" s="1037">
        <f>+'[1]DR-0200'!$G$41</f>
        <v>0.56735999999999998</v>
      </c>
      <c r="AK82" s="1037"/>
      <c r="AL82" s="1037">
        <f>+'[1]DR-0200'!$G$46</f>
        <v>0.35898000000000002</v>
      </c>
      <c r="AM82" s="1037"/>
      <c r="AN82" s="1037">
        <f>+'[1]DR-0200'!$G$47</f>
        <v>8.94</v>
      </c>
      <c r="AO82" s="1039"/>
      <c r="AP82" s="1037"/>
      <c r="AQ82" s="1037"/>
      <c r="AR82" s="1037"/>
      <c r="AS82" s="1037"/>
      <c r="AT82" s="1037"/>
      <c r="AU82" s="1037">
        <f>+'[1]DR-0200'!$G$46</f>
        <v>0.35898000000000002</v>
      </c>
      <c r="AV82" s="1037"/>
      <c r="AW82" s="1037">
        <f>+'[1]DR-0200'!$G$47</f>
        <v>8.94</v>
      </c>
      <c r="AX82" s="1039"/>
      <c r="AY82" s="1037"/>
      <c r="AZ82" s="1037"/>
      <c r="BA82" s="1037"/>
      <c r="BB82" s="1037"/>
      <c r="BC82" s="1037"/>
      <c r="BD82" s="1037"/>
      <c r="BE82" s="1039"/>
      <c r="BF82" s="1039">
        <f>+'[1]DR-0200'!$G$48*1.016+'[1]DR-0200'!$G$50+'[1]DR-0200'!$G$51*4.48+'[1]DR-0200'!$G$52</f>
        <v>44.777305000000005</v>
      </c>
      <c r="BG82" s="1037"/>
      <c r="BH82" s="1037"/>
      <c r="BI82" s="1037"/>
      <c r="BJ82" s="1037">
        <f>+'[1]DR-0200'!$G$49</f>
        <v>2.8488000000000002</v>
      </c>
      <c r="BK82" s="1037"/>
      <c r="BL82" s="1039"/>
      <c r="BM82" s="1040">
        <f>+'[1]DR-0200'!$G$43+'[1]DR-0200'!$G$44/2+'[1]DR-0200'!$G$45</f>
        <v>169.58699999999999</v>
      </c>
      <c r="BN82" s="1037"/>
      <c r="BO82" s="972"/>
    </row>
    <row r="83" spans="1:67" ht="21.95" customHeight="1" thickBot="1" x14ac:dyDescent="0.2">
      <c r="A83" s="2627"/>
      <c r="B83" s="2617" t="s">
        <v>1136</v>
      </c>
      <c r="C83" s="2618"/>
      <c r="D83" s="1015"/>
      <c r="E83" s="2241"/>
      <c r="F83" s="365">
        <f ca="1">ROUND(Dren_Quantificacao!D73,2)</f>
        <v>0.6</v>
      </c>
      <c r="G83" s="365">
        <f ca="1">ROUND(Dren_Quantificacao!E73,2)</f>
        <v>0.38</v>
      </c>
      <c r="H83" s="365">
        <f ca="1">ROUND(Dren_Quantificacao!F73,2)</f>
        <v>0</v>
      </c>
      <c r="I83" s="365">
        <f ca="1">ROUND(Dren_Quantificacao!G73,2)</f>
        <v>0.53</v>
      </c>
      <c r="J83" s="365">
        <f ca="1">ROUND(Dren_Quantificacao!H73,2)</f>
        <v>0.52</v>
      </c>
      <c r="K83" s="365">
        <f ca="1">ROUND(Dren_Quantificacao!I73,2)</f>
        <v>0.21</v>
      </c>
      <c r="L83" s="365">
        <f>ROUND(Dren_Quantificacao!J73,2)</f>
        <v>0.4</v>
      </c>
      <c r="M83" s="365">
        <f>ROUND(Dren_Quantificacao!K73,2)</f>
        <v>0.2</v>
      </c>
      <c r="N83" s="365">
        <f>ROUND(Dren_Quantificacao!L73,2)</f>
        <v>0.2</v>
      </c>
      <c r="O83" s="365">
        <f>ROUND(Dren_Quantificacao!M73,2)</f>
        <v>0</v>
      </c>
      <c r="P83" s="1092"/>
      <c r="Q83" s="1092"/>
      <c r="R83" s="1092"/>
      <c r="S83" s="1092"/>
      <c r="T83" s="1092"/>
      <c r="U83" s="1092"/>
      <c r="V83" s="1092"/>
      <c r="W83" s="1092"/>
      <c r="X83" s="1092"/>
      <c r="Y83" s="1092"/>
      <c r="Z83" s="1092"/>
      <c r="AA83" s="1092"/>
      <c r="AB83" s="1092"/>
      <c r="AC83" s="1092"/>
      <c r="AD83" s="1092"/>
      <c r="AE83" s="366">
        <f t="shared" ca="1" si="43"/>
        <v>3.04</v>
      </c>
      <c r="AF83" s="578">
        <f t="shared" ca="1" si="38"/>
        <v>6.08</v>
      </c>
      <c r="AG83" s="1046"/>
      <c r="AH83" s="1037"/>
      <c r="AI83" s="1037"/>
      <c r="AJ83" s="1037"/>
      <c r="AK83" s="1037"/>
      <c r="AL83" s="1037">
        <v>0.40679999999999999</v>
      </c>
      <c r="AM83" s="1037">
        <v>2.2000000000000001E-3</v>
      </c>
      <c r="AN83" s="1037"/>
      <c r="AO83" s="1039"/>
      <c r="AP83" s="1037"/>
      <c r="AQ83" s="1037"/>
      <c r="AR83" s="1037"/>
      <c r="AS83" s="1037"/>
      <c r="AT83" s="1037"/>
      <c r="AU83" s="1037">
        <v>0.40679999999999999</v>
      </c>
      <c r="AV83" s="1037">
        <v>2.2000000000000001E-3</v>
      </c>
      <c r="AW83" s="1037"/>
      <c r="AX83" s="1039"/>
      <c r="AY83" s="1037"/>
      <c r="AZ83" s="1037"/>
      <c r="BA83" s="1037"/>
      <c r="BB83" s="1037"/>
      <c r="BC83" s="1037"/>
      <c r="BD83" s="1037"/>
      <c r="BE83" s="1039"/>
      <c r="BF83" s="1039">
        <v>1.163</v>
      </c>
      <c r="BG83" s="1037"/>
      <c r="BH83" s="1037">
        <v>0.377</v>
      </c>
      <c r="BI83" s="1037"/>
      <c r="BJ83" s="1037"/>
      <c r="BK83" s="1037"/>
      <c r="BL83" s="1039"/>
      <c r="BM83" s="1040"/>
      <c r="BN83" s="1037">
        <v>356.25659999999999</v>
      </c>
      <c r="BO83" s="972"/>
    </row>
    <row r="84" spans="1:67" ht="21.95" customHeight="1" thickBot="1" x14ac:dyDescent="0.2">
      <c r="A84" s="2627"/>
      <c r="B84" s="2529" t="s">
        <v>494</v>
      </c>
      <c r="C84" s="2530"/>
      <c r="D84" s="1014"/>
      <c r="E84" s="2240"/>
      <c r="F84" s="240">
        <f ca="1">SUM(F60:F66)+IF(F7&gt;0,1,0)</f>
        <v>1</v>
      </c>
      <c r="G84" s="240">
        <f t="shared" ref="G84" ca="1" si="44">SUM(G60:G66)+IF(G7&gt;0,1,0)</f>
        <v>1</v>
      </c>
      <c r="H84" s="240">
        <f t="shared" ref="H84:M84" ca="1" si="45">SUM(H60:H66)+IF(H7&gt;0,1,0)</f>
        <v>1</v>
      </c>
      <c r="I84" s="240">
        <f t="shared" ca="1" si="45"/>
        <v>1</v>
      </c>
      <c r="J84" s="240">
        <f t="shared" ca="1" si="45"/>
        <v>1</v>
      </c>
      <c r="K84" s="240">
        <f t="shared" ca="1" si="45"/>
        <v>1</v>
      </c>
      <c r="L84" s="240">
        <f t="shared" si="45"/>
        <v>2</v>
      </c>
      <c r="M84" s="240">
        <f t="shared" si="45"/>
        <v>1</v>
      </c>
      <c r="N84" s="240">
        <f t="shared" ref="N84:O84" si="46">SUM(N60:N66)+IF(N7&gt;0,1,0)</f>
        <v>1</v>
      </c>
      <c r="O84" s="240">
        <f t="shared" si="46"/>
        <v>0</v>
      </c>
      <c r="P84" s="364"/>
      <c r="Q84" s="364"/>
      <c r="R84" s="364"/>
      <c r="S84" s="364"/>
      <c r="T84" s="364"/>
      <c r="U84" s="364"/>
      <c r="V84" s="364"/>
      <c r="W84" s="364"/>
      <c r="X84" s="364"/>
      <c r="Y84" s="364"/>
      <c r="Z84" s="364"/>
      <c r="AA84" s="364"/>
      <c r="AB84" s="364"/>
      <c r="AC84" s="364"/>
      <c r="AD84" s="364"/>
      <c r="AE84" s="961">
        <f t="shared" ca="1" si="43"/>
        <v>10</v>
      </c>
      <c r="AF84" s="578">
        <f t="shared" ca="1" si="38"/>
        <v>20</v>
      </c>
      <c r="AG84" s="1046"/>
      <c r="AH84" s="1037"/>
      <c r="AI84" s="1037"/>
      <c r="AJ84" s="1037"/>
      <c r="AK84" s="1037"/>
      <c r="AL84" s="1037"/>
      <c r="AM84" s="1037"/>
      <c r="AN84" s="1037"/>
      <c r="AO84" s="1039"/>
      <c r="AP84" s="1037"/>
      <c r="AQ84" s="1037"/>
      <c r="AR84" s="1037"/>
      <c r="AS84" s="1037"/>
      <c r="AT84" s="1037"/>
      <c r="AU84" s="1037"/>
      <c r="AV84" s="1037"/>
      <c r="AW84" s="1037"/>
      <c r="AX84" s="1039"/>
      <c r="AY84" s="1037"/>
      <c r="AZ84" s="1037"/>
      <c r="BA84" s="1037"/>
      <c r="BB84" s="1037"/>
      <c r="BC84" s="1037"/>
      <c r="BD84" s="1037"/>
      <c r="BE84" s="1039"/>
      <c r="BF84" s="1039"/>
      <c r="BG84" s="1037"/>
      <c r="BH84" s="1037"/>
      <c r="BI84" s="1037"/>
      <c r="BJ84" s="1037"/>
      <c r="BK84" s="1037"/>
      <c r="BL84" s="1039"/>
      <c r="BM84" s="1040"/>
      <c r="BN84" s="1037"/>
      <c r="BO84" s="972"/>
    </row>
    <row r="85" spans="1:67" s="14" customFormat="1" ht="32.1" hidden="1" customHeight="1" x14ac:dyDescent="0.15">
      <c r="A85" s="2627"/>
      <c r="B85" s="2545" t="s">
        <v>2678</v>
      </c>
      <c r="C85" s="2561"/>
      <c r="D85" s="1011"/>
      <c r="F85" s="18">
        <f>+Dren_Quantificacao!D48</f>
        <v>0</v>
      </c>
      <c r="G85" s="18">
        <f>+Dren_Quantificacao!E48</f>
        <v>0</v>
      </c>
      <c r="H85" s="18">
        <f>+Dren_Quantificacao!F48</f>
        <v>0</v>
      </c>
      <c r="I85" s="18">
        <f>+Dren_Quantificacao!G48</f>
        <v>0</v>
      </c>
      <c r="J85" s="18">
        <f>+Dren_Quantificacao!H48</f>
        <v>0</v>
      </c>
      <c r="K85" s="18">
        <f>+Dren_Quantificacao!I48</f>
        <v>0</v>
      </c>
      <c r="L85" s="18">
        <f>+Dren_Quantificacao!J48</f>
        <v>0</v>
      </c>
      <c r="M85" s="18">
        <f>+Dren_Quantificacao!K48</f>
        <v>0</v>
      </c>
      <c r="N85" s="18">
        <f>+Dren_Quantificacao!L48</f>
        <v>0</v>
      </c>
      <c r="O85" s="18">
        <f>+Dren_Quantificacao!M48</f>
        <v>0</v>
      </c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358">
        <f t="shared" si="43"/>
        <v>0</v>
      </c>
      <c r="AF85" s="578">
        <f t="shared" si="38"/>
        <v>0</v>
      </c>
      <c r="AG85" s="2310">
        <f>0.25+0.06</f>
        <v>0.31</v>
      </c>
      <c r="AH85" s="2310">
        <f>0.73508*2</f>
        <v>1.4701599999999999</v>
      </c>
      <c r="AI85" s="2310">
        <f>0.63334+0.61459</f>
        <v>1.24793</v>
      </c>
      <c r="AJ85" s="1037"/>
      <c r="AK85" s="1037"/>
      <c r="AL85" s="1037"/>
      <c r="AM85" s="1037"/>
      <c r="AN85" s="1037"/>
      <c r="AO85" s="1039"/>
      <c r="AP85" s="1037"/>
      <c r="AQ85" s="1037"/>
      <c r="AR85" s="1037"/>
      <c r="AS85" s="1037"/>
      <c r="AT85" s="1037"/>
      <c r="AU85" s="1037"/>
      <c r="AV85" s="1037"/>
      <c r="AW85" s="1037"/>
      <c r="AX85" s="1039"/>
      <c r="AY85" s="1037"/>
      <c r="AZ85" s="1037"/>
      <c r="BA85" s="1037"/>
      <c r="BB85" s="1037"/>
      <c r="BC85" s="1037"/>
      <c r="BD85" s="1037"/>
      <c r="BE85" s="1039"/>
      <c r="BF85" s="1039"/>
      <c r="BG85" s="1037"/>
      <c r="BH85" s="1037"/>
      <c r="BI85" s="1037"/>
      <c r="BJ85" s="1037"/>
      <c r="BK85" s="1037"/>
      <c r="BL85" s="1039"/>
      <c r="BM85" s="1040"/>
      <c r="BN85" s="1037"/>
      <c r="BO85" s="972"/>
    </row>
    <row r="86" spans="1:67" s="14" customFormat="1" ht="32.1" hidden="1" customHeight="1" x14ac:dyDescent="0.15">
      <c r="A86" s="2627"/>
      <c r="B86" s="2545" t="s">
        <v>2679</v>
      </c>
      <c r="C86" s="2561"/>
      <c r="D86" s="1011"/>
      <c r="F86" s="18">
        <f>+Dren_Quantificacao!D49</f>
        <v>0</v>
      </c>
      <c r="G86" s="18">
        <f>+Dren_Quantificacao!E49</f>
        <v>0</v>
      </c>
      <c r="H86" s="18">
        <f>+Dren_Quantificacao!F49</f>
        <v>0</v>
      </c>
      <c r="I86" s="18">
        <f>+Dren_Quantificacao!G49</f>
        <v>0</v>
      </c>
      <c r="J86" s="18">
        <f>+Dren_Quantificacao!H49</f>
        <v>0</v>
      </c>
      <c r="K86" s="18">
        <f>+Dren_Quantificacao!I49</f>
        <v>0</v>
      </c>
      <c r="L86" s="18">
        <f>+Dren_Quantificacao!J49</f>
        <v>0</v>
      </c>
      <c r="M86" s="18">
        <f>+Dren_Quantificacao!K49</f>
        <v>0</v>
      </c>
      <c r="N86" s="18">
        <f>+Dren_Quantificacao!L49</f>
        <v>0</v>
      </c>
      <c r="O86" s="18">
        <f>+Dren_Quantificacao!M49</f>
        <v>0</v>
      </c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2309">
        <f t="shared" si="43"/>
        <v>0</v>
      </c>
      <c r="AF86" s="578">
        <f t="shared" si="38"/>
        <v>0</v>
      </c>
      <c r="AG86" s="2310">
        <v>0.14749999999999999</v>
      </c>
      <c r="AH86" s="2310">
        <f>0.36754*2</f>
        <v>0.73507999999999996</v>
      </c>
      <c r="AI86" s="2310">
        <v>0.63334000000000001</v>
      </c>
      <c r="AJ86" s="1037"/>
      <c r="AK86" s="1037"/>
      <c r="AL86" s="1037"/>
      <c r="AM86" s="1037"/>
      <c r="AN86" s="1037"/>
      <c r="AO86" s="1039"/>
      <c r="AP86" s="1037"/>
      <c r="AQ86" s="1037"/>
      <c r="AR86" s="1037"/>
      <c r="AS86" s="1037"/>
      <c r="AT86" s="1037"/>
      <c r="AU86" s="1037"/>
      <c r="AV86" s="1037"/>
      <c r="AW86" s="1037"/>
      <c r="AX86" s="1039"/>
      <c r="AY86" s="1037"/>
      <c r="AZ86" s="1037"/>
      <c r="BA86" s="1037"/>
      <c r="BB86" s="1037"/>
      <c r="BC86" s="1037"/>
      <c r="BD86" s="1037"/>
      <c r="BE86" s="1039"/>
      <c r="BF86" s="1039"/>
      <c r="BG86" s="1037"/>
      <c r="BH86" s="1037"/>
      <c r="BI86" s="1037"/>
      <c r="BJ86" s="1037"/>
      <c r="BK86" s="1037"/>
      <c r="BL86" s="1039"/>
      <c r="BM86" s="1040"/>
      <c r="BN86" s="1037"/>
      <c r="BO86" s="972"/>
    </row>
    <row r="87" spans="1:67" s="14" customFormat="1" ht="32.1" hidden="1" customHeight="1" x14ac:dyDescent="0.15">
      <c r="A87" s="2627"/>
      <c r="B87" s="2545" t="s">
        <v>2682</v>
      </c>
      <c r="C87" s="2561"/>
      <c r="D87" s="1011"/>
      <c r="F87" s="18">
        <f>+Dren_Quantificacao!D50</f>
        <v>0</v>
      </c>
      <c r="G87" s="18">
        <f>+Dren_Quantificacao!E50</f>
        <v>0</v>
      </c>
      <c r="H87" s="18">
        <f>+Dren_Quantificacao!F50</f>
        <v>0</v>
      </c>
      <c r="I87" s="18">
        <f>+Dren_Quantificacao!G50</f>
        <v>0</v>
      </c>
      <c r="J87" s="18">
        <f>+Dren_Quantificacao!H50</f>
        <v>0</v>
      </c>
      <c r="K87" s="18">
        <f>+Dren_Quantificacao!I50</f>
        <v>0</v>
      </c>
      <c r="L87" s="18">
        <f>+Dren_Quantificacao!J50</f>
        <v>0</v>
      </c>
      <c r="M87" s="18">
        <f>+Dren_Quantificacao!K50</f>
        <v>0</v>
      </c>
      <c r="N87" s="18">
        <f>+Dren_Quantificacao!L50</f>
        <v>0</v>
      </c>
      <c r="O87" s="18">
        <f>+Dren_Quantificacao!M50</f>
        <v>0</v>
      </c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349">
        <f t="shared" si="43"/>
        <v>0</v>
      </c>
      <c r="AF87" s="578">
        <f t="shared" si="38"/>
        <v>0</v>
      </c>
      <c r="AG87" s="2310">
        <f>2.1+0.092</f>
        <v>2.1920000000000002</v>
      </c>
      <c r="AH87" s="2310">
        <f>0.73508*2</f>
        <v>1.4701599999999999</v>
      </c>
      <c r="AI87" s="2310">
        <f>0.63334+0.61459</f>
        <v>1.24793</v>
      </c>
      <c r="AJ87" s="1037"/>
      <c r="AK87" s="1037"/>
      <c r="AL87" s="1037"/>
      <c r="AM87" s="1037"/>
      <c r="AN87" s="1037"/>
      <c r="AO87" s="1039"/>
      <c r="AP87" s="1037"/>
      <c r="AQ87" s="1037"/>
      <c r="AR87" s="1037"/>
      <c r="AS87" s="1037"/>
      <c r="AT87" s="1037"/>
      <c r="AU87" s="1037"/>
      <c r="AV87" s="1037"/>
      <c r="AW87" s="1037"/>
      <c r="AX87" s="1039"/>
      <c r="AY87" s="1037"/>
      <c r="AZ87" s="1037"/>
      <c r="BA87" s="1037"/>
      <c r="BB87" s="1037"/>
      <c r="BC87" s="1037"/>
      <c r="BD87" s="1037"/>
      <c r="BE87" s="1039"/>
      <c r="BF87" s="1039"/>
      <c r="BG87" s="1037"/>
      <c r="BH87" s="1037"/>
      <c r="BI87" s="1037"/>
      <c r="BJ87" s="1037"/>
      <c r="BK87" s="1037"/>
      <c r="BL87" s="1039"/>
      <c r="BM87" s="1040"/>
      <c r="BN87" s="1037"/>
      <c r="BO87" s="972"/>
    </row>
    <row r="88" spans="1:67" s="14" customFormat="1" ht="32.1" hidden="1" customHeight="1" x14ac:dyDescent="0.15">
      <c r="A88" s="2627"/>
      <c r="B88" s="2545" t="s">
        <v>2680</v>
      </c>
      <c r="C88" s="2561"/>
      <c r="D88" s="1011"/>
      <c r="F88" s="18">
        <f>+Dren_Quantificacao!D51</f>
        <v>0</v>
      </c>
      <c r="G88" s="18">
        <f>+Dren_Quantificacao!E51</f>
        <v>0</v>
      </c>
      <c r="H88" s="18">
        <f>+Dren_Quantificacao!F51</f>
        <v>0</v>
      </c>
      <c r="I88" s="18">
        <f>+Dren_Quantificacao!G51</f>
        <v>0</v>
      </c>
      <c r="J88" s="18">
        <f>+Dren_Quantificacao!H51</f>
        <v>0</v>
      </c>
      <c r="K88" s="18">
        <f>+Dren_Quantificacao!I51</f>
        <v>0</v>
      </c>
      <c r="L88" s="18">
        <f>+Dren_Quantificacao!J51</f>
        <v>0</v>
      </c>
      <c r="M88" s="18">
        <f>+Dren_Quantificacao!K51</f>
        <v>0</v>
      </c>
      <c r="N88" s="18">
        <f>+Dren_Quantificacao!L51</f>
        <v>0</v>
      </c>
      <c r="O88" s="18">
        <f>+Dren_Quantificacao!M51</f>
        <v>0</v>
      </c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349">
        <f t="shared" si="43"/>
        <v>0</v>
      </c>
      <c r="AF88" s="578">
        <f t="shared" si="38"/>
        <v>0</v>
      </c>
      <c r="AG88" s="2310">
        <v>0.11</v>
      </c>
      <c r="AH88" s="2310">
        <f>0.36754*2</f>
        <v>0.73507999999999996</v>
      </c>
      <c r="AI88" s="2310">
        <v>0.63334000000000001</v>
      </c>
      <c r="AJ88" s="1037"/>
      <c r="AK88" s="1037"/>
      <c r="AL88" s="1037"/>
      <c r="AM88" s="1037"/>
      <c r="AN88" s="1037"/>
      <c r="AO88" s="1039"/>
      <c r="AP88" s="1037"/>
      <c r="AQ88" s="1037"/>
      <c r="AR88" s="1037"/>
      <c r="AS88" s="1037"/>
      <c r="AT88" s="1037"/>
      <c r="AU88" s="1037"/>
      <c r="AV88" s="1037"/>
      <c r="AW88" s="1037"/>
      <c r="AX88" s="1039"/>
      <c r="AY88" s="1037"/>
      <c r="AZ88" s="1037"/>
      <c r="BA88" s="1037"/>
      <c r="BB88" s="1037"/>
      <c r="BC88" s="1037"/>
      <c r="BD88" s="1037"/>
      <c r="BE88" s="1039"/>
      <c r="BF88" s="1039"/>
      <c r="BG88" s="1037"/>
      <c r="BH88" s="1037"/>
      <c r="BI88" s="1037"/>
      <c r="BJ88" s="1037"/>
      <c r="BK88" s="1037"/>
      <c r="BL88" s="1039"/>
      <c r="BM88" s="1040"/>
      <c r="BN88" s="1037"/>
      <c r="BO88" s="972"/>
    </row>
    <row r="89" spans="1:67" s="14" customFormat="1" ht="32.1" hidden="1" customHeight="1" x14ac:dyDescent="0.15">
      <c r="A89" s="2627"/>
      <c r="B89" s="2545" t="s">
        <v>2681</v>
      </c>
      <c r="C89" s="2561"/>
      <c r="D89" s="1011"/>
      <c r="F89" s="18">
        <f>+Dren_Quantificacao!D52</f>
        <v>0</v>
      </c>
      <c r="G89" s="18">
        <f>+Dren_Quantificacao!E52</f>
        <v>0</v>
      </c>
      <c r="H89" s="18">
        <f>+Dren_Quantificacao!F52</f>
        <v>0</v>
      </c>
      <c r="I89" s="18">
        <f>+Dren_Quantificacao!G52</f>
        <v>0</v>
      </c>
      <c r="J89" s="18">
        <f>+Dren_Quantificacao!H52</f>
        <v>0</v>
      </c>
      <c r="K89" s="18">
        <f>+Dren_Quantificacao!I52</f>
        <v>0</v>
      </c>
      <c r="L89" s="18">
        <f>+Dren_Quantificacao!J52</f>
        <v>0</v>
      </c>
      <c r="M89" s="18">
        <f>+Dren_Quantificacao!K52</f>
        <v>0</v>
      </c>
      <c r="N89" s="18">
        <f>+Dren_Quantificacao!L52</f>
        <v>0</v>
      </c>
      <c r="O89" s="18">
        <f>+Dren_Quantificacao!M52</f>
        <v>0</v>
      </c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349">
        <f t="shared" si="43"/>
        <v>0</v>
      </c>
      <c r="AF89" s="578">
        <f t="shared" si="38"/>
        <v>0</v>
      </c>
      <c r="AG89" s="2310">
        <v>0.14000000000000001</v>
      </c>
      <c r="AH89" s="2310">
        <f>0.36754*2</f>
        <v>0.73507999999999996</v>
      </c>
      <c r="AI89" s="2310">
        <v>0.63334000000000001</v>
      </c>
      <c r="AJ89" s="1037"/>
      <c r="AK89" s="1037"/>
      <c r="AL89" s="1037"/>
      <c r="AM89" s="1037"/>
      <c r="AN89" s="1037"/>
      <c r="AO89" s="1039"/>
      <c r="AP89" s="1037"/>
      <c r="AQ89" s="1037"/>
      <c r="AR89" s="1037"/>
      <c r="AS89" s="1037"/>
      <c r="AT89" s="1037"/>
      <c r="AU89" s="1037"/>
      <c r="AV89" s="1037"/>
      <c r="AW89" s="1037"/>
      <c r="AX89" s="1039"/>
      <c r="AY89" s="1037"/>
      <c r="AZ89" s="1037"/>
      <c r="BA89" s="1037"/>
      <c r="BB89" s="1037"/>
      <c r="BC89" s="1037"/>
      <c r="BD89" s="1037"/>
      <c r="BE89" s="1039"/>
      <c r="BF89" s="1039"/>
      <c r="BG89" s="1037"/>
      <c r="BH89" s="1037"/>
      <c r="BI89" s="1037"/>
      <c r="BJ89" s="1037"/>
      <c r="BK89" s="1037"/>
      <c r="BL89" s="1039"/>
      <c r="BM89" s="1040"/>
      <c r="BN89" s="1037"/>
      <c r="BO89" s="972"/>
    </row>
    <row r="90" spans="1:67" s="14" customFormat="1" ht="21.95" hidden="1" customHeight="1" thickBot="1" x14ac:dyDescent="0.2">
      <c r="A90" s="2627"/>
      <c r="B90" s="2541" t="s">
        <v>2683</v>
      </c>
      <c r="C90" s="2619"/>
      <c r="D90" s="1011"/>
      <c r="F90" s="18">
        <f>+Dren_Quantificacao!D53</f>
        <v>0</v>
      </c>
      <c r="G90" s="18">
        <f>+Dren_Quantificacao!E53</f>
        <v>0</v>
      </c>
      <c r="H90" s="18">
        <f>+Dren_Quantificacao!F53</f>
        <v>0</v>
      </c>
      <c r="I90" s="18">
        <f>+Dren_Quantificacao!G53</f>
        <v>0</v>
      </c>
      <c r="J90" s="18">
        <f>+Dren_Quantificacao!H53</f>
        <v>0</v>
      </c>
      <c r="K90" s="18">
        <f>+Dren_Quantificacao!I53</f>
        <v>0</v>
      </c>
      <c r="L90" s="18">
        <f>+Dren_Quantificacao!J53</f>
        <v>0</v>
      </c>
      <c r="M90" s="18">
        <f>+Dren_Quantificacao!K53</f>
        <v>0</v>
      </c>
      <c r="N90" s="18">
        <f>+Dren_Quantificacao!L53</f>
        <v>0</v>
      </c>
      <c r="O90" s="18">
        <f>+Dren_Quantificacao!M53</f>
        <v>0</v>
      </c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349">
        <f t="shared" si="43"/>
        <v>0</v>
      </c>
      <c r="AF90" s="578">
        <f t="shared" si="38"/>
        <v>0</v>
      </c>
      <c r="AG90" s="2310">
        <v>1.619</v>
      </c>
      <c r="AH90" s="2310">
        <f>0.36754*2</f>
        <v>0.73507999999999996</v>
      </c>
      <c r="AI90" s="2310">
        <v>0.63334000000000001</v>
      </c>
      <c r="AJ90" s="1037"/>
      <c r="AK90" s="1037"/>
      <c r="AL90" s="1037"/>
      <c r="AM90" s="1037"/>
      <c r="AN90" s="1037"/>
      <c r="AO90" s="1039"/>
      <c r="AP90" s="1037"/>
      <c r="AQ90" s="1037"/>
      <c r="AR90" s="1037"/>
      <c r="AS90" s="1037"/>
      <c r="AT90" s="1037"/>
      <c r="AU90" s="1037"/>
      <c r="AV90" s="1037"/>
      <c r="AW90" s="1037"/>
      <c r="AX90" s="1039"/>
      <c r="AY90" s="1037"/>
      <c r="AZ90" s="1037"/>
      <c r="BA90" s="1037"/>
      <c r="BB90" s="1037"/>
      <c r="BC90" s="1037"/>
      <c r="BD90" s="1037"/>
      <c r="BE90" s="1039"/>
      <c r="BF90" s="1039"/>
      <c r="BG90" s="1037"/>
      <c r="BH90" s="1037"/>
      <c r="BI90" s="1037"/>
      <c r="BJ90" s="1037"/>
      <c r="BK90" s="1037"/>
      <c r="BL90" s="1039"/>
      <c r="BM90" s="1040"/>
      <c r="BN90" s="1037"/>
      <c r="BO90" s="972"/>
    </row>
    <row r="91" spans="1:67" s="14" customFormat="1" ht="21.95" hidden="1" customHeight="1" x14ac:dyDescent="0.15">
      <c r="A91" s="2627"/>
      <c r="B91" s="2620" t="s">
        <v>585</v>
      </c>
      <c r="C91" s="2621"/>
      <c r="D91" s="1010"/>
      <c r="E91" s="2238"/>
      <c r="F91" s="235">
        <f t="shared" ref="F91:O91" si="47">+(F85*$AG$85*$AI$85)+(F86*$AG$86*$AI$86)+(F87*$AG$87*$AI$87)+(F88*$AG$88*$AI$88)+(F89*$AG$89*$AI$89)+(F90*$AG$90*$AI$90)</f>
        <v>0</v>
      </c>
      <c r="G91" s="235">
        <f t="shared" si="47"/>
        <v>0</v>
      </c>
      <c r="H91" s="235">
        <f t="shared" si="47"/>
        <v>0</v>
      </c>
      <c r="I91" s="235">
        <f t="shared" si="47"/>
        <v>0</v>
      </c>
      <c r="J91" s="235">
        <f t="shared" si="47"/>
        <v>0</v>
      </c>
      <c r="K91" s="235">
        <f t="shared" si="47"/>
        <v>0</v>
      </c>
      <c r="L91" s="235">
        <f t="shared" si="47"/>
        <v>0</v>
      </c>
      <c r="M91" s="235">
        <f t="shared" si="47"/>
        <v>0</v>
      </c>
      <c r="N91" s="235">
        <f t="shared" si="47"/>
        <v>0</v>
      </c>
      <c r="O91" s="235">
        <f t="shared" si="47"/>
        <v>0</v>
      </c>
      <c r="P91" s="236"/>
      <c r="Q91" s="236"/>
      <c r="R91" s="236"/>
      <c r="S91" s="236"/>
      <c r="T91" s="236"/>
      <c r="U91" s="236"/>
      <c r="V91" s="236"/>
      <c r="W91" s="236"/>
      <c r="X91" s="236"/>
      <c r="Y91" s="236"/>
      <c r="Z91" s="236"/>
      <c r="AA91" s="236"/>
      <c r="AB91" s="236"/>
      <c r="AC91" s="236"/>
      <c r="AD91" s="236"/>
      <c r="AE91" s="2311">
        <f t="shared" si="43"/>
        <v>0</v>
      </c>
      <c r="AF91" s="578">
        <f t="shared" si="38"/>
        <v>0</v>
      </c>
      <c r="AG91" s="1046"/>
      <c r="AH91" s="1037"/>
      <c r="AI91" s="1037"/>
      <c r="AJ91" s="1037"/>
      <c r="AK91" s="1037"/>
      <c r="AL91" s="1037"/>
      <c r="AM91" s="1037"/>
      <c r="AN91" s="1037"/>
      <c r="AO91" s="1039"/>
      <c r="AP91" s="1037"/>
      <c r="AQ91" s="1037"/>
      <c r="AR91" s="1037"/>
      <c r="AS91" s="1037"/>
      <c r="AT91" s="1037"/>
      <c r="AU91" s="1037"/>
      <c r="AV91" s="1037"/>
      <c r="AW91" s="1037"/>
      <c r="AX91" s="1039"/>
      <c r="AY91" s="1037"/>
      <c r="AZ91" s="1037"/>
      <c r="BA91" s="1037"/>
      <c r="BB91" s="1037"/>
      <c r="BC91" s="1037"/>
      <c r="BD91" s="1037"/>
      <c r="BE91" s="1039"/>
      <c r="BF91" s="1039"/>
      <c r="BG91" s="1037"/>
      <c r="BH91" s="1037"/>
      <c r="BI91" s="1037"/>
      <c r="BJ91" s="1037"/>
      <c r="BK91" s="1037"/>
      <c r="BL91" s="1039"/>
      <c r="BM91" s="1040"/>
      <c r="BN91" s="1037"/>
      <c r="BO91" s="972"/>
    </row>
    <row r="92" spans="1:67" s="14" customFormat="1" ht="21.95" hidden="1" customHeight="1" thickBot="1" x14ac:dyDescent="0.2">
      <c r="A92" s="2627"/>
      <c r="B92" s="2545" t="s">
        <v>642</v>
      </c>
      <c r="C92" s="2561"/>
      <c r="D92" s="1011"/>
      <c r="F92" s="134">
        <f t="shared" ref="F92:O92" si="48">+(F85*$AG$85*$AH$85)+(F86*$AG$86*$AH$86)+(F87*$AG$87*$AH$87)+(F88*$AG$88*$AH$88)+(F89*$AG$89*$AH$89)+(F90*$AG$90*$AH$90)</f>
        <v>0</v>
      </c>
      <c r="G92" s="134">
        <f t="shared" si="48"/>
        <v>0</v>
      </c>
      <c r="H92" s="134">
        <f t="shared" si="48"/>
        <v>0</v>
      </c>
      <c r="I92" s="134">
        <f t="shared" si="48"/>
        <v>0</v>
      </c>
      <c r="J92" s="134">
        <f t="shared" si="48"/>
        <v>0</v>
      </c>
      <c r="K92" s="134">
        <f t="shared" si="48"/>
        <v>0</v>
      </c>
      <c r="L92" s="134">
        <f t="shared" si="48"/>
        <v>0</v>
      </c>
      <c r="M92" s="134">
        <f t="shared" si="48"/>
        <v>0</v>
      </c>
      <c r="N92" s="134">
        <f t="shared" si="48"/>
        <v>0</v>
      </c>
      <c r="O92" s="134">
        <f t="shared" si="48"/>
        <v>0</v>
      </c>
      <c r="P92" s="160"/>
      <c r="Q92" s="160"/>
      <c r="R92" s="160"/>
      <c r="S92" s="160"/>
      <c r="T92" s="160"/>
      <c r="U92" s="160"/>
      <c r="V92" s="160"/>
      <c r="W92" s="160"/>
      <c r="X92" s="160"/>
      <c r="Y92" s="160"/>
      <c r="Z92" s="160"/>
      <c r="AA92" s="160"/>
      <c r="AB92" s="160"/>
      <c r="AC92" s="160"/>
      <c r="AD92" s="160"/>
      <c r="AE92" s="2309">
        <f t="shared" si="43"/>
        <v>0</v>
      </c>
      <c r="AF92" s="578">
        <f t="shared" si="38"/>
        <v>0</v>
      </c>
      <c r="AG92" s="1046"/>
      <c r="AH92" s="1037"/>
      <c r="AI92" s="1037"/>
      <c r="AJ92" s="1037"/>
      <c r="AK92" s="1037"/>
      <c r="AL92" s="1037"/>
      <c r="AM92" s="1037"/>
      <c r="AN92" s="1037"/>
      <c r="AO92" s="1039"/>
      <c r="AP92" s="1037"/>
      <c r="AQ92" s="1037"/>
      <c r="AR92" s="1037"/>
      <c r="AS92" s="1037"/>
      <c r="AT92" s="1037"/>
      <c r="AU92" s="1037"/>
      <c r="AV92" s="1037"/>
      <c r="AW92" s="1037"/>
      <c r="AX92" s="1039"/>
      <c r="AY92" s="1037"/>
      <c r="AZ92" s="1037"/>
      <c r="BA92" s="1037"/>
      <c r="BB92" s="1037"/>
      <c r="BC92" s="1037"/>
      <c r="BD92" s="1037"/>
      <c r="BE92" s="1039"/>
      <c r="BF92" s="1039"/>
      <c r="BG92" s="1037"/>
      <c r="BH92" s="1037"/>
      <c r="BI92" s="1037"/>
      <c r="BJ92" s="1037"/>
      <c r="BK92" s="1037"/>
      <c r="BL92" s="1039"/>
      <c r="BM92" s="1040"/>
      <c r="BN92" s="1037"/>
      <c r="BO92" s="972"/>
    </row>
    <row r="93" spans="1:67" ht="21.95" hidden="1" customHeight="1" x14ac:dyDescent="0.15">
      <c r="A93" s="2627"/>
      <c r="B93" s="2522" t="s">
        <v>495</v>
      </c>
      <c r="C93" s="549" t="s">
        <v>330</v>
      </c>
      <c r="D93" s="1010"/>
      <c r="E93" s="2238"/>
      <c r="F93" s="1093">
        <f>Dren_Quantificacao!D75</f>
        <v>0</v>
      </c>
      <c r="G93" s="1093">
        <f>Dren_Quantificacao!E75</f>
        <v>0</v>
      </c>
      <c r="H93" s="1093">
        <f>Dren_Quantificacao!F75</f>
        <v>0</v>
      </c>
      <c r="I93" s="1093">
        <f>Dren_Quantificacao!G75</f>
        <v>0</v>
      </c>
      <c r="J93" s="1093">
        <f>Dren_Quantificacao!H75</f>
        <v>0</v>
      </c>
      <c r="K93" s="1093">
        <f>Dren_Quantificacao!I75</f>
        <v>0</v>
      </c>
      <c r="L93" s="1093">
        <f>Dren_Quantificacao!J75</f>
        <v>0</v>
      </c>
      <c r="M93" s="1093">
        <f>Dren_Quantificacao!K75</f>
        <v>0</v>
      </c>
      <c r="N93" s="1093">
        <f>Dren_Quantificacao!L75</f>
        <v>0</v>
      </c>
      <c r="O93" s="1093">
        <f>Dren_Quantificacao!M75</f>
        <v>0</v>
      </c>
      <c r="P93" s="1094"/>
      <c r="Q93" s="1094"/>
      <c r="R93" s="1094"/>
      <c r="S93" s="1094"/>
      <c r="T93" s="1094"/>
      <c r="U93" s="1094"/>
      <c r="V93" s="1094"/>
      <c r="W93" s="1094"/>
      <c r="X93" s="1094"/>
      <c r="Y93" s="1094"/>
      <c r="Z93" s="1094"/>
      <c r="AA93" s="1094"/>
      <c r="AB93" s="1094"/>
      <c r="AC93" s="1094"/>
      <c r="AD93" s="1094"/>
      <c r="AE93" s="1095">
        <f t="shared" si="43"/>
        <v>0</v>
      </c>
      <c r="AF93" s="578">
        <f t="shared" si="38"/>
        <v>0</v>
      </c>
      <c r="AG93" s="1046"/>
      <c r="AH93" s="1037"/>
      <c r="AI93" s="1037"/>
      <c r="AJ93" s="1037"/>
      <c r="AK93" s="1037"/>
      <c r="AL93" s="1037"/>
      <c r="AM93" s="1037"/>
      <c r="AN93" s="1037"/>
      <c r="AO93" s="1039"/>
      <c r="AP93" s="1037"/>
      <c r="AQ93" s="1037"/>
      <c r="AR93" s="1037"/>
      <c r="AS93" s="1037"/>
      <c r="AT93" s="1037"/>
      <c r="AU93" s="1037"/>
      <c r="AV93" s="1037"/>
      <c r="AW93" s="1037"/>
      <c r="AX93" s="1039"/>
      <c r="AY93" s="1037"/>
      <c r="AZ93" s="1037"/>
      <c r="BA93" s="1037"/>
      <c r="BB93" s="1037"/>
      <c r="BC93" s="1037"/>
      <c r="BD93" s="1037"/>
      <c r="BE93" s="1039"/>
      <c r="BF93" s="1039"/>
      <c r="BG93" s="1037"/>
      <c r="BH93" s="1037"/>
      <c r="BI93" s="1037"/>
      <c r="BJ93" s="1037"/>
      <c r="BK93" s="1037"/>
      <c r="BL93" s="1039"/>
      <c r="BM93" s="1040"/>
      <c r="BN93" s="1037"/>
      <c r="BO93" s="972"/>
    </row>
    <row r="94" spans="1:67" s="14" customFormat="1" ht="21.95" hidden="1" customHeight="1" thickBot="1" x14ac:dyDescent="0.2">
      <c r="A94" s="2627"/>
      <c r="B94" s="2524"/>
      <c r="C94" s="1298" t="s">
        <v>1170</v>
      </c>
      <c r="D94" s="1299"/>
      <c r="E94" s="2242"/>
      <c r="F94" s="1101">
        <f>Dren_Quantificacao!D74</f>
        <v>0</v>
      </c>
      <c r="G94" s="1101">
        <f>Dren_Quantificacao!E74</f>
        <v>0</v>
      </c>
      <c r="H94" s="1101">
        <f>Dren_Quantificacao!F74</f>
        <v>0</v>
      </c>
      <c r="I94" s="1101">
        <f>Dren_Quantificacao!G74</f>
        <v>0</v>
      </c>
      <c r="J94" s="1101">
        <f>Dren_Quantificacao!H74</f>
        <v>0</v>
      </c>
      <c r="K94" s="1101">
        <f>Dren_Quantificacao!I74</f>
        <v>0</v>
      </c>
      <c r="L94" s="1101">
        <f>Dren_Quantificacao!J74</f>
        <v>0</v>
      </c>
      <c r="M94" s="1101">
        <f>Dren_Quantificacao!K74</f>
        <v>0</v>
      </c>
      <c r="N94" s="1101">
        <f>Dren_Quantificacao!L74</f>
        <v>0</v>
      </c>
      <c r="O94" s="1101">
        <f>Dren_Quantificacao!M74</f>
        <v>0</v>
      </c>
      <c r="P94" s="1102"/>
      <c r="Q94" s="1102"/>
      <c r="R94" s="1102"/>
      <c r="S94" s="1102"/>
      <c r="T94" s="1102"/>
      <c r="U94" s="1102"/>
      <c r="V94" s="1102"/>
      <c r="W94" s="1102"/>
      <c r="X94" s="1102"/>
      <c r="Y94" s="1102"/>
      <c r="Z94" s="1102"/>
      <c r="AA94" s="1102"/>
      <c r="AB94" s="1102"/>
      <c r="AC94" s="1102"/>
      <c r="AD94" s="1102"/>
      <c r="AE94" s="1103">
        <f t="shared" si="43"/>
        <v>0</v>
      </c>
      <c r="AF94" s="578">
        <f t="shared" si="38"/>
        <v>0</v>
      </c>
      <c r="AG94" s="1046"/>
      <c r="AH94" s="1037"/>
      <c r="AI94" s="1037"/>
      <c r="AJ94" s="1037"/>
      <c r="AK94" s="1037"/>
      <c r="AL94" s="1037"/>
      <c r="AM94" s="1037"/>
      <c r="AN94" s="1037"/>
      <c r="AO94" s="1039"/>
      <c r="AP94" s="1037"/>
      <c r="AQ94" s="1037"/>
      <c r="AR94" s="1037"/>
      <c r="AS94" s="1037"/>
      <c r="AT94" s="1037"/>
      <c r="AU94" s="1037"/>
      <c r="AV94" s="1037"/>
      <c r="AW94" s="1037"/>
      <c r="AX94" s="1039"/>
      <c r="AY94" s="1037"/>
      <c r="AZ94" s="1037"/>
      <c r="BA94" s="1037"/>
      <c r="BB94" s="1037"/>
      <c r="BC94" s="1037"/>
      <c r="BD94" s="1037"/>
      <c r="BE94" s="1039"/>
      <c r="BF94" s="1039"/>
      <c r="BG94" s="1037"/>
      <c r="BH94" s="1037"/>
      <c r="BI94" s="1037"/>
      <c r="BJ94" s="1037"/>
      <c r="BK94" s="1037"/>
      <c r="BL94" s="1039"/>
      <c r="BM94" s="1040"/>
      <c r="BN94" s="1037"/>
      <c r="BO94" s="972"/>
    </row>
    <row r="95" spans="1:67" s="14" customFormat="1" ht="21.95" hidden="1" customHeight="1" x14ac:dyDescent="0.25">
      <c r="A95" s="2627"/>
      <c r="B95" s="2616" t="s">
        <v>503</v>
      </c>
      <c r="C95" s="551" t="s">
        <v>505</v>
      </c>
      <c r="D95" s="998"/>
      <c r="E95" s="2227"/>
      <c r="F95" s="1098">
        <f>Dren_Quantificacao!D76</f>
        <v>0</v>
      </c>
      <c r="G95" s="1098">
        <f>Dren_Quantificacao!E76</f>
        <v>0</v>
      </c>
      <c r="H95" s="1098">
        <f>Dren_Quantificacao!F76</f>
        <v>0</v>
      </c>
      <c r="I95" s="1098">
        <f>Dren_Quantificacao!G76</f>
        <v>0</v>
      </c>
      <c r="J95" s="1098">
        <f>Dren_Quantificacao!H76</f>
        <v>0</v>
      </c>
      <c r="K95" s="1098">
        <f>Dren_Quantificacao!I76</f>
        <v>0</v>
      </c>
      <c r="L95" s="1098">
        <f>Dren_Quantificacao!J76</f>
        <v>0</v>
      </c>
      <c r="M95" s="1098">
        <f>Dren_Quantificacao!K76</f>
        <v>0</v>
      </c>
      <c r="N95" s="1098">
        <f>Dren_Quantificacao!L76</f>
        <v>0</v>
      </c>
      <c r="O95" s="1098">
        <f>Dren_Quantificacao!M76</f>
        <v>0</v>
      </c>
      <c r="P95" s="1099"/>
      <c r="Q95" s="1099"/>
      <c r="R95" s="1099"/>
      <c r="S95" s="1099"/>
      <c r="T95" s="1099"/>
      <c r="U95" s="1099"/>
      <c r="V95" s="1099"/>
      <c r="W95" s="1099"/>
      <c r="X95" s="1099"/>
      <c r="Y95" s="1099"/>
      <c r="Z95" s="1099"/>
      <c r="AA95" s="1099"/>
      <c r="AB95" s="1099"/>
      <c r="AC95" s="1099"/>
      <c r="AD95" s="1099"/>
      <c r="AE95" s="1100">
        <f t="shared" si="43"/>
        <v>0</v>
      </c>
      <c r="AF95" s="578">
        <f t="shared" si="38"/>
        <v>0</v>
      </c>
      <c r="AG95" s="1046"/>
      <c r="AH95" s="1037"/>
      <c r="AI95" s="1037"/>
      <c r="AJ95" s="1037"/>
      <c r="AK95" s="1037"/>
      <c r="AL95" s="1037"/>
      <c r="AM95" s="1037"/>
      <c r="AN95" s="1041"/>
      <c r="AO95" s="1042"/>
      <c r="AP95" s="1037"/>
      <c r="AQ95" s="1037"/>
      <c r="AR95" s="1037"/>
      <c r="AS95" s="1037"/>
      <c r="AT95" s="1037"/>
      <c r="AU95" s="1037"/>
      <c r="AV95" s="1037"/>
      <c r="AW95" s="1037"/>
      <c r="AX95" s="1039"/>
      <c r="AY95" s="1037"/>
      <c r="AZ95" s="1037"/>
      <c r="BA95" s="1037"/>
      <c r="BB95" s="1037"/>
      <c r="BC95" s="1037"/>
      <c r="BD95" s="1037"/>
      <c r="BE95" s="1039"/>
      <c r="BF95" s="1039"/>
      <c r="BG95" s="1037"/>
      <c r="BH95" s="1037"/>
      <c r="BI95" s="1037"/>
      <c r="BJ95" s="1037"/>
      <c r="BK95" s="1037"/>
      <c r="BL95" s="1039"/>
      <c r="BM95" s="1040"/>
      <c r="BN95" s="1037"/>
      <c r="BO95" s="972"/>
    </row>
    <row r="96" spans="1:67" s="14" customFormat="1" ht="21.95" hidden="1" customHeight="1" thickBot="1" x14ac:dyDescent="0.3">
      <c r="A96" s="2627"/>
      <c r="B96" s="2623"/>
      <c r="C96" s="975" t="s">
        <v>506</v>
      </c>
      <c r="D96" s="999"/>
      <c r="E96" s="2228"/>
      <c r="F96" s="1101">
        <f>Dren_Quantificacao!D77</f>
        <v>0</v>
      </c>
      <c r="G96" s="1101">
        <f>Dren_Quantificacao!E77</f>
        <v>0</v>
      </c>
      <c r="H96" s="1101">
        <f>Dren_Quantificacao!F77</f>
        <v>0</v>
      </c>
      <c r="I96" s="1101">
        <f>Dren_Quantificacao!G77</f>
        <v>0</v>
      </c>
      <c r="J96" s="1101">
        <f>Dren_Quantificacao!H77</f>
        <v>0</v>
      </c>
      <c r="K96" s="1101">
        <f>Dren_Quantificacao!I77</f>
        <v>0</v>
      </c>
      <c r="L96" s="1101">
        <f>Dren_Quantificacao!J77</f>
        <v>0</v>
      </c>
      <c r="M96" s="1101">
        <f>Dren_Quantificacao!K77</f>
        <v>0</v>
      </c>
      <c r="N96" s="1101">
        <f>Dren_Quantificacao!L77</f>
        <v>0</v>
      </c>
      <c r="O96" s="1101">
        <f>Dren_Quantificacao!M77</f>
        <v>0</v>
      </c>
      <c r="P96" s="1102"/>
      <c r="Q96" s="1102"/>
      <c r="R96" s="1102"/>
      <c r="S96" s="1102"/>
      <c r="T96" s="1102"/>
      <c r="U96" s="1102"/>
      <c r="V96" s="1102"/>
      <c r="W96" s="1102"/>
      <c r="X96" s="1102"/>
      <c r="Y96" s="1102"/>
      <c r="Z96" s="1102"/>
      <c r="AA96" s="1102"/>
      <c r="AB96" s="1102"/>
      <c r="AC96" s="1102"/>
      <c r="AD96" s="1102"/>
      <c r="AE96" s="1103">
        <f t="shared" si="43"/>
        <v>0</v>
      </c>
      <c r="AF96" s="578">
        <f t="shared" si="38"/>
        <v>0</v>
      </c>
      <c r="AG96" s="1046"/>
      <c r="AH96" s="1037"/>
      <c r="AI96" s="1037"/>
      <c r="AJ96" s="1037"/>
      <c r="AK96" s="1037"/>
      <c r="AL96" s="1037"/>
      <c r="AM96" s="1037"/>
      <c r="AN96" s="1043"/>
      <c r="AO96" s="1044"/>
      <c r="AP96" s="1037"/>
      <c r="AQ96" s="1043"/>
      <c r="AR96" s="1037"/>
      <c r="AS96" s="1037"/>
      <c r="AT96" s="1037"/>
      <c r="AU96" s="1037"/>
      <c r="AV96" s="1037"/>
      <c r="AW96" s="1037"/>
      <c r="AX96" s="1039"/>
      <c r="AY96" s="1037"/>
      <c r="AZ96" s="1037"/>
      <c r="BA96" s="1037"/>
      <c r="BB96" s="1037"/>
      <c r="BC96" s="1037"/>
      <c r="BD96" s="1037"/>
      <c r="BE96" s="1039"/>
      <c r="BF96" s="1039"/>
      <c r="BG96" s="1037"/>
      <c r="BH96" s="1037"/>
      <c r="BI96" s="1037"/>
      <c r="BJ96" s="1037"/>
      <c r="BK96" s="1037"/>
      <c r="BL96" s="1039"/>
      <c r="BM96" s="1040"/>
      <c r="BN96" s="1037"/>
      <c r="BO96" s="972"/>
    </row>
    <row r="97" spans="1:67" s="14" customFormat="1" ht="21.95" hidden="1" customHeight="1" x14ac:dyDescent="0.25">
      <c r="A97" s="2627"/>
      <c r="B97" s="2616" t="s">
        <v>504</v>
      </c>
      <c r="C97" s="551" t="s">
        <v>505</v>
      </c>
      <c r="D97" s="998"/>
      <c r="E97" s="2227"/>
      <c r="F97" s="1098">
        <f>Dren_Quantificacao!D78</f>
        <v>0</v>
      </c>
      <c r="G97" s="1098">
        <f>Dren_Quantificacao!E78</f>
        <v>0</v>
      </c>
      <c r="H97" s="1098">
        <f>Dren_Quantificacao!F78</f>
        <v>0</v>
      </c>
      <c r="I97" s="1098">
        <f>Dren_Quantificacao!G78</f>
        <v>0</v>
      </c>
      <c r="J97" s="1098">
        <f>Dren_Quantificacao!H78</f>
        <v>0</v>
      </c>
      <c r="K97" s="1098">
        <f>Dren_Quantificacao!I78</f>
        <v>0</v>
      </c>
      <c r="L97" s="1098">
        <f>Dren_Quantificacao!J78</f>
        <v>0</v>
      </c>
      <c r="M97" s="1098">
        <f>Dren_Quantificacao!K78</f>
        <v>0</v>
      </c>
      <c r="N97" s="1098">
        <f>Dren_Quantificacao!L78</f>
        <v>0</v>
      </c>
      <c r="O97" s="1098">
        <f>Dren_Quantificacao!M78</f>
        <v>0</v>
      </c>
      <c r="P97" s="1099"/>
      <c r="Q97" s="1099"/>
      <c r="R97" s="1099"/>
      <c r="S97" s="1099"/>
      <c r="T97" s="1099"/>
      <c r="U97" s="1099"/>
      <c r="V97" s="1099"/>
      <c r="W97" s="1099"/>
      <c r="X97" s="1099"/>
      <c r="Y97" s="1099"/>
      <c r="Z97" s="1099"/>
      <c r="AA97" s="1099"/>
      <c r="AB97" s="1099"/>
      <c r="AC97" s="1099"/>
      <c r="AD97" s="1099"/>
      <c r="AE97" s="1100">
        <f t="shared" si="43"/>
        <v>0</v>
      </c>
      <c r="AF97" s="578">
        <f t="shared" si="38"/>
        <v>0</v>
      </c>
      <c r="AG97" s="1046"/>
      <c r="AH97" s="1037"/>
      <c r="AI97" s="1037"/>
      <c r="AJ97" s="1037"/>
      <c r="AK97" s="1037"/>
      <c r="AL97" s="1037"/>
      <c r="AM97" s="1037"/>
      <c r="AN97" s="1037"/>
      <c r="AO97" s="1039"/>
      <c r="AP97" s="1037"/>
      <c r="AQ97" s="1043"/>
      <c r="AR97" s="1037"/>
      <c r="AS97" s="1037"/>
      <c r="AT97" s="1037"/>
      <c r="AU97" s="1037"/>
      <c r="AV97" s="1037"/>
      <c r="AW97" s="1037"/>
      <c r="AX97" s="1039"/>
      <c r="AY97" s="1037"/>
      <c r="AZ97" s="1037"/>
      <c r="BA97" s="1037"/>
      <c r="BB97" s="1037"/>
      <c r="BC97" s="1037"/>
      <c r="BD97" s="1037"/>
      <c r="BE97" s="1039"/>
      <c r="BF97" s="1039"/>
      <c r="BG97" s="1037"/>
      <c r="BH97" s="1037"/>
      <c r="BI97" s="1037"/>
      <c r="BJ97" s="1037"/>
      <c r="BK97" s="1037"/>
      <c r="BL97" s="1039"/>
      <c r="BM97" s="1040"/>
      <c r="BN97" s="1037"/>
      <c r="BO97" s="972"/>
    </row>
    <row r="98" spans="1:67" s="14" customFormat="1" ht="21.95" hidden="1" customHeight="1" thickBot="1" x14ac:dyDescent="0.3">
      <c r="A98" s="2627"/>
      <c r="B98" s="2623"/>
      <c r="C98" s="975" t="s">
        <v>506</v>
      </c>
      <c r="D98" s="999"/>
      <c r="E98" s="2228"/>
      <c r="F98" s="1101">
        <f>Dren_Quantificacao!D79</f>
        <v>0</v>
      </c>
      <c r="G98" s="1101">
        <f>Dren_Quantificacao!E79</f>
        <v>0</v>
      </c>
      <c r="H98" s="1101">
        <f>Dren_Quantificacao!F79</f>
        <v>0</v>
      </c>
      <c r="I98" s="1101">
        <f>Dren_Quantificacao!G79</f>
        <v>0</v>
      </c>
      <c r="J98" s="1101">
        <f>Dren_Quantificacao!H79</f>
        <v>0</v>
      </c>
      <c r="K98" s="1101">
        <f>Dren_Quantificacao!I79</f>
        <v>0</v>
      </c>
      <c r="L98" s="1101">
        <f>Dren_Quantificacao!J79</f>
        <v>0</v>
      </c>
      <c r="M98" s="1101">
        <f>Dren_Quantificacao!K79</f>
        <v>0</v>
      </c>
      <c r="N98" s="1101">
        <f>Dren_Quantificacao!L79</f>
        <v>0</v>
      </c>
      <c r="O98" s="1101">
        <f>Dren_Quantificacao!M79</f>
        <v>0</v>
      </c>
      <c r="P98" s="1102"/>
      <c r="Q98" s="1102"/>
      <c r="R98" s="1102"/>
      <c r="S98" s="1102"/>
      <c r="T98" s="1102"/>
      <c r="U98" s="1102"/>
      <c r="V98" s="1102"/>
      <c r="W98" s="1102"/>
      <c r="X98" s="1102"/>
      <c r="Y98" s="1102"/>
      <c r="Z98" s="1102"/>
      <c r="AA98" s="1102"/>
      <c r="AB98" s="1102"/>
      <c r="AC98" s="1102"/>
      <c r="AD98" s="1102"/>
      <c r="AE98" s="1103">
        <f t="shared" si="43"/>
        <v>0</v>
      </c>
      <c r="AF98" s="578">
        <f t="shared" ref="AF98:AF129" si="49">SUM(F98:AE98)</f>
        <v>0</v>
      </c>
      <c r="AG98" s="1046"/>
      <c r="AH98" s="1037"/>
      <c r="AI98" s="1037"/>
      <c r="AJ98" s="1037"/>
      <c r="AK98" s="1037"/>
      <c r="AL98" s="1037"/>
      <c r="AM98" s="1037"/>
      <c r="AN98" s="1037"/>
      <c r="AO98" s="1039"/>
      <c r="AP98" s="1037"/>
      <c r="AQ98" s="1043"/>
      <c r="AR98" s="1037"/>
      <c r="AS98" s="1037"/>
      <c r="AT98" s="1037"/>
      <c r="AU98" s="1037"/>
      <c r="AV98" s="1037"/>
      <c r="AW98" s="1037"/>
      <c r="AX98" s="1039"/>
      <c r="AY98" s="1037"/>
      <c r="AZ98" s="1037"/>
      <c r="BA98" s="1037"/>
      <c r="BB98" s="1037"/>
      <c r="BC98" s="1037"/>
      <c r="BD98" s="1037"/>
      <c r="BE98" s="1039"/>
      <c r="BF98" s="1039"/>
      <c r="BG98" s="1037"/>
      <c r="BH98" s="1037"/>
      <c r="BI98" s="1037"/>
      <c r="BJ98" s="1037"/>
      <c r="BK98" s="1037"/>
      <c r="BL98" s="1039"/>
      <c r="BM98" s="1040"/>
      <c r="BN98" s="1037"/>
      <c r="BO98" s="972"/>
    </row>
    <row r="99" spans="1:67" s="14" customFormat="1" ht="21.95" customHeight="1" thickBot="1" x14ac:dyDescent="0.2">
      <c r="A99" s="2627"/>
      <c r="B99" s="2622" t="s">
        <v>499</v>
      </c>
      <c r="C99" s="2353" t="s">
        <v>47</v>
      </c>
      <c r="D99" s="998"/>
      <c r="E99" s="2227"/>
      <c r="F99" s="1098">
        <f>Dren_Quantificacao!D80</f>
        <v>1</v>
      </c>
      <c r="G99" s="1098">
        <f>Dren_Quantificacao!E80</f>
        <v>0</v>
      </c>
      <c r="H99" s="1098">
        <f>Dren_Quantificacao!F80</f>
        <v>1</v>
      </c>
      <c r="I99" s="1098">
        <f>Dren_Quantificacao!G80</f>
        <v>0</v>
      </c>
      <c r="J99" s="1098">
        <f>Dren_Quantificacao!H80</f>
        <v>0</v>
      </c>
      <c r="K99" s="1098">
        <f>Dren_Quantificacao!I80</f>
        <v>0</v>
      </c>
      <c r="L99" s="1098">
        <f>Dren_Quantificacao!J80</f>
        <v>0</v>
      </c>
      <c r="M99" s="1098">
        <f>Dren_Quantificacao!K80</f>
        <v>0</v>
      </c>
      <c r="N99" s="1098">
        <f>Dren_Quantificacao!L80</f>
        <v>0</v>
      </c>
      <c r="O99" s="1098">
        <f>Dren_Quantificacao!M80</f>
        <v>0</v>
      </c>
      <c r="P99" s="1099"/>
      <c r="Q99" s="1099"/>
      <c r="R99" s="1099"/>
      <c r="S99" s="1099"/>
      <c r="T99" s="1099"/>
      <c r="U99" s="1099"/>
      <c r="V99" s="1099"/>
      <c r="W99" s="1099"/>
      <c r="X99" s="1099"/>
      <c r="Y99" s="1099"/>
      <c r="Z99" s="1099"/>
      <c r="AA99" s="1099"/>
      <c r="AB99" s="1099"/>
      <c r="AC99" s="1099"/>
      <c r="AD99" s="1099"/>
      <c r="AE99" s="1100">
        <f t="shared" si="43"/>
        <v>2</v>
      </c>
      <c r="AF99" s="578">
        <f t="shared" si="49"/>
        <v>4</v>
      </c>
      <c r="AG99" s="1046">
        <f>+'[1]DR-0205'!$G$44</f>
        <v>2.1521919999999999</v>
      </c>
      <c r="AH99" s="1037"/>
      <c r="AI99" s="1037"/>
      <c r="AJ99" s="1037">
        <f>+'[1]DR-0205'!$G$45</f>
        <v>2.6400639999999997</v>
      </c>
      <c r="AK99" s="1037"/>
      <c r="AL99" s="1037">
        <f>+'[1]DR-0205'!$G$50</f>
        <v>7.68</v>
      </c>
      <c r="AM99" s="1037"/>
      <c r="AN99" s="1037">
        <f>+'[1]DR-0205'!$G$51</f>
        <v>4.7615999999999996</v>
      </c>
      <c r="AO99" s="1039"/>
      <c r="AP99" s="1037">
        <f>+'[1]DR-0205'!$G$44</f>
        <v>2.1521919999999999</v>
      </c>
      <c r="AQ99" s="1037"/>
      <c r="AR99" s="1037"/>
      <c r="AS99" s="1037">
        <f>+'[1]DR-0205'!$G$45</f>
        <v>2.6400639999999997</v>
      </c>
      <c r="AT99" s="1037"/>
      <c r="AU99" s="1037">
        <f>+'[1]DR-0205'!$G$50</f>
        <v>7.68</v>
      </c>
      <c r="AV99" s="1037"/>
      <c r="AW99" s="1037">
        <f>+'[1]DR-0205'!$G$51</f>
        <v>4.7615999999999996</v>
      </c>
      <c r="AX99" s="1039"/>
      <c r="AY99" s="1037">
        <f>+'[1]DR-0205'!$G$44</f>
        <v>2.1521919999999999</v>
      </c>
      <c r="AZ99" s="1037"/>
      <c r="BA99" s="1037"/>
      <c r="BB99" s="1037">
        <f>+'[1]DR-0205'!$G$45</f>
        <v>2.6400639999999997</v>
      </c>
      <c r="BC99" s="1037"/>
      <c r="BD99" s="1037"/>
      <c r="BE99" s="1039">
        <v>0.84099999999999997</v>
      </c>
      <c r="BF99" s="1039">
        <f>+'[1]DR-0205'!$G$52*1.016+'[1]DR-0205'!$G$55+'[1]DR-0205'!$G$56*4.48+'[1]DR-0205'!$G$57</f>
        <v>118.13759820000001</v>
      </c>
      <c r="BG99" s="1037"/>
      <c r="BH99" s="1037">
        <f>+'[1]DR-0205'!$G$54</f>
        <v>20.8</v>
      </c>
      <c r="BI99" s="1037"/>
      <c r="BJ99" s="1037">
        <f>+'[1]DR-0205'!$G$53</f>
        <v>8.3660639999999997</v>
      </c>
      <c r="BK99" s="1037"/>
      <c r="BL99" s="1039"/>
      <c r="BM99" s="1040">
        <f>+'[1]DR-0205'!$G$47+'[1]DR-0205'!$G$48/2+'[1]DR-0205'!$G$49</f>
        <v>70.504729499999996</v>
      </c>
      <c r="BN99" s="1037"/>
      <c r="BO99" s="972"/>
    </row>
    <row r="100" spans="1:67" s="14" customFormat="1" ht="21.95" hidden="1" customHeight="1" x14ac:dyDescent="0.15">
      <c r="A100" s="2627"/>
      <c r="B100" s="2542"/>
      <c r="C100" s="661" t="s">
        <v>1187</v>
      </c>
      <c r="D100" s="1007"/>
      <c r="E100" s="2232"/>
      <c r="F100" s="1104">
        <f>Dren_Quantificacao!D81</f>
        <v>0</v>
      </c>
      <c r="G100" s="1104">
        <f>Dren_Quantificacao!E81</f>
        <v>0</v>
      </c>
      <c r="H100" s="1104">
        <f>Dren_Quantificacao!F81</f>
        <v>0</v>
      </c>
      <c r="I100" s="1104">
        <f>Dren_Quantificacao!G81</f>
        <v>0</v>
      </c>
      <c r="J100" s="1104">
        <f>Dren_Quantificacao!H81</f>
        <v>0</v>
      </c>
      <c r="K100" s="1104">
        <f>Dren_Quantificacao!I81</f>
        <v>0</v>
      </c>
      <c r="L100" s="1104">
        <f>Dren_Quantificacao!J81</f>
        <v>0</v>
      </c>
      <c r="M100" s="1104">
        <f>Dren_Quantificacao!K81</f>
        <v>0</v>
      </c>
      <c r="N100" s="1104">
        <f>Dren_Quantificacao!L81</f>
        <v>0</v>
      </c>
      <c r="O100" s="1104">
        <f>Dren_Quantificacao!M81</f>
        <v>0</v>
      </c>
      <c r="P100" s="1105"/>
      <c r="Q100" s="1105"/>
      <c r="R100" s="1105"/>
      <c r="S100" s="1105"/>
      <c r="T100" s="1105"/>
      <c r="U100" s="1105"/>
      <c r="V100" s="1105"/>
      <c r="W100" s="1105"/>
      <c r="X100" s="1105"/>
      <c r="Y100" s="1105"/>
      <c r="Z100" s="1105"/>
      <c r="AA100" s="1105"/>
      <c r="AB100" s="1105"/>
      <c r="AC100" s="1105"/>
      <c r="AD100" s="1105"/>
      <c r="AE100" s="1106">
        <f t="shared" si="43"/>
        <v>0</v>
      </c>
      <c r="AF100" s="578">
        <f t="shared" si="49"/>
        <v>0</v>
      </c>
      <c r="AG100" s="1046">
        <f>+'[1]DR-0210'!$G$44</f>
        <v>3.6748639999999999</v>
      </c>
      <c r="AH100" s="1037"/>
      <c r="AI100" s="1037"/>
      <c r="AJ100" s="1037">
        <f>+'[1]DR-0210'!$G$45</f>
        <v>280</v>
      </c>
      <c r="AK100" s="1037"/>
      <c r="AL100" s="1037">
        <f>+'[1]DR-0210'!$G$50</f>
        <v>6.7055999999999996</v>
      </c>
      <c r="AM100" s="1037"/>
      <c r="AN100" s="1037">
        <f>+'[1]DR-0210'!$G$51</f>
        <v>3.3372000000000002</v>
      </c>
      <c r="AO100" s="1039"/>
      <c r="AP100" s="1037">
        <f>+'[1]DR-0210'!$G$44</f>
        <v>3.6748639999999999</v>
      </c>
      <c r="AQ100" s="1037"/>
      <c r="AR100" s="1037"/>
      <c r="AS100" s="1037">
        <f>+'[1]DR-0210'!$G$45</f>
        <v>280</v>
      </c>
      <c r="AT100" s="1037"/>
      <c r="AU100" s="1037">
        <f>+'[1]DR-0210'!$G$50</f>
        <v>6.7055999999999996</v>
      </c>
      <c r="AV100" s="1037"/>
      <c r="AW100" s="1037">
        <f>+'[1]DR-0210'!$G$51</f>
        <v>3.3372000000000002</v>
      </c>
      <c r="AX100" s="1039"/>
      <c r="AY100" s="1037">
        <f>+'[1]DR-0210'!$G$44</f>
        <v>3.6748639999999999</v>
      </c>
      <c r="AZ100" s="1037"/>
      <c r="BA100" s="1037"/>
      <c r="BB100" s="1037">
        <f>+'[1]DR-0210'!$G$45</f>
        <v>280</v>
      </c>
      <c r="BC100" s="1037"/>
      <c r="BD100" s="1037"/>
      <c r="BE100" s="1039">
        <v>0.84099999999999997</v>
      </c>
      <c r="BF100" s="1039">
        <f>+'[1]DR-0210'!$G$52*1.016+'[1]DR-0210'!$G$55+'[1]DR-0210'!$G$56*4.48+'[1]DR-0210'!$G$57</f>
        <v>152.123746568</v>
      </c>
      <c r="BG100" s="1037"/>
      <c r="BH100" s="1037">
        <f>+'[1]DR-0210'!$G$54</f>
        <v>22</v>
      </c>
      <c r="BI100" s="1037"/>
      <c r="BJ100" s="1037">
        <f>+'[1]DR-0210'!$G$53</f>
        <v>27.3</v>
      </c>
      <c r="BK100" s="1037"/>
      <c r="BL100" s="1039"/>
      <c r="BM100" s="1040">
        <f>+'[1]DR-0210'!$G$47+'[1]DR-0210'!$G$48/2+'[1]DR-0210'!$G$49</f>
        <v>29.104584000000003</v>
      </c>
      <c r="BN100" s="1037"/>
      <c r="BO100" s="972"/>
    </row>
    <row r="101" spans="1:67" s="14" customFormat="1" ht="21.95" hidden="1" customHeight="1" x14ac:dyDescent="0.15">
      <c r="A101" s="2627"/>
      <c r="B101" s="2542"/>
      <c r="C101" s="1857" t="s">
        <v>1188</v>
      </c>
      <c r="D101" s="1007"/>
      <c r="E101" s="2232"/>
      <c r="F101" s="1107">
        <f>Dren_Quantificacao!D82</f>
        <v>0</v>
      </c>
      <c r="G101" s="1107">
        <f>Dren_Quantificacao!E82</f>
        <v>0</v>
      </c>
      <c r="H101" s="1107">
        <f>Dren_Quantificacao!F82</f>
        <v>0</v>
      </c>
      <c r="I101" s="1107">
        <f>Dren_Quantificacao!G82</f>
        <v>0</v>
      </c>
      <c r="J101" s="1107">
        <f>Dren_Quantificacao!H82</f>
        <v>0</v>
      </c>
      <c r="K101" s="1107">
        <f>Dren_Quantificacao!I82</f>
        <v>0</v>
      </c>
      <c r="L101" s="1107">
        <f>Dren_Quantificacao!J82</f>
        <v>0</v>
      </c>
      <c r="M101" s="1107">
        <f>Dren_Quantificacao!K82</f>
        <v>0</v>
      </c>
      <c r="N101" s="1107">
        <f>Dren_Quantificacao!L82</f>
        <v>0</v>
      </c>
      <c r="O101" s="1107">
        <f>Dren_Quantificacao!M82</f>
        <v>0</v>
      </c>
      <c r="P101" s="1105"/>
      <c r="Q101" s="1105"/>
      <c r="R101" s="1105"/>
      <c r="S101" s="1105"/>
      <c r="T101" s="1105"/>
      <c r="U101" s="1105"/>
      <c r="V101" s="1105"/>
      <c r="W101" s="1105"/>
      <c r="X101" s="1105"/>
      <c r="Y101" s="1105"/>
      <c r="Z101" s="1105"/>
      <c r="AA101" s="1105"/>
      <c r="AB101" s="1105"/>
      <c r="AC101" s="1105"/>
      <c r="AD101" s="1105"/>
      <c r="AE101" s="1109">
        <f t="shared" si="43"/>
        <v>0</v>
      </c>
      <c r="AF101" s="578">
        <f t="shared" si="49"/>
        <v>0</v>
      </c>
      <c r="AG101" s="1046">
        <f>+'[1]DR-0215'!$G$44</f>
        <v>0.79379999999999995</v>
      </c>
      <c r="AH101" s="1037"/>
      <c r="AI101" s="1037"/>
      <c r="AJ101" s="1037">
        <f>+'[1]DR-0215'!$G$45</f>
        <v>3.5358399999999999</v>
      </c>
      <c r="AK101" s="1037"/>
      <c r="AL101" s="1037">
        <f>+'[1]DR-0215'!$G$50</f>
        <v>0.94334200000000001</v>
      </c>
      <c r="AM101" s="1037"/>
      <c r="AN101" s="1037">
        <f>+'[1]DR-0215'!$G$51</f>
        <v>24.024000000000001</v>
      </c>
      <c r="AO101" s="1039"/>
      <c r="AP101" s="1037">
        <f>+'[1]DR-0215'!$G$44</f>
        <v>0.79379999999999995</v>
      </c>
      <c r="AQ101" s="1037"/>
      <c r="AR101" s="1037"/>
      <c r="AS101" s="1037">
        <f>+'[1]DR-0215'!$G$45</f>
        <v>3.5358399999999999</v>
      </c>
      <c r="AT101" s="1037"/>
      <c r="AU101" s="1037">
        <f>+'[1]DR-0215'!$G$50</f>
        <v>0.94334200000000001</v>
      </c>
      <c r="AV101" s="1037"/>
      <c r="AW101" s="1037">
        <f>+'[1]DR-0215'!$G$51</f>
        <v>24.024000000000001</v>
      </c>
      <c r="AX101" s="1039"/>
      <c r="AY101" s="1037">
        <f>+'[1]DR-0215'!$G$44</f>
        <v>0.79379999999999995</v>
      </c>
      <c r="AZ101" s="1037"/>
      <c r="BA101" s="1037"/>
      <c r="BB101" s="1037">
        <f>+'[1]DR-0215'!$G$45</f>
        <v>3.5358399999999999</v>
      </c>
      <c r="BC101" s="1037"/>
      <c r="BD101" s="1037"/>
      <c r="BE101" s="1039">
        <v>0.84099999999999997</v>
      </c>
      <c r="BF101" s="1039">
        <f>+'[1]DR-0215'!$G$52*1.016+'[1]DR-0215'!$G$55+'[1]DR-0215'!$G$56*4.48+'[1]DR-0215'!$G$57</f>
        <v>200.24268200000003</v>
      </c>
      <c r="BG101" s="1037"/>
      <c r="BH101" s="1037">
        <f>+'[1]DR-0215'!$G$54</f>
        <v>3.726</v>
      </c>
      <c r="BI101" s="1037"/>
      <c r="BJ101" s="1037">
        <f>+'[1]DR-0215'!$G$53</f>
        <v>8.3544</v>
      </c>
      <c r="BK101" s="1037"/>
      <c r="BL101" s="1039"/>
      <c r="BM101" s="1040">
        <f>+'[1]DR-0215'!$G$47+'[1]DR-0215'!$G$48/2+'[1]DR-0215'!$G$49</f>
        <v>435.65015999999997</v>
      </c>
      <c r="BN101" s="1037"/>
      <c r="BO101" s="972"/>
    </row>
    <row r="102" spans="1:67" s="14" customFormat="1" ht="21.95" hidden="1" customHeight="1" x14ac:dyDescent="0.15">
      <c r="A102" s="2627"/>
      <c r="B102" s="2542"/>
      <c r="C102" s="971" t="s">
        <v>48</v>
      </c>
      <c r="D102" s="1007"/>
      <c r="E102" s="2232"/>
      <c r="F102" s="1104">
        <f>Dren_Quantificacao!D83</f>
        <v>0</v>
      </c>
      <c r="G102" s="1104">
        <f>Dren_Quantificacao!E83</f>
        <v>0</v>
      </c>
      <c r="H102" s="1104">
        <f>Dren_Quantificacao!F83</f>
        <v>0</v>
      </c>
      <c r="I102" s="1104">
        <f>Dren_Quantificacao!G83</f>
        <v>0</v>
      </c>
      <c r="J102" s="1104">
        <f>Dren_Quantificacao!H83</f>
        <v>0</v>
      </c>
      <c r="K102" s="1104">
        <f>Dren_Quantificacao!I83</f>
        <v>0</v>
      </c>
      <c r="L102" s="1104">
        <f>Dren_Quantificacao!J83</f>
        <v>0</v>
      </c>
      <c r="M102" s="1104">
        <f>Dren_Quantificacao!K83</f>
        <v>0</v>
      </c>
      <c r="N102" s="1104">
        <f>Dren_Quantificacao!L83</f>
        <v>0</v>
      </c>
      <c r="O102" s="1104">
        <f>Dren_Quantificacao!M83</f>
        <v>0</v>
      </c>
      <c r="P102" s="1297"/>
      <c r="Q102" s="1297"/>
      <c r="R102" s="1297"/>
      <c r="S102" s="1297"/>
      <c r="T102" s="1297"/>
      <c r="U102" s="1297"/>
      <c r="V102" s="1297"/>
      <c r="W102" s="1297"/>
      <c r="X102" s="1297"/>
      <c r="Y102" s="1297"/>
      <c r="Z102" s="1297"/>
      <c r="AA102" s="1297"/>
      <c r="AB102" s="1297"/>
      <c r="AC102" s="1297"/>
      <c r="AD102" s="1297"/>
      <c r="AE102" s="2312">
        <f t="shared" si="43"/>
        <v>0</v>
      </c>
      <c r="AF102" s="578">
        <f t="shared" si="49"/>
        <v>0</v>
      </c>
      <c r="AG102" s="1046"/>
      <c r="AH102" s="1037"/>
      <c r="AI102" s="1037"/>
      <c r="AJ102" s="1037"/>
      <c r="AK102" s="1037"/>
      <c r="AL102" s="1037"/>
      <c r="AM102" s="1037"/>
      <c r="AN102" s="1037"/>
      <c r="AO102" s="1039"/>
      <c r="AP102" s="1037"/>
      <c r="AQ102" s="1037"/>
      <c r="AR102" s="1037"/>
      <c r="AS102" s="1037"/>
      <c r="AT102" s="1037"/>
      <c r="AU102" s="1037"/>
      <c r="AV102" s="1037"/>
      <c r="AW102" s="1037"/>
      <c r="AX102" s="1039"/>
      <c r="AY102" s="1037"/>
      <c r="AZ102" s="1037"/>
      <c r="BA102" s="1037"/>
      <c r="BB102" s="1037"/>
      <c r="BC102" s="1037"/>
      <c r="BD102" s="1037"/>
      <c r="BE102" s="1039"/>
      <c r="BF102" s="1039"/>
      <c r="BG102" s="1037"/>
      <c r="BH102" s="1037"/>
      <c r="BI102" s="1037"/>
      <c r="BJ102" s="1037"/>
      <c r="BK102" s="1037"/>
      <c r="BL102" s="1039"/>
      <c r="BM102" s="1040"/>
      <c r="BN102" s="1037"/>
      <c r="BO102" s="972"/>
    </row>
    <row r="103" spans="1:67" s="14" customFormat="1" ht="21.95" hidden="1" customHeight="1" thickBot="1" x14ac:dyDescent="0.2">
      <c r="A103" s="2627"/>
      <c r="B103" s="2542"/>
      <c r="C103" s="971" t="s">
        <v>468</v>
      </c>
      <c r="D103" s="1008"/>
      <c r="E103" s="2243"/>
      <c r="F103" s="1107">
        <f>Dren_Quantificacao!D84</f>
        <v>0</v>
      </c>
      <c r="G103" s="1107">
        <f>Dren_Quantificacao!E84</f>
        <v>0</v>
      </c>
      <c r="H103" s="1107">
        <f>Dren_Quantificacao!F84</f>
        <v>0</v>
      </c>
      <c r="I103" s="1107">
        <f>Dren_Quantificacao!G84</f>
        <v>0</v>
      </c>
      <c r="J103" s="1107">
        <f>Dren_Quantificacao!H84</f>
        <v>0</v>
      </c>
      <c r="K103" s="1107">
        <f>Dren_Quantificacao!I84</f>
        <v>0</v>
      </c>
      <c r="L103" s="1107">
        <f>Dren_Quantificacao!J84</f>
        <v>0</v>
      </c>
      <c r="M103" s="1107">
        <f>Dren_Quantificacao!K84</f>
        <v>0</v>
      </c>
      <c r="N103" s="1107">
        <f>Dren_Quantificacao!L84</f>
        <v>0</v>
      </c>
      <c r="O103" s="1107">
        <f>Dren_Quantificacao!M84</f>
        <v>0</v>
      </c>
      <c r="P103" s="1108"/>
      <c r="Q103" s="1108"/>
      <c r="R103" s="1108"/>
      <c r="S103" s="1108"/>
      <c r="T103" s="1108"/>
      <c r="U103" s="1108"/>
      <c r="V103" s="1108"/>
      <c r="W103" s="1108"/>
      <c r="X103" s="1108"/>
      <c r="Y103" s="1108"/>
      <c r="Z103" s="1108"/>
      <c r="AA103" s="1108"/>
      <c r="AB103" s="1108"/>
      <c r="AC103" s="1108"/>
      <c r="AD103" s="1108"/>
      <c r="AE103" s="1109">
        <f t="shared" si="43"/>
        <v>0</v>
      </c>
      <c r="AF103" s="578">
        <f t="shared" si="49"/>
        <v>0</v>
      </c>
      <c r="AG103" s="1046"/>
      <c r="AH103" s="1037"/>
      <c r="AI103" s="1037"/>
      <c r="AJ103" s="1037"/>
      <c r="AK103" s="1037"/>
      <c r="AL103" s="1037"/>
      <c r="AM103" s="1037"/>
      <c r="AN103" s="1037"/>
      <c r="AO103" s="1039"/>
      <c r="AP103" s="1037"/>
      <c r="AQ103" s="1037"/>
      <c r="AR103" s="1037"/>
      <c r="AS103" s="1037"/>
      <c r="AT103" s="1037"/>
      <c r="AU103" s="1037"/>
      <c r="AV103" s="1037"/>
      <c r="AW103" s="1037"/>
      <c r="AX103" s="1039"/>
      <c r="AY103" s="1037"/>
      <c r="AZ103" s="1037"/>
      <c r="BA103" s="1037"/>
      <c r="BB103" s="1037"/>
      <c r="BC103" s="1037"/>
      <c r="BD103" s="1037"/>
      <c r="BE103" s="1039"/>
      <c r="BF103" s="1039"/>
      <c r="BG103" s="1037"/>
      <c r="BH103" s="1037"/>
      <c r="BI103" s="1037"/>
      <c r="BJ103" s="1037"/>
      <c r="BK103" s="1037"/>
      <c r="BL103" s="1039"/>
      <c r="BM103" s="1040"/>
      <c r="BN103" s="1037"/>
      <c r="BO103" s="972"/>
    </row>
    <row r="104" spans="1:67" s="14" customFormat="1" ht="21.95" hidden="1" customHeight="1" x14ac:dyDescent="0.15">
      <c r="A104" s="2627"/>
      <c r="B104" s="2394"/>
      <c r="C104" s="551" t="s">
        <v>635</v>
      </c>
      <c r="D104" s="998"/>
      <c r="E104" s="2227"/>
      <c r="F104" s="1098">
        <f>Dren_Quantificacao!D54</f>
        <v>0</v>
      </c>
      <c r="G104" s="1098">
        <f>Dren_Quantificacao!E54</f>
        <v>0</v>
      </c>
      <c r="H104" s="1098">
        <f>Dren_Quantificacao!F54</f>
        <v>0</v>
      </c>
      <c r="I104" s="1098">
        <f>Dren_Quantificacao!G54</f>
        <v>0</v>
      </c>
      <c r="J104" s="1098">
        <f>Dren_Quantificacao!H54</f>
        <v>0</v>
      </c>
      <c r="K104" s="1098">
        <f>Dren_Quantificacao!I54</f>
        <v>0</v>
      </c>
      <c r="L104" s="1098">
        <f>Dren_Quantificacao!J54</f>
        <v>0</v>
      </c>
      <c r="M104" s="1098">
        <f>Dren_Quantificacao!K54</f>
        <v>0</v>
      </c>
      <c r="N104" s="1098">
        <f>Dren_Quantificacao!L54</f>
        <v>0</v>
      </c>
      <c r="O104" s="1098">
        <f>Dren_Quantificacao!M54</f>
        <v>0</v>
      </c>
      <c r="P104" s="1099"/>
      <c r="Q104" s="1099"/>
      <c r="R104" s="1099"/>
      <c r="S104" s="1099"/>
      <c r="T104" s="1099"/>
      <c r="U104" s="1099"/>
      <c r="V104" s="1099"/>
      <c r="W104" s="1099"/>
      <c r="X104" s="1099"/>
      <c r="Y104" s="1099"/>
      <c r="Z104" s="1099"/>
      <c r="AA104" s="1099"/>
      <c r="AB104" s="1099"/>
      <c r="AC104" s="1099"/>
      <c r="AD104" s="1099"/>
      <c r="AE104" s="1100">
        <f t="shared" si="43"/>
        <v>0</v>
      </c>
      <c r="AF104" s="578">
        <f t="shared" si="49"/>
        <v>0</v>
      </c>
      <c r="AG104" s="1046"/>
      <c r="AH104" s="1037"/>
      <c r="AI104" s="1037"/>
      <c r="AJ104" s="1037">
        <f>+'[1]DR-0250'!$G$46</f>
        <v>0.67500000000000004</v>
      </c>
      <c r="AK104" s="1037"/>
      <c r="AL104" s="1037"/>
      <c r="AM104" s="1037"/>
      <c r="AN104" s="1037"/>
      <c r="AO104" s="1039"/>
      <c r="AP104" s="1037"/>
      <c r="AQ104" s="1037"/>
      <c r="AR104" s="1037"/>
      <c r="AS104" s="1037">
        <f>+'[1]DR-0250'!$G$46</f>
        <v>0.67500000000000004</v>
      </c>
      <c r="AT104" s="1037"/>
      <c r="AU104" s="1037"/>
      <c r="AV104" s="1037"/>
      <c r="AW104" s="1037"/>
      <c r="AX104" s="1039"/>
      <c r="AY104" s="1037"/>
      <c r="AZ104" s="1037"/>
      <c r="BA104" s="1037"/>
      <c r="BB104" s="1037">
        <f>+'[1]DR-0250'!$G$46</f>
        <v>0.67500000000000004</v>
      </c>
      <c r="BC104" s="1037"/>
      <c r="BD104" s="1037"/>
      <c r="BE104" s="1039"/>
      <c r="BF104" s="1039">
        <f>+'[1]DR-0250'!$G$45</f>
        <v>0.67500000000000004</v>
      </c>
      <c r="BG104" s="1037"/>
      <c r="BH104" s="1037"/>
      <c r="BI104" s="1037">
        <f>+'[1]DR-0250'!$G$44</f>
        <v>10.59</v>
      </c>
      <c r="BJ104" s="1037"/>
      <c r="BK104" s="1037"/>
      <c r="BL104" s="1039"/>
      <c r="BM104" s="1040"/>
      <c r="BN104" s="1037"/>
      <c r="BO104" s="972"/>
    </row>
    <row r="105" spans="1:67" s="14" customFormat="1" ht="21.95" hidden="1" customHeight="1" x14ac:dyDescent="0.15">
      <c r="A105" s="2627"/>
      <c r="B105" s="2395"/>
      <c r="C105" s="661" t="s">
        <v>636</v>
      </c>
      <c r="D105" s="1007"/>
      <c r="E105" s="2232"/>
      <c r="F105" s="1104">
        <f>Dren_Quantificacao!D55</f>
        <v>0</v>
      </c>
      <c r="G105" s="1104">
        <f>Dren_Quantificacao!E55</f>
        <v>0</v>
      </c>
      <c r="H105" s="1104">
        <f>Dren_Quantificacao!F55</f>
        <v>0</v>
      </c>
      <c r="I105" s="1104">
        <f>Dren_Quantificacao!G55</f>
        <v>0</v>
      </c>
      <c r="J105" s="1104">
        <f>Dren_Quantificacao!H55</f>
        <v>0</v>
      </c>
      <c r="K105" s="1104">
        <f>Dren_Quantificacao!I55</f>
        <v>0</v>
      </c>
      <c r="L105" s="1104">
        <f>Dren_Quantificacao!J55</f>
        <v>0</v>
      </c>
      <c r="M105" s="1104">
        <f>Dren_Quantificacao!K55</f>
        <v>0</v>
      </c>
      <c r="N105" s="1104">
        <f>Dren_Quantificacao!L55</f>
        <v>0</v>
      </c>
      <c r="O105" s="1104">
        <f>Dren_Quantificacao!M55</f>
        <v>0</v>
      </c>
      <c r="P105" s="1105"/>
      <c r="Q105" s="1105"/>
      <c r="R105" s="1105"/>
      <c r="S105" s="1105"/>
      <c r="T105" s="1105"/>
      <c r="U105" s="1105"/>
      <c r="V105" s="1105"/>
      <c r="W105" s="1105"/>
      <c r="X105" s="1105"/>
      <c r="Y105" s="1105"/>
      <c r="Z105" s="1105"/>
      <c r="AA105" s="1105"/>
      <c r="AB105" s="1105"/>
      <c r="AC105" s="1105"/>
      <c r="AD105" s="1105"/>
      <c r="AE105" s="1106">
        <f t="shared" si="43"/>
        <v>0</v>
      </c>
      <c r="AF105" s="578">
        <f t="shared" si="49"/>
        <v>0</v>
      </c>
      <c r="AG105" s="1046"/>
      <c r="AH105" s="1037"/>
      <c r="AI105" s="1037"/>
      <c r="AJ105" s="1037">
        <f>+'[1]DR-0255'!$G$46</f>
        <v>24.83</v>
      </c>
      <c r="AK105" s="1037"/>
      <c r="AL105" s="1037"/>
      <c r="AM105" s="1037"/>
      <c r="AN105" s="1037"/>
      <c r="AO105" s="1039"/>
      <c r="AP105" s="1037"/>
      <c r="AQ105" s="1037"/>
      <c r="AR105" s="1037"/>
      <c r="AS105" s="1037">
        <f>+'[1]DR-0255'!$G$46</f>
        <v>24.83</v>
      </c>
      <c r="AT105" s="1037"/>
      <c r="AU105" s="1037"/>
      <c r="AV105" s="1037"/>
      <c r="AW105" s="1037"/>
      <c r="AX105" s="1039"/>
      <c r="AY105" s="1037"/>
      <c r="AZ105" s="1037"/>
      <c r="BA105" s="1037"/>
      <c r="BB105" s="1037">
        <f>+'[1]DR-0255'!$G$46</f>
        <v>24.83</v>
      </c>
      <c r="BC105" s="1037"/>
      <c r="BD105" s="1037"/>
      <c r="BE105" s="1039"/>
      <c r="BF105" s="1039">
        <f>+'[1]DR-0255'!$G$45</f>
        <v>1.48</v>
      </c>
      <c r="BG105" s="1037"/>
      <c r="BH105" s="1037"/>
      <c r="BI105" s="1037">
        <f>+'[1]DR-0255'!$G$44</f>
        <v>0.96</v>
      </c>
      <c r="BJ105" s="1037"/>
      <c r="BK105" s="1037"/>
      <c r="BL105" s="1039"/>
      <c r="BM105" s="1040"/>
      <c r="BN105" s="1037"/>
      <c r="BO105" s="972"/>
    </row>
    <row r="106" spans="1:67" s="14" customFormat="1" ht="21.95" hidden="1" customHeight="1" thickBot="1" x14ac:dyDescent="0.2">
      <c r="A106" s="2627"/>
      <c r="B106" s="2395"/>
      <c r="C106" s="2264" t="s">
        <v>637</v>
      </c>
      <c r="D106" s="1007"/>
      <c r="E106" s="2232"/>
      <c r="F106" s="1104">
        <f>Dren_Quantificacao!D56</f>
        <v>0</v>
      </c>
      <c r="G106" s="1104">
        <f>Dren_Quantificacao!E56</f>
        <v>0</v>
      </c>
      <c r="H106" s="1104">
        <f>Dren_Quantificacao!F56</f>
        <v>0</v>
      </c>
      <c r="I106" s="1104">
        <f>Dren_Quantificacao!G56</f>
        <v>0</v>
      </c>
      <c r="J106" s="1104">
        <f>Dren_Quantificacao!H56</f>
        <v>0</v>
      </c>
      <c r="K106" s="1104">
        <f>Dren_Quantificacao!I56</f>
        <v>0</v>
      </c>
      <c r="L106" s="1104">
        <f>Dren_Quantificacao!J56</f>
        <v>0</v>
      </c>
      <c r="M106" s="1104">
        <f>Dren_Quantificacao!K56</f>
        <v>0</v>
      </c>
      <c r="N106" s="1104">
        <f>Dren_Quantificacao!L56</f>
        <v>0</v>
      </c>
      <c r="O106" s="1104">
        <f>Dren_Quantificacao!M56</f>
        <v>0</v>
      </c>
      <c r="P106" s="1105"/>
      <c r="Q106" s="1105"/>
      <c r="R106" s="1105"/>
      <c r="S106" s="1105"/>
      <c r="T106" s="1105"/>
      <c r="U106" s="1105"/>
      <c r="V106" s="1105"/>
      <c r="W106" s="1105"/>
      <c r="X106" s="1105"/>
      <c r="Y106" s="1105"/>
      <c r="Z106" s="1105"/>
      <c r="AA106" s="1105"/>
      <c r="AB106" s="1105"/>
      <c r="AC106" s="1105"/>
      <c r="AD106" s="1105"/>
      <c r="AE106" s="1106">
        <f t="shared" si="43"/>
        <v>0</v>
      </c>
      <c r="AF106" s="578">
        <f t="shared" si="49"/>
        <v>0</v>
      </c>
      <c r="AG106" s="1046"/>
      <c r="AH106" s="1037"/>
      <c r="AI106" s="1037"/>
      <c r="AJ106" s="1037">
        <f>+'[1]DR-0260'!$G$46</f>
        <v>39.07</v>
      </c>
      <c r="AK106" s="1037"/>
      <c r="AL106" s="1037"/>
      <c r="AM106" s="1037"/>
      <c r="AN106" s="1037"/>
      <c r="AO106" s="1039"/>
      <c r="AP106" s="1037"/>
      <c r="AQ106" s="1037"/>
      <c r="AR106" s="1037"/>
      <c r="AS106" s="1037">
        <f>+'[1]DR-0260'!$G$46</f>
        <v>39.07</v>
      </c>
      <c r="AT106" s="1037"/>
      <c r="AU106" s="1037"/>
      <c r="AV106" s="1037"/>
      <c r="AW106" s="1037"/>
      <c r="AX106" s="1039"/>
      <c r="AY106" s="1037"/>
      <c r="AZ106" s="1037"/>
      <c r="BA106" s="1037"/>
      <c r="BB106" s="1037">
        <f>+'[1]DR-0260'!$G$46</f>
        <v>39.07</v>
      </c>
      <c r="BC106" s="1037"/>
      <c r="BD106" s="1037"/>
      <c r="BE106" s="1039"/>
      <c r="BF106" s="1039">
        <f>+'[1]DR-0260'!$G$45</f>
        <v>2.96</v>
      </c>
      <c r="BG106" s="1037"/>
      <c r="BH106" s="1037"/>
      <c r="BI106" s="1037">
        <f>+'[1]DR-0260'!$G$44</f>
        <v>1.92</v>
      </c>
      <c r="BJ106" s="1037"/>
      <c r="BK106" s="1037"/>
      <c r="BL106" s="1039"/>
      <c r="BM106" s="1040"/>
      <c r="BN106" s="1037"/>
      <c r="BO106" s="972"/>
    </row>
    <row r="107" spans="1:67" s="14" customFormat="1" ht="21.95" customHeight="1" x14ac:dyDescent="0.15">
      <c r="A107" s="2627"/>
      <c r="B107" s="2616" t="s">
        <v>500</v>
      </c>
      <c r="C107" s="551" t="s">
        <v>638</v>
      </c>
      <c r="D107" s="2351"/>
      <c r="E107" s="2352"/>
      <c r="F107" s="1098">
        <f>Dren_Quantificacao!D57</f>
        <v>0</v>
      </c>
      <c r="G107" s="1098">
        <f>Dren_Quantificacao!E57</f>
        <v>2</v>
      </c>
      <c r="H107" s="1098">
        <f>Dren_Quantificacao!F57</f>
        <v>3</v>
      </c>
      <c r="I107" s="1098">
        <f>Dren_Quantificacao!G57</f>
        <v>1</v>
      </c>
      <c r="J107" s="1098">
        <f>Dren_Quantificacao!H57</f>
        <v>1</v>
      </c>
      <c r="K107" s="1098">
        <f>Dren_Quantificacao!I57</f>
        <v>1</v>
      </c>
      <c r="L107" s="1098">
        <f>Dren_Quantificacao!J57</f>
        <v>0</v>
      </c>
      <c r="M107" s="1098">
        <f>Dren_Quantificacao!K57</f>
        <v>2</v>
      </c>
      <c r="N107" s="1098">
        <f>Dren_Quantificacao!L57</f>
        <v>4</v>
      </c>
      <c r="O107" s="1098">
        <f>Dren_Quantificacao!M57</f>
        <v>1</v>
      </c>
      <c r="P107" s="1297"/>
      <c r="Q107" s="1099"/>
      <c r="R107" s="1297"/>
      <c r="S107" s="1099"/>
      <c r="T107" s="1297"/>
      <c r="U107" s="1297"/>
      <c r="V107" s="1297"/>
      <c r="W107" s="1297"/>
      <c r="X107" s="1297"/>
      <c r="Y107" s="1297"/>
      <c r="Z107" s="1297"/>
      <c r="AA107" s="1297"/>
      <c r="AB107" s="1297"/>
      <c r="AC107" s="1297"/>
      <c r="AD107" s="1297"/>
      <c r="AE107" s="1100">
        <f t="shared" ref="AE107:AE138" si="50">ROUND(SUM(F107:AD107),2)</f>
        <v>15</v>
      </c>
      <c r="AF107" s="578">
        <f t="shared" si="49"/>
        <v>30</v>
      </c>
      <c r="AG107" s="1046"/>
      <c r="AH107" s="1037"/>
      <c r="AI107" s="1037"/>
      <c r="AJ107" s="1037">
        <f>+'[1]DR-0265'!$G$47</f>
        <v>0.72899999999999998</v>
      </c>
      <c r="AK107" s="1037"/>
      <c r="AL107" s="1037"/>
      <c r="AM107" s="1037"/>
      <c r="AN107" s="1037"/>
      <c r="AO107" s="1039"/>
      <c r="AP107" s="1037"/>
      <c r="AQ107" s="1037"/>
      <c r="AR107" s="1037"/>
      <c r="AS107" s="1037">
        <f>+'[1]DR-0265'!$G$47</f>
        <v>0.72899999999999998</v>
      </c>
      <c r="AT107" s="1037"/>
      <c r="AU107" s="1037"/>
      <c r="AV107" s="1037"/>
      <c r="AW107" s="1037"/>
      <c r="AX107" s="1039"/>
      <c r="AY107" s="1037"/>
      <c r="AZ107" s="1037"/>
      <c r="BA107" s="1037"/>
      <c r="BB107" s="1037">
        <f>+'[1]DR-0265'!$G$47</f>
        <v>0.72899999999999998</v>
      </c>
      <c r="BC107" s="1037"/>
      <c r="BD107" s="1037"/>
      <c r="BE107" s="1039"/>
      <c r="BF107" s="1039">
        <f>+'[1]DR-0265'!$G$46+'[1]DR-0265'!$G$45</f>
        <v>5.2290000000000001</v>
      </c>
      <c r="BG107" s="1037"/>
      <c r="BH107" s="1037"/>
      <c r="BI107" s="1037">
        <f>+'[1]DR-0265'!$G$44</f>
        <v>0.92</v>
      </c>
      <c r="BJ107" s="1037"/>
      <c r="BK107" s="1037"/>
      <c r="BL107" s="1039"/>
      <c r="BM107" s="1040"/>
      <c r="BN107" s="1037"/>
      <c r="BO107" s="972"/>
    </row>
    <row r="108" spans="1:67" s="14" customFormat="1" ht="21.95" hidden="1" customHeight="1" x14ac:dyDescent="0.15">
      <c r="A108" s="2627"/>
      <c r="B108" s="2542"/>
      <c r="C108" s="661" t="s">
        <v>639</v>
      </c>
      <c r="D108" s="1007"/>
      <c r="E108" s="2232"/>
      <c r="F108" s="1104">
        <f>Dren_Quantificacao!D58</f>
        <v>0</v>
      </c>
      <c r="G108" s="1104">
        <f>Dren_Quantificacao!E58</f>
        <v>0</v>
      </c>
      <c r="H108" s="1104">
        <f>Dren_Quantificacao!F58</f>
        <v>0</v>
      </c>
      <c r="I108" s="1104">
        <f>Dren_Quantificacao!G58</f>
        <v>0</v>
      </c>
      <c r="J108" s="1104">
        <f>Dren_Quantificacao!H58</f>
        <v>0</v>
      </c>
      <c r="K108" s="1104">
        <f>Dren_Quantificacao!I58</f>
        <v>0</v>
      </c>
      <c r="L108" s="1104">
        <f>Dren_Quantificacao!J58</f>
        <v>0</v>
      </c>
      <c r="M108" s="1104">
        <f>Dren_Quantificacao!K58</f>
        <v>0</v>
      </c>
      <c r="N108" s="1104">
        <f>Dren_Quantificacao!L58</f>
        <v>0</v>
      </c>
      <c r="O108" s="1104">
        <f>Dren_Quantificacao!M58</f>
        <v>0</v>
      </c>
      <c r="P108" s="1105"/>
      <c r="Q108" s="1105"/>
      <c r="R108" s="1105"/>
      <c r="S108" s="1105"/>
      <c r="T108" s="1105"/>
      <c r="U108" s="1105"/>
      <c r="V108" s="1105"/>
      <c r="W108" s="1105"/>
      <c r="X108" s="1105"/>
      <c r="Y108" s="1105"/>
      <c r="Z108" s="1105"/>
      <c r="AA108" s="1105"/>
      <c r="AB108" s="1105"/>
      <c r="AC108" s="1105"/>
      <c r="AD108" s="1105"/>
      <c r="AE108" s="1106">
        <f t="shared" si="50"/>
        <v>0</v>
      </c>
      <c r="AF108" s="578">
        <f t="shared" si="49"/>
        <v>0</v>
      </c>
      <c r="AG108" s="1046"/>
      <c r="AH108" s="1037"/>
      <c r="AI108" s="1037"/>
      <c r="AJ108" s="1037">
        <f>+'[1]DR-0270'!$G$47</f>
        <v>1.272</v>
      </c>
      <c r="AK108" s="1037"/>
      <c r="AL108" s="1037"/>
      <c r="AM108" s="1037"/>
      <c r="AN108" s="1037"/>
      <c r="AO108" s="1039"/>
      <c r="AP108" s="1037"/>
      <c r="AQ108" s="1037"/>
      <c r="AR108" s="1037"/>
      <c r="AS108" s="1037">
        <f>+'[1]DR-0270'!$G$47</f>
        <v>1.272</v>
      </c>
      <c r="AT108" s="1037"/>
      <c r="AU108" s="1037"/>
      <c r="AV108" s="1037"/>
      <c r="AW108" s="1037"/>
      <c r="AX108" s="1039"/>
      <c r="AY108" s="1037"/>
      <c r="AZ108" s="1037"/>
      <c r="BA108" s="1037"/>
      <c r="BB108" s="1037">
        <f>+'[1]DR-0270'!$G$47</f>
        <v>1.272</v>
      </c>
      <c r="BC108" s="1037"/>
      <c r="BD108" s="1037"/>
      <c r="BE108" s="1039"/>
      <c r="BF108" s="1039">
        <f>+'[1]DR-0270'!$G$46+'[1]DR-0270'!$G$45</f>
        <v>9.8620000000000001</v>
      </c>
      <c r="BG108" s="1037"/>
      <c r="BH108" s="1037"/>
      <c r="BI108" s="1037">
        <f>+'[1]DR-0270'!$G$44</f>
        <v>2.5300000000000002</v>
      </c>
      <c r="BJ108" s="1037"/>
      <c r="BK108" s="1037"/>
      <c r="BL108" s="1039"/>
      <c r="BM108" s="1040"/>
      <c r="BN108" s="1037"/>
      <c r="BO108" s="972"/>
    </row>
    <row r="109" spans="1:67" s="14" customFormat="1" ht="21.95" customHeight="1" thickBot="1" x14ac:dyDescent="0.2">
      <c r="A109" s="2627"/>
      <c r="B109" s="2542"/>
      <c r="C109" s="661" t="s">
        <v>640</v>
      </c>
      <c r="D109" s="1008"/>
      <c r="E109" s="2243"/>
      <c r="F109" s="1107">
        <f>Dren_Quantificacao!D59</f>
        <v>1</v>
      </c>
      <c r="G109" s="1107">
        <f>Dren_Quantificacao!E59</f>
        <v>0</v>
      </c>
      <c r="H109" s="1107">
        <f>Dren_Quantificacao!F59</f>
        <v>1</v>
      </c>
      <c r="I109" s="1107">
        <f>Dren_Quantificacao!G59</f>
        <v>0</v>
      </c>
      <c r="J109" s="1107">
        <f>Dren_Quantificacao!H59</f>
        <v>0</v>
      </c>
      <c r="K109" s="1107">
        <f>Dren_Quantificacao!I59</f>
        <v>0</v>
      </c>
      <c r="L109" s="1107">
        <f>Dren_Quantificacao!J59</f>
        <v>6</v>
      </c>
      <c r="M109" s="1107">
        <f>Dren_Quantificacao!K59</f>
        <v>2</v>
      </c>
      <c r="N109" s="1107">
        <f>Dren_Quantificacao!L59</f>
        <v>5</v>
      </c>
      <c r="O109" s="1107">
        <f>Dren_Quantificacao!M59</f>
        <v>0</v>
      </c>
      <c r="P109" s="1108"/>
      <c r="Q109" s="1108"/>
      <c r="R109" s="1108"/>
      <c r="S109" s="1108"/>
      <c r="T109" s="1108"/>
      <c r="U109" s="1108"/>
      <c r="V109" s="1108"/>
      <c r="W109" s="1108"/>
      <c r="X109" s="1108"/>
      <c r="Y109" s="1108"/>
      <c r="Z109" s="1108"/>
      <c r="AA109" s="1108"/>
      <c r="AB109" s="1108"/>
      <c r="AC109" s="1108"/>
      <c r="AD109" s="1108"/>
      <c r="AE109" s="1109">
        <f t="shared" si="50"/>
        <v>15</v>
      </c>
      <c r="AF109" s="578">
        <f t="shared" si="49"/>
        <v>30</v>
      </c>
      <c r="AG109" s="1046"/>
      <c r="AH109" s="1037"/>
      <c r="AI109" s="1037"/>
      <c r="AJ109" s="1037">
        <f>+'[1]DR-0275'!$G$47</f>
        <v>1.8150000000000002</v>
      </c>
      <c r="AK109" s="1037"/>
      <c r="AL109" s="1037"/>
      <c r="AM109" s="1037"/>
      <c r="AN109" s="1037"/>
      <c r="AO109" s="1039"/>
      <c r="AP109" s="1037"/>
      <c r="AQ109" s="1037"/>
      <c r="AR109" s="1037"/>
      <c r="AS109" s="1037">
        <f>+'[1]DR-0275'!$G$47</f>
        <v>1.8150000000000002</v>
      </c>
      <c r="AT109" s="1037"/>
      <c r="AU109" s="1037"/>
      <c r="AV109" s="1037"/>
      <c r="AW109" s="1037"/>
      <c r="AX109" s="1039"/>
      <c r="AY109" s="1037"/>
      <c r="AZ109" s="1037"/>
      <c r="BA109" s="1037"/>
      <c r="BB109" s="1037">
        <f>+'[1]DR-0275'!$G$47</f>
        <v>1.8150000000000002</v>
      </c>
      <c r="BC109" s="1037"/>
      <c r="BD109" s="1037"/>
      <c r="BE109" s="1039"/>
      <c r="BF109" s="1039">
        <f>+'[1]DR-0275'!$G$46+'[1]DR-0275'!$G$45</f>
        <v>14.494999999999999</v>
      </c>
      <c r="BG109" s="1037"/>
      <c r="BH109" s="1037"/>
      <c r="BI109" s="1037">
        <f>+'[1]DR-0275'!$G$44</f>
        <v>4.2300000000000004</v>
      </c>
      <c r="BJ109" s="1037"/>
      <c r="BK109" s="1037"/>
      <c r="BL109" s="1039"/>
      <c r="BM109" s="1040"/>
      <c r="BN109" s="1037"/>
      <c r="BO109" s="972"/>
    </row>
    <row r="110" spans="1:67" s="14" customFormat="1" ht="21.95" hidden="1" customHeight="1" x14ac:dyDescent="0.15">
      <c r="A110" s="2627"/>
      <c r="B110" s="2542"/>
      <c r="C110" s="661" t="s">
        <v>1119</v>
      </c>
      <c r="D110" s="1007"/>
      <c r="E110" s="2232"/>
      <c r="F110" s="1104">
        <f>Dren_Quantificacao!D60</f>
        <v>0</v>
      </c>
      <c r="G110" s="1104">
        <f>Dren_Quantificacao!E60</f>
        <v>0</v>
      </c>
      <c r="H110" s="1104">
        <f>Dren_Quantificacao!F60</f>
        <v>0</v>
      </c>
      <c r="I110" s="1104">
        <f>Dren_Quantificacao!G60</f>
        <v>0</v>
      </c>
      <c r="J110" s="1104">
        <f>Dren_Quantificacao!H60</f>
        <v>0</v>
      </c>
      <c r="K110" s="1104">
        <f>Dren_Quantificacao!I60</f>
        <v>0</v>
      </c>
      <c r="L110" s="1104">
        <f>Dren_Quantificacao!J60</f>
        <v>0</v>
      </c>
      <c r="M110" s="1104">
        <f>Dren_Quantificacao!K60</f>
        <v>0</v>
      </c>
      <c r="N110" s="1104">
        <f>Dren_Quantificacao!L60</f>
        <v>0</v>
      </c>
      <c r="O110" s="1104">
        <f>Dren_Quantificacao!M60</f>
        <v>0</v>
      </c>
      <c r="P110" s="1105"/>
      <c r="Q110" s="1105"/>
      <c r="R110" s="1105"/>
      <c r="S110" s="1105"/>
      <c r="T110" s="1105"/>
      <c r="U110" s="1105"/>
      <c r="V110" s="1105"/>
      <c r="W110" s="1105"/>
      <c r="X110" s="1105"/>
      <c r="Y110" s="1105"/>
      <c r="Z110" s="1105"/>
      <c r="AA110" s="1105"/>
      <c r="AB110" s="1105"/>
      <c r="AC110" s="1105"/>
      <c r="AD110" s="1105"/>
      <c r="AE110" s="1106">
        <f t="shared" si="50"/>
        <v>0</v>
      </c>
      <c r="AF110" s="578">
        <f t="shared" si="49"/>
        <v>0</v>
      </c>
      <c r="AG110" s="1046"/>
      <c r="AH110" s="1037"/>
      <c r="AI110" s="1037"/>
      <c r="AJ110" s="1037">
        <f>+'[1]DR-0280'!$G$46</f>
        <v>0.23710000000000003</v>
      </c>
      <c r="AK110" s="1037"/>
      <c r="AL110" s="1037"/>
      <c r="AM110" s="1037"/>
      <c r="AN110" s="1037"/>
      <c r="AO110" s="1039"/>
      <c r="AP110" s="1037"/>
      <c r="AQ110" s="1037"/>
      <c r="AR110" s="1037"/>
      <c r="AS110" s="1037">
        <f>+'[1]DR-0280'!$G$46</f>
        <v>0.23710000000000003</v>
      </c>
      <c r="AT110" s="1037"/>
      <c r="AU110" s="1037"/>
      <c r="AV110" s="1037"/>
      <c r="AW110" s="1037"/>
      <c r="AX110" s="1039"/>
      <c r="AY110" s="1037"/>
      <c r="AZ110" s="1037"/>
      <c r="BA110" s="1037"/>
      <c r="BB110" s="1037">
        <f>+'[1]DR-0280'!$G$46</f>
        <v>0.23710000000000003</v>
      </c>
      <c r="BC110" s="1037"/>
      <c r="BD110" s="1037"/>
      <c r="BE110" s="1039"/>
      <c r="BF110" s="1039"/>
      <c r="BG110" s="1037"/>
      <c r="BH110" s="1037">
        <f>+'[1]DR-0280'!$G$45</f>
        <v>0.23710000000000003</v>
      </c>
      <c r="BI110" s="1037"/>
      <c r="BJ110" s="1037"/>
      <c r="BK110" s="1037"/>
      <c r="BL110" s="1039"/>
      <c r="BM110" s="1040"/>
      <c r="BN110" s="1037"/>
      <c r="BO110" s="972"/>
    </row>
    <row r="111" spans="1:67" s="14" customFormat="1" ht="21.95" hidden="1" customHeight="1" x14ac:dyDescent="0.15">
      <c r="A111" s="2627"/>
      <c r="B111" s="2542"/>
      <c r="C111" s="661" t="s">
        <v>1120</v>
      </c>
      <c r="D111" s="1007"/>
      <c r="E111" s="2232"/>
      <c r="F111" s="1104">
        <f>Dren_Quantificacao!D61</f>
        <v>0</v>
      </c>
      <c r="G111" s="1104">
        <f>Dren_Quantificacao!E61</f>
        <v>0</v>
      </c>
      <c r="H111" s="1104">
        <f>Dren_Quantificacao!F61</f>
        <v>0</v>
      </c>
      <c r="I111" s="1104">
        <f>Dren_Quantificacao!G61</f>
        <v>0</v>
      </c>
      <c r="J111" s="1104">
        <f>Dren_Quantificacao!H61</f>
        <v>0</v>
      </c>
      <c r="K111" s="1104">
        <f>Dren_Quantificacao!I61</f>
        <v>0</v>
      </c>
      <c r="L111" s="1104">
        <f>Dren_Quantificacao!J61</f>
        <v>0</v>
      </c>
      <c r="M111" s="1104">
        <f>Dren_Quantificacao!K61</f>
        <v>0</v>
      </c>
      <c r="N111" s="1104">
        <f>Dren_Quantificacao!L61</f>
        <v>0</v>
      </c>
      <c r="O111" s="1104">
        <f>Dren_Quantificacao!M61</f>
        <v>0</v>
      </c>
      <c r="P111" s="1105"/>
      <c r="Q111" s="1105"/>
      <c r="R111" s="1105"/>
      <c r="S111" s="1105"/>
      <c r="T111" s="1105"/>
      <c r="U111" s="1105"/>
      <c r="V111" s="1105"/>
      <c r="W111" s="1105"/>
      <c r="X111" s="1105"/>
      <c r="Y111" s="1105"/>
      <c r="Z111" s="1105"/>
      <c r="AA111" s="1105"/>
      <c r="AB111" s="1105"/>
      <c r="AC111" s="1105"/>
      <c r="AD111" s="1105"/>
      <c r="AE111" s="1106">
        <f t="shared" si="50"/>
        <v>0</v>
      </c>
      <c r="AF111" s="578">
        <f t="shared" si="49"/>
        <v>0</v>
      </c>
      <c r="AG111" s="1046"/>
      <c r="AH111" s="1037"/>
      <c r="AI111" s="1037"/>
      <c r="AJ111" s="1037">
        <f>+'[1]DR-0285'!$G$46</f>
        <v>0.36421999999999999</v>
      </c>
      <c r="AK111" s="1037"/>
      <c r="AL111" s="1037"/>
      <c r="AM111" s="1037"/>
      <c r="AN111" s="1037"/>
      <c r="AO111" s="1039"/>
      <c r="AP111" s="1037"/>
      <c r="AQ111" s="1037"/>
      <c r="AR111" s="1037"/>
      <c r="AS111" s="1037">
        <f>+'[1]DR-0285'!$G$46</f>
        <v>0.36421999999999999</v>
      </c>
      <c r="AT111" s="1037"/>
      <c r="AU111" s="1037"/>
      <c r="AV111" s="1037"/>
      <c r="AW111" s="1037"/>
      <c r="AX111" s="1039"/>
      <c r="AY111" s="1037"/>
      <c r="AZ111" s="1037"/>
      <c r="BA111" s="1037"/>
      <c r="BB111" s="1037">
        <f>+'[1]DR-0285'!$G$46</f>
        <v>0.36421999999999999</v>
      </c>
      <c r="BC111" s="1037"/>
      <c r="BD111" s="1037"/>
      <c r="BE111" s="1039"/>
      <c r="BF111" s="1039"/>
      <c r="BG111" s="1037"/>
      <c r="BH111" s="1037">
        <f>+'[1]DR-0285'!$G$45</f>
        <v>0.36421999999999999</v>
      </c>
      <c r="BI111" s="1037"/>
      <c r="BJ111" s="1037"/>
      <c r="BK111" s="1037"/>
      <c r="BL111" s="1039"/>
      <c r="BM111" s="1040"/>
      <c r="BN111" s="1037"/>
      <c r="BO111" s="972"/>
    </row>
    <row r="112" spans="1:67" s="14" customFormat="1" ht="21.95" hidden="1" customHeight="1" thickBot="1" x14ac:dyDescent="0.2">
      <c r="A112" s="2627"/>
      <c r="B112" s="2623"/>
      <c r="C112" s="661" t="s">
        <v>1121</v>
      </c>
      <c r="D112" s="1008"/>
      <c r="E112" s="2243"/>
      <c r="F112" s="1107">
        <f>Dren_Quantificacao!D62</f>
        <v>0</v>
      </c>
      <c r="G112" s="1107">
        <f>Dren_Quantificacao!E62</f>
        <v>0</v>
      </c>
      <c r="H112" s="1107">
        <f>Dren_Quantificacao!F62</f>
        <v>0</v>
      </c>
      <c r="I112" s="1107">
        <f>Dren_Quantificacao!G62</f>
        <v>0</v>
      </c>
      <c r="J112" s="1107">
        <f>Dren_Quantificacao!H62</f>
        <v>0</v>
      </c>
      <c r="K112" s="1107">
        <f>Dren_Quantificacao!I62</f>
        <v>0</v>
      </c>
      <c r="L112" s="1107">
        <f>Dren_Quantificacao!J62</f>
        <v>0</v>
      </c>
      <c r="M112" s="1107">
        <f>Dren_Quantificacao!K62</f>
        <v>0</v>
      </c>
      <c r="N112" s="1107">
        <f>Dren_Quantificacao!L62</f>
        <v>0</v>
      </c>
      <c r="O112" s="1107">
        <f>Dren_Quantificacao!M62</f>
        <v>0</v>
      </c>
      <c r="P112" s="1108"/>
      <c r="Q112" s="1108"/>
      <c r="R112" s="1108"/>
      <c r="S112" s="1108"/>
      <c r="T112" s="1108"/>
      <c r="U112" s="1108"/>
      <c r="V112" s="1108"/>
      <c r="W112" s="1108"/>
      <c r="X112" s="1108"/>
      <c r="Y112" s="1108"/>
      <c r="Z112" s="1108"/>
      <c r="AA112" s="1108"/>
      <c r="AB112" s="1108"/>
      <c r="AC112" s="1108"/>
      <c r="AD112" s="1108"/>
      <c r="AE112" s="1109">
        <f t="shared" si="50"/>
        <v>0</v>
      </c>
      <c r="AF112" s="578">
        <f t="shared" si="49"/>
        <v>0</v>
      </c>
      <c r="AG112" s="1046"/>
      <c r="AH112" s="1037"/>
      <c r="AI112" s="1037"/>
      <c r="AJ112" s="1037">
        <f>+'[1]DR-0290'!$G$46</f>
        <v>0.49125000000000002</v>
      </c>
      <c r="AK112" s="1037"/>
      <c r="AL112" s="1037"/>
      <c r="AM112" s="1037"/>
      <c r="AN112" s="1037"/>
      <c r="AO112" s="1039"/>
      <c r="AP112" s="1037"/>
      <c r="AQ112" s="1037"/>
      <c r="AR112" s="1037"/>
      <c r="AS112" s="1037">
        <f>+'[1]DR-0290'!$G$46</f>
        <v>0.49125000000000002</v>
      </c>
      <c r="AT112" s="1037"/>
      <c r="AU112" s="1037"/>
      <c r="AV112" s="1037"/>
      <c r="AW112" s="1037"/>
      <c r="AX112" s="1039"/>
      <c r="AY112" s="1037"/>
      <c r="AZ112" s="1037"/>
      <c r="BA112" s="1037"/>
      <c r="BB112" s="1037">
        <f>+'[1]DR-0290'!$G$46</f>
        <v>0.49125000000000002</v>
      </c>
      <c r="BC112" s="1037"/>
      <c r="BD112" s="1037"/>
      <c r="BE112" s="1039"/>
      <c r="BF112" s="1039"/>
      <c r="BG112" s="1037"/>
      <c r="BH112" s="1037">
        <f>+'[1]DR-0290'!$G$45</f>
        <v>0.49125000000000002</v>
      </c>
      <c r="BI112" s="1037"/>
      <c r="BJ112" s="1037"/>
      <c r="BK112" s="1037"/>
      <c r="BL112" s="1039"/>
      <c r="BM112" s="1040"/>
      <c r="BN112" s="1037"/>
      <c r="BO112" s="972"/>
    </row>
    <row r="113" spans="1:68" s="14" customFormat="1" ht="21.95" hidden="1" customHeight="1" x14ac:dyDescent="0.15">
      <c r="A113" s="2627"/>
      <c r="B113" s="2616" t="s">
        <v>501</v>
      </c>
      <c r="C113" s="549">
        <v>0.4</v>
      </c>
      <c r="D113" s="1001"/>
      <c r="E113" s="2230"/>
      <c r="F113" s="1098">
        <f>Dren_Quantificacao!D85</f>
        <v>0</v>
      </c>
      <c r="G113" s="1098">
        <f>Dren_Quantificacao!E85</f>
        <v>0</v>
      </c>
      <c r="H113" s="1098">
        <f>Dren_Quantificacao!F85</f>
        <v>0</v>
      </c>
      <c r="I113" s="1098">
        <f>Dren_Quantificacao!G85</f>
        <v>0</v>
      </c>
      <c r="J113" s="1098">
        <f>Dren_Quantificacao!H85</f>
        <v>0</v>
      </c>
      <c r="K113" s="1098">
        <f>Dren_Quantificacao!I85</f>
        <v>0</v>
      </c>
      <c r="L113" s="1098">
        <f>Dren_Quantificacao!J85</f>
        <v>0</v>
      </c>
      <c r="M113" s="1098">
        <f>Dren_Quantificacao!K85</f>
        <v>0</v>
      </c>
      <c r="N113" s="1098">
        <f>Dren_Quantificacao!L85</f>
        <v>0</v>
      </c>
      <c r="O113" s="1098">
        <f>Dren_Quantificacao!M85</f>
        <v>0</v>
      </c>
      <c r="P113" s="1099"/>
      <c r="Q113" s="1099"/>
      <c r="R113" s="1099"/>
      <c r="S113" s="1099"/>
      <c r="T113" s="1099"/>
      <c r="U113" s="1099"/>
      <c r="V113" s="1099"/>
      <c r="W113" s="1099"/>
      <c r="X113" s="1099"/>
      <c r="Y113" s="1099"/>
      <c r="Z113" s="1099"/>
      <c r="AA113" s="1099"/>
      <c r="AB113" s="1099"/>
      <c r="AC113" s="1099"/>
      <c r="AD113" s="1099"/>
      <c r="AE113" s="1100">
        <f t="shared" si="50"/>
        <v>0</v>
      </c>
      <c r="AF113" s="578">
        <f t="shared" si="49"/>
        <v>0</v>
      </c>
      <c r="AG113" s="1046"/>
      <c r="AH113" s="1037"/>
      <c r="AI113" s="1037"/>
      <c r="AJ113" s="1037"/>
      <c r="AK113" s="1037"/>
      <c r="AL113" s="1037"/>
      <c r="AM113" s="1037"/>
      <c r="AN113" s="1037"/>
      <c r="AO113" s="1039">
        <f>+'[1]DR-0305'!$G$41</f>
        <v>0.66039999999999999</v>
      </c>
      <c r="AP113" s="1037"/>
      <c r="AQ113" s="1037"/>
      <c r="AR113" s="1037"/>
      <c r="AS113" s="1037"/>
      <c r="AT113" s="1037"/>
      <c r="AU113" s="1037"/>
      <c r="AV113" s="1037"/>
      <c r="AW113" s="1037"/>
      <c r="AX113" s="1039">
        <f>+'[1]DR-0305'!$G$41</f>
        <v>0.66039999999999999</v>
      </c>
      <c r="AY113" s="1037"/>
      <c r="AZ113" s="1037"/>
      <c r="BA113" s="1037"/>
      <c r="BB113" s="1037"/>
      <c r="BC113" s="1037"/>
      <c r="BD113" s="1037">
        <f>+'[1]DR-0305'!$G$41</f>
        <v>0.66039999999999999</v>
      </c>
      <c r="BE113" s="1039"/>
      <c r="BF113" s="1039"/>
      <c r="BG113" s="1037">
        <f>+'[1]DR-0305'!$G$42</f>
        <v>4.407</v>
      </c>
      <c r="BH113" s="1037"/>
      <c r="BI113" s="1037"/>
      <c r="BJ113" s="1037"/>
      <c r="BK113" s="1037"/>
      <c r="BL113" s="1039"/>
      <c r="BM113" s="1040"/>
      <c r="BN113" s="1037"/>
      <c r="BO113" s="972"/>
    </row>
    <row r="114" spans="1:68" s="14" customFormat="1" ht="21.95" hidden="1" customHeight="1" thickBot="1" x14ac:dyDescent="0.2">
      <c r="A114" s="2627"/>
      <c r="B114" s="2542"/>
      <c r="C114" s="567">
        <v>0.6</v>
      </c>
      <c r="D114" s="1002"/>
      <c r="E114" s="1286"/>
      <c r="F114" s="1104">
        <f>Dren_Quantificacao!D86</f>
        <v>0</v>
      </c>
      <c r="G114" s="1104">
        <f>Dren_Quantificacao!E86</f>
        <v>0</v>
      </c>
      <c r="H114" s="1104">
        <f>Dren_Quantificacao!F86</f>
        <v>0</v>
      </c>
      <c r="I114" s="1104">
        <f>Dren_Quantificacao!G86</f>
        <v>0</v>
      </c>
      <c r="J114" s="1104">
        <f>Dren_Quantificacao!H86</f>
        <v>0</v>
      </c>
      <c r="K114" s="1104">
        <f>Dren_Quantificacao!I86</f>
        <v>0</v>
      </c>
      <c r="L114" s="1104">
        <f>Dren_Quantificacao!J86</f>
        <v>0</v>
      </c>
      <c r="M114" s="1104">
        <f>Dren_Quantificacao!K86</f>
        <v>0</v>
      </c>
      <c r="N114" s="1104">
        <f>Dren_Quantificacao!L86</f>
        <v>0</v>
      </c>
      <c r="O114" s="1104">
        <f>Dren_Quantificacao!M86</f>
        <v>0</v>
      </c>
      <c r="P114" s="1105"/>
      <c r="Q114" s="1105"/>
      <c r="R114" s="1105"/>
      <c r="S114" s="1105"/>
      <c r="T114" s="1105"/>
      <c r="U114" s="1105"/>
      <c r="V114" s="1105"/>
      <c r="W114" s="1105"/>
      <c r="X114" s="1105"/>
      <c r="Y114" s="1105"/>
      <c r="Z114" s="1105"/>
      <c r="AA114" s="1105"/>
      <c r="AB114" s="1105"/>
      <c r="AC114" s="1105"/>
      <c r="AD114" s="1105"/>
      <c r="AE114" s="1106">
        <f t="shared" si="50"/>
        <v>0</v>
      </c>
      <c r="AF114" s="578">
        <f t="shared" si="49"/>
        <v>0</v>
      </c>
      <c r="AG114" s="1046"/>
      <c r="AH114" s="1037"/>
      <c r="AI114" s="1037"/>
      <c r="AJ114" s="1037"/>
      <c r="AK114" s="1037"/>
      <c r="AL114" s="1037"/>
      <c r="AM114" s="1037"/>
      <c r="AN114" s="1037"/>
      <c r="AO114" s="1039">
        <f>+'[1]DR-0310'!$G$41</f>
        <v>1.2385999999999999</v>
      </c>
      <c r="AP114" s="1037"/>
      <c r="AQ114" s="1037"/>
      <c r="AR114" s="1037"/>
      <c r="AS114" s="1037"/>
      <c r="AT114" s="1037"/>
      <c r="AU114" s="1037"/>
      <c r="AV114" s="1037"/>
      <c r="AW114" s="1037"/>
      <c r="AX114" s="1039">
        <f>+'[1]DR-0310'!$G$41</f>
        <v>1.2385999999999999</v>
      </c>
      <c r="AY114" s="1037"/>
      <c r="AZ114" s="1037"/>
      <c r="BA114" s="1037"/>
      <c r="BB114" s="1037"/>
      <c r="BC114" s="1037"/>
      <c r="BD114" s="1037">
        <f>+'[1]DR-0310'!$G$41</f>
        <v>1.2385999999999999</v>
      </c>
      <c r="BE114" s="1039"/>
      <c r="BF114" s="1039"/>
      <c r="BG114" s="1037">
        <f>+'[1]DR-0310'!$G$42</f>
        <v>6.6445999999999996</v>
      </c>
      <c r="BH114" s="1037"/>
      <c r="BI114" s="1037"/>
      <c r="BJ114" s="1037"/>
      <c r="BK114" s="1037"/>
      <c r="BL114" s="1039"/>
      <c r="BM114" s="1040"/>
      <c r="BN114" s="1037"/>
      <c r="BO114" s="972"/>
    </row>
    <row r="115" spans="1:68" s="14" customFormat="1" ht="21.95" hidden="1" customHeight="1" thickBot="1" x14ac:dyDescent="0.2">
      <c r="A115" s="2627"/>
      <c r="B115" s="2622"/>
      <c r="C115" s="566">
        <v>0.8</v>
      </c>
      <c r="D115" s="1002"/>
      <c r="E115" s="1286"/>
      <c r="F115" s="1104">
        <f>Dren_Quantificacao!D87</f>
        <v>0</v>
      </c>
      <c r="G115" s="1104">
        <f>Dren_Quantificacao!E87</f>
        <v>0</v>
      </c>
      <c r="H115" s="1104">
        <f>Dren_Quantificacao!F87</f>
        <v>0</v>
      </c>
      <c r="I115" s="1104">
        <f>Dren_Quantificacao!G87</f>
        <v>0</v>
      </c>
      <c r="J115" s="1104">
        <f>Dren_Quantificacao!H87</f>
        <v>0</v>
      </c>
      <c r="K115" s="1104">
        <f>Dren_Quantificacao!I87</f>
        <v>0</v>
      </c>
      <c r="L115" s="1104">
        <f>Dren_Quantificacao!J87</f>
        <v>0</v>
      </c>
      <c r="M115" s="1104">
        <f>Dren_Quantificacao!K87</f>
        <v>0</v>
      </c>
      <c r="N115" s="1104">
        <f>Dren_Quantificacao!L87</f>
        <v>0</v>
      </c>
      <c r="O115" s="1104">
        <f>Dren_Quantificacao!M87</f>
        <v>0</v>
      </c>
      <c r="P115" s="1105"/>
      <c r="Q115" s="1105"/>
      <c r="R115" s="1105"/>
      <c r="S115" s="1105"/>
      <c r="T115" s="1105"/>
      <c r="U115" s="1105"/>
      <c r="V115" s="1105"/>
      <c r="W115" s="1105"/>
      <c r="X115" s="1105"/>
      <c r="Y115" s="1105"/>
      <c r="Z115" s="1105"/>
      <c r="AA115" s="1105"/>
      <c r="AB115" s="1105"/>
      <c r="AC115" s="1105"/>
      <c r="AD115" s="1105"/>
      <c r="AE115" s="1106">
        <f t="shared" si="50"/>
        <v>0</v>
      </c>
      <c r="AF115" s="578">
        <f t="shared" si="49"/>
        <v>0</v>
      </c>
      <c r="AG115" s="1046"/>
      <c r="AH115" s="1037"/>
      <c r="AI115" s="1037"/>
      <c r="AJ115" s="1037"/>
      <c r="AK115" s="1037"/>
      <c r="AL115" s="1037"/>
      <c r="AM115" s="1037"/>
      <c r="AN115" s="1037"/>
      <c r="AO115" s="1039">
        <f>+'[1]DR-0315'!$G$41</f>
        <v>2.2320000000000002</v>
      </c>
      <c r="AP115" s="1037"/>
      <c r="AQ115" s="1037"/>
      <c r="AR115" s="1037"/>
      <c r="AS115" s="1037"/>
      <c r="AT115" s="1037"/>
      <c r="AU115" s="1037"/>
      <c r="AV115" s="1037"/>
      <c r="AW115" s="1037"/>
      <c r="AX115" s="1039">
        <f>+'[1]DR-0315'!$G$41</f>
        <v>2.2320000000000002</v>
      </c>
      <c r="AY115" s="1037"/>
      <c r="AZ115" s="1037"/>
      <c r="BA115" s="1037"/>
      <c r="BB115" s="1037"/>
      <c r="BC115" s="1037"/>
      <c r="BD115" s="1037">
        <f>+'[1]DR-0315'!$G$41</f>
        <v>2.2320000000000002</v>
      </c>
      <c r="BE115" s="1039"/>
      <c r="BF115" s="1039"/>
      <c r="BG115" s="1037">
        <f>+'[1]DR-0315'!$G$42</f>
        <v>9.7668999999999997</v>
      </c>
      <c r="BH115" s="1037"/>
      <c r="BI115" s="1037"/>
      <c r="BJ115" s="1037"/>
      <c r="BK115" s="1037"/>
      <c r="BL115" s="1039"/>
      <c r="BM115" s="1040"/>
      <c r="BN115" s="1037"/>
      <c r="BO115" s="972"/>
    </row>
    <row r="116" spans="1:68" s="14" customFormat="1" ht="21.95" hidden="1" customHeight="1" x14ac:dyDescent="0.15">
      <c r="A116" s="2627"/>
      <c r="B116" s="2542"/>
      <c r="C116" s="566">
        <v>1</v>
      </c>
      <c r="D116" s="1002"/>
      <c r="E116" s="1286"/>
      <c r="F116" s="1104">
        <f>Dren_Quantificacao!D88</f>
        <v>0</v>
      </c>
      <c r="G116" s="1104">
        <f>Dren_Quantificacao!E88</f>
        <v>0</v>
      </c>
      <c r="H116" s="1104">
        <f>Dren_Quantificacao!F88</f>
        <v>0</v>
      </c>
      <c r="I116" s="1104">
        <f>Dren_Quantificacao!G88</f>
        <v>0</v>
      </c>
      <c r="J116" s="1104">
        <f>Dren_Quantificacao!H88</f>
        <v>0</v>
      </c>
      <c r="K116" s="1104">
        <f>Dren_Quantificacao!I88</f>
        <v>0</v>
      </c>
      <c r="L116" s="1104">
        <f>Dren_Quantificacao!J88</f>
        <v>0</v>
      </c>
      <c r="M116" s="1104">
        <f>Dren_Quantificacao!K88</f>
        <v>0</v>
      </c>
      <c r="N116" s="1104">
        <f>Dren_Quantificacao!L88</f>
        <v>0</v>
      </c>
      <c r="O116" s="1104">
        <f>Dren_Quantificacao!M88</f>
        <v>0</v>
      </c>
      <c r="P116" s="1105"/>
      <c r="Q116" s="1105"/>
      <c r="R116" s="1105"/>
      <c r="S116" s="1105"/>
      <c r="T116" s="1105"/>
      <c r="U116" s="1105"/>
      <c r="V116" s="1105"/>
      <c r="W116" s="1105"/>
      <c r="X116" s="1105"/>
      <c r="Y116" s="1105"/>
      <c r="Z116" s="1105"/>
      <c r="AA116" s="1105"/>
      <c r="AB116" s="1105"/>
      <c r="AC116" s="1105"/>
      <c r="AD116" s="1105"/>
      <c r="AE116" s="1106">
        <f t="shared" si="50"/>
        <v>0</v>
      </c>
      <c r="AF116" s="578">
        <f t="shared" si="49"/>
        <v>0</v>
      </c>
      <c r="AG116" s="1046"/>
      <c r="AH116" s="1037"/>
      <c r="AI116" s="1037"/>
      <c r="AJ116" s="1037"/>
      <c r="AK116" s="1037"/>
      <c r="AL116" s="1037"/>
      <c r="AM116" s="1037"/>
      <c r="AN116" s="1037"/>
      <c r="AO116" s="1039">
        <f>+'[1]DR-0320'!$G$41</f>
        <v>3.629</v>
      </c>
      <c r="AP116" s="1037"/>
      <c r="AQ116" s="1037"/>
      <c r="AR116" s="1037"/>
      <c r="AS116" s="1037"/>
      <c r="AT116" s="1037"/>
      <c r="AU116" s="1037"/>
      <c r="AV116" s="1037"/>
      <c r="AW116" s="1037"/>
      <c r="AX116" s="1039">
        <f>+'[1]DR-0320'!$G$41</f>
        <v>3.629</v>
      </c>
      <c r="AY116" s="1037"/>
      <c r="AZ116" s="1037"/>
      <c r="BA116" s="1037"/>
      <c r="BB116" s="1037"/>
      <c r="BC116" s="1037"/>
      <c r="BD116" s="1037">
        <f>+'[1]DR-0320'!$G$41</f>
        <v>3.629</v>
      </c>
      <c r="BE116" s="1039"/>
      <c r="BF116" s="1039"/>
      <c r="BG116" s="1037">
        <f>+'[1]DR-0320'!$G$42</f>
        <v>13.464</v>
      </c>
      <c r="BH116" s="1037"/>
      <c r="BI116" s="1037"/>
      <c r="BJ116" s="1037"/>
      <c r="BK116" s="1037"/>
      <c r="BL116" s="1039"/>
      <c r="BM116" s="1040"/>
      <c r="BN116" s="1037"/>
      <c r="BO116" s="972"/>
    </row>
    <row r="117" spans="1:68" s="14" customFormat="1" ht="21.95" hidden="1" customHeight="1" x14ac:dyDescent="0.15">
      <c r="A117" s="2627"/>
      <c r="B117" s="2542"/>
      <c r="C117" s="566">
        <v>1.2</v>
      </c>
      <c r="D117" s="1002"/>
      <c r="E117" s="1286"/>
      <c r="F117" s="1104">
        <f>Dren_Quantificacao!D89</f>
        <v>0</v>
      </c>
      <c r="G117" s="1104">
        <f>Dren_Quantificacao!E89</f>
        <v>0</v>
      </c>
      <c r="H117" s="1104">
        <f>Dren_Quantificacao!F89</f>
        <v>0</v>
      </c>
      <c r="I117" s="1104">
        <f>Dren_Quantificacao!G89</f>
        <v>0</v>
      </c>
      <c r="J117" s="1104">
        <f>Dren_Quantificacao!H89</f>
        <v>0</v>
      </c>
      <c r="K117" s="1104">
        <f>Dren_Quantificacao!I89</f>
        <v>0</v>
      </c>
      <c r="L117" s="1104">
        <f>Dren_Quantificacao!J89</f>
        <v>0</v>
      </c>
      <c r="M117" s="1104">
        <f>Dren_Quantificacao!K89</f>
        <v>0</v>
      </c>
      <c r="N117" s="1104">
        <f>Dren_Quantificacao!L89</f>
        <v>0</v>
      </c>
      <c r="O117" s="1104">
        <f>Dren_Quantificacao!M89</f>
        <v>0</v>
      </c>
      <c r="P117" s="1105"/>
      <c r="Q117" s="1105"/>
      <c r="R117" s="1105"/>
      <c r="S117" s="1105"/>
      <c r="T117" s="1105"/>
      <c r="U117" s="1105"/>
      <c r="V117" s="1105"/>
      <c r="W117" s="1105"/>
      <c r="X117" s="1105"/>
      <c r="Y117" s="1105"/>
      <c r="Z117" s="1105"/>
      <c r="AA117" s="1105"/>
      <c r="AB117" s="1105"/>
      <c r="AC117" s="1105"/>
      <c r="AD117" s="1105"/>
      <c r="AE117" s="1106">
        <f t="shared" si="50"/>
        <v>0</v>
      </c>
      <c r="AF117" s="578">
        <f t="shared" si="49"/>
        <v>0</v>
      </c>
      <c r="AG117" s="1046"/>
      <c r="AH117" s="1037"/>
      <c r="AI117" s="1037"/>
      <c r="AJ117" s="1037"/>
      <c r="AK117" s="1037"/>
      <c r="AL117" s="1037"/>
      <c r="AM117" s="1037"/>
      <c r="AN117" s="1037"/>
      <c r="AO117" s="1039">
        <f>+'[1]DR-0325'!$G$41</f>
        <v>5.4016999999999999</v>
      </c>
      <c r="AP117" s="1037"/>
      <c r="AQ117" s="1037"/>
      <c r="AR117" s="1037"/>
      <c r="AS117" s="1037"/>
      <c r="AT117" s="1037"/>
      <c r="AU117" s="1037"/>
      <c r="AV117" s="1037"/>
      <c r="AW117" s="1037"/>
      <c r="AX117" s="1039">
        <f>+'[1]DR-0325'!$G$41</f>
        <v>5.4016999999999999</v>
      </c>
      <c r="AY117" s="1037"/>
      <c r="AZ117" s="1037"/>
      <c r="BA117" s="1037"/>
      <c r="BB117" s="1037"/>
      <c r="BC117" s="1037"/>
      <c r="BD117" s="1037">
        <f>+'[1]DR-0325'!$G$41</f>
        <v>5.4016999999999999</v>
      </c>
      <c r="BE117" s="1039"/>
      <c r="BF117" s="1039"/>
      <c r="BG117" s="1037">
        <f>+'[1]DR-0325'!$G$42</f>
        <v>17.460899999999999</v>
      </c>
      <c r="BH117" s="1037"/>
      <c r="BI117" s="1037"/>
      <c r="BJ117" s="1037"/>
      <c r="BK117" s="1037"/>
      <c r="BL117" s="1039"/>
      <c r="BM117" s="1040"/>
      <c r="BN117" s="1037"/>
      <c r="BO117" s="972"/>
    </row>
    <row r="118" spans="1:68" s="14" customFormat="1" ht="21.95" hidden="1" customHeight="1" x14ac:dyDescent="0.15">
      <c r="A118" s="2627"/>
      <c r="B118" s="2542"/>
      <c r="C118" s="566">
        <v>1.5</v>
      </c>
      <c r="D118" s="1440"/>
      <c r="E118" s="2244"/>
      <c r="F118" s="1107">
        <f>Dren_Quantificacao!D90</f>
        <v>0</v>
      </c>
      <c r="G118" s="1107">
        <f>Dren_Quantificacao!E90</f>
        <v>0</v>
      </c>
      <c r="H118" s="1107">
        <f>Dren_Quantificacao!F90</f>
        <v>0</v>
      </c>
      <c r="I118" s="1107">
        <f>Dren_Quantificacao!G90</f>
        <v>0</v>
      </c>
      <c r="J118" s="1107">
        <f>Dren_Quantificacao!H90</f>
        <v>0</v>
      </c>
      <c r="K118" s="1107">
        <f>Dren_Quantificacao!I90</f>
        <v>0</v>
      </c>
      <c r="L118" s="1107">
        <f>Dren_Quantificacao!J90</f>
        <v>0</v>
      </c>
      <c r="M118" s="1107">
        <f>Dren_Quantificacao!K90</f>
        <v>0</v>
      </c>
      <c r="N118" s="1107">
        <f>Dren_Quantificacao!L90</f>
        <v>0</v>
      </c>
      <c r="O118" s="1107">
        <f>Dren_Quantificacao!M90</f>
        <v>0</v>
      </c>
      <c r="P118" s="1108"/>
      <c r="Q118" s="1108"/>
      <c r="R118" s="1108"/>
      <c r="S118" s="1108"/>
      <c r="T118" s="1108"/>
      <c r="U118" s="1108"/>
      <c r="V118" s="1108"/>
      <c r="W118" s="1108"/>
      <c r="X118" s="1108"/>
      <c r="Y118" s="1108"/>
      <c r="Z118" s="1108"/>
      <c r="AA118" s="1108"/>
      <c r="AB118" s="1108"/>
      <c r="AC118" s="1108"/>
      <c r="AD118" s="1108"/>
      <c r="AE118" s="1109">
        <f t="shared" si="50"/>
        <v>0</v>
      </c>
      <c r="AF118" s="578">
        <f t="shared" si="49"/>
        <v>0</v>
      </c>
      <c r="AG118" s="1046"/>
      <c r="AH118" s="1037"/>
      <c r="AI118" s="1037"/>
      <c r="AJ118" s="1037"/>
      <c r="AK118" s="1037"/>
      <c r="AL118" s="1037"/>
      <c r="AM118" s="1037"/>
      <c r="AN118" s="1037"/>
      <c r="AO118" s="1039">
        <f>+'[1]DR-0330'!$G$41</f>
        <v>8.9499999999999993</v>
      </c>
      <c r="AP118" s="1037"/>
      <c r="AQ118" s="1037"/>
      <c r="AR118" s="1037"/>
      <c r="AS118" s="1037"/>
      <c r="AT118" s="1037"/>
      <c r="AU118" s="1037"/>
      <c r="AV118" s="1037"/>
      <c r="AW118" s="1037"/>
      <c r="AX118" s="1039">
        <f>+'[1]DR-0330'!$G$41</f>
        <v>8.9499999999999993</v>
      </c>
      <c r="AY118" s="1037"/>
      <c r="AZ118" s="1037"/>
      <c r="BA118" s="1037"/>
      <c r="BB118" s="1037"/>
      <c r="BC118" s="1037"/>
      <c r="BD118" s="1037">
        <f>+'[1]DR-0330'!$G$41</f>
        <v>8.9499999999999993</v>
      </c>
      <c r="BE118" s="1039"/>
      <c r="BF118" s="1039"/>
      <c r="BG118" s="1037">
        <f>+'[1]DR-0330'!$G$42</f>
        <v>24.334399999999999</v>
      </c>
      <c r="BH118" s="1037"/>
      <c r="BI118" s="1037"/>
      <c r="BJ118" s="1037"/>
      <c r="BK118" s="1037"/>
      <c r="BL118" s="1039"/>
      <c r="BM118" s="1040"/>
      <c r="BN118" s="1037"/>
      <c r="BO118" s="972"/>
    </row>
    <row r="119" spans="1:68" s="14" customFormat="1" ht="21.95" hidden="1" customHeight="1" x14ac:dyDescent="0.15">
      <c r="A119" s="2627"/>
      <c r="B119" s="2542"/>
      <c r="C119" s="558" t="s">
        <v>172</v>
      </c>
      <c r="D119" s="1002"/>
      <c r="E119" s="1286"/>
      <c r="F119" s="1104">
        <f>Dren_Quantificacao!D91</f>
        <v>0</v>
      </c>
      <c r="G119" s="1104">
        <f>Dren_Quantificacao!E91</f>
        <v>0</v>
      </c>
      <c r="H119" s="1104">
        <f>Dren_Quantificacao!F91</f>
        <v>0</v>
      </c>
      <c r="I119" s="1104">
        <f>Dren_Quantificacao!G91</f>
        <v>0</v>
      </c>
      <c r="J119" s="1104">
        <f>Dren_Quantificacao!H91</f>
        <v>0</v>
      </c>
      <c r="K119" s="1104">
        <f>Dren_Quantificacao!I91</f>
        <v>0</v>
      </c>
      <c r="L119" s="1104">
        <f>Dren_Quantificacao!J91</f>
        <v>0</v>
      </c>
      <c r="M119" s="1104">
        <f>Dren_Quantificacao!K91</f>
        <v>0</v>
      </c>
      <c r="N119" s="1104">
        <f>Dren_Quantificacao!L91</f>
        <v>0</v>
      </c>
      <c r="O119" s="1104">
        <f>Dren_Quantificacao!M91</f>
        <v>0</v>
      </c>
      <c r="P119" s="1105"/>
      <c r="Q119" s="1105"/>
      <c r="R119" s="1105"/>
      <c r="S119" s="1105"/>
      <c r="T119" s="1105"/>
      <c r="U119" s="1105"/>
      <c r="V119" s="1105"/>
      <c r="W119" s="1105"/>
      <c r="X119" s="1105"/>
      <c r="Y119" s="1105"/>
      <c r="Z119" s="1105"/>
      <c r="AA119" s="1105"/>
      <c r="AB119" s="1105"/>
      <c r="AC119" s="1105"/>
      <c r="AD119" s="1105"/>
      <c r="AE119" s="1106">
        <f t="shared" si="50"/>
        <v>0</v>
      </c>
      <c r="AF119" s="578">
        <f t="shared" si="49"/>
        <v>0</v>
      </c>
      <c r="AG119" s="1046"/>
      <c r="AH119" s="1037"/>
      <c r="AI119" s="1037"/>
      <c r="AJ119" s="1037"/>
      <c r="AK119" s="1037"/>
      <c r="AL119" s="1037"/>
      <c r="AM119" s="1037"/>
      <c r="AN119" s="1037"/>
      <c r="AO119" s="1039"/>
      <c r="AP119" s="1037"/>
      <c r="AQ119" s="1037"/>
      <c r="AR119" s="1037"/>
      <c r="AS119" s="1037"/>
      <c r="AT119" s="1037"/>
      <c r="AU119" s="1037"/>
      <c r="AV119" s="1037"/>
      <c r="AW119" s="1037"/>
      <c r="AX119" s="1039"/>
      <c r="AY119" s="1037"/>
      <c r="AZ119" s="1037"/>
      <c r="BA119" s="1037"/>
      <c r="BB119" s="1037"/>
      <c r="BC119" s="1037"/>
      <c r="BD119" s="1037"/>
      <c r="BE119" s="1039"/>
      <c r="BF119" s="1039"/>
      <c r="BG119" s="1037"/>
      <c r="BH119" s="1037"/>
      <c r="BI119" s="1037"/>
      <c r="BJ119" s="1037"/>
      <c r="BK119" s="1037"/>
      <c r="BL119" s="1039"/>
      <c r="BM119" s="1040"/>
      <c r="BN119" s="1037"/>
      <c r="BO119" s="972"/>
    </row>
    <row r="120" spans="1:68" s="14" customFormat="1" ht="21.95" hidden="1" customHeight="1" x14ac:dyDescent="0.15">
      <c r="A120" s="2627"/>
      <c r="B120" s="2542"/>
      <c r="C120" s="558" t="s">
        <v>154</v>
      </c>
      <c r="D120" s="1002"/>
      <c r="E120" s="1286"/>
      <c r="F120" s="1104">
        <f>Dren_Quantificacao!D92</f>
        <v>0</v>
      </c>
      <c r="G120" s="1104">
        <f>Dren_Quantificacao!E92</f>
        <v>0</v>
      </c>
      <c r="H120" s="1104">
        <f>Dren_Quantificacao!F92</f>
        <v>0</v>
      </c>
      <c r="I120" s="1104">
        <f>Dren_Quantificacao!G92</f>
        <v>0</v>
      </c>
      <c r="J120" s="1104">
        <f>Dren_Quantificacao!H92</f>
        <v>0</v>
      </c>
      <c r="K120" s="1104">
        <f>Dren_Quantificacao!I92</f>
        <v>0</v>
      </c>
      <c r="L120" s="1104">
        <f>Dren_Quantificacao!J92</f>
        <v>0</v>
      </c>
      <c r="M120" s="1104">
        <f>Dren_Quantificacao!K92</f>
        <v>0</v>
      </c>
      <c r="N120" s="1104">
        <f>Dren_Quantificacao!L92</f>
        <v>0</v>
      </c>
      <c r="O120" s="1104">
        <f>Dren_Quantificacao!M92</f>
        <v>0</v>
      </c>
      <c r="P120" s="1105"/>
      <c r="Q120" s="1105"/>
      <c r="R120" s="1105"/>
      <c r="S120" s="1105"/>
      <c r="T120" s="1105"/>
      <c r="U120" s="1105"/>
      <c r="V120" s="1105"/>
      <c r="W120" s="1105"/>
      <c r="X120" s="1105"/>
      <c r="Y120" s="1105"/>
      <c r="Z120" s="1105"/>
      <c r="AA120" s="1105"/>
      <c r="AB120" s="1105"/>
      <c r="AC120" s="1105"/>
      <c r="AD120" s="1105"/>
      <c r="AE120" s="1106">
        <f t="shared" si="50"/>
        <v>0</v>
      </c>
      <c r="AF120" s="578">
        <f t="shared" si="49"/>
        <v>0</v>
      </c>
      <c r="AG120" s="1046"/>
      <c r="AH120" s="1037"/>
      <c r="AI120" s="1037"/>
      <c r="AJ120" s="1037"/>
      <c r="AK120" s="1037"/>
      <c r="AL120" s="1037"/>
      <c r="AM120" s="1037"/>
      <c r="AN120" s="1037"/>
      <c r="AO120" s="1039"/>
      <c r="AP120" s="1037"/>
      <c r="AQ120" s="1037"/>
      <c r="AR120" s="1037"/>
      <c r="AS120" s="1037"/>
      <c r="AT120" s="1037"/>
      <c r="AU120" s="1037"/>
      <c r="AV120" s="1037"/>
      <c r="AW120" s="1037"/>
      <c r="AX120" s="1039"/>
      <c r="AY120" s="1037"/>
      <c r="AZ120" s="1037"/>
      <c r="BA120" s="1037"/>
      <c r="BB120" s="1037"/>
      <c r="BC120" s="1037"/>
      <c r="BD120" s="1037"/>
      <c r="BE120" s="1039"/>
      <c r="BF120" s="1039"/>
      <c r="BG120" s="1037"/>
      <c r="BH120" s="1037"/>
      <c r="BI120" s="1037"/>
      <c r="BJ120" s="1037"/>
      <c r="BK120" s="1037"/>
      <c r="BL120" s="1039"/>
      <c r="BM120" s="1040"/>
      <c r="BN120" s="1037"/>
      <c r="BO120" s="972"/>
    </row>
    <row r="121" spans="1:68" s="14" customFormat="1" ht="21.95" hidden="1" customHeight="1" x14ac:dyDescent="0.15">
      <c r="A121" s="2627"/>
      <c r="B121" s="2542"/>
      <c r="C121" s="558" t="s">
        <v>155</v>
      </c>
      <c r="D121" s="1002"/>
      <c r="E121" s="1286"/>
      <c r="F121" s="1104">
        <f>Dren_Quantificacao!D93</f>
        <v>0</v>
      </c>
      <c r="G121" s="1104">
        <f>Dren_Quantificacao!E93</f>
        <v>0</v>
      </c>
      <c r="H121" s="1104">
        <f>Dren_Quantificacao!F93</f>
        <v>0</v>
      </c>
      <c r="I121" s="1104">
        <f>Dren_Quantificacao!G93</f>
        <v>0</v>
      </c>
      <c r="J121" s="1104">
        <f>Dren_Quantificacao!H93</f>
        <v>0</v>
      </c>
      <c r="K121" s="1104">
        <f>Dren_Quantificacao!I93</f>
        <v>0</v>
      </c>
      <c r="L121" s="1104">
        <f>Dren_Quantificacao!J93</f>
        <v>0</v>
      </c>
      <c r="M121" s="1104">
        <f>Dren_Quantificacao!K93</f>
        <v>0</v>
      </c>
      <c r="N121" s="1104">
        <f>Dren_Quantificacao!L93</f>
        <v>0</v>
      </c>
      <c r="O121" s="1104">
        <f>Dren_Quantificacao!M93</f>
        <v>0</v>
      </c>
      <c r="P121" s="1105"/>
      <c r="Q121" s="1105"/>
      <c r="R121" s="1105"/>
      <c r="S121" s="1105"/>
      <c r="T121" s="1105"/>
      <c r="U121" s="1105"/>
      <c r="V121" s="1105"/>
      <c r="W121" s="1105"/>
      <c r="X121" s="1105"/>
      <c r="Y121" s="1105"/>
      <c r="Z121" s="1105"/>
      <c r="AA121" s="1105"/>
      <c r="AB121" s="1105"/>
      <c r="AC121" s="1105"/>
      <c r="AD121" s="1105"/>
      <c r="AE121" s="1106">
        <f t="shared" si="50"/>
        <v>0</v>
      </c>
      <c r="AF121" s="578">
        <f t="shared" si="49"/>
        <v>0</v>
      </c>
      <c r="AG121" s="1046"/>
      <c r="AH121" s="1037"/>
      <c r="AI121" s="1037"/>
      <c r="AJ121" s="1037"/>
      <c r="AK121" s="1037"/>
      <c r="AL121" s="1037"/>
      <c r="AM121" s="1037"/>
      <c r="AN121" s="1037"/>
      <c r="AO121" s="1039"/>
      <c r="AP121" s="1037"/>
      <c r="AQ121" s="1037"/>
      <c r="AR121" s="1037"/>
      <c r="AS121" s="1037"/>
      <c r="AT121" s="1037"/>
      <c r="AU121" s="1037"/>
      <c r="AV121" s="1037"/>
      <c r="AW121" s="1037"/>
      <c r="AX121" s="1039"/>
      <c r="AY121" s="1037"/>
      <c r="AZ121" s="1037"/>
      <c r="BA121" s="1037"/>
      <c r="BB121" s="1037"/>
      <c r="BC121" s="1037"/>
      <c r="BD121" s="1037"/>
      <c r="BE121" s="1039"/>
      <c r="BF121" s="1039"/>
      <c r="BG121" s="1037"/>
      <c r="BH121" s="1037"/>
      <c r="BI121" s="1037"/>
      <c r="BJ121" s="1037"/>
      <c r="BK121" s="1037"/>
      <c r="BL121" s="1039"/>
      <c r="BM121" s="1040"/>
      <c r="BN121" s="1037"/>
      <c r="BO121" s="972"/>
    </row>
    <row r="122" spans="1:68" s="14" customFormat="1" ht="21.95" hidden="1" customHeight="1" thickBot="1" x14ac:dyDescent="0.2">
      <c r="A122" s="2627"/>
      <c r="B122" s="2623"/>
      <c r="C122" s="558" t="s">
        <v>211</v>
      </c>
      <c r="D122" s="1002"/>
      <c r="E122" s="1286"/>
      <c r="F122" s="1101">
        <f>Dren_Quantificacao!D94</f>
        <v>0</v>
      </c>
      <c r="G122" s="1101">
        <f>Dren_Quantificacao!E94</f>
        <v>0</v>
      </c>
      <c r="H122" s="1101">
        <f>Dren_Quantificacao!F94</f>
        <v>0</v>
      </c>
      <c r="I122" s="1101">
        <f>Dren_Quantificacao!G94</f>
        <v>0</v>
      </c>
      <c r="J122" s="1101">
        <f>Dren_Quantificacao!H94</f>
        <v>0</v>
      </c>
      <c r="K122" s="1101">
        <f>Dren_Quantificacao!I94</f>
        <v>0</v>
      </c>
      <c r="L122" s="1101">
        <f>Dren_Quantificacao!J94</f>
        <v>0</v>
      </c>
      <c r="M122" s="1101">
        <f>Dren_Quantificacao!K94</f>
        <v>0</v>
      </c>
      <c r="N122" s="1101">
        <f>Dren_Quantificacao!L94</f>
        <v>0</v>
      </c>
      <c r="O122" s="1101">
        <f>Dren_Quantificacao!M94</f>
        <v>0</v>
      </c>
      <c r="P122" s="1105"/>
      <c r="Q122" s="1105"/>
      <c r="R122" s="1105"/>
      <c r="S122" s="1105"/>
      <c r="T122" s="1105"/>
      <c r="U122" s="1105"/>
      <c r="V122" s="1105"/>
      <c r="W122" s="1105"/>
      <c r="X122" s="1105"/>
      <c r="Y122" s="1105"/>
      <c r="Z122" s="1105"/>
      <c r="AA122" s="1105"/>
      <c r="AB122" s="1105"/>
      <c r="AC122" s="1105"/>
      <c r="AD122" s="1105"/>
      <c r="AE122" s="1106">
        <f t="shared" si="50"/>
        <v>0</v>
      </c>
      <c r="AF122" s="578">
        <f t="shared" si="49"/>
        <v>0</v>
      </c>
      <c r="AG122" s="1046"/>
      <c r="AH122" s="1037"/>
      <c r="AI122" s="1037"/>
      <c r="AJ122" s="1037"/>
      <c r="AK122" s="1037"/>
      <c r="AL122" s="1037"/>
      <c r="AM122" s="1037"/>
      <c r="AN122" s="1037"/>
      <c r="AO122" s="1039"/>
      <c r="AP122" s="1037"/>
      <c r="AQ122" s="1037"/>
      <c r="AR122" s="1037"/>
      <c r="AS122" s="1037"/>
      <c r="AT122" s="1037"/>
      <c r="AU122" s="1037"/>
      <c r="AV122" s="1037"/>
      <c r="AW122" s="1037"/>
      <c r="AX122" s="1039"/>
      <c r="AY122" s="1037"/>
      <c r="AZ122" s="1037"/>
      <c r="BA122" s="1037"/>
      <c r="BB122" s="1037"/>
      <c r="BC122" s="1037"/>
      <c r="BD122" s="1037"/>
      <c r="BE122" s="1039"/>
      <c r="BF122" s="1039"/>
      <c r="BG122" s="1037"/>
      <c r="BH122" s="1037"/>
      <c r="BI122" s="1037"/>
      <c r="BJ122" s="1037"/>
      <c r="BK122" s="1037"/>
      <c r="BL122" s="1039"/>
      <c r="BM122" s="1040"/>
      <c r="BN122" s="1037"/>
      <c r="BO122" s="972"/>
    </row>
    <row r="123" spans="1:68" s="14" customFormat="1" ht="21.95" hidden="1" customHeight="1" x14ac:dyDescent="0.15">
      <c r="A123" s="2627"/>
      <c r="B123" s="2373" t="s">
        <v>643</v>
      </c>
      <c r="C123" s="551">
        <v>1</v>
      </c>
      <c r="D123" s="998"/>
      <c r="E123" s="2227"/>
      <c r="F123" s="1098">
        <f>Dren_Quantificacao!D95</f>
        <v>0</v>
      </c>
      <c r="G123" s="1098">
        <f>Dren_Quantificacao!E95</f>
        <v>0</v>
      </c>
      <c r="H123" s="1098">
        <f>Dren_Quantificacao!F95</f>
        <v>0</v>
      </c>
      <c r="I123" s="1098">
        <f>Dren_Quantificacao!G95</f>
        <v>0</v>
      </c>
      <c r="J123" s="1098">
        <f>Dren_Quantificacao!H95</f>
        <v>0</v>
      </c>
      <c r="K123" s="1098">
        <f>Dren_Quantificacao!I95</f>
        <v>0</v>
      </c>
      <c r="L123" s="1098">
        <f>Dren_Quantificacao!J95</f>
        <v>0</v>
      </c>
      <c r="M123" s="1098">
        <f>Dren_Quantificacao!K95</f>
        <v>0</v>
      </c>
      <c r="N123" s="1098">
        <f>Dren_Quantificacao!L95</f>
        <v>0</v>
      </c>
      <c r="O123" s="1098">
        <f>Dren_Quantificacao!M95</f>
        <v>0</v>
      </c>
      <c r="P123" s="1099"/>
      <c r="Q123" s="1099"/>
      <c r="R123" s="1099"/>
      <c r="S123" s="1099"/>
      <c r="T123" s="1099"/>
      <c r="U123" s="1099"/>
      <c r="V123" s="1099"/>
      <c r="W123" s="1099"/>
      <c r="X123" s="1099"/>
      <c r="Y123" s="1099"/>
      <c r="Z123" s="1099"/>
      <c r="AA123" s="1099"/>
      <c r="AB123" s="1099"/>
      <c r="AC123" s="1099"/>
      <c r="AD123" s="1099"/>
      <c r="AE123" s="1110">
        <f t="shared" si="50"/>
        <v>0</v>
      </c>
      <c r="AF123" s="578">
        <f t="shared" si="49"/>
        <v>0</v>
      </c>
      <c r="AG123" s="1046">
        <v>0.9</v>
      </c>
      <c r="AH123" s="1037"/>
      <c r="AI123" s="1037"/>
      <c r="AJ123" s="1037"/>
      <c r="AK123" s="1037">
        <v>8.24</v>
      </c>
      <c r="AL123" s="1037"/>
      <c r="AM123" s="1037"/>
      <c r="AN123" s="1037"/>
      <c r="AO123" s="1039"/>
      <c r="AP123" s="1037">
        <v>0.9</v>
      </c>
      <c r="AQ123" s="1037"/>
      <c r="AR123" s="1037"/>
      <c r="AS123" s="1037"/>
      <c r="AT123" s="1037">
        <v>8.24</v>
      </c>
      <c r="AU123" s="1037"/>
      <c r="AV123" s="1037"/>
      <c r="AW123" s="1037"/>
      <c r="AX123" s="1039"/>
      <c r="AY123" s="1037">
        <v>0.9</v>
      </c>
      <c r="AZ123" s="1037"/>
      <c r="BA123" s="1037"/>
      <c r="BB123" s="1037"/>
      <c r="BC123" s="1037">
        <v>8.24</v>
      </c>
      <c r="BD123" s="1037"/>
      <c r="BE123" s="1039"/>
      <c r="BF123" s="1039">
        <v>34.36</v>
      </c>
      <c r="BG123" s="1037"/>
      <c r="BH123" s="1037"/>
      <c r="BI123" s="1037"/>
      <c r="BJ123" s="1037"/>
      <c r="BK123" s="1037">
        <v>34.299999999999997</v>
      </c>
      <c r="BL123" s="1039">
        <v>3</v>
      </c>
      <c r="BM123" s="1040"/>
      <c r="BN123" s="1037"/>
      <c r="BO123" s="972"/>
    </row>
    <row r="124" spans="1:68" s="14" customFormat="1" ht="21.95" hidden="1" customHeight="1" thickBot="1" x14ac:dyDescent="0.2">
      <c r="A124" s="2627"/>
      <c r="B124" s="2374"/>
      <c r="C124" s="2264">
        <v>2</v>
      </c>
      <c r="D124" s="1007"/>
      <c r="E124" s="2232"/>
      <c r="F124" s="1104">
        <f>Dren_Quantificacao!D96</f>
        <v>0</v>
      </c>
      <c r="G124" s="1104">
        <f>Dren_Quantificacao!E96</f>
        <v>0</v>
      </c>
      <c r="H124" s="1104">
        <f>Dren_Quantificacao!F96</f>
        <v>0</v>
      </c>
      <c r="I124" s="1104">
        <f>Dren_Quantificacao!G96</f>
        <v>0</v>
      </c>
      <c r="J124" s="1104">
        <f>Dren_Quantificacao!H96</f>
        <v>0</v>
      </c>
      <c r="K124" s="1104">
        <f>Dren_Quantificacao!I96</f>
        <v>0</v>
      </c>
      <c r="L124" s="1104">
        <f>Dren_Quantificacao!J96</f>
        <v>0</v>
      </c>
      <c r="M124" s="1104">
        <f>Dren_Quantificacao!K96</f>
        <v>0</v>
      </c>
      <c r="N124" s="1104">
        <f>Dren_Quantificacao!L96</f>
        <v>0</v>
      </c>
      <c r="O124" s="1104">
        <f>Dren_Quantificacao!M96</f>
        <v>0</v>
      </c>
      <c r="P124" s="1102"/>
      <c r="Q124" s="1105"/>
      <c r="R124" s="1102"/>
      <c r="S124" s="1105"/>
      <c r="T124" s="1105"/>
      <c r="U124" s="1105"/>
      <c r="V124" s="1105"/>
      <c r="W124" s="1105"/>
      <c r="X124" s="1105"/>
      <c r="Y124" s="1102"/>
      <c r="Z124" s="1105"/>
      <c r="AA124" s="1102"/>
      <c r="AB124" s="1105"/>
      <c r="AC124" s="1105"/>
      <c r="AD124" s="1105"/>
      <c r="AE124" s="1111">
        <f t="shared" si="50"/>
        <v>0</v>
      </c>
      <c r="AF124" s="578">
        <f t="shared" si="49"/>
        <v>0</v>
      </c>
      <c r="AG124" s="1046">
        <v>1.3</v>
      </c>
      <c r="AH124" s="1037"/>
      <c r="AI124" s="1037"/>
      <c r="AJ124" s="1037"/>
      <c r="AK124" s="1037">
        <v>12.48</v>
      </c>
      <c r="AL124" s="1037"/>
      <c r="AM124" s="1037"/>
      <c r="AN124" s="1037"/>
      <c r="AO124" s="1039"/>
      <c r="AP124" s="1037">
        <v>1.3</v>
      </c>
      <c r="AQ124" s="1037"/>
      <c r="AR124" s="1037"/>
      <c r="AS124" s="1037"/>
      <c r="AT124" s="1037">
        <v>12.48</v>
      </c>
      <c r="AU124" s="1037"/>
      <c r="AV124" s="1037"/>
      <c r="AW124" s="1037"/>
      <c r="AX124" s="1039"/>
      <c r="AY124" s="1037">
        <v>1.3</v>
      </c>
      <c r="AZ124" s="1037"/>
      <c r="BA124" s="1037"/>
      <c r="BB124" s="1037"/>
      <c r="BC124" s="1037">
        <v>12.48</v>
      </c>
      <c r="BD124" s="1037"/>
      <c r="BE124" s="1039"/>
      <c r="BF124" s="1039">
        <v>45.28</v>
      </c>
      <c r="BG124" s="1037"/>
      <c r="BH124" s="1037"/>
      <c r="BI124" s="1037"/>
      <c r="BJ124" s="1037"/>
      <c r="BK124" s="1037">
        <v>50.6</v>
      </c>
      <c r="BL124" s="1039">
        <v>5.88</v>
      </c>
      <c r="BM124" s="1040"/>
      <c r="BN124" s="1037"/>
      <c r="BO124" s="972"/>
      <c r="BP124" s="972"/>
    </row>
    <row r="125" spans="1:68" s="14" customFormat="1" ht="21.95" hidden="1" customHeight="1" x14ac:dyDescent="0.15">
      <c r="A125" s="2627"/>
      <c r="B125" s="2624" t="s">
        <v>643</v>
      </c>
      <c r="C125" s="551">
        <v>3</v>
      </c>
      <c r="D125" s="1007"/>
      <c r="E125" s="2232"/>
      <c r="F125" s="1098">
        <f>Dren_Quantificacao!D97</f>
        <v>0</v>
      </c>
      <c r="G125" s="1098">
        <f>Dren_Quantificacao!E97</f>
        <v>0</v>
      </c>
      <c r="H125" s="1098">
        <f>Dren_Quantificacao!F97</f>
        <v>0</v>
      </c>
      <c r="I125" s="1098">
        <f>Dren_Quantificacao!G97</f>
        <v>0</v>
      </c>
      <c r="J125" s="1098">
        <f>Dren_Quantificacao!H97</f>
        <v>0</v>
      </c>
      <c r="K125" s="1098">
        <f>Dren_Quantificacao!I97</f>
        <v>0</v>
      </c>
      <c r="L125" s="1098">
        <f>Dren_Quantificacao!J97</f>
        <v>0</v>
      </c>
      <c r="M125" s="1098">
        <f>Dren_Quantificacao!K97</f>
        <v>0</v>
      </c>
      <c r="N125" s="1098">
        <f>Dren_Quantificacao!L97</f>
        <v>0</v>
      </c>
      <c r="O125" s="1098">
        <f>Dren_Quantificacao!M97</f>
        <v>0</v>
      </c>
      <c r="P125" s="1105"/>
      <c r="Q125" s="1099"/>
      <c r="R125" s="1105"/>
      <c r="S125" s="1099"/>
      <c r="T125" s="1099"/>
      <c r="U125" s="1099"/>
      <c r="V125" s="1099"/>
      <c r="W125" s="1099"/>
      <c r="X125" s="1099"/>
      <c r="Y125" s="1105"/>
      <c r="Z125" s="1099"/>
      <c r="AA125" s="1105"/>
      <c r="AB125" s="1099"/>
      <c r="AC125" s="1099"/>
      <c r="AD125" s="1099"/>
      <c r="AE125" s="1110">
        <f t="shared" si="50"/>
        <v>0</v>
      </c>
      <c r="AF125" s="578">
        <f t="shared" si="49"/>
        <v>0</v>
      </c>
      <c r="AG125" s="1046">
        <v>1.8</v>
      </c>
      <c r="AH125" s="1037"/>
      <c r="AI125" s="1037"/>
      <c r="AJ125" s="1037"/>
      <c r="AK125" s="1037">
        <v>17.600000000000001</v>
      </c>
      <c r="AL125" s="1037"/>
      <c r="AM125" s="1037"/>
      <c r="AN125" s="1037"/>
      <c r="AO125" s="1039"/>
      <c r="AP125" s="1037">
        <v>1.8</v>
      </c>
      <c r="AQ125" s="1037"/>
      <c r="AR125" s="1037"/>
      <c r="AS125" s="1037"/>
      <c r="AT125" s="1037">
        <v>17.600000000000001</v>
      </c>
      <c r="AU125" s="1037"/>
      <c r="AV125" s="1037"/>
      <c r="AW125" s="1037"/>
      <c r="AX125" s="1039"/>
      <c r="AY125" s="1037">
        <v>1.8</v>
      </c>
      <c r="AZ125" s="1037"/>
      <c r="BA125" s="1037"/>
      <c r="BB125" s="1037"/>
      <c r="BC125" s="1037">
        <v>17.600000000000001</v>
      </c>
      <c r="BD125" s="1037"/>
      <c r="BE125" s="1039"/>
      <c r="BF125" s="1039">
        <v>59.3</v>
      </c>
      <c r="BG125" s="1037"/>
      <c r="BH125" s="1037"/>
      <c r="BI125" s="1037"/>
      <c r="BJ125" s="1037"/>
      <c r="BK125" s="1037">
        <v>70.099999999999994</v>
      </c>
      <c r="BL125" s="1039">
        <v>10.130000000000001</v>
      </c>
      <c r="BM125" s="1040"/>
      <c r="BN125" s="1037"/>
      <c r="BO125" s="972"/>
      <c r="BP125" s="972"/>
    </row>
    <row r="126" spans="1:68" s="14" customFormat="1" ht="21.95" hidden="1" customHeight="1" x14ac:dyDescent="0.15">
      <c r="A126" s="2627"/>
      <c r="B126" s="2625"/>
      <c r="C126" s="661">
        <v>4</v>
      </c>
      <c r="D126" s="1007"/>
      <c r="E126" s="2232"/>
      <c r="F126" s="1104">
        <f>Dren_Quantificacao!D98</f>
        <v>0</v>
      </c>
      <c r="G126" s="1104">
        <f>Dren_Quantificacao!E98</f>
        <v>0</v>
      </c>
      <c r="H126" s="1104">
        <f>Dren_Quantificacao!F98</f>
        <v>0</v>
      </c>
      <c r="I126" s="1104">
        <f>Dren_Quantificacao!G98</f>
        <v>0</v>
      </c>
      <c r="J126" s="1104">
        <f>Dren_Quantificacao!H98</f>
        <v>0</v>
      </c>
      <c r="K126" s="1104">
        <f>Dren_Quantificacao!I98</f>
        <v>0</v>
      </c>
      <c r="L126" s="1104">
        <f>Dren_Quantificacao!J98</f>
        <v>0</v>
      </c>
      <c r="M126" s="1104">
        <f>Dren_Quantificacao!K98</f>
        <v>0</v>
      </c>
      <c r="N126" s="1104">
        <f>Dren_Quantificacao!L98</f>
        <v>0</v>
      </c>
      <c r="O126" s="1104">
        <f>Dren_Quantificacao!M98</f>
        <v>0</v>
      </c>
      <c r="P126" s="1105"/>
      <c r="Q126" s="1105"/>
      <c r="R126" s="1105"/>
      <c r="S126" s="1105"/>
      <c r="T126" s="1105"/>
      <c r="U126" s="1105"/>
      <c r="V126" s="1105"/>
      <c r="W126" s="1105"/>
      <c r="X126" s="1105"/>
      <c r="Y126" s="1105"/>
      <c r="Z126" s="1105"/>
      <c r="AA126" s="1105"/>
      <c r="AB126" s="1105"/>
      <c r="AC126" s="1105"/>
      <c r="AD126" s="1105"/>
      <c r="AE126" s="1111">
        <f t="shared" si="50"/>
        <v>0</v>
      </c>
      <c r="AF126" s="578">
        <f t="shared" si="49"/>
        <v>0</v>
      </c>
      <c r="AG126" s="1046">
        <v>2.4</v>
      </c>
      <c r="AH126" s="1037"/>
      <c r="AI126" s="1037"/>
      <c r="AJ126" s="1037"/>
      <c r="AK126" s="1037">
        <v>23.72</v>
      </c>
      <c r="AL126" s="1037"/>
      <c r="AM126" s="1037"/>
      <c r="AN126" s="1037"/>
      <c r="AO126" s="1039"/>
      <c r="AP126" s="1037">
        <v>2.4</v>
      </c>
      <c r="AQ126" s="1037"/>
      <c r="AR126" s="1037"/>
      <c r="AS126" s="1037"/>
      <c r="AT126" s="1037">
        <v>23.72</v>
      </c>
      <c r="AU126" s="1037"/>
      <c r="AV126" s="1037"/>
      <c r="AW126" s="1037"/>
      <c r="AX126" s="1039"/>
      <c r="AY126" s="1037">
        <v>2.4</v>
      </c>
      <c r="AZ126" s="1037"/>
      <c r="BA126" s="1037"/>
      <c r="BB126" s="1037"/>
      <c r="BC126" s="1037">
        <v>23.72</v>
      </c>
      <c r="BD126" s="1037"/>
      <c r="BE126" s="1039"/>
      <c r="BF126" s="1039">
        <v>74.98</v>
      </c>
      <c r="BG126" s="1037"/>
      <c r="BH126" s="1037"/>
      <c r="BI126" s="1037"/>
      <c r="BJ126" s="1037"/>
      <c r="BK126" s="1037">
        <v>92.7</v>
      </c>
      <c r="BL126" s="1039">
        <v>16.11</v>
      </c>
      <c r="BM126" s="1040"/>
      <c r="BN126" s="1037"/>
      <c r="BO126" s="972"/>
      <c r="BP126" s="972"/>
    </row>
    <row r="127" spans="1:68" s="14" customFormat="1" ht="21.95" hidden="1" customHeight="1" x14ac:dyDescent="0.15">
      <c r="A127" s="2627"/>
      <c r="B127" s="2625"/>
      <c r="C127" s="661">
        <v>5</v>
      </c>
      <c r="D127" s="1007"/>
      <c r="E127" s="2232"/>
      <c r="F127" s="1104">
        <f>Dren_Quantificacao!D99</f>
        <v>0</v>
      </c>
      <c r="G127" s="1104">
        <f>Dren_Quantificacao!E99</f>
        <v>0</v>
      </c>
      <c r="H127" s="1104">
        <f>Dren_Quantificacao!F99</f>
        <v>0</v>
      </c>
      <c r="I127" s="1104">
        <f>Dren_Quantificacao!G99</f>
        <v>0</v>
      </c>
      <c r="J127" s="1104">
        <f>Dren_Quantificacao!H99</f>
        <v>0</v>
      </c>
      <c r="K127" s="1104">
        <f>Dren_Quantificacao!I99</f>
        <v>0</v>
      </c>
      <c r="L127" s="1104">
        <f>Dren_Quantificacao!J99</f>
        <v>0</v>
      </c>
      <c r="M127" s="1104">
        <f>Dren_Quantificacao!K99</f>
        <v>0</v>
      </c>
      <c r="N127" s="1104">
        <f>Dren_Quantificacao!L99</f>
        <v>0</v>
      </c>
      <c r="O127" s="1104">
        <f>Dren_Quantificacao!M99</f>
        <v>0</v>
      </c>
      <c r="P127" s="1105"/>
      <c r="Q127" s="1105"/>
      <c r="R127" s="1105"/>
      <c r="S127" s="1105"/>
      <c r="T127" s="1105"/>
      <c r="U127" s="1105"/>
      <c r="V127" s="1105"/>
      <c r="W127" s="1105"/>
      <c r="X127" s="1105"/>
      <c r="Y127" s="1105"/>
      <c r="Z127" s="1105"/>
      <c r="AA127" s="1105"/>
      <c r="AB127" s="1105"/>
      <c r="AC127" s="1105"/>
      <c r="AD127" s="1105"/>
      <c r="AE127" s="1111">
        <f t="shared" si="50"/>
        <v>0</v>
      </c>
      <c r="AF127" s="578">
        <f t="shared" si="49"/>
        <v>0</v>
      </c>
      <c r="AG127" s="1046">
        <v>3.7</v>
      </c>
      <c r="AH127" s="1037"/>
      <c r="AI127" s="1037"/>
      <c r="AJ127" s="1037"/>
      <c r="AK127" s="1037">
        <v>39.14</v>
      </c>
      <c r="AL127" s="1037"/>
      <c r="AM127" s="1037"/>
      <c r="AN127" s="1037"/>
      <c r="AO127" s="1039"/>
      <c r="AP127" s="1037">
        <v>3.7</v>
      </c>
      <c r="AQ127" s="1037"/>
      <c r="AR127" s="1037"/>
      <c r="AS127" s="1037"/>
      <c r="AT127" s="1037">
        <v>39.14</v>
      </c>
      <c r="AU127" s="1037"/>
      <c r="AV127" s="1037"/>
      <c r="AW127" s="1037"/>
      <c r="AX127" s="1039"/>
      <c r="AY127" s="1037">
        <v>3.7</v>
      </c>
      <c r="AZ127" s="1037"/>
      <c r="BA127" s="1037"/>
      <c r="BB127" s="1037"/>
      <c r="BC127" s="1037">
        <v>39.14</v>
      </c>
      <c r="BD127" s="1037"/>
      <c r="BE127" s="1039"/>
      <c r="BF127" s="1039">
        <v>109.04</v>
      </c>
      <c r="BG127" s="1037"/>
      <c r="BH127" s="1037"/>
      <c r="BI127" s="1037"/>
      <c r="BJ127" s="1037"/>
      <c r="BK127" s="1037">
        <v>147.6</v>
      </c>
      <c r="BL127" s="1039">
        <v>34.22</v>
      </c>
      <c r="BM127" s="1040"/>
      <c r="BN127" s="1037"/>
      <c r="BO127" s="972"/>
      <c r="BP127" s="972"/>
    </row>
    <row r="128" spans="1:68" s="14" customFormat="1" ht="21.95" hidden="1" customHeight="1" x14ac:dyDescent="0.15">
      <c r="A128" s="2627"/>
      <c r="B128" s="2625"/>
      <c r="C128" s="661">
        <v>6</v>
      </c>
      <c r="D128" s="1008"/>
      <c r="E128" s="2243"/>
      <c r="F128" s="1107">
        <f>Dren_Quantificacao!D100</f>
        <v>0</v>
      </c>
      <c r="G128" s="1107">
        <f>Dren_Quantificacao!E100</f>
        <v>0</v>
      </c>
      <c r="H128" s="1107">
        <f>Dren_Quantificacao!F100</f>
        <v>0</v>
      </c>
      <c r="I128" s="1107">
        <f>Dren_Quantificacao!G100</f>
        <v>0</v>
      </c>
      <c r="J128" s="1107">
        <f>Dren_Quantificacao!H100</f>
        <v>0</v>
      </c>
      <c r="K128" s="1107">
        <f>Dren_Quantificacao!I100</f>
        <v>0</v>
      </c>
      <c r="L128" s="1107">
        <f>Dren_Quantificacao!J100</f>
        <v>0</v>
      </c>
      <c r="M128" s="1107">
        <f>Dren_Quantificacao!K100</f>
        <v>0</v>
      </c>
      <c r="N128" s="1107">
        <f>Dren_Quantificacao!L100</f>
        <v>0</v>
      </c>
      <c r="O128" s="1107">
        <f>Dren_Quantificacao!M100</f>
        <v>0</v>
      </c>
      <c r="P128" s="1108"/>
      <c r="Q128" s="1108"/>
      <c r="R128" s="1108"/>
      <c r="S128" s="1108"/>
      <c r="T128" s="1108"/>
      <c r="U128" s="1108"/>
      <c r="V128" s="1108"/>
      <c r="W128" s="1108"/>
      <c r="X128" s="1108"/>
      <c r="Y128" s="1108"/>
      <c r="Z128" s="1108"/>
      <c r="AA128" s="1108"/>
      <c r="AB128" s="1108"/>
      <c r="AC128" s="1108"/>
      <c r="AD128" s="1108"/>
      <c r="AE128" s="1112">
        <f t="shared" si="50"/>
        <v>0</v>
      </c>
      <c r="AF128" s="578">
        <f t="shared" si="49"/>
        <v>0</v>
      </c>
      <c r="AG128" s="1046">
        <v>4.5</v>
      </c>
      <c r="AH128" s="1037"/>
      <c r="AI128" s="1037"/>
      <c r="AJ128" s="1037"/>
      <c r="AK128" s="1037">
        <v>48.36</v>
      </c>
      <c r="AL128" s="1037"/>
      <c r="AM128" s="1037"/>
      <c r="AN128" s="1037"/>
      <c r="AO128" s="1039"/>
      <c r="AP128" s="1037">
        <v>4.5</v>
      </c>
      <c r="AQ128" s="1037"/>
      <c r="AR128" s="1037"/>
      <c r="AS128" s="1037"/>
      <c r="AT128" s="1037">
        <v>48.36</v>
      </c>
      <c r="AU128" s="1037"/>
      <c r="AV128" s="1037"/>
      <c r="AW128" s="1037"/>
      <c r="AX128" s="1039"/>
      <c r="AY128" s="1037">
        <v>4.5</v>
      </c>
      <c r="AZ128" s="1037"/>
      <c r="BA128" s="1037"/>
      <c r="BB128" s="1037"/>
      <c r="BC128" s="1037">
        <v>48.36</v>
      </c>
      <c r="BD128" s="1037"/>
      <c r="BE128" s="1039"/>
      <c r="BF128" s="1039">
        <v>126.26</v>
      </c>
      <c r="BG128" s="1045"/>
      <c r="BH128" s="1037"/>
      <c r="BI128" s="1037"/>
      <c r="BJ128" s="1037"/>
      <c r="BK128" s="1037">
        <v>179.6</v>
      </c>
      <c r="BL128" s="1039">
        <v>46.87</v>
      </c>
      <c r="BM128" s="1040"/>
      <c r="BN128" s="1037"/>
      <c r="BO128" s="972"/>
      <c r="BP128" s="972"/>
    </row>
    <row r="129" spans="1:68" s="14" customFormat="1" ht="21.95" hidden="1" customHeight="1" x14ac:dyDescent="0.15">
      <c r="A129" s="2627"/>
      <c r="B129" s="2625"/>
      <c r="C129" s="558" t="s">
        <v>1200</v>
      </c>
      <c r="D129" s="1002"/>
      <c r="E129" s="1286"/>
      <c r="F129" s="1113">
        <f t="shared" ref="F129" si="51">0.9*F123+1.3*F124+1.8*F125+2.4*F126+3.7*F127+4.5*F128</f>
        <v>0</v>
      </c>
      <c r="G129" s="1113">
        <f t="shared" ref="G129" si="52">0.9*G123+1.3*G124+1.8*G125+2.4*G126+3.7*G127+4.5*G128</f>
        <v>0</v>
      </c>
      <c r="H129" s="1113">
        <f t="shared" ref="H129:M129" si="53">0.9*H123+1.3*H124+1.8*H125+2.4*H126+3.7*H127+4.5*H128</f>
        <v>0</v>
      </c>
      <c r="I129" s="1113">
        <f t="shared" si="53"/>
        <v>0</v>
      </c>
      <c r="J129" s="1113">
        <f t="shared" si="53"/>
        <v>0</v>
      </c>
      <c r="K129" s="1113">
        <f t="shared" si="53"/>
        <v>0</v>
      </c>
      <c r="L129" s="1113">
        <f t="shared" si="53"/>
        <v>0</v>
      </c>
      <c r="M129" s="1113">
        <f t="shared" si="53"/>
        <v>0</v>
      </c>
      <c r="N129" s="1113">
        <f t="shared" ref="N129:O129" si="54">0.9*N123+1.3*N124+1.8*N125+2.4*N126+3.7*N127+4.5*N128</f>
        <v>0</v>
      </c>
      <c r="O129" s="1113">
        <f t="shared" si="54"/>
        <v>0</v>
      </c>
      <c r="P129" s="1114"/>
      <c r="Q129" s="1114"/>
      <c r="R129" s="1114"/>
      <c r="S129" s="1114"/>
      <c r="T129" s="1114"/>
      <c r="U129" s="1114"/>
      <c r="V129" s="1114"/>
      <c r="W129" s="1114"/>
      <c r="X129" s="1114"/>
      <c r="Y129" s="1114"/>
      <c r="Z129" s="1114"/>
      <c r="AA129" s="1114"/>
      <c r="AB129" s="1114"/>
      <c r="AC129" s="1114"/>
      <c r="AD129" s="1114"/>
      <c r="AE129" s="1115">
        <f t="shared" si="50"/>
        <v>0</v>
      </c>
      <c r="AF129" s="578">
        <f t="shared" si="49"/>
        <v>0</v>
      </c>
      <c r="AG129" s="1046"/>
      <c r="AH129" s="1037"/>
      <c r="AI129" s="1037"/>
      <c r="AJ129" s="1037"/>
      <c r="AK129" s="1037"/>
      <c r="AL129" s="1037"/>
      <c r="AM129" s="1037"/>
      <c r="AN129" s="1037"/>
      <c r="AO129" s="1039"/>
      <c r="AP129" s="1037"/>
      <c r="AQ129" s="1037"/>
      <c r="AR129" s="1037"/>
      <c r="AS129" s="1037"/>
      <c r="AT129" s="1037"/>
      <c r="AU129" s="1037"/>
      <c r="AV129" s="1037"/>
      <c r="AW129" s="1037"/>
      <c r="AX129" s="1039"/>
      <c r="AY129" s="1037"/>
      <c r="AZ129" s="1037"/>
      <c r="BA129" s="1037"/>
      <c r="BB129" s="1037"/>
      <c r="BC129" s="1037"/>
      <c r="BD129" s="1037"/>
      <c r="BE129" s="1039"/>
      <c r="BF129" s="1039"/>
      <c r="BG129" s="1037"/>
      <c r="BH129" s="1037"/>
      <c r="BI129" s="1037"/>
      <c r="BJ129" s="1037"/>
      <c r="BK129" s="1037"/>
      <c r="BL129" s="1039"/>
      <c r="BM129" s="1040"/>
      <c r="BN129" s="1037"/>
      <c r="BO129" s="972"/>
      <c r="BP129" s="972"/>
    </row>
    <row r="130" spans="1:68" s="14" customFormat="1" ht="21.95" hidden="1" customHeight="1" x14ac:dyDescent="0.15">
      <c r="A130" s="2627"/>
      <c r="B130" s="2625"/>
      <c r="C130" s="566" t="s">
        <v>218</v>
      </c>
      <c r="D130" s="1002"/>
      <c r="E130" s="1286"/>
      <c r="F130" s="1113">
        <f t="shared" ref="F130" si="55">8.24*F123+12.48*F124+17.6*F125+23.72*F126+39.14*F127+48.36*F128</f>
        <v>0</v>
      </c>
      <c r="G130" s="1113">
        <f t="shared" ref="G130" si="56">8.24*G123+12.48*G124+17.6*G125+23.72*G126+39.14*G127+48.36*G128</f>
        <v>0</v>
      </c>
      <c r="H130" s="1113">
        <f t="shared" ref="H130:M130" si="57">8.24*H123+12.48*H124+17.6*H125+23.72*H126+39.14*H127+48.36*H128</f>
        <v>0</v>
      </c>
      <c r="I130" s="1113">
        <f t="shared" si="57"/>
        <v>0</v>
      </c>
      <c r="J130" s="1113">
        <f t="shared" si="57"/>
        <v>0</v>
      </c>
      <c r="K130" s="1113">
        <f t="shared" si="57"/>
        <v>0</v>
      </c>
      <c r="L130" s="1113">
        <f t="shared" si="57"/>
        <v>0</v>
      </c>
      <c r="M130" s="1113">
        <f t="shared" si="57"/>
        <v>0</v>
      </c>
      <c r="N130" s="1113">
        <f t="shared" ref="N130:O130" si="58">8.24*N123+12.48*N124+17.6*N125+23.72*N126+39.14*N127+48.36*N128</f>
        <v>0</v>
      </c>
      <c r="O130" s="1113">
        <f t="shared" si="58"/>
        <v>0</v>
      </c>
      <c r="P130" s="1114"/>
      <c r="Q130" s="1114"/>
      <c r="R130" s="1114"/>
      <c r="S130" s="1114"/>
      <c r="T130" s="1114"/>
      <c r="U130" s="1114"/>
      <c r="V130" s="1114"/>
      <c r="W130" s="1114"/>
      <c r="X130" s="1114"/>
      <c r="Y130" s="1114"/>
      <c r="Z130" s="1114"/>
      <c r="AA130" s="1114"/>
      <c r="AB130" s="1114"/>
      <c r="AC130" s="1114"/>
      <c r="AD130" s="1114"/>
      <c r="AE130" s="1115">
        <f t="shared" si="50"/>
        <v>0</v>
      </c>
      <c r="AF130" s="578">
        <f t="shared" ref="AF130:AF161" si="59">SUM(F130:AE130)</f>
        <v>0</v>
      </c>
      <c r="AG130" s="1046"/>
      <c r="AH130" s="1037"/>
      <c r="AI130" s="1037"/>
      <c r="AJ130" s="1037"/>
      <c r="AK130" s="1037"/>
      <c r="AL130" s="1037"/>
      <c r="AM130" s="1037"/>
      <c r="AN130" s="1037"/>
      <c r="AO130" s="1039"/>
      <c r="AP130" s="1037"/>
      <c r="AQ130" s="1037"/>
      <c r="AR130" s="1037"/>
      <c r="AS130" s="1037"/>
      <c r="AT130" s="1037"/>
      <c r="AU130" s="1037"/>
      <c r="AV130" s="1037"/>
      <c r="AW130" s="1037"/>
      <c r="AX130" s="1039"/>
      <c r="AY130" s="1037"/>
      <c r="AZ130" s="1037"/>
      <c r="BA130" s="1037"/>
      <c r="BB130" s="1037"/>
      <c r="BC130" s="1037"/>
      <c r="BD130" s="1037"/>
      <c r="BE130" s="1039"/>
      <c r="BF130" s="1039"/>
      <c r="BG130" s="1037"/>
      <c r="BH130" s="1037"/>
      <c r="BI130" s="1037"/>
      <c r="BJ130" s="1037"/>
      <c r="BK130" s="1037"/>
      <c r="BL130" s="1039"/>
      <c r="BM130" s="1040"/>
      <c r="BN130" s="1037"/>
      <c r="BO130" s="972"/>
      <c r="BP130" s="972"/>
    </row>
    <row r="131" spans="1:68" s="14" customFormat="1" ht="21.95" hidden="1" customHeight="1" x14ac:dyDescent="0.15">
      <c r="A131" s="2627"/>
      <c r="B131" s="2625"/>
      <c r="C131" s="566" t="s">
        <v>1210</v>
      </c>
      <c r="D131" s="1002"/>
      <c r="E131" s="1286"/>
      <c r="F131" s="1113">
        <f t="shared" ref="F131" si="60">34.3*F123+50.6*F124+70.1*F125+92.7*F126+147.6*F127+179.6*F128</f>
        <v>0</v>
      </c>
      <c r="G131" s="1113">
        <f t="shared" ref="G131" si="61">34.3*G123+50.6*G124+70.1*G125+92.7*G126+147.6*G127+179.6*G128</f>
        <v>0</v>
      </c>
      <c r="H131" s="1113">
        <f t="shared" ref="H131:M131" si="62">34.3*H123+50.6*H124+70.1*H125+92.7*H126+147.6*H127+179.6*H128</f>
        <v>0</v>
      </c>
      <c r="I131" s="1113">
        <f t="shared" si="62"/>
        <v>0</v>
      </c>
      <c r="J131" s="1113">
        <f t="shared" si="62"/>
        <v>0</v>
      </c>
      <c r="K131" s="1113">
        <f t="shared" si="62"/>
        <v>0</v>
      </c>
      <c r="L131" s="1113">
        <f t="shared" si="62"/>
        <v>0</v>
      </c>
      <c r="M131" s="1113">
        <f t="shared" si="62"/>
        <v>0</v>
      </c>
      <c r="N131" s="1113">
        <f t="shared" ref="N131:O131" si="63">34.3*N123+50.6*N124+70.1*N125+92.7*N126+147.6*N127+179.6*N128</f>
        <v>0</v>
      </c>
      <c r="O131" s="1113">
        <f t="shared" si="63"/>
        <v>0</v>
      </c>
      <c r="P131" s="1114"/>
      <c r="Q131" s="1114"/>
      <c r="R131" s="1114"/>
      <c r="S131" s="1114"/>
      <c r="T131" s="1114"/>
      <c r="U131" s="1114"/>
      <c r="V131" s="1114"/>
      <c r="W131" s="1114"/>
      <c r="X131" s="1114"/>
      <c r="Y131" s="1114"/>
      <c r="Z131" s="1114"/>
      <c r="AA131" s="1114"/>
      <c r="AB131" s="1114"/>
      <c r="AC131" s="1114"/>
      <c r="AD131" s="1114"/>
      <c r="AE131" s="1115">
        <f t="shared" si="50"/>
        <v>0</v>
      </c>
      <c r="AF131" s="578">
        <f t="shared" si="59"/>
        <v>0</v>
      </c>
      <c r="AG131" s="1046"/>
      <c r="AH131" s="1037"/>
      <c r="AI131" s="1037"/>
      <c r="AJ131" s="1037"/>
      <c r="AK131" s="1037"/>
      <c r="AL131" s="1037"/>
      <c r="AM131" s="1037"/>
      <c r="AN131" s="1037"/>
      <c r="AO131" s="1039"/>
      <c r="AP131" s="1037"/>
      <c r="AQ131" s="1037"/>
      <c r="AR131" s="1037"/>
      <c r="AS131" s="1037"/>
      <c r="AT131" s="1037"/>
      <c r="AU131" s="1037"/>
      <c r="AV131" s="1037"/>
      <c r="AW131" s="1037"/>
      <c r="AX131" s="1039"/>
      <c r="AY131" s="1037"/>
      <c r="AZ131" s="1037"/>
      <c r="BA131" s="1037"/>
      <c r="BB131" s="1037"/>
      <c r="BC131" s="1037"/>
      <c r="BD131" s="1037"/>
      <c r="BE131" s="1039"/>
      <c r="BF131" s="1039"/>
      <c r="BG131" s="1037"/>
      <c r="BH131" s="1037"/>
      <c r="BI131" s="1037"/>
      <c r="BJ131" s="1037"/>
      <c r="BK131" s="1037"/>
      <c r="BL131" s="1039"/>
      <c r="BM131" s="1040"/>
      <c r="BN131" s="1037"/>
      <c r="BO131" s="972"/>
      <c r="BP131" s="972"/>
    </row>
    <row r="132" spans="1:68" s="14" customFormat="1" ht="21.95" hidden="1" customHeight="1" x14ac:dyDescent="0.15">
      <c r="A132" s="2627"/>
      <c r="B132" s="2625"/>
      <c r="C132" s="566" t="s">
        <v>492</v>
      </c>
      <c r="D132" s="1002"/>
      <c r="E132" s="1286"/>
      <c r="F132" s="1113">
        <f t="shared" ref="F132" si="64">34.36*F123+45.28*F124+59.3*F125+74.98*F126+109.04*F127+126.26*F128</f>
        <v>0</v>
      </c>
      <c r="G132" s="1113">
        <f t="shared" ref="G132" si="65">34.36*G123+45.28*G124+59.3*G125+74.98*G126+109.04*G127+126.26*G128</f>
        <v>0</v>
      </c>
      <c r="H132" s="1113">
        <f t="shared" ref="H132:M132" si="66">34.36*H123+45.28*H124+59.3*H125+74.98*H126+109.04*H127+126.26*H128</f>
        <v>0</v>
      </c>
      <c r="I132" s="1113">
        <f t="shared" si="66"/>
        <v>0</v>
      </c>
      <c r="J132" s="1113">
        <f t="shared" si="66"/>
        <v>0</v>
      </c>
      <c r="K132" s="1113">
        <f t="shared" si="66"/>
        <v>0</v>
      </c>
      <c r="L132" s="1113">
        <f t="shared" si="66"/>
        <v>0</v>
      </c>
      <c r="M132" s="1113">
        <f t="shared" si="66"/>
        <v>0</v>
      </c>
      <c r="N132" s="1113">
        <f t="shared" ref="N132:O132" si="67">34.36*N123+45.28*N124+59.3*N125+74.98*N126+109.04*N127+126.26*N128</f>
        <v>0</v>
      </c>
      <c r="O132" s="1113">
        <f t="shared" si="67"/>
        <v>0</v>
      </c>
      <c r="P132" s="1114"/>
      <c r="Q132" s="1114"/>
      <c r="R132" s="1114"/>
      <c r="S132" s="1114"/>
      <c r="T132" s="1114"/>
      <c r="U132" s="1114"/>
      <c r="V132" s="1114"/>
      <c r="W132" s="1114"/>
      <c r="X132" s="1114"/>
      <c r="Y132" s="1114"/>
      <c r="Z132" s="1114"/>
      <c r="AA132" s="1114"/>
      <c r="AB132" s="1114"/>
      <c r="AC132" s="1114"/>
      <c r="AD132" s="1114"/>
      <c r="AE132" s="1115">
        <f t="shared" si="50"/>
        <v>0</v>
      </c>
      <c r="AF132" s="578">
        <f t="shared" si="59"/>
        <v>0</v>
      </c>
      <c r="AG132" s="1046"/>
      <c r="AH132" s="1037"/>
      <c r="AI132" s="1037"/>
      <c r="AJ132" s="1037"/>
      <c r="AK132" s="1037"/>
      <c r="AL132" s="1037"/>
      <c r="AM132" s="1037"/>
      <c r="AN132" s="1037"/>
      <c r="AO132" s="1039"/>
      <c r="AP132" s="1037"/>
      <c r="AQ132" s="1037"/>
      <c r="AR132" s="1037"/>
      <c r="AS132" s="1037"/>
      <c r="AT132" s="1037"/>
      <c r="AU132" s="1037"/>
      <c r="AV132" s="1037"/>
      <c r="AW132" s="1037"/>
      <c r="AX132" s="1039"/>
      <c r="AY132" s="1037"/>
      <c r="AZ132" s="1037"/>
      <c r="BA132" s="1037"/>
      <c r="BB132" s="1037"/>
      <c r="BC132" s="1037"/>
      <c r="BD132" s="1037"/>
      <c r="BE132" s="1039"/>
      <c r="BF132" s="1039"/>
      <c r="BG132" s="1037"/>
      <c r="BH132" s="1037"/>
      <c r="BI132" s="1037"/>
      <c r="BJ132" s="1037"/>
      <c r="BK132" s="1037"/>
      <c r="BL132" s="1039"/>
      <c r="BM132" s="1040"/>
      <c r="BN132" s="1037"/>
      <c r="BO132" s="972"/>
      <c r="BP132" s="972"/>
    </row>
    <row r="133" spans="1:68" s="14" customFormat="1" ht="21.95" hidden="1" customHeight="1" thickBot="1" x14ac:dyDescent="0.2">
      <c r="A133" s="2627"/>
      <c r="B133" s="2626"/>
      <c r="C133" s="566" t="s">
        <v>219</v>
      </c>
      <c r="D133" s="1009"/>
      <c r="E133" s="2244"/>
      <c r="F133" s="1116">
        <f t="shared" ref="F133" si="68">3*F123+5.88*F124+10.13*F125+16.11*F126+34.22*F127+46.87*F128</f>
        <v>0</v>
      </c>
      <c r="G133" s="1116">
        <f t="shared" ref="G133" si="69">3*G123+5.88*G124+10.13*G125+16.11*G126+34.22*G127+46.87*G128</f>
        <v>0</v>
      </c>
      <c r="H133" s="1116">
        <f t="shared" ref="H133:M133" si="70">3*H123+5.88*H124+10.13*H125+16.11*H126+34.22*H127+46.87*H128</f>
        <v>0</v>
      </c>
      <c r="I133" s="1116">
        <f t="shared" si="70"/>
        <v>0</v>
      </c>
      <c r="J133" s="1116">
        <f t="shared" si="70"/>
        <v>0</v>
      </c>
      <c r="K133" s="1116">
        <f t="shared" si="70"/>
        <v>0</v>
      </c>
      <c r="L133" s="1116">
        <f t="shared" si="70"/>
        <v>0</v>
      </c>
      <c r="M133" s="1116">
        <f t="shared" si="70"/>
        <v>0</v>
      </c>
      <c r="N133" s="1116">
        <f t="shared" ref="N133:O133" si="71">3*N123+5.88*N124+10.13*N125+16.11*N126+34.22*N127+46.87*N128</f>
        <v>0</v>
      </c>
      <c r="O133" s="1116">
        <f t="shared" si="71"/>
        <v>0</v>
      </c>
      <c r="P133" s="1117"/>
      <c r="Q133" s="1117"/>
      <c r="R133" s="1117"/>
      <c r="S133" s="1117"/>
      <c r="T133" s="1117"/>
      <c r="U133" s="1117"/>
      <c r="V133" s="1117"/>
      <c r="W133" s="1117"/>
      <c r="X133" s="1117"/>
      <c r="Y133" s="1117"/>
      <c r="Z133" s="1117"/>
      <c r="AA133" s="1117"/>
      <c r="AB133" s="1117"/>
      <c r="AC133" s="1117"/>
      <c r="AD133" s="1117"/>
      <c r="AE133" s="1118">
        <f t="shared" si="50"/>
        <v>0</v>
      </c>
      <c r="AF133" s="578">
        <f t="shared" si="59"/>
        <v>0</v>
      </c>
      <c r="AG133" s="1046"/>
      <c r="AH133" s="1037"/>
      <c r="AI133" s="1037"/>
      <c r="AJ133" s="1037"/>
      <c r="AK133" s="1037"/>
      <c r="AL133" s="1037"/>
      <c r="AM133" s="1037"/>
      <c r="AN133" s="1037"/>
      <c r="AO133" s="1039"/>
      <c r="AP133" s="1037"/>
      <c r="AQ133" s="1037"/>
      <c r="AR133" s="1037"/>
      <c r="AS133" s="1037"/>
      <c r="AT133" s="1037"/>
      <c r="AU133" s="1037"/>
      <c r="AV133" s="1037"/>
      <c r="AW133" s="1037"/>
      <c r="AX133" s="1039"/>
      <c r="AY133" s="1037"/>
      <c r="AZ133" s="1037"/>
      <c r="BA133" s="1037"/>
      <c r="BB133" s="1037"/>
      <c r="BC133" s="1037"/>
      <c r="BD133" s="1037"/>
      <c r="BE133" s="1039"/>
      <c r="BF133" s="1039"/>
      <c r="BG133" s="1037"/>
      <c r="BH133" s="1037"/>
      <c r="BI133" s="1037"/>
      <c r="BJ133" s="1037"/>
      <c r="BK133" s="1037"/>
      <c r="BL133" s="1039"/>
      <c r="BM133" s="1040"/>
      <c r="BN133" s="1037"/>
      <c r="BO133" s="972"/>
      <c r="BP133" s="972"/>
    </row>
    <row r="134" spans="1:68" s="14" customFormat="1" ht="21.95" hidden="1" customHeight="1" x14ac:dyDescent="0.15">
      <c r="A134" s="2627"/>
      <c r="B134" s="2522" t="s">
        <v>150</v>
      </c>
      <c r="C134" s="549" t="s">
        <v>1200</v>
      </c>
      <c r="D134" s="1001"/>
      <c r="E134" s="2230"/>
      <c r="F134" s="1119">
        <f>Dren_Quantificacao!D117</f>
        <v>0</v>
      </c>
      <c r="G134" s="1119">
        <f>Dren_Quantificacao!E117</f>
        <v>0</v>
      </c>
      <c r="H134" s="1119">
        <f>Dren_Quantificacao!F117</f>
        <v>0</v>
      </c>
      <c r="I134" s="1119">
        <f>Dren_Quantificacao!G117</f>
        <v>0</v>
      </c>
      <c r="J134" s="1119">
        <f>Dren_Quantificacao!H117</f>
        <v>0</v>
      </c>
      <c r="K134" s="1119">
        <f>Dren_Quantificacao!I117</f>
        <v>0</v>
      </c>
      <c r="L134" s="1119">
        <f>Dren_Quantificacao!J117</f>
        <v>0</v>
      </c>
      <c r="M134" s="1119">
        <f>Dren_Quantificacao!K117</f>
        <v>0</v>
      </c>
      <c r="N134" s="1119">
        <f>Dren_Quantificacao!L117</f>
        <v>0</v>
      </c>
      <c r="O134" s="1119">
        <f>Dren_Quantificacao!M117</f>
        <v>0</v>
      </c>
      <c r="P134" s="1120">
        <f>Dren_Quantificacao!O117</f>
        <v>0</v>
      </c>
      <c r="Q134" s="1120">
        <f>Dren_Quantificacao!P117</f>
        <v>0</v>
      </c>
      <c r="R134" s="1120">
        <f>Dren_Quantificacao!Q117</f>
        <v>0</v>
      </c>
      <c r="S134" s="1120">
        <f>Dren_Quantificacao!R117</f>
        <v>0</v>
      </c>
      <c r="T134" s="1120">
        <f>Dren_Quantificacao!S117</f>
        <v>0</v>
      </c>
      <c r="U134" s="1120">
        <f>+Dren_Quantificacao!T117</f>
        <v>0</v>
      </c>
      <c r="V134" s="1120">
        <f>+Dren_Quantificacao!U117</f>
        <v>0</v>
      </c>
      <c r="W134" s="1120">
        <f>+Dren_Quantificacao!V117</f>
        <v>0</v>
      </c>
      <c r="X134" s="1120">
        <f>+Dren_Quantificacao!W117</f>
        <v>0</v>
      </c>
      <c r="Y134" s="1120">
        <f>+Dren_Quantificacao!X117</f>
        <v>0</v>
      </c>
      <c r="Z134" s="1120">
        <f>+Dren_Quantificacao!Y117</f>
        <v>0</v>
      </c>
      <c r="AA134" s="1120">
        <f>+Dren_Quantificacao!Z117</f>
        <v>0</v>
      </c>
      <c r="AB134" s="1119">
        <f>+Dren_Quantificacao!AA117</f>
        <v>0</v>
      </c>
      <c r="AC134" s="1119">
        <f>+Dren_Quantificacao!AB117</f>
        <v>0</v>
      </c>
      <c r="AD134" s="1119">
        <f>+Dren_Quantificacao!AC117</f>
        <v>0</v>
      </c>
      <c r="AE134" s="1121">
        <f t="shared" si="50"/>
        <v>0</v>
      </c>
      <c r="AF134" s="578">
        <f t="shared" si="59"/>
        <v>0</v>
      </c>
      <c r="AG134" s="1046">
        <v>1</v>
      </c>
      <c r="AH134" s="1037"/>
      <c r="AI134" s="1037"/>
      <c r="AJ134" s="1037"/>
      <c r="AK134" s="1037"/>
      <c r="AL134" s="1037"/>
      <c r="AM134" s="1037"/>
      <c r="AN134" s="1037"/>
      <c r="AO134" s="1039"/>
      <c r="AP134" s="1037">
        <v>1</v>
      </c>
      <c r="AQ134" s="1037"/>
      <c r="AR134" s="1037"/>
      <c r="AS134" s="1037"/>
      <c r="AT134" s="1037"/>
      <c r="AU134" s="1037"/>
      <c r="AV134" s="1037"/>
      <c r="AW134" s="1037"/>
      <c r="AX134" s="1039"/>
      <c r="AY134" s="1037">
        <v>1</v>
      </c>
      <c r="AZ134" s="1037"/>
      <c r="BA134" s="1037"/>
      <c r="BB134" s="1037"/>
      <c r="BC134" s="1037"/>
      <c r="BD134" s="1037"/>
      <c r="BE134" s="1039"/>
      <c r="BF134" s="1039"/>
      <c r="BG134" s="1037"/>
      <c r="BH134" s="1037"/>
      <c r="BI134" s="1037"/>
      <c r="BJ134" s="1037"/>
      <c r="BK134" s="1037"/>
      <c r="BL134" s="1039"/>
      <c r="BM134" s="1040"/>
      <c r="BN134" s="1037"/>
      <c r="BO134" s="972"/>
      <c r="BP134" s="972"/>
    </row>
    <row r="135" spans="1:68" s="14" customFormat="1" ht="21.95" hidden="1" customHeight="1" x14ac:dyDescent="0.15">
      <c r="A135" s="2627"/>
      <c r="B135" s="2523"/>
      <c r="C135" s="566" t="s">
        <v>218</v>
      </c>
      <c r="D135" s="1002"/>
      <c r="E135" s="1286"/>
      <c r="F135" s="1113">
        <f>Dren_Quantificacao!D118</f>
        <v>0</v>
      </c>
      <c r="G135" s="1113">
        <f>Dren_Quantificacao!E118</f>
        <v>0</v>
      </c>
      <c r="H135" s="1113">
        <f>Dren_Quantificacao!F118</f>
        <v>0</v>
      </c>
      <c r="I135" s="1113">
        <f>Dren_Quantificacao!G118</f>
        <v>0</v>
      </c>
      <c r="J135" s="1113">
        <f>Dren_Quantificacao!H118</f>
        <v>0</v>
      </c>
      <c r="K135" s="1113">
        <f>Dren_Quantificacao!I118</f>
        <v>0</v>
      </c>
      <c r="L135" s="1113">
        <f>Dren_Quantificacao!J118</f>
        <v>0</v>
      </c>
      <c r="M135" s="1113">
        <f>Dren_Quantificacao!K118</f>
        <v>0</v>
      </c>
      <c r="N135" s="1113">
        <f>Dren_Quantificacao!L118</f>
        <v>0</v>
      </c>
      <c r="O135" s="1113">
        <f>Dren_Quantificacao!M118</f>
        <v>0</v>
      </c>
      <c r="P135" s="1114">
        <f>Dren_Quantificacao!O118</f>
        <v>0</v>
      </c>
      <c r="Q135" s="1114">
        <f>Dren_Quantificacao!P118</f>
        <v>0</v>
      </c>
      <c r="R135" s="1114">
        <f>Dren_Quantificacao!Q118</f>
        <v>0</v>
      </c>
      <c r="S135" s="1114">
        <f>Dren_Quantificacao!R118</f>
        <v>0</v>
      </c>
      <c r="T135" s="1114">
        <f>Dren_Quantificacao!S118</f>
        <v>0</v>
      </c>
      <c r="U135" s="1114">
        <f>+Dren_Quantificacao!T118</f>
        <v>0</v>
      </c>
      <c r="V135" s="1114">
        <f>+Dren_Quantificacao!U118</f>
        <v>0</v>
      </c>
      <c r="W135" s="1114">
        <f>+Dren_Quantificacao!V118</f>
        <v>0</v>
      </c>
      <c r="X135" s="1114">
        <f>+Dren_Quantificacao!W118</f>
        <v>0</v>
      </c>
      <c r="Y135" s="1114">
        <f>+Dren_Quantificacao!X118</f>
        <v>0</v>
      </c>
      <c r="Z135" s="1114">
        <f>+Dren_Quantificacao!Y118</f>
        <v>0</v>
      </c>
      <c r="AA135" s="1114">
        <f>+Dren_Quantificacao!Z118</f>
        <v>0</v>
      </c>
      <c r="AB135" s="1113">
        <f>+Dren_Quantificacao!AA118</f>
        <v>0</v>
      </c>
      <c r="AC135" s="1113">
        <f>+Dren_Quantificacao!AB118</f>
        <v>0</v>
      </c>
      <c r="AD135" s="1113">
        <f>+Dren_Quantificacao!AC118</f>
        <v>0</v>
      </c>
      <c r="AE135" s="1115">
        <f t="shared" si="50"/>
        <v>0</v>
      </c>
      <c r="AF135" s="578">
        <f t="shared" si="59"/>
        <v>0</v>
      </c>
      <c r="AG135" s="1046"/>
      <c r="AH135" s="1037"/>
      <c r="AI135" s="1037"/>
      <c r="AJ135" s="1037"/>
      <c r="AK135" s="1037">
        <v>1</v>
      </c>
      <c r="AL135" s="1037"/>
      <c r="AM135" s="1037"/>
      <c r="AN135" s="1037"/>
      <c r="AO135" s="1039"/>
      <c r="AP135" s="1037"/>
      <c r="AQ135" s="1037"/>
      <c r="AR135" s="1037"/>
      <c r="AS135" s="1037"/>
      <c r="AT135" s="1037">
        <v>1</v>
      </c>
      <c r="AU135" s="1037"/>
      <c r="AV135" s="1037"/>
      <c r="AW135" s="1037"/>
      <c r="AX135" s="1039"/>
      <c r="AY135" s="1037"/>
      <c r="AZ135" s="1037"/>
      <c r="BA135" s="1037"/>
      <c r="BB135" s="1037"/>
      <c r="BC135" s="1037">
        <v>1</v>
      </c>
      <c r="BD135" s="1037"/>
      <c r="BE135" s="1039"/>
      <c r="BF135" s="1039"/>
      <c r="BG135" s="1037"/>
      <c r="BH135" s="1037"/>
      <c r="BI135" s="1037"/>
      <c r="BJ135" s="1037"/>
      <c r="BK135" s="1037"/>
      <c r="BL135" s="1039"/>
      <c r="BM135" s="1040"/>
      <c r="BN135" s="1037"/>
      <c r="BO135" s="972"/>
      <c r="BP135" s="972"/>
    </row>
    <row r="136" spans="1:68" s="14" customFormat="1" ht="21.95" hidden="1" customHeight="1" x14ac:dyDescent="0.15">
      <c r="A136" s="2627"/>
      <c r="B136" s="2523"/>
      <c r="C136" s="566" t="s">
        <v>1210</v>
      </c>
      <c r="D136" s="1002"/>
      <c r="E136" s="1286"/>
      <c r="F136" s="1113">
        <f>Dren_Quantificacao!D119</f>
        <v>0</v>
      </c>
      <c r="G136" s="1113">
        <f>Dren_Quantificacao!E119</f>
        <v>0</v>
      </c>
      <c r="H136" s="1113">
        <f>Dren_Quantificacao!F119</f>
        <v>0</v>
      </c>
      <c r="I136" s="1113">
        <f>Dren_Quantificacao!G119</f>
        <v>0</v>
      </c>
      <c r="J136" s="1113">
        <f>Dren_Quantificacao!H119</f>
        <v>0</v>
      </c>
      <c r="K136" s="1113">
        <f>Dren_Quantificacao!I119</f>
        <v>0</v>
      </c>
      <c r="L136" s="1113">
        <f>Dren_Quantificacao!J119</f>
        <v>0</v>
      </c>
      <c r="M136" s="1113">
        <f>Dren_Quantificacao!K119</f>
        <v>0</v>
      </c>
      <c r="N136" s="1113">
        <f>Dren_Quantificacao!L119</f>
        <v>0</v>
      </c>
      <c r="O136" s="1113">
        <f>Dren_Quantificacao!M119</f>
        <v>0</v>
      </c>
      <c r="P136" s="1114">
        <f>Dren_Quantificacao!O119</f>
        <v>0</v>
      </c>
      <c r="Q136" s="1114">
        <f>Dren_Quantificacao!P119</f>
        <v>0</v>
      </c>
      <c r="R136" s="1114">
        <f>Dren_Quantificacao!Q119</f>
        <v>0</v>
      </c>
      <c r="S136" s="1114">
        <f>Dren_Quantificacao!R119</f>
        <v>0</v>
      </c>
      <c r="T136" s="1114">
        <f>Dren_Quantificacao!S119</f>
        <v>0</v>
      </c>
      <c r="U136" s="1114">
        <f>+Dren_Quantificacao!T119</f>
        <v>0</v>
      </c>
      <c r="V136" s="1114">
        <f>+Dren_Quantificacao!U119</f>
        <v>0</v>
      </c>
      <c r="W136" s="1114">
        <f>+Dren_Quantificacao!V119</f>
        <v>0</v>
      </c>
      <c r="X136" s="1114">
        <f>+Dren_Quantificacao!W119</f>
        <v>0</v>
      </c>
      <c r="Y136" s="1114">
        <f>+Dren_Quantificacao!X119</f>
        <v>0</v>
      </c>
      <c r="Z136" s="1114">
        <f>+Dren_Quantificacao!Y119</f>
        <v>0</v>
      </c>
      <c r="AA136" s="1114">
        <f>+Dren_Quantificacao!Z119</f>
        <v>0</v>
      </c>
      <c r="AB136" s="1113">
        <f>+Dren_Quantificacao!AA119</f>
        <v>0</v>
      </c>
      <c r="AC136" s="1113">
        <f>+Dren_Quantificacao!AB119</f>
        <v>0</v>
      </c>
      <c r="AD136" s="1113">
        <f>+Dren_Quantificacao!AC119</f>
        <v>0</v>
      </c>
      <c r="AE136" s="1115">
        <f t="shared" si="50"/>
        <v>0</v>
      </c>
      <c r="AF136" s="578">
        <f t="shared" si="59"/>
        <v>0</v>
      </c>
      <c r="AG136" s="1046"/>
      <c r="AH136" s="1037"/>
      <c r="AI136" s="1037"/>
      <c r="AJ136" s="1037"/>
      <c r="AK136" s="1037"/>
      <c r="AL136" s="1037"/>
      <c r="AM136" s="1037"/>
      <c r="AN136" s="1037"/>
      <c r="AO136" s="1039"/>
      <c r="AP136" s="1037"/>
      <c r="AQ136" s="1037"/>
      <c r="AR136" s="1037"/>
      <c r="AS136" s="1037"/>
      <c r="AT136" s="1037"/>
      <c r="AU136" s="1037"/>
      <c r="AV136" s="1037"/>
      <c r="AW136" s="1037"/>
      <c r="AX136" s="1039"/>
      <c r="AY136" s="1037"/>
      <c r="AZ136" s="1037"/>
      <c r="BA136" s="1037"/>
      <c r="BB136" s="1037"/>
      <c r="BC136" s="1037"/>
      <c r="BD136" s="1037"/>
      <c r="BE136" s="1039"/>
      <c r="BF136" s="1039"/>
      <c r="BG136" s="1037"/>
      <c r="BH136" s="1037"/>
      <c r="BI136" s="1037"/>
      <c r="BJ136" s="1037"/>
      <c r="BK136" s="1037">
        <v>1</v>
      </c>
      <c r="BL136" s="1039"/>
      <c r="BM136" s="1040"/>
      <c r="BN136" s="1037"/>
      <c r="BO136" s="972"/>
      <c r="BP136" s="972"/>
    </row>
    <row r="137" spans="1:68" s="14" customFormat="1" ht="21.95" hidden="1" customHeight="1" x14ac:dyDescent="0.15">
      <c r="A137" s="2627"/>
      <c r="B137" s="2523"/>
      <c r="C137" s="566" t="s">
        <v>940</v>
      </c>
      <c r="D137" s="1002"/>
      <c r="E137" s="1286"/>
      <c r="F137" s="1113">
        <f>Dren_Quantificacao!D120</f>
        <v>0</v>
      </c>
      <c r="G137" s="1113">
        <f>Dren_Quantificacao!E120</f>
        <v>0</v>
      </c>
      <c r="H137" s="1113">
        <f>Dren_Quantificacao!F120</f>
        <v>0</v>
      </c>
      <c r="I137" s="1113">
        <f>Dren_Quantificacao!G120</f>
        <v>0</v>
      </c>
      <c r="J137" s="1113">
        <f>Dren_Quantificacao!H120</f>
        <v>0</v>
      </c>
      <c r="K137" s="1113">
        <f>Dren_Quantificacao!I120</f>
        <v>0</v>
      </c>
      <c r="L137" s="1113">
        <f>Dren_Quantificacao!J120</f>
        <v>0</v>
      </c>
      <c r="M137" s="1113">
        <f>Dren_Quantificacao!K120</f>
        <v>0</v>
      </c>
      <c r="N137" s="1113">
        <f>Dren_Quantificacao!L120</f>
        <v>0</v>
      </c>
      <c r="O137" s="1113">
        <f>Dren_Quantificacao!M120</f>
        <v>0</v>
      </c>
      <c r="P137" s="1114"/>
      <c r="Q137" s="1114"/>
      <c r="R137" s="1114"/>
      <c r="S137" s="1114"/>
      <c r="T137" s="1114"/>
      <c r="U137" s="1114"/>
      <c r="V137" s="1114"/>
      <c r="W137" s="1114"/>
      <c r="X137" s="1114"/>
      <c r="Y137" s="1114"/>
      <c r="Z137" s="1114"/>
      <c r="AA137" s="1114"/>
      <c r="AB137" s="1113"/>
      <c r="AC137" s="1113"/>
      <c r="AD137" s="1113"/>
      <c r="AE137" s="1115">
        <f t="shared" si="50"/>
        <v>0</v>
      </c>
      <c r="AF137" s="578">
        <f t="shared" si="59"/>
        <v>0</v>
      </c>
      <c r="AG137" s="1046"/>
      <c r="AH137" s="1037"/>
      <c r="AI137" s="1037"/>
      <c r="AJ137" s="1037"/>
      <c r="AK137" s="1037"/>
      <c r="AL137" s="1037"/>
      <c r="AM137" s="1037"/>
      <c r="AN137" s="1037"/>
      <c r="AO137" s="1039"/>
      <c r="AP137" s="1037"/>
      <c r="AQ137" s="1037"/>
      <c r="AR137" s="1037"/>
      <c r="AS137" s="1037"/>
      <c r="AT137" s="1037"/>
      <c r="AU137" s="1037"/>
      <c r="AV137" s="1037"/>
      <c r="AW137" s="1037"/>
      <c r="AX137" s="1039"/>
      <c r="AY137" s="1037"/>
      <c r="AZ137" s="1037"/>
      <c r="BA137" s="1037"/>
      <c r="BB137" s="1037"/>
      <c r="BC137" s="1037"/>
      <c r="BD137" s="1037"/>
      <c r="BE137" s="1039"/>
      <c r="BF137" s="1039"/>
      <c r="BG137" s="1037"/>
      <c r="BH137" s="1037"/>
      <c r="BI137" s="1037"/>
      <c r="BJ137" s="1037"/>
      <c r="BK137" s="1037"/>
      <c r="BL137" s="1039"/>
      <c r="BM137" s="1040"/>
      <c r="BN137" s="1037"/>
      <c r="BO137" s="972"/>
      <c r="BP137" s="972"/>
    </row>
    <row r="138" spans="1:68" s="14" customFormat="1" ht="21.95" hidden="1" customHeight="1" x14ac:dyDescent="0.15">
      <c r="A138" s="2627"/>
      <c r="B138" s="2523"/>
      <c r="C138" s="566" t="s">
        <v>507</v>
      </c>
      <c r="D138" s="1002"/>
      <c r="E138" s="2245">
        <v>0.154</v>
      </c>
      <c r="F138" s="1113">
        <f>Dren_Quantificacao!D121</f>
        <v>0</v>
      </c>
      <c r="G138" s="1113">
        <f>Dren_Quantificacao!E121</f>
        <v>0</v>
      </c>
      <c r="H138" s="1113">
        <f>Dren_Quantificacao!F121</f>
        <v>0</v>
      </c>
      <c r="I138" s="1113">
        <f>Dren_Quantificacao!G121</f>
        <v>0</v>
      </c>
      <c r="J138" s="1113">
        <f>Dren_Quantificacao!H121</f>
        <v>0</v>
      </c>
      <c r="K138" s="1113">
        <f>Dren_Quantificacao!I121</f>
        <v>0</v>
      </c>
      <c r="L138" s="1113">
        <f>Dren_Quantificacao!J121</f>
        <v>0</v>
      </c>
      <c r="M138" s="1113">
        <f>Dren_Quantificacao!K121</f>
        <v>0</v>
      </c>
      <c r="N138" s="1113">
        <f>Dren_Quantificacao!L121</f>
        <v>0</v>
      </c>
      <c r="O138" s="1113">
        <f>Dren_Quantificacao!M121</f>
        <v>0</v>
      </c>
      <c r="P138" s="1114">
        <f>Dren_Quantificacao!O121</f>
        <v>0</v>
      </c>
      <c r="Q138" s="1114">
        <f>Dren_Quantificacao!P121</f>
        <v>0</v>
      </c>
      <c r="R138" s="1114">
        <f>Dren_Quantificacao!Q121</f>
        <v>0</v>
      </c>
      <c r="S138" s="1114">
        <f>Dren_Quantificacao!R121</f>
        <v>0</v>
      </c>
      <c r="T138" s="1114">
        <f>Dren_Quantificacao!S121</f>
        <v>0</v>
      </c>
      <c r="U138" s="1114">
        <f>+Dren_Quantificacao!T121</f>
        <v>0</v>
      </c>
      <c r="V138" s="1114">
        <f>+Dren_Quantificacao!U121</f>
        <v>0</v>
      </c>
      <c r="W138" s="1114">
        <f>+Dren_Quantificacao!V121</f>
        <v>0</v>
      </c>
      <c r="X138" s="1114">
        <f>+Dren_Quantificacao!W121</f>
        <v>0</v>
      </c>
      <c r="Y138" s="1114">
        <f>+Dren_Quantificacao!X121</f>
        <v>0</v>
      </c>
      <c r="Z138" s="1114">
        <f>+Dren_Quantificacao!Y121</f>
        <v>0</v>
      </c>
      <c r="AA138" s="1114">
        <f>+Dren_Quantificacao!Z121</f>
        <v>0</v>
      </c>
      <c r="AB138" s="1113">
        <f>+Dren_Quantificacao!AA121</f>
        <v>0</v>
      </c>
      <c r="AC138" s="1113">
        <f>+Dren_Quantificacao!AB121</f>
        <v>0</v>
      </c>
      <c r="AD138" s="1113">
        <f>+Dren_Quantificacao!AC121</f>
        <v>0</v>
      </c>
      <c r="AE138" s="1115">
        <f t="shared" si="50"/>
        <v>0</v>
      </c>
      <c r="AF138" s="578">
        <f t="shared" si="59"/>
        <v>0</v>
      </c>
      <c r="AG138" s="1046"/>
      <c r="AH138" s="1037"/>
      <c r="AI138" s="1037"/>
      <c r="AJ138" s="1037"/>
      <c r="AK138" s="1037"/>
      <c r="AL138" s="1037"/>
      <c r="AM138" s="1037"/>
      <c r="AN138" s="1037"/>
      <c r="AO138" s="1039"/>
      <c r="AP138" s="1037"/>
      <c r="AQ138" s="1037"/>
      <c r="AR138" s="1037"/>
      <c r="AS138" s="1037"/>
      <c r="AT138" s="1037"/>
      <c r="AU138" s="1037"/>
      <c r="AV138" s="1037"/>
      <c r="AW138" s="1037"/>
      <c r="AX138" s="1039"/>
      <c r="AY138" s="1037"/>
      <c r="AZ138" s="1037"/>
      <c r="BA138" s="1037"/>
      <c r="BB138" s="1037"/>
      <c r="BC138" s="1037"/>
      <c r="BD138" s="1037"/>
      <c r="BE138" s="1039"/>
      <c r="BF138" s="1039">
        <v>1</v>
      </c>
      <c r="BG138" s="1037"/>
      <c r="BH138" s="1037"/>
      <c r="BI138" s="1037"/>
      <c r="BJ138" s="1037"/>
      <c r="BK138" s="1037"/>
      <c r="BL138" s="1039"/>
      <c r="BM138" s="1040"/>
      <c r="BN138" s="1037"/>
      <c r="BO138" s="972"/>
      <c r="BP138" s="972"/>
    </row>
    <row r="139" spans="1:68" s="14" customFormat="1" ht="21.95" hidden="1" customHeight="1" x14ac:dyDescent="0.15">
      <c r="A139" s="2627"/>
      <c r="B139" s="2523"/>
      <c r="C139" s="566" t="s">
        <v>492</v>
      </c>
      <c r="D139" s="1002"/>
      <c r="E139" s="2245">
        <v>0.245</v>
      </c>
      <c r="F139" s="1113">
        <f>Dren_Quantificacao!D122</f>
        <v>0</v>
      </c>
      <c r="G139" s="1113">
        <f>Dren_Quantificacao!E122</f>
        <v>0</v>
      </c>
      <c r="H139" s="1113">
        <f>Dren_Quantificacao!F122</f>
        <v>0</v>
      </c>
      <c r="I139" s="1113">
        <f>Dren_Quantificacao!G122</f>
        <v>0</v>
      </c>
      <c r="J139" s="1113">
        <f>Dren_Quantificacao!H122</f>
        <v>0</v>
      </c>
      <c r="K139" s="1113">
        <f>Dren_Quantificacao!I122</f>
        <v>0</v>
      </c>
      <c r="L139" s="1113">
        <f>Dren_Quantificacao!J122</f>
        <v>0</v>
      </c>
      <c r="M139" s="1113">
        <f>Dren_Quantificacao!K122</f>
        <v>0</v>
      </c>
      <c r="N139" s="1113">
        <f>Dren_Quantificacao!L122</f>
        <v>0</v>
      </c>
      <c r="O139" s="1113">
        <f>Dren_Quantificacao!M122</f>
        <v>0</v>
      </c>
      <c r="P139" s="1114">
        <f>Dren_Quantificacao!O122</f>
        <v>0</v>
      </c>
      <c r="Q139" s="1114">
        <f>Dren_Quantificacao!P122</f>
        <v>0</v>
      </c>
      <c r="R139" s="1114">
        <f>Dren_Quantificacao!Q122</f>
        <v>0</v>
      </c>
      <c r="S139" s="1114">
        <f>Dren_Quantificacao!R122</f>
        <v>0</v>
      </c>
      <c r="T139" s="1114">
        <f>Dren_Quantificacao!S122</f>
        <v>0</v>
      </c>
      <c r="U139" s="1114">
        <f>+Dren_Quantificacao!T122</f>
        <v>0</v>
      </c>
      <c r="V139" s="1114">
        <f>+Dren_Quantificacao!U122</f>
        <v>0</v>
      </c>
      <c r="W139" s="1114">
        <f>+Dren_Quantificacao!V122</f>
        <v>0</v>
      </c>
      <c r="X139" s="1114">
        <f>+Dren_Quantificacao!W122</f>
        <v>0</v>
      </c>
      <c r="Y139" s="1114">
        <f>+Dren_Quantificacao!X122</f>
        <v>0</v>
      </c>
      <c r="Z139" s="1114">
        <f>+Dren_Quantificacao!Y122</f>
        <v>0</v>
      </c>
      <c r="AA139" s="1114">
        <f>+Dren_Quantificacao!Z122</f>
        <v>0</v>
      </c>
      <c r="AB139" s="1113">
        <f>+Dren_Quantificacao!AA122</f>
        <v>0</v>
      </c>
      <c r="AC139" s="1113">
        <f>+Dren_Quantificacao!AB122</f>
        <v>0</v>
      </c>
      <c r="AD139" s="1113">
        <f>+Dren_Quantificacao!AC122</f>
        <v>0</v>
      </c>
      <c r="AE139" s="1115">
        <f t="shared" ref="AE139:AE143" si="72">ROUND(SUM(F139:AD139),2)</f>
        <v>0</v>
      </c>
      <c r="AF139" s="578">
        <f t="shared" si="59"/>
        <v>0</v>
      </c>
      <c r="AG139" s="1046"/>
      <c r="AH139" s="1037"/>
      <c r="AI139" s="1037"/>
      <c r="AJ139" s="1037"/>
      <c r="AK139" s="1037"/>
      <c r="AL139" s="1037"/>
      <c r="AM139" s="1037"/>
      <c r="AN139" s="1037"/>
      <c r="AO139" s="1039"/>
      <c r="AP139" s="1037"/>
      <c r="AQ139" s="1037"/>
      <c r="AR139" s="1037"/>
      <c r="AS139" s="1037"/>
      <c r="AT139" s="1037"/>
      <c r="AU139" s="1037"/>
      <c r="AV139" s="1037"/>
      <c r="AW139" s="1037"/>
      <c r="AX139" s="1039"/>
      <c r="AY139" s="1037"/>
      <c r="AZ139" s="1037"/>
      <c r="BA139" s="1037"/>
      <c r="BB139" s="1037"/>
      <c r="BC139" s="1037"/>
      <c r="BD139" s="1037"/>
      <c r="BE139" s="1039"/>
      <c r="BF139" s="1039">
        <v>1</v>
      </c>
      <c r="BG139" s="1037"/>
      <c r="BH139" s="1037"/>
      <c r="BI139" s="1037"/>
      <c r="BJ139" s="1037"/>
      <c r="BK139" s="1037"/>
      <c r="BL139" s="1039"/>
      <c r="BM139" s="1040"/>
      <c r="BN139" s="1037"/>
      <c r="BO139" s="972"/>
    </row>
    <row r="140" spans="1:68" s="14" customFormat="1" ht="21.95" hidden="1" customHeight="1" x14ac:dyDescent="0.15">
      <c r="A140" s="2627"/>
      <c r="B140" s="2523"/>
      <c r="C140" s="566" t="s">
        <v>508</v>
      </c>
      <c r="D140" s="1002"/>
      <c r="E140" s="2245">
        <v>0.39500000000000002</v>
      </c>
      <c r="F140" s="1113">
        <f>Dren_Quantificacao!D123</f>
        <v>0</v>
      </c>
      <c r="G140" s="1113">
        <f>Dren_Quantificacao!E123</f>
        <v>0</v>
      </c>
      <c r="H140" s="1113">
        <f>Dren_Quantificacao!F123</f>
        <v>0</v>
      </c>
      <c r="I140" s="1113">
        <f>Dren_Quantificacao!G123</f>
        <v>0</v>
      </c>
      <c r="J140" s="1113">
        <f>Dren_Quantificacao!H123</f>
        <v>0</v>
      </c>
      <c r="K140" s="1113">
        <f>Dren_Quantificacao!I123</f>
        <v>0</v>
      </c>
      <c r="L140" s="1113">
        <f>Dren_Quantificacao!J123</f>
        <v>0</v>
      </c>
      <c r="M140" s="1113">
        <f>Dren_Quantificacao!K123</f>
        <v>0</v>
      </c>
      <c r="N140" s="1113">
        <f>Dren_Quantificacao!L123</f>
        <v>0</v>
      </c>
      <c r="O140" s="1113">
        <f>Dren_Quantificacao!M123</f>
        <v>0</v>
      </c>
      <c r="P140" s="1114">
        <f>Dren_Quantificacao!O123</f>
        <v>0</v>
      </c>
      <c r="Q140" s="1114">
        <f>Dren_Quantificacao!P123</f>
        <v>0</v>
      </c>
      <c r="R140" s="1114">
        <f>Dren_Quantificacao!Q123</f>
        <v>0</v>
      </c>
      <c r="S140" s="1114">
        <f>Dren_Quantificacao!R123</f>
        <v>0</v>
      </c>
      <c r="T140" s="1114">
        <f>Dren_Quantificacao!S123</f>
        <v>0</v>
      </c>
      <c r="U140" s="1114">
        <f>+Dren_Quantificacao!T123</f>
        <v>0</v>
      </c>
      <c r="V140" s="1114">
        <f>+Dren_Quantificacao!U123</f>
        <v>0</v>
      </c>
      <c r="W140" s="1114">
        <f>+Dren_Quantificacao!V123</f>
        <v>0</v>
      </c>
      <c r="X140" s="1114">
        <f>+Dren_Quantificacao!W123</f>
        <v>0</v>
      </c>
      <c r="Y140" s="1114">
        <f>+Dren_Quantificacao!X123</f>
        <v>0</v>
      </c>
      <c r="Z140" s="1114">
        <f>+Dren_Quantificacao!Y123</f>
        <v>0</v>
      </c>
      <c r="AA140" s="1114">
        <f>+Dren_Quantificacao!Z123</f>
        <v>0</v>
      </c>
      <c r="AB140" s="1113">
        <f>+Dren_Quantificacao!AA123</f>
        <v>0</v>
      </c>
      <c r="AC140" s="1113">
        <f>+Dren_Quantificacao!AB123</f>
        <v>0</v>
      </c>
      <c r="AD140" s="1113">
        <f>+Dren_Quantificacao!AC123</f>
        <v>0</v>
      </c>
      <c r="AE140" s="1115">
        <f t="shared" si="72"/>
        <v>0</v>
      </c>
      <c r="AF140" s="578">
        <f t="shared" si="59"/>
        <v>0</v>
      </c>
      <c r="AG140" s="1046"/>
      <c r="AH140" s="1037"/>
      <c r="AI140" s="1037"/>
      <c r="AJ140" s="1037"/>
      <c r="AK140" s="1037"/>
      <c r="AL140" s="1037"/>
      <c r="AM140" s="1037"/>
      <c r="AN140" s="1037"/>
      <c r="AO140" s="1039"/>
      <c r="AP140" s="1037"/>
      <c r="AQ140" s="1037"/>
      <c r="AR140" s="1037"/>
      <c r="AS140" s="1037"/>
      <c r="AT140" s="1037"/>
      <c r="AU140" s="1037"/>
      <c r="AV140" s="1037"/>
      <c r="AW140" s="1037"/>
      <c r="AX140" s="1039"/>
      <c r="AY140" s="1037"/>
      <c r="AZ140" s="1037"/>
      <c r="BA140" s="1037"/>
      <c r="BB140" s="1037"/>
      <c r="BC140" s="1037"/>
      <c r="BD140" s="1037"/>
      <c r="BE140" s="1039"/>
      <c r="BF140" s="1039">
        <v>1</v>
      </c>
      <c r="BG140" s="1037"/>
      <c r="BH140" s="1037"/>
      <c r="BI140" s="1037"/>
      <c r="BJ140" s="1037"/>
      <c r="BK140" s="1037"/>
      <c r="BL140" s="1039"/>
      <c r="BM140" s="1040"/>
      <c r="BN140" s="1037"/>
      <c r="BO140" s="972"/>
    </row>
    <row r="141" spans="1:68" s="14" customFormat="1" ht="21.95" hidden="1" customHeight="1" x14ac:dyDescent="0.15">
      <c r="A141" s="2627"/>
      <c r="B141" s="2523"/>
      <c r="C141" s="566" t="s">
        <v>509</v>
      </c>
      <c r="D141" s="1002"/>
      <c r="E141" s="2245">
        <v>0.61699999999999999</v>
      </c>
      <c r="F141" s="1113">
        <f>Dren_Quantificacao!D124</f>
        <v>0</v>
      </c>
      <c r="G141" s="1113">
        <f>Dren_Quantificacao!E124</f>
        <v>0</v>
      </c>
      <c r="H141" s="1113">
        <f>Dren_Quantificacao!F124</f>
        <v>0</v>
      </c>
      <c r="I141" s="1113">
        <f>Dren_Quantificacao!G124</f>
        <v>0</v>
      </c>
      <c r="J141" s="1113">
        <f>Dren_Quantificacao!H124</f>
        <v>0</v>
      </c>
      <c r="K141" s="1113">
        <f>Dren_Quantificacao!I124</f>
        <v>0</v>
      </c>
      <c r="L141" s="1113">
        <f>Dren_Quantificacao!J124</f>
        <v>0</v>
      </c>
      <c r="M141" s="1113">
        <f>Dren_Quantificacao!K124</f>
        <v>0</v>
      </c>
      <c r="N141" s="1113">
        <f>Dren_Quantificacao!L124</f>
        <v>0</v>
      </c>
      <c r="O141" s="1113">
        <f>Dren_Quantificacao!M124</f>
        <v>0</v>
      </c>
      <c r="P141" s="1114">
        <f>Dren_Quantificacao!O124</f>
        <v>0</v>
      </c>
      <c r="Q141" s="1114">
        <f>Dren_Quantificacao!P124</f>
        <v>0</v>
      </c>
      <c r="R141" s="1114">
        <f>Dren_Quantificacao!Q124</f>
        <v>0</v>
      </c>
      <c r="S141" s="1114">
        <f>Dren_Quantificacao!R124</f>
        <v>0</v>
      </c>
      <c r="T141" s="1114">
        <f>Dren_Quantificacao!S124</f>
        <v>0</v>
      </c>
      <c r="U141" s="1114">
        <f>+Dren_Quantificacao!T124</f>
        <v>0</v>
      </c>
      <c r="V141" s="1114">
        <f>+Dren_Quantificacao!U124</f>
        <v>0</v>
      </c>
      <c r="W141" s="1114">
        <f>+Dren_Quantificacao!V124</f>
        <v>0</v>
      </c>
      <c r="X141" s="1114">
        <f>+Dren_Quantificacao!W124</f>
        <v>0</v>
      </c>
      <c r="Y141" s="1114">
        <f>+Dren_Quantificacao!X124</f>
        <v>0</v>
      </c>
      <c r="Z141" s="1114">
        <f>+Dren_Quantificacao!Y124</f>
        <v>0</v>
      </c>
      <c r="AA141" s="1114">
        <f>+Dren_Quantificacao!Z124</f>
        <v>0</v>
      </c>
      <c r="AB141" s="1113">
        <f>+Dren_Quantificacao!AA124</f>
        <v>0</v>
      </c>
      <c r="AC141" s="1113">
        <f>+Dren_Quantificacao!AB124</f>
        <v>0</v>
      </c>
      <c r="AD141" s="1113">
        <f>+Dren_Quantificacao!AC124</f>
        <v>0</v>
      </c>
      <c r="AE141" s="1115">
        <f t="shared" si="72"/>
        <v>0</v>
      </c>
      <c r="AF141" s="578">
        <f t="shared" si="59"/>
        <v>0</v>
      </c>
      <c r="AG141" s="1046"/>
      <c r="AH141" s="1037"/>
      <c r="AI141" s="1037"/>
      <c r="AJ141" s="1037"/>
      <c r="AK141" s="1037"/>
      <c r="AL141" s="1037"/>
      <c r="AM141" s="1037"/>
      <c r="AN141" s="1037"/>
      <c r="AO141" s="1039"/>
      <c r="AP141" s="1037"/>
      <c r="AQ141" s="1037"/>
      <c r="AR141" s="1037"/>
      <c r="AS141" s="1037"/>
      <c r="AT141" s="1037"/>
      <c r="AU141" s="1037"/>
      <c r="AV141" s="1037"/>
      <c r="AW141" s="1037"/>
      <c r="AX141" s="1039"/>
      <c r="AY141" s="1037"/>
      <c r="AZ141" s="1037"/>
      <c r="BA141" s="1037"/>
      <c r="BB141" s="1037"/>
      <c r="BC141" s="1037"/>
      <c r="BD141" s="1037"/>
      <c r="BE141" s="1039"/>
      <c r="BF141" s="1039">
        <v>1</v>
      </c>
      <c r="BG141" s="1037"/>
      <c r="BH141" s="1037"/>
      <c r="BI141" s="1037"/>
      <c r="BJ141" s="1037"/>
      <c r="BK141" s="1037"/>
      <c r="BL141" s="1039"/>
      <c r="BM141" s="1040"/>
      <c r="BN141" s="1037"/>
      <c r="BO141" s="972"/>
    </row>
    <row r="142" spans="1:68" s="14" customFormat="1" ht="21.95" hidden="1" customHeight="1" x14ac:dyDescent="0.15">
      <c r="A142" s="2627"/>
      <c r="B142" s="2523"/>
      <c r="C142" s="566" t="s">
        <v>510</v>
      </c>
      <c r="D142" s="1002"/>
      <c r="E142" s="2245">
        <v>0.96299999999999997</v>
      </c>
      <c r="F142" s="1113">
        <f>Dren_Quantificacao!D125</f>
        <v>0</v>
      </c>
      <c r="G142" s="1113">
        <f>Dren_Quantificacao!E125</f>
        <v>0</v>
      </c>
      <c r="H142" s="1113">
        <f>Dren_Quantificacao!F125</f>
        <v>0</v>
      </c>
      <c r="I142" s="1113">
        <f>Dren_Quantificacao!G125</f>
        <v>0</v>
      </c>
      <c r="J142" s="1113">
        <f>Dren_Quantificacao!H125</f>
        <v>0</v>
      </c>
      <c r="K142" s="1113">
        <f>Dren_Quantificacao!I125</f>
        <v>0</v>
      </c>
      <c r="L142" s="1113">
        <f>Dren_Quantificacao!J125</f>
        <v>0</v>
      </c>
      <c r="M142" s="1113">
        <f>Dren_Quantificacao!K125</f>
        <v>0</v>
      </c>
      <c r="N142" s="1113">
        <f>Dren_Quantificacao!L125</f>
        <v>0</v>
      </c>
      <c r="O142" s="1113">
        <f>Dren_Quantificacao!M125</f>
        <v>0</v>
      </c>
      <c r="P142" s="1114">
        <f>Dren_Quantificacao!O125</f>
        <v>0</v>
      </c>
      <c r="Q142" s="1114">
        <f>Dren_Quantificacao!P125</f>
        <v>0</v>
      </c>
      <c r="R142" s="1114">
        <f>Dren_Quantificacao!Q125</f>
        <v>0</v>
      </c>
      <c r="S142" s="1114">
        <f>Dren_Quantificacao!R125</f>
        <v>0</v>
      </c>
      <c r="T142" s="1114">
        <f>Dren_Quantificacao!S125</f>
        <v>0</v>
      </c>
      <c r="U142" s="1114">
        <f>+Dren_Quantificacao!T125</f>
        <v>0</v>
      </c>
      <c r="V142" s="1114">
        <f>+Dren_Quantificacao!U125</f>
        <v>0</v>
      </c>
      <c r="W142" s="1114">
        <f>+Dren_Quantificacao!V125</f>
        <v>0</v>
      </c>
      <c r="X142" s="1114">
        <f>+Dren_Quantificacao!W125</f>
        <v>0</v>
      </c>
      <c r="Y142" s="1114">
        <f>+Dren_Quantificacao!X125</f>
        <v>0</v>
      </c>
      <c r="Z142" s="1114">
        <f>+Dren_Quantificacao!Y125</f>
        <v>0</v>
      </c>
      <c r="AA142" s="1114">
        <f>+Dren_Quantificacao!Z125</f>
        <v>0</v>
      </c>
      <c r="AB142" s="1113">
        <f>+Dren_Quantificacao!AA125</f>
        <v>0</v>
      </c>
      <c r="AC142" s="1113">
        <f>+Dren_Quantificacao!AB125</f>
        <v>0</v>
      </c>
      <c r="AD142" s="1113">
        <f>+Dren_Quantificacao!AC125</f>
        <v>0</v>
      </c>
      <c r="AE142" s="1115">
        <f t="shared" si="72"/>
        <v>0</v>
      </c>
      <c r="AF142" s="578">
        <f t="shared" si="59"/>
        <v>0</v>
      </c>
      <c r="AG142" s="1046"/>
      <c r="AH142" s="1037"/>
      <c r="AI142" s="1037"/>
      <c r="AJ142" s="1037"/>
      <c r="AK142" s="1037"/>
      <c r="AL142" s="1037"/>
      <c r="AM142" s="1037"/>
      <c r="AN142" s="1037"/>
      <c r="AO142" s="1039"/>
      <c r="AP142" s="1037"/>
      <c r="AQ142" s="1037"/>
      <c r="AR142" s="1037"/>
      <c r="AS142" s="1037"/>
      <c r="AT142" s="1037"/>
      <c r="AU142" s="1037"/>
      <c r="AV142" s="1037"/>
      <c r="AW142" s="1037"/>
      <c r="AX142" s="1039"/>
      <c r="AY142" s="1037"/>
      <c r="AZ142" s="1037"/>
      <c r="BA142" s="1037"/>
      <c r="BB142" s="1037"/>
      <c r="BC142" s="1037"/>
      <c r="BD142" s="1037"/>
      <c r="BE142" s="1039"/>
      <c r="BF142" s="1039">
        <v>1</v>
      </c>
      <c r="BG142" s="1037"/>
      <c r="BH142" s="1037"/>
      <c r="BI142" s="1037"/>
      <c r="BJ142" s="1037"/>
      <c r="BK142" s="1037"/>
      <c r="BL142" s="1039"/>
      <c r="BM142" s="1040"/>
      <c r="BN142" s="1037"/>
      <c r="BO142" s="972"/>
    </row>
    <row r="143" spans="1:68" s="14" customFormat="1" ht="21.95" hidden="1" customHeight="1" thickBot="1" x14ac:dyDescent="0.2">
      <c r="A143" s="2627"/>
      <c r="B143" s="2523"/>
      <c r="C143" s="566" t="s">
        <v>219</v>
      </c>
      <c r="D143" s="1009"/>
      <c r="E143" s="2244"/>
      <c r="F143" s="1116">
        <f>Dren_Quantificacao!D126</f>
        <v>0</v>
      </c>
      <c r="G143" s="1116">
        <f>Dren_Quantificacao!E126</f>
        <v>0</v>
      </c>
      <c r="H143" s="1116">
        <f>Dren_Quantificacao!F126</f>
        <v>0</v>
      </c>
      <c r="I143" s="1116">
        <f>Dren_Quantificacao!G126</f>
        <v>0</v>
      </c>
      <c r="J143" s="1116">
        <f>Dren_Quantificacao!H126</f>
        <v>0</v>
      </c>
      <c r="K143" s="1116">
        <f>Dren_Quantificacao!I126</f>
        <v>0</v>
      </c>
      <c r="L143" s="1116">
        <f>Dren_Quantificacao!J126</f>
        <v>0</v>
      </c>
      <c r="M143" s="1116">
        <f>Dren_Quantificacao!K126</f>
        <v>0</v>
      </c>
      <c r="N143" s="1116">
        <f>Dren_Quantificacao!L126</f>
        <v>0</v>
      </c>
      <c r="O143" s="1116">
        <f>Dren_Quantificacao!M126</f>
        <v>0</v>
      </c>
      <c r="P143" s="1117">
        <f>Dren_Quantificacao!O126</f>
        <v>0</v>
      </c>
      <c r="Q143" s="1117">
        <f>Dren_Quantificacao!P126</f>
        <v>0</v>
      </c>
      <c r="R143" s="1117">
        <f>Dren_Quantificacao!Q126</f>
        <v>0</v>
      </c>
      <c r="S143" s="1117">
        <f>Dren_Quantificacao!R126</f>
        <v>0</v>
      </c>
      <c r="T143" s="1117">
        <f>Dren_Quantificacao!S126</f>
        <v>0</v>
      </c>
      <c r="U143" s="1117">
        <f>+Dren_Quantificacao!T126</f>
        <v>0</v>
      </c>
      <c r="V143" s="1117">
        <f>+Dren_Quantificacao!U126</f>
        <v>0</v>
      </c>
      <c r="W143" s="1117">
        <f>+Dren_Quantificacao!V126</f>
        <v>0</v>
      </c>
      <c r="X143" s="1117">
        <f>+Dren_Quantificacao!W126</f>
        <v>0</v>
      </c>
      <c r="Y143" s="1117">
        <f>+Dren_Quantificacao!X126</f>
        <v>0</v>
      </c>
      <c r="Z143" s="1117">
        <f>+Dren_Quantificacao!Y126</f>
        <v>0</v>
      </c>
      <c r="AA143" s="1117">
        <f>+Dren_Quantificacao!Z126</f>
        <v>0</v>
      </c>
      <c r="AB143" s="1116">
        <f>+Dren_Quantificacao!AA126</f>
        <v>0</v>
      </c>
      <c r="AC143" s="1116">
        <f>+Dren_Quantificacao!AB126</f>
        <v>0</v>
      </c>
      <c r="AD143" s="1116">
        <f>+Dren_Quantificacao!AC126</f>
        <v>0</v>
      </c>
      <c r="AE143" s="1118">
        <f t="shared" si="72"/>
        <v>0</v>
      </c>
      <c r="AF143" s="578">
        <f t="shared" si="59"/>
        <v>0</v>
      </c>
      <c r="AG143" s="1046"/>
      <c r="AH143" s="1037"/>
      <c r="AI143" s="1037"/>
      <c r="AJ143" s="1037"/>
      <c r="AK143" s="1037"/>
      <c r="AL143" s="1037"/>
      <c r="AM143" s="1037"/>
      <c r="AN143" s="1037"/>
      <c r="AO143" s="1039"/>
      <c r="AP143" s="1037"/>
      <c r="AQ143" s="1037"/>
      <c r="AR143" s="1037"/>
      <c r="AS143" s="1037"/>
      <c r="AT143" s="1037"/>
      <c r="AU143" s="1037"/>
      <c r="AV143" s="1037"/>
      <c r="AW143" s="1037"/>
      <c r="AX143" s="1039"/>
      <c r="AY143" s="1037"/>
      <c r="AZ143" s="1037"/>
      <c r="BA143" s="1037"/>
      <c r="BB143" s="1037"/>
      <c r="BC143" s="1037"/>
      <c r="BD143" s="1037"/>
      <c r="BE143" s="1039"/>
      <c r="BF143" s="1039"/>
      <c r="BG143" s="1037"/>
      <c r="BH143" s="1037"/>
      <c r="BI143" s="1037"/>
      <c r="BJ143" s="1037"/>
      <c r="BK143" s="1037">
        <v>1</v>
      </c>
      <c r="BL143" s="1039"/>
      <c r="BM143" s="1040"/>
      <c r="BN143" s="1037"/>
      <c r="BO143" s="972"/>
    </row>
    <row r="144" spans="1:68" s="14" customFormat="1" ht="21.95" hidden="1" customHeight="1" x14ac:dyDescent="0.15">
      <c r="A144" s="2627"/>
      <c r="B144" s="2522" t="s">
        <v>511</v>
      </c>
      <c r="C144" s="549" t="s">
        <v>66</v>
      </c>
      <c r="D144" s="1001"/>
      <c r="E144" s="2230"/>
      <c r="F144" s="1119">
        <f>Dren_Quantificacao!D114</f>
        <v>0</v>
      </c>
      <c r="G144" s="1119">
        <f>Dren_Quantificacao!E114</f>
        <v>0</v>
      </c>
      <c r="H144" s="1119">
        <f>Dren_Quantificacao!F114</f>
        <v>0</v>
      </c>
      <c r="I144" s="1119">
        <f>Dren_Quantificacao!G114</f>
        <v>0</v>
      </c>
      <c r="J144" s="1119">
        <f>Dren_Quantificacao!H114</f>
        <v>0</v>
      </c>
      <c r="K144" s="1119">
        <f>Dren_Quantificacao!I114</f>
        <v>0</v>
      </c>
      <c r="L144" s="1119">
        <f>Dren_Quantificacao!J114</f>
        <v>0</v>
      </c>
      <c r="M144" s="1119">
        <f>Dren_Quantificacao!K114</f>
        <v>0</v>
      </c>
      <c r="N144" s="1119">
        <f>Dren_Quantificacao!L114</f>
        <v>0</v>
      </c>
      <c r="O144" s="1119">
        <f>Dren_Quantificacao!M114</f>
        <v>0</v>
      </c>
      <c r="P144" s="1120"/>
      <c r="Q144" s="1120"/>
      <c r="R144" s="1120"/>
      <c r="S144" s="1120"/>
      <c r="T144" s="1120"/>
      <c r="U144" s="1120"/>
      <c r="V144" s="1120"/>
      <c r="W144" s="1120"/>
      <c r="X144" s="1120"/>
      <c r="Y144" s="1120"/>
      <c r="Z144" s="1120"/>
      <c r="AA144" s="1120"/>
      <c r="AB144" s="1119">
        <f>+Dren_Quantificacao!AA114</f>
        <v>0</v>
      </c>
      <c r="AC144" s="1119">
        <f>+Dren_Quantificacao!AB114</f>
        <v>0</v>
      </c>
      <c r="AD144" s="1119">
        <f>+Dren_Quantificacao!AC114</f>
        <v>0</v>
      </c>
      <c r="AE144" s="1122"/>
      <c r="AF144" s="578">
        <f t="shared" si="59"/>
        <v>0</v>
      </c>
      <c r="AG144" s="1046"/>
      <c r="AH144" s="1037"/>
      <c r="AI144" s="1037"/>
      <c r="AJ144" s="1037"/>
      <c r="AK144" s="1037"/>
      <c r="AL144" s="1037"/>
      <c r="AM144" s="1037"/>
      <c r="AN144" s="1037"/>
      <c r="AO144" s="1039"/>
      <c r="AP144" s="1037"/>
      <c r="AQ144" s="1037"/>
      <c r="AR144" s="1037"/>
      <c r="AS144" s="1037"/>
      <c r="AT144" s="1037"/>
      <c r="AU144" s="1037"/>
      <c r="AV144" s="1037"/>
      <c r="AW144" s="1037"/>
      <c r="AX144" s="1039"/>
      <c r="AY144" s="1037"/>
      <c r="AZ144" s="1037"/>
      <c r="BA144" s="1037"/>
      <c r="BB144" s="1037"/>
      <c r="BC144" s="1037"/>
      <c r="BD144" s="1037"/>
      <c r="BE144" s="1039"/>
      <c r="BF144" s="1039"/>
      <c r="BG144" s="1037"/>
      <c r="BH144" s="1037"/>
      <c r="BI144" s="1037"/>
      <c r="BJ144" s="1037"/>
      <c r="BK144" s="1037"/>
      <c r="BL144" s="1039"/>
      <c r="BM144" s="1040"/>
      <c r="BN144" s="1037"/>
      <c r="BO144" s="972"/>
    </row>
    <row r="145" spans="1:67" s="14" customFormat="1" ht="21.95" hidden="1" customHeight="1" x14ac:dyDescent="0.15">
      <c r="A145" s="2627"/>
      <c r="B145" s="2523"/>
      <c r="C145" s="566" t="s">
        <v>164</v>
      </c>
      <c r="D145" s="1002"/>
      <c r="E145" s="1286"/>
      <c r="F145" s="1113">
        <f>Dren_Quantificacao!D115</f>
        <v>0</v>
      </c>
      <c r="G145" s="1113">
        <f>Dren_Quantificacao!E115</f>
        <v>0</v>
      </c>
      <c r="H145" s="1113">
        <f>Dren_Quantificacao!F115</f>
        <v>0</v>
      </c>
      <c r="I145" s="1113">
        <f>Dren_Quantificacao!G115</f>
        <v>0</v>
      </c>
      <c r="J145" s="1113">
        <f>Dren_Quantificacao!H115</f>
        <v>0</v>
      </c>
      <c r="K145" s="1113">
        <f>Dren_Quantificacao!I115</f>
        <v>0</v>
      </c>
      <c r="L145" s="1113">
        <f>Dren_Quantificacao!J115</f>
        <v>0</v>
      </c>
      <c r="M145" s="1113">
        <f>Dren_Quantificacao!K115</f>
        <v>0</v>
      </c>
      <c r="N145" s="1113">
        <f>Dren_Quantificacao!L115</f>
        <v>0</v>
      </c>
      <c r="O145" s="1113">
        <f>Dren_Quantificacao!M115</f>
        <v>0</v>
      </c>
      <c r="P145" s="1114"/>
      <c r="Q145" s="1114"/>
      <c r="R145" s="1114"/>
      <c r="S145" s="1114"/>
      <c r="T145" s="1114"/>
      <c r="U145" s="1114"/>
      <c r="V145" s="1114"/>
      <c r="W145" s="1114"/>
      <c r="X145" s="1114"/>
      <c r="Y145" s="1114"/>
      <c r="Z145" s="1114"/>
      <c r="AA145" s="1114"/>
      <c r="AB145" s="1113">
        <f>+Dren_Quantificacao!AA115</f>
        <v>0</v>
      </c>
      <c r="AC145" s="1113">
        <f>+Dren_Quantificacao!AB115</f>
        <v>0</v>
      </c>
      <c r="AD145" s="1113">
        <f>+Dren_Quantificacao!AC115</f>
        <v>0</v>
      </c>
      <c r="AE145" s="1123"/>
      <c r="AF145" s="578">
        <f t="shared" si="59"/>
        <v>0</v>
      </c>
      <c r="AG145" s="1046"/>
      <c r="AH145" s="1037"/>
      <c r="AI145" s="1037"/>
      <c r="AJ145" s="1037"/>
      <c r="AK145" s="1037"/>
      <c r="AL145" s="1037"/>
      <c r="AM145" s="1037"/>
      <c r="AN145" s="1037"/>
      <c r="AO145" s="1039"/>
      <c r="AP145" s="1037"/>
      <c r="AQ145" s="1037"/>
      <c r="AR145" s="1037"/>
      <c r="AS145" s="1037"/>
      <c r="AT145" s="1037"/>
      <c r="AU145" s="1037"/>
      <c r="AV145" s="1037"/>
      <c r="AW145" s="1037"/>
      <c r="AX145" s="1039"/>
      <c r="AY145" s="1037"/>
      <c r="AZ145" s="1037"/>
      <c r="BA145" s="1037"/>
      <c r="BB145" s="1037"/>
      <c r="BC145" s="1037"/>
      <c r="BD145" s="1037"/>
      <c r="BE145" s="1039"/>
      <c r="BF145" s="1039"/>
      <c r="BG145" s="1037"/>
      <c r="BH145" s="1037"/>
      <c r="BI145" s="1037"/>
      <c r="BJ145" s="1037"/>
      <c r="BK145" s="1037"/>
      <c r="BL145" s="1039"/>
      <c r="BM145" s="1040"/>
      <c r="BN145" s="1037"/>
      <c r="BO145" s="972"/>
    </row>
    <row r="146" spans="1:67" s="14" customFormat="1" ht="21.95" hidden="1" customHeight="1" x14ac:dyDescent="0.15">
      <c r="A146" s="2627"/>
      <c r="B146" s="2523"/>
      <c r="C146" s="566" t="s">
        <v>3</v>
      </c>
      <c r="D146" s="1002"/>
      <c r="E146" s="1286"/>
      <c r="F146" s="1113">
        <f>Dren_Quantificacao!D116</f>
        <v>0</v>
      </c>
      <c r="G146" s="1113">
        <f>Dren_Quantificacao!E116</f>
        <v>0</v>
      </c>
      <c r="H146" s="1113">
        <f>Dren_Quantificacao!F116</f>
        <v>0</v>
      </c>
      <c r="I146" s="1113">
        <f>Dren_Quantificacao!G116</f>
        <v>0</v>
      </c>
      <c r="J146" s="1113">
        <f>Dren_Quantificacao!H116</f>
        <v>0</v>
      </c>
      <c r="K146" s="1113">
        <f>Dren_Quantificacao!I116</f>
        <v>0</v>
      </c>
      <c r="L146" s="1113">
        <f>Dren_Quantificacao!J116</f>
        <v>0</v>
      </c>
      <c r="M146" s="1113">
        <f>Dren_Quantificacao!K116</f>
        <v>0</v>
      </c>
      <c r="N146" s="1113">
        <f>Dren_Quantificacao!L116</f>
        <v>0</v>
      </c>
      <c r="O146" s="1113">
        <f>Dren_Quantificacao!M116</f>
        <v>0</v>
      </c>
      <c r="P146" s="1114"/>
      <c r="Q146" s="1114"/>
      <c r="R146" s="1114"/>
      <c r="S146" s="1114"/>
      <c r="T146" s="1114"/>
      <c r="U146" s="1114"/>
      <c r="V146" s="1114"/>
      <c r="W146" s="1114"/>
      <c r="X146" s="1114"/>
      <c r="Y146" s="1114"/>
      <c r="Z146" s="1114"/>
      <c r="AA146" s="1114"/>
      <c r="AB146" s="1113">
        <f>+Dren_Quantificacao!AA116</f>
        <v>0</v>
      </c>
      <c r="AC146" s="1113">
        <f>+Dren_Quantificacao!AB116</f>
        <v>0</v>
      </c>
      <c r="AD146" s="1113">
        <f>+Dren_Quantificacao!AC116</f>
        <v>0</v>
      </c>
      <c r="AE146" s="1123"/>
      <c r="AF146" s="578">
        <f t="shared" si="59"/>
        <v>0</v>
      </c>
      <c r="AG146" s="1046"/>
      <c r="AH146" s="1037"/>
      <c r="AI146" s="1037"/>
      <c r="AJ146" s="1037"/>
      <c r="AK146" s="1037"/>
      <c r="AL146" s="1037"/>
      <c r="AM146" s="1037"/>
      <c r="AN146" s="1037"/>
      <c r="AO146" s="1039"/>
      <c r="AP146" s="1037"/>
      <c r="AQ146" s="1037"/>
      <c r="AR146" s="1037"/>
      <c r="AS146" s="1037"/>
      <c r="AT146" s="1037"/>
      <c r="AU146" s="1037"/>
      <c r="AV146" s="1037"/>
      <c r="AW146" s="1037"/>
      <c r="AX146" s="1039"/>
      <c r="AY146" s="1037"/>
      <c r="AZ146" s="1037"/>
      <c r="BA146" s="1037"/>
      <c r="BB146" s="1037"/>
      <c r="BC146" s="1037"/>
      <c r="BD146" s="1037"/>
      <c r="BE146" s="1039"/>
      <c r="BF146" s="1039"/>
      <c r="BG146" s="1037"/>
      <c r="BH146" s="1037"/>
      <c r="BI146" s="1037"/>
      <c r="BJ146" s="1037"/>
      <c r="BK146" s="1037"/>
      <c r="BL146" s="1039"/>
      <c r="BM146" s="1040"/>
      <c r="BN146" s="1037"/>
      <c r="BO146" s="972"/>
    </row>
    <row r="147" spans="1:67" s="14" customFormat="1" ht="21.95" hidden="1" customHeight="1" thickBot="1" x14ac:dyDescent="0.2">
      <c r="A147" s="2627"/>
      <c r="B147" s="2523"/>
      <c r="C147" s="566" t="s">
        <v>11</v>
      </c>
      <c r="D147" s="1009"/>
      <c r="E147" s="2244"/>
      <c r="F147" s="1116">
        <f t="shared" ref="F147" si="73">F146*F145*F144</f>
        <v>0</v>
      </c>
      <c r="G147" s="1116">
        <f t="shared" ref="G147" si="74">G146*G145*G144</f>
        <v>0</v>
      </c>
      <c r="H147" s="1116">
        <f t="shared" ref="H147:M147" si="75">H146*H145*H144</f>
        <v>0</v>
      </c>
      <c r="I147" s="1116">
        <f t="shared" si="75"/>
        <v>0</v>
      </c>
      <c r="J147" s="1116">
        <f t="shared" si="75"/>
        <v>0</v>
      </c>
      <c r="K147" s="1116">
        <f t="shared" si="75"/>
        <v>0</v>
      </c>
      <c r="L147" s="1116">
        <f t="shared" si="75"/>
        <v>0</v>
      </c>
      <c r="M147" s="1116">
        <f t="shared" si="75"/>
        <v>0</v>
      </c>
      <c r="N147" s="1116">
        <f t="shared" ref="N147:O147" si="76">N146*N145*N144</f>
        <v>0</v>
      </c>
      <c r="O147" s="1116">
        <f t="shared" si="76"/>
        <v>0</v>
      </c>
      <c r="P147" s="1117"/>
      <c r="Q147" s="1117"/>
      <c r="R147" s="1117"/>
      <c r="S147" s="1117"/>
      <c r="T147" s="1117"/>
      <c r="U147" s="1117"/>
      <c r="V147" s="1117"/>
      <c r="W147" s="1117"/>
      <c r="X147" s="1117"/>
      <c r="Y147" s="1117"/>
      <c r="Z147" s="1117"/>
      <c r="AA147" s="1117"/>
      <c r="AB147" s="1116">
        <f>+AB146*AB145*AB144</f>
        <v>0</v>
      </c>
      <c r="AC147" s="1116">
        <f>+AC146*AC145*AC144</f>
        <v>0</v>
      </c>
      <c r="AD147" s="1116">
        <f>+AD146*AD145*AD144</f>
        <v>0</v>
      </c>
      <c r="AE147" s="1118">
        <f>ROUND(SUM(F147:AD147),2)</f>
        <v>0</v>
      </c>
      <c r="AF147" s="578">
        <f t="shared" si="59"/>
        <v>0</v>
      </c>
      <c r="AG147" s="1046"/>
      <c r="AH147" s="1037"/>
      <c r="AI147" s="1037"/>
      <c r="AJ147" s="1037"/>
      <c r="AK147" s="1037"/>
      <c r="AL147" s="1037"/>
      <c r="AM147" s="1037"/>
      <c r="AN147" s="1037"/>
      <c r="AO147" s="1039">
        <v>1</v>
      </c>
      <c r="AP147" s="1037"/>
      <c r="AQ147" s="1037"/>
      <c r="AR147" s="1037"/>
      <c r="AS147" s="1037"/>
      <c r="AT147" s="1037"/>
      <c r="AU147" s="1037"/>
      <c r="AV147" s="1037"/>
      <c r="AW147" s="1037"/>
      <c r="AX147" s="1039">
        <v>1</v>
      </c>
      <c r="AY147" s="1037"/>
      <c r="AZ147" s="1037"/>
      <c r="BA147" s="1037"/>
      <c r="BB147" s="1037"/>
      <c r="BC147" s="1037"/>
      <c r="BD147" s="1037">
        <v>1</v>
      </c>
      <c r="BE147" s="1039"/>
      <c r="BF147" s="1039"/>
      <c r="BG147" s="1037"/>
      <c r="BH147" s="1037"/>
      <c r="BI147" s="1037"/>
      <c r="BJ147" s="1037"/>
      <c r="BK147" s="1037"/>
      <c r="BL147" s="1039"/>
      <c r="BM147" s="1040"/>
      <c r="BN147" s="1037"/>
      <c r="BO147" s="972"/>
    </row>
    <row r="148" spans="1:67" ht="21.95" hidden="1" customHeight="1" x14ac:dyDescent="0.15">
      <c r="A148" s="2627"/>
      <c r="B148" s="2566" t="s">
        <v>25</v>
      </c>
      <c r="C148" s="549" t="s">
        <v>58</v>
      </c>
      <c r="D148" s="1001"/>
      <c r="E148" s="2230"/>
      <c r="F148" s="1119">
        <f>Dren_Quantificacao!D101</f>
        <v>0</v>
      </c>
      <c r="G148" s="1119">
        <f>Dren_Quantificacao!E101</f>
        <v>0</v>
      </c>
      <c r="H148" s="1119">
        <f>Dren_Quantificacao!F101</f>
        <v>0</v>
      </c>
      <c r="I148" s="1119">
        <f>Dren_Quantificacao!G101</f>
        <v>0</v>
      </c>
      <c r="J148" s="1119">
        <f>Dren_Quantificacao!H101</f>
        <v>0</v>
      </c>
      <c r="K148" s="1119">
        <f>Dren_Quantificacao!I101</f>
        <v>0</v>
      </c>
      <c r="L148" s="1119">
        <f>Dren_Quantificacao!J101</f>
        <v>0</v>
      </c>
      <c r="M148" s="1119">
        <f>Dren_Quantificacao!K101</f>
        <v>0</v>
      </c>
      <c r="N148" s="1119">
        <f>Dren_Quantificacao!L101</f>
        <v>0</v>
      </c>
      <c r="O148" s="1119">
        <f>Dren_Quantificacao!M101</f>
        <v>0</v>
      </c>
      <c r="P148" s="1120"/>
      <c r="Q148" s="1120"/>
      <c r="R148" s="1120"/>
      <c r="S148" s="1120"/>
      <c r="T148" s="1120"/>
      <c r="U148" s="1120"/>
      <c r="V148" s="1120"/>
      <c r="W148" s="1120"/>
      <c r="X148" s="1120"/>
      <c r="Y148" s="1120"/>
      <c r="Z148" s="1120"/>
      <c r="AA148" s="1120"/>
      <c r="AB148" s="1119">
        <f>+Dren_Quantificacao!AA101</f>
        <v>0</v>
      </c>
      <c r="AC148" s="1119">
        <f>+Dren_Quantificacao!AB101</f>
        <v>0</v>
      </c>
      <c r="AD148" s="1119">
        <f>+Dren_Quantificacao!AC101</f>
        <v>0</v>
      </c>
      <c r="AE148" s="1122"/>
      <c r="AF148" s="578">
        <f t="shared" si="59"/>
        <v>0</v>
      </c>
      <c r="AG148" s="972"/>
      <c r="AH148" s="972"/>
      <c r="AI148" s="972"/>
      <c r="AJ148" s="972"/>
      <c r="AK148" s="972"/>
      <c r="AL148" s="972"/>
      <c r="AM148" s="972"/>
      <c r="AN148" s="972"/>
      <c r="AO148" s="972"/>
      <c r="AP148" s="972"/>
      <c r="AQ148" s="972"/>
      <c r="AR148" s="972"/>
      <c r="AS148" s="972"/>
      <c r="AT148" s="972"/>
      <c r="AU148" s="972"/>
      <c r="AV148" s="972"/>
      <c r="AW148" s="972"/>
      <c r="AX148" s="972"/>
      <c r="AY148" s="972"/>
      <c r="AZ148" s="972"/>
      <c r="BA148" s="972"/>
      <c r="BB148" s="972"/>
      <c r="BC148" s="972"/>
      <c r="BD148" s="972"/>
      <c r="BE148" s="972"/>
      <c r="BF148" s="972"/>
      <c r="BG148" s="972"/>
      <c r="BH148" s="972"/>
      <c r="BI148" s="972"/>
      <c r="BJ148" s="972"/>
      <c r="BK148" s="972"/>
      <c r="BL148" s="972"/>
      <c r="BM148" s="972"/>
      <c r="BN148" s="972"/>
      <c r="BO148" s="972"/>
    </row>
    <row r="149" spans="1:67" ht="21.95" hidden="1" customHeight="1" x14ac:dyDescent="0.15">
      <c r="A149" s="2627"/>
      <c r="B149" s="2539"/>
      <c r="C149" s="566" t="s">
        <v>64</v>
      </c>
      <c r="D149" s="1002"/>
      <c r="E149" s="1286"/>
      <c r="F149" s="1113">
        <f>Dren_Quantificacao!D102</f>
        <v>0</v>
      </c>
      <c r="G149" s="1113">
        <f>Dren_Quantificacao!E102</f>
        <v>0</v>
      </c>
      <c r="H149" s="1113">
        <f>Dren_Quantificacao!F102</f>
        <v>0</v>
      </c>
      <c r="I149" s="1113">
        <f>Dren_Quantificacao!G102</f>
        <v>0</v>
      </c>
      <c r="J149" s="1113">
        <f>Dren_Quantificacao!H102</f>
        <v>0</v>
      </c>
      <c r="K149" s="1113">
        <f>Dren_Quantificacao!I102</f>
        <v>0</v>
      </c>
      <c r="L149" s="1113">
        <f>Dren_Quantificacao!J102</f>
        <v>0</v>
      </c>
      <c r="M149" s="1113">
        <f>Dren_Quantificacao!K102</f>
        <v>0</v>
      </c>
      <c r="N149" s="1113">
        <f>Dren_Quantificacao!L102</f>
        <v>0</v>
      </c>
      <c r="O149" s="1113">
        <f>Dren_Quantificacao!M102</f>
        <v>0</v>
      </c>
      <c r="P149" s="1114"/>
      <c r="Q149" s="1114"/>
      <c r="R149" s="1114"/>
      <c r="S149" s="1114"/>
      <c r="T149" s="1114"/>
      <c r="U149" s="1114"/>
      <c r="V149" s="1114"/>
      <c r="W149" s="1114"/>
      <c r="X149" s="1114"/>
      <c r="Y149" s="1114"/>
      <c r="Z149" s="1114"/>
      <c r="AA149" s="1114"/>
      <c r="AB149" s="1113">
        <f>+Dren_Quantificacao!AA102</f>
        <v>0</v>
      </c>
      <c r="AC149" s="1113">
        <f>+Dren_Quantificacao!AB102</f>
        <v>0</v>
      </c>
      <c r="AD149" s="1113">
        <f>+Dren_Quantificacao!AC102</f>
        <v>0</v>
      </c>
      <c r="AE149" s="1123"/>
      <c r="AF149" s="578">
        <f t="shared" si="59"/>
        <v>0</v>
      </c>
      <c r="AG149" s="972"/>
      <c r="AH149" s="972"/>
      <c r="AI149" s="972"/>
      <c r="AJ149" s="972"/>
      <c r="AK149" s="972"/>
      <c r="AL149" s="972"/>
      <c r="AM149" s="972"/>
      <c r="AN149" s="972"/>
      <c r="AO149" s="972"/>
      <c r="AP149" s="972"/>
      <c r="AQ149" s="972"/>
      <c r="AR149" s="972"/>
      <c r="AS149" s="972"/>
      <c r="AT149" s="972"/>
      <c r="AU149" s="972"/>
      <c r="AV149" s="972"/>
      <c r="AW149" s="972"/>
      <c r="AX149" s="972"/>
      <c r="AY149" s="972"/>
      <c r="AZ149" s="972"/>
      <c r="BA149" s="972"/>
      <c r="BB149" s="972"/>
      <c r="BC149" s="972"/>
      <c r="BD149" s="972"/>
      <c r="BE149" s="972"/>
      <c r="BF149" s="972"/>
      <c r="BG149" s="972"/>
      <c r="BH149" s="972"/>
      <c r="BI149" s="972"/>
      <c r="BJ149" s="972"/>
      <c r="BK149" s="972"/>
      <c r="BL149" s="972"/>
      <c r="BM149" s="972"/>
      <c r="BN149" s="972"/>
      <c r="BO149" s="972"/>
    </row>
    <row r="150" spans="1:67" ht="21.95" hidden="1" customHeight="1" thickBot="1" x14ac:dyDescent="0.2">
      <c r="A150" s="2627"/>
      <c r="B150" s="2567"/>
      <c r="C150" s="565" t="s">
        <v>50</v>
      </c>
      <c r="D150" s="1003"/>
      <c r="E150" s="2231"/>
      <c r="F150" s="1124">
        <f t="shared" ref="F150" si="77">F149*F148</f>
        <v>0</v>
      </c>
      <c r="G150" s="1124">
        <f t="shared" ref="G150" si="78">G149*G148</f>
        <v>0</v>
      </c>
      <c r="H150" s="1124">
        <f t="shared" ref="H150:M150" si="79">H149*H148</f>
        <v>0</v>
      </c>
      <c r="I150" s="1124">
        <f t="shared" si="79"/>
        <v>0</v>
      </c>
      <c r="J150" s="1124">
        <f t="shared" si="79"/>
        <v>0</v>
      </c>
      <c r="K150" s="1124">
        <f t="shared" si="79"/>
        <v>0</v>
      </c>
      <c r="L150" s="1124">
        <f t="shared" si="79"/>
        <v>0</v>
      </c>
      <c r="M150" s="1124">
        <f t="shared" si="79"/>
        <v>0</v>
      </c>
      <c r="N150" s="1124">
        <f t="shared" ref="N150:O150" si="80">N149*N148</f>
        <v>0</v>
      </c>
      <c r="O150" s="1124">
        <f t="shared" si="80"/>
        <v>0</v>
      </c>
      <c r="P150" s="1125"/>
      <c r="Q150" s="1125"/>
      <c r="R150" s="1125"/>
      <c r="S150" s="1125"/>
      <c r="T150" s="1125"/>
      <c r="U150" s="1125"/>
      <c r="V150" s="1125"/>
      <c r="W150" s="1125"/>
      <c r="X150" s="1125"/>
      <c r="Y150" s="1125"/>
      <c r="Z150" s="1125"/>
      <c r="AA150" s="1125"/>
      <c r="AB150" s="1124">
        <f>+AB149*AB148</f>
        <v>0</v>
      </c>
      <c r="AC150" s="1124">
        <f>+AC149*AC148</f>
        <v>0</v>
      </c>
      <c r="AD150" s="1124">
        <f>+AD149*AD148</f>
        <v>0</v>
      </c>
      <c r="AE150" s="1126">
        <f t="shared" ref="AE150:AE162" si="81">ROUND(SUM(F150:AD150),2)</f>
        <v>0</v>
      </c>
      <c r="AF150" s="578">
        <f t="shared" si="59"/>
        <v>0</v>
      </c>
      <c r="AG150" s="972"/>
      <c r="AH150" s="972"/>
      <c r="AI150" s="972"/>
      <c r="AJ150" s="972"/>
      <c r="AK150" s="972"/>
      <c r="AL150" s="972"/>
      <c r="AM150" s="972"/>
      <c r="AN150" s="972"/>
      <c r="AO150" s="972"/>
      <c r="AP150" s="972"/>
      <c r="AQ150" s="972"/>
      <c r="AR150" s="972"/>
      <c r="AS150" s="972"/>
      <c r="AT150" s="972"/>
      <c r="AU150" s="972"/>
      <c r="AV150" s="972"/>
      <c r="AW150" s="972"/>
      <c r="AX150" s="972"/>
      <c r="AY150" s="972"/>
      <c r="AZ150" s="972"/>
      <c r="BA150" s="972"/>
      <c r="BB150" s="972"/>
      <c r="BC150" s="972"/>
      <c r="BD150" s="972"/>
      <c r="BE150" s="972"/>
      <c r="BF150" s="972"/>
      <c r="BG150" s="972"/>
      <c r="BH150" s="972"/>
      <c r="BI150" s="972"/>
      <c r="BJ150" s="972"/>
      <c r="BK150" s="972"/>
      <c r="BL150" s="972"/>
      <c r="BM150" s="972"/>
      <c r="BN150" s="972"/>
      <c r="BO150" s="972"/>
    </row>
    <row r="151" spans="1:67" ht="21.95" hidden="1" customHeight="1" thickBot="1" x14ac:dyDescent="0.2">
      <c r="A151" s="2627"/>
      <c r="B151" s="2529" t="s">
        <v>325</v>
      </c>
      <c r="C151" s="2530"/>
      <c r="D151" s="1000"/>
      <c r="E151" s="2229"/>
      <c r="F151" s="1127">
        <f>Dren_Quantificacao!D103</f>
        <v>0</v>
      </c>
      <c r="G151" s="1127">
        <f>Dren_Quantificacao!E103</f>
        <v>0</v>
      </c>
      <c r="H151" s="1127">
        <f>Dren_Quantificacao!F103</f>
        <v>0</v>
      </c>
      <c r="I151" s="1127">
        <f>Dren_Quantificacao!G103</f>
        <v>0</v>
      </c>
      <c r="J151" s="1127">
        <f>Dren_Quantificacao!H103</f>
        <v>0</v>
      </c>
      <c r="K151" s="1127">
        <f>Dren_Quantificacao!I103</f>
        <v>0</v>
      </c>
      <c r="L151" s="1127">
        <f>Dren_Quantificacao!J103</f>
        <v>0</v>
      </c>
      <c r="M151" s="1127">
        <f>Dren_Quantificacao!K103</f>
        <v>0</v>
      </c>
      <c r="N151" s="1127">
        <f>Dren_Quantificacao!L103</f>
        <v>0</v>
      </c>
      <c r="O151" s="1127">
        <f>Dren_Quantificacao!M103</f>
        <v>0</v>
      </c>
      <c r="P151" s="1128"/>
      <c r="Q151" s="1128"/>
      <c r="R151" s="1128"/>
      <c r="S151" s="1128"/>
      <c r="T151" s="1128"/>
      <c r="U151" s="1128"/>
      <c r="V151" s="1128"/>
      <c r="W151" s="1128"/>
      <c r="X151" s="1128"/>
      <c r="Y151" s="1128"/>
      <c r="Z151" s="1128"/>
      <c r="AA151" s="1128"/>
      <c r="AB151" s="1127"/>
      <c r="AC151" s="1127"/>
      <c r="AD151" s="1127"/>
      <c r="AE151" s="1129">
        <f t="shared" si="81"/>
        <v>0</v>
      </c>
      <c r="AF151" s="578">
        <f t="shared" si="59"/>
        <v>0</v>
      </c>
      <c r="AG151" s="972"/>
      <c r="AH151" s="972"/>
      <c r="AI151" s="972"/>
      <c r="AJ151" s="972"/>
      <c r="AK151" s="972"/>
      <c r="AL151" s="972"/>
      <c r="AM151" s="972"/>
      <c r="AN151" s="972"/>
      <c r="AO151" s="972"/>
      <c r="AP151" s="972"/>
      <c r="AQ151" s="972"/>
      <c r="AR151" s="972"/>
      <c r="AS151" s="972"/>
      <c r="AT151" s="972"/>
      <c r="AU151" s="972"/>
      <c r="AV151" s="972"/>
      <c r="AW151" s="972"/>
      <c r="AX151" s="972"/>
      <c r="AY151" s="972"/>
      <c r="AZ151" s="972"/>
      <c r="BA151" s="972"/>
      <c r="BB151" s="972"/>
      <c r="BC151" s="972"/>
      <c r="BD151" s="972"/>
      <c r="BE151" s="972"/>
      <c r="BF151" s="972"/>
      <c r="BG151" s="972"/>
      <c r="BH151" s="972"/>
      <c r="BI151" s="972"/>
      <c r="BJ151" s="972"/>
      <c r="BK151" s="972"/>
      <c r="BL151" s="972"/>
      <c r="BM151" s="972"/>
      <c r="BN151" s="972"/>
      <c r="BO151" s="972"/>
    </row>
    <row r="152" spans="1:67" ht="21.95" customHeight="1" x14ac:dyDescent="0.15">
      <c r="A152" s="2627"/>
      <c r="B152" s="2594" t="s">
        <v>1374</v>
      </c>
      <c r="C152" s="549" t="s">
        <v>1203</v>
      </c>
      <c r="D152" s="1151"/>
      <c r="E152" s="2230"/>
      <c r="F152" s="1119">
        <f t="shared" ref="F152:F159" ca="1" si="82">F162</f>
        <v>14.750542065720001</v>
      </c>
      <c r="G152" s="1119">
        <f t="shared" ref="G152" ca="1" si="83">G162</f>
        <v>7.48067336116</v>
      </c>
      <c r="H152" s="1119">
        <f t="shared" ref="H152:M152" ca="1" si="84">H162</f>
        <v>15.352353434519999</v>
      </c>
      <c r="I152" s="1119">
        <f t="shared" ca="1" si="84"/>
        <v>7.514088898959999</v>
      </c>
      <c r="J152" s="1119">
        <f t="shared" ca="1" si="84"/>
        <v>11.648126285240002</v>
      </c>
      <c r="K152" s="1119">
        <f t="shared" ca="1" si="84"/>
        <v>11.586648783120001</v>
      </c>
      <c r="L152" s="1119">
        <f t="shared" si="84"/>
        <v>17.307669887599999</v>
      </c>
      <c r="M152" s="1119">
        <f t="shared" si="84"/>
        <v>8.5258950838000001</v>
      </c>
      <c r="N152" s="1119">
        <f t="shared" ref="N152:O152" si="85">N162</f>
        <v>10.851654023800002</v>
      </c>
      <c r="O152" s="1119">
        <f t="shared" si="85"/>
        <v>0.24906042000000003</v>
      </c>
      <c r="P152" s="1120"/>
      <c r="Q152" s="1120"/>
      <c r="R152" s="1120"/>
      <c r="S152" s="1120"/>
      <c r="T152" s="1120"/>
      <c r="U152" s="1120"/>
      <c r="V152" s="1120"/>
      <c r="W152" s="1120"/>
      <c r="X152" s="1120"/>
      <c r="Y152" s="1120"/>
      <c r="Z152" s="1120"/>
      <c r="AA152" s="1120"/>
      <c r="AB152" s="1119"/>
      <c r="AC152" s="1119"/>
      <c r="AD152" s="1119"/>
      <c r="AE152" s="1121">
        <f t="shared" ca="1" si="81"/>
        <v>105.27</v>
      </c>
      <c r="AF152" s="578">
        <f t="shared" ca="1" si="59"/>
        <v>210.53671224392002</v>
      </c>
      <c r="AG152" s="972"/>
      <c r="AH152" s="972"/>
      <c r="AI152" s="972"/>
      <c r="AJ152" s="972"/>
      <c r="AK152" s="972"/>
      <c r="AL152" s="972"/>
      <c r="AM152" s="972"/>
      <c r="AN152" s="972"/>
      <c r="AO152" s="972"/>
      <c r="AP152" s="972"/>
      <c r="AQ152" s="972"/>
      <c r="AR152" s="972"/>
      <c r="AS152" s="972"/>
      <c r="AT152" s="972"/>
      <c r="AU152" s="972"/>
      <c r="AV152" s="972"/>
      <c r="AW152" s="972"/>
      <c r="AX152" s="972"/>
      <c r="AY152" s="972"/>
      <c r="AZ152" s="972"/>
      <c r="BA152" s="972"/>
      <c r="BB152" s="972"/>
      <c r="BC152" s="972"/>
      <c r="BD152" s="972"/>
      <c r="BE152" s="972"/>
      <c r="BF152" s="972"/>
      <c r="BG152" s="972"/>
      <c r="BH152" s="972"/>
      <c r="BI152" s="972"/>
      <c r="BJ152" s="972"/>
      <c r="BK152" s="972"/>
      <c r="BL152" s="972"/>
      <c r="BM152" s="972"/>
      <c r="BN152" s="972"/>
      <c r="BO152" s="972"/>
    </row>
    <row r="153" spans="1:67" ht="21.95" customHeight="1" x14ac:dyDescent="0.15">
      <c r="A153" s="2627"/>
      <c r="B153" s="2595"/>
      <c r="C153" s="558" t="s">
        <v>585</v>
      </c>
      <c r="D153" s="996"/>
      <c r="E153" s="1286"/>
      <c r="F153" s="1113">
        <f t="shared" ca="1" si="82"/>
        <v>34.005786299199997</v>
      </c>
      <c r="G153" s="1113">
        <f t="shared" ref="G153" ca="1" si="86">G163</f>
        <v>16.962585304000001</v>
      </c>
      <c r="H153" s="1113">
        <f t="shared" ref="H153:M153" ca="1" si="87">H163</f>
        <v>35.425942499200005</v>
      </c>
      <c r="I153" s="1113">
        <f t="shared" ca="1" si="87"/>
        <v>17.009205003999998</v>
      </c>
      <c r="J153" s="1113">
        <f t="shared" ca="1" si="87"/>
        <v>25.796084663999995</v>
      </c>
      <c r="K153" s="1113">
        <f t="shared" ca="1" si="87"/>
        <v>25.659233323999995</v>
      </c>
      <c r="L153" s="1113">
        <f t="shared" si="87"/>
        <v>39.442493167999999</v>
      </c>
      <c r="M153" s="1113">
        <f t="shared" si="87"/>
        <v>19.423345984000001</v>
      </c>
      <c r="N153" s="1113">
        <f t="shared" ref="N153:O153" si="88">N163</f>
        <v>24.854473384000002</v>
      </c>
      <c r="O153" s="1113">
        <f t="shared" si="88"/>
        <v>0.58121820000000002</v>
      </c>
      <c r="P153" s="1114"/>
      <c r="Q153" s="1114"/>
      <c r="R153" s="1114"/>
      <c r="S153" s="1114"/>
      <c r="T153" s="1114"/>
      <c r="U153" s="1114"/>
      <c r="V153" s="1114"/>
      <c r="W153" s="1114"/>
      <c r="X153" s="1114"/>
      <c r="Y153" s="1114"/>
      <c r="Z153" s="1114"/>
      <c r="AA153" s="1114"/>
      <c r="AB153" s="1113"/>
      <c r="AC153" s="1113"/>
      <c r="AD153" s="1113"/>
      <c r="AE153" s="1115">
        <f t="shared" ca="1" si="81"/>
        <v>239.16</v>
      </c>
      <c r="AF153" s="578">
        <f t="shared" ca="1" si="59"/>
        <v>478.32036783039996</v>
      </c>
      <c r="AG153" s="972"/>
      <c r="AH153" s="972"/>
      <c r="AI153" s="972"/>
      <c r="AJ153" s="972"/>
      <c r="AK153" s="972"/>
      <c r="AL153" s="972"/>
      <c r="AM153" s="972"/>
      <c r="AN153" s="972"/>
      <c r="AO153" s="972"/>
      <c r="AP153" s="972"/>
      <c r="AQ153" s="972"/>
      <c r="AR153" s="972"/>
      <c r="AS153" s="972"/>
      <c r="AT153" s="972"/>
      <c r="AU153" s="972"/>
      <c r="AV153" s="972"/>
      <c r="AW153" s="972"/>
      <c r="AX153" s="972"/>
      <c r="AY153" s="972"/>
      <c r="AZ153" s="972"/>
      <c r="BA153" s="972"/>
      <c r="BB153" s="972"/>
      <c r="BC153" s="972"/>
      <c r="BD153" s="972"/>
      <c r="BE153" s="972"/>
      <c r="BF153" s="972"/>
      <c r="BG153" s="972"/>
      <c r="BH153" s="972"/>
      <c r="BI153" s="972"/>
      <c r="BJ153" s="972"/>
      <c r="BK153" s="972"/>
      <c r="BL153" s="972"/>
      <c r="BM153" s="972"/>
      <c r="BN153" s="972"/>
      <c r="BO153" s="972"/>
    </row>
    <row r="154" spans="1:67" ht="21.95" customHeight="1" x14ac:dyDescent="0.15">
      <c r="A154" s="2627"/>
      <c r="B154" s="2595"/>
      <c r="C154" s="558" t="s">
        <v>1202</v>
      </c>
      <c r="D154" s="996"/>
      <c r="E154" s="1286"/>
      <c r="F154" s="1113">
        <f t="shared" ca="1" si="82"/>
        <v>7.4453194719999987</v>
      </c>
      <c r="G154" s="1113">
        <f t="shared" ref="G154" ca="1" si="89">G164</f>
        <v>3.4831371599999992</v>
      </c>
      <c r="H154" s="1113">
        <f t="shared" ref="H154:M154" ca="1" si="90">H164</f>
        <v>8.7290884719999973</v>
      </c>
      <c r="I154" s="1113">
        <f t="shared" ca="1" si="90"/>
        <v>3.0552141599999993</v>
      </c>
      <c r="J154" s="1113">
        <f t="shared" ca="1" si="90"/>
        <v>3.0552141599999993</v>
      </c>
      <c r="K154" s="1113">
        <f t="shared" ca="1" si="90"/>
        <v>3.0552141599999993</v>
      </c>
      <c r="L154" s="1113">
        <f t="shared" si="90"/>
        <v>11.647012319999998</v>
      </c>
      <c r="M154" s="1113">
        <f t="shared" si="90"/>
        <v>5.6139471599999995</v>
      </c>
      <c r="N154" s="1113">
        <f t="shared" ref="N154:O154" si="91">N164</f>
        <v>9.6660081600000005</v>
      </c>
      <c r="O154" s="1113">
        <f t="shared" si="91"/>
        <v>0.42792299999999994</v>
      </c>
      <c r="P154" s="1114"/>
      <c r="Q154" s="1114"/>
      <c r="R154" s="1114"/>
      <c r="S154" s="1114"/>
      <c r="T154" s="1114"/>
      <c r="U154" s="1114"/>
      <c r="V154" s="1114"/>
      <c r="W154" s="1114"/>
      <c r="X154" s="1114"/>
      <c r="Y154" s="1114"/>
      <c r="Z154" s="1114"/>
      <c r="AA154" s="1114"/>
      <c r="AB154" s="1113"/>
      <c r="AC154" s="1113"/>
      <c r="AD154" s="1113"/>
      <c r="AE154" s="1115">
        <f t="shared" ca="1" si="81"/>
        <v>56.18</v>
      </c>
      <c r="AF154" s="578">
        <f t="shared" ca="1" si="59"/>
        <v>112.35807822399998</v>
      </c>
      <c r="AG154" s="972"/>
      <c r="AH154" s="972"/>
      <c r="AI154" s="972"/>
      <c r="AJ154" s="972"/>
      <c r="AK154" s="972"/>
      <c r="AL154" s="972"/>
      <c r="AM154" s="972"/>
      <c r="AN154" s="972"/>
      <c r="AO154" s="972"/>
      <c r="AP154" s="972"/>
      <c r="AQ154" s="972"/>
      <c r="AR154" s="972"/>
      <c r="AS154" s="972"/>
      <c r="AT154" s="972"/>
      <c r="AU154" s="972"/>
      <c r="AV154" s="972"/>
      <c r="AW154" s="972"/>
      <c r="AX154" s="972"/>
      <c r="AY154" s="972"/>
      <c r="AZ154" s="972"/>
      <c r="BA154" s="972"/>
      <c r="BB154" s="972"/>
      <c r="BC154" s="972"/>
      <c r="BD154" s="972"/>
      <c r="BE154" s="972"/>
      <c r="BF154" s="972"/>
      <c r="BG154" s="972"/>
      <c r="BH154" s="972"/>
      <c r="BI154" s="972"/>
      <c r="BJ154" s="972"/>
      <c r="BK154" s="972"/>
      <c r="BL154" s="972"/>
      <c r="BM154" s="972"/>
      <c r="BN154" s="972"/>
      <c r="BO154" s="972"/>
    </row>
    <row r="155" spans="1:67" ht="21.95" customHeight="1" x14ac:dyDescent="0.15">
      <c r="A155" s="2627"/>
      <c r="B155" s="2595"/>
      <c r="C155" s="558" t="s">
        <v>1204</v>
      </c>
      <c r="D155" s="996"/>
      <c r="E155" s="1286"/>
      <c r="F155" s="1113">
        <f t="shared" ca="1" si="82"/>
        <v>0.26869789020000001</v>
      </c>
      <c r="G155" s="1113">
        <f t="shared" ref="G155" ca="1" si="92">G165</f>
        <v>0.146267432</v>
      </c>
      <c r="H155" s="1113">
        <f t="shared" ref="H155:M155" ca="1" si="93">H165</f>
        <v>0.28368709020000005</v>
      </c>
      <c r="I155" s="1113">
        <f t="shared" ca="1" si="93"/>
        <v>0.14121288200000004</v>
      </c>
      <c r="J155" s="1113">
        <f t="shared" ca="1" si="93"/>
        <v>0.18597855700000004</v>
      </c>
      <c r="K155" s="1113">
        <f t="shared" ca="1" si="93"/>
        <v>0.18561802700000005</v>
      </c>
      <c r="L155" s="1113">
        <f t="shared" si="93"/>
        <v>0.35817018400000006</v>
      </c>
      <c r="M155" s="1113">
        <f t="shared" si="93"/>
        <v>0.17504809200000002</v>
      </c>
      <c r="N155" s="1113">
        <f t="shared" ref="N155:O155" si="94">N165</f>
        <v>0.22899109200000001</v>
      </c>
      <c r="O155" s="1113">
        <f t="shared" si="94"/>
        <v>5.2290000000000001E-3</v>
      </c>
      <c r="P155" s="1114"/>
      <c r="Q155" s="1114"/>
      <c r="R155" s="1114"/>
      <c r="S155" s="1114"/>
      <c r="T155" s="1114"/>
      <c r="U155" s="1114"/>
      <c r="V155" s="1114"/>
      <c r="W155" s="1114"/>
      <c r="X155" s="1114"/>
      <c r="Y155" s="1114"/>
      <c r="Z155" s="1114"/>
      <c r="AA155" s="1114"/>
      <c r="AB155" s="1113"/>
      <c r="AC155" s="1113"/>
      <c r="AD155" s="1113"/>
      <c r="AE155" s="1115">
        <f t="shared" ca="1" si="81"/>
        <v>1.98</v>
      </c>
      <c r="AF155" s="578">
        <f t="shared" ca="1" si="59"/>
        <v>3.9589002463999998</v>
      </c>
      <c r="AG155" s="972"/>
      <c r="AH155" s="972"/>
      <c r="AI155" s="972"/>
      <c r="AJ155" s="972"/>
      <c r="AK155" s="972"/>
      <c r="AL155" s="972"/>
      <c r="AM155" s="972"/>
      <c r="AN155" s="972"/>
      <c r="AO155" s="972"/>
      <c r="AP155" s="972"/>
      <c r="AQ155" s="972"/>
      <c r="AR155" s="972"/>
      <c r="AS155" s="972"/>
      <c r="AT155" s="972"/>
      <c r="AU155" s="972"/>
      <c r="AV155" s="972"/>
      <c r="AW155" s="972"/>
      <c r="AX155" s="972"/>
      <c r="AY155" s="972"/>
      <c r="AZ155" s="972"/>
      <c r="BA155" s="972"/>
      <c r="BB155" s="972"/>
      <c r="BC155" s="972"/>
      <c r="BD155" s="972"/>
      <c r="BE155" s="972"/>
      <c r="BF155" s="972"/>
      <c r="BG155" s="972"/>
      <c r="BH155" s="972"/>
      <c r="BI155" s="972"/>
      <c r="BJ155" s="972"/>
      <c r="BK155" s="972"/>
      <c r="BL155" s="972"/>
      <c r="BM155" s="972"/>
      <c r="BN155" s="972"/>
      <c r="BO155" s="972"/>
    </row>
    <row r="156" spans="1:67" ht="21.95" customHeight="1" x14ac:dyDescent="0.15">
      <c r="A156" s="2627"/>
      <c r="B156" s="2595"/>
      <c r="C156" s="558" t="s">
        <v>1205</v>
      </c>
      <c r="D156" s="996"/>
      <c r="E156" s="1286"/>
      <c r="F156" s="1113">
        <f t="shared" ca="1" si="82"/>
        <v>0.37272966159999998</v>
      </c>
      <c r="G156" s="1113">
        <f t="shared" ref="G156" ca="1" si="95">G166</f>
        <v>6.9612406000000002E-2</v>
      </c>
      <c r="H156" s="1113">
        <f t="shared" ref="H156:M156" ca="1" si="96">H166</f>
        <v>0.38572464160000003</v>
      </c>
      <c r="I156" s="1113">
        <f t="shared" ca="1" si="96"/>
        <v>6.5052660999999998E-2</v>
      </c>
      <c r="J156" s="1113">
        <f t="shared" ca="1" si="96"/>
        <v>7.7541763999999999E-2</v>
      </c>
      <c r="K156" s="1113">
        <f t="shared" ca="1" si="96"/>
        <v>7.6127636999999998E-2</v>
      </c>
      <c r="L156" s="1113">
        <f t="shared" si="96"/>
        <v>0.26127260000000002</v>
      </c>
      <c r="M156" s="1113">
        <f t="shared" si="96"/>
        <v>0.1170133</v>
      </c>
      <c r="N156" s="1113">
        <f t="shared" ref="N156:O156" si="97">N166</f>
        <v>0.19983430000000002</v>
      </c>
      <c r="O156" s="1113">
        <f t="shared" si="97"/>
        <v>5.2440000000000004E-3</v>
      </c>
      <c r="P156" s="1114"/>
      <c r="Q156" s="1114"/>
      <c r="R156" s="1114"/>
      <c r="S156" s="1114"/>
      <c r="T156" s="1114"/>
      <c r="U156" s="1114"/>
      <c r="V156" s="1114"/>
      <c r="W156" s="1114"/>
      <c r="X156" s="1114"/>
      <c r="Y156" s="1114"/>
      <c r="Z156" s="1114"/>
      <c r="AA156" s="1114"/>
      <c r="AB156" s="1113"/>
      <c r="AC156" s="1113"/>
      <c r="AD156" s="1113"/>
      <c r="AE156" s="1115">
        <f t="shared" ca="1" si="81"/>
        <v>1.63</v>
      </c>
      <c r="AF156" s="578">
        <f t="shared" ca="1" si="59"/>
        <v>3.2601529712000001</v>
      </c>
      <c r="AG156" s="972"/>
      <c r="AH156" s="972"/>
      <c r="AI156" s="972"/>
      <c r="AJ156" s="972"/>
      <c r="AK156" s="972"/>
      <c r="AL156" s="972"/>
      <c r="AM156" s="972"/>
      <c r="AN156" s="972"/>
      <c r="AO156" s="972"/>
      <c r="AP156" s="972"/>
      <c r="AQ156" s="972"/>
      <c r="AR156" s="972"/>
      <c r="AS156" s="972"/>
      <c r="AT156" s="972"/>
      <c r="AU156" s="972"/>
      <c r="AV156" s="972"/>
      <c r="AW156" s="972"/>
      <c r="AX156" s="972"/>
      <c r="AY156" s="972"/>
      <c r="AZ156" s="972"/>
      <c r="BA156" s="972"/>
      <c r="BB156" s="972"/>
      <c r="BC156" s="972"/>
      <c r="BD156" s="972"/>
      <c r="BE156" s="972"/>
      <c r="BF156" s="972"/>
      <c r="BG156" s="972"/>
      <c r="BH156" s="972"/>
      <c r="BI156" s="972"/>
      <c r="BJ156" s="972"/>
      <c r="BK156" s="972"/>
      <c r="BL156" s="972"/>
      <c r="BM156" s="972"/>
      <c r="BN156" s="972"/>
      <c r="BO156" s="972"/>
    </row>
    <row r="157" spans="1:67" ht="21.95" customHeight="1" x14ac:dyDescent="0.15">
      <c r="A157" s="2627"/>
      <c r="B157" s="2595"/>
      <c r="C157" s="558" t="s">
        <v>1208</v>
      </c>
      <c r="D157" s="996"/>
      <c r="E157" s="1286"/>
      <c r="F157" s="1113">
        <f t="shared" ca="1" si="82"/>
        <v>2.7820902586499994</v>
      </c>
      <c r="G157" s="1113">
        <f t="shared" ref="G157" ca="1" si="98">G167</f>
        <v>2.1686991119999997</v>
      </c>
      <c r="H157" s="1113">
        <f t="shared" ref="H157:M157" ca="1" si="99">H167</f>
        <v>2.7820902586499994</v>
      </c>
      <c r="I157" s="1113">
        <f t="shared" ca="1" si="99"/>
        <v>2.1686991119999997</v>
      </c>
      <c r="J157" s="1113">
        <f t="shared" ca="1" si="99"/>
        <v>3.6441060119999995</v>
      </c>
      <c r="K157" s="1113">
        <f t="shared" ca="1" si="99"/>
        <v>3.6441060119999995</v>
      </c>
      <c r="L157" s="1113">
        <f t="shared" si="99"/>
        <v>4.3373982239999993</v>
      </c>
      <c r="M157" s="1113">
        <f t="shared" si="99"/>
        <v>2.1686991119999997</v>
      </c>
      <c r="N157" s="1113">
        <f t="shared" ref="N157:O157" si="100">N167</f>
        <v>2.1686991119999997</v>
      </c>
      <c r="O157" s="1113">
        <f t="shared" si="100"/>
        <v>0</v>
      </c>
      <c r="P157" s="1114"/>
      <c r="Q157" s="1114"/>
      <c r="R157" s="1114"/>
      <c r="S157" s="1114"/>
      <c r="T157" s="1114"/>
      <c r="U157" s="1114"/>
      <c r="V157" s="1114"/>
      <c r="W157" s="1114"/>
      <c r="X157" s="1114"/>
      <c r="Y157" s="1114"/>
      <c r="Z157" s="1114"/>
      <c r="AA157" s="1114"/>
      <c r="AB157" s="1113"/>
      <c r="AC157" s="1113"/>
      <c r="AD157" s="1113"/>
      <c r="AE157" s="1115">
        <f t="shared" ca="1" si="81"/>
        <v>25.86</v>
      </c>
      <c r="AF157" s="578">
        <f t="shared" ca="1" si="59"/>
        <v>51.724587213299991</v>
      </c>
      <c r="AG157" s="972"/>
      <c r="AH157" s="972"/>
      <c r="AI157" s="972"/>
      <c r="AJ157" s="972"/>
      <c r="AK157" s="972"/>
      <c r="AL157" s="972"/>
      <c r="AM157" s="972"/>
      <c r="AN157" s="972"/>
      <c r="AO157" s="972"/>
      <c r="AP157" s="972"/>
      <c r="AQ157" s="972"/>
      <c r="AR157" s="972"/>
      <c r="AS157" s="972"/>
      <c r="AT157" s="972"/>
      <c r="AU157" s="972"/>
      <c r="AV157" s="972"/>
      <c r="AW157" s="972"/>
      <c r="AX157" s="972"/>
      <c r="AY157" s="972"/>
      <c r="AZ157" s="972"/>
      <c r="BA157" s="972"/>
      <c r="BB157" s="972"/>
      <c r="BC157" s="972"/>
      <c r="BD157" s="972"/>
      <c r="BE157" s="972"/>
      <c r="BF157" s="972"/>
      <c r="BG157" s="972"/>
      <c r="BH157" s="972"/>
      <c r="BI157" s="972"/>
      <c r="BJ157" s="972"/>
      <c r="BK157" s="972"/>
      <c r="BL157" s="972"/>
      <c r="BM157" s="972"/>
      <c r="BN157" s="972"/>
      <c r="BO157" s="972"/>
    </row>
    <row r="158" spans="1:67" ht="21.95" customHeight="1" thickBot="1" x14ac:dyDescent="0.2">
      <c r="A158" s="2627"/>
      <c r="B158" s="2595"/>
      <c r="C158" s="558" t="s">
        <v>1209</v>
      </c>
      <c r="D158" s="996"/>
      <c r="E158" s="1286"/>
      <c r="F158" s="1113">
        <f t="shared" ca="1" si="82"/>
        <v>0.53438489999999994</v>
      </c>
      <c r="G158" s="1113">
        <f t="shared" ref="G158" ca="1" si="101">G168</f>
        <v>0.33844377000000003</v>
      </c>
      <c r="H158" s="1113">
        <f t="shared" ref="H158:M158" ca="1" si="102">H168</f>
        <v>0</v>
      </c>
      <c r="I158" s="1113">
        <f t="shared" ca="1" si="102"/>
        <v>0.47203999500000005</v>
      </c>
      <c r="J158" s="1113">
        <f t="shared" ca="1" si="102"/>
        <v>0.46313358000000004</v>
      </c>
      <c r="K158" s="1113">
        <f t="shared" ca="1" si="102"/>
        <v>0.18703471499999999</v>
      </c>
      <c r="L158" s="1113">
        <f t="shared" si="102"/>
        <v>0.35625660000000003</v>
      </c>
      <c r="M158" s="1113">
        <f t="shared" si="102"/>
        <v>0.17812830000000002</v>
      </c>
      <c r="N158" s="1113">
        <f t="shared" ref="N158:O158" si="103">N168</f>
        <v>0.17812830000000002</v>
      </c>
      <c r="O158" s="1113">
        <f t="shared" si="103"/>
        <v>0</v>
      </c>
      <c r="P158" s="1114"/>
      <c r="Q158" s="1114"/>
      <c r="R158" s="1114"/>
      <c r="S158" s="1114"/>
      <c r="T158" s="1114"/>
      <c r="U158" s="1114"/>
      <c r="V158" s="1114"/>
      <c r="W158" s="1114"/>
      <c r="X158" s="1114"/>
      <c r="Y158" s="1114"/>
      <c r="Z158" s="1114"/>
      <c r="AA158" s="1114"/>
      <c r="AB158" s="1113"/>
      <c r="AC158" s="1113"/>
      <c r="AD158" s="1113"/>
      <c r="AE158" s="1115">
        <f t="shared" ca="1" si="81"/>
        <v>2.71</v>
      </c>
      <c r="AF158" s="578">
        <f t="shared" ca="1" si="59"/>
        <v>5.4175501600000002</v>
      </c>
      <c r="AG158" s="972"/>
      <c r="AH158" s="972"/>
      <c r="AI158" s="972"/>
      <c r="AJ158" s="972"/>
      <c r="AK158" s="972"/>
      <c r="AL158" s="972"/>
      <c r="AM158" s="972"/>
      <c r="AN158" s="972"/>
      <c r="AO158" s="972"/>
      <c r="AP158" s="972"/>
      <c r="AQ158" s="972"/>
      <c r="AR158" s="972"/>
      <c r="AS158" s="972"/>
      <c r="AT158" s="972"/>
      <c r="AU158" s="972"/>
      <c r="AV158" s="972"/>
      <c r="AW158" s="972"/>
      <c r="AX158" s="972"/>
      <c r="AY158" s="972"/>
      <c r="AZ158" s="972"/>
      <c r="BA158" s="972"/>
      <c r="BB158" s="972"/>
      <c r="BC158" s="972"/>
      <c r="BD158" s="972"/>
      <c r="BE158" s="972"/>
      <c r="BF158" s="972"/>
      <c r="BG158" s="972"/>
      <c r="BH158" s="972"/>
      <c r="BI158" s="972"/>
      <c r="BJ158" s="972"/>
      <c r="BK158" s="972"/>
      <c r="BL158" s="972"/>
      <c r="BM158" s="972"/>
      <c r="BN158" s="972"/>
      <c r="BO158" s="972"/>
    </row>
    <row r="159" spans="1:67" ht="21.95" hidden="1" customHeight="1" thickBot="1" x14ac:dyDescent="0.2">
      <c r="A159" s="2627"/>
      <c r="B159" s="2595"/>
      <c r="C159" s="567" t="s">
        <v>1207</v>
      </c>
      <c r="D159" s="996"/>
      <c r="E159" s="1286"/>
      <c r="F159" s="1113">
        <f t="shared" si="82"/>
        <v>0</v>
      </c>
      <c r="G159" s="1113">
        <f t="shared" ref="G159" si="104">G169</f>
        <v>0</v>
      </c>
      <c r="H159" s="1113">
        <f t="shared" ref="H159:M159" si="105">H169</f>
        <v>0</v>
      </c>
      <c r="I159" s="1113">
        <f t="shared" si="105"/>
        <v>0</v>
      </c>
      <c r="J159" s="1113">
        <f t="shared" si="105"/>
        <v>0</v>
      </c>
      <c r="K159" s="1113">
        <f t="shared" si="105"/>
        <v>0</v>
      </c>
      <c r="L159" s="1113">
        <f t="shared" si="105"/>
        <v>0</v>
      </c>
      <c r="M159" s="1113">
        <f t="shared" si="105"/>
        <v>0</v>
      </c>
      <c r="N159" s="1113">
        <f t="shared" ref="N159:O159" si="106">N169</f>
        <v>0</v>
      </c>
      <c r="O159" s="1113">
        <f t="shared" si="106"/>
        <v>0</v>
      </c>
      <c r="P159" s="1114"/>
      <c r="Q159" s="1114"/>
      <c r="R159" s="1114"/>
      <c r="S159" s="1114"/>
      <c r="T159" s="1114"/>
      <c r="U159" s="1114"/>
      <c r="V159" s="1114"/>
      <c r="W159" s="1114"/>
      <c r="X159" s="1114"/>
      <c r="Y159" s="1114"/>
      <c r="Z159" s="1114"/>
      <c r="AA159" s="1114"/>
      <c r="AB159" s="1113"/>
      <c r="AC159" s="1113"/>
      <c r="AD159" s="1113"/>
      <c r="AE159" s="1115">
        <f t="shared" si="81"/>
        <v>0</v>
      </c>
      <c r="AF159" s="578">
        <f t="shared" si="59"/>
        <v>0</v>
      </c>
      <c r="AG159" s="972"/>
      <c r="AH159" s="972"/>
      <c r="AI159" s="972"/>
      <c r="AJ159" s="972"/>
      <c r="AK159" s="972"/>
      <c r="AL159" s="972"/>
      <c r="AM159" s="972"/>
      <c r="AN159" s="972"/>
      <c r="AO159" s="972"/>
      <c r="AP159" s="972"/>
      <c r="AQ159" s="972"/>
      <c r="AR159" s="972"/>
      <c r="AS159" s="972"/>
      <c r="AT159" s="972"/>
      <c r="AU159" s="972"/>
      <c r="AV159" s="972"/>
      <c r="AW159" s="972"/>
      <c r="AX159" s="972"/>
      <c r="AY159" s="972"/>
      <c r="AZ159" s="972"/>
      <c r="BA159" s="972"/>
      <c r="BB159" s="972"/>
      <c r="BC159" s="972"/>
      <c r="BD159" s="972"/>
      <c r="BE159" s="972"/>
      <c r="BF159" s="972"/>
      <c r="BG159" s="972"/>
      <c r="BH159" s="972"/>
      <c r="BI159" s="972"/>
      <c r="BJ159" s="972"/>
      <c r="BK159" s="972"/>
      <c r="BL159" s="972"/>
      <c r="BM159" s="972"/>
      <c r="BN159" s="972"/>
      <c r="BO159" s="972"/>
    </row>
    <row r="160" spans="1:67" ht="21.95" customHeight="1" x14ac:dyDescent="0.15">
      <c r="A160" s="2627"/>
      <c r="B160" s="2594"/>
      <c r="C160" s="566" t="s">
        <v>1531</v>
      </c>
      <c r="D160" s="996"/>
      <c r="E160" s="1286"/>
      <c r="F160" s="1113">
        <f ca="1">(F97+F94+F84)*0.07</f>
        <v>7.0000000000000007E-2</v>
      </c>
      <c r="G160" s="1113">
        <f t="shared" ref="G160" ca="1" si="107">(G97+G94+G84)*0.07</f>
        <v>7.0000000000000007E-2</v>
      </c>
      <c r="H160" s="1113">
        <f t="shared" ref="H160:M160" ca="1" si="108">(H97+H94+H84)*0.07</f>
        <v>7.0000000000000007E-2</v>
      </c>
      <c r="I160" s="1113">
        <f t="shared" ca="1" si="108"/>
        <v>7.0000000000000007E-2</v>
      </c>
      <c r="J160" s="1113">
        <f t="shared" ca="1" si="108"/>
        <v>7.0000000000000007E-2</v>
      </c>
      <c r="K160" s="1113">
        <f t="shared" ca="1" si="108"/>
        <v>7.0000000000000007E-2</v>
      </c>
      <c r="L160" s="1113">
        <f t="shared" si="108"/>
        <v>0.14000000000000001</v>
      </c>
      <c r="M160" s="1113">
        <f t="shared" si="108"/>
        <v>7.0000000000000007E-2</v>
      </c>
      <c r="N160" s="1113">
        <f t="shared" ref="N160:O160" si="109">(N97+N94+N84)*0.07</f>
        <v>7.0000000000000007E-2</v>
      </c>
      <c r="O160" s="1113">
        <f t="shared" si="109"/>
        <v>0</v>
      </c>
      <c r="P160" s="1114"/>
      <c r="Q160" s="1114"/>
      <c r="R160" s="1114"/>
      <c r="S160" s="1114"/>
      <c r="T160" s="1114"/>
      <c r="U160" s="1114"/>
      <c r="V160" s="1114"/>
      <c r="W160" s="1114"/>
      <c r="X160" s="1114"/>
      <c r="Y160" s="1114"/>
      <c r="Z160" s="1114"/>
      <c r="AA160" s="1114"/>
      <c r="AB160" s="1113"/>
      <c r="AC160" s="1113"/>
      <c r="AD160" s="1113"/>
      <c r="AE160" s="1115">
        <f t="shared" ca="1" si="81"/>
        <v>0.7</v>
      </c>
      <c r="AF160" s="578">
        <f t="shared" ca="1" si="59"/>
        <v>1.4000000000000001</v>
      </c>
      <c r="AG160" s="972"/>
      <c r="AH160" s="972"/>
      <c r="AI160" s="972"/>
      <c r="AJ160" s="972"/>
      <c r="AK160" s="972"/>
      <c r="AL160" s="972"/>
      <c r="AM160" s="972"/>
      <c r="AN160" s="972"/>
      <c r="AO160" s="972"/>
      <c r="AP160" s="972"/>
      <c r="AQ160" s="972"/>
      <c r="AR160" s="972"/>
      <c r="AS160" s="972"/>
      <c r="AT160" s="972"/>
      <c r="AU160" s="972"/>
      <c r="AV160" s="972"/>
      <c r="AW160" s="972"/>
      <c r="AX160" s="972"/>
      <c r="AY160" s="972"/>
      <c r="AZ160" s="972"/>
      <c r="BA160" s="972"/>
      <c r="BB160" s="972"/>
      <c r="BC160" s="972"/>
      <c r="BD160" s="972"/>
      <c r="BE160" s="972"/>
      <c r="BF160" s="972"/>
      <c r="BG160" s="972"/>
      <c r="BH160" s="972"/>
      <c r="BI160" s="972"/>
      <c r="BJ160" s="972"/>
      <c r="BK160" s="972"/>
      <c r="BL160" s="972"/>
      <c r="BM160" s="972"/>
      <c r="BN160" s="972"/>
      <c r="BO160" s="972"/>
    </row>
    <row r="161" spans="1:67" ht="21.95" customHeight="1" thickBot="1" x14ac:dyDescent="0.2">
      <c r="A161" s="2627"/>
      <c r="B161" s="2587"/>
      <c r="C161" s="565" t="s">
        <v>759</v>
      </c>
      <c r="D161" s="997"/>
      <c r="E161" s="2231"/>
      <c r="F161" s="1124">
        <f t="shared" ref="F161" ca="1" si="110">F171</f>
        <v>24.303879999999996</v>
      </c>
      <c r="G161" s="1124">
        <f t="shared" ref="G161" ca="1" si="111">G171</f>
        <v>18.059920000000002</v>
      </c>
      <c r="H161" s="1124">
        <f t="shared" ref="H161:M161" ca="1" si="112">H171</f>
        <v>29.148389999999999</v>
      </c>
      <c r="I161" s="1124">
        <f t="shared" ca="1" si="112"/>
        <v>32.749189999999999</v>
      </c>
      <c r="J161" s="1124">
        <f t="shared" ca="1" si="112"/>
        <v>32.749189999999999</v>
      </c>
      <c r="K161" s="1124">
        <f t="shared" ca="1" si="112"/>
        <v>32.754519999999999</v>
      </c>
      <c r="L161" s="1124">
        <f t="shared" si="112"/>
        <v>12.829999999999998</v>
      </c>
      <c r="M161" s="1124">
        <f t="shared" si="112"/>
        <v>3.8689999999999998</v>
      </c>
      <c r="N161" s="1124">
        <f t="shared" ref="N161:O161" si="113">N171</f>
        <v>21.277000000000001</v>
      </c>
      <c r="O161" s="1124">
        <f t="shared" si="113"/>
        <v>2.52</v>
      </c>
      <c r="P161" s="1125"/>
      <c r="Q161" s="1125"/>
      <c r="R161" s="1125"/>
      <c r="S161" s="1125"/>
      <c r="T161" s="1125"/>
      <c r="U161" s="1125"/>
      <c r="V161" s="1125"/>
      <c r="W161" s="1125"/>
      <c r="X161" s="1125"/>
      <c r="Y161" s="1125"/>
      <c r="Z161" s="1125"/>
      <c r="AA161" s="1125"/>
      <c r="AB161" s="1124"/>
      <c r="AC161" s="1124"/>
      <c r="AD161" s="1124"/>
      <c r="AE161" s="1126">
        <f t="shared" ca="1" si="81"/>
        <v>210.26</v>
      </c>
      <c r="AF161" s="578">
        <f t="shared" ca="1" si="59"/>
        <v>420.52108999999996</v>
      </c>
      <c r="AG161" s="972"/>
      <c r="AH161" s="972"/>
      <c r="AI161" s="972"/>
      <c r="AJ161" s="972"/>
      <c r="AK161" s="972"/>
      <c r="AL161" s="972"/>
      <c r="AM161" s="972"/>
      <c r="AN161" s="972"/>
      <c r="AO161" s="972"/>
      <c r="AP161" s="972"/>
      <c r="AQ161" s="972"/>
      <c r="AR161" s="972"/>
      <c r="AS161" s="972"/>
      <c r="AT161" s="972"/>
      <c r="AU161" s="972"/>
      <c r="AV161" s="972"/>
      <c r="AW161" s="972"/>
      <c r="AX161" s="972"/>
      <c r="AY161" s="972"/>
      <c r="AZ161" s="972"/>
      <c r="BA161" s="972"/>
      <c r="BB161" s="972"/>
      <c r="BC161" s="972"/>
      <c r="BD161" s="972"/>
      <c r="BE161" s="972"/>
      <c r="BF161" s="972"/>
      <c r="BG161" s="972"/>
      <c r="BH161" s="972"/>
      <c r="BI161" s="972"/>
      <c r="BJ161" s="972"/>
      <c r="BK161" s="972"/>
      <c r="BL161" s="972"/>
      <c r="BM161" s="972"/>
      <c r="BN161" s="972"/>
      <c r="BO161" s="972"/>
    </row>
    <row r="162" spans="1:67" ht="21.95" hidden="1" customHeight="1" x14ac:dyDescent="0.15">
      <c r="A162" s="2627"/>
      <c r="B162" s="2566" t="s">
        <v>1366</v>
      </c>
      <c r="C162" s="549" t="s">
        <v>1203</v>
      </c>
      <c r="D162" s="1001"/>
      <c r="E162" s="2230"/>
      <c r="F162" s="1119">
        <f t="shared" ref="F162:O162" ca="1" si="114">(SUMPRODUCT(F10:F35,$AL10:$AL35)*$AL$8+SUMPRODUCT(F60:F66,$AG60:$AG66)*$AG$8+SUMPRODUCT(F60:F82,$AJ60:$AJ82)*$AJ$8+SUMPRODUCT(F56:F83,$AL56:$AL83)*$AL$8+SUMPRODUCT(F60:F82,$AN60:$AN82)*$AN$8+F83*$AM83*$AM$8+SUMPRODUCT(F99:F101,$AG99:$AG101)*$AG$8+SUMPRODUCT(F99:F101,$AJ99:$AJ101)*$AJ$8+SUMPRODUCT(F99:F101,$AL99:$AL101)*$AL$8+SUMPRODUCT(F99:F101,$AN99:$AN101)*$AN$8+SUMPRODUCT(F104:F112,$AJ104:$AJ112)*$AJ$8+SUMPRODUCT(F113:F118,$AO113:$AO118)*$AO$8+SUMPRODUCT(F123:F128,$AG123:$AG128)*$AG$8+SUMPRODUCT(F123:F128,$AK123:$AK128)*$AK$8+F134*$AG134*$AG$8+F135*$AK135*$AK$8+F147*$AO147*$AO$8)/1000</f>
        <v>14.750542065720001</v>
      </c>
      <c r="G162" s="1119">
        <f t="shared" ca="1" si="114"/>
        <v>7.48067336116</v>
      </c>
      <c r="H162" s="1119">
        <f t="shared" ca="1" si="114"/>
        <v>15.352353434519999</v>
      </c>
      <c r="I162" s="1119">
        <f t="shared" ca="1" si="114"/>
        <v>7.514088898959999</v>
      </c>
      <c r="J162" s="1119">
        <f t="shared" ca="1" si="114"/>
        <v>11.648126285240002</v>
      </c>
      <c r="K162" s="1119">
        <f t="shared" ca="1" si="114"/>
        <v>11.586648783120001</v>
      </c>
      <c r="L162" s="1119">
        <f t="shared" si="114"/>
        <v>17.307669887599999</v>
      </c>
      <c r="M162" s="1119">
        <f t="shared" si="114"/>
        <v>8.5258950838000001</v>
      </c>
      <c r="N162" s="1119">
        <f t="shared" si="114"/>
        <v>10.851654023800002</v>
      </c>
      <c r="O162" s="1119">
        <f t="shared" si="114"/>
        <v>0.24906042000000003</v>
      </c>
      <c r="P162" s="1120"/>
      <c r="Q162" s="1120"/>
      <c r="R162" s="1120"/>
      <c r="S162" s="1120"/>
      <c r="T162" s="1120"/>
      <c r="U162" s="1120"/>
      <c r="V162" s="1120"/>
      <c r="W162" s="1120"/>
      <c r="X162" s="1120"/>
      <c r="Y162" s="1120"/>
      <c r="Z162" s="1120"/>
      <c r="AA162" s="1120"/>
      <c r="AB162" s="1119"/>
      <c r="AC162" s="1119"/>
      <c r="AD162" s="1119"/>
      <c r="AE162" s="1115">
        <f t="shared" ca="1" si="81"/>
        <v>105.27</v>
      </c>
      <c r="AF162" s="578"/>
      <c r="AG162" s="972"/>
      <c r="AH162" s="972"/>
      <c r="AI162" s="972"/>
      <c r="AJ162" s="972"/>
      <c r="AK162" s="972"/>
      <c r="AL162" s="972"/>
      <c r="AM162" s="972"/>
      <c r="AN162" s="972"/>
      <c r="AO162" s="972"/>
      <c r="AP162" s="972"/>
      <c r="AQ162" s="972"/>
      <c r="AR162" s="972"/>
      <c r="AS162" s="972"/>
      <c r="AT162" s="972"/>
      <c r="AU162" s="972"/>
      <c r="AV162" s="972"/>
      <c r="AW162" s="972"/>
      <c r="AX162" s="972"/>
      <c r="AY162" s="972"/>
      <c r="AZ162" s="972"/>
      <c r="BA162" s="972"/>
      <c r="BB162" s="972"/>
      <c r="BC162" s="972"/>
      <c r="BD162" s="972"/>
      <c r="BE162" s="972"/>
      <c r="BF162" s="972"/>
      <c r="BG162" s="972"/>
      <c r="BH162" s="972"/>
      <c r="BI162" s="972"/>
      <c r="BJ162" s="972"/>
      <c r="BK162" s="972"/>
      <c r="BL162" s="972"/>
      <c r="BM162" s="972"/>
      <c r="BN162" s="972"/>
      <c r="BO162" s="972"/>
    </row>
    <row r="163" spans="1:67" ht="21.95" hidden="1" customHeight="1" x14ac:dyDescent="0.15">
      <c r="A163" s="2627"/>
      <c r="B163" s="2523"/>
      <c r="C163" s="558" t="s">
        <v>585</v>
      </c>
      <c r="D163" s="1002"/>
      <c r="E163" s="1286"/>
      <c r="F163" s="1113">
        <f t="shared" ref="F163:O163" ca="1" si="115">SUMPRODUCT(F10:F35,$AU10:$AU35)*$AU$8+SUMPRODUCT(F60:F65,$AP60:$AP65)*$AP$8+SUMPRODUCT(F60:F81,$AS60:$AS81)*$AS$8+SUMPRODUCT(F56:F83,$AU56:$AU83)*$AU$8+F83*$AV83*$AV$8+SUMPRODUCT(F60:F82,$AW60:$AW82)*$AW$8+SUMPRODUCT(F99:F101,$AP99:$AP101)*$AP$8+SUMPRODUCT(F99:F101,$AS99:$AS101)*$AS$8+SUMPRODUCT(F99:F101,$AU99:$AU101)*$AU$8+SUMPRODUCT(F99:F101,$AW99:$AW101)*$AW$8+SUMPRODUCT(F104:F112,$AS104:$AS112)*$AS$8+SUMPRODUCT(F113:F118,$AX113:$AX118)*$AX$8+SUMPRODUCT(F123:F128,$AP123:$AP128)*$AP$8+SUMPRODUCT(F123:F128,$AT123:$AT128)*$AT$8+F134*$AP134*$AP$8+F135*$AT135*$AT$8+F147*$AX147*$AX$8+F91</f>
        <v>34.005786299199997</v>
      </c>
      <c r="G163" s="1113">
        <f t="shared" ca="1" si="115"/>
        <v>16.962585304000001</v>
      </c>
      <c r="H163" s="1113">
        <f t="shared" ca="1" si="115"/>
        <v>35.425942499200005</v>
      </c>
      <c r="I163" s="1113">
        <f t="shared" ca="1" si="115"/>
        <v>17.009205003999998</v>
      </c>
      <c r="J163" s="1113">
        <f t="shared" ca="1" si="115"/>
        <v>25.796084663999995</v>
      </c>
      <c r="K163" s="1113">
        <f t="shared" ca="1" si="115"/>
        <v>25.659233323999995</v>
      </c>
      <c r="L163" s="1113">
        <f t="shared" si="115"/>
        <v>39.442493167999999</v>
      </c>
      <c r="M163" s="1113">
        <f t="shared" si="115"/>
        <v>19.423345984000001</v>
      </c>
      <c r="N163" s="1113">
        <f t="shared" si="115"/>
        <v>24.854473384000002</v>
      </c>
      <c r="O163" s="1113">
        <f t="shared" si="115"/>
        <v>0.58121820000000002</v>
      </c>
      <c r="P163" s="1114"/>
      <c r="Q163" s="1114"/>
      <c r="R163" s="1114"/>
      <c r="S163" s="1114"/>
      <c r="T163" s="1114"/>
      <c r="U163" s="1114"/>
      <c r="V163" s="1114"/>
      <c r="W163" s="1114"/>
      <c r="X163" s="1114"/>
      <c r="Y163" s="1114"/>
      <c r="Z163" s="1114"/>
      <c r="AA163" s="1114"/>
      <c r="AB163" s="1113"/>
      <c r="AC163" s="1113"/>
      <c r="AD163" s="1113"/>
      <c r="AE163" s="1115"/>
      <c r="AF163" s="578"/>
      <c r="AG163" s="972"/>
      <c r="AH163" s="972"/>
      <c r="AI163" s="972"/>
      <c r="AJ163" s="972"/>
      <c r="AK163" s="972"/>
      <c r="AL163" s="972"/>
      <c r="AM163" s="972"/>
      <c r="AN163" s="972"/>
      <c r="AO163" s="972"/>
      <c r="AP163" s="972"/>
      <c r="AQ163" s="972"/>
      <c r="AR163" s="972"/>
      <c r="AS163" s="972"/>
      <c r="AT163" s="972"/>
      <c r="AU163" s="972"/>
      <c r="AV163" s="972"/>
      <c r="AW163" s="972"/>
      <c r="AX163" s="972"/>
      <c r="AY163" s="972"/>
      <c r="AZ163" s="972"/>
      <c r="BA163" s="972"/>
      <c r="BB163" s="972"/>
      <c r="BC163" s="972"/>
      <c r="BD163" s="972"/>
      <c r="BE163" s="972"/>
      <c r="BF163" s="972"/>
      <c r="BG163" s="972"/>
      <c r="BH163" s="972"/>
      <c r="BI163" s="972"/>
      <c r="BJ163" s="972"/>
      <c r="BK163" s="972"/>
      <c r="BL163" s="972"/>
      <c r="BM163" s="972"/>
      <c r="BN163" s="972"/>
      <c r="BO163" s="972"/>
    </row>
    <row r="164" spans="1:67" ht="21.95" hidden="1" customHeight="1" x14ac:dyDescent="0.15">
      <c r="A164" s="2627"/>
      <c r="B164" s="2523"/>
      <c r="C164" s="558" t="s">
        <v>1202</v>
      </c>
      <c r="D164" s="1002"/>
      <c r="E164" s="1286"/>
      <c r="F164" s="1113">
        <f t="shared" ref="F164:O164" ca="1" si="116">SUMPRODUCT(F60:F65,$AY60:$AY65)*$AY$8+SUMPRODUCT(F60:F81,$BB60:$BB81)*$BB$8+SUMPRODUCT(F60:F66,$BE60:$BE66)*$BE$8+SUMPRODUCT(F99:F101,$AY99:$AY101)*$AY$8+SUMPRODUCT(F99:F101,$BB99:$BB101)*$BB$8+SUMPRODUCT(F99:F101,$BE99:$BE101)*$BE$8+SUMPRODUCT(F104:F112,$BB104:$BB112)*$BB$8+SUMPRODUCT(F113:F118,$BD113:$BD118)*$BD$8+SUMPRODUCT(F123:F128,$AY123:$AY128)*$AY$8+SUMPRODUCT(F123:F128,$BC123:$BC128)*$BC$8+F134*$AY134*$AY$8+F135*$BC135*$BC$8+F147*$BD147*$BD$8+F92</f>
        <v>7.4453194719999987</v>
      </c>
      <c r="G164" s="1113">
        <f t="shared" ca="1" si="116"/>
        <v>3.4831371599999992</v>
      </c>
      <c r="H164" s="1113">
        <f t="shared" ca="1" si="116"/>
        <v>8.7290884719999973</v>
      </c>
      <c r="I164" s="1113">
        <f t="shared" ca="1" si="116"/>
        <v>3.0552141599999993</v>
      </c>
      <c r="J164" s="1113">
        <f t="shared" ca="1" si="116"/>
        <v>3.0552141599999993</v>
      </c>
      <c r="K164" s="1113">
        <f t="shared" ca="1" si="116"/>
        <v>3.0552141599999993</v>
      </c>
      <c r="L164" s="1113">
        <f t="shared" si="116"/>
        <v>11.647012319999998</v>
      </c>
      <c r="M164" s="1113">
        <f t="shared" si="116"/>
        <v>5.6139471599999995</v>
      </c>
      <c r="N164" s="1113">
        <f t="shared" si="116"/>
        <v>9.6660081600000005</v>
      </c>
      <c r="O164" s="1113">
        <f t="shared" si="116"/>
        <v>0.42792299999999994</v>
      </c>
      <c r="P164" s="1114"/>
      <c r="Q164" s="1114"/>
      <c r="R164" s="1114"/>
      <c r="S164" s="1114"/>
      <c r="T164" s="1114"/>
      <c r="U164" s="1114"/>
      <c r="V164" s="1114"/>
      <c r="W164" s="1114"/>
      <c r="X164" s="1114"/>
      <c r="Y164" s="1114"/>
      <c r="Z164" s="1114"/>
      <c r="AA164" s="1114"/>
      <c r="AB164" s="1113"/>
      <c r="AC164" s="1113"/>
      <c r="AD164" s="1113"/>
      <c r="AE164" s="1115"/>
      <c r="AF164" s="578"/>
      <c r="AG164" s="972"/>
      <c r="AH164" s="972"/>
      <c r="AI164" s="972"/>
      <c r="AJ164" s="972"/>
      <c r="AK164" s="972"/>
      <c r="AL164" s="972"/>
      <c r="AM164" s="972"/>
      <c r="AN164" s="972"/>
      <c r="AO164" s="972"/>
      <c r="AP164" s="972"/>
      <c r="AQ164" s="972"/>
      <c r="AR164" s="972"/>
      <c r="AS164" s="972"/>
      <c r="AT164" s="972"/>
      <c r="AU164" s="972"/>
      <c r="AV164" s="972"/>
      <c r="AW164" s="972"/>
      <c r="AX164" s="972"/>
      <c r="AY164" s="972"/>
      <c r="AZ164" s="972"/>
      <c r="BA164" s="972"/>
      <c r="BB164" s="972"/>
      <c r="BC164" s="972"/>
      <c r="BD164" s="972"/>
      <c r="BE164" s="972"/>
      <c r="BF164" s="972"/>
      <c r="BG164" s="972"/>
      <c r="BH164" s="972"/>
      <c r="BI164" s="972"/>
      <c r="BJ164" s="972"/>
      <c r="BK164" s="972"/>
      <c r="BL164" s="972"/>
      <c r="BM164" s="972"/>
      <c r="BN164" s="972"/>
      <c r="BO164" s="972"/>
    </row>
    <row r="165" spans="1:67" ht="21.95" hidden="1" customHeight="1" x14ac:dyDescent="0.15">
      <c r="A165" s="2627"/>
      <c r="B165" s="2523"/>
      <c r="C165" s="558" t="s">
        <v>1204</v>
      </c>
      <c r="D165" s="1002"/>
      <c r="E165" s="1286"/>
      <c r="F165" s="1113">
        <f t="shared" ref="F165:O165" ca="1" si="117">(SUMPRODUCT(F60:F83,$BF60:$BF83)+SUMPRODUCT(F99:F101,$BF99:$BF101)+SUMPRODUCT(F104:F109,$BF104:$BF109)+SUMPRODUCT(F123:F128,$BF123:$BF128)+SUMPRODUCT(F138:F142,$BF138:$BF142))/1000</f>
        <v>0.26869789020000001</v>
      </c>
      <c r="G165" s="1113">
        <f t="shared" ca="1" si="117"/>
        <v>0.146267432</v>
      </c>
      <c r="H165" s="1113">
        <f t="shared" ca="1" si="117"/>
        <v>0.28368709020000005</v>
      </c>
      <c r="I165" s="1113">
        <f t="shared" ca="1" si="117"/>
        <v>0.14121288200000004</v>
      </c>
      <c r="J165" s="1113">
        <f t="shared" ca="1" si="117"/>
        <v>0.18597855700000004</v>
      </c>
      <c r="K165" s="1113">
        <f t="shared" ca="1" si="117"/>
        <v>0.18561802700000005</v>
      </c>
      <c r="L165" s="1113">
        <f t="shared" si="117"/>
        <v>0.35817018400000006</v>
      </c>
      <c r="M165" s="1113">
        <f t="shared" si="117"/>
        <v>0.17504809200000002</v>
      </c>
      <c r="N165" s="1113">
        <f t="shared" si="117"/>
        <v>0.22899109200000001</v>
      </c>
      <c r="O165" s="1113">
        <f t="shared" si="117"/>
        <v>5.2290000000000001E-3</v>
      </c>
      <c r="P165" s="1114"/>
      <c r="Q165" s="1114"/>
      <c r="R165" s="1114"/>
      <c r="S165" s="1114"/>
      <c r="T165" s="1114"/>
      <c r="U165" s="1114"/>
      <c r="V165" s="1114"/>
      <c r="W165" s="1114"/>
      <c r="X165" s="1114"/>
      <c r="Y165" s="1114"/>
      <c r="Z165" s="1114"/>
      <c r="AA165" s="1114"/>
      <c r="AB165" s="1113"/>
      <c r="AC165" s="1113"/>
      <c r="AD165" s="1113"/>
      <c r="AE165" s="1115"/>
      <c r="AF165" s="578"/>
      <c r="AG165" s="972"/>
      <c r="AH165" s="972"/>
      <c r="AI165" s="972"/>
      <c r="AJ165" s="972"/>
      <c r="AK165" s="972"/>
      <c r="AL165" s="972"/>
      <c r="AM165" s="972"/>
      <c r="AN165" s="972"/>
      <c r="AO165" s="972"/>
      <c r="AP165" s="972"/>
      <c r="AQ165" s="972"/>
      <c r="AR165" s="972"/>
      <c r="AS165" s="972"/>
      <c r="AT165" s="972"/>
      <c r="AU165" s="972"/>
      <c r="AV165" s="972"/>
      <c r="AW165" s="972"/>
      <c r="AX165" s="972"/>
      <c r="AY165" s="972"/>
      <c r="AZ165" s="972"/>
      <c r="BA165" s="972"/>
      <c r="BB165" s="972"/>
      <c r="BC165" s="972"/>
      <c r="BD165" s="972"/>
      <c r="BE165" s="972"/>
      <c r="BF165" s="972"/>
      <c r="BG165" s="972"/>
      <c r="BH165" s="972"/>
      <c r="BI165" s="972"/>
      <c r="BJ165" s="972"/>
      <c r="BK165" s="972"/>
      <c r="BL165" s="972"/>
      <c r="BM165" s="972"/>
      <c r="BN165" s="972"/>
      <c r="BO165" s="972"/>
    </row>
    <row r="166" spans="1:67" ht="21.95" hidden="1" customHeight="1" x14ac:dyDescent="0.15">
      <c r="A166" s="2627"/>
      <c r="B166" s="2523"/>
      <c r="C166" s="558" t="s">
        <v>1205</v>
      </c>
      <c r="D166" s="1002"/>
      <c r="E166" s="1286"/>
      <c r="F166" s="1113">
        <f t="shared" ref="F166:K166" ca="1" si="118">SUMPRODUCT(F60:F65,$BH60:$BH65)*$BH$8+SUMPRODUCT(F60:F65,$BJ60:$BJ65)*$BJ$8+F83*$BH83*$BH$8+F82*$BJ82*$BJ$8+SUMPRODUCT(F99:F101,$BH99:$BH101)*$BH$8+SUMPRODUCT(F99:F101,$BJ99:$BJ101)*$BJ$8+SUMPRODUCT(F104:F109,$BI104:$BI109)*$BI$8+SUMPRODUCT(F110:F112,$BH110:$BH112)*$BH$8+SUMPRODUCT(F113:F118,$BG113:$BG118)*$BG$8+SUMPRODUCT(F123:F128,$BK123:$BK128)*$BK$8+SUMPRODUCT(F123:F128,$BL123:$BL128)*$BL$8+F136*$BK136*$BK$8+F143*$BK143*BK8</f>
        <v>0.37272966159999998</v>
      </c>
      <c r="G166" s="1113">
        <f t="shared" ca="1" si="118"/>
        <v>6.9612406000000002E-2</v>
      </c>
      <c r="H166" s="1113">
        <f t="shared" ca="1" si="118"/>
        <v>0.38572464160000003</v>
      </c>
      <c r="I166" s="1113">
        <f t="shared" ca="1" si="118"/>
        <v>6.5052660999999998E-2</v>
      </c>
      <c r="J166" s="1113">
        <f t="shared" ca="1" si="118"/>
        <v>7.7541763999999999E-2</v>
      </c>
      <c r="K166" s="1113">
        <f t="shared" ca="1" si="118"/>
        <v>7.6127636999999998E-2</v>
      </c>
      <c r="L166" s="1113">
        <f>SUMPRODUCT(L60:L65,$BH60:$BH65)*$BH$8+SUMPRODUCT(L60:L65,$BJ60:$BJ65)*$BJ$8+L83*$BH83*$BH$8+L82*$BJ82*$BJ$8+SUMPRODUCT(L99:L101,$BH99:$BH101)*$BH$8+SUMPRODUCT(L99:L101,$BJ99:$BJ101)*$BJ$8+SUMPRODUCT(L104:L109,$BI104:$BI109)*$BI$8+SUMPRODUCT(L110:L112,$BH110:$BH112)*$BH$8+SUMPRODUCT(L113:L118,$BG113:$BG118)*$BG$8+SUMPRODUCT(L123:L128,$BK123:$BK128)*$BK$8+SUMPRODUCT(L123:L128,$BL123:$BL128)*$BL$8+L136*$BK136*$BK$8+L143*$BK143*BR8</f>
        <v>0.26127260000000002</v>
      </c>
      <c r="M166" s="1113">
        <f>SUMPRODUCT(M60:M65,$BH60:$BH65)*$BH$8+SUMPRODUCT(M60:M65,$BJ60:$BJ65)*$BJ$8+M83*$BH83*$BH$8+M82*$BJ82*$BJ$8+SUMPRODUCT(M99:M101,$BH99:$BH101)*$BH$8+SUMPRODUCT(M99:M101,$BJ99:$BJ101)*$BJ$8+SUMPRODUCT(M104:M109,$BI104:$BI109)*$BI$8+SUMPRODUCT(M110:M112,$BH110:$BH112)*$BH$8+SUMPRODUCT(M113:M118,$BG113:$BG118)*$BG$8+SUMPRODUCT(M123:M128,$BK123:$BK128)*$BK$8+SUMPRODUCT(M123:M128,$BL123:$BL128)*$BL$8+M136*$BK136*$BK$8+M143*$BK143*BS8</f>
        <v>0.1170133</v>
      </c>
      <c r="N166" s="1113">
        <f>SUMPRODUCT(N60:N65,$BH60:$BH65)*$BH$8+SUMPRODUCT(N60:N65,$BJ60:$BJ65)*$BJ$8+N83*$BH83*$BH$8+N82*$BJ82*$BJ$8+SUMPRODUCT(N99:N101,$BH99:$BH101)*$BH$8+SUMPRODUCT(N99:N101,$BJ99:$BJ101)*$BJ$8+SUMPRODUCT(N104:N109,$BI104:$BI109)*$BI$8+SUMPRODUCT(N110:N112,$BH110:$BH112)*$BH$8+SUMPRODUCT(N113:N118,$BG113:$BG118)*$BG$8+SUMPRODUCT(N123:N128,$BK123:$BK128)*$BK$8+SUMPRODUCT(N123:N128,$BL123:$BL128)*$BL$8+N136*$BK136*$BK$8+N143*$BK143*BT8</f>
        <v>0.19983430000000002</v>
      </c>
      <c r="O166" s="1113">
        <f>SUMPRODUCT(O60:O65,$BH60:$BH65)*$BH$8+SUMPRODUCT(O60:O65,$BJ60:$BJ65)*$BJ$8+O83*$BH83*$BH$8+O82*$BJ82*$BJ$8+SUMPRODUCT(O99:O101,$BH99:$BH101)*$BH$8+SUMPRODUCT(O99:O101,$BJ99:$BJ101)*$BJ$8+SUMPRODUCT(O104:O109,$BI104:$BI109)*$BI$8+SUMPRODUCT(O110:O112,$BH110:$BH112)*$BH$8+SUMPRODUCT(O113:O118,$BG113:$BG118)*$BG$8+SUMPRODUCT(O123:O128,$BK123:$BK128)*$BK$8+SUMPRODUCT(O123:O128,$BL123:$BL128)*$BL$8+O136*$BK136*$BK$8+O143*$BK143*BU8</f>
        <v>5.2440000000000004E-3</v>
      </c>
      <c r="P166" s="1114"/>
      <c r="Q166" s="1114"/>
      <c r="R166" s="1114"/>
      <c r="S166" s="1114"/>
      <c r="T166" s="1114"/>
      <c r="U166" s="1114"/>
      <c r="V166" s="1114"/>
      <c r="W166" s="1114"/>
      <c r="X166" s="1114"/>
      <c r="Y166" s="1114"/>
      <c r="Z166" s="1114"/>
      <c r="AA166" s="1114"/>
      <c r="AB166" s="1113"/>
      <c r="AC166" s="1113"/>
      <c r="AD166" s="1113"/>
      <c r="AE166" s="1115"/>
      <c r="AF166" s="578"/>
      <c r="AG166" s="972"/>
      <c r="AH166" s="972"/>
      <c r="AI166" s="972"/>
      <c r="AJ166" s="972"/>
      <c r="AK166" s="972"/>
      <c r="AL166" s="972"/>
      <c r="AM166" s="972"/>
      <c r="AN166" s="972"/>
      <c r="AO166" s="972"/>
      <c r="AP166" s="972"/>
      <c r="AQ166" s="972"/>
      <c r="AR166" s="972"/>
      <c r="AS166" s="972"/>
      <c r="AT166" s="972"/>
      <c r="AU166" s="972"/>
      <c r="AV166" s="972"/>
      <c r="AW166" s="972"/>
      <c r="AX166" s="972"/>
      <c r="AY166" s="972"/>
      <c r="AZ166" s="972"/>
      <c r="BA166" s="972"/>
      <c r="BB166" s="972"/>
      <c r="BC166" s="972"/>
      <c r="BD166" s="972"/>
      <c r="BE166" s="972"/>
      <c r="BF166" s="972"/>
      <c r="BG166" s="972"/>
      <c r="BH166" s="972"/>
      <c r="BI166" s="972"/>
      <c r="BJ166" s="972"/>
      <c r="BK166" s="972"/>
      <c r="BL166" s="972"/>
      <c r="BM166" s="972"/>
      <c r="BN166" s="972"/>
      <c r="BO166" s="972"/>
    </row>
    <row r="167" spans="1:67" ht="21.95" hidden="1" customHeight="1" x14ac:dyDescent="0.15">
      <c r="A167" s="2627"/>
      <c r="B167" s="2523"/>
      <c r="C167" s="558" t="s">
        <v>1208</v>
      </c>
      <c r="D167" s="1002"/>
      <c r="E167" s="1286"/>
      <c r="F167" s="1113">
        <f t="shared" ref="F167:O167" ca="1" si="119">SUMPRODUCT(F60:F82,$BM60:$BM82)*$BM$8+SUMPRODUCT(F99:F101,$BM99:$BM101)*$BM$8</f>
        <v>2.7820902586499994</v>
      </c>
      <c r="G167" s="1113">
        <f t="shared" ca="1" si="119"/>
        <v>2.1686991119999997</v>
      </c>
      <c r="H167" s="1113">
        <f t="shared" ca="1" si="119"/>
        <v>2.7820902586499994</v>
      </c>
      <c r="I167" s="1113">
        <f t="shared" ca="1" si="119"/>
        <v>2.1686991119999997</v>
      </c>
      <c r="J167" s="1113">
        <f t="shared" ca="1" si="119"/>
        <v>3.6441060119999995</v>
      </c>
      <c r="K167" s="1113">
        <f t="shared" ca="1" si="119"/>
        <v>3.6441060119999995</v>
      </c>
      <c r="L167" s="1113">
        <f t="shared" si="119"/>
        <v>4.3373982239999993</v>
      </c>
      <c r="M167" s="1113">
        <f t="shared" si="119"/>
        <v>2.1686991119999997</v>
      </c>
      <c r="N167" s="1113">
        <f t="shared" si="119"/>
        <v>2.1686991119999997</v>
      </c>
      <c r="O167" s="1113">
        <f t="shared" si="119"/>
        <v>0</v>
      </c>
      <c r="P167" s="1114"/>
      <c r="Q167" s="1114"/>
      <c r="R167" s="1114"/>
      <c r="S167" s="1114"/>
      <c r="T167" s="1114"/>
      <c r="U167" s="1114"/>
      <c r="V167" s="1114"/>
      <c r="W167" s="1114"/>
      <c r="X167" s="1114"/>
      <c r="Y167" s="1114"/>
      <c r="Z167" s="1114"/>
      <c r="AA167" s="1114"/>
      <c r="AB167" s="1113"/>
      <c r="AC167" s="1113"/>
      <c r="AD167" s="1113"/>
      <c r="AE167" s="1115"/>
      <c r="AF167" s="578"/>
      <c r="AG167" s="972"/>
      <c r="AH167" s="972"/>
      <c r="AI167" s="972"/>
      <c r="AJ167" s="972"/>
      <c r="AK167" s="972"/>
      <c r="AL167" s="972"/>
      <c r="AM167" s="972"/>
      <c r="AN167" s="972"/>
      <c r="AO167" s="972"/>
      <c r="AP167" s="972"/>
      <c r="AQ167" s="972"/>
      <c r="AR167" s="972"/>
      <c r="AS167" s="972"/>
      <c r="AT167" s="972"/>
      <c r="AU167" s="972"/>
      <c r="AV167" s="972"/>
      <c r="AW167" s="972"/>
      <c r="AX167" s="972"/>
      <c r="AY167" s="972"/>
      <c r="AZ167" s="972"/>
      <c r="BA167" s="972"/>
      <c r="BB167" s="972"/>
      <c r="BC167" s="972"/>
      <c r="BD167" s="972"/>
      <c r="BE167" s="972"/>
      <c r="BF167" s="972"/>
      <c r="BG167" s="972"/>
      <c r="BH167" s="972"/>
      <c r="BI167" s="972"/>
      <c r="BJ167" s="972"/>
      <c r="BK167" s="972"/>
      <c r="BL167" s="972"/>
      <c r="BM167" s="972"/>
      <c r="BN167" s="972"/>
      <c r="BO167" s="972"/>
    </row>
    <row r="168" spans="1:67" ht="21.95" hidden="1" customHeight="1" x14ac:dyDescent="0.15">
      <c r="A168" s="2627"/>
      <c r="B168" s="2523"/>
      <c r="C168" s="558" t="s">
        <v>1209</v>
      </c>
      <c r="D168" s="1002"/>
      <c r="E168" s="1286"/>
      <c r="F168" s="1113">
        <f t="shared" ref="F168:O168" ca="1" si="120">F66*$BN66*$BN$8+F83*$BN83*$BN$8</f>
        <v>0.53438489999999994</v>
      </c>
      <c r="G168" s="1113">
        <f t="shared" ca="1" si="120"/>
        <v>0.33844377000000003</v>
      </c>
      <c r="H168" s="1113">
        <f t="shared" ca="1" si="120"/>
        <v>0</v>
      </c>
      <c r="I168" s="1113">
        <f t="shared" ca="1" si="120"/>
        <v>0.47203999500000005</v>
      </c>
      <c r="J168" s="1113">
        <f t="shared" ca="1" si="120"/>
        <v>0.46313358000000004</v>
      </c>
      <c r="K168" s="1113">
        <f t="shared" ca="1" si="120"/>
        <v>0.18703471499999999</v>
      </c>
      <c r="L168" s="1113">
        <f t="shared" si="120"/>
        <v>0.35625660000000003</v>
      </c>
      <c r="M168" s="1113">
        <f t="shared" si="120"/>
        <v>0.17812830000000002</v>
      </c>
      <c r="N168" s="1113">
        <f t="shared" si="120"/>
        <v>0.17812830000000002</v>
      </c>
      <c r="O168" s="1113">
        <f t="shared" si="120"/>
        <v>0</v>
      </c>
      <c r="P168" s="1114"/>
      <c r="Q168" s="1114"/>
      <c r="R168" s="1114"/>
      <c r="S168" s="1114"/>
      <c r="T168" s="1114"/>
      <c r="U168" s="1114"/>
      <c r="V168" s="1114"/>
      <c r="W168" s="1114"/>
      <c r="X168" s="1114"/>
      <c r="Y168" s="1114"/>
      <c r="Z168" s="1114"/>
      <c r="AA168" s="1114"/>
      <c r="AB168" s="1113"/>
      <c r="AC168" s="1113"/>
      <c r="AD168" s="1113"/>
      <c r="AE168" s="1115"/>
      <c r="AF168" s="578"/>
      <c r="AG168" s="972"/>
      <c r="AH168" s="972"/>
      <c r="AI168" s="972"/>
      <c r="AJ168" s="972"/>
      <c r="AK168" s="972"/>
      <c r="AL168" s="972"/>
      <c r="AM168" s="972"/>
      <c r="AN168" s="972"/>
      <c r="AO168" s="972"/>
      <c r="AP168" s="972"/>
      <c r="AQ168" s="972"/>
      <c r="AR168" s="972"/>
      <c r="AS168" s="972"/>
      <c r="AT168" s="972"/>
      <c r="AU168" s="972"/>
      <c r="AV168" s="972"/>
      <c r="AW168" s="972"/>
      <c r="AX168" s="972"/>
      <c r="AY168" s="972"/>
      <c r="AZ168" s="972"/>
      <c r="BA168" s="972"/>
      <c r="BB168" s="972"/>
      <c r="BC168" s="972"/>
      <c r="BD168" s="972"/>
      <c r="BE168" s="972"/>
      <c r="BF168" s="972"/>
      <c r="BG168" s="972"/>
      <c r="BH168" s="972"/>
      <c r="BI168" s="972"/>
      <c r="BJ168" s="972"/>
      <c r="BK168" s="972"/>
      <c r="BL168" s="972"/>
      <c r="BM168" s="972"/>
      <c r="BN168" s="972"/>
      <c r="BO168" s="972"/>
    </row>
    <row r="169" spans="1:67" ht="21.95" hidden="1" customHeight="1" x14ac:dyDescent="0.15">
      <c r="A169" s="2627"/>
      <c r="B169" s="2523"/>
      <c r="C169" s="566" t="s">
        <v>1207</v>
      </c>
      <c r="D169" s="1002"/>
      <c r="E169" s="1286"/>
      <c r="F169" s="1113">
        <f>F150*20/1000</f>
        <v>0</v>
      </c>
      <c r="G169" s="1113">
        <f t="shared" ref="G169" si="121">G150*20/1000</f>
        <v>0</v>
      </c>
      <c r="H169" s="1113">
        <f t="shared" ref="H169:M169" si="122">H150*20/1000</f>
        <v>0</v>
      </c>
      <c r="I169" s="1113">
        <f t="shared" si="122"/>
        <v>0</v>
      </c>
      <c r="J169" s="1113">
        <f t="shared" si="122"/>
        <v>0</v>
      </c>
      <c r="K169" s="1113">
        <f t="shared" si="122"/>
        <v>0</v>
      </c>
      <c r="L169" s="1113">
        <f t="shared" si="122"/>
        <v>0</v>
      </c>
      <c r="M169" s="1113">
        <f t="shared" si="122"/>
        <v>0</v>
      </c>
      <c r="N169" s="1113">
        <f t="shared" ref="N169:O169" si="123">N150*20/1000</f>
        <v>0</v>
      </c>
      <c r="O169" s="1113">
        <f t="shared" si="123"/>
        <v>0</v>
      </c>
      <c r="P169" s="1114"/>
      <c r="Q169" s="1114"/>
      <c r="R169" s="1114"/>
      <c r="S169" s="1114"/>
      <c r="T169" s="1114"/>
      <c r="U169" s="1114"/>
      <c r="V169" s="1114"/>
      <c r="W169" s="1114"/>
      <c r="X169" s="1114"/>
      <c r="Y169" s="1114"/>
      <c r="Z169" s="1114"/>
      <c r="AA169" s="1114"/>
      <c r="AB169" s="1113"/>
      <c r="AC169" s="1113"/>
      <c r="AD169" s="1113"/>
      <c r="AE169" s="1115"/>
      <c r="AF169" s="578"/>
      <c r="AG169" s="972"/>
      <c r="AH169" s="972"/>
      <c r="AI169" s="972"/>
      <c r="AJ169" s="972"/>
      <c r="AK169" s="972"/>
      <c r="AL169" s="972"/>
      <c r="AM169" s="972"/>
      <c r="AN169" s="972"/>
      <c r="AO169" s="972"/>
      <c r="AP169" s="972"/>
      <c r="AQ169" s="972"/>
      <c r="AR169" s="972"/>
      <c r="AS169" s="972"/>
      <c r="AT169" s="972"/>
      <c r="AU169" s="972"/>
      <c r="AV169" s="972"/>
      <c r="AW169" s="972"/>
      <c r="AX169" s="972"/>
      <c r="AY169" s="972"/>
      <c r="AZ169" s="972"/>
      <c r="BA169" s="972"/>
      <c r="BB169" s="972"/>
      <c r="BC169" s="972"/>
      <c r="BD169" s="972"/>
      <c r="BE169" s="972"/>
      <c r="BF169" s="972"/>
      <c r="BG169" s="972"/>
      <c r="BH169" s="972"/>
      <c r="BI169" s="972"/>
      <c r="BJ169" s="972"/>
      <c r="BK169" s="972"/>
      <c r="BL169" s="972"/>
      <c r="BM169" s="972"/>
      <c r="BN169" s="972"/>
      <c r="BO169" s="972"/>
    </row>
    <row r="170" spans="1:67" ht="21.95" hidden="1" customHeight="1" x14ac:dyDescent="0.15">
      <c r="A170" s="2627"/>
      <c r="B170" s="2523"/>
      <c r="C170" s="566" t="s">
        <v>1531</v>
      </c>
      <c r="D170" s="1002"/>
      <c r="E170" s="1286"/>
      <c r="F170" s="1113">
        <f ca="1">F160</f>
        <v>7.0000000000000007E-2</v>
      </c>
      <c r="G170" s="1113">
        <f t="shared" ref="G170" ca="1" si="124">G160</f>
        <v>7.0000000000000007E-2</v>
      </c>
      <c r="H170" s="1113">
        <f t="shared" ref="H170:M170" ca="1" si="125">H160</f>
        <v>7.0000000000000007E-2</v>
      </c>
      <c r="I170" s="1113">
        <f t="shared" ca="1" si="125"/>
        <v>7.0000000000000007E-2</v>
      </c>
      <c r="J170" s="1113">
        <f t="shared" ca="1" si="125"/>
        <v>7.0000000000000007E-2</v>
      </c>
      <c r="K170" s="1113">
        <f t="shared" ca="1" si="125"/>
        <v>7.0000000000000007E-2</v>
      </c>
      <c r="L170" s="1113">
        <f t="shared" si="125"/>
        <v>0.14000000000000001</v>
      </c>
      <c r="M170" s="1113">
        <f t="shared" si="125"/>
        <v>7.0000000000000007E-2</v>
      </c>
      <c r="N170" s="1113">
        <f t="shared" ref="N170:O170" si="126">N160</f>
        <v>7.0000000000000007E-2</v>
      </c>
      <c r="O170" s="1113">
        <f t="shared" si="126"/>
        <v>0</v>
      </c>
      <c r="P170" s="1114"/>
      <c r="Q170" s="1114"/>
      <c r="R170" s="1114"/>
      <c r="S170" s="1114"/>
      <c r="T170" s="1114"/>
      <c r="U170" s="1114"/>
      <c r="V170" s="1114"/>
      <c r="W170" s="1114"/>
      <c r="X170" s="1114"/>
      <c r="Y170" s="1114"/>
      <c r="Z170" s="1114"/>
      <c r="AA170" s="1114"/>
      <c r="AB170" s="1113"/>
      <c r="AC170" s="1113"/>
      <c r="AD170" s="1113"/>
      <c r="AE170" s="1115"/>
      <c r="AF170" s="578"/>
      <c r="AG170" s="972"/>
      <c r="AH170" s="972"/>
      <c r="AI170" s="972"/>
      <c r="AJ170" s="972"/>
      <c r="AK170" s="972"/>
      <c r="AL170" s="972"/>
      <c r="AM170" s="972"/>
      <c r="AN170" s="972"/>
      <c r="AO170" s="972"/>
      <c r="AP170" s="972"/>
      <c r="AQ170" s="972"/>
      <c r="AR170" s="972"/>
      <c r="AS170" s="972"/>
      <c r="AT170" s="972"/>
      <c r="AU170" s="972"/>
      <c r="AV170" s="972"/>
      <c r="AW170" s="972"/>
      <c r="AX170" s="972"/>
      <c r="AY170" s="972"/>
      <c r="AZ170" s="972"/>
      <c r="BA170" s="972"/>
      <c r="BB170" s="972"/>
      <c r="BC170" s="972"/>
      <c r="BD170" s="972"/>
      <c r="BE170" s="972"/>
      <c r="BF170" s="972"/>
      <c r="BG170" s="972"/>
      <c r="BH170" s="972"/>
      <c r="BI170" s="972"/>
      <c r="BJ170" s="972"/>
      <c r="BK170" s="972"/>
      <c r="BL170" s="972"/>
      <c r="BM170" s="972"/>
      <c r="BN170" s="972"/>
      <c r="BO170" s="972"/>
    </row>
    <row r="171" spans="1:67" ht="21.95" hidden="1" customHeight="1" thickBot="1" x14ac:dyDescent="0.2">
      <c r="A171" s="2627"/>
      <c r="B171" s="2567"/>
      <c r="C171" s="565" t="s">
        <v>759</v>
      </c>
      <c r="D171" s="1003"/>
      <c r="E171" s="2231"/>
      <c r="F171" s="1124">
        <f ca="1">(F10+F13)*0.18+(F11+F12+F14+F15)*0.347+(F16+F21)*0.36+(F17+F22)*0.533+(F18+F23)*0.8+(F19+F24)*1.133+(F20+F25)*1.933+(F26+F31)*0.373+(F27+F32)*0.62+(F28+F33)*0.9+(F29+F34)*1.333+(F30+F35)*2.253+(F36+F46)*0.008+(F37+F47)*0.01133+(F38+F39+F48+F49)*0.01667+(F40+F50)*0.02367+(F41+F51)*0.029+(F42+F52)*0.0325+(F43+F53)*0.03833+(F44+F54)*0.04883+(F45+F55)*0.06667+F56*2.95+F57*4.08+F58*5+F59*6.7</f>
        <v>24.303879999999996</v>
      </c>
      <c r="G171" s="1124">
        <f t="shared" ref="G171" ca="1" si="127">(G10+G13)*0.18+(G11+G12+G14+G15)*0.347+(G16+G21)*0.36+(G17+G22)*0.533+(G18+G23)*0.8+(G19+G24)*1.133+(G20+G25)*1.933+(G26+G31)*0.373+(G27+G32)*0.62+(G28+G33)*0.9+(G29+G34)*1.333+(G30+G35)*2.253+(G36+G46)*0.008+(G37+G47)*0.01133+(G38+G39+G48+G49)*0.01667+(G40+G50)*0.02367+(G41+G51)*0.029+(G42+G52)*0.0325+(G43+G53)*0.03833+(G44+G54)*0.04883+(G45+G55)*0.06667+G56*2.95+G57*4.08+G58*5+G59*6.7</f>
        <v>18.059920000000002</v>
      </c>
      <c r="H171" s="1124">
        <f t="shared" ref="H171:M171" ca="1" si="128">(H10+H13)*0.18+(H11+H12+H14+H15)*0.347+(H16+H21)*0.36+(H17+H22)*0.533+(H18+H23)*0.8+(H19+H24)*1.133+(H20+H25)*1.933+(H26+H31)*0.373+(H27+H32)*0.62+(H28+H33)*0.9+(H29+H34)*1.333+(H30+H35)*2.253+(H36+H46)*0.008+(H37+H47)*0.01133+(H38+H39+H48+H49)*0.01667+(H40+H50)*0.02367+(H41+H51)*0.029+(H42+H52)*0.0325+(H43+H53)*0.03833+(H44+H54)*0.04883+(H45+H55)*0.06667+H56*2.95+H57*4.08+H58*5+H59*6.7</f>
        <v>29.148389999999999</v>
      </c>
      <c r="I171" s="1124">
        <f t="shared" ca="1" si="128"/>
        <v>32.749189999999999</v>
      </c>
      <c r="J171" s="1124">
        <f t="shared" ca="1" si="128"/>
        <v>32.749189999999999</v>
      </c>
      <c r="K171" s="1124">
        <f t="shared" ca="1" si="128"/>
        <v>32.754519999999999</v>
      </c>
      <c r="L171" s="1124">
        <f t="shared" si="128"/>
        <v>12.829999999999998</v>
      </c>
      <c r="M171" s="1124">
        <f t="shared" si="128"/>
        <v>3.8689999999999998</v>
      </c>
      <c r="N171" s="1124">
        <f t="shared" ref="N171:O171" si="129">(N10+N13)*0.18+(N11+N12+N14+N15)*0.347+(N16+N21)*0.36+(N17+N22)*0.533+(N18+N23)*0.8+(N19+N24)*1.133+(N20+N25)*1.933+(N26+N31)*0.373+(N27+N32)*0.62+(N28+N33)*0.9+(N29+N34)*1.333+(N30+N35)*2.253+(N36+N46)*0.008+(N37+N47)*0.01133+(N38+N39+N48+N49)*0.01667+(N40+N50)*0.02367+(N41+N51)*0.029+(N42+N52)*0.0325+(N43+N53)*0.03833+(N44+N54)*0.04883+(N45+N55)*0.06667+N56*2.95+N57*4.08+N58*5+N59*6.7</f>
        <v>21.277000000000001</v>
      </c>
      <c r="O171" s="1124">
        <f t="shared" si="129"/>
        <v>2.52</v>
      </c>
      <c r="P171" s="1125"/>
      <c r="Q171" s="1125"/>
      <c r="R171" s="1125"/>
      <c r="S171" s="1125"/>
      <c r="T171" s="1125"/>
      <c r="U171" s="1125"/>
      <c r="V171" s="1125"/>
      <c r="W171" s="1125"/>
      <c r="X171" s="1125"/>
      <c r="Y171" s="1125"/>
      <c r="Z171" s="1125"/>
      <c r="AA171" s="1125"/>
      <c r="AB171" s="1124">
        <f>+AB134+AB144+AB148</f>
        <v>0</v>
      </c>
      <c r="AC171" s="1124">
        <f>+AC134+AC144+AC148</f>
        <v>0</v>
      </c>
      <c r="AD171" s="1124">
        <f>+AD134+AD144+AD148</f>
        <v>0</v>
      </c>
      <c r="AE171" s="1126"/>
      <c r="AF171" s="578"/>
      <c r="AG171" s="972"/>
      <c r="AH171" s="972"/>
      <c r="AI171" s="972"/>
      <c r="AJ171" s="972"/>
      <c r="AK171" s="972"/>
      <c r="AL171" s="972"/>
      <c r="AM171" s="972"/>
      <c r="AN171" s="972"/>
      <c r="AO171" s="972"/>
      <c r="AP171" s="972"/>
      <c r="AQ171" s="972"/>
      <c r="AR171" s="972"/>
      <c r="AS171" s="972"/>
      <c r="AT171" s="972"/>
      <c r="AU171" s="972"/>
      <c r="AV171" s="972"/>
      <c r="AW171" s="972"/>
      <c r="AX171" s="972"/>
      <c r="AY171" s="972"/>
      <c r="AZ171" s="972"/>
      <c r="BA171" s="972"/>
      <c r="BB171" s="972"/>
      <c r="BC171" s="972"/>
      <c r="BD171" s="972"/>
      <c r="BE171" s="972"/>
      <c r="BF171" s="972"/>
      <c r="BG171" s="972"/>
      <c r="BH171" s="972"/>
      <c r="BI171" s="972"/>
      <c r="BJ171" s="972"/>
      <c r="BK171" s="972"/>
      <c r="BL171" s="972"/>
      <c r="BM171" s="972"/>
      <c r="BN171" s="972"/>
      <c r="BO171" s="972"/>
    </row>
    <row r="172" spans="1:67" ht="50.1" customHeight="1" thickBot="1" x14ac:dyDescent="0.2">
      <c r="A172" s="2628"/>
      <c r="B172" s="2527" t="s">
        <v>12</v>
      </c>
      <c r="C172" s="2528"/>
      <c r="D172" s="989"/>
      <c r="E172" s="564"/>
      <c r="F172" s="602"/>
      <c r="G172" s="602"/>
      <c r="H172" s="602"/>
      <c r="I172" s="602"/>
      <c r="J172" s="602"/>
      <c r="K172" s="602"/>
      <c r="L172" s="602"/>
      <c r="M172" s="602"/>
      <c r="N172" s="602"/>
      <c r="O172" s="602"/>
      <c r="P172" s="602"/>
      <c r="Q172" s="602"/>
      <c r="R172" s="602"/>
      <c r="S172" s="602"/>
      <c r="T172" s="602"/>
      <c r="U172" s="602"/>
      <c r="V172" s="602"/>
      <c r="W172" s="602"/>
      <c r="X172" s="602"/>
      <c r="Y172" s="602"/>
      <c r="Z172" s="602"/>
      <c r="AA172" s="602"/>
      <c r="AB172" s="602"/>
      <c r="AC172" s="602"/>
      <c r="AD172" s="602"/>
      <c r="AE172" s="2091">
        <v>1</v>
      </c>
      <c r="AF172" s="578">
        <f>SUM(F172:AE172)</f>
        <v>1</v>
      </c>
      <c r="AG172" s="972"/>
      <c r="AH172" s="972"/>
      <c r="AI172" s="972"/>
      <c r="AJ172" s="972"/>
      <c r="AK172" s="972"/>
      <c r="AL172" s="972"/>
      <c r="AM172" s="972"/>
      <c r="AN172" s="972"/>
      <c r="AO172" s="972"/>
      <c r="AP172" s="972"/>
      <c r="AQ172" s="972"/>
      <c r="AR172" s="972"/>
      <c r="AS172" s="972"/>
      <c r="AT172" s="972"/>
      <c r="AU172" s="972"/>
      <c r="AV172" s="972"/>
      <c r="AW172" s="972"/>
      <c r="AX172" s="972"/>
      <c r="AY172" s="972"/>
      <c r="AZ172" s="972"/>
      <c r="BA172" s="972"/>
      <c r="BB172" s="972"/>
      <c r="BC172" s="972"/>
      <c r="BD172" s="972"/>
      <c r="BE172" s="972"/>
      <c r="BF172" s="972"/>
      <c r="BG172" s="972"/>
      <c r="BH172" s="972"/>
      <c r="BI172" s="972"/>
      <c r="BJ172" s="972"/>
      <c r="BK172" s="972"/>
      <c r="BL172" s="972"/>
      <c r="BM172" s="972"/>
      <c r="BN172" s="972"/>
      <c r="BO172" s="972"/>
    </row>
    <row r="173" spans="1:67" thickTop="1" x14ac:dyDescent="0.15">
      <c r="AG173" s="972"/>
      <c r="AH173" s="972"/>
      <c r="AI173" s="972"/>
      <c r="AJ173" s="972"/>
      <c r="AK173" s="972"/>
      <c r="AL173" s="972"/>
      <c r="AM173" s="972"/>
      <c r="AN173" s="972"/>
      <c r="AO173" s="972"/>
      <c r="AP173" s="972"/>
      <c r="AQ173" s="972"/>
      <c r="AR173" s="972"/>
      <c r="AS173" s="972"/>
      <c r="AT173" s="972"/>
      <c r="AU173" s="972"/>
      <c r="AV173" s="972"/>
      <c r="AW173" s="972"/>
      <c r="AX173" s="972"/>
      <c r="AY173" s="972"/>
      <c r="AZ173" s="972"/>
      <c r="BA173" s="972"/>
      <c r="BB173" s="972"/>
      <c r="BC173" s="972"/>
      <c r="BD173" s="972"/>
      <c r="BE173" s="972"/>
      <c r="BF173" s="972"/>
      <c r="BG173" s="972"/>
      <c r="BH173" s="972"/>
      <c r="BI173" s="972"/>
      <c r="BJ173" s="972"/>
      <c r="BK173" s="972"/>
      <c r="BL173" s="972"/>
      <c r="BM173" s="972"/>
      <c r="BN173" s="972"/>
      <c r="BO173" s="972"/>
    </row>
    <row r="174" spans="1:67" ht="18.75" x14ac:dyDescent="0.15">
      <c r="C174" s="133"/>
      <c r="E174" s="133"/>
      <c r="AG174" s="972"/>
      <c r="AH174" s="972"/>
      <c r="AI174" s="972"/>
      <c r="AJ174" s="972"/>
      <c r="AK174" s="972"/>
      <c r="AL174" s="972"/>
      <c r="AM174" s="972"/>
      <c r="AN174" s="972"/>
      <c r="AO174" s="972"/>
      <c r="AP174" s="972"/>
      <c r="AQ174" s="972"/>
      <c r="AR174" s="972"/>
      <c r="AS174" s="972"/>
      <c r="AT174" s="972"/>
      <c r="AU174" s="972"/>
      <c r="AV174" s="972"/>
      <c r="AW174" s="972"/>
      <c r="AX174" s="972"/>
      <c r="AY174" s="972"/>
      <c r="AZ174" s="972"/>
      <c r="BA174" s="972"/>
      <c r="BB174" s="972"/>
      <c r="BC174" s="972"/>
      <c r="BD174" s="972"/>
      <c r="BE174" s="972"/>
      <c r="BF174" s="972"/>
      <c r="BG174" s="972"/>
      <c r="BH174" s="972"/>
      <c r="BI174" s="972"/>
      <c r="BJ174" s="972"/>
      <c r="BK174" s="972"/>
      <c r="BL174" s="972"/>
      <c r="BM174" s="972"/>
      <c r="BN174" s="972"/>
      <c r="BO174" s="972"/>
    </row>
    <row r="175" spans="1:67" s="13" customFormat="1" ht="18.75" x14ac:dyDescent="0.15">
      <c r="D175" s="985"/>
      <c r="AG175" s="972"/>
      <c r="AH175" s="972"/>
      <c r="AI175" s="972"/>
      <c r="AJ175" s="972"/>
      <c r="AK175" s="972"/>
      <c r="AL175" s="972"/>
      <c r="AM175" s="972"/>
      <c r="AN175" s="972"/>
      <c r="AO175" s="972"/>
      <c r="AP175" s="972"/>
      <c r="AQ175" s="972"/>
      <c r="AR175" s="972"/>
      <c r="AS175" s="972"/>
      <c r="AT175" s="972"/>
      <c r="AU175" s="972"/>
      <c r="AV175" s="972"/>
      <c r="AW175" s="972"/>
      <c r="AX175" s="972"/>
      <c r="AY175" s="972"/>
      <c r="AZ175" s="972"/>
      <c r="BA175" s="972"/>
      <c r="BB175" s="972"/>
      <c r="BC175" s="972"/>
      <c r="BD175" s="972"/>
      <c r="BE175" s="972"/>
      <c r="BF175" s="972"/>
      <c r="BG175" s="972"/>
      <c r="BH175" s="972"/>
      <c r="BI175" s="972"/>
      <c r="BJ175" s="972"/>
      <c r="BK175" s="972"/>
      <c r="BL175" s="972"/>
      <c r="BM175" s="972"/>
      <c r="BN175" s="972"/>
      <c r="BO175" s="972"/>
    </row>
    <row r="186" spans="5:5" ht="19.5" customHeight="1" x14ac:dyDescent="0.15">
      <c r="E186" s="13" t="s">
        <v>602</v>
      </c>
    </row>
  </sheetData>
  <autoFilter ref="AF1:AF172">
    <filterColumn colId="0">
      <customFilters>
        <customFilter operator="notEqual" val=" "/>
      </customFilters>
    </filterColumn>
  </autoFilter>
  <mergeCells count="52">
    <mergeCell ref="BM5:BM7"/>
    <mergeCell ref="BN5:BN7"/>
    <mergeCell ref="AG5:AO5"/>
    <mergeCell ref="AP5:AX5"/>
    <mergeCell ref="AY5:BE5"/>
    <mergeCell ref="BG5:BL5"/>
    <mergeCell ref="BF5:BF8"/>
    <mergeCell ref="B9:C9"/>
    <mergeCell ref="B13:B15"/>
    <mergeCell ref="B21:B25"/>
    <mergeCell ref="B31:B35"/>
    <mergeCell ref="B46:B55"/>
    <mergeCell ref="B18:B20"/>
    <mergeCell ref="A1:A172"/>
    <mergeCell ref="B1:C1"/>
    <mergeCell ref="B2:C2"/>
    <mergeCell ref="B3:B5"/>
    <mergeCell ref="B6:C6"/>
    <mergeCell ref="B7:C7"/>
    <mergeCell ref="B8:C8"/>
    <mergeCell ref="B10:B12"/>
    <mergeCell ref="B26:B30"/>
    <mergeCell ref="B36:B45"/>
    <mergeCell ref="B56:B59"/>
    <mergeCell ref="B172:C172"/>
    <mergeCell ref="B95:B96"/>
    <mergeCell ref="B97:B98"/>
    <mergeCell ref="B60:B66"/>
    <mergeCell ref="B76:B81"/>
    <mergeCell ref="B91:C91"/>
    <mergeCell ref="B92:C92"/>
    <mergeCell ref="B162:B171"/>
    <mergeCell ref="B93:B94"/>
    <mergeCell ref="B151:C151"/>
    <mergeCell ref="B148:B150"/>
    <mergeCell ref="B99:B103"/>
    <mergeCell ref="B134:B143"/>
    <mergeCell ref="B144:B147"/>
    <mergeCell ref="B152:B161"/>
    <mergeCell ref="B113:B122"/>
    <mergeCell ref="B125:B133"/>
    <mergeCell ref="B107:B112"/>
    <mergeCell ref="B86:C86"/>
    <mergeCell ref="B87:C87"/>
    <mergeCell ref="B88:C88"/>
    <mergeCell ref="B89:C89"/>
    <mergeCell ref="B90:C90"/>
    <mergeCell ref="B82:C82"/>
    <mergeCell ref="B67:B75"/>
    <mergeCell ref="B83:C83"/>
    <mergeCell ref="B84:C84"/>
    <mergeCell ref="B85:C85"/>
  </mergeCells>
  <phoneticPr fontId="140" type="noConversion"/>
  <conditionalFormatting sqref="F2:AA8 F10:R172">
    <cfRule type="cellIs" dxfId="85" priority="98" operator="lessThan">
      <formula>0</formula>
    </cfRule>
  </conditionalFormatting>
  <conditionalFormatting sqref="AB2:AE4 AB5:AD5 AB6:AE84 P9 R9 T9:AA9 S10:AA84 D60:E93 S85:AE92 S93:AA170 S171:AE171 S172:AD172">
    <cfRule type="cellIs" dxfId="84" priority="456" operator="lessThan">
      <formula>0</formula>
    </cfRule>
  </conditionalFormatting>
  <conditionalFormatting sqref="AB93:AE171">
    <cfRule type="cellIs" dxfId="83" priority="430" operator="lessThan">
      <formula>0</formula>
    </cfRule>
  </conditionalFormatting>
  <conditionalFormatting sqref="AE169:AE171">
    <cfRule type="cellIs" dxfId="82" priority="445" operator="lessThan">
      <formula>0</formula>
    </cfRule>
  </conditionalFormatting>
  <hyperlinks>
    <hyperlink ref="B1:C1" location="PAINEL!A1" display="TRECHOS"/>
  </hyperlinks>
  <pageMargins left="0.39370078740157483" right="0.39370078740157483" top="0.59055118110236227" bottom="0.59055118110236227" header="0.31496062992125984" footer="0.23622047244094491"/>
  <pageSetup paperSize="9" scale="54" fitToWidth="6" orientation="landscape" r:id="rId1"/>
  <headerFooter>
    <oddFooter>&amp;L&amp;"Arial,Normal"&amp;8&amp;F&amp;C&amp;"Arial,Normal"&amp;8&amp;P / &amp;N&amp;R&amp;"Cambria,Regular"&amp;8Ricardo Schettini Figueiredo&amp;10
&amp;8Eng. Civil - CREA-RJ 52.656/D</oddFooter>
  </headerFooter>
  <ignoredErrors>
    <ignoredError sqref="AH86:AH87 F38 F48 G160 F160 H160:O160" formula="1"/>
    <ignoredError sqref="C60:C65 C76:C81" numberStoredAsText="1"/>
  </ignoredErrors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28">
    <tabColor theme="5" tint="0.59999389629810485"/>
  </sheetPr>
  <dimension ref="A1:L112"/>
  <sheetViews>
    <sheetView showZeros="0" zoomScaleNormal="100" zoomScaleSheetLayoutView="85" workbookViewId="0">
      <pane xSplit="6" ySplit="1" topLeftCell="G101" activePane="bottomRight" state="frozenSplit"/>
      <selection activeCell="D18" sqref="B13:I28"/>
      <selection pane="topRight" activeCell="D18" sqref="B13:I28"/>
      <selection pane="bottomLeft" activeCell="D18" sqref="B13:I28"/>
      <selection pane="bottomRight" activeCell="G35" sqref="G35"/>
    </sheetView>
  </sheetViews>
  <sheetFormatPr defaultColWidth="9" defaultRowHeight="18.75" x14ac:dyDescent="0.15"/>
  <cols>
    <col min="1" max="1" width="9.75" style="133" customWidth="1"/>
    <col min="2" max="2" width="16.75" style="13" customWidth="1"/>
    <col min="3" max="3" width="13.25" style="13" customWidth="1"/>
    <col min="4" max="4" width="25" style="13" customWidth="1"/>
    <col min="5" max="5" width="3.125" style="985" customWidth="1"/>
    <col min="6" max="6" width="8.375" style="13" customWidth="1"/>
    <col min="7" max="9" width="12.625" style="589" customWidth="1"/>
    <col min="10" max="10" width="12.625" style="1352" customWidth="1"/>
    <col min="11" max="11" width="21.875" style="133" customWidth="1"/>
    <col min="12" max="15" width="10.75" style="133" customWidth="1"/>
    <col min="16" max="16" width="15.625" style="133" customWidth="1"/>
    <col min="17" max="16384" width="9" style="133"/>
  </cols>
  <sheetData>
    <row r="1" spans="1:11" s="16" customFormat="1" ht="60" customHeight="1" thickTop="1" thickBot="1" x14ac:dyDescent="0.2">
      <c r="A1" s="2512" t="s">
        <v>2110</v>
      </c>
      <c r="B1" s="2525" t="s">
        <v>346</v>
      </c>
      <c r="C1" s="2649"/>
      <c r="D1" s="2526"/>
      <c r="E1" s="990"/>
      <c r="F1" s="973" t="s">
        <v>587</v>
      </c>
      <c r="G1" s="1349" t="s">
        <v>2631</v>
      </c>
      <c r="H1" s="1349"/>
      <c r="I1" s="1795"/>
      <c r="J1" s="1350" t="s">
        <v>0</v>
      </c>
      <c r="K1" s="577" t="s">
        <v>693</v>
      </c>
    </row>
    <row r="2" spans="1:11" ht="19.5" thickTop="1" x14ac:dyDescent="0.15">
      <c r="A2" s="2513"/>
      <c r="B2" s="2522" t="s">
        <v>35</v>
      </c>
      <c r="C2" s="2651" t="s">
        <v>2186</v>
      </c>
      <c r="D2" s="1830" t="s">
        <v>164</v>
      </c>
      <c r="E2" s="1355"/>
      <c r="F2" s="1356"/>
      <c r="G2" s="1831"/>
      <c r="H2" s="1831"/>
      <c r="I2" s="1831"/>
      <c r="J2" s="1847"/>
      <c r="K2" s="578"/>
    </row>
    <row r="3" spans="1:11" x14ac:dyDescent="0.15">
      <c r="A3" s="2513"/>
      <c r="B3" s="2523"/>
      <c r="C3" s="2642"/>
      <c r="D3" s="566" t="s">
        <v>1236</v>
      </c>
      <c r="F3" s="1357"/>
      <c r="G3" s="158"/>
      <c r="H3" s="158"/>
      <c r="I3" s="158"/>
      <c r="J3" s="594"/>
      <c r="K3" s="578"/>
    </row>
    <row r="4" spans="1:11" x14ac:dyDescent="0.15">
      <c r="A4" s="2513"/>
      <c r="B4" s="2523"/>
      <c r="C4" s="2642"/>
      <c r="D4" s="566" t="s">
        <v>2239</v>
      </c>
      <c r="F4" s="1357"/>
      <c r="G4" s="134"/>
      <c r="H4" s="134"/>
      <c r="I4" s="134"/>
      <c r="J4" s="594"/>
      <c r="K4" s="578"/>
    </row>
    <row r="5" spans="1:11" x14ac:dyDescent="0.15">
      <c r="A5" s="2513"/>
      <c r="B5" s="2523"/>
      <c r="C5" s="2642"/>
      <c r="D5" s="558" t="s">
        <v>2111</v>
      </c>
      <c r="F5" s="1357"/>
      <c r="G5" s="1834">
        <f>+G3*G2</f>
        <v>0</v>
      </c>
      <c r="H5" s="1834"/>
      <c r="I5" s="1834">
        <f>+I3*I2</f>
        <v>0</v>
      </c>
      <c r="J5" s="350">
        <f>SUM(G5:I5)</f>
        <v>0</v>
      </c>
      <c r="K5" s="578"/>
    </row>
    <row r="6" spans="1:11" x14ac:dyDescent="0.15">
      <c r="A6" s="2513"/>
      <c r="B6" s="2523"/>
      <c r="C6" s="2642"/>
      <c r="D6" s="558" t="s">
        <v>2112</v>
      </c>
      <c r="F6" s="1357"/>
      <c r="G6" s="158"/>
      <c r="H6" s="158"/>
      <c r="I6" s="158"/>
      <c r="J6" s="350">
        <f>SUM(G6:I6)</f>
        <v>0</v>
      </c>
      <c r="K6" s="578"/>
    </row>
    <row r="7" spans="1:11" x14ac:dyDescent="0.15">
      <c r="A7" s="2513"/>
      <c r="B7" s="2523"/>
      <c r="C7" s="2643"/>
      <c r="D7" s="566" t="s">
        <v>2113</v>
      </c>
      <c r="E7" s="1420"/>
      <c r="F7" s="1392"/>
      <c r="G7" s="1844">
        <f>(G5+G6)*G4</f>
        <v>0</v>
      </c>
      <c r="H7" s="1844"/>
      <c r="I7" s="1844">
        <f>(I5+I6)*I4</f>
        <v>0</v>
      </c>
      <c r="J7" s="1840">
        <f>SUM(G7:I7)</f>
        <v>0</v>
      </c>
      <c r="K7" s="578"/>
    </row>
    <row r="8" spans="1:11" ht="23.25" customHeight="1" x14ac:dyDescent="0.15">
      <c r="A8" s="2513"/>
      <c r="B8" s="2523"/>
      <c r="C8" s="2641" t="s">
        <v>2187</v>
      </c>
      <c r="D8" s="566" t="s">
        <v>164</v>
      </c>
      <c r="E8" s="1545"/>
      <c r="F8" s="1546"/>
      <c r="G8" s="458"/>
      <c r="H8" s="458"/>
      <c r="I8" s="458"/>
      <c r="J8" s="1842"/>
      <c r="K8" s="578">
        <f t="shared" ref="K8:K29" si="0">SUM(G8:J8)</f>
        <v>0</v>
      </c>
    </row>
    <row r="9" spans="1:11" x14ac:dyDescent="0.15">
      <c r="A9" s="2513"/>
      <c r="B9" s="2523"/>
      <c r="C9" s="2642"/>
      <c r="D9" s="566" t="s">
        <v>1236</v>
      </c>
      <c r="F9" s="1357"/>
      <c r="G9" s="158"/>
      <c r="H9" s="158"/>
      <c r="I9" s="158"/>
      <c r="J9" s="594"/>
      <c r="K9" s="578">
        <f t="shared" si="0"/>
        <v>0</v>
      </c>
    </row>
    <row r="10" spans="1:11" x14ac:dyDescent="0.15">
      <c r="A10" s="2513"/>
      <c r="B10" s="2523"/>
      <c r="C10" s="2642"/>
      <c r="D10" s="566" t="s">
        <v>1242</v>
      </c>
      <c r="F10" s="1357"/>
      <c r="G10" s="1419"/>
      <c r="H10" s="1419"/>
      <c r="I10" s="1419"/>
      <c r="J10" s="594"/>
      <c r="K10" s="578">
        <f t="shared" si="0"/>
        <v>0</v>
      </c>
    </row>
    <row r="11" spans="1:11" x14ac:dyDescent="0.15">
      <c r="A11" s="2513"/>
      <c r="B11" s="2523"/>
      <c r="C11" s="2642"/>
      <c r="D11" s="558" t="s">
        <v>2111</v>
      </c>
      <c r="F11" s="1357"/>
      <c r="G11" s="1834">
        <f>G9*G8</f>
        <v>0</v>
      </c>
      <c r="H11" s="1834"/>
      <c r="I11" s="1834">
        <f>I9*I8</f>
        <v>0</v>
      </c>
      <c r="J11" s="350">
        <f>SUM(G11:I11)</f>
        <v>0</v>
      </c>
      <c r="K11" s="578">
        <f t="shared" si="0"/>
        <v>0</v>
      </c>
    </row>
    <row r="12" spans="1:11" x14ac:dyDescent="0.15">
      <c r="A12" s="2513"/>
      <c r="B12" s="2523"/>
      <c r="C12" s="2642"/>
      <c r="D12" s="558" t="s">
        <v>2112</v>
      </c>
      <c r="F12" s="1357"/>
      <c r="G12" s="158"/>
      <c r="H12" s="158"/>
      <c r="I12" s="158"/>
      <c r="J12" s="350">
        <f>SUM(G12:I12)</f>
        <v>0</v>
      </c>
      <c r="K12" s="578">
        <f t="shared" si="0"/>
        <v>0</v>
      </c>
    </row>
    <row r="13" spans="1:11" ht="22.5" x14ac:dyDescent="0.15">
      <c r="A13" s="2513"/>
      <c r="B13" s="2523"/>
      <c r="C13" s="2643"/>
      <c r="D13" s="566" t="s">
        <v>2183</v>
      </c>
      <c r="E13" s="1420"/>
      <c r="F13" s="1392"/>
      <c r="G13" s="1844">
        <f>(G11+G12)*G10*1.1</f>
        <v>0</v>
      </c>
      <c r="H13" s="1844"/>
      <c r="I13" s="1844">
        <f>(I11+I12)*I10*1.1</f>
        <v>0</v>
      </c>
      <c r="J13" s="1840">
        <f>SUM(G13:I13)</f>
        <v>0</v>
      </c>
      <c r="K13" s="578">
        <f t="shared" si="0"/>
        <v>0</v>
      </c>
    </row>
    <row r="14" spans="1:11" ht="22.5" customHeight="1" x14ac:dyDescent="0.15">
      <c r="A14" s="2513"/>
      <c r="B14" s="2523"/>
      <c r="C14" s="2642" t="s">
        <v>2184</v>
      </c>
      <c r="D14" s="558" t="s">
        <v>2185</v>
      </c>
      <c r="F14" s="1357"/>
      <c r="G14" s="158"/>
      <c r="H14" s="158"/>
      <c r="I14" s="158"/>
      <c r="J14" s="350">
        <f>SUM(G14:I14)</f>
        <v>0</v>
      </c>
      <c r="K14" s="578"/>
    </row>
    <row r="15" spans="1:11" x14ac:dyDescent="0.15">
      <c r="A15" s="2513"/>
      <c r="B15" s="2523"/>
      <c r="C15" s="2642"/>
      <c r="D15" s="566" t="s">
        <v>1640</v>
      </c>
      <c r="F15" s="1357"/>
      <c r="G15" s="158"/>
      <c r="H15" s="158"/>
      <c r="I15" s="158"/>
      <c r="J15" s="350">
        <f>ROUND(SUM(G15:I15),2)</f>
        <v>0</v>
      </c>
      <c r="K15" s="578"/>
    </row>
    <row r="16" spans="1:11" ht="19.5" thickBot="1" x14ac:dyDescent="0.2">
      <c r="A16" s="2513"/>
      <c r="B16" s="2524"/>
      <c r="C16" s="2648"/>
      <c r="D16" s="565" t="s">
        <v>2115</v>
      </c>
      <c r="E16" s="986"/>
      <c r="F16" s="563"/>
      <c r="G16" s="359"/>
      <c r="H16" s="359"/>
      <c r="I16" s="359"/>
      <c r="J16" s="361">
        <f>SUM(G16:I16)</f>
        <v>0</v>
      </c>
      <c r="K16" s="578"/>
    </row>
    <row r="17" spans="1:11" x14ac:dyDescent="0.15">
      <c r="A17" s="2513"/>
      <c r="B17" s="2522" t="s">
        <v>1592</v>
      </c>
      <c r="C17" s="2646" t="s">
        <v>2116</v>
      </c>
      <c r="D17" s="549" t="s">
        <v>2117</v>
      </c>
      <c r="E17" s="984"/>
      <c r="F17" s="1357"/>
      <c r="G17" s="238"/>
      <c r="H17" s="238"/>
      <c r="I17" s="238"/>
      <c r="J17" s="350">
        <f t="shared" ref="J17:J25" si="1">ROUND(SUM(G17:I17),2)</f>
        <v>0</v>
      </c>
      <c r="K17" s="578">
        <f t="shared" si="0"/>
        <v>0</v>
      </c>
    </row>
    <row r="18" spans="1:11" x14ac:dyDescent="0.15">
      <c r="A18" s="2513"/>
      <c r="B18" s="2523"/>
      <c r="C18" s="2642"/>
      <c r="D18" s="566" t="s">
        <v>2118</v>
      </c>
      <c r="F18" s="1357"/>
      <c r="G18" s="158"/>
      <c r="H18" s="158"/>
      <c r="I18" s="158"/>
      <c r="J18" s="350">
        <f t="shared" si="1"/>
        <v>0</v>
      </c>
      <c r="K18" s="578">
        <f t="shared" si="0"/>
        <v>0</v>
      </c>
    </row>
    <row r="19" spans="1:11" x14ac:dyDescent="0.15">
      <c r="A19" s="2513"/>
      <c r="B19" s="2523"/>
      <c r="C19" s="2643"/>
      <c r="D19" s="566" t="s">
        <v>2119</v>
      </c>
      <c r="F19" s="1357"/>
      <c r="G19" s="158"/>
      <c r="H19" s="158"/>
      <c r="I19" s="158"/>
      <c r="J19" s="350">
        <f t="shared" si="1"/>
        <v>0</v>
      </c>
      <c r="K19" s="578">
        <f t="shared" si="0"/>
        <v>0</v>
      </c>
    </row>
    <row r="20" spans="1:11" ht="28.5" customHeight="1" x14ac:dyDescent="0.15">
      <c r="A20" s="2513"/>
      <c r="B20" s="2523"/>
      <c r="C20" s="2637" t="s">
        <v>2120</v>
      </c>
      <c r="D20" s="2638"/>
      <c r="E20" s="1835"/>
      <c r="F20" s="1836"/>
      <c r="G20" s="1837"/>
      <c r="H20" s="1837"/>
      <c r="I20" s="1837"/>
      <c r="J20" s="1838">
        <f t="shared" si="1"/>
        <v>0</v>
      </c>
      <c r="K20" s="578">
        <f t="shared" si="0"/>
        <v>0</v>
      </c>
    </row>
    <row r="21" spans="1:11" ht="22.5" x14ac:dyDescent="0.15">
      <c r="A21" s="2513"/>
      <c r="B21" s="2523"/>
      <c r="C21" s="2641" t="s">
        <v>2238</v>
      </c>
      <c r="D21" s="566" t="s">
        <v>1871</v>
      </c>
      <c r="E21" s="1544"/>
      <c r="F21" s="1357"/>
      <c r="G21" s="158"/>
      <c r="H21" s="158"/>
      <c r="I21" s="158"/>
      <c r="J21" s="350">
        <f t="shared" si="1"/>
        <v>0</v>
      </c>
      <c r="K21" s="578">
        <f t="shared" si="0"/>
        <v>0</v>
      </c>
    </row>
    <row r="22" spans="1:11" x14ac:dyDescent="0.15">
      <c r="A22" s="2513"/>
      <c r="B22" s="2523"/>
      <c r="C22" s="2642"/>
      <c r="D22" s="566" t="s">
        <v>2649</v>
      </c>
      <c r="E22" s="1544"/>
      <c r="F22" s="1357"/>
      <c r="G22" s="158"/>
      <c r="H22" s="158"/>
      <c r="I22" s="158"/>
      <c r="J22" s="350"/>
      <c r="K22" s="578"/>
    </row>
    <row r="23" spans="1:11" x14ac:dyDescent="0.15">
      <c r="A23" s="2513"/>
      <c r="B23" s="2523"/>
      <c r="C23" s="2642"/>
      <c r="D23" s="566" t="s">
        <v>2650</v>
      </c>
      <c r="E23" s="1544"/>
      <c r="F23" s="1357"/>
      <c r="G23" s="1834">
        <f>+G21*G22</f>
        <v>0</v>
      </c>
      <c r="H23" s="1834"/>
      <c r="I23" s="1834">
        <f t="shared" ref="I23" si="2">+I21*I22</f>
        <v>0</v>
      </c>
      <c r="J23" s="350">
        <f t="shared" si="1"/>
        <v>0</v>
      </c>
      <c r="K23" s="578">
        <f t="shared" si="0"/>
        <v>0</v>
      </c>
    </row>
    <row r="24" spans="1:11" x14ac:dyDescent="0.15">
      <c r="A24" s="2513"/>
      <c r="B24" s="2523"/>
      <c r="C24" s="2642"/>
      <c r="D24" s="566" t="s">
        <v>2651</v>
      </c>
      <c r="E24" s="1544"/>
      <c r="F24" s="1357"/>
      <c r="G24" s="158"/>
      <c r="H24" s="158"/>
      <c r="I24" s="158"/>
      <c r="J24" s="350"/>
      <c r="K24" s="578"/>
    </row>
    <row r="25" spans="1:11" ht="24.75" customHeight="1" x14ac:dyDescent="0.15">
      <c r="A25" s="2513"/>
      <c r="B25" s="2523"/>
      <c r="C25" s="2643"/>
      <c r="D25" s="566" t="s">
        <v>2652</v>
      </c>
      <c r="E25" s="1839"/>
      <c r="F25" s="1392"/>
      <c r="G25" s="1844">
        <f>+G24*G21</f>
        <v>0</v>
      </c>
      <c r="H25" s="1844"/>
      <c r="I25" s="1844">
        <f t="shared" ref="I25" si="3">+I24*I21</f>
        <v>0</v>
      </c>
      <c r="J25" s="507">
        <f t="shared" si="1"/>
        <v>0</v>
      </c>
      <c r="K25" s="578">
        <f t="shared" si="0"/>
        <v>0</v>
      </c>
    </row>
    <row r="26" spans="1:11" ht="22.5" customHeight="1" x14ac:dyDescent="0.15">
      <c r="A26" s="2513"/>
      <c r="B26" s="2523"/>
      <c r="C26" s="2641" t="s">
        <v>2636</v>
      </c>
      <c r="D26" s="566" t="s">
        <v>2190</v>
      </c>
      <c r="E26" s="1544"/>
      <c r="F26" s="1357"/>
      <c r="G26" s="158"/>
      <c r="H26" s="158"/>
      <c r="I26" s="158"/>
      <c r="J26" s="350">
        <f t="shared" ref="J26:J35" si="4">SUM(G26:I26)</f>
        <v>0</v>
      </c>
      <c r="K26" s="578">
        <f t="shared" si="0"/>
        <v>0</v>
      </c>
    </row>
    <row r="27" spans="1:11" x14ac:dyDescent="0.15">
      <c r="A27" s="2513"/>
      <c r="B27" s="2523"/>
      <c r="C27" s="2642"/>
      <c r="D27" s="566" t="s">
        <v>2191</v>
      </c>
      <c r="E27" s="1544"/>
      <c r="F27" s="1357"/>
      <c r="G27" s="158"/>
      <c r="H27" s="158"/>
      <c r="I27" s="158"/>
      <c r="J27" s="350">
        <f t="shared" si="4"/>
        <v>0</v>
      </c>
      <c r="K27" s="578">
        <f t="shared" si="0"/>
        <v>0</v>
      </c>
    </row>
    <row r="28" spans="1:11" x14ac:dyDescent="0.15">
      <c r="A28" s="2513"/>
      <c r="B28" s="2523"/>
      <c r="C28" s="2642"/>
      <c r="D28" s="566" t="s">
        <v>2192</v>
      </c>
      <c r="E28" s="1544"/>
      <c r="F28" s="1357"/>
      <c r="G28" s="158"/>
      <c r="H28" s="158"/>
      <c r="I28" s="158"/>
      <c r="J28" s="350">
        <f t="shared" si="4"/>
        <v>0</v>
      </c>
      <c r="K28" s="578">
        <f t="shared" si="0"/>
        <v>0</v>
      </c>
    </row>
    <row r="29" spans="1:11" x14ac:dyDescent="0.15">
      <c r="A29" s="2513"/>
      <c r="B29" s="2523"/>
      <c r="C29" s="2643"/>
      <c r="D29" s="566" t="s">
        <v>2193</v>
      </c>
      <c r="E29" s="1544"/>
      <c r="F29" s="1357"/>
      <c r="G29" s="1850"/>
      <c r="H29" s="1850"/>
      <c r="I29" s="1850"/>
      <c r="J29" s="350">
        <f t="shared" si="4"/>
        <v>0</v>
      </c>
      <c r="K29" s="578">
        <f t="shared" si="0"/>
        <v>0</v>
      </c>
    </row>
    <row r="30" spans="1:11" x14ac:dyDescent="0.15">
      <c r="A30" s="2513"/>
      <c r="B30" s="2523"/>
      <c r="C30" s="2637" t="s">
        <v>2634</v>
      </c>
      <c r="D30" s="2638"/>
      <c r="E30" s="1544"/>
      <c r="F30" s="1357"/>
      <c r="G30" s="158"/>
      <c r="H30" s="158"/>
      <c r="I30" s="158"/>
      <c r="J30" s="350">
        <f t="shared" si="4"/>
        <v>0</v>
      </c>
      <c r="K30" s="578"/>
    </row>
    <row r="31" spans="1:11" ht="27" customHeight="1" x14ac:dyDescent="0.15">
      <c r="A31" s="2513"/>
      <c r="B31" s="2523"/>
      <c r="C31" s="2641" t="s">
        <v>2635</v>
      </c>
      <c r="D31" s="2185" t="s">
        <v>2654</v>
      </c>
      <c r="E31" s="1544"/>
      <c r="F31" s="1357"/>
      <c r="G31" s="1834">
        <f>SUM(G26:G30)*1.25</f>
        <v>0</v>
      </c>
      <c r="H31" s="1834"/>
      <c r="I31" s="1834"/>
      <c r="J31" s="594">
        <f t="shared" si="4"/>
        <v>0</v>
      </c>
      <c r="K31" s="578">
        <f t="shared" ref="K31:K67" si="5">SUM(G31:J31)</f>
        <v>0</v>
      </c>
    </row>
    <row r="32" spans="1:11" ht="22.5" x14ac:dyDescent="0.15">
      <c r="A32" s="2513"/>
      <c r="B32" s="2523"/>
      <c r="C32" s="2642"/>
      <c r="D32" s="1820" t="s">
        <v>2655</v>
      </c>
      <c r="E32" s="1544"/>
      <c r="F32" s="1357"/>
      <c r="G32" s="158"/>
      <c r="H32" s="158"/>
      <c r="I32" s="158"/>
      <c r="J32" s="1832"/>
      <c r="K32" s="578">
        <f t="shared" si="5"/>
        <v>0</v>
      </c>
    </row>
    <row r="33" spans="1:11" x14ac:dyDescent="0.15">
      <c r="A33" s="2513"/>
      <c r="B33" s="2523"/>
      <c r="C33" s="2642"/>
      <c r="D33" s="1820" t="s">
        <v>741</v>
      </c>
      <c r="E33" s="1544"/>
      <c r="F33" s="1357"/>
      <c r="G33" s="158">
        <f t="shared" ref="G33" si="6">G31-G31*G32</f>
        <v>0</v>
      </c>
      <c r="H33" s="158"/>
      <c r="I33" s="158"/>
      <c r="J33" s="350">
        <f t="shared" si="4"/>
        <v>0</v>
      </c>
      <c r="K33" s="578">
        <f t="shared" si="5"/>
        <v>0</v>
      </c>
    </row>
    <row r="34" spans="1:11" ht="25.5" x14ac:dyDescent="0.15">
      <c r="A34" s="2513"/>
      <c r="B34" s="2523"/>
      <c r="C34" s="2642"/>
      <c r="D34" s="1820" t="s">
        <v>26</v>
      </c>
      <c r="E34" s="1544"/>
      <c r="F34" s="1357"/>
      <c r="G34" s="932" t="s">
        <v>2653</v>
      </c>
      <c r="H34" s="932"/>
      <c r="I34" s="932"/>
      <c r="J34" s="350"/>
      <c r="K34" s="578"/>
    </row>
    <row r="35" spans="1:11" x14ac:dyDescent="0.15">
      <c r="A35" s="2513"/>
      <c r="B35" s="2523"/>
      <c r="C35" s="2642"/>
      <c r="D35" s="1820" t="s">
        <v>2644</v>
      </c>
      <c r="E35" s="1544"/>
      <c r="F35" s="1357"/>
      <c r="G35" s="158"/>
      <c r="H35" s="158"/>
      <c r="I35" s="158"/>
      <c r="J35" s="594">
        <f t="shared" si="4"/>
        <v>0</v>
      </c>
      <c r="K35" s="578">
        <f t="shared" si="5"/>
        <v>0</v>
      </c>
    </row>
    <row r="36" spans="1:11" x14ac:dyDescent="0.15">
      <c r="A36" s="2513"/>
      <c r="B36" s="2523"/>
      <c r="C36" s="2643"/>
      <c r="D36" s="1820" t="s">
        <v>2645</v>
      </c>
      <c r="E36" s="1544"/>
      <c r="F36" s="1357"/>
      <c r="G36" s="158">
        <f>+G35*G33</f>
        <v>0</v>
      </c>
      <c r="H36" s="158"/>
      <c r="I36" s="158"/>
      <c r="J36" s="507">
        <f>IF(J33=0,0,ROUND(SUM(G36:I36),1)/J33)</f>
        <v>0</v>
      </c>
      <c r="K36" s="578">
        <f t="shared" si="5"/>
        <v>0</v>
      </c>
    </row>
    <row r="37" spans="1:11" x14ac:dyDescent="0.15">
      <c r="A37" s="2513"/>
      <c r="B37" s="2523"/>
      <c r="C37" s="2637" t="s">
        <v>2121</v>
      </c>
      <c r="D37" s="2638"/>
      <c r="E37" s="1835"/>
      <c r="F37" s="1836"/>
      <c r="G37" s="1848">
        <f>G17-G31*G32</f>
        <v>0</v>
      </c>
      <c r="H37" s="1848"/>
      <c r="I37" s="1848"/>
      <c r="J37" s="1838">
        <f t="shared" ref="J37:J69" si="7">ROUND(SUM(G37:I37),2)</f>
        <v>0</v>
      </c>
      <c r="K37" s="578">
        <f t="shared" si="5"/>
        <v>0</v>
      </c>
    </row>
    <row r="38" spans="1:11" x14ac:dyDescent="0.15">
      <c r="A38" s="2513"/>
      <c r="B38" s="2523"/>
      <c r="C38" s="2641" t="s">
        <v>2123</v>
      </c>
      <c r="D38" s="566" t="s">
        <v>2124</v>
      </c>
      <c r="E38" s="1544"/>
      <c r="F38" s="1357"/>
      <c r="G38" s="158">
        <f>G5</f>
        <v>0</v>
      </c>
      <c r="H38" s="158"/>
      <c r="I38" s="158"/>
      <c r="J38" s="350">
        <f t="shared" si="7"/>
        <v>0</v>
      </c>
      <c r="K38" s="578">
        <f t="shared" si="5"/>
        <v>0</v>
      </c>
    </row>
    <row r="39" spans="1:11" x14ac:dyDescent="0.15">
      <c r="A39" s="2513"/>
      <c r="B39" s="2523"/>
      <c r="C39" s="2642"/>
      <c r="D39" s="566" t="s">
        <v>2125</v>
      </c>
      <c r="E39" s="1544"/>
      <c r="F39" s="1357"/>
      <c r="G39" s="158"/>
      <c r="H39" s="158"/>
      <c r="I39" s="158"/>
      <c r="J39" s="350">
        <f t="shared" si="7"/>
        <v>0</v>
      </c>
      <c r="K39" s="578">
        <f t="shared" si="5"/>
        <v>0</v>
      </c>
    </row>
    <row r="40" spans="1:11" x14ac:dyDescent="0.15">
      <c r="A40" s="2513"/>
      <c r="B40" s="2523"/>
      <c r="C40" s="2642"/>
      <c r="D40" s="566" t="s">
        <v>2126</v>
      </c>
      <c r="F40" s="1357"/>
      <c r="G40" s="158"/>
      <c r="H40" s="158"/>
      <c r="I40" s="158"/>
      <c r="J40" s="350">
        <f t="shared" si="7"/>
        <v>0</v>
      </c>
      <c r="K40" s="578">
        <f t="shared" si="5"/>
        <v>0</v>
      </c>
    </row>
    <row r="41" spans="1:11" x14ac:dyDescent="0.15">
      <c r="A41" s="2513"/>
      <c r="B41" s="2523"/>
      <c r="C41" s="2642"/>
      <c r="D41" s="566" t="s">
        <v>642</v>
      </c>
      <c r="F41" s="1357"/>
      <c r="G41" s="158"/>
      <c r="H41" s="158"/>
      <c r="I41" s="158"/>
      <c r="J41" s="350">
        <f t="shared" si="7"/>
        <v>0</v>
      </c>
      <c r="K41" s="578">
        <f t="shared" si="5"/>
        <v>0</v>
      </c>
    </row>
    <row r="42" spans="1:11" ht="19.5" thickBot="1" x14ac:dyDescent="0.2">
      <c r="A42" s="2513"/>
      <c r="B42" s="2524"/>
      <c r="C42" s="2648"/>
      <c r="D42" s="565" t="s">
        <v>2127</v>
      </c>
      <c r="E42" s="986"/>
      <c r="F42" s="563"/>
      <c r="G42" s="1849"/>
      <c r="H42" s="1849"/>
      <c r="I42" s="1849"/>
      <c r="J42" s="361">
        <f t="shared" si="7"/>
        <v>0</v>
      </c>
      <c r="K42" s="578">
        <f t="shared" si="5"/>
        <v>0</v>
      </c>
    </row>
    <row r="43" spans="1:11" ht="20.65" customHeight="1" x14ac:dyDescent="0.15">
      <c r="A43" s="2513"/>
      <c r="B43" s="2522" t="s">
        <v>2641</v>
      </c>
      <c r="C43" s="2644" t="s">
        <v>2642</v>
      </c>
      <c r="D43" s="2645"/>
      <c r="F43" s="1357"/>
      <c r="G43" s="1850"/>
      <c r="H43" s="1850"/>
      <c r="I43" s="1850"/>
      <c r="J43" s="350">
        <f t="shared" ref="J43:J44" si="8">ROUND(SUM(G43:I43),2)</f>
        <v>0</v>
      </c>
      <c r="K43" s="578">
        <f t="shared" ref="K43:K44" si="9">SUM(G43:J43)</f>
        <v>0</v>
      </c>
    </row>
    <row r="44" spans="1:11" ht="19.5" thickBot="1" x14ac:dyDescent="0.2">
      <c r="A44" s="2513"/>
      <c r="B44" s="2524"/>
      <c r="C44" s="2639" t="s">
        <v>2643</v>
      </c>
      <c r="D44" s="2640"/>
      <c r="F44" s="1357"/>
      <c r="G44" s="1850"/>
      <c r="H44" s="1850"/>
      <c r="I44" s="1850"/>
      <c r="J44" s="361">
        <f t="shared" si="8"/>
        <v>0</v>
      </c>
      <c r="K44" s="578">
        <f t="shared" si="9"/>
        <v>0</v>
      </c>
    </row>
    <row r="45" spans="1:11" x14ac:dyDescent="0.15">
      <c r="A45" s="2513"/>
      <c r="B45" s="2522" t="s">
        <v>2163</v>
      </c>
      <c r="C45" s="2646" t="s">
        <v>151</v>
      </c>
      <c r="D45" s="549" t="s">
        <v>2128</v>
      </c>
      <c r="E45" s="984"/>
      <c r="F45" s="1358"/>
      <c r="G45" s="238"/>
      <c r="H45" s="238"/>
      <c r="I45" s="238"/>
      <c r="J45" s="350">
        <f t="shared" si="7"/>
        <v>0</v>
      </c>
      <c r="K45" s="578">
        <f t="shared" si="5"/>
        <v>0</v>
      </c>
    </row>
    <row r="46" spans="1:11" x14ac:dyDescent="0.15">
      <c r="A46" s="2513"/>
      <c r="B46" s="2523"/>
      <c r="C46" s="2642"/>
      <c r="D46" s="566" t="s">
        <v>2129</v>
      </c>
      <c r="F46" s="1357"/>
      <c r="G46" s="158"/>
      <c r="H46" s="158"/>
      <c r="I46" s="158"/>
      <c r="J46" s="350">
        <f t="shared" si="7"/>
        <v>0</v>
      </c>
      <c r="K46" s="578">
        <f t="shared" si="5"/>
        <v>0</v>
      </c>
    </row>
    <row r="47" spans="1:11" x14ac:dyDescent="0.15">
      <c r="A47" s="2513"/>
      <c r="B47" s="2523"/>
      <c r="C47" s="2642"/>
      <c r="D47" s="566" t="s">
        <v>2130</v>
      </c>
      <c r="F47" s="1357"/>
      <c r="G47" s="158"/>
      <c r="H47" s="158"/>
      <c r="I47" s="158"/>
      <c r="J47" s="350">
        <f t="shared" si="7"/>
        <v>0</v>
      </c>
      <c r="K47" s="578">
        <f t="shared" si="5"/>
        <v>0</v>
      </c>
    </row>
    <row r="48" spans="1:11" x14ac:dyDescent="0.15">
      <c r="A48" s="2513"/>
      <c r="B48" s="2523"/>
      <c r="C48" s="2642"/>
      <c r="D48" s="566" t="s">
        <v>2131</v>
      </c>
      <c r="F48" s="1357"/>
      <c r="G48" s="158"/>
      <c r="H48" s="158"/>
      <c r="I48" s="158"/>
      <c r="J48" s="350">
        <f t="shared" si="7"/>
        <v>0</v>
      </c>
      <c r="K48" s="578">
        <f t="shared" si="5"/>
        <v>0</v>
      </c>
    </row>
    <row r="49" spans="1:12" x14ac:dyDescent="0.15">
      <c r="A49" s="2513"/>
      <c r="B49" s="2523"/>
      <c r="C49" s="2642"/>
      <c r="D49" s="567" t="s">
        <v>2132</v>
      </c>
      <c r="F49" s="1357"/>
      <c r="G49" s="158"/>
      <c r="H49" s="158"/>
      <c r="I49" s="158"/>
      <c r="J49" s="350">
        <f t="shared" si="7"/>
        <v>0</v>
      </c>
      <c r="K49" s="578">
        <f t="shared" si="5"/>
        <v>0</v>
      </c>
      <c r="L49" s="133">
        <f>2022-35</f>
        <v>1987</v>
      </c>
    </row>
    <row r="50" spans="1:12" x14ac:dyDescent="0.15">
      <c r="A50" s="2513"/>
      <c r="B50" s="2523"/>
      <c r="C50" s="2643"/>
      <c r="D50" s="566" t="s">
        <v>2133</v>
      </c>
      <c r="E50" s="1839"/>
      <c r="F50" s="1392"/>
      <c r="G50" s="1851"/>
      <c r="H50" s="1851"/>
      <c r="I50" s="1851"/>
      <c r="J50" s="507">
        <f t="shared" si="7"/>
        <v>0</v>
      </c>
      <c r="K50" s="578">
        <f t="shared" si="5"/>
        <v>0</v>
      </c>
    </row>
    <row r="51" spans="1:12" x14ac:dyDescent="0.15">
      <c r="A51" s="2513"/>
      <c r="B51" s="2523"/>
      <c r="C51" s="2641" t="s">
        <v>547</v>
      </c>
      <c r="D51" s="566" t="s">
        <v>2144</v>
      </c>
      <c r="E51" s="1841"/>
      <c r="F51" s="1546"/>
      <c r="G51" s="458"/>
      <c r="H51" s="458"/>
      <c r="I51" s="458"/>
      <c r="J51" s="350">
        <f t="shared" si="7"/>
        <v>0</v>
      </c>
      <c r="K51" s="578">
        <f t="shared" si="5"/>
        <v>0</v>
      </c>
    </row>
    <row r="52" spans="1:12" x14ac:dyDescent="0.15">
      <c r="A52" s="2513"/>
      <c r="B52" s="2523"/>
      <c r="C52" s="2642"/>
      <c r="D52" s="566" t="s">
        <v>2145</v>
      </c>
      <c r="F52" s="1357"/>
      <c r="G52" s="158"/>
      <c r="H52" s="158"/>
      <c r="I52" s="158"/>
      <c r="J52" s="350">
        <f t="shared" si="7"/>
        <v>0</v>
      </c>
      <c r="K52" s="578">
        <f t="shared" si="5"/>
        <v>0</v>
      </c>
    </row>
    <row r="53" spans="1:12" x14ac:dyDescent="0.15">
      <c r="A53" s="2513"/>
      <c r="B53" s="2523"/>
      <c r="C53" s="2642"/>
      <c r="D53" s="567" t="s">
        <v>2146</v>
      </c>
      <c r="F53" s="1357"/>
      <c r="G53" s="158"/>
      <c r="H53" s="158"/>
      <c r="I53" s="158"/>
      <c r="J53" s="350">
        <f t="shared" si="7"/>
        <v>0</v>
      </c>
      <c r="K53" s="578">
        <f t="shared" si="5"/>
        <v>0</v>
      </c>
    </row>
    <row r="54" spans="1:12" x14ac:dyDescent="0.15">
      <c r="A54" s="2513"/>
      <c r="B54" s="2523"/>
      <c r="C54" s="2643"/>
      <c r="D54" s="566" t="s">
        <v>2147</v>
      </c>
      <c r="E54" s="1839"/>
      <c r="F54" s="1392"/>
      <c r="G54" s="595"/>
      <c r="H54" s="595"/>
      <c r="I54" s="595"/>
      <c r="J54" s="507">
        <f t="shared" si="7"/>
        <v>0</v>
      </c>
      <c r="K54" s="578">
        <f t="shared" si="5"/>
        <v>0</v>
      </c>
    </row>
    <row r="55" spans="1:12" x14ac:dyDescent="0.15">
      <c r="A55" s="2513"/>
      <c r="B55" s="2523"/>
      <c r="C55" s="2641" t="s">
        <v>548</v>
      </c>
      <c r="D55" s="558" t="s">
        <v>2134</v>
      </c>
      <c r="F55" s="1357"/>
      <c r="G55" s="158"/>
      <c r="H55" s="158"/>
      <c r="I55" s="158"/>
      <c r="J55" s="350">
        <f t="shared" si="7"/>
        <v>0</v>
      </c>
      <c r="K55" s="578">
        <f t="shared" si="5"/>
        <v>0</v>
      </c>
    </row>
    <row r="56" spans="1:12" x14ac:dyDescent="0.15">
      <c r="A56" s="2513"/>
      <c r="B56" s="2523"/>
      <c r="C56" s="2642"/>
      <c r="D56" s="566" t="s">
        <v>2135</v>
      </c>
      <c r="F56" s="1357"/>
      <c r="G56" s="158"/>
      <c r="H56" s="158"/>
      <c r="I56" s="158"/>
      <c r="J56" s="350">
        <f t="shared" si="7"/>
        <v>0</v>
      </c>
      <c r="K56" s="578">
        <f t="shared" si="5"/>
        <v>0</v>
      </c>
    </row>
    <row r="57" spans="1:12" x14ac:dyDescent="0.15">
      <c r="A57" s="2513"/>
      <c r="B57" s="2523"/>
      <c r="C57" s="2642"/>
      <c r="D57" s="566" t="s">
        <v>2136</v>
      </c>
      <c r="F57" s="1357"/>
      <c r="G57" s="158"/>
      <c r="H57" s="158"/>
      <c r="I57" s="158"/>
      <c r="J57" s="350">
        <f t="shared" si="7"/>
        <v>0</v>
      </c>
      <c r="K57" s="578">
        <f t="shared" si="5"/>
        <v>0</v>
      </c>
    </row>
    <row r="58" spans="1:12" x14ac:dyDescent="0.15">
      <c r="A58" s="2513"/>
      <c r="B58" s="2523"/>
      <c r="C58" s="2642"/>
      <c r="D58" s="566" t="s">
        <v>2137</v>
      </c>
      <c r="F58" s="1357"/>
      <c r="G58" s="158"/>
      <c r="H58" s="158"/>
      <c r="I58" s="158"/>
      <c r="J58" s="350">
        <f t="shared" si="7"/>
        <v>0</v>
      </c>
      <c r="K58" s="578">
        <f t="shared" si="5"/>
        <v>0</v>
      </c>
    </row>
    <row r="59" spans="1:12" x14ac:dyDescent="0.15">
      <c r="A59" s="2513"/>
      <c r="B59" s="2523"/>
      <c r="C59" s="2642"/>
      <c r="D59" s="566" t="s">
        <v>2138</v>
      </c>
      <c r="F59" s="1357"/>
      <c r="G59" s="158"/>
      <c r="H59" s="158"/>
      <c r="I59" s="158"/>
      <c r="J59" s="350">
        <f t="shared" si="7"/>
        <v>0</v>
      </c>
      <c r="K59" s="578">
        <f t="shared" si="5"/>
        <v>0</v>
      </c>
    </row>
    <row r="60" spans="1:12" x14ac:dyDescent="0.15">
      <c r="A60" s="2513"/>
      <c r="B60" s="2523"/>
      <c r="C60" s="2642"/>
      <c r="D60" s="566" t="s">
        <v>2139</v>
      </c>
      <c r="F60" s="1357"/>
      <c r="G60" s="158"/>
      <c r="H60" s="158"/>
      <c r="I60" s="158"/>
      <c r="J60" s="350">
        <f t="shared" si="7"/>
        <v>0</v>
      </c>
      <c r="K60" s="578">
        <f t="shared" si="5"/>
        <v>0</v>
      </c>
    </row>
    <row r="61" spans="1:12" x14ac:dyDescent="0.15">
      <c r="A61" s="2513"/>
      <c r="B61" s="2523"/>
      <c r="C61" s="2642"/>
      <c r="D61" s="566" t="s">
        <v>2140</v>
      </c>
      <c r="F61" s="1357"/>
      <c r="G61" s="158"/>
      <c r="H61" s="158"/>
      <c r="I61" s="158"/>
      <c r="J61" s="350">
        <f t="shared" si="7"/>
        <v>0</v>
      </c>
      <c r="K61" s="578">
        <f t="shared" si="5"/>
        <v>0</v>
      </c>
    </row>
    <row r="62" spans="1:12" x14ac:dyDescent="0.15">
      <c r="A62" s="2513"/>
      <c r="B62" s="2523"/>
      <c r="C62" s="2642"/>
      <c r="D62" s="566" t="s">
        <v>2141</v>
      </c>
      <c r="E62" s="1544"/>
      <c r="F62" s="1357"/>
      <c r="G62" s="1850"/>
      <c r="H62" s="1850"/>
      <c r="I62" s="1850"/>
      <c r="J62" s="350">
        <f t="shared" si="7"/>
        <v>0</v>
      </c>
      <c r="K62" s="578">
        <f t="shared" si="5"/>
        <v>0</v>
      </c>
    </row>
    <row r="63" spans="1:12" ht="22.5" x14ac:dyDescent="0.15">
      <c r="A63" s="2513"/>
      <c r="B63" s="2523"/>
      <c r="C63" s="2642"/>
      <c r="D63" s="566" t="s">
        <v>2142</v>
      </c>
      <c r="E63" s="1544"/>
      <c r="F63" s="1357"/>
      <c r="G63" s="158"/>
      <c r="H63" s="158"/>
      <c r="I63" s="158"/>
      <c r="J63" s="350">
        <f t="shared" si="7"/>
        <v>0</v>
      </c>
      <c r="K63" s="578">
        <f t="shared" si="5"/>
        <v>0</v>
      </c>
    </row>
    <row r="64" spans="1:12" ht="22.5" x14ac:dyDescent="0.15">
      <c r="A64" s="2513"/>
      <c r="B64" s="2523"/>
      <c r="C64" s="2643"/>
      <c r="D64" s="566" t="s">
        <v>2143</v>
      </c>
      <c r="E64" s="1839"/>
      <c r="F64" s="1392"/>
      <c r="G64" s="595"/>
      <c r="H64" s="595"/>
      <c r="I64" s="595"/>
      <c r="J64" s="507">
        <f t="shared" si="7"/>
        <v>0</v>
      </c>
      <c r="K64" s="578">
        <f t="shared" si="5"/>
        <v>0</v>
      </c>
    </row>
    <row r="65" spans="1:11" ht="22.5" customHeight="1" x14ac:dyDescent="0.15">
      <c r="A65" s="2513"/>
      <c r="B65" s="2523"/>
      <c r="C65" s="2641" t="s">
        <v>2194</v>
      </c>
      <c r="D65" s="566" t="s">
        <v>2197</v>
      </c>
      <c r="F65" s="1357"/>
      <c r="G65" s="158"/>
      <c r="H65" s="158"/>
      <c r="I65" s="158"/>
      <c r="J65" s="350">
        <f t="shared" si="7"/>
        <v>0</v>
      </c>
      <c r="K65" s="578">
        <f t="shared" si="5"/>
        <v>0</v>
      </c>
    </row>
    <row r="66" spans="1:11" ht="22.5" customHeight="1" x14ac:dyDescent="0.15">
      <c r="A66" s="2513"/>
      <c r="B66" s="2523"/>
      <c r="C66" s="2642"/>
      <c r="D66" s="974" t="s">
        <v>2198</v>
      </c>
      <c r="F66" s="1357"/>
      <c r="G66" s="158"/>
      <c r="H66" s="158"/>
      <c r="I66" s="158"/>
      <c r="J66" s="350">
        <f t="shared" si="7"/>
        <v>0</v>
      </c>
      <c r="K66" s="578">
        <f t="shared" si="5"/>
        <v>0</v>
      </c>
    </row>
    <row r="67" spans="1:11" ht="22.5" x14ac:dyDescent="0.15">
      <c r="A67" s="2513"/>
      <c r="B67" s="2523"/>
      <c r="C67" s="2642"/>
      <c r="D67" s="567" t="s">
        <v>2195</v>
      </c>
      <c r="F67" s="1357"/>
      <c r="G67" s="158"/>
      <c r="H67" s="158"/>
      <c r="I67" s="158"/>
      <c r="J67" s="350">
        <f t="shared" si="7"/>
        <v>0</v>
      </c>
      <c r="K67" s="578">
        <f t="shared" si="5"/>
        <v>0</v>
      </c>
    </row>
    <row r="68" spans="1:11" ht="22.5" x14ac:dyDescent="0.15">
      <c r="A68" s="2513"/>
      <c r="B68" s="2523"/>
      <c r="C68" s="2643"/>
      <c r="D68" s="566" t="s">
        <v>2196</v>
      </c>
      <c r="E68" s="1420"/>
      <c r="F68" s="1392"/>
      <c r="G68" s="595"/>
      <c r="H68" s="595"/>
      <c r="I68" s="595"/>
      <c r="J68" s="507">
        <f t="shared" si="7"/>
        <v>0</v>
      </c>
      <c r="K68" s="578">
        <f t="shared" ref="K68:K100" si="10">SUM(G68:J68)</f>
        <v>0</v>
      </c>
    </row>
    <row r="69" spans="1:11" x14ac:dyDescent="0.15">
      <c r="A69" s="2513"/>
      <c r="B69" s="2523"/>
      <c r="C69" s="2641" t="s">
        <v>2188</v>
      </c>
      <c r="D69" s="558" t="s">
        <v>2148</v>
      </c>
      <c r="F69" s="1357"/>
      <c r="G69" s="158"/>
      <c r="H69" s="158"/>
      <c r="I69" s="158"/>
      <c r="J69" s="350">
        <f t="shared" si="7"/>
        <v>0</v>
      </c>
      <c r="K69" s="578">
        <f t="shared" si="10"/>
        <v>0</v>
      </c>
    </row>
    <row r="70" spans="1:11" x14ac:dyDescent="0.15">
      <c r="A70" s="2513"/>
      <c r="B70" s="2523"/>
      <c r="C70" s="2642"/>
      <c r="D70" s="558" t="s">
        <v>2149</v>
      </c>
      <c r="F70" s="1357"/>
      <c r="G70" s="158"/>
      <c r="H70" s="158"/>
      <c r="I70" s="158"/>
      <c r="J70" s="350">
        <f t="shared" ref="J70:J90" si="11">ROUND(SUM(G70:I70),2)</f>
        <v>0</v>
      </c>
      <c r="K70" s="578">
        <f t="shared" si="10"/>
        <v>0</v>
      </c>
    </row>
    <row r="71" spans="1:11" x14ac:dyDescent="0.15">
      <c r="A71" s="2513"/>
      <c r="B71" s="2523"/>
      <c r="C71" s="2643"/>
      <c r="D71" s="558" t="s">
        <v>2150</v>
      </c>
      <c r="E71" s="1420"/>
      <c r="F71" s="1392"/>
      <c r="G71" s="595"/>
      <c r="H71" s="595"/>
      <c r="I71" s="595"/>
      <c r="J71" s="507">
        <f t="shared" si="11"/>
        <v>0</v>
      </c>
      <c r="K71" s="578">
        <f t="shared" si="10"/>
        <v>0</v>
      </c>
    </row>
    <row r="72" spans="1:11" x14ac:dyDescent="0.15">
      <c r="A72" s="2513"/>
      <c r="B72" s="2523"/>
      <c r="C72" s="2642" t="s">
        <v>2189</v>
      </c>
      <c r="D72" s="558" t="s">
        <v>2151</v>
      </c>
      <c r="F72" s="1357"/>
      <c r="G72" s="158"/>
      <c r="H72" s="158"/>
      <c r="I72" s="158"/>
      <c r="J72" s="350">
        <f t="shared" si="11"/>
        <v>0</v>
      </c>
      <c r="K72" s="578">
        <f t="shared" si="10"/>
        <v>0</v>
      </c>
    </row>
    <row r="73" spans="1:11" x14ac:dyDescent="0.15">
      <c r="A73" s="2513"/>
      <c r="B73" s="2523"/>
      <c r="C73" s="2642"/>
      <c r="D73" s="558" t="s">
        <v>2152</v>
      </c>
      <c r="F73" s="1357"/>
      <c r="G73" s="158"/>
      <c r="H73" s="158"/>
      <c r="I73" s="158"/>
      <c r="J73" s="350">
        <f t="shared" si="11"/>
        <v>0</v>
      </c>
      <c r="K73" s="578">
        <f t="shared" si="10"/>
        <v>0</v>
      </c>
    </row>
    <row r="74" spans="1:11" ht="22.5" x14ac:dyDescent="0.15">
      <c r="A74" s="2513"/>
      <c r="B74" s="2523"/>
      <c r="C74" s="2642"/>
      <c r="D74" s="558" t="s">
        <v>2153</v>
      </c>
      <c r="F74" s="1357"/>
      <c r="G74" s="158"/>
      <c r="H74" s="158"/>
      <c r="I74" s="158"/>
      <c r="J74" s="350">
        <f t="shared" si="11"/>
        <v>0</v>
      </c>
      <c r="K74" s="578">
        <f t="shared" si="10"/>
        <v>0</v>
      </c>
    </row>
    <row r="75" spans="1:11" x14ac:dyDescent="0.15">
      <c r="A75" s="2513"/>
      <c r="B75" s="2523"/>
      <c r="C75" s="2642"/>
      <c r="D75" s="558" t="s">
        <v>2154</v>
      </c>
      <c r="F75" s="1357"/>
      <c r="G75" s="158"/>
      <c r="H75" s="158"/>
      <c r="I75" s="158"/>
      <c r="J75" s="350">
        <f t="shared" si="11"/>
        <v>0</v>
      </c>
      <c r="K75" s="578">
        <f t="shared" si="10"/>
        <v>0</v>
      </c>
    </row>
    <row r="76" spans="1:11" x14ac:dyDescent="0.15">
      <c r="A76" s="2513"/>
      <c r="B76" s="2523"/>
      <c r="C76" s="2642"/>
      <c r="D76" s="974" t="s">
        <v>2155</v>
      </c>
      <c r="F76" s="1357"/>
      <c r="G76" s="158"/>
      <c r="H76" s="158"/>
      <c r="I76" s="158"/>
      <c r="J76" s="507">
        <f t="shared" si="11"/>
        <v>0</v>
      </c>
      <c r="K76" s="578">
        <f t="shared" si="10"/>
        <v>0</v>
      </c>
    </row>
    <row r="77" spans="1:11" x14ac:dyDescent="0.15">
      <c r="A77" s="2513"/>
      <c r="B77" s="2523"/>
      <c r="C77" s="2641" t="s">
        <v>2156</v>
      </c>
      <c r="D77" s="566" t="s">
        <v>2157</v>
      </c>
      <c r="E77" s="1545"/>
      <c r="F77" s="1546"/>
      <c r="G77" s="458"/>
      <c r="H77" s="458"/>
      <c r="I77" s="458"/>
      <c r="J77" s="350">
        <f t="shared" si="11"/>
        <v>0</v>
      </c>
      <c r="K77" s="578">
        <f t="shared" si="10"/>
        <v>0</v>
      </c>
    </row>
    <row r="78" spans="1:11" x14ac:dyDescent="0.15">
      <c r="A78" s="2513"/>
      <c r="B78" s="2523"/>
      <c r="C78" s="2642"/>
      <c r="D78" s="558" t="s">
        <v>2158</v>
      </c>
      <c r="F78" s="1357"/>
      <c r="G78" s="158"/>
      <c r="H78" s="158"/>
      <c r="I78" s="158"/>
      <c r="J78" s="350">
        <f t="shared" si="11"/>
        <v>0</v>
      </c>
      <c r="K78" s="578">
        <f t="shared" si="10"/>
        <v>0</v>
      </c>
    </row>
    <row r="79" spans="1:11" x14ac:dyDescent="0.15">
      <c r="A79" s="2513"/>
      <c r="B79" s="2523"/>
      <c r="C79" s="2643"/>
      <c r="D79" s="558" t="s">
        <v>2159</v>
      </c>
      <c r="E79" s="1420"/>
      <c r="F79" s="1392"/>
      <c r="G79" s="595"/>
      <c r="H79" s="595"/>
      <c r="I79" s="595"/>
      <c r="J79" s="507">
        <f t="shared" si="11"/>
        <v>0</v>
      </c>
      <c r="K79" s="578">
        <f t="shared" si="10"/>
        <v>0</v>
      </c>
    </row>
    <row r="80" spans="1:11" x14ac:dyDescent="0.15">
      <c r="A80" s="2513"/>
      <c r="B80" s="2523"/>
      <c r="C80" s="2637" t="s">
        <v>2164</v>
      </c>
      <c r="D80" s="2638"/>
      <c r="E80" s="1843"/>
      <c r="F80" s="1836"/>
      <c r="G80" s="1837"/>
      <c r="H80" s="1837"/>
      <c r="I80" s="1837"/>
      <c r="J80" s="507">
        <f t="shared" si="11"/>
        <v>0</v>
      </c>
      <c r="K80" s="578">
        <f t="shared" si="10"/>
        <v>0</v>
      </c>
    </row>
    <row r="81" spans="1:11" x14ac:dyDescent="0.15">
      <c r="A81" s="2513"/>
      <c r="B81" s="2523"/>
      <c r="C81" s="2642" t="s">
        <v>2160</v>
      </c>
      <c r="D81" s="558" t="s">
        <v>2161</v>
      </c>
      <c r="F81" s="1357"/>
      <c r="G81" s="158"/>
      <c r="H81" s="158"/>
      <c r="I81" s="158"/>
      <c r="J81" s="350">
        <f t="shared" si="11"/>
        <v>0</v>
      </c>
      <c r="K81" s="578">
        <f t="shared" si="10"/>
        <v>0</v>
      </c>
    </row>
    <row r="82" spans="1:11" ht="19.5" thickBot="1" x14ac:dyDescent="0.2">
      <c r="A82" s="2513"/>
      <c r="B82" s="2524"/>
      <c r="C82" s="2648"/>
      <c r="D82" s="565" t="s">
        <v>2162</v>
      </c>
      <c r="E82" s="986"/>
      <c r="F82" s="563"/>
      <c r="G82" s="1849"/>
      <c r="H82" s="1849"/>
      <c r="I82" s="1849"/>
      <c r="J82" s="361">
        <f t="shared" si="11"/>
        <v>0</v>
      </c>
      <c r="K82" s="578">
        <f t="shared" si="10"/>
        <v>0</v>
      </c>
    </row>
    <row r="83" spans="1:11" x14ac:dyDescent="0.15">
      <c r="A83" s="2513"/>
      <c r="B83" s="2549" t="s">
        <v>2165</v>
      </c>
      <c r="C83" s="2644" t="s">
        <v>2167</v>
      </c>
      <c r="D83" s="2645"/>
      <c r="E83" s="984"/>
      <c r="F83" s="1358"/>
      <c r="G83" s="238"/>
      <c r="H83" s="238"/>
      <c r="I83" s="238"/>
      <c r="J83" s="350">
        <f t="shared" si="11"/>
        <v>0</v>
      </c>
      <c r="K83" s="578">
        <f t="shared" si="10"/>
        <v>0</v>
      </c>
    </row>
    <row r="84" spans="1:11" ht="18.75" customHeight="1" x14ac:dyDescent="0.15">
      <c r="A84" s="2513"/>
      <c r="B84" s="2539"/>
      <c r="C84" s="2637" t="s">
        <v>2646</v>
      </c>
      <c r="D84" s="2638"/>
      <c r="F84" s="1357"/>
      <c r="G84" s="158">
        <f>G3</f>
        <v>0</v>
      </c>
      <c r="H84" s="158"/>
      <c r="I84" s="158"/>
      <c r="J84" s="350">
        <f t="shared" si="11"/>
        <v>0</v>
      </c>
      <c r="K84" s="578">
        <f t="shared" si="10"/>
        <v>0</v>
      </c>
    </row>
    <row r="85" spans="1:11" x14ac:dyDescent="0.15">
      <c r="A85" s="2513"/>
      <c r="B85" s="2539"/>
      <c r="C85" s="2637" t="s">
        <v>2166</v>
      </c>
      <c r="D85" s="2638"/>
      <c r="F85" s="1357"/>
      <c r="G85" s="158"/>
      <c r="H85" s="158"/>
      <c r="I85" s="158"/>
      <c r="J85" s="350">
        <f t="shared" ref="J85:J87" si="12">ROUND(SUM(G85:I85),2)</f>
        <v>0</v>
      </c>
      <c r="K85" s="578">
        <f t="shared" ref="K85:K87" si="13">SUM(G85:J85)</f>
        <v>0</v>
      </c>
    </row>
    <row r="86" spans="1:11" x14ac:dyDescent="0.15">
      <c r="A86" s="2513"/>
      <c r="B86" s="2539"/>
      <c r="C86" s="2637" t="s">
        <v>2168</v>
      </c>
      <c r="D86" s="2638"/>
      <c r="F86" s="1357"/>
      <c r="G86" s="158"/>
      <c r="H86" s="158"/>
      <c r="I86" s="158"/>
      <c r="J86" s="350">
        <f t="shared" si="12"/>
        <v>0</v>
      </c>
      <c r="K86" s="578">
        <f t="shared" si="13"/>
        <v>0</v>
      </c>
    </row>
    <row r="87" spans="1:11" ht="22.5" customHeight="1" x14ac:dyDescent="0.15">
      <c r="A87" s="2513"/>
      <c r="B87" s="2539"/>
      <c r="C87" s="2637" t="s">
        <v>2633</v>
      </c>
      <c r="D87" s="2638"/>
      <c r="F87" s="1357"/>
      <c r="G87" s="158"/>
      <c r="H87" s="158"/>
      <c r="I87" s="158"/>
      <c r="J87" s="350">
        <f t="shared" si="12"/>
        <v>0</v>
      </c>
      <c r="K87" s="578">
        <f t="shared" si="13"/>
        <v>0</v>
      </c>
    </row>
    <row r="88" spans="1:11" x14ac:dyDescent="0.15">
      <c r="A88" s="2513"/>
      <c r="B88" s="2539"/>
      <c r="C88" s="2637" t="s">
        <v>2179</v>
      </c>
      <c r="D88" s="2638"/>
      <c r="F88" s="1357"/>
      <c r="G88" s="158">
        <f>INT(G3/5)</f>
        <v>0</v>
      </c>
      <c r="H88" s="158"/>
      <c r="I88" s="158"/>
      <c r="J88" s="350">
        <f t="shared" si="11"/>
        <v>0</v>
      </c>
      <c r="K88" s="578">
        <f t="shared" si="10"/>
        <v>0</v>
      </c>
    </row>
    <row r="89" spans="1:11" x14ac:dyDescent="0.15">
      <c r="A89" s="2513"/>
      <c r="B89" s="2539"/>
      <c r="C89" s="2637" t="s">
        <v>2180</v>
      </c>
      <c r="D89" s="2638"/>
      <c r="F89" s="1357"/>
      <c r="G89" s="158"/>
      <c r="H89" s="158"/>
      <c r="I89" s="158"/>
      <c r="J89" s="350">
        <f t="shared" si="11"/>
        <v>0</v>
      </c>
      <c r="K89" s="578">
        <f t="shared" si="10"/>
        <v>0</v>
      </c>
    </row>
    <row r="90" spans="1:11" x14ac:dyDescent="0.15">
      <c r="A90" s="2513"/>
      <c r="B90" s="2539"/>
      <c r="C90" s="2637" t="s">
        <v>2169</v>
      </c>
      <c r="D90" s="2647" t="s">
        <v>2169</v>
      </c>
      <c r="F90" s="1357"/>
      <c r="G90" s="158"/>
      <c r="H90" s="158"/>
      <c r="I90" s="158"/>
      <c r="J90" s="350">
        <f t="shared" si="11"/>
        <v>0</v>
      </c>
      <c r="K90" s="578">
        <f t="shared" si="10"/>
        <v>0</v>
      </c>
    </row>
    <row r="91" spans="1:11" ht="18.75" customHeight="1" x14ac:dyDescent="0.15">
      <c r="A91" s="2513"/>
      <c r="B91" s="2539"/>
      <c r="C91" s="2641" t="s">
        <v>2170</v>
      </c>
      <c r="D91" s="566" t="s">
        <v>29</v>
      </c>
      <c r="E91" s="1545"/>
      <c r="F91" s="1546"/>
      <c r="G91" s="458"/>
      <c r="H91" s="458"/>
      <c r="I91" s="458"/>
      <c r="J91" s="1842">
        <f>SUM(G91:I91)</f>
        <v>0</v>
      </c>
      <c r="K91" s="578">
        <f t="shared" si="10"/>
        <v>0</v>
      </c>
    </row>
    <row r="92" spans="1:11" ht="18.75" customHeight="1" x14ac:dyDescent="0.15">
      <c r="A92" s="2513"/>
      <c r="B92" s="2539"/>
      <c r="C92" s="2642"/>
      <c r="D92" s="566" t="s">
        <v>1276</v>
      </c>
      <c r="F92" s="1357" t="s">
        <v>2203</v>
      </c>
      <c r="G92" s="1419"/>
      <c r="H92" s="1419"/>
      <c r="I92" s="1419"/>
      <c r="J92" s="1417"/>
      <c r="K92" s="578">
        <f t="shared" si="10"/>
        <v>0</v>
      </c>
    </row>
    <row r="93" spans="1:11" ht="18.75" customHeight="1" x14ac:dyDescent="0.15">
      <c r="A93" s="2513"/>
      <c r="B93" s="2539"/>
      <c r="C93" s="2643"/>
      <c r="D93" s="566" t="s">
        <v>11</v>
      </c>
      <c r="E93" s="1420"/>
      <c r="F93" s="1392"/>
      <c r="G93" s="595"/>
      <c r="H93" s="595"/>
      <c r="I93" s="595"/>
      <c r="J93" s="507">
        <f>ROUND(SUM(G93:I93),2)</f>
        <v>0</v>
      </c>
      <c r="K93" s="578">
        <f t="shared" si="10"/>
        <v>0</v>
      </c>
    </row>
    <row r="94" spans="1:11" x14ac:dyDescent="0.15">
      <c r="A94" s="2513"/>
      <c r="B94" s="2539"/>
      <c r="C94" s="2641" t="s">
        <v>2181</v>
      </c>
      <c r="D94" s="1820" t="s">
        <v>29</v>
      </c>
      <c r="E94" s="1841"/>
      <c r="F94" s="1546"/>
      <c r="G94" s="458"/>
      <c r="H94" s="458"/>
      <c r="I94" s="458"/>
      <c r="J94" s="594">
        <f>SUM(G94:I94)</f>
        <v>0</v>
      </c>
      <c r="K94" s="578">
        <f t="shared" si="10"/>
        <v>0</v>
      </c>
    </row>
    <row r="95" spans="1:11" x14ac:dyDescent="0.15">
      <c r="A95" s="2513"/>
      <c r="B95" s="2539"/>
      <c r="C95" s="2642"/>
      <c r="D95" s="1820" t="s">
        <v>1276</v>
      </c>
      <c r="E95" s="1544"/>
      <c r="F95" s="1357" t="s">
        <v>2202</v>
      </c>
      <c r="G95" s="1419"/>
      <c r="H95" s="1419"/>
      <c r="I95" s="1419"/>
      <c r="J95" s="1417"/>
      <c r="K95" s="578">
        <f t="shared" si="10"/>
        <v>0</v>
      </c>
    </row>
    <row r="96" spans="1:11" x14ac:dyDescent="0.15">
      <c r="A96" s="2513"/>
      <c r="B96" s="2539"/>
      <c r="C96" s="2643"/>
      <c r="D96" s="1820" t="s">
        <v>11</v>
      </c>
      <c r="E96" s="1839"/>
      <c r="F96" s="1392"/>
      <c r="G96" s="1844">
        <f>G94*G95/100</f>
        <v>0</v>
      </c>
      <c r="H96" s="1844"/>
      <c r="I96" s="1844"/>
      <c r="J96" s="507">
        <f>ROUND(SUM(G96:I96),2)</f>
        <v>0</v>
      </c>
      <c r="K96" s="578">
        <f t="shared" si="10"/>
        <v>0</v>
      </c>
    </row>
    <row r="97" spans="1:11" ht="18.75" customHeight="1" x14ac:dyDescent="0.15">
      <c r="A97" s="2513"/>
      <c r="B97" s="2539"/>
      <c r="C97" s="2641" t="s">
        <v>2182</v>
      </c>
      <c r="D97" s="1820" t="s">
        <v>29</v>
      </c>
      <c r="F97" s="1357"/>
      <c r="G97" s="158"/>
      <c r="H97" s="158"/>
      <c r="I97" s="158"/>
      <c r="J97" s="350">
        <f>ROUND(SUM(G97:I97),2)</f>
        <v>0</v>
      </c>
      <c r="K97" s="578">
        <f t="shared" si="10"/>
        <v>0</v>
      </c>
    </row>
    <row r="98" spans="1:11" ht="18.75" customHeight="1" x14ac:dyDescent="0.15">
      <c r="A98" s="2513"/>
      <c r="B98" s="2548"/>
      <c r="C98" s="2642"/>
      <c r="D98" s="1820" t="s">
        <v>1276</v>
      </c>
      <c r="F98" s="1357" t="s">
        <v>2200</v>
      </c>
      <c r="G98" s="1419"/>
      <c r="H98" s="1419"/>
      <c r="I98" s="1419"/>
      <c r="J98" s="1417"/>
      <c r="K98" s="578">
        <f t="shared" si="10"/>
        <v>0</v>
      </c>
    </row>
    <row r="99" spans="1:11" ht="18.75" customHeight="1" x14ac:dyDescent="0.15">
      <c r="A99" s="2513"/>
      <c r="B99" s="2548"/>
      <c r="C99" s="2643"/>
      <c r="D99" s="1820" t="s">
        <v>11</v>
      </c>
      <c r="E99" s="1839"/>
      <c r="F99" s="1392"/>
      <c r="G99" s="1844">
        <f>G97*G98/100</f>
        <v>0</v>
      </c>
      <c r="H99" s="1844"/>
      <c r="I99" s="1844"/>
      <c r="J99" s="1840">
        <f>SUM(G99:I99)</f>
        <v>0</v>
      </c>
      <c r="K99" s="578">
        <f t="shared" si="10"/>
        <v>0</v>
      </c>
    </row>
    <row r="100" spans="1:11" ht="18.75" customHeight="1" x14ac:dyDescent="0.15">
      <c r="A100" s="2513"/>
      <c r="B100" s="2548"/>
      <c r="C100" s="2641" t="s">
        <v>2199</v>
      </c>
      <c r="D100" s="1820" t="s">
        <v>29</v>
      </c>
      <c r="F100" s="1357"/>
      <c r="G100" s="158"/>
      <c r="H100" s="158"/>
      <c r="I100" s="158"/>
      <c r="J100" s="594">
        <f>SUM(G100:I100)</f>
        <v>0</v>
      </c>
      <c r="K100" s="578">
        <f t="shared" si="10"/>
        <v>0</v>
      </c>
    </row>
    <row r="101" spans="1:11" ht="18.75" customHeight="1" x14ac:dyDescent="0.15">
      <c r="A101" s="2513"/>
      <c r="B101" s="2548"/>
      <c r="C101" s="2642"/>
      <c r="D101" s="1820" t="s">
        <v>1276</v>
      </c>
      <c r="F101" s="1357" t="s">
        <v>2201</v>
      </c>
      <c r="G101" s="158"/>
      <c r="H101" s="158"/>
      <c r="I101" s="158"/>
      <c r="J101" s="1417"/>
      <c r="K101" s="578">
        <f t="shared" ref="K101:K109" si="14">SUM(G101:J101)</f>
        <v>0</v>
      </c>
    </row>
    <row r="102" spans="1:11" ht="18.75" customHeight="1" x14ac:dyDescent="0.15">
      <c r="A102" s="2513"/>
      <c r="B102" s="2548"/>
      <c r="C102" s="2643"/>
      <c r="D102" s="1820" t="s">
        <v>11</v>
      </c>
      <c r="E102" s="1839"/>
      <c r="F102" s="1392"/>
      <c r="G102" s="1844">
        <f>G100*G101/100</f>
        <v>0</v>
      </c>
      <c r="H102" s="1844"/>
      <c r="I102" s="1844"/>
      <c r="J102" s="507">
        <f t="shared" ref="J102:J109" si="15">ROUND(SUM(G102:I102),2)</f>
        <v>0</v>
      </c>
      <c r="K102" s="578">
        <f t="shared" si="14"/>
        <v>0</v>
      </c>
    </row>
    <row r="103" spans="1:11" ht="19.5" thickBot="1" x14ac:dyDescent="0.2">
      <c r="A103" s="2513"/>
      <c r="B103" s="2567"/>
      <c r="C103" s="2639" t="s">
        <v>2171</v>
      </c>
      <c r="D103" s="2640"/>
      <c r="E103" s="986"/>
      <c r="F103" s="563"/>
      <c r="G103" s="239"/>
      <c r="H103" s="239"/>
      <c r="I103" s="239"/>
      <c r="J103" s="361">
        <f t="shared" si="15"/>
        <v>0</v>
      </c>
      <c r="K103" s="578">
        <f t="shared" si="14"/>
        <v>0</v>
      </c>
    </row>
    <row r="104" spans="1:11" ht="19.5" customHeight="1" x14ac:dyDescent="0.15">
      <c r="A104" s="2513"/>
      <c r="B104" s="2522" t="s">
        <v>2172</v>
      </c>
      <c r="C104" s="2644" t="s">
        <v>2173</v>
      </c>
      <c r="D104" s="2645"/>
      <c r="E104" s="984"/>
      <c r="F104" s="1358"/>
      <c r="G104" s="1845">
        <f>G7</f>
        <v>0</v>
      </c>
      <c r="H104" s="1845"/>
      <c r="I104" s="1845"/>
      <c r="J104" s="350">
        <f t="shared" si="15"/>
        <v>0</v>
      </c>
      <c r="K104" s="578">
        <f t="shared" si="14"/>
        <v>0</v>
      </c>
    </row>
    <row r="105" spans="1:11" x14ac:dyDescent="0.15">
      <c r="A105" s="2513"/>
      <c r="B105" s="2523"/>
      <c r="C105" s="2637" t="s">
        <v>2174</v>
      </c>
      <c r="D105" s="2638"/>
      <c r="F105" s="1357"/>
      <c r="G105" s="1834">
        <f>G37*1.25</f>
        <v>0</v>
      </c>
      <c r="H105" s="1834"/>
      <c r="I105" s="1834"/>
      <c r="J105" s="350">
        <f t="shared" si="15"/>
        <v>0</v>
      </c>
      <c r="K105" s="578">
        <f t="shared" si="14"/>
        <v>0</v>
      </c>
    </row>
    <row r="106" spans="1:11" x14ac:dyDescent="0.15">
      <c r="A106" s="2513"/>
      <c r="B106" s="2523"/>
      <c r="C106" s="2637" t="s">
        <v>2175</v>
      </c>
      <c r="D106" s="2638"/>
      <c r="F106" s="1357"/>
      <c r="G106" s="1834">
        <f>G18*1.4</f>
        <v>0</v>
      </c>
      <c r="H106" s="1834"/>
      <c r="I106" s="1834"/>
      <c r="J106" s="350">
        <f t="shared" si="15"/>
        <v>0</v>
      </c>
      <c r="K106" s="578">
        <f t="shared" si="14"/>
        <v>0</v>
      </c>
    </row>
    <row r="107" spans="1:11" ht="24.75" customHeight="1" x14ac:dyDescent="0.15">
      <c r="A107" s="2513"/>
      <c r="B107" s="2523"/>
      <c r="C107" s="2637" t="s">
        <v>2176</v>
      </c>
      <c r="D107" s="2638"/>
      <c r="G107" s="1834">
        <f>G31*G32*1.25</f>
        <v>0</v>
      </c>
      <c r="H107" s="1834"/>
      <c r="I107" s="1834"/>
      <c r="J107" s="350">
        <f t="shared" si="15"/>
        <v>0</v>
      </c>
      <c r="K107" s="578">
        <f t="shared" si="14"/>
        <v>0</v>
      </c>
    </row>
    <row r="108" spans="1:11" ht="18.75" customHeight="1" x14ac:dyDescent="0.15">
      <c r="A108" s="2513"/>
      <c r="B108" s="2523"/>
      <c r="C108" s="2637" t="s">
        <v>2001</v>
      </c>
      <c r="D108" s="2638"/>
      <c r="E108" s="133"/>
      <c r="F108" s="133"/>
      <c r="G108" s="1834">
        <f>G33</f>
        <v>0</v>
      </c>
      <c r="H108" s="1834"/>
      <c r="I108" s="1834"/>
      <c r="J108" s="350">
        <f t="shared" si="15"/>
        <v>0</v>
      </c>
      <c r="K108" s="578">
        <f t="shared" si="14"/>
        <v>0</v>
      </c>
    </row>
    <row r="109" spans="1:11" ht="19.5" thickBot="1" x14ac:dyDescent="0.2">
      <c r="A109" s="2513"/>
      <c r="B109" s="2524"/>
      <c r="C109" s="2639" t="s">
        <v>2177</v>
      </c>
      <c r="D109" s="2640"/>
      <c r="E109" s="986"/>
      <c r="F109" s="563"/>
      <c r="G109" s="1846">
        <f>(SUM(G69:G76)+G77*0.17+G78*0.23+G79*0.3+G80)*1.3+G13+(G23+G25)*1.1</f>
        <v>0</v>
      </c>
      <c r="H109" s="1846"/>
      <c r="I109" s="1846"/>
      <c r="J109" s="361">
        <f t="shared" si="15"/>
        <v>0</v>
      </c>
      <c r="K109" s="578">
        <f t="shared" si="14"/>
        <v>0</v>
      </c>
    </row>
    <row r="110" spans="1:11" ht="20.25" thickBot="1" x14ac:dyDescent="0.2">
      <c r="A110" s="2514"/>
      <c r="B110" s="2527" t="s">
        <v>12</v>
      </c>
      <c r="C110" s="2650"/>
      <c r="D110" s="2528"/>
      <c r="E110" s="989"/>
      <c r="F110" s="564"/>
      <c r="G110" s="1351"/>
      <c r="H110" s="1351"/>
      <c r="I110" s="1351"/>
      <c r="J110" s="1404"/>
      <c r="K110" s="667">
        <v>1</v>
      </c>
    </row>
    <row r="111" spans="1:11" ht="19.5" thickTop="1" x14ac:dyDescent="0.15"/>
    <row r="112" spans="1:11" x14ac:dyDescent="0.15">
      <c r="J112" s="1352">
        <f>J106-J109</f>
        <v>0</v>
      </c>
    </row>
  </sheetData>
  <autoFilter ref="K1:K112"/>
  <mergeCells count="50">
    <mergeCell ref="A1:A110"/>
    <mergeCell ref="B1:D1"/>
    <mergeCell ref="B2:B16"/>
    <mergeCell ref="C65:C68"/>
    <mergeCell ref="C91:C93"/>
    <mergeCell ref="C97:C99"/>
    <mergeCell ref="C100:C102"/>
    <mergeCell ref="B104:B109"/>
    <mergeCell ref="B110:D110"/>
    <mergeCell ref="C2:C7"/>
    <mergeCell ref="C8:C13"/>
    <mergeCell ref="C14:C16"/>
    <mergeCell ref="C20:D20"/>
    <mergeCell ref="C21:C25"/>
    <mergeCell ref="B83:B103"/>
    <mergeCell ref="C86:D86"/>
    <mergeCell ref="C88:D88"/>
    <mergeCell ref="C89:D89"/>
    <mergeCell ref="C90:D90"/>
    <mergeCell ref="C37:D37"/>
    <mergeCell ref="C38:C42"/>
    <mergeCell ref="C87:D87"/>
    <mergeCell ref="C85:D85"/>
    <mergeCell ref="C51:C54"/>
    <mergeCell ref="C55:C64"/>
    <mergeCell ref="C69:C71"/>
    <mergeCell ref="C72:C76"/>
    <mergeCell ref="C77:C79"/>
    <mergeCell ref="C80:D80"/>
    <mergeCell ref="C81:C82"/>
    <mergeCell ref="C83:D83"/>
    <mergeCell ref="C84:D84"/>
    <mergeCell ref="C30:D30"/>
    <mergeCell ref="C26:C29"/>
    <mergeCell ref="B17:B42"/>
    <mergeCell ref="C45:C50"/>
    <mergeCell ref="C17:C19"/>
    <mergeCell ref="B45:B82"/>
    <mergeCell ref="B43:B44"/>
    <mergeCell ref="C43:D43"/>
    <mergeCell ref="C44:D44"/>
    <mergeCell ref="C31:C36"/>
    <mergeCell ref="C106:D106"/>
    <mergeCell ref="C107:D107"/>
    <mergeCell ref="C108:D108"/>
    <mergeCell ref="C109:D109"/>
    <mergeCell ref="C94:C96"/>
    <mergeCell ref="C103:D103"/>
    <mergeCell ref="C104:D104"/>
    <mergeCell ref="C105:D105"/>
  </mergeCells>
  <phoneticPr fontId="140" type="noConversion"/>
  <conditionalFormatting sqref="G31:I31">
    <cfRule type="expression" dxfId="81" priority="4">
      <formula>G28&gt;0</formula>
    </cfRule>
  </conditionalFormatting>
  <conditionalFormatting sqref="G99:I102 G104:I106">
    <cfRule type="expression" dxfId="80" priority="1">
      <formula>G99&gt;0</formula>
    </cfRule>
  </conditionalFormatting>
  <conditionalFormatting sqref="H50">
    <cfRule type="expression" dxfId="79" priority="2">
      <formula>H48&gt;0</formula>
    </cfRule>
  </conditionalFormatting>
  <conditionalFormatting sqref="I1">
    <cfRule type="cellIs" dxfId="78" priority="6" operator="lessThan">
      <formula>0</formula>
    </cfRule>
  </conditionalFormatting>
  <conditionalFormatting sqref="I80">
    <cfRule type="expression" dxfId="77" priority="20">
      <formula>I80&gt;0</formula>
    </cfRule>
    <cfRule type="expression" dxfId="76" priority="21">
      <formula>I69&gt;0</formula>
    </cfRule>
  </conditionalFormatting>
  <hyperlinks>
    <hyperlink ref="B1:D1" location="PAINEL!A1" display="TRECHOS"/>
  </hyperlinks>
  <pageMargins left="0.511811024" right="0.511811024" top="0.78740157499999996" bottom="0.78740157499999996" header="0.31496062000000002" footer="0.31496062000000002"/>
  <pageSetup paperSize="9" orientation="portrait" r:id="rId1"/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29">
    <tabColor theme="5" tint="0.59999389629810485"/>
    <pageSetUpPr fitToPage="1"/>
  </sheetPr>
  <dimension ref="A1:W120"/>
  <sheetViews>
    <sheetView showZeros="0" view="pageBreakPreview" zoomScaleNormal="100" zoomScaleSheetLayoutView="100" workbookViewId="0">
      <pane xSplit="5" ySplit="1" topLeftCell="F119" activePane="bottomRight" state="frozenSplit"/>
      <selection activeCell="D18" sqref="B13:I28"/>
      <selection pane="topRight" activeCell="D18" sqref="B13:I28"/>
      <selection pane="bottomLeft" activeCell="D18" sqref="B13:I28"/>
      <selection pane="bottomRight" activeCell="F6" sqref="F6"/>
    </sheetView>
  </sheetViews>
  <sheetFormatPr defaultColWidth="9" defaultRowHeight="18.75" x14ac:dyDescent="0.15"/>
  <cols>
    <col min="1" max="1" width="9.75" style="133" customWidth="1"/>
    <col min="2" max="2" width="13.5" style="1286" customWidth="1"/>
    <col min="3" max="3" width="27.375" style="1286" customWidth="1"/>
    <col min="4" max="4" width="4.25" style="985" hidden="1" customWidth="1"/>
    <col min="5" max="5" width="18.75" style="13" hidden="1" customWidth="1"/>
    <col min="6" max="6" width="12.625" style="133" customWidth="1"/>
    <col min="7" max="7" width="16.625" style="133" hidden="1" customWidth="1"/>
    <col min="8" max="8" width="12.625" style="133" hidden="1" customWidth="1"/>
    <col min="9" max="9" width="12.625" style="420" customWidth="1"/>
    <col min="10" max="10" width="18.125" style="133" customWidth="1"/>
    <col min="11" max="14" width="15.625" style="133" customWidth="1"/>
    <col min="15" max="20" width="9" style="133"/>
    <col min="21" max="21" width="10" style="133" customWidth="1"/>
    <col min="22" max="16384" width="9" style="133"/>
  </cols>
  <sheetData>
    <row r="1" spans="1:10" s="16" customFormat="1" ht="60" customHeight="1" thickTop="1" thickBot="1" x14ac:dyDescent="0.2">
      <c r="A1" s="2512" t="s">
        <v>331</v>
      </c>
      <c r="B1" s="2525" t="s">
        <v>346</v>
      </c>
      <c r="C1" s="2526"/>
      <c r="D1" s="1253"/>
      <c r="E1" s="1501" t="s">
        <v>588</v>
      </c>
      <c r="F1" s="2107" t="e">
        <f>Pav_Dados!#REF!</f>
        <v>#REF!</v>
      </c>
      <c r="G1" s="660" t="e">
        <f>Pav_Dados!#REF!</f>
        <v>#REF!</v>
      </c>
      <c r="H1" s="660"/>
      <c r="I1" s="224" t="s">
        <v>0</v>
      </c>
      <c r="J1" s="577" t="s">
        <v>1355</v>
      </c>
    </row>
    <row r="2" spans="1:10" ht="20.25" thickTop="1" thickBot="1" x14ac:dyDescent="0.2">
      <c r="A2" s="2513"/>
      <c r="B2" s="2660" t="s">
        <v>3</v>
      </c>
      <c r="C2" s="2661"/>
      <c r="D2" s="1059"/>
      <c r="E2" s="2022"/>
      <c r="F2" s="2034"/>
      <c r="G2" s="1258"/>
      <c r="H2" s="1258"/>
      <c r="I2" s="1148">
        <f>ROUND(SUM(F2:H2),2)</f>
        <v>0</v>
      </c>
      <c r="J2" s="578">
        <f t="shared" ref="J2:J33" si="0">SUM(F2:I2)</f>
        <v>0</v>
      </c>
    </row>
    <row r="3" spans="1:10" ht="19.5" thickBot="1" x14ac:dyDescent="0.2">
      <c r="A3" s="2513"/>
      <c r="B3" s="2666" t="s">
        <v>1454</v>
      </c>
      <c r="C3" s="2666"/>
      <c r="D3" s="1255"/>
      <c r="E3" s="1256"/>
      <c r="F3" s="2035"/>
      <c r="G3" s="1259"/>
      <c r="H3" s="1259"/>
      <c r="I3" s="1260">
        <f>SUM(I4:I8)</f>
        <v>0</v>
      </c>
      <c r="J3" s="578">
        <f t="shared" si="0"/>
        <v>0</v>
      </c>
    </row>
    <row r="4" spans="1:10" x14ac:dyDescent="0.15">
      <c r="A4" s="2513"/>
      <c r="B4" s="2662" t="s">
        <v>988</v>
      </c>
      <c r="C4" s="1244" t="s">
        <v>1439</v>
      </c>
      <c r="D4" s="1060"/>
      <c r="E4" s="1798" t="s">
        <v>1458</v>
      </c>
      <c r="F4" s="2036"/>
      <c r="G4" s="1169"/>
      <c r="H4" s="1169"/>
      <c r="I4" s="1203">
        <f t="shared" ref="I4:I14" si="1">ROUND(SUM(F4:H4),2)</f>
        <v>0</v>
      </c>
      <c r="J4" s="578">
        <f t="shared" si="0"/>
        <v>0</v>
      </c>
    </row>
    <row r="5" spans="1:10" x14ac:dyDescent="0.15">
      <c r="A5" s="2513"/>
      <c r="B5" s="2671"/>
      <c r="C5" s="1254" t="s">
        <v>1440</v>
      </c>
      <c r="D5" s="1061"/>
      <c r="E5" s="13" t="s">
        <v>993</v>
      </c>
      <c r="F5" s="2037"/>
      <c r="G5" s="1175"/>
      <c r="H5" s="1175"/>
      <c r="I5" s="1139">
        <f t="shared" si="1"/>
        <v>0</v>
      </c>
      <c r="J5" s="578">
        <f t="shared" si="0"/>
        <v>0</v>
      </c>
    </row>
    <row r="6" spans="1:10" ht="39.950000000000003" customHeight="1" thickBot="1" x14ac:dyDescent="0.2">
      <c r="A6" s="2513"/>
      <c r="B6" s="2663"/>
      <c r="C6" s="1245" t="s">
        <v>1441</v>
      </c>
      <c r="D6" s="982"/>
      <c r="E6" s="1797" t="s">
        <v>1459</v>
      </c>
      <c r="F6" s="2038"/>
      <c r="G6" s="2179"/>
      <c r="H6" s="1261"/>
      <c r="I6" s="1140">
        <f t="shared" si="1"/>
        <v>0</v>
      </c>
      <c r="J6" s="578">
        <f t="shared" si="0"/>
        <v>0</v>
      </c>
    </row>
    <row r="7" spans="1:10" s="14" customFormat="1" x14ac:dyDescent="0.15">
      <c r="A7" s="2513"/>
      <c r="B7" s="2662" t="s">
        <v>1445</v>
      </c>
      <c r="C7" s="1244" t="s">
        <v>1442</v>
      </c>
      <c r="D7" s="1061"/>
      <c r="E7" s="1798" t="s">
        <v>994</v>
      </c>
      <c r="F7" s="2036"/>
      <c r="G7" s="1169"/>
      <c r="H7" s="1169"/>
      <c r="I7" s="1203">
        <f t="shared" si="1"/>
        <v>0</v>
      </c>
      <c r="J7" s="578">
        <f t="shared" si="0"/>
        <v>0</v>
      </c>
    </row>
    <row r="8" spans="1:10" ht="19.5" thickBot="1" x14ac:dyDescent="0.2">
      <c r="A8" s="2513"/>
      <c r="B8" s="2663"/>
      <c r="C8" s="1245" t="s">
        <v>1443</v>
      </c>
      <c r="D8" s="982"/>
      <c r="E8" s="1797" t="s">
        <v>1460</v>
      </c>
      <c r="F8" s="2038"/>
      <c r="G8" s="1261"/>
      <c r="H8" s="1261"/>
      <c r="I8" s="1140">
        <f t="shared" si="1"/>
        <v>0</v>
      </c>
      <c r="J8" s="578">
        <f t="shared" si="0"/>
        <v>0</v>
      </c>
    </row>
    <row r="9" spans="1:10" x14ac:dyDescent="0.15">
      <c r="A9" s="2513"/>
      <c r="B9" s="2657" t="s">
        <v>2088</v>
      </c>
      <c r="C9" s="549" t="s">
        <v>2613</v>
      </c>
      <c r="D9" s="1379"/>
      <c r="E9" s="1798"/>
      <c r="F9" s="2041">
        <f>F4*0.04</f>
        <v>0</v>
      </c>
      <c r="G9" s="1799">
        <f t="shared" ref="G9" si="2">G4*0.4</f>
        <v>0</v>
      </c>
      <c r="H9" s="1799"/>
      <c r="I9" s="1148">
        <f t="shared" si="1"/>
        <v>0</v>
      </c>
      <c r="J9" s="578">
        <f t="shared" si="0"/>
        <v>0</v>
      </c>
    </row>
    <row r="10" spans="1:10" x14ac:dyDescent="0.15">
      <c r="A10" s="2513"/>
      <c r="B10" s="2673"/>
      <c r="C10" s="566" t="s">
        <v>2614</v>
      </c>
      <c r="D10" s="981"/>
      <c r="F10" s="2042">
        <f>F5*0.04</f>
        <v>0</v>
      </c>
      <c r="G10" s="1800">
        <f t="shared" ref="G10" si="3">G5*0.4</f>
        <v>0</v>
      </c>
      <c r="H10" s="1800"/>
      <c r="I10" s="1148">
        <f t="shared" si="1"/>
        <v>0</v>
      </c>
      <c r="J10" s="578">
        <f t="shared" si="0"/>
        <v>0</v>
      </c>
    </row>
    <row r="11" spans="1:10" x14ac:dyDescent="0.15">
      <c r="A11" s="2513"/>
      <c r="B11" s="2673"/>
      <c r="C11" s="566" t="s">
        <v>2615</v>
      </c>
      <c r="D11" s="981"/>
      <c r="F11" s="2042">
        <f>F6*0.04</f>
        <v>0</v>
      </c>
      <c r="G11" s="1800">
        <f t="shared" ref="G11" si="4">G6*0.4</f>
        <v>0</v>
      </c>
      <c r="H11" s="1800"/>
      <c r="I11" s="1148">
        <f t="shared" si="1"/>
        <v>0</v>
      </c>
      <c r="J11" s="578">
        <f t="shared" si="0"/>
        <v>0</v>
      </c>
    </row>
    <row r="12" spans="1:10" x14ac:dyDescent="0.15">
      <c r="A12" s="2513"/>
      <c r="B12" s="2673"/>
      <c r="C12" s="566" t="s">
        <v>2089</v>
      </c>
      <c r="D12" s="981"/>
      <c r="F12" s="2039">
        <f t="shared" ref="F12" si="5">F7*0.25</f>
        <v>0</v>
      </c>
      <c r="G12" s="1800">
        <f t="shared" ref="G12" si="6">G7*0.25</f>
        <v>0</v>
      </c>
      <c r="H12" s="1800"/>
      <c r="I12" s="1148">
        <f t="shared" si="1"/>
        <v>0</v>
      </c>
      <c r="J12" s="578">
        <f t="shared" si="0"/>
        <v>0</v>
      </c>
    </row>
    <row r="13" spans="1:10" x14ac:dyDescent="0.15">
      <c r="A13" s="2513"/>
      <c r="B13" s="2673"/>
      <c r="C13" s="566" t="s">
        <v>2090</v>
      </c>
      <c r="D13" s="981"/>
      <c r="F13" s="2039">
        <f t="shared" ref="F13" si="7">F8*0.5</f>
        <v>0</v>
      </c>
      <c r="G13" s="1800">
        <f t="shared" ref="G13" si="8">G8*0.5</f>
        <v>0</v>
      </c>
      <c r="H13" s="1800"/>
      <c r="I13" s="1148">
        <f t="shared" si="1"/>
        <v>0</v>
      </c>
      <c r="J13" s="578">
        <f t="shared" si="0"/>
        <v>0</v>
      </c>
    </row>
    <row r="14" spans="1:10" ht="19.5" thickBot="1" x14ac:dyDescent="0.2">
      <c r="A14" s="2513"/>
      <c r="B14" s="2658"/>
      <c r="C14" s="565" t="s">
        <v>736</v>
      </c>
      <c r="D14" s="1376"/>
      <c r="E14" s="1797"/>
      <c r="F14" s="2040">
        <f>SUM(F9:F13)</f>
        <v>0</v>
      </c>
      <c r="G14" s="1801">
        <f t="shared" ref="G14" si="9">SUM(G9:G13)</f>
        <v>0</v>
      </c>
      <c r="H14" s="1801"/>
      <c r="I14" s="1140">
        <f t="shared" si="1"/>
        <v>0</v>
      </c>
      <c r="J14" s="578">
        <f t="shared" si="0"/>
        <v>0</v>
      </c>
    </row>
    <row r="15" spans="1:10" ht="19.5" thickBot="1" x14ac:dyDescent="0.2">
      <c r="A15" s="2513"/>
      <c r="B15" s="2666" t="s">
        <v>1455</v>
      </c>
      <c r="C15" s="2666"/>
      <c r="D15" s="1255"/>
      <c r="E15" s="1256"/>
      <c r="F15" s="2035"/>
      <c r="G15" s="1259"/>
      <c r="H15" s="1259"/>
      <c r="I15" s="1260">
        <f>SUM(I17:I19)</f>
        <v>0</v>
      </c>
      <c r="J15" s="578">
        <f t="shared" si="0"/>
        <v>0</v>
      </c>
    </row>
    <row r="16" spans="1:10" x14ac:dyDescent="0.15">
      <c r="A16" s="2513"/>
      <c r="B16" s="2667" t="s">
        <v>1449</v>
      </c>
      <c r="C16" s="549" t="s">
        <v>1450</v>
      </c>
      <c r="D16" s="1060"/>
      <c r="E16" s="1798"/>
      <c r="F16" s="2041">
        <f t="shared" ref="F16" si="10">SUM(F17:F19)</f>
        <v>0</v>
      </c>
      <c r="G16" s="1179">
        <f t="shared" ref="G16" si="11">SUM(G17:G19)</f>
        <v>0</v>
      </c>
      <c r="H16" s="1179"/>
      <c r="I16" s="1200">
        <f>ROUND(SUM(F16:H16),2)</f>
        <v>0</v>
      </c>
      <c r="J16" s="578">
        <f t="shared" si="0"/>
        <v>0</v>
      </c>
    </row>
    <row r="17" spans="1:10" x14ac:dyDescent="0.15">
      <c r="A17" s="2513"/>
      <c r="B17" s="2671"/>
      <c r="C17" s="558" t="s">
        <v>1456</v>
      </c>
      <c r="D17" s="1061"/>
      <c r="F17" s="2037"/>
      <c r="G17" s="1175"/>
      <c r="H17" s="1175"/>
      <c r="I17" s="1148">
        <f>ROUND(SUM(F17:H17),2)</f>
        <v>0</v>
      </c>
      <c r="J17" s="578">
        <f t="shared" si="0"/>
        <v>0</v>
      </c>
    </row>
    <row r="18" spans="1:10" x14ac:dyDescent="0.15">
      <c r="A18" s="2513"/>
      <c r="B18" s="2671"/>
      <c r="C18" s="566" t="s">
        <v>1451</v>
      </c>
      <c r="D18" s="1061"/>
      <c r="F18" s="2037"/>
      <c r="G18" s="1175"/>
      <c r="H18" s="1175"/>
      <c r="I18" s="1139">
        <f>ROUND(SUM(F18:H18),2)</f>
        <v>0</v>
      </c>
      <c r="J18" s="578">
        <f t="shared" si="0"/>
        <v>0</v>
      </c>
    </row>
    <row r="19" spans="1:10" ht="19.5" thickBot="1" x14ac:dyDescent="0.2">
      <c r="A19" s="2513"/>
      <c r="B19" s="2672"/>
      <c r="C19" s="565" t="s">
        <v>1447</v>
      </c>
      <c r="D19" s="982"/>
      <c r="E19" s="1797"/>
      <c r="F19" s="2038"/>
      <c r="G19" s="1261"/>
      <c r="H19" s="1261"/>
      <c r="I19" s="1140">
        <f>ROUND(SUM(F19:H19),2)</f>
        <v>0</v>
      </c>
      <c r="J19" s="578">
        <f t="shared" si="0"/>
        <v>0</v>
      </c>
    </row>
    <row r="20" spans="1:10" x14ac:dyDescent="0.15">
      <c r="A20" s="2513"/>
      <c r="B20" s="2575" t="s">
        <v>1452</v>
      </c>
      <c r="C20" s="549" t="s">
        <v>1444</v>
      </c>
      <c r="D20" s="1061"/>
      <c r="F20" s="2037"/>
      <c r="G20" s="1175"/>
      <c r="H20" s="1175"/>
      <c r="I20" s="1266"/>
      <c r="J20" s="578">
        <f t="shared" si="0"/>
        <v>0</v>
      </c>
    </row>
    <row r="21" spans="1:10" x14ac:dyDescent="0.15">
      <c r="A21" s="2513"/>
      <c r="B21" s="2576"/>
      <c r="C21" s="566" t="s">
        <v>1446</v>
      </c>
      <c r="D21" s="1061"/>
      <c r="F21" s="2037"/>
      <c r="G21" s="1175"/>
      <c r="H21" s="1175"/>
      <c r="I21" s="1266"/>
      <c r="J21" s="578">
        <f t="shared" si="0"/>
        <v>0</v>
      </c>
    </row>
    <row r="22" spans="1:10" x14ac:dyDescent="0.15">
      <c r="A22" s="2513"/>
      <c r="B22" s="2576"/>
      <c r="C22" s="566" t="s">
        <v>689</v>
      </c>
      <c r="D22" s="1061"/>
      <c r="F22" s="2042">
        <f t="shared" ref="F22" si="12">F20-F21</f>
        <v>0</v>
      </c>
      <c r="G22" s="1143">
        <f t="shared" ref="G22" si="13">G20-G21</f>
        <v>0</v>
      </c>
      <c r="H22" s="1143"/>
      <c r="I22" s="1266"/>
      <c r="J22" s="578">
        <f t="shared" si="0"/>
        <v>0</v>
      </c>
    </row>
    <row r="23" spans="1:10" x14ac:dyDescent="0.15">
      <c r="A23" s="2513"/>
      <c r="B23" s="2576"/>
      <c r="C23" s="566" t="s">
        <v>1448</v>
      </c>
      <c r="D23" s="1061"/>
      <c r="F23" s="2043"/>
      <c r="G23" s="875"/>
      <c r="H23" s="875"/>
      <c r="I23" s="1266"/>
      <c r="J23" s="578">
        <f t="shared" si="0"/>
        <v>0</v>
      </c>
    </row>
    <row r="24" spans="1:10" ht="19.5" thickBot="1" x14ac:dyDescent="0.2">
      <c r="A24" s="2513"/>
      <c r="B24" s="2577"/>
      <c r="C24" s="565" t="s">
        <v>1462</v>
      </c>
      <c r="D24" s="982"/>
      <c r="E24" s="2023" t="s">
        <v>1837</v>
      </c>
      <c r="F24" s="2044"/>
      <c r="G24" s="1264"/>
      <c r="H24" s="1264"/>
      <c r="I24" s="1267"/>
      <c r="J24" s="578">
        <f t="shared" si="0"/>
        <v>0</v>
      </c>
    </row>
    <row r="25" spans="1:10" x14ac:dyDescent="0.15">
      <c r="A25" s="2513"/>
      <c r="B25" s="2575" t="s">
        <v>5</v>
      </c>
      <c r="C25" s="1246" t="s">
        <v>8</v>
      </c>
      <c r="D25" s="1061"/>
      <c r="E25" s="2024" t="s">
        <v>1838</v>
      </c>
      <c r="F25" s="2037"/>
      <c r="G25" s="1175"/>
      <c r="H25" s="1175"/>
      <c r="I25" s="1266"/>
      <c r="J25" s="578">
        <f t="shared" si="0"/>
        <v>0</v>
      </c>
    </row>
    <row r="26" spans="1:10" x14ac:dyDescent="0.15">
      <c r="A26" s="2513"/>
      <c r="B26" s="2576"/>
      <c r="C26" s="1247" t="s">
        <v>1472</v>
      </c>
      <c r="D26" s="1061"/>
      <c r="F26" s="2042">
        <f t="shared" ref="F26" si="14">IF(F22=0,0,F25+2*F22/10)</f>
        <v>0</v>
      </c>
      <c r="G26" s="1143">
        <f t="shared" ref="G26" si="15">IF(G22=0,0,G25+2*G22/10)</f>
        <v>0</v>
      </c>
      <c r="H26" s="1143"/>
      <c r="I26" s="1266"/>
      <c r="J26" s="578">
        <f t="shared" si="0"/>
        <v>0</v>
      </c>
    </row>
    <row r="27" spans="1:10" ht="19.5" thickBot="1" x14ac:dyDescent="0.2">
      <c r="A27" s="2513"/>
      <c r="B27" s="2577"/>
      <c r="C27" s="1245" t="s">
        <v>364</v>
      </c>
      <c r="D27" s="982"/>
      <c r="E27" s="1797"/>
      <c r="F27" s="2045">
        <f>IF(F20=0,0,IF(F24="V",F25,IF(F22=0,F21/F24*2+F25,F26+F21/F24*2)))</f>
        <v>0</v>
      </c>
      <c r="G27" s="1173">
        <f t="shared" ref="G27" si="16">IF(G20=0,0,IF(G24="V",G25,IF(G22=0,G21/G24*2+G25,G26+G21/G24*2)))</f>
        <v>0</v>
      </c>
      <c r="H27" s="1173"/>
      <c r="I27" s="1267"/>
      <c r="J27" s="578">
        <f t="shared" si="0"/>
        <v>0</v>
      </c>
    </row>
    <row r="28" spans="1:10" x14ac:dyDescent="0.15">
      <c r="A28" s="2513"/>
      <c r="B28" s="2652" t="s">
        <v>6</v>
      </c>
      <c r="C28" s="1246" t="s">
        <v>483</v>
      </c>
      <c r="D28" s="1061"/>
      <c r="F28" s="2042">
        <f t="shared" ref="F28" si="17">SUM(F29:F31)</f>
        <v>0</v>
      </c>
      <c r="G28" s="1143">
        <f t="shared" ref="G28" si="18">SUM(G29:G31)</f>
        <v>0</v>
      </c>
      <c r="H28" s="1143"/>
      <c r="I28" s="1203">
        <f t="shared" ref="I28:I33" si="19">ROUND(SUM(F28:H28),2)</f>
        <v>0</v>
      </c>
      <c r="J28" s="578">
        <f t="shared" si="0"/>
        <v>0</v>
      </c>
    </row>
    <row r="29" spans="1:10" x14ac:dyDescent="0.15">
      <c r="A29" s="2513"/>
      <c r="B29" s="2573"/>
      <c r="C29" s="1248" t="s">
        <v>690</v>
      </c>
      <c r="D29" s="1061"/>
      <c r="F29" s="2042">
        <f t="shared" ref="F29" si="20">(F26+F25)/2*F22*F16</f>
        <v>0</v>
      </c>
      <c r="G29" s="1143">
        <f t="shared" ref="G29" si="21">(G26+G25)/2*G22*G16</f>
        <v>0</v>
      </c>
      <c r="H29" s="1143"/>
      <c r="I29" s="1139">
        <f t="shared" si="19"/>
        <v>0</v>
      </c>
      <c r="J29" s="578">
        <f t="shared" si="0"/>
        <v>0</v>
      </c>
    </row>
    <row r="30" spans="1:10" x14ac:dyDescent="0.15">
      <c r="A30" s="2513"/>
      <c r="B30" s="2573"/>
      <c r="C30" s="1247" t="s">
        <v>1469</v>
      </c>
      <c r="D30" s="1061"/>
      <c r="F30" s="2042">
        <f t="shared" ref="F30" si="22">IF(F31&gt;0,0,IF(F26=0,(F27+F25)/2*F20*F16,(F27+F26)/2*F21*F16))</f>
        <v>0</v>
      </c>
      <c r="G30" s="1143">
        <f t="shared" ref="G30" si="23">IF(G31&gt;0,0,IF(G26=0,(G27+G25)/2*G20*G16,(G27+G26)/2*G21*G16))</f>
        <v>0</v>
      </c>
      <c r="H30" s="1143"/>
      <c r="I30" s="1139">
        <f t="shared" si="19"/>
        <v>0</v>
      </c>
      <c r="J30" s="578">
        <f t="shared" si="0"/>
        <v>0</v>
      </c>
    </row>
    <row r="31" spans="1:10" x14ac:dyDescent="0.15">
      <c r="A31" s="2513"/>
      <c r="B31" s="2573"/>
      <c r="C31" s="1249" t="s">
        <v>1470</v>
      </c>
      <c r="D31" s="1061"/>
      <c r="F31" s="2042">
        <f t="shared" ref="F31" si="24">IF(AND(F25&lt;0.4,F24="V"),IF(F26=0,(F27+F25)/2*F20*F16,(F27+F26)/2*F21*F16),0)</f>
        <v>0</v>
      </c>
      <c r="G31" s="1143">
        <f t="shared" ref="G31" si="25">IF(AND(G25&lt;0.4,G24="V"),IF(G26=0,(G27+G25)/2*G20*G16,(G27+G26)/2*G21*G16),0)</f>
        <v>0</v>
      </c>
      <c r="H31" s="1143"/>
      <c r="I31" s="1139">
        <f t="shared" si="19"/>
        <v>0</v>
      </c>
      <c r="J31" s="578">
        <f t="shared" si="0"/>
        <v>0</v>
      </c>
    </row>
    <row r="32" spans="1:10" ht="19.5" thickBot="1" x14ac:dyDescent="0.2">
      <c r="A32" s="2513"/>
      <c r="B32" s="2664"/>
      <c r="C32" s="1245" t="s">
        <v>305</v>
      </c>
      <c r="D32" s="982"/>
      <c r="E32" s="1797"/>
      <c r="F32" s="2045">
        <f t="shared" ref="F32" si="26">(F30+F31)*5%</f>
        <v>0</v>
      </c>
      <c r="G32" s="1173">
        <f t="shared" ref="G32" si="27">(G30+G31)*5%</f>
        <v>0</v>
      </c>
      <c r="H32" s="1173"/>
      <c r="I32" s="1140">
        <f t="shared" si="19"/>
        <v>0</v>
      </c>
      <c r="J32" s="578">
        <f t="shared" si="0"/>
        <v>0</v>
      </c>
    </row>
    <row r="33" spans="1:10" x14ac:dyDescent="0.15">
      <c r="A33" s="2513"/>
      <c r="B33" s="2652" t="s">
        <v>1457</v>
      </c>
      <c r="C33" s="549" t="s">
        <v>3</v>
      </c>
      <c r="D33" s="1060"/>
      <c r="E33" s="1798"/>
      <c r="F33" s="2041">
        <f t="shared" ref="F33" si="28">IF(AND(F24="V",F25&lt;0.4),0,IF(F24&gt;=5,F16,0))</f>
        <v>0</v>
      </c>
      <c r="G33" s="1179">
        <f t="shared" ref="G33" si="29">IF(AND(G24="V",G25&lt;0.4),0,IF(G24&gt;=5,G16,0))</f>
        <v>0</v>
      </c>
      <c r="H33" s="1179"/>
      <c r="I33" s="1139">
        <f t="shared" si="19"/>
        <v>0</v>
      </c>
      <c r="J33" s="578">
        <f t="shared" si="0"/>
        <v>0</v>
      </c>
    </row>
    <row r="34" spans="1:10" x14ac:dyDescent="0.15">
      <c r="A34" s="2513"/>
      <c r="B34" s="2653"/>
      <c r="C34" s="566" t="s">
        <v>10</v>
      </c>
      <c r="D34" s="1061"/>
      <c r="F34" s="2042">
        <f t="shared" ref="F34" si="30">IF(F33=0,0,F21)</f>
        <v>0</v>
      </c>
      <c r="G34" s="1143">
        <f t="shared" ref="G34" si="31">IF(G33=0,0,G21)</f>
        <v>0</v>
      </c>
      <c r="H34" s="1143"/>
      <c r="I34" s="1266"/>
      <c r="J34" s="578">
        <f t="shared" ref="J34:J50" si="32">SUM(F34:I34)</f>
        <v>0</v>
      </c>
    </row>
    <row r="35" spans="1:10" ht="19.5" thickBot="1" x14ac:dyDescent="0.2">
      <c r="A35" s="2513"/>
      <c r="B35" s="2654"/>
      <c r="C35" s="565" t="s">
        <v>1845</v>
      </c>
      <c r="D35" s="982"/>
      <c r="E35" s="1797"/>
      <c r="F35" s="2045">
        <f t="shared" ref="F35" si="33">F34*F33*2</f>
        <v>0</v>
      </c>
      <c r="G35" s="1173">
        <f t="shared" ref="G35" si="34">G34*G33*2</f>
        <v>0</v>
      </c>
      <c r="H35" s="1173"/>
      <c r="I35" s="1140">
        <f>ROUND(SUM(F35:H35),2)</f>
        <v>0</v>
      </c>
      <c r="J35" s="578">
        <f t="shared" si="32"/>
        <v>0</v>
      </c>
    </row>
    <row r="36" spans="1:10" x14ac:dyDescent="0.15">
      <c r="A36" s="2513"/>
      <c r="B36" s="2652" t="s">
        <v>332</v>
      </c>
      <c r="C36" s="1248" t="s">
        <v>158</v>
      </c>
      <c r="D36" s="1061"/>
      <c r="F36" s="2042">
        <f t="shared" ref="F36" si="35">IF(F16=0,0,F41+F42+0.3+IF(F24="V",2*F40,2*(((F42-F41)/2)^2+F40^2)^(1/2)))</f>
        <v>0</v>
      </c>
      <c r="G36" s="1143">
        <f t="shared" ref="G36" si="36">IF(G16=0,0,G41+G42+0.3+IF(G24="V",2*G40,2*(((G42-G41)/2)^2+G40^2)^(1/2)))</f>
        <v>0</v>
      </c>
      <c r="H36" s="1143"/>
      <c r="I36" s="1144"/>
      <c r="J36" s="578">
        <f t="shared" si="32"/>
        <v>0</v>
      </c>
    </row>
    <row r="37" spans="1:10" ht="19.5" thickBot="1" x14ac:dyDescent="0.2">
      <c r="A37" s="2513"/>
      <c r="B37" s="2664"/>
      <c r="C37" s="565" t="s">
        <v>29</v>
      </c>
      <c r="D37" s="982"/>
      <c r="E37" s="1797"/>
      <c r="F37" s="2045">
        <f t="shared" ref="F37" si="37">F36*F16</f>
        <v>0</v>
      </c>
      <c r="G37" s="1173">
        <f t="shared" ref="G37" si="38">G36*G16</f>
        <v>0</v>
      </c>
      <c r="H37" s="1173"/>
      <c r="I37" s="1140">
        <f>ROUND(SUM(F37:H37),2)</f>
        <v>0</v>
      </c>
      <c r="J37" s="578">
        <f t="shared" si="32"/>
        <v>0</v>
      </c>
    </row>
    <row r="38" spans="1:10" x14ac:dyDescent="0.15">
      <c r="A38" s="2513"/>
      <c r="B38" s="2573" t="s">
        <v>1468</v>
      </c>
      <c r="C38" s="566" t="s">
        <v>10</v>
      </c>
      <c r="D38" s="1061"/>
      <c r="F38" s="2042"/>
      <c r="G38" s="1143"/>
      <c r="H38" s="1143"/>
      <c r="I38" s="1144"/>
      <c r="J38" s="578">
        <f t="shared" si="32"/>
        <v>0</v>
      </c>
    </row>
    <row r="39" spans="1:10" ht="19.5" thickBot="1" x14ac:dyDescent="0.2">
      <c r="A39" s="2513"/>
      <c r="B39" s="2664"/>
      <c r="C39" s="565" t="s">
        <v>29</v>
      </c>
      <c r="D39" s="982"/>
      <c r="E39" s="1797"/>
      <c r="F39" s="2045">
        <f t="shared" ref="F39" si="39">F38*2*F16</f>
        <v>0</v>
      </c>
      <c r="G39" s="1173">
        <f t="shared" ref="G39" si="40">G38*2*G16</f>
        <v>0</v>
      </c>
      <c r="H39" s="1173"/>
      <c r="I39" s="1140">
        <f>ROUND(SUM(F39:H39),2)</f>
        <v>0</v>
      </c>
      <c r="J39" s="578">
        <f t="shared" si="32"/>
        <v>0</v>
      </c>
    </row>
    <row r="40" spans="1:10" x14ac:dyDescent="0.15">
      <c r="A40" s="2513"/>
      <c r="B40" s="2657" t="s">
        <v>1461</v>
      </c>
      <c r="C40" s="566" t="s">
        <v>1464</v>
      </c>
      <c r="D40" s="1061"/>
      <c r="F40" s="2037"/>
      <c r="G40" s="1175"/>
      <c r="H40" s="1175"/>
      <c r="I40" s="1266"/>
      <c r="J40" s="578">
        <f t="shared" si="32"/>
        <v>0</v>
      </c>
    </row>
    <row r="41" spans="1:10" x14ac:dyDescent="0.15">
      <c r="A41" s="2513"/>
      <c r="B41" s="2673"/>
      <c r="C41" s="1248" t="s">
        <v>1463</v>
      </c>
      <c r="D41" s="1061"/>
      <c r="F41" s="2042">
        <f t="shared" ref="F41" si="41">F25</f>
        <v>0</v>
      </c>
      <c r="G41" s="1143">
        <f t="shared" ref="G41" si="42">G25</f>
        <v>0</v>
      </c>
      <c r="H41" s="1143"/>
      <c r="I41" s="1266"/>
      <c r="J41" s="578">
        <f t="shared" si="32"/>
        <v>0</v>
      </c>
    </row>
    <row r="42" spans="1:10" x14ac:dyDescent="0.15">
      <c r="A42" s="2513"/>
      <c r="B42" s="2673"/>
      <c r="C42" s="1248" t="s">
        <v>1465</v>
      </c>
      <c r="D42" s="1061"/>
      <c r="F42" s="2042">
        <f t="shared" ref="F42" si="43">IF(F38=0,IF(F24="V",F41,IF(F25=0,0,IF(F22&gt;0,F26,F40/F24*2+F25))),F41)</f>
        <v>0</v>
      </c>
      <c r="G42" s="1143">
        <f t="shared" ref="G42" si="44">IF(G38=0,IF(G24="V",G41,IF(G25=0,0,IF(G22&gt;0,G26,G40/G24*2+G25))),G41)</f>
        <v>0</v>
      </c>
      <c r="H42" s="1143"/>
      <c r="I42" s="1266"/>
      <c r="J42" s="578">
        <f t="shared" si="32"/>
        <v>0</v>
      </c>
    </row>
    <row r="43" spans="1:10" x14ac:dyDescent="0.15">
      <c r="A43" s="2513"/>
      <c r="B43" s="2673"/>
      <c r="C43" s="566" t="s">
        <v>300</v>
      </c>
      <c r="D43" s="1061"/>
      <c r="F43" s="2042">
        <f t="shared" ref="F43" si="45">(F41+F42)/2*F40*F16</f>
        <v>0</v>
      </c>
      <c r="G43" s="1143">
        <f t="shared" ref="G43" si="46">(G41+G42)/2*G40*G16</f>
        <v>0</v>
      </c>
      <c r="H43" s="1143"/>
      <c r="I43" s="1139">
        <f t="shared" ref="I43:I52" si="47">ROUND(SUM(F43:H43),2)</f>
        <v>0</v>
      </c>
      <c r="J43" s="578">
        <f t="shared" si="32"/>
        <v>0</v>
      </c>
    </row>
    <row r="44" spans="1:10" ht="19.5" thickBot="1" x14ac:dyDescent="0.2">
      <c r="A44" s="2513"/>
      <c r="B44" s="2673"/>
      <c r="C44" s="1247" t="s">
        <v>490</v>
      </c>
      <c r="D44" s="1061"/>
      <c r="F44" s="2042">
        <f t="shared" ref="F44" si="48">F43*1.1</f>
        <v>0</v>
      </c>
      <c r="G44" s="1143">
        <f t="shared" ref="G44" si="49">G43*1.1</f>
        <v>0</v>
      </c>
      <c r="H44" s="1143"/>
      <c r="I44" s="1139">
        <f t="shared" si="47"/>
        <v>0</v>
      </c>
      <c r="J44" s="578">
        <f t="shared" si="32"/>
        <v>0</v>
      </c>
    </row>
    <row r="45" spans="1:10" ht="19.5" thickBot="1" x14ac:dyDescent="0.2">
      <c r="A45" s="2513"/>
      <c r="B45" s="2669" t="s">
        <v>1453</v>
      </c>
      <c r="C45" s="2530"/>
      <c r="D45" s="1231"/>
      <c r="E45" s="2025"/>
      <c r="F45" s="2046">
        <f t="shared" ref="F45" si="50">F28-F43</f>
        <v>0</v>
      </c>
      <c r="G45" s="1238">
        <f t="shared" ref="G45" si="51">G28-G43</f>
        <v>0</v>
      </c>
      <c r="H45" s="1238"/>
      <c r="I45" s="1142">
        <f t="shared" si="47"/>
        <v>0</v>
      </c>
      <c r="J45" s="578">
        <f t="shared" si="32"/>
        <v>0</v>
      </c>
    </row>
    <row r="46" spans="1:10" ht="22.5" x14ac:dyDescent="0.15">
      <c r="A46" s="2513"/>
      <c r="B46" s="2652" t="s">
        <v>1474</v>
      </c>
      <c r="C46" s="1249" t="s">
        <v>1467</v>
      </c>
      <c r="D46" s="1061"/>
      <c r="F46" s="2042">
        <f t="shared" ref="F46" si="52">F23*(F30+F31)*1.25</f>
        <v>0</v>
      </c>
      <c r="G46" s="1143">
        <f t="shared" ref="G46" si="53">G23*(G30+G31)*1.25</f>
        <v>0</v>
      </c>
      <c r="H46" s="1143"/>
      <c r="I46" s="1148">
        <f t="shared" si="47"/>
        <v>0</v>
      </c>
      <c r="J46" s="578">
        <f t="shared" si="32"/>
        <v>0</v>
      </c>
    </row>
    <row r="47" spans="1:10" x14ac:dyDescent="0.15">
      <c r="A47" s="2513"/>
      <c r="B47" s="2573"/>
      <c r="C47" s="1249" t="s">
        <v>1471</v>
      </c>
      <c r="D47" s="1061"/>
      <c r="F47" s="2042">
        <f t="shared" ref="F47" si="54">F29*1.4</f>
        <v>0</v>
      </c>
      <c r="G47" s="1143">
        <f t="shared" ref="G47" si="55">G29*1.4</f>
        <v>0</v>
      </c>
      <c r="H47" s="1143"/>
      <c r="I47" s="1148">
        <f t="shared" si="47"/>
        <v>0</v>
      </c>
      <c r="J47" s="578">
        <f t="shared" si="32"/>
        <v>0</v>
      </c>
    </row>
    <row r="48" spans="1:10" x14ac:dyDescent="0.15">
      <c r="A48" s="2513"/>
      <c r="B48" s="2573"/>
      <c r="C48" s="1249" t="s">
        <v>1473</v>
      </c>
      <c r="D48" s="1061"/>
      <c r="F48" s="2042">
        <f t="shared" ref="F48" si="56">IF(F30+F31-F46&lt;0,0,F30+F31-F46)</f>
        <v>0</v>
      </c>
      <c r="G48" s="1143">
        <f t="shared" ref="G48" si="57">IF(G30+G31-G46&lt;0,0,G30+G31-G46)</f>
        <v>0</v>
      </c>
      <c r="H48" s="1143"/>
      <c r="I48" s="1148">
        <f t="shared" si="47"/>
        <v>0</v>
      </c>
      <c r="J48" s="578">
        <f t="shared" si="32"/>
        <v>0</v>
      </c>
    </row>
    <row r="49" spans="1:23" ht="19.5" thickBot="1" x14ac:dyDescent="0.2">
      <c r="A49" s="2513"/>
      <c r="B49" s="2664"/>
      <c r="C49" s="1245" t="s">
        <v>1330</v>
      </c>
      <c r="D49" s="982"/>
      <c r="E49" s="1797"/>
      <c r="F49" s="2045">
        <f t="shared" ref="F49" si="58">IF(F48-F45*1.25&lt;0,F46+F47,F48-F45*1.25)</f>
        <v>0</v>
      </c>
      <c r="G49" s="1173">
        <f t="shared" ref="G49" si="59">IF(G48-G45*1.25&lt;0,G46+G47,G48-G45*1.25)</f>
        <v>0</v>
      </c>
      <c r="H49" s="1173"/>
      <c r="I49" s="1140">
        <f t="shared" si="47"/>
        <v>0</v>
      </c>
      <c r="J49" s="578">
        <f t="shared" si="32"/>
        <v>0</v>
      </c>
    </row>
    <row r="50" spans="1:23" ht="19.5" thickBot="1" x14ac:dyDescent="0.2">
      <c r="A50" s="2513"/>
      <c r="B50" s="2667" t="s">
        <v>308</v>
      </c>
      <c r="C50" s="2668"/>
      <c r="D50" s="1231"/>
      <c r="E50" s="2025"/>
      <c r="F50" s="2042">
        <f t="shared" ref="F50" si="60">IF(F45&lt;F48,0,(F45-F48)*1.25)</f>
        <v>0</v>
      </c>
      <c r="G50" s="1143">
        <f t="shared" ref="G50" si="61">IF(G45&lt;G48,0,(G45-G48)*1.25)</f>
        <v>0</v>
      </c>
      <c r="H50" s="1143"/>
      <c r="I50" s="1139">
        <f t="shared" si="47"/>
        <v>0</v>
      </c>
      <c r="J50" s="578">
        <f t="shared" si="32"/>
        <v>0</v>
      </c>
    </row>
    <row r="51" spans="1:23" ht="19.5" thickBot="1" x14ac:dyDescent="0.2">
      <c r="A51" s="2513"/>
      <c r="B51" s="2666" t="s">
        <v>36</v>
      </c>
      <c r="C51" s="2666"/>
      <c r="D51" s="1255"/>
      <c r="E51" s="1256"/>
      <c r="F51" s="2035"/>
      <c r="G51" s="1259"/>
      <c r="H51" s="1259"/>
      <c r="I51" s="1260">
        <f t="shared" si="47"/>
        <v>0</v>
      </c>
      <c r="J51" s="1016">
        <f>COUNTA(B51:H51)</f>
        <v>1</v>
      </c>
    </row>
    <row r="52" spans="1:23" ht="19.5" thickBot="1" x14ac:dyDescent="0.2">
      <c r="A52" s="2513"/>
      <c r="B52" s="2603" t="s">
        <v>491</v>
      </c>
      <c r="C52" s="2604"/>
      <c r="D52" s="982"/>
      <c r="E52" s="2025"/>
      <c r="F52" s="601">
        <f t="shared" ref="F52" si="62">F4/173+F5/132+F6/113+F43/2+F45/10</f>
        <v>0</v>
      </c>
      <c r="G52" s="365">
        <f t="shared" ref="G52" si="63">G4/173+G5/132+G6/113+G43/2+G45/10</f>
        <v>0</v>
      </c>
      <c r="H52" s="365"/>
      <c r="I52" s="1142">
        <f t="shared" si="47"/>
        <v>0</v>
      </c>
      <c r="J52" s="578">
        <f t="shared" ref="J52:J77" si="64">SUM(F52:I52)</f>
        <v>0</v>
      </c>
    </row>
    <row r="53" spans="1:23" x14ac:dyDescent="0.15">
      <c r="A53" s="2513"/>
      <c r="B53" s="2652" t="s">
        <v>324</v>
      </c>
      <c r="C53" s="1246" t="s">
        <v>16</v>
      </c>
      <c r="D53" s="1061"/>
      <c r="E53" s="1798"/>
      <c r="F53" s="2036"/>
      <c r="G53" s="1169"/>
      <c r="H53" s="1169"/>
      <c r="I53" s="1262"/>
      <c r="J53" s="578">
        <f t="shared" si="64"/>
        <v>0</v>
      </c>
    </row>
    <row r="54" spans="1:23" x14ac:dyDescent="0.15">
      <c r="A54" s="2513"/>
      <c r="B54" s="2573"/>
      <c r="C54" s="1247" t="s">
        <v>3</v>
      </c>
      <c r="D54" s="1061"/>
      <c r="F54" s="2037"/>
      <c r="G54" s="1175"/>
      <c r="H54" s="1175"/>
      <c r="I54" s="1139">
        <f>ROUND(SUM(F54:H54),2)</f>
        <v>0</v>
      </c>
      <c r="J54" s="578">
        <f t="shared" si="64"/>
        <v>0</v>
      </c>
    </row>
    <row r="55" spans="1:23" x14ac:dyDescent="0.15">
      <c r="A55" s="2513"/>
      <c r="B55" s="2573"/>
      <c r="C55" s="1247" t="s">
        <v>58</v>
      </c>
      <c r="D55" s="1061"/>
      <c r="F55" s="2037"/>
      <c r="G55" s="1175"/>
      <c r="H55" s="1175"/>
      <c r="I55" s="1144"/>
      <c r="J55" s="578">
        <f t="shared" si="64"/>
        <v>0</v>
      </c>
    </row>
    <row r="56" spans="1:23" x14ac:dyDescent="0.15">
      <c r="A56" s="2513"/>
      <c r="B56" s="2573"/>
      <c r="C56" s="1247" t="s">
        <v>300</v>
      </c>
      <c r="D56" s="1061"/>
      <c r="F56" s="2042">
        <f t="shared" ref="F56" si="65">F55*F54*F53</f>
        <v>0</v>
      </c>
      <c r="G56" s="1143">
        <f t="shared" ref="G56" si="66">G55*G54*G53</f>
        <v>0</v>
      </c>
      <c r="H56" s="1143"/>
      <c r="I56" s="1139">
        <f>ROUND(SUM(F56:H56),2)</f>
        <v>0</v>
      </c>
      <c r="J56" s="578">
        <f t="shared" si="64"/>
        <v>0</v>
      </c>
      <c r="K56" s="2633" t="s">
        <v>1192</v>
      </c>
      <c r="L56" s="2634"/>
      <c r="M56" s="2634"/>
      <c r="N56" s="2635"/>
      <c r="O56" s="2633" t="s">
        <v>1193</v>
      </c>
      <c r="P56" s="2634"/>
      <c r="Q56" s="2634"/>
      <c r="R56" s="2635"/>
      <c r="S56" s="2633" t="s">
        <v>1194</v>
      </c>
      <c r="T56" s="2634"/>
      <c r="U56" s="2635"/>
      <c r="V56" s="1265" t="s">
        <v>1195</v>
      </c>
      <c r="W56" s="2631" t="s">
        <v>1196</v>
      </c>
    </row>
    <row r="57" spans="1:23" ht="23.25" thickBot="1" x14ac:dyDescent="0.2">
      <c r="A57" s="2513"/>
      <c r="B57" s="2664"/>
      <c r="C57" s="1250" t="s">
        <v>490</v>
      </c>
      <c r="D57" s="982"/>
      <c r="E57" s="1797"/>
      <c r="F57" s="2045">
        <f t="shared" ref="F57" si="67">F56*1.1</f>
        <v>0</v>
      </c>
      <c r="G57" s="1173">
        <f t="shared" ref="G57" si="68">G56*1.1</f>
        <v>0</v>
      </c>
      <c r="H57" s="1173"/>
      <c r="I57" s="1140">
        <f>ROUND(SUM(F57:H57),2)</f>
        <v>0</v>
      </c>
      <c r="J57" s="578">
        <f t="shared" si="64"/>
        <v>0</v>
      </c>
      <c r="K57" s="1023" t="s">
        <v>1178</v>
      </c>
      <c r="L57" s="1023" t="s">
        <v>1179</v>
      </c>
      <c r="M57" s="1023" t="s">
        <v>1186</v>
      </c>
      <c r="N57" s="1023" t="s">
        <v>1183</v>
      </c>
      <c r="O57" s="1023" t="s">
        <v>1178</v>
      </c>
      <c r="P57" s="1023" t="s">
        <v>1179</v>
      </c>
      <c r="Q57" s="1023" t="s">
        <v>1186</v>
      </c>
      <c r="R57" s="1023" t="s">
        <v>1183</v>
      </c>
      <c r="S57" s="1023" t="s">
        <v>1178</v>
      </c>
      <c r="T57" s="1023" t="s">
        <v>1179</v>
      </c>
      <c r="U57" s="1023" t="s">
        <v>641</v>
      </c>
      <c r="V57" s="1023" t="s">
        <v>1477</v>
      </c>
      <c r="W57" s="2632"/>
    </row>
    <row r="58" spans="1:23" x14ac:dyDescent="0.15">
      <c r="A58" s="2513"/>
      <c r="B58" s="2657" t="s">
        <v>1840</v>
      </c>
      <c r="C58" s="1246" t="s">
        <v>475</v>
      </c>
      <c r="D58" s="1061"/>
      <c r="E58" s="2026"/>
      <c r="F58" s="2047"/>
      <c r="G58" s="1409"/>
      <c r="H58" s="1409"/>
      <c r="I58" s="1262"/>
      <c r="J58" s="578">
        <f t="shared" si="64"/>
        <v>0</v>
      </c>
      <c r="K58" s="1024">
        <v>94963</v>
      </c>
      <c r="L58" s="1024">
        <v>94964</v>
      </c>
      <c r="M58" s="1024">
        <v>100475</v>
      </c>
      <c r="N58" s="1024">
        <v>87878</v>
      </c>
      <c r="O58" s="1024">
        <v>94963</v>
      </c>
      <c r="P58" s="1024">
        <v>94964</v>
      </c>
      <c r="Q58" s="1024">
        <v>100475</v>
      </c>
      <c r="R58" s="1024">
        <v>87878</v>
      </c>
      <c r="S58" s="1024">
        <v>94963</v>
      </c>
      <c r="T58" s="1024">
        <v>94964</v>
      </c>
      <c r="U58" s="1024">
        <v>94110</v>
      </c>
      <c r="V58" s="1024">
        <v>43127</v>
      </c>
      <c r="W58" s="2632"/>
    </row>
    <row r="59" spans="1:23" ht="19.5" thickBot="1" x14ac:dyDescent="0.2">
      <c r="A59" s="2513"/>
      <c r="B59" s="2658"/>
      <c r="C59" s="1245" t="s">
        <v>471</v>
      </c>
      <c r="D59" s="982"/>
      <c r="E59" s="1797"/>
      <c r="F59" s="2045">
        <f t="shared" ref="F59" si="69">F58*F2</f>
        <v>0</v>
      </c>
      <c r="G59" s="1173">
        <f t="shared" ref="G59" si="70">G58*G2</f>
        <v>0</v>
      </c>
      <c r="H59" s="1173"/>
      <c r="I59" s="1140">
        <f t="shared" ref="I59:I88" si="71">ROUND(SUM(F59:H59),2)</f>
        <v>0</v>
      </c>
      <c r="J59" s="578">
        <f t="shared" si="64"/>
        <v>0</v>
      </c>
      <c r="K59" s="1025">
        <v>273.06</v>
      </c>
      <c r="L59" s="1025">
        <v>322.98</v>
      </c>
      <c r="M59" s="1025">
        <v>486</v>
      </c>
      <c r="N59" s="1033">
        <v>422.63</v>
      </c>
      <c r="O59" s="1026">
        <v>0.80500000000000005</v>
      </c>
      <c r="P59" s="1026">
        <v>0.75580000000000003</v>
      </c>
      <c r="Q59" s="1025">
        <v>1.08</v>
      </c>
      <c r="R59" s="1033">
        <v>0.94</v>
      </c>
      <c r="S59" s="1026">
        <v>0.57899999999999996</v>
      </c>
      <c r="T59" s="1026">
        <v>0.58699999999999997</v>
      </c>
      <c r="U59" s="1268">
        <v>0.212058</v>
      </c>
      <c r="V59" s="1033">
        <v>4.4800000000000004</v>
      </c>
      <c r="W59" s="1036">
        <f>2.5/1000</f>
        <v>2.5000000000000001E-3</v>
      </c>
    </row>
    <row r="60" spans="1:23" ht="19.5" thickBot="1" x14ac:dyDescent="0.2">
      <c r="A60" s="2513"/>
      <c r="B60" s="2670" t="s">
        <v>1841</v>
      </c>
      <c r="C60" s="2670"/>
      <c r="D60" s="982"/>
      <c r="E60" s="2027"/>
      <c r="F60" s="2048"/>
      <c r="G60" s="1553"/>
      <c r="H60" s="1553"/>
      <c r="I60" s="1554">
        <f t="shared" si="71"/>
        <v>0</v>
      </c>
      <c r="J60" s="578">
        <f t="shared" si="64"/>
        <v>0</v>
      </c>
      <c r="K60" s="1037"/>
      <c r="L60" s="1037">
        <v>0.37265999999999999</v>
      </c>
      <c r="M60" s="1037">
        <v>0.227019</v>
      </c>
      <c r="N60" s="1037">
        <v>4.8301990000000004</v>
      </c>
      <c r="O60" s="1037"/>
      <c r="P60" s="1037">
        <v>0.37265999999999999</v>
      </c>
      <c r="Q60" s="1037">
        <v>0.227019</v>
      </c>
      <c r="R60" s="1037">
        <v>4.8301990000000004</v>
      </c>
      <c r="S60" s="1037"/>
      <c r="T60" s="1037">
        <v>0.37265999999999999</v>
      </c>
      <c r="U60" s="1037">
        <v>1</v>
      </c>
      <c r="V60" s="1037">
        <v>3.5342920000000002</v>
      </c>
      <c r="W60" s="1037">
        <v>772.83180000000004</v>
      </c>
    </row>
    <row r="61" spans="1:23" x14ac:dyDescent="0.15">
      <c r="A61" s="2513"/>
      <c r="B61" s="2655" t="s">
        <v>174</v>
      </c>
      <c r="C61" s="549" t="s">
        <v>60</v>
      </c>
      <c r="D61" s="1061"/>
      <c r="E61" s="2028"/>
      <c r="F61" s="2049"/>
      <c r="G61" s="1555"/>
      <c r="H61" s="1555"/>
      <c r="I61" s="1556">
        <f t="shared" si="71"/>
        <v>0</v>
      </c>
      <c r="J61" s="578">
        <f t="shared" si="64"/>
        <v>0</v>
      </c>
    </row>
    <row r="62" spans="1:23" x14ac:dyDescent="0.15">
      <c r="A62" s="2513"/>
      <c r="B62" s="2656"/>
      <c r="C62" s="566" t="s">
        <v>1519</v>
      </c>
      <c r="D62" s="1061"/>
      <c r="F62" s="2042">
        <f t="shared" ref="F62" si="72">F61*0.5</f>
        <v>0</v>
      </c>
      <c r="G62" s="1143">
        <f t="shared" ref="G62" si="73">G61*0.5</f>
        <v>0</v>
      </c>
      <c r="H62" s="1143"/>
      <c r="I62" s="1139">
        <f t="shared" si="71"/>
        <v>0</v>
      </c>
      <c r="J62" s="578">
        <f t="shared" si="64"/>
        <v>0</v>
      </c>
      <c r="K62" s="1037">
        <v>1</v>
      </c>
      <c r="L62" s="1037"/>
      <c r="M62" s="1037"/>
      <c r="N62" s="1037"/>
      <c r="O62" s="1037">
        <v>1</v>
      </c>
      <c r="P62" s="1037"/>
      <c r="Q62" s="1037"/>
      <c r="R62" s="1037"/>
      <c r="S62" s="1037">
        <v>1</v>
      </c>
      <c r="T62" s="1037"/>
      <c r="U62" s="1037"/>
      <c r="V62" s="1037"/>
      <c r="W62" s="1037"/>
    </row>
    <row r="63" spans="1:23" x14ac:dyDescent="0.15">
      <c r="A63" s="2513"/>
      <c r="B63" s="2656"/>
      <c r="C63" s="566" t="s">
        <v>572</v>
      </c>
      <c r="D63" s="1061"/>
      <c r="E63" s="203"/>
      <c r="F63" s="2042">
        <f t="shared" ref="F63" si="74">F61*1.75</f>
        <v>0</v>
      </c>
      <c r="G63" s="1143">
        <f t="shared" ref="G63" si="75">G61*1.75</f>
        <v>0</v>
      </c>
      <c r="H63" s="1143"/>
      <c r="I63" s="1139">
        <f t="shared" si="71"/>
        <v>0</v>
      </c>
      <c r="J63" s="578">
        <f t="shared" si="64"/>
        <v>0</v>
      </c>
      <c r="K63" s="1037"/>
      <c r="L63" s="1037"/>
      <c r="M63" s="1037">
        <v>2.1999999999999999E-2</v>
      </c>
      <c r="N63" s="1037"/>
      <c r="O63" s="1037"/>
      <c r="P63" s="1037"/>
      <c r="Q63" s="1037">
        <v>2.1999999999999999E-2</v>
      </c>
      <c r="R63" s="1037"/>
      <c r="S63" s="1037"/>
      <c r="T63" s="1037"/>
      <c r="U63" s="1037"/>
      <c r="V63" s="1037"/>
      <c r="W63" s="1037">
        <v>160</v>
      </c>
    </row>
    <row r="64" spans="1:23" x14ac:dyDescent="0.15">
      <c r="A64" s="2513"/>
      <c r="B64" s="2656"/>
      <c r="C64" s="566" t="s">
        <v>573</v>
      </c>
      <c r="D64" s="1061"/>
      <c r="F64" s="2042">
        <f t="shared" ref="F64" si="76">F63</f>
        <v>0</v>
      </c>
      <c r="G64" s="1143">
        <f t="shared" ref="G64" si="77">G63</f>
        <v>0</v>
      </c>
      <c r="H64" s="1143"/>
      <c r="I64" s="1139">
        <f t="shared" si="71"/>
        <v>0</v>
      </c>
      <c r="J64" s="578">
        <f t="shared" si="64"/>
        <v>0</v>
      </c>
      <c r="K64" s="1037"/>
      <c r="L64" s="1037"/>
      <c r="M64" s="1037"/>
      <c r="N64" s="1037">
        <v>1</v>
      </c>
      <c r="O64" s="1037"/>
      <c r="P64" s="1037"/>
      <c r="Q64" s="1037"/>
      <c r="R64" s="1037">
        <v>1</v>
      </c>
      <c r="S64" s="1037"/>
      <c r="T64" s="1037"/>
      <c r="U64" s="1037"/>
      <c r="V64" s="1037"/>
      <c r="W64" s="1037"/>
    </row>
    <row r="65" spans="1:23" ht="19.5" thickBot="1" x14ac:dyDescent="0.2">
      <c r="A65" s="2513"/>
      <c r="B65" s="2580"/>
      <c r="C65" s="565" t="s">
        <v>574</v>
      </c>
      <c r="D65" s="982"/>
      <c r="E65" s="1797"/>
      <c r="F65" s="2045">
        <f t="shared" ref="F65" si="78">F63*0.02</f>
        <v>0</v>
      </c>
      <c r="G65" s="1173">
        <f t="shared" ref="G65" si="79">G63*0.02</f>
        <v>0</v>
      </c>
      <c r="H65" s="1173"/>
      <c r="I65" s="1140">
        <f t="shared" si="71"/>
        <v>0</v>
      </c>
      <c r="J65" s="578">
        <f t="shared" si="64"/>
        <v>0</v>
      </c>
      <c r="K65" s="1037"/>
      <c r="L65" s="1037"/>
      <c r="M65" s="1037">
        <v>1</v>
      </c>
      <c r="N65" s="1037"/>
      <c r="O65" s="1037"/>
      <c r="P65" s="1037"/>
      <c r="Q65" s="1037">
        <v>1</v>
      </c>
      <c r="R65" s="1037"/>
      <c r="S65" s="1037"/>
      <c r="T65" s="1037"/>
      <c r="U65" s="1037"/>
      <c r="V65" s="1037"/>
      <c r="W65" s="1037"/>
    </row>
    <row r="66" spans="1:23" x14ac:dyDescent="0.15">
      <c r="A66" s="2513"/>
      <c r="B66" s="2674" t="s">
        <v>1842</v>
      </c>
      <c r="C66" s="593" t="s">
        <v>1843</v>
      </c>
      <c r="D66" s="1061"/>
      <c r="F66" s="2042">
        <f t="shared" ref="F66" si="80">F47</f>
        <v>0</v>
      </c>
      <c r="G66" s="1143">
        <f t="shared" ref="G66" si="81">G47</f>
        <v>0</v>
      </c>
      <c r="H66" s="1143"/>
      <c r="I66" s="1139">
        <f t="shared" si="71"/>
        <v>0</v>
      </c>
      <c r="J66" s="578">
        <f t="shared" si="64"/>
        <v>0</v>
      </c>
      <c r="K66" s="972"/>
      <c r="L66" s="972"/>
      <c r="M66" s="972"/>
      <c r="N66" s="972"/>
      <c r="O66" s="972"/>
      <c r="P66" s="972"/>
      <c r="Q66" s="972"/>
      <c r="R66" s="972"/>
      <c r="S66" s="972"/>
      <c r="T66" s="972"/>
      <c r="U66" s="972"/>
      <c r="V66" s="972"/>
      <c r="W66" s="972"/>
    </row>
    <row r="67" spans="1:23" ht="19.5" thickBot="1" x14ac:dyDescent="0.2">
      <c r="A67" s="2513"/>
      <c r="B67" s="2675"/>
      <c r="C67" s="928" t="s">
        <v>1353</v>
      </c>
      <c r="D67" s="982"/>
      <c r="E67" s="1797"/>
      <c r="F67" s="2045">
        <f t="shared" ref="F67" si="82">F49-F66</f>
        <v>0</v>
      </c>
      <c r="G67" s="1173">
        <f t="shared" ref="G67" si="83">G49-G66</f>
        <v>0</v>
      </c>
      <c r="H67" s="1173"/>
      <c r="I67" s="1140">
        <f t="shared" si="71"/>
        <v>0</v>
      </c>
      <c r="J67" s="578">
        <f t="shared" si="64"/>
        <v>0</v>
      </c>
    </row>
    <row r="68" spans="1:23" x14ac:dyDescent="0.15">
      <c r="A68" s="2513"/>
      <c r="B68" s="2588" t="s">
        <v>1478</v>
      </c>
      <c r="C68" s="929" t="s">
        <v>1357</v>
      </c>
      <c r="D68" s="1061"/>
      <c r="F68" s="2042">
        <f t="shared" ref="F68:F69" si="84">F66</f>
        <v>0</v>
      </c>
      <c r="G68" s="1143">
        <f t="shared" ref="G68" si="85">G66</f>
        <v>0</v>
      </c>
      <c r="H68" s="1143"/>
      <c r="I68" s="1203">
        <f t="shared" si="71"/>
        <v>0</v>
      </c>
      <c r="J68" s="578">
        <f t="shared" si="64"/>
        <v>0</v>
      </c>
    </row>
    <row r="69" spans="1:23" x14ac:dyDescent="0.15">
      <c r="A69" s="2513"/>
      <c r="B69" s="2585"/>
      <c r="C69" s="590" t="s">
        <v>1356</v>
      </c>
      <c r="D69" s="1061"/>
      <c r="F69" s="2042">
        <f t="shared" si="84"/>
        <v>0</v>
      </c>
      <c r="G69" s="1143">
        <f t="shared" ref="G69" si="86">G67</f>
        <v>0</v>
      </c>
      <c r="H69" s="1143"/>
      <c r="I69" s="1139">
        <f t="shared" si="71"/>
        <v>0</v>
      </c>
      <c r="J69" s="578">
        <f t="shared" si="64"/>
        <v>0</v>
      </c>
    </row>
    <row r="70" spans="1:23" x14ac:dyDescent="0.15">
      <c r="A70" s="2513"/>
      <c r="B70" s="2585"/>
      <c r="C70" s="590" t="s">
        <v>2001</v>
      </c>
      <c r="D70" s="1061"/>
      <c r="F70" s="2042">
        <f t="shared" ref="F70" si="87">F45*1.25</f>
        <v>0</v>
      </c>
      <c r="G70" s="1143">
        <f t="shared" ref="G70" si="88">G45*1.25</f>
        <v>0</v>
      </c>
      <c r="H70" s="1143"/>
      <c r="I70" s="1139">
        <f t="shared" si="71"/>
        <v>0</v>
      </c>
      <c r="J70" s="578">
        <f t="shared" si="64"/>
        <v>0</v>
      </c>
    </row>
    <row r="71" spans="1:23" x14ac:dyDescent="0.15">
      <c r="A71" s="2513"/>
      <c r="B71" s="2595"/>
      <c r="C71" s="590" t="s">
        <v>1476</v>
      </c>
      <c r="D71" s="1061"/>
      <c r="F71" s="2042">
        <f t="shared" ref="F71" si="89">((SUM(F4:F6)+F18)*0.405+(SUM(F7:F8)+F19)*0.75)/1000</f>
        <v>0</v>
      </c>
      <c r="G71" s="1143">
        <f t="shared" ref="G71" si="90">((SUM(G4:G6)+G18)*0.405+(SUM(G7:G8)+G19)*0.75)/1000</f>
        <v>0</v>
      </c>
      <c r="H71" s="1143"/>
      <c r="I71" s="1139">
        <f t="shared" si="71"/>
        <v>0</v>
      </c>
      <c r="J71" s="578">
        <f t="shared" si="64"/>
        <v>0</v>
      </c>
    </row>
    <row r="72" spans="1:23" x14ac:dyDescent="0.15">
      <c r="A72" s="2513"/>
      <c r="B72" s="2586"/>
      <c r="C72" s="590" t="s">
        <v>1203</v>
      </c>
      <c r="D72" s="1061"/>
      <c r="F72" s="2039">
        <f>(F60*$L$60*$K$59+F62*$K$62*$L$59+F63*$M$63*$M$59+F64*$N$64*$N$59+F65*$M$65*$M$59+F60*$M$60*$M$59+F60*$N$60*$N$59)/1000</f>
        <v>0</v>
      </c>
      <c r="G72" s="1143">
        <f>(G60*$L$60*$K$59+G62*$K$62*$L$59+G63*$M$63*$M$59+G64*$N$64*$N$59+G65*$M$65*$M$59+G60*$M$60*$M$59+G60*$N$60*$N$59)/1000</f>
        <v>0</v>
      </c>
      <c r="H72" s="1143"/>
      <c r="I72" s="1139">
        <f t="shared" si="71"/>
        <v>0</v>
      </c>
      <c r="J72" s="578">
        <f t="shared" si="64"/>
        <v>0</v>
      </c>
    </row>
    <row r="73" spans="1:23" x14ac:dyDescent="0.15">
      <c r="A73" s="2513"/>
      <c r="B73" s="2585"/>
      <c r="C73" s="590" t="s">
        <v>585</v>
      </c>
      <c r="D73" s="1061"/>
      <c r="F73" s="2042">
        <f>F60*P60*P59+F62*O62*O59+F63*Q63*Q59+F64*R64*R60+F65*Q65*Q59+F60*Q60*Q59</f>
        <v>0</v>
      </c>
      <c r="G73" s="1143">
        <f>G60*AC60*AC59+G62*AB62*AB59+G63*AD63*AD59+G64*AE64*AE60+G65*AD65*AD59+G60*AD60*AD59</f>
        <v>0</v>
      </c>
      <c r="H73" s="1143"/>
      <c r="I73" s="1139">
        <f t="shared" si="71"/>
        <v>0</v>
      </c>
      <c r="J73" s="578">
        <f t="shared" si="64"/>
        <v>0</v>
      </c>
    </row>
    <row r="74" spans="1:23" x14ac:dyDescent="0.15">
      <c r="A74" s="2513"/>
      <c r="B74" s="2586"/>
      <c r="C74" s="566" t="s">
        <v>642</v>
      </c>
      <c r="D74" s="1061"/>
      <c r="F74" s="2042">
        <f>F57+F44+F14</f>
        <v>0</v>
      </c>
      <c r="G74" s="1143">
        <f t="shared" ref="G74" si="91">G57+G44+G14</f>
        <v>0</v>
      </c>
      <c r="H74" s="1143"/>
      <c r="I74" s="1139">
        <f t="shared" si="71"/>
        <v>0</v>
      </c>
      <c r="J74" s="578">
        <f t="shared" si="64"/>
        <v>0</v>
      </c>
    </row>
    <row r="75" spans="1:23" x14ac:dyDescent="0.15">
      <c r="A75" s="2513"/>
      <c r="B75" s="2585"/>
      <c r="C75" s="566" t="s">
        <v>1600</v>
      </c>
      <c r="D75" s="1061"/>
      <c r="F75" s="2042">
        <f>F60*T60*T59+F60*U60*U59</f>
        <v>0</v>
      </c>
      <c r="G75" s="1143">
        <f>G60*AG60*AG59+G60*AH60*AH59</f>
        <v>0</v>
      </c>
      <c r="H75" s="1143"/>
      <c r="I75" s="1139">
        <f t="shared" si="71"/>
        <v>0</v>
      </c>
      <c r="J75" s="578">
        <f t="shared" si="64"/>
        <v>0</v>
      </c>
    </row>
    <row r="76" spans="1:23" x14ac:dyDescent="0.15">
      <c r="A76" s="2513"/>
      <c r="B76" s="2585"/>
      <c r="C76" s="590" t="s">
        <v>1204</v>
      </c>
      <c r="D76" s="1061"/>
      <c r="F76" s="2042">
        <f>F60*V60*V59</f>
        <v>0</v>
      </c>
      <c r="G76" s="1143">
        <f>G60*AI60*AI59</f>
        <v>0</v>
      </c>
      <c r="H76" s="1143"/>
      <c r="I76" s="1139">
        <f t="shared" si="71"/>
        <v>0</v>
      </c>
      <c r="J76" s="578">
        <f t="shared" si="64"/>
        <v>0</v>
      </c>
    </row>
    <row r="77" spans="1:23" ht="19.5" thickBot="1" x14ac:dyDescent="0.2">
      <c r="A77" s="2513"/>
      <c r="B77" s="2589"/>
      <c r="C77" s="928" t="s">
        <v>1209</v>
      </c>
      <c r="D77" s="982"/>
      <c r="E77" s="1797"/>
      <c r="F77" s="2045">
        <f>F60*W60*W59+F63*W63*W59</f>
        <v>0</v>
      </c>
      <c r="G77" s="1173">
        <f>G60*AJ60*AJ59+G63*AJ63*AJ59</f>
        <v>0</v>
      </c>
      <c r="H77" s="1173"/>
      <c r="I77" s="1140">
        <f t="shared" si="71"/>
        <v>0</v>
      </c>
      <c r="J77" s="578">
        <f t="shared" si="64"/>
        <v>0</v>
      </c>
    </row>
    <row r="78" spans="1:23" x14ac:dyDescent="0.15">
      <c r="A78" s="2513"/>
      <c r="B78" s="2680" t="s">
        <v>1362</v>
      </c>
      <c r="C78" s="929" t="s">
        <v>1357</v>
      </c>
      <c r="D78" s="1061"/>
      <c r="F78" s="2042">
        <f t="shared" ref="F78:F86" si="92">F68</f>
        <v>0</v>
      </c>
      <c r="G78" s="1143">
        <f t="shared" ref="G78" si="93">G68</f>
        <v>0</v>
      </c>
      <c r="H78" s="1143"/>
      <c r="I78" s="1203">
        <f t="shared" si="71"/>
        <v>0</v>
      </c>
      <c r="J78" s="578">
        <f>SUM(F79:I79)</f>
        <v>0</v>
      </c>
    </row>
    <row r="79" spans="1:23" x14ac:dyDescent="0.15">
      <c r="A79" s="2513"/>
      <c r="B79" s="2680"/>
      <c r="C79" s="590" t="s">
        <v>1356</v>
      </c>
      <c r="D79" s="1061"/>
      <c r="F79" s="2042">
        <f t="shared" si="92"/>
        <v>0</v>
      </c>
      <c r="G79" s="1143">
        <f t="shared" ref="G79" si="94">G69</f>
        <v>0</v>
      </c>
      <c r="H79" s="1143"/>
      <c r="I79" s="1139">
        <f t="shared" si="71"/>
        <v>0</v>
      </c>
      <c r="J79" s="578"/>
    </row>
    <row r="80" spans="1:23" x14ac:dyDescent="0.15">
      <c r="A80" s="2513"/>
      <c r="B80" s="2680"/>
      <c r="C80" s="590" t="s">
        <v>2001</v>
      </c>
      <c r="D80" s="1061"/>
      <c r="F80" s="2042">
        <f t="shared" si="92"/>
        <v>0</v>
      </c>
      <c r="G80" s="1143">
        <f t="shared" ref="G80" si="95">G70</f>
        <v>0</v>
      </c>
      <c r="H80" s="1143"/>
      <c r="I80" s="1139">
        <f t="shared" si="71"/>
        <v>0</v>
      </c>
      <c r="J80" s="578"/>
    </row>
    <row r="81" spans="1:21" x14ac:dyDescent="0.15">
      <c r="A81" s="2513"/>
      <c r="B81" s="2600"/>
      <c r="C81" s="590" t="s">
        <v>1476</v>
      </c>
      <c r="D81" s="1061"/>
      <c r="F81" s="2042">
        <f t="shared" si="92"/>
        <v>0</v>
      </c>
      <c r="G81" s="1143">
        <f t="shared" ref="G81" si="96">G71</f>
        <v>0</v>
      </c>
      <c r="H81" s="1143"/>
      <c r="I81" s="1139">
        <f t="shared" si="71"/>
        <v>0</v>
      </c>
      <c r="J81" s="578">
        <f>SUM(F81:I81)</f>
        <v>0</v>
      </c>
    </row>
    <row r="82" spans="1:21" x14ac:dyDescent="0.15">
      <c r="A82" s="2513"/>
      <c r="B82" s="2600"/>
      <c r="C82" s="590" t="s">
        <v>1203</v>
      </c>
      <c r="D82" s="1061"/>
      <c r="F82" s="2042">
        <f t="shared" si="92"/>
        <v>0</v>
      </c>
      <c r="G82" s="1143">
        <f t="shared" ref="G82" si="97">G72</f>
        <v>0</v>
      </c>
      <c r="H82" s="1143"/>
      <c r="I82" s="1139">
        <f t="shared" si="71"/>
        <v>0</v>
      </c>
      <c r="J82" s="578">
        <f>SUM(F82:I82)</f>
        <v>0</v>
      </c>
    </row>
    <row r="83" spans="1:21" x14ac:dyDescent="0.15">
      <c r="A83" s="2513"/>
      <c r="B83" s="2681"/>
      <c r="C83" s="590" t="s">
        <v>585</v>
      </c>
      <c r="D83" s="1061"/>
      <c r="F83" s="2042">
        <f t="shared" si="92"/>
        <v>0</v>
      </c>
      <c r="G83" s="1143">
        <f t="shared" ref="G83" si="98">G73</f>
        <v>0</v>
      </c>
      <c r="H83" s="1143"/>
      <c r="I83" s="1139">
        <f t="shared" si="71"/>
        <v>0</v>
      </c>
      <c r="J83" s="578">
        <f>SUM(F83:I83)</f>
        <v>0</v>
      </c>
    </row>
    <row r="84" spans="1:21" x14ac:dyDescent="0.15">
      <c r="A84" s="2513"/>
      <c r="B84" s="2681"/>
      <c r="C84" s="566" t="s">
        <v>642</v>
      </c>
      <c r="D84" s="1061"/>
      <c r="F84" s="2042">
        <f t="shared" si="92"/>
        <v>0</v>
      </c>
      <c r="G84" s="1143">
        <f t="shared" ref="G84" si="99">G74</f>
        <v>0</v>
      </c>
      <c r="H84" s="1143"/>
      <c r="I84" s="1139">
        <f t="shared" si="71"/>
        <v>0</v>
      </c>
      <c r="J84" s="578"/>
    </row>
    <row r="85" spans="1:21" x14ac:dyDescent="0.15">
      <c r="A85" s="2513"/>
      <c r="B85" s="2681"/>
      <c r="C85" s="566" t="s">
        <v>1600</v>
      </c>
      <c r="D85" s="1061"/>
      <c r="F85" s="2042">
        <f t="shared" si="92"/>
        <v>0</v>
      </c>
      <c r="G85" s="1143">
        <f t="shared" ref="G85" si="100">G75</f>
        <v>0</v>
      </c>
      <c r="H85" s="1143"/>
      <c r="I85" s="1139">
        <f t="shared" si="71"/>
        <v>0</v>
      </c>
      <c r="J85" s="578"/>
    </row>
    <row r="86" spans="1:21" x14ac:dyDescent="0.15">
      <c r="A86" s="2513"/>
      <c r="B86" s="2681"/>
      <c r="C86" s="590" t="s">
        <v>1204</v>
      </c>
      <c r="D86" s="1061"/>
      <c r="F86" s="2042">
        <f t="shared" si="92"/>
        <v>0</v>
      </c>
      <c r="G86" s="1143">
        <f t="shared" ref="G86" si="101">G76</f>
        <v>0</v>
      </c>
      <c r="H86" s="1143"/>
      <c r="I86" s="1139">
        <f t="shared" si="71"/>
        <v>0</v>
      </c>
      <c r="J86" s="578">
        <f>SUM(F86:I86)</f>
        <v>0</v>
      </c>
    </row>
    <row r="87" spans="1:21" ht="19.5" thickBot="1" x14ac:dyDescent="0.2">
      <c r="A87" s="2513"/>
      <c r="B87" s="2682"/>
      <c r="C87" s="928" t="s">
        <v>1209</v>
      </c>
      <c r="D87" s="982"/>
      <c r="E87" s="1797"/>
      <c r="F87" s="2045">
        <f t="shared" ref="F87" si="102">F77</f>
        <v>0</v>
      </c>
      <c r="G87" s="1173">
        <f t="shared" ref="G87" si="103">G77</f>
        <v>0</v>
      </c>
      <c r="H87" s="1173"/>
      <c r="I87" s="1140">
        <f t="shared" si="71"/>
        <v>0</v>
      </c>
      <c r="J87" s="578">
        <f>SUM(F87:I87)</f>
        <v>0</v>
      </c>
    </row>
    <row r="88" spans="1:21" ht="19.5" thickBot="1" x14ac:dyDescent="0.2">
      <c r="A88" s="2513"/>
      <c r="B88" s="2666" t="s">
        <v>1832</v>
      </c>
      <c r="C88" s="2666"/>
      <c r="D88" s="1255"/>
      <c r="E88" s="1256"/>
      <c r="F88" s="2035"/>
      <c r="G88" s="1259"/>
      <c r="H88" s="1259"/>
      <c r="I88" s="1260">
        <f t="shared" si="71"/>
        <v>0</v>
      </c>
      <c r="J88" s="1016">
        <f>COUNTA(B88:H88)</f>
        <v>1</v>
      </c>
    </row>
    <row r="89" spans="1:21" x14ac:dyDescent="0.15">
      <c r="A89" s="2513"/>
      <c r="B89" s="2652" t="s">
        <v>1611</v>
      </c>
      <c r="C89" s="549" t="s">
        <v>1228</v>
      </c>
      <c r="D89" s="1060"/>
      <c r="E89" s="1798"/>
      <c r="F89" s="2036"/>
      <c r="G89" s="1169"/>
      <c r="H89" s="1169"/>
      <c r="I89" s="1535"/>
      <c r="J89" s="578">
        <f t="shared" ref="J89:J98" si="104">SUM(F89:I89)</f>
        <v>0</v>
      </c>
      <c r="K89" s="972"/>
      <c r="L89" s="972"/>
      <c r="M89" s="972"/>
      <c r="N89" s="972"/>
      <c r="O89" s="972"/>
      <c r="P89" s="972"/>
      <c r="Q89" s="972"/>
      <c r="R89" s="972"/>
      <c r="S89" s="972"/>
      <c r="T89" s="972"/>
      <c r="U89" s="972"/>
    </row>
    <row r="90" spans="1:21" x14ac:dyDescent="0.15">
      <c r="A90" s="2513"/>
      <c r="B90" s="2573"/>
      <c r="C90" s="566" t="s">
        <v>1227</v>
      </c>
      <c r="D90" s="1061"/>
      <c r="F90" s="2037"/>
      <c r="G90" s="1175"/>
      <c r="H90" s="1175"/>
      <c r="I90" s="1139">
        <f>ROUND(SUM(F90:H90),2)</f>
        <v>0</v>
      </c>
      <c r="J90" s="578">
        <f t="shared" si="104"/>
        <v>0</v>
      </c>
      <c r="K90" s="972"/>
      <c r="L90" s="972"/>
      <c r="M90" s="972"/>
      <c r="N90" s="972"/>
      <c r="O90" s="972"/>
      <c r="P90" s="972"/>
      <c r="Q90" s="972"/>
      <c r="R90" s="972"/>
      <c r="S90" s="972"/>
      <c r="T90" s="972"/>
      <c r="U90" s="972"/>
    </row>
    <row r="91" spans="1:21" ht="22.5" x14ac:dyDescent="0.15">
      <c r="A91" s="2513"/>
      <c r="B91" s="2573"/>
      <c r="C91" s="566" t="s">
        <v>1833</v>
      </c>
      <c r="D91" s="1061"/>
      <c r="F91" s="2042">
        <f t="shared" ref="F91" si="105">F90*2</f>
        <v>0</v>
      </c>
      <c r="G91" s="1143">
        <f t="shared" ref="G91" si="106">G90*2</f>
        <v>0</v>
      </c>
      <c r="H91" s="1143"/>
      <c r="I91" s="1139">
        <f>ROUND(SUM(F91:H91),2)</f>
        <v>0</v>
      </c>
      <c r="J91" s="578">
        <f t="shared" si="104"/>
        <v>0</v>
      </c>
      <c r="K91" s="972"/>
      <c r="L91" s="972"/>
      <c r="M91" s="972"/>
      <c r="N91" s="972"/>
      <c r="O91" s="972"/>
      <c r="P91" s="972"/>
      <c r="Q91" s="972"/>
      <c r="R91" s="972"/>
      <c r="S91" s="972"/>
      <c r="T91" s="972"/>
      <c r="U91" s="972"/>
    </row>
    <row r="92" spans="1:21" x14ac:dyDescent="0.15">
      <c r="A92" s="2513"/>
      <c r="B92" s="2573"/>
      <c r="C92" s="566" t="s">
        <v>1221</v>
      </c>
      <c r="D92" s="1061"/>
      <c r="F92" s="2042">
        <f t="shared" ref="F92" si="107">F90*F89</f>
        <v>0</v>
      </c>
      <c r="G92" s="1143">
        <f t="shared" ref="G92" si="108">G90*G89</f>
        <v>0</v>
      </c>
      <c r="H92" s="1143"/>
      <c r="I92" s="1139">
        <f>ROUND(SUM(F92:H92),2)</f>
        <v>0</v>
      </c>
      <c r="J92" s="578">
        <f t="shared" si="104"/>
        <v>0</v>
      </c>
      <c r="K92" s="972"/>
      <c r="L92" s="972"/>
      <c r="M92" s="972"/>
      <c r="N92" s="972"/>
      <c r="O92" s="972"/>
      <c r="P92" s="972"/>
      <c r="Q92" s="972"/>
      <c r="R92" s="972"/>
      <c r="S92" s="972"/>
      <c r="T92" s="972"/>
      <c r="U92" s="972"/>
    </row>
    <row r="93" spans="1:21" x14ac:dyDescent="0.15">
      <c r="A93" s="2513"/>
      <c r="B93" s="2573"/>
      <c r="C93" s="566" t="s">
        <v>1242</v>
      </c>
      <c r="D93" s="1061"/>
      <c r="F93" s="2050"/>
      <c r="G93" s="1536"/>
      <c r="H93" s="1536"/>
      <c r="I93" s="1266"/>
      <c r="J93" s="578">
        <f t="shared" si="104"/>
        <v>0</v>
      </c>
      <c r="K93" s="972"/>
      <c r="L93" s="972"/>
      <c r="M93" s="972"/>
      <c r="N93" s="972"/>
      <c r="O93" s="972"/>
      <c r="P93" s="972"/>
      <c r="Q93" s="972"/>
      <c r="R93" s="972"/>
      <c r="S93" s="972"/>
      <c r="T93" s="972"/>
      <c r="U93" s="972"/>
    </row>
    <row r="94" spans="1:21" ht="19.5" thickBot="1" x14ac:dyDescent="0.2">
      <c r="A94" s="2513"/>
      <c r="B94" s="2573"/>
      <c r="C94" s="565" t="s">
        <v>472</v>
      </c>
      <c r="D94" s="982"/>
      <c r="E94" s="1797"/>
      <c r="F94" s="2045">
        <f t="shared" ref="F94" si="109">F90*F89*F93/100</f>
        <v>0</v>
      </c>
      <c r="G94" s="1134">
        <f t="shared" ref="G94" si="110">G90*G89*G93/100</f>
        <v>0</v>
      </c>
      <c r="H94" s="1134"/>
      <c r="I94" s="1139">
        <f>ROUND(SUM(F94:H94),2)</f>
        <v>0</v>
      </c>
      <c r="J94" s="578">
        <f t="shared" si="104"/>
        <v>0</v>
      </c>
      <c r="K94" s="972"/>
      <c r="L94" s="972"/>
      <c r="M94" s="972"/>
      <c r="N94" s="972"/>
      <c r="O94" s="972"/>
      <c r="P94" s="972"/>
      <c r="Q94" s="972"/>
      <c r="R94" s="972"/>
      <c r="S94" s="972"/>
      <c r="T94" s="972"/>
      <c r="U94" s="972"/>
    </row>
    <row r="95" spans="1:21" x14ac:dyDescent="0.15">
      <c r="A95" s="2513"/>
      <c r="B95" s="2652" t="s">
        <v>1828</v>
      </c>
      <c r="C95" s="1195" t="s">
        <v>1276</v>
      </c>
      <c r="F95" s="2050"/>
      <c r="G95" s="1536"/>
      <c r="H95" s="1536"/>
      <c r="I95" s="1200">
        <f>ROUND(SUM(F95:H95),2)</f>
        <v>0</v>
      </c>
      <c r="J95" s="578">
        <f t="shared" si="104"/>
        <v>0</v>
      </c>
      <c r="K95" s="972"/>
      <c r="L95" s="972"/>
      <c r="M95" s="972"/>
      <c r="N95" s="972"/>
      <c r="O95" s="972"/>
      <c r="P95" s="972"/>
      <c r="Q95" s="972"/>
      <c r="R95" s="972"/>
      <c r="S95" s="972"/>
      <c r="T95" s="972"/>
      <c r="U95" s="972"/>
    </row>
    <row r="96" spans="1:21" ht="19.5" thickBot="1" x14ac:dyDescent="0.2">
      <c r="A96" s="2513"/>
      <c r="B96" s="2664"/>
      <c r="C96" s="565" t="s">
        <v>512</v>
      </c>
      <c r="D96" s="986"/>
      <c r="E96" s="1797"/>
      <c r="F96" s="2045">
        <f t="shared" ref="F96" si="111">F90*F89*F95/100</f>
        <v>0</v>
      </c>
      <c r="G96" s="1173">
        <f t="shared" ref="G96" si="112">G90*G89*G95/100</f>
        <v>0</v>
      </c>
      <c r="H96" s="1173"/>
      <c r="I96" s="1140">
        <f>ROUND(SUM(F96:H96),2)</f>
        <v>0</v>
      </c>
      <c r="J96" s="578">
        <f t="shared" si="104"/>
        <v>0</v>
      </c>
      <c r="K96" s="972"/>
      <c r="L96" s="972"/>
      <c r="M96" s="972"/>
      <c r="N96" s="972"/>
      <c r="O96" s="972"/>
      <c r="P96" s="972"/>
      <c r="Q96" s="972"/>
      <c r="R96" s="972"/>
      <c r="S96" s="972"/>
      <c r="T96" s="972"/>
      <c r="U96" s="972"/>
    </row>
    <row r="97" spans="1:21" x14ac:dyDescent="0.15">
      <c r="A97" s="2513"/>
      <c r="B97" s="2652" t="s">
        <v>59</v>
      </c>
      <c r="C97" s="1189" t="s">
        <v>1276</v>
      </c>
      <c r="D97" s="1458"/>
      <c r="E97" s="2029"/>
      <c r="F97" s="2050"/>
      <c r="G97" s="1536"/>
      <c r="H97" s="1536"/>
      <c r="I97" s="1200">
        <f>ROUND(SUM(F97:H97),2)</f>
        <v>0</v>
      </c>
      <c r="J97" s="578">
        <f t="shared" si="104"/>
        <v>0</v>
      </c>
      <c r="K97" s="972"/>
      <c r="L97" s="972"/>
      <c r="M97" s="972"/>
      <c r="N97" s="972"/>
      <c r="O97" s="972"/>
      <c r="P97" s="972"/>
      <c r="Q97" s="972"/>
      <c r="R97" s="972"/>
      <c r="S97" s="972"/>
      <c r="T97" s="972"/>
      <c r="U97" s="972"/>
    </row>
    <row r="98" spans="1:21" x14ac:dyDescent="0.15">
      <c r="A98" s="2513"/>
      <c r="B98" s="2573"/>
      <c r="C98" s="566" t="s">
        <v>300</v>
      </c>
      <c r="F98" s="2042">
        <f t="shared" ref="F98" si="113">F90*F89*F97/100</f>
        <v>0</v>
      </c>
      <c r="G98" s="1138">
        <f t="shared" ref="G98" si="114">G90*G89*G97/100</f>
        <v>0</v>
      </c>
      <c r="H98" s="1138"/>
      <c r="I98" s="1139">
        <f>ROUND(SUM(F98:H98),2)</f>
        <v>0</v>
      </c>
      <c r="J98" s="578">
        <f t="shared" si="104"/>
        <v>0</v>
      </c>
      <c r="K98" s="972"/>
      <c r="L98" s="972"/>
      <c r="M98" s="972"/>
      <c r="N98" s="972"/>
      <c r="O98" s="972"/>
      <c r="P98" s="972"/>
      <c r="Q98" s="972"/>
      <c r="R98" s="972"/>
      <c r="S98" s="972"/>
      <c r="T98" s="972"/>
      <c r="U98" s="972"/>
    </row>
    <row r="99" spans="1:21" x14ac:dyDescent="0.15">
      <c r="A99" s="2513"/>
      <c r="B99" s="2573"/>
      <c r="C99" s="566" t="s">
        <v>1829</v>
      </c>
      <c r="D99" s="1528"/>
      <c r="E99" s="2030"/>
      <c r="F99" s="2051"/>
      <c r="G99" s="1537"/>
      <c r="H99" s="1537"/>
      <c r="I99" s="1266"/>
      <c r="J99" s="1016">
        <f>J98</f>
        <v>0</v>
      </c>
      <c r="K99" s="972"/>
      <c r="L99" s="972"/>
      <c r="M99" s="972"/>
      <c r="N99" s="972"/>
      <c r="O99" s="972"/>
      <c r="P99" s="972"/>
      <c r="Q99" s="972"/>
      <c r="R99" s="972"/>
      <c r="S99" s="972"/>
      <c r="T99" s="972"/>
      <c r="U99" s="972"/>
    </row>
    <row r="100" spans="1:21" x14ac:dyDescent="0.15">
      <c r="A100" s="2513"/>
      <c r="B100" s="2573"/>
      <c r="C100" s="566" t="s">
        <v>724</v>
      </c>
      <c r="F100" s="2042">
        <f t="shared" ref="F100" si="115">IF(F99="sim",F$98*1.25,0)</f>
        <v>0</v>
      </c>
      <c r="G100" s="1143">
        <f t="shared" ref="G100" si="116">IF(G99="sim",G$98*1.25,0)</f>
        <v>0</v>
      </c>
      <c r="H100" s="1143"/>
      <c r="I100" s="1139">
        <f>ROUND(SUM(F100:H100),2)</f>
        <v>0</v>
      </c>
      <c r="J100" s="578">
        <f>SUM(F100:I100)</f>
        <v>0</v>
      </c>
      <c r="K100" s="972"/>
      <c r="L100" s="972"/>
      <c r="M100" s="972"/>
      <c r="N100" s="972"/>
      <c r="O100" s="972"/>
      <c r="P100" s="972"/>
      <c r="Q100" s="972"/>
      <c r="R100" s="972"/>
      <c r="S100" s="972"/>
      <c r="T100" s="972"/>
      <c r="U100" s="972"/>
    </row>
    <row r="101" spans="1:21" x14ac:dyDescent="0.15">
      <c r="A101" s="2513"/>
      <c r="B101" s="2573"/>
      <c r="C101" s="566" t="s">
        <v>1830</v>
      </c>
      <c r="E101" s="2030"/>
      <c r="F101" s="2051"/>
      <c r="G101" s="1537"/>
      <c r="H101" s="1537"/>
      <c r="I101" s="1266"/>
      <c r="J101" s="1016">
        <f>J100</f>
        <v>0</v>
      </c>
      <c r="K101" s="972"/>
      <c r="L101" s="972"/>
      <c r="M101" s="972"/>
      <c r="N101" s="972"/>
      <c r="O101" s="972"/>
      <c r="P101" s="972"/>
      <c r="Q101" s="972"/>
      <c r="R101" s="972"/>
      <c r="S101" s="972"/>
      <c r="T101" s="972"/>
      <c r="U101" s="972"/>
    </row>
    <row r="102" spans="1:21" x14ac:dyDescent="0.15">
      <c r="A102" s="2513"/>
      <c r="B102" s="2573"/>
      <c r="C102" s="566" t="s">
        <v>1301</v>
      </c>
      <c r="F102" s="2042">
        <f t="shared" ref="F102" si="117">IF(F101="sim",F$98*1.375,0)</f>
        <v>0</v>
      </c>
      <c r="G102" s="1143">
        <f t="shared" ref="G102" si="118">IF(G101="sim",G$98*1.375,0)</f>
        <v>0</v>
      </c>
      <c r="H102" s="1143"/>
      <c r="I102" s="1139">
        <f>ROUND(SUM(F102:H102),2)</f>
        <v>0</v>
      </c>
      <c r="J102" s="578">
        <f>SUM(F102:I102)</f>
        <v>0</v>
      </c>
      <c r="K102" s="972"/>
      <c r="L102" s="972"/>
      <c r="M102" s="972"/>
      <c r="N102" s="972"/>
      <c r="O102" s="972"/>
      <c r="P102" s="972"/>
      <c r="Q102" s="972"/>
      <c r="R102" s="972"/>
      <c r="S102" s="972"/>
      <c r="T102" s="972"/>
      <c r="U102" s="972"/>
    </row>
    <row r="103" spans="1:21" x14ac:dyDescent="0.15">
      <c r="A103" s="2513"/>
      <c r="B103" s="2573"/>
      <c r="C103" s="566" t="s">
        <v>1831</v>
      </c>
      <c r="D103" s="1528"/>
      <c r="E103" s="2030"/>
      <c r="F103" s="2051"/>
      <c r="G103" s="1537"/>
      <c r="H103" s="1537"/>
      <c r="I103" s="1266"/>
      <c r="J103" s="1016">
        <f>J102</f>
        <v>0</v>
      </c>
      <c r="K103" s="972"/>
      <c r="L103" s="972"/>
      <c r="M103" s="972"/>
      <c r="N103" s="972"/>
      <c r="O103" s="972"/>
      <c r="P103" s="972"/>
      <c r="Q103" s="972"/>
      <c r="R103" s="972"/>
      <c r="S103" s="972"/>
      <c r="T103" s="972"/>
      <c r="U103" s="972"/>
    </row>
    <row r="104" spans="1:21" ht="23.25" thickBot="1" x14ac:dyDescent="0.2">
      <c r="A104" s="2513"/>
      <c r="B104" s="2664"/>
      <c r="C104" s="565" t="s">
        <v>1753</v>
      </c>
      <c r="D104" s="1539"/>
      <c r="E104" s="2031"/>
      <c r="F104" s="2045">
        <f t="shared" ref="F104" si="119">IF(F103="sim",F$98*1.4667,0)</f>
        <v>0</v>
      </c>
      <c r="G104" s="1134">
        <f t="shared" ref="G104" si="120">IF(G103="sim",G$98*1.4667,0)</f>
        <v>0</v>
      </c>
      <c r="H104" s="1134"/>
      <c r="I104" s="1140">
        <f>ROUND(SUM(F104:H104),2)</f>
        <v>0</v>
      </c>
      <c r="J104" s="578">
        <f t="shared" ref="J104:J118" si="121">SUM(F104:I104)</f>
        <v>0</v>
      </c>
      <c r="K104" s="972"/>
      <c r="L104" s="972"/>
      <c r="M104" s="972"/>
      <c r="N104" s="972"/>
      <c r="O104" s="972"/>
      <c r="P104" s="972"/>
      <c r="Q104" s="972"/>
      <c r="R104" s="972"/>
      <c r="S104" s="972"/>
      <c r="T104" s="972"/>
      <c r="U104" s="972"/>
    </row>
    <row r="105" spans="1:21" x14ac:dyDescent="0.15">
      <c r="A105" s="2513"/>
      <c r="B105" s="2667" t="s">
        <v>301</v>
      </c>
      <c r="C105" s="549" t="s">
        <v>29</v>
      </c>
      <c r="D105" s="984"/>
      <c r="E105" s="1798"/>
      <c r="F105" s="2042">
        <f t="shared" ref="F105" si="122">F90*F89</f>
        <v>0</v>
      </c>
      <c r="G105" s="1143">
        <f t="shared" ref="G105" si="123">G90*G89</f>
        <v>0</v>
      </c>
      <c r="H105" s="1143"/>
      <c r="I105" s="1139">
        <f>ROUND(SUM(F105:H105),2)</f>
        <v>0</v>
      </c>
      <c r="J105" s="578">
        <f t="shared" si="121"/>
        <v>0</v>
      </c>
      <c r="K105" s="972"/>
      <c r="L105" s="972"/>
      <c r="M105" s="972"/>
      <c r="N105" s="972"/>
      <c r="O105" s="972"/>
      <c r="P105" s="972"/>
      <c r="Q105" s="972"/>
      <c r="R105" s="972"/>
      <c r="S105" s="972"/>
      <c r="T105" s="972"/>
      <c r="U105" s="972"/>
    </row>
    <row r="106" spans="1:21" ht="23.25" thickBot="1" x14ac:dyDescent="0.2">
      <c r="A106" s="2513"/>
      <c r="B106" s="2672"/>
      <c r="C106" s="565" t="s">
        <v>1398</v>
      </c>
      <c r="D106" s="986"/>
      <c r="E106" s="1797"/>
      <c r="F106" s="2042">
        <f t="shared" ref="F106" si="124">F105*0.0012</f>
        <v>0</v>
      </c>
      <c r="G106" s="1138">
        <f t="shared" ref="G106" si="125">G105*0.0012</f>
        <v>0</v>
      </c>
      <c r="H106" s="1138"/>
      <c r="I106" s="1140">
        <f>ROUND(SUM(F106:H106),2)</f>
        <v>0</v>
      </c>
      <c r="J106" s="578">
        <f t="shared" si="121"/>
        <v>0</v>
      </c>
      <c r="K106" s="972"/>
      <c r="L106" s="972"/>
      <c r="M106" s="972"/>
      <c r="N106" s="972"/>
      <c r="O106" s="972"/>
      <c r="P106" s="972"/>
      <c r="Q106" s="972"/>
      <c r="R106" s="972"/>
      <c r="S106" s="972"/>
      <c r="T106" s="972"/>
      <c r="U106" s="972"/>
    </row>
    <row r="107" spans="1:21" x14ac:dyDescent="0.15">
      <c r="A107" s="2513"/>
      <c r="B107" s="2674" t="s">
        <v>1370</v>
      </c>
      <c r="C107" s="1183" t="s">
        <v>1276</v>
      </c>
      <c r="D107" s="1541"/>
      <c r="E107" s="2032"/>
      <c r="F107" s="2052"/>
      <c r="G107" s="1285"/>
      <c r="H107" s="1285"/>
      <c r="I107" s="1266"/>
      <c r="J107" s="578">
        <f t="shared" si="121"/>
        <v>0</v>
      </c>
      <c r="K107" s="972"/>
      <c r="L107" s="972"/>
      <c r="M107" s="972"/>
      <c r="N107" s="972"/>
      <c r="O107" s="972"/>
      <c r="P107" s="972"/>
      <c r="Q107" s="972"/>
      <c r="R107" s="972"/>
      <c r="S107" s="972"/>
      <c r="T107" s="972"/>
      <c r="U107" s="972"/>
    </row>
    <row r="108" spans="1:21" x14ac:dyDescent="0.15">
      <c r="A108" s="2513"/>
      <c r="B108" s="2676"/>
      <c r="C108" s="566" t="s">
        <v>684</v>
      </c>
      <c r="F108" s="2042">
        <f t="shared" ref="F108:G108" si="126">F$105*F$107*2.5548/100</f>
        <v>0</v>
      </c>
      <c r="G108" s="1143">
        <f t="shared" si="126"/>
        <v>0</v>
      </c>
      <c r="H108" s="1143"/>
      <c r="I108" s="1139">
        <f>ROUND(SUM(F108:H108),2)</f>
        <v>0</v>
      </c>
      <c r="J108" s="578">
        <f t="shared" si="121"/>
        <v>0</v>
      </c>
      <c r="K108" s="972"/>
      <c r="L108" s="972"/>
      <c r="M108" s="972"/>
      <c r="N108" s="972"/>
      <c r="O108" s="972"/>
      <c r="P108" s="972"/>
      <c r="Q108" s="972"/>
      <c r="R108" s="972"/>
      <c r="S108" s="972"/>
      <c r="T108" s="972"/>
      <c r="U108" s="972"/>
    </row>
    <row r="109" spans="1:21" x14ac:dyDescent="0.15">
      <c r="A109" s="2513"/>
      <c r="B109" s="2676"/>
      <c r="C109" s="566" t="s">
        <v>715</v>
      </c>
      <c r="F109" s="2042">
        <f t="shared" ref="F109:G109" si="127">F$105*F$107</f>
        <v>0</v>
      </c>
      <c r="G109" s="1143">
        <f t="shared" si="127"/>
        <v>0</v>
      </c>
      <c r="H109" s="1143"/>
      <c r="I109" s="1139">
        <f>ROUND(SUM(F109:H109),2)</f>
        <v>0</v>
      </c>
      <c r="J109" s="578">
        <f t="shared" si="121"/>
        <v>0</v>
      </c>
      <c r="K109" s="972"/>
      <c r="L109" s="972"/>
      <c r="M109" s="972"/>
      <c r="N109" s="972"/>
      <c r="O109" s="972"/>
      <c r="P109" s="972"/>
      <c r="Q109" s="972"/>
      <c r="R109" s="972"/>
      <c r="S109" s="972"/>
      <c r="T109" s="972"/>
      <c r="U109" s="972"/>
    </row>
    <row r="110" spans="1:21" x14ac:dyDescent="0.15">
      <c r="A110" s="2513"/>
      <c r="B110" s="2676"/>
      <c r="C110" s="558" t="s">
        <v>1763</v>
      </c>
      <c r="F110" s="2042">
        <f t="shared" ref="F110" si="128">F108*0.06</f>
        <v>0</v>
      </c>
      <c r="G110" s="1143">
        <f t="shared" ref="G110" si="129">G108*0.06</f>
        <v>0</v>
      </c>
      <c r="H110" s="1143"/>
      <c r="I110" s="1139">
        <f>ROUND(SUM(F110:H110),2)</f>
        <v>0</v>
      </c>
      <c r="J110" s="578">
        <f t="shared" si="121"/>
        <v>0</v>
      </c>
      <c r="K110" s="972"/>
      <c r="L110" s="972"/>
      <c r="M110" s="972"/>
      <c r="N110" s="972"/>
      <c r="O110" s="972"/>
      <c r="P110" s="972"/>
      <c r="Q110" s="972"/>
      <c r="R110" s="972"/>
      <c r="S110" s="972"/>
      <c r="T110" s="972"/>
      <c r="U110" s="972"/>
    </row>
    <row r="111" spans="1:21" x14ac:dyDescent="0.15">
      <c r="A111" s="2513"/>
      <c r="B111" s="2676"/>
      <c r="C111" s="562" t="s">
        <v>696</v>
      </c>
      <c r="F111" s="2042">
        <f t="shared" ref="F111" si="130">F108*0.161</f>
        <v>0</v>
      </c>
      <c r="G111" s="1143">
        <f t="shared" ref="G111" si="131">G108*0.161</f>
        <v>0</v>
      </c>
      <c r="H111" s="1143"/>
      <c r="I111" s="1139">
        <f>ROUND(SUM(F111:H111),2)</f>
        <v>0</v>
      </c>
      <c r="J111" s="578">
        <f t="shared" si="121"/>
        <v>0</v>
      </c>
      <c r="K111" s="972"/>
      <c r="L111" s="972"/>
      <c r="M111" s="972"/>
      <c r="N111" s="972"/>
      <c r="O111" s="972"/>
      <c r="P111" s="972"/>
      <c r="Q111" s="972"/>
      <c r="R111" s="972"/>
      <c r="S111" s="972"/>
      <c r="T111" s="972"/>
      <c r="U111" s="972"/>
    </row>
    <row r="112" spans="1:21" ht="19.5" thickBot="1" x14ac:dyDescent="0.2">
      <c r="A112" s="2513"/>
      <c r="B112" s="2675"/>
      <c r="C112" s="561" t="s">
        <v>695</v>
      </c>
      <c r="D112" s="986"/>
      <c r="E112" s="1797"/>
      <c r="F112" s="2045">
        <f t="shared" ref="F112" si="132">F108*0.447</f>
        <v>0</v>
      </c>
      <c r="G112" s="1134">
        <f t="shared" ref="G112" si="133">G108*0.447</f>
        <v>0</v>
      </c>
      <c r="H112" s="1134"/>
      <c r="I112" s="1140">
        <f>ROUND(SUM(F112:H112),2)</f>
        <v>0</v>
      </c>
      <c r="J112" s="578">
        <f t="shared" si="121"/>
        <v>0</v>
      </c>
      <c r="K112" s="972"/>
      <c r="L112" s="972"/>
      <c r="M112" s="972"/>
      <c r="N112" s="972"/>
      <c r="O112" s="972"/>
      <c r="P112" s="972"/>
      <c r="Q112" s="972"/>
      <c r="R112" s="972"/>
      <c r="S112" s="972"/>
      <c r="T112" s="972"/>
      <c r="U112" s="972"/>
    </row>
    <row r="113" spans="1:21" x14ac:dyDescent="0.15">
      <c r="A113" s="2513"/>
      <c r="B113" s="2677" t="s">
        <v>1371</v>
      </c>
      <c r="C113" s="1188" t="s">
        <v>1276</v>
      </c>
      <c r="D113" s="1541"/>
      <c r="E113" s="2032"/>
      <c r="F113" s="2052"/>
      <c r="G113" s="1285"/>
      <c r="H113" s="1285"/>
      <c r="I113" s="1266"/>
      <c r="J113" s="578">
        <f t="shared" si="121"/>
        <v>0</v>
      </c>
      <c r="K113" s="972"/>
      <c r="L113" s="972"/>
      <c r="M113" s="972"/>
      <c r="N113" s="972"/>
      <c r="O113" s="972"/>
      <c r="P113" s="972"/>
      <c r="Q113" s="972"/>
      <c r="R113" s="972"/>
      <c r="S113" s="972"/>
      <c r="T113" s="972"/>
      <c r="U113" s="972"/>
    </row>
    <row r="114" spans="1:21" x14ac:dyDescent="0.15">
      <c r="A114" s="2513"/>
      <c r="B114" s="2678"/>
      <c r="C114" s="566" t="s">
        <v>1369</v>
      </c>
      <c r="F114" s="2042">
        <f t="shared" ref="F114" si="134">F105*F113*2.346/100</f>
        <v>0</v>
      </c>
      <c r="G114" s="1143">
        <f t="shared" ref="G114" si="135">G105*G113*2.346/100</f>
        <v>0</v>
      </c>
      <c r="H114" s="1143"/>
      <c r="I114" s="1139">
        <f>ROUND(SUM(F114:H114),2)</f>
        <v>0</v>
      </c>
      <c r="J114" s="578">
        <f t="shared" si="121"/>
        <v>0</v>
      </c>
      <c r="K114" s="972"/>
      <c r="L114" s="972"/>
      <c r="M114" s="972"/>
      <c r="N114" s="972"/>
      <c r="O114" s="972"/>
      <c r="P114" s="972"/>
      <c r="Q114" s="972"/>
      <c r="R114" s="972"/>
      <c r="S114" s="972"/>
      <c r="T114" s="972"/>
      <c r="U114" s="972"/>
    </row>
    <row r="115" spans="1:21" x14ac:dyDescent="0.15">
      <c r="A115" s="2513"/>
      <c r="B115" s="2678"/>
      <c r="C115" s="566" t="s">
        <v>715</v>
      </c>
      <c r="F115" s="2042">
        <f t="shared" ref="F115" si="136">F113*F105</f>
        <v>0</v>
      </c>
      <c r="G115" s="1143">
        <f t="shared" ref="G115" si="137">G113*G105</f>
        <v>0</v>
      </c>
      <c r="H115" s="1143"/>
      <c r="I115" s="1139">
        <f>ROUND(SUM(F115:H115),2)</f>
        <v>0</v>
      </c>
      <c r="J115" s="578">
        <f t="shared" si="121"/>
        <v>0</v>
      </c>
      <c r="K115" s="972"/>
      <c r="L115" s="972"/>
      <c r="M115" s="972"/>
      <c r="N115" s="972"/>
      <c r="O115" s="972"/>
      <c r="P115" s="972"/>
      <c r="Q115" s="972"/>
      <c r="R115" s="972"/>
      <c r="S115" s="972"/>
      <c r="T115" s="972"/>
      <c r="U115" s="972"/>
    </row>
    <row r="116" spans="1:21" x14ac:dyDescent="0.15">
      <c r="A116" s="2513"/>
      <c r="B116" s="2678"/>
      <c r="C116" s="558" t="s">
        <v>949</v>
      </c>
      <c r="F116" s="2042">
        <f t="shared" ref="F116" si="138">F114*0.132</f>
        <v>0</v>
      </c>
      <c r="G116" s="1143">
        <f t="shared" ref="G116" si="139">G114*0.132</f>
        <v>0</v>
      </c>
      <c r="H116" s="1143"/>
      <c r="I116" s="1139">
        <f>ROUND(SUM(F116:H116),2)</f>
        <v>0</v>
      </c>
      <c r="J116" s="578">
        <f t="shared" si="121"/>
        <v>0</v>
      </c>
      <c r="K116" s="972"/>
      <c r="L116" s="972"/>
      <c r="M116" s="972"/>
      <c r="N116" s="972"/>
      <c r="O116" s="972"/>
      <c r="P116" s="972"/>
      <c r="Q116" s="972"/>
      <c r="R116" s="972"/>
      <c r="S116" s="972"/>
      <c r="T116" s="972"/>
      <c r="U116" s="972"/>
    </row>
    <row r="117" spans="1:21" x14ac:dyDescent="0.15">
      <c r="A117" s="2513"/>
      <c r="B117" s="2678"/>
      <c r="C117" s="562" t="s">
        <v>694</v>
      </c>
      <c r="F117" s="2042">
        <f t="shared" ref="F117" si="140">F114*0.411</f>
        <v>0</v>
      </c>
      <c r="G117" s="1143">
        <f t="shared" ref="G117" si="141">G114*0.411</f>
        <v>0</v>
      </c>
      <c r="H117" s="1143"/>
      <c r="I117" s="1139">
        <f>ROUND(SUM(F117:H117),2)</f>
        <v>0</v>
      </c>
      <c r="J117" s="578">
        <f t="shared" si="121"/>
        <v>0</v>
      </c>
      <c r="K117" s="972"/>
      <c r="L117" s="972"/>
      <c r="M117" s="972"/>
      <c r="N117" s="972"/>
      <c r="O117" s="972"/>
      <c r="P117" s="972"/>
      <c r="Q117" s="972"/>
      <c r="R117" s="972"/>
      <c r="S117" s="972"/>
      <c r="T117" s="972"/>
      <c r="U117" s="972"/>
    </row>
    <row r="118" spans="1:21" ht="19.5" thickBot="1" x14ac:dyDescent="0.2">
      <c r="A118" s="2513"/>
      <c r="B118" s="2679"/>
      <c r="C118" s="808" t="s">
        <v>685</v>
      </c>
      <c r="D118" s="986"/>
      <c r="E118" s="1797"/>
      <c r="F118" s="2045">
        <f t="shared" ref="F118" si="142">F114*0.968</f>
        <v>0</v>
      </c>
      <c r="G118" s="1134">
        <f t="shared" ref="G118" si="143">G114*0.968</f>
        <v>0</v>
      </c>
      <c r="H118" s="1134"/>
      <c r="I118" s="1140">
        <f>ROUND(SUM(F118:H118),2)</f>
        <v>0</v>
      </c>
      <c r="J118" s="578">
        <f t="shared" si="121"/>
        <v>0</v>
      </c>
      <c r="K118" s="972"/>
      <c r="L118" s="972"/>
      <c r="M118" s="972"/>
      <c r="N118" s="972"/>
      <c r="O118" s="972"/>
      <c r="P118" s="972"/>
      <c r="Q118" s="972"/>
      <c r="R118" s="972"/>
      <c r="S118" s="972"/>
      <c r="T118" s="972"/>
      <c r="U118" s="972"/>
    </row>
    <row r="119" spans="1:21" ht="20.25" thickBot="1" x14ac:dyDescent="0.2">
      <c r="A119" s="2659"/>
      <c r="B119" s="2593" t="s">
        <v>12</v>
      </c>
      <c r="C119" s="2665"/>
      <c r="D119" s="1543"/>
      <c r="E119" s="2033"/>
      <c r="F119" s="2108"/>
      <c r="G119" s="2109"/>
      <c r="H119" s="1263"/>
      <c r="I119" s="2110"/>
      <c r="J119" s="667">
        <v>1</v>
      </c>
    </row>
    <row r="120" spans="1:21" ht="19.5" thickTop="1" x14ac:dyDescent="0.15">
      <c r="F120" s="1251"/>
      <c r="G120" s="1251"/>
      <c r="H120" s="1251"/>
      <c r="I120" s="1252"/>
    </row>
  </sheetData>
  <autoFilter ref="J1:J120"/>
  <mergeCells count="40">
    <mergeCell ref="B88:C88"/>
    <mergeCell ref="W56:W58"/>
    <mergeCell ref="K56:N56"/>
    <mergeCell ref="O56:R56"/>
    <mergeCell ref="S56:U56"/>
    <mergeCell ref="B78:B87"/>
    <mergeCell ref="B68:B77"/>
    <mergeCell ref="B89:B94"/>
    <mergeCell ref="B105:B106"/>
    <mergeCell ref="B107:B112"/>
    <mergeCell ref="B113:B118"/>
    <mergeCell ref="B95:B96"/>
    <mergeCell ref="B97:B104"/>
    <mergeCell ref="B38:B39"/>
    <mergeCell ref="B52:C52"/>
    <mergeCell ref="B36:B37"/>
    <mergeCell ref="B40:B44"/>
    <mergeCell ref="B66:B67"/>
    <mergeCell ref="B4:B6"/>
    <mergeCell ref="B16:B19"/>
    <mergeCell ref="B20:B24"/>
    <mergeCell ref="B25:B27"/>
    <mergeCell ref="B28:B32"/>
    <mergeCell ref="B9:B14"/>
    <mergeCell ref="B33:B35"/>
    <mergeCell ref="B61:B65"/>
    <mergeCell ref="B58:B59"/>
    <mergeCell ref="A1:A119"/>
    <mergeCell ref="B1:C1"/>
    <mergeCell ref="B2:C2"/>
    <mergeCell ref="B7:B8"/>
    <mergeCell ref="B53:B57"/>
    <mergeCell ref="B119:C119"/>
    <mergeCell ref="B15:C15"/>
    <mergeCell ref="B50:C50"/>
    <mergeCell ref="B46:B49"/>
    <mergeCell ref="B51:C51"/>
    <mergeCell ref="B3:C3"/>
    <mergeCell ref="B45:C45"/>
    <mergeCell ref="B60:C60"/>
  </mergeCells>
  <conditionalFormatting sqref="E3">
    <cfRule type="cellIs" dxfId="75" priority="28" operator="lessThan">
      <formula>0</formula>
    </cfRule>
  </conditionalFormatting>
  <conditionalFormatting sqref="E15:E19">
    <cfRule type="cellIs" dxfId="74" priority="149" operator="lessThan">
      <formula>0</formula>
    </cfRule>
  </conditionalFormatting>
  <conditionalFormatting sqref="E51">
    <cfRule type="cellIs" dxfId="73" priority="30" operator="lessThan">
      <formula>0</formula>
    </cfRule>
  </conditionalFormatting>
  <conditionalFormatting sqref="E53">
    <cfRule type="cellIs" dxfId="72" priority="150" operator="lessThan">
      <formula>E61</formula>
    </cfRule>
  </conditionalFormatting>
  <conditionalFormatting sqref="E88">
    <cfRule type="cellIs" dxfId="71" priority="8" operator="lessThan">
      <formula>0</formula>
    </cfRule>
  </conditionalFormatting>
  <hyperlinks>
    <hyperlink ref="B1:C1" location="PAINEL!A1" display="TRECHOS"/>
  </hyperlinks>
  <pageMargins left="0.59055118110236227" right="0.59055118110236227" top="0.39370078740157483" bottom="0.78740157480314965" header="0.31496062992125984" footer="0.23622047244094491"/>
  <pageSetup paperSize="9" scale="20" fitToWidth="2" orientation="landscape" r:id="rId1"/>
  <headerFooter>
    <oddFooter>&amp;L&amp;"Arial,Normal"&amp;8&amp;F&amp;C&amp;"Arial,Normal"&amp;8&amp;P / &amp;N&amp;R&amp;"Cambria,Regular"&amp;8Ricardo Schettini Figueiredo&amp;10
&amp;8Eng. Civil - CREA-RJ 52.656/D</oddFooter>
  </headerFooter>
  <ignoredErrors>
    <ignoredError sqref="I15 I3" formula="1"/>
  </ignoredErrors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30" filterMode="1">
    <tabColor theme="5" tint="0.59999389629810485"/>
    <pageSetUpPr fitToPage="1"/>
  </sheetPr>
  <dimension ref="A1:L103"/>
  <sheetViews>
    <sheetView showZeros="0" zoomScaleNormal="100" workbookViewId="0">
      <pane xSplit="5" ySplit="1" topLeftCell="G6" activePane="bottomRight" state="frozenSplit"/>
      <selection activeCell="D18" sqref="B13:I28"/>
      <selection pane="topRight" activeCell="D18" sqref="B13:I28"/>
      <selection pane="bottomLeft" activeCell="D18" sqref="B13:I28"/>
      <selection pane="bottomRight" activeCell="G6" sqref="G6"/>
    </sheetView>
  </sheetViews>
  <sheetFormatPr defaultColWidth="9" defaultRowHeight="18.75" x14ac:dyDescent="0.15"/>
  <cols>
    <col min="1" max="1" width="9.75" style="133" customWidth="1"/>
    <col min="2" max="2" width="14.625" style="13" customWidth="1"/>
    <col min="3" max="3" width="35.625" style="13" customWidth="1"/>
    <col min="4" max="4" width="3.625" style="985" hidden="1" customWidth="1"/>
    <col min="5" max="5" width="8.375" style="13" hidden="1" customWidth="1"/>
    <col min="6" max="6" width="12.625" style="13" hidden="1" customWidth="1"/>
    <col min="7" max="7" width="12.625" style="133" customWidth="1"/>
    <col min="8" max="8" width="12.625" style="420" customWidth="1"/>
    <col min="9" max="9" width="16" style="133" customWidth="1"/>
    <col min="10" max="10" width="10.75" style="133" customWidth="1"/>
    <col min="11" max="11" width="15.625" style="133" customWidth="1"/>
    <col min="12" max="16384" width="9" style="133"/>
  </cols>
  <sheetData>
    <row r="1" spans="1:9" s="16" customFormat="1" ht="60" customHeight="1" thickTop="1" thickBot="1" x14ac:dyDescent="0.2">
      <c r="A1" s="2512" t="s">
        <v>746</v>
      </c>
      <c r="B1" s="2686" t="s">
        <v>346</v>
      </c>
      <c r="C1" s="2687"/>
      <c r="D1" s="990"/>
      <c r="E1" s="973" t="s">
        <v>587</v>
      </c>
      <c r="F1" s="973" t="s">
        <v>1834</v>
      </c>
      <c r="G1" s="225" t="str">
        <f>Dren_Quantificacao!M1</f>
        <v>DRENAGEM EXISTENTE - RUA FRANCISCO MARTINS DE SOUZA</v>
      </c>
      <c r="H1" s="367" t="s">
        <v>0</v>
      </c>
      <c r="I1" s="577" t="s">
        <v>1355</v>
      </c>
    </row>
    <row r="2" spans="1:9" ht="21.95" hidden="1" customHeight="1" thickTop="1" thickBot="1" x14ac:dyDescent="0.2">
      <c r="A2" s="2513"/>
      <c r="B2" s="2564" t="s">
        <v>3</v>
      </c>
      <c r="C2" s="2565"/>
      <c r="D2" s="991"/>
      <c r="E2" s="1538"/>
      <c r="F2" s="1160">
        <f>Dre_Profunda!I90</f>
        <v>0</v>
      </c>
      <c r="G2" s="1160">
        <f>IF(G32&gt;0,Dren_Quantificacao!M3,0)</f>
        <v>0</v>
      </c>
      <c r="H2" s="1161">
        <f>ROUND(SUM(F2:G2),2)</f>
        <v>0</v>
      </c>
      <c r="I2" s="578">
        <f t="shared" ref="I2:I33" si="0">SUM(F2:H2)</f>
        <v>0</v>
      </c>
    </row>
    <row r="3" spans="1:9" s="14" customFormat="1" ht="21.95" hidden="1" customHeight="1" x14ac:dyDescent="0.15">
      <c r="A3" s="2513"/>
      <c r="B3" s="2566" t="s">
        <v>4</v>
      </c>
      <c r="C3" s="551" t="s">
        <v>41</v>
      </c>
      <c r="D3" s="992"/>
      <c r="E3" s="1514"/>
      <c r="F3" s="228"/>
      <c r="G3" s="228">
        <f>IF(G32&gt;0,+Dren_Quantificacao!M4,0)</f>
        <v>0</v>
      </c>
      <c r="H3" s="354"/>
      <c r="I3" s="578">
        <f t="shared" si="0"/>
        <v>0</v>
      </c>
    </row>
    <row r="4" spans="1:9" ht="21.95" hidden="1" customHeight="1" thickBot="1" x14ac:dyDescent="0.2">
      <c r="A4" s="2513"/>
      <c r="B4" s="2567"/>
      <c r="C4" s="565" t="s">
        <v>71</v>
      </c>
      <c r="D4" s="986"/>
      <c r="E4" s="563"/>
      <c r="F4" s="233"/>
      <c r="G4" s="233">
        <f>IF(G32&gt;0,+Dren_Quantificacao!M5,0)</f>
        <v>0</v>
      </c>
      <c r="H4" s="353"/>
      <c r="I4" s="578">
        <f t="shared" si="0"/>
        <v>0</v>
      </c>
    </row>
    <row r="5" spans="1:9" ht="21.95" hidden="1" customHeight="1" thickBot="1" x14ac:dyDescent="0.2">
      <c r="A5" s="2513"/>
      <c r="B5" s="2622" t="s">
        <v>209</v>
      </c>
      <c r="C5" s="2583"/>
      <c r="D5" s="993"/>
      <c r="E5" s="1373"/>
      <c r="F5" s="242"/>
      <c r="G5" s="242">
        <f>IF(G32&gt;0,Dren_Quantificacao!M7,0)</f>
        <v>0</v>
      </c>
      <c r="H5" s="357"/>
      <c r="I5" s="578">
        <f t="shared" si="0"/>
        <v>0</v>
      </c>
    </row>
    <row r="6" spans="1:9" ht="21.95" customHeight="1" thickTop="1" x14ac:dyDescent="0.15">
      <c r="A6" s="2513"/>
      <c r="B6" s="2522" t="s">
        <v>1211</v>
      </c>
      <c r="C6" s="549" t="s">
        <v>315</v>
      </c>
      <c r="D6" s="984"/>
      <c r="E6" s="1358"/>
      <c r="F6" s="1093"/>
      <c r="G6" s="1093">
        <f>Dre_Ser_Prelim!O11</f>
        <v>1.4</v>
      </c>
      <c r="H6" s="1152"/>
      <c r="I6" s="578">
        <f t="shared" si="0"/>
        <v>1.4</v>
      </c>
    </row>
    <row r="7" spans="1:9" ht="21.95" customHeight="1" x14ac:dyDescent="0.15">
      <c r="A7" s="2513"/>
      <c r="B7" s="2523"/>
      <c r="C7" s="566" t="s">
        <v>3</v>
      </c>
      <c r="E7" s="1357"/>
      <c r="F7" s="1153"/>
      <c r="G7" s="1153">
        <f>Dren_Quantificacao!M26</f>
        <v>4</v>
      </c>
      <c r="H7" s="1154">
        <f>ROUND(SUM(F7:G7),2)</f>
        <v>4</v>
      </c>
      <c r="I7" s="578">
        <f t="shared" si="0"/>
        <v>8</v>
      </c>
    </row>
    <row r="8" spans="1:9" ht="21.95" customHeight="1" thickBot="1" x14ac:dyDescent="0.2">
      <c r="A8" s="2513"/>
      <c r="B8" s="2524"/>
      <c r="C8" s="565" t="s">
        <v>29</v>
      </c>
      <c r="D8" s="986"/>
      <c r="E8" s="563"/>
      <c r="F8" s="1096"/>
      <c r="G8" s="1096">
        <f t="shared" ref="G8" si="1">G7*G6</f>
        <v>5.6</v>
      </c>
      <c r="H8" s="1097">
        <f>ROUND(SUM(F8:G8),2)</f>
        <v>5.6</v>
      </c>
      <c r="I8" s="578">
        <f t="shared" si="0"/>
        <v>11.2</v>
      </c>
    </row>
    <row r="9" spans="1:9" ht="21.95" hidden="1" customHeight="1" x14ac:dyDescent="0.15">
      <c r="A9" s="2513"/>
      <c r="B9" s="2522" t="s">
        <v>326</v>
      </c>
      <c r="C9" s="549" t="s">
        <v>315</v>
      </c>
      <c r="D9" s="984"/>
      <c r="E9" s="1358"/>
      <c r="F9" s="1093"/>
      <c r="G9" s="1093">
        <f>Dre_Ser_Prelim!O18</f>
        <v>0</v>
      </c>
      <c r="H9" s="1152"/>
      <c r="I9" s="578">
        <f t="shared" si="0"/>
        <v>0</v>
      </c>
    </row>
    <row r="10" spans="1:9" ht="21.95" hidden="1" customHeight="1" x14ac:dyDescent="0.15">
      <c r="A10" s="2513"/>
      <c r="B10" s="2523"/>
      <c r="C10" s="566" t="s">
        <v>3</v>
      </c>
      <c r="E10" s="1357"/>
      <c r="F10" s="1153"/>
      <c r="G10" s="1153">
        <f>Dren_Quantificacao!M27</f>
        <v>0</v>
      </c>
      <c r="H10" s="1154">
        <f>ROUND(SUM(F10:G10),2)</f>
        <v>0</v>
      </c>
      <c r="I10" s="578">
        <f t="shared" si="0"/>
        <v>0</v>
      </c>
    </row>
    <row r="11" spans="1:9" ht="21.95" hidden="1" customHeight="1" thickBot="1" x14ac:dyDescent="0.2">
      <c r="A11" s="2513"/>
      <c r="B11" s="2524"/>
      <c r="C11" s="565" t="s">
        <v>29</v>
      </c>
      <c r="D11" s="986"/>
      <c r="E11" s="563"/>
      <c r="F11" s="1096"/>
      <c r="G11" s="1096">
        <f t="shared" ref="G11" si="2">G10*G9</f>
        <v>0</v>
      </c>
      <c r="H11" s="1097">
        <f>ROUND(SUM(F11:G11),2)</f>
        <v>0</v>
      </c>
      <c r="I11" s="578">
        <f t="shared" si="0"/>
        <v>0</v>
      </c>
    </row>
    <row r="12" spans="1:9" ht="21.95" hidden="1" customHeight="1" x14ac:dyDescent="0.15">
      <c r="A12" s="2513"/>
      <c r="B12" s="2566" t="s">
        <v>327</v>
      </c>
      <c r="C12" s="549" t="s">
        <v>315</v>
      </c>
      <c r="D12" s="984"/>
      <c r="E12" s="1358"/>
      <c r="F12" s="1093"/>
      <c r="G12" s="1093">
        <f>Dre_Ser_Prelim!O25</f>
        <v>0</v>
      </c>
      <c r="H12" s="1152"/>
      <c r="I12" s="578">
        <f t="shared" si="0"/>
        <v>0</v>
      </c>
    </row>
    <row r="13" spans="1:9" ht="21.95" hidden="1" customHeight="1" x14ac:dyDescent="0.15">
      <c r="A13" s="2513"/>
      <c r="B13" s="2539"/>
      <c r="C13" s="566" t="s">
        <v>3</v>
      </c>
      <c r="E13" s="1357"/>
      <c r="F13" s="1153"/>
      <c r="G13" s="1153">
        <f>Dren_Quantificacao!M28</f>
        <v>0</v>
      </c>
      <c r="H13" s="1154">
        <f>ROUND(SUM(F13:G13),2)</f>
        <v>0</v>
      </c>
      <c r="I13" s="578">
        <f t="shared" si="0"/>
        <v>0</v>
      </c>
    </row>
    <row r="14" spans="1:9" ht="21.95" hidden="1" customHeight="1" thickBot="1" x14ac:dyDescent="0.2">
      <c r="A14" s="2513"/>
      <c r="B14" s="2567"/>
      <c r="C14" s="565" t="s">
        <v>29</v>
      </c>
      <c r="D14" s="986"/>
      <c r="E14" s="563"/>
      <c r="F14" s="1096"/>
      <c r="G14" s="1096">
        <f t="shared" ref="G14" si="3">G13*G12</f>
        <v>0</v>
      </c>
      <c r="H14" s="1097">
        <f>ROUND(SUM(F14:G14),2)</f>
        <v>0</v>
      </c>
      <c r="I14" s="578">
        <f t="shared" si="0"/>
        <v>0</v>
      </c>
    </row>
    <row r="15" spans="1:9" s="1187" customFormat="1" ht="21.95" customHeight="1" x14ac:dyDescent="0.15">
      <c r="A15" s="2513"/>
      <c r="B15" s="2522" t="s">
        <v>1828</v>
      </c>
      <c r="C15" s="1183" t="s">
        <v>1276</v>
      </c>
      <c r="D15" s="1541"/>
      <c r="E15" s="1542"/>
      <c r="F15" s="1567"/>
      <c r="G15" s="1184">
        <f t="shared" ref="G15" si="4">IF(G32&gt;0,18,0)</f>
        <v>18</v>
      </c>
      <c r="H15" s="1185"/>
      <c r="I15" s="578">
        <f t="shared" si="0"/>
        <v>18</v>
      </c>
    </row>
    <row r="16" spans="1:9" ht="21.95" customHeight="1" thickBot="1" x14ac:dyDescent="0.2">
      <c r="A16" s="2513"/>
      <c r="B16" s="2523"/>
      <c r="C16" s="566" t="s">
        <v>512</v>
      </c>
      <c r="E16" s="1357"/>
      <c r="F16" s="1153">
        <f>Dre_Profunda!I96</f>
        <v>0</v>
      </c>
      <c r="G16" s="1153">
        <f t="shared" ref="G16" si="5">G15*G32/100</f>
        <v>1.008</v>
      </c>
      <c r="H16" s="1155">
        <f>ROUND(SUM(F16:G16),2)</f>
        <v>1.01</v>
      </c>
      <c r="I16" s="578">
        <f t="shared" si="0"/>
        <v>2.0179999999999998</v>
      </c>
    </row>
    <row r="17" spans="1:9" s="1187" customFormat="1" ht="21.95" customHeight="1" x14ac:dyDescent="0.15">
      <c r="A17" s="2513"/>
      <c r="B17" s="2566" t="s">
        <v>59</v>
      </c>
      <c r="C17" s="1183" t="s">
        <v>1276</v>
      </c>
      <c r="D17" s="1541"/>
      <c r="E17" s="1542"/>
      <c r="F17" s="1567"/>
      <c r="G17" s="1184">
        <f>Dren_Quantificacao!M31</f>
        <v>15</v>
      </c>
      <c r="H17" s="1185"/>
      <c r="I17" s="578">
        <f t="shared" si="0"/>
        <v>15</v>
      </c>
    </row>
    <row r="18" spans="1:9" ht="21.95" customHeight="1" x14ac:dyDescent="0.15">
      <c r="A18" s="2513"/>
      <c r="B18" s="2539"/>
      <c r="C18" s="566" t="s">
        <v>300</v>
      </c>
      <c r="E18" s="1357"/>
      <c r="F18" s="1153">
        <f>Dre_Profunda!I98</f>
        <v>0</v>
      </c>
      <c r="G18" s="1153">
        <f t="shared" ref="G18" si="6">G17*G32/100</f>
        <v>0.84</v>
      </c>
      <c r="H18" s="1155">
        <f>ROUND(SUM(F18:G18),2)</f>
        <v>0.84</v>
      </c>
      <c r="I18" s="578">
        <f t="shared" si="0"/>
        <v>1.68</v>
      </c>
    </row>
    <row r="19" spans="1:9" ht="21.95" hidden="1" customHeight="1" x14ac:dyDescent="0.15">
      <c r="A19" s="2513"/>
      <c r="B19" s="2539"/>
      <c r="C19" s="566" t="s">
        <v>538</v>
      </c>
      <c r="E19" s="1357"/>
      <c r="F19" s="1566"/>
      <c r="G19" s="1153">
        <f>IF(COUNTA(Dren_Quantificacao!M32:M36)&gt;1,+G18,0)</f>
        <v>0</v>
      </c>
      <c r="H19" s="1155">
        <f>ROUND(SUM(F19:G19),2)</f>
        <v>0</v>
      </c>
      <c r="I19" s="578">
        <f t="shared" si="0"/>
        <v>0</v>
      </c>
    </row>
    <row r="20" spans="1:9" ht="21.95" customHeight="1" x14ac:dyDescent="0.15">
      <c r="A20" s="2513"/>
      <c r="B20" s="2539"/>
      <c r="C20" s="566" t="s">
        <v>1874</v>
      </c>
      <c r="E20" s="1357"/>
      <c r="F20" s="1153">
        <f>F18-F21</f>
        <v>0</v>
      </c>
      <c r="G20" s="1153">
        <f t="shared" ref="G20" si="7">G$18*G25+G$18*G26</f>
        <v>0.84</v>
      </c>
      <c r="H20" s="1155">
        <f>ROUND(SUM(F20:G20),2)</f>
        <v>0.84</v>
      </c>
      <c r="I20" s="578">
        <f t="shared" si="0"/>
        <v>1.68</v>
      </c>
    </row>
    <row r="21" spans="1:9" ht="21.95" hidden="1" customHeight="1" x14ac:dyDescent="0.15">
      <c r="A21" s="2513"/>
      <c r="B21" s="2539"/>
      <c r="C21" s="566" t="s">
        <v>1884</v>
      </c>
      <c r="D21" s="1420"/>
      <c r="E21" s="1392"/>
      <c r="F21" s="1157">
        <f>Dre_Profunda!I100/1.25</f>
        <v>0</v>
      </c>
      <c r="G21" s="1157">
        <f t="shared" ref="G21" si="8">IF(G24=100%,G18,0)</f>
        <v>0</v>
      </c>
      <c r="H21" s="1156">
        <f>ROUND(SUM(F21:G21),2)</f>
        <v>0</v>
      </c>
      <c r="I21" s="578">
        <f t="shared" si="0"/>
        <v>0</v>
      </c>
    </row>
    <row r="22" spans="1:9" ht="21.95" hidden="1" customHeight="1" x14ac:dyDescent="0.15">
      <c r="A22" s="2513"/>
      <c r="B22" s="2539"/>
      <c r="C22" s="558" t="s">
        <v>328</v>
      </c>
      <c r="D22" s="1528"/>
      <c r="E22" s="1529"/>
      <c r="F22" s="1565"/>
      <c r="G22" s="157">
        <f>Dren_Quantificacao!M32</f>
        <v>0</v>
      </c>
      <c r="H22" s="491"/>
      <c r="I22" s="578">
        <f t="shared" si="0"/>
        <v>0</v>
      </c>
    </row>
    <row r="23" spans="1:9" ht="21.95" hidden="1" customHeight="1" x14ac:dyDescent="0.15">
      <c r="A23" s="2513"/>
      <c r="B23" s="2539"/>
      <c r="C23" s="566" t="s">
        <v>1299</v>
      </c>
      <c r="E23" s="1357"/>
      <c r="F23" s="1565"/>
      <c r="G23" s="157">
        <f>Dren_Quantificacao!M33</f>
        <v>0</v>
      </c>
      <c r="H23" s="491"/>
      <c r="I23" s="578">
        <f t="shared" si="0"/>
        <v>0</v>
      </c>
    </row>
    <row r="24" spans="1:9" ht="21.95" hidden="1" customHeight="1" x14ac:dyDescent="0.15">
      <c r="A24" s="2513"/>
      <c r="B24" s="2539"/>
      <c r="C24" s="566" t="s">
        <v>329</v>
      </c>
      <c r="D24" s="1528"/>
      <c r="E24" s="1529"/>
      <c r="F24" s="1565"/>
      <c r="G24" s="157">
        <f>Dren_Quantificacao!M34</f>
        <v>0</v>
      </c>
      <c r="H24" s="491"/>
      <c r="I24" s="578">
        <f t="shared" si="0"/>
        <v>0</v>
      </c>
    </row>
    <row r="25" spans="1:9" ht="21.95" customHeight="1" x14ac:dyDescent="0.15">
      <c r="A25" s="2513"/>
      <c r="B25" s="2539"/>
      <c r="C25" s="567" t="s">
        <v>1298</v>
      </c>
      <c r="E25" s="1529"/>
      <c r="F25" s="1565"/>
      <c r="G25" s="157">
        <f>Dren_Quantificacao!M35</f>
        <v>1</v>
      </c>
      <c r="H25" s="491"/>
      <c r="I25" s="578">
        <f t="shared" si="0"/>
        <v>1</v>
      </c>
    </row>
    <row r="26" spans="1:9" ht="21.95" hidden="1" customHeight="1" x14ac:dyDescent="0.15">
      <c r="A26" s="2513"/>
      <c r="B26" s="2539"/>
      <c r="C26" s="566" t="s">
        <v>1055</v>
      </c>
      <c r="D26" s="1574"/>
      <c r="E26" s="1575"/>
      <c r="F26" s="1576"/>
      <c r="G26" s="337">
        <f>Dren_Quantificacao!M36</f>
        <v>0</v>
      </c>
      <c r="H26" s="1577"/>
      <c r="I26" s="578">
        <f t="shared" si="0"/>
        <v>0</v>
      </c>
    </row>
    <row r="27" spans="1:9" ht="21.95" hidden="1" customHeight="1" x14ac:dyDescent="0.15">
      <c r="A27" s="2513"/>
      <c r="B27" s="2539"/>
      <c r="C27" s="558" t="s">
        <v>723</v>
      </c>
      <c r="E27" s="1357"/>
      <c r="F27" s="1566"/>
      <c r="G27" s="1153">
        <f t="shared" ref="G27" si="9">G$18*G22*1.25</f>
        <v>0</v>
      </c>
      <c r="H27" s="1155">
        <f t="shared" ref="H27:H37" si="10">ROUND(SUM(F27:G27),2)</f>
        <v>0</v>
      </c>
      <c r="I27" s="578">
        <f t="shared" si="0"/>
        <v>0</v>
      </c>
    </row>
    <row r="28" spans="1:9" ht="32.1" hidden="1" customHeight="1" x14ac:dyDescent="0.15">
      <c r="A28" s="2513"/>
      <c r="B28" s="2539"/>
      <c r="C28" s="566" t="s">
        <v>2720</v>
      </c>
      <c r="E28" s="1357"/>
      <c r="F28" s="1566"/>
      <c r="G28" s="1153">
        <f t="shared" ref="G28" si="11">G$18*G23*1.375</f>
        <v>0</v>
      </c>
      <c r="H28" s="1155">
        <f t="shared" si="10"/>
        <v>0</v>
      </c>
      <c r="I28" s="578">
        <f t="shared" si="0"/>
        <v>0</v>
      </c>
    </row>
    <row r="29" spans="1:9" ht="21.95" hidden="1" customHeight="1" x14ac:dyDescent="0.15">
      <c r="A29" s="2513"/>
      <c r="B29" s="2539"/>
      <c r="C29" s="566" t="s">
        <v>724</v>
      </c>
      <c r="E29" s="1357"/>
      <c r="F29" s="1153">
        <f>Dre_Profunda!I100</f>
        <v>0</v>
      </c>
      <c r="G29" s="1153">
        <f t="shared" ref="G29" si="12">G$18*G24*1.25</f>
        <v>0</v>
      </c>
      <c r="H29" s="1155">
        <f t="shared" si="10"/>
        <v>0</v>
      </c>
      <c r="I29" s="578">
        <f t="shared" si="0"/>
        <v>0</v>
      </c>
    </row>
    <row r="30" spans="1:9" ht="21.95" customHeight="1" thickBot="1" x14ac:dyDescent="0.2">
      <c r="A30" s="2513"/>
      <c r="B30" s="2548"/>
      <c r="C30" s="567" t="s">
        <v>1301</v>
      </c>
      <c r="E30" s="1357"/>
      <c r="F30" s="1153">
        <f>Dre_Profunda!I102</f>
        <v>0</v>
      </c>
      <c r="G30" s="1153">
        <f t="shared" ref="G30" si="13">G$18*G25*1.375</f>
        <v>1.155</v>
      </c>
      <c r="H30" s="1155">
        <f t="shared" si="10"/>
        <v>1.1599999999999999</v>
      </c>
      <c r="I30" s="578">
        <f t="shared" si="0"/>
        <v>2.3149999999999999</v>
      </c>
    </row>
    <row r="31" spans="1:9" ht="32.1" hidden="1" customHeight="1" thickBot="1" x14ac:dyDescent="0.2">
      <c r="A31" s="2513"/>
      <c r="B31" s="2548"/>
      <c r="C31" s="567" t="s">
        <v>2728</v>
      </c>
      <c r="D31" s="1539"/>
      <c r="E31" s="1540"/>
      <c r="F31" s="1153">
        <f>Dre_Profunda!I104</f>
        <v>0</v>
      </c>
      <c r="G31" s="1153">
        <f t="shared" ref="G31" si="14">G$18*G26*1.4667</f>
        <v>0</v>
      </c>
      <c r="H31" s="1155">
        <f t="shared" si="10"/>
        <v>0</v>
      </c>
      <c r="I31" s="578">
        <f t="shared" si="0"/>
        <v>0</v>
      </c>
    </row>
    <row r="32" spans="1:9" ht="21.95" customHeight="1" x14ac:dyDescent="0.15">
      <c r="A32" s="2513"/>
      <c r="B32" s="2536" t="s">
        <v>301</v>
      </c>
      <c r="C32" s="549" t="s">
        <v>29</v>
      </c>
      <c r="D32" s="984"/>
      <c r="E32" s="1358"/>
      <c r="F32" s="1093">
        <f>Dre_Profunda!I105</f>
        <v>0</v>
      </c>
      <c r="G32" s="1093">
        <f t="shared" ref="G32" si="15">G8+G11+G14</f>
        <v>5.6</v>
      </c>
      <c r="H32" s="1095">
        <f t="shared" si="10"/>
        <v>5.6</v>
      </c>
      <c r="I32" s="578">
        <f t="shared" si="0"/>
        <v>11.2</v>
      </c>
    </row>
    <row r="33" spans="1:12" ht="21.95" customHeight="1" thickBot="1" x14ac:dyDescent="0.2">
      <c r="A33" s="2513"/>
      <c r="B33" s="2532"/>
      <c r="C33" s="565" t="s">
        <v>1398</v>
      </c>
      <c r="D33" s="986"/>
      <c r="E33" s="563"/>
      <c r="F33" s="1096">
        <f>Dre_Profunda!I106</f>
        <v>0</v>
      </c>
      <c r="G33" s="1096">
        <f t="shared" ref="G33" si="16">G32*0.0012</f>
        <v>6.7199999999999994E-3</v>
      </c>
      <c r="H33" s="1097">
        <f t="shared" si="10"/>
        <v>0.01</v>
      </c>
      <c r="I33" s="578">
        <f t="shared" si="0"/>
        <v>1.6719999999999999E-2</v>
      </c>
    </row>
    <row r="34" spans="1:12" ht="21.95" hidden="1" customHeight="1" x14ac:dyDescent="0.15">
      <c r="A34" s="2513"/>
      <c r="B34" s="2533" t="s">
        <v>1421</v>
      </c>
      <c r="C34" s="549" t="s">
        <v>29</v>
      </c>
      <c r="D34" s="984"/>
      <c r="E34" s="1358"/>
      <c r="F34" s="1093"/>
      <c r="G34" s="1093">
        <f t="shared" ref="G34" si="17">IF(G36&gt;0,G32,0)</f>
        <v>0</v>
      </c>
      <c r="H34" s="1095">
        <f t="shared" si="10"/>
        <v>0</v>
      </c>
      <c r="I34" s="578">
        <f t="shared" ref="I34:I65" si="18">SUM(F34:H34)</f>
        <v>0</v>
      </c>
      <c r="J34" s="540"/>
    </row>
    <row r="35" spans="1:12" ht="21.95" hidden="1" customHeight="1" x14ac:dyDescent="0.15">
      <c r="A35" s="2513"/>
      <c r="B35" s="2534"/>
      <c r="C35" s="558" t="s">
        <v>1273</v>
      </c>
      <c r="E35" s="1357"/>
      <c r="F35" s="1153"/>
      <c r="G35" s="1153">
        <f t="shared" ref="G35" si="19">IF(G38+G45&gt;0,0,IF(G32&gt;0,G32*0.006,0))</f>
        <v>0</v>
      </c>
      <c r="H35" s="1155">
        <f t="shared" si="10"/>
        <v>0</v>
      </c>
      <c r="I35" s="578">
        <f t="shared" si="18"/>
        <v>0</v>
      </c>
      <c r="J35" s="540"/>
    </row>
    <row r="36" spans="1:12" ht="21.95" hidden="1" customHeight="1" x14ac:dyDescent="0.15">
      <c r="A36" s="2513"/>
      <c r="B36" s="2534"/>
      <c r="C36" s="566" t="s">
        <v>1274</v>
      </c>
      <c r="D36" s="1503"/>
      <c r="E36" s="1357"/>
      <c r="F36" s="1153"/>
      <c r="G36" s="1153">
        <f t="shared" ref="G36" si="20">IF(G38+G45&gt;0,0,IF(G32&gt;0,G32*0.0223,0))</f>
        <v>0</v>
      </c>
      <c r="H36" s="1155">
        <f t="shared" si="10"/>
        <v>0</v>
      </c>
      <c r="I36" s="578">
        <f t="shared" si="18"/>
        <v>0</v>
      </c>
      <c r="J36" s="540"/>
    </row>
    <row r="37" spans="1:12" ht="21.95" hidden="1" customHeight="1" thickBot="1" x14ac:dyDescent="0.2">
      <c r="A37" s="2513"/>
      <c r="B37" s="2535"/>
      <c r="C37" s="565" t="s">
        <v>1275</v>
      </c>
      <c r="D37" s="1504"/>
      <c r="E37" s="563"/>
      <c r="F37" s="1096"/>
      <c r="G37" s="1096">
        <f t="shared" ref="G37" si="21">IF(G36&gt;0,G32*0.0048,0)</f>
        <v>0</v>
      </c>
      <c r="H37" s="1097">
        <f t="shared" si="10"/>
        <v>0</v>
      </c>
      <c r="I37" s="578">
        <f t="shared" si="18"/>
        <v>0</v>
      </c>
      <c r="J37" s="539"/>
    </row>
    <row r="38" spans="1:12" s="1187" customFormat="1" ht="21.95" customHeight="1" x14ac:dyDescent="0.15">
      <c r="A38" s="2513"/>
      <c r="B38" s="2533" t="s">
        <v>1370</v>
      </c>
      <c r="C38" s="1183" t="s">
        <v>1276</v>
      </c>
      <c r="D38" s="1541"/>
      <c r="E38" s="1542"/>
      <c r="F38" s="1567"/>
      <c r="G38" s="1184">
        <f>IF(G32=0,0,+Dren_Quantificacao!M29)</f>
        <v>3</v>
      </c>
      <c r="H38" s="1185"/>
      <c r="I38" s="578">
        <f t="shared" si="18"/>
        <v>3</v>
      </c>
    </row>
    <row r="39" spans="1:12" ht="21.95" customHeight="1" x14ac:dyDescent="0.15">
      <c r="A39" s="2513"/>
      <c r="B39" s="2534"/>
      <c r="C39" s="566" t="s">
        <v>684</v>
      </c>
      <c r="E39" s="1357"/>
      <c r="F39" s="1153">
        <f>Dre_Profunda!I108</f>
        <v>0</v>
      </c>
      <c r="G39" s="1153">
        <f t="shared" ref="G39" si="22">G38*G32*2.5548/100</f>
        <v>0.42920639999999999</v>
      </c>
      <c r="H39" s="1154">
        <f t="shared" ref="H39:H44" si="23">ROUND(SUM(F39:G39),2)</f>
        <v>0.43</v>
      </c>
      <c r="I39" s="578">
        <f t="shared" si="18"/>
        <v>0.85920639999999993</v>
      </c>
      <c r="J39" s="539"/>
    </row>
    <row r="40" spans="1:12" ht="21.95" customHeight="1" x14ac:dyDescent="0.15">
      <c r="A40" s="2513"/>
      <c r="B40" s="2534"/>
      <c r="C40" s="566" t="s">
        <v>715</v>
      </c>
      <c r="E40" s="1357"/>
      <c r="F40" s="1153">
        <f>Dre_Profunda!I109</f>
        <v>0</v>
      </c>
      <c r="G40" s="1153">
        <f t="shared" ref="G40" si="24">IF(G12&lt;=2.5,G14*G38/100,0)+(G8+G11)*G38/100</f>
        <v>0.16799999999999998</v>
      </c>
      <c r="H40" s="1155">
        <f t="shared" si="23"/>
        <v>0.17</v>
      </c>
      <c r="I40" s="578">
        <f t="shared" si="18"/>
        <v>0.33799999999999997</v>
      </c>
      <c r="J40" s="539"/>
    </row>
    <row r="41" spans="1:12" ht="32.1" hidden="1" customHeight="1" x14ac:dyDescent="0.15">
      <c r="A41" s="2513"/>
      <c r="B41" s="2534"/>
      <c r="C41" s="566" t="s">
        <v>2727</v>
      </c>
      <c r="E41" s="1357"/>
      <c r="F41" s="1566"/>
      <c r="G41" s="1153">
        <f t="shared" ref="G41" si="25">IF(G12&gt;2.5,G14*G38/100,0)</f>
        <v>0</v>
      </c>
      <c r="H41" s="1155">
        <f t="shared" si="23"/>
        <v>0</v>
      </c>
      <c r="I41" s="578">
        <f t="shared" si="18"/>
        <v>0</v>
      </c>
      <c r="J41" s="539"/>
    </row>
    <row r="42" spans="1:12" ht="21.95" customHeight="1" x14ac:dyDescent="0.15">
      <c r="A42" s="2513"/>
      <c r="B42" s="2534"/>
      <c r="C42" s="558" t="s">
        <v>1763</v>
      </c>
      <c r="E42" s="1357"/>
      <c r="F42" s="1153">
        <f>Dre_Profunda!I110</f>
        <v>0</v>
      </c>
      <c r="G42" s="1153">
        <f t="shared" ref="G42" si="26">G39*0.06</f>
        <v>2.5752384E-2</v>
      </c>
      <c r="H42" s="1155">
        <f t="shared" si="23"/>
        <v>0.03</v>
      </c>
      <c r="I42" s="578">
        <f t="shared" si="18"/>
        <v>5.5752384000000002E-2</v>
      </c>
      <c r="J42" s="539"/>
    </row>
    <row r="43" spans="1:12" ht="21.95" customHeight="1" x14ac:dyDescent="0.15">
      <c r="A43" s="2513"/>
      <c r="B43" s="2534"/>
      <c r="C43" s="562" t="s">
        <v>696</v>
      </c>
      <c r="E43" s="1357"/>
      <c r="F43" s="1153">
        <f>Dre_Profunda!I111</f>
        <v>0</v>
      </c>
      <c r="G43" s="1153">
        <f t="shared" ref="G43" si="27">G39*0.161</f>
        <v>6.9102230400000006E-2</v>
      </c>
      <c r="H43" s="1155">
        <f t="shared" si="23"/>
        <v>7.0000000000000007E-2</v>
      </c>
      <c r="I43" s="578">
        <f t="shared" si="18"/>
        <v>0.13910223040000003</v>
      </c>
      <c r="J43" s="539"/>
    </row>
    <row r="44" spans="1:12" ht="21.95" customHeight="1" thickBot="1" x14ac:dyDescent="0.2">
      <c r="A44" s="2513"/>
      <c r="B44" s="2535"/>
      <c r="C44" s="561" t="s">
        <v>695</v>
      </c>
      <c r="D44" s="986"/>
      <c r="E44" s="563"/>
      <c r="F44" s="1096">
        <f>Dre_Profunda!I112</f>
        <v>0</v>
      </c>
      <c r="G44" s="1096">
        <f t="shared" ref="G44" si="28">G39*0.447</f>
        <v>0.19185526080000001</v>
      </c>
      <c r="H44" s="1155">
        <f t="shared" si="23"/>
        <v>0.19</v>
      </c>
      <c r="I44" s="578">
        <f t="shared" si="18"/>
        <v>0.38185526079999998</v>
      </c>
      <c r="J44" s="539"/>
    </row>
    <row r="45" spans="1:12" s="1187" customFormat="1" ht="21.95" hidden="1" customHeight="1" x14ac:dyDescent="0.15">
      <c r="A45" s="2513"/>
      <c r="B45" s="2683" t="s">
        <v>1371</v>
      </c>
      <c r="C45" s="1188" t="s">
        <v>1276</v>
      </c>
      <c r="D45" s="1541"/>
      <c r="E45" s="1542"/>
      <c r="F45" s="1567"/>
      <c r="G45" s="1184">
        <f>Dren_Quantificacao!M30</f>
        <v>0</v>
      </c>
      <c r="H45" s="1185"/>
      <c r="I45" s="578">
        <f t="shared" si="18"/>
        <v>0</v>
      </c>
    </row>
    <row r="46" spans="1:12" ht="21.95" hidden="1" customHeight="1" x14ac:dyDescent="0.15">
      <c r="A46" s="2513"/>
      <c r="B46" s="2684"/>
      <c r="C46" s="566" t="s">
        <v>1369</v>
      </c>
      <c r="E46" s="1357"/>
      <c r="F46" s="1153">
        <f>Dre_Profunda!I114</f>
        <v>0</v>
      </c>
      <c r="G46" s="1153">
        <f t="shared" ref="G46" si="29">G45*G32*2.346/100</f>
        <v>0</v>
      </c>
      <c r="H46" s="1154">
        <f t="shared" ref="H46:H51" si="30">ROUND(SUM(F46:G46),2)</f>
        <v>0</v>
      </c>
      <c r="I46" s="578">
        <f t="shared" si="18"/>
        <v>0</v>
      </c>
      <c r="J46" s="539"/>
    </row>
    <row r="47" spans="1:12" ht="21.95" hidden="1" customHeight="1" x14ac:dyDescent="0.15">
      <c r="A47" s="2513"/>
      <c r="B47" s="2684"/>
      <c r="C47" s="566" t="s">
        <v>715</v>
      </c>
      <c r="E47" s="1357"/>
      <c r="F47" s="1153">
        <f>Dre_Profunda!I115</f>
        <v>0</v>
      </c>
      <c r="G47" s="1153">
        <f t="shared" ref="G47" si="31">IF(G12&lt;=2.5,G14*G45/100,0)+(G8+G11)*G45/100</f>
        <v>0</v>
      </c>
      <c r="H47" s="1155">
        <f t="shared" si="30"/>
        <v>0</v>
      </c>
      <c r="I47" s="578">
        <f t="shared" si="18"/>
        <v>0</v>
      </c>
    </row>
    <row r="48" spans="1:12" ht="32.1" hidden="1" customHeight="1" x14ac:dyDescent="0.15">
      <c r="A48" s="2513"/>
      <c r="B48" s="2684"/>
      <c r="C48" s="566" t="s">
        <v>2727</v>
      </c>
      <c r="E48" s="1357"/>
      <c r="F48" s="1566"/>
      <c r="G48" s="1153">
        <f t="shared" ref="G48" si="32">IF(G12&gt;2.5,G14*G45/100,0)</f>
        <v>0</v>
      </c>
      <c r="H48" s="1155">
        <f t="shared" si="30"/>
        <v>0</v>
      </c>
      <c r="I48" s="578">
        <f t="shared" si="18"/>
        <v>0</v>
      </c>
      <c r="J48" s="1030" t="s">
        <v>1192</v>
      </c>
      <c r="K48" s="1031" t="s">
        <v>1260</v>
      </c>
      <c r="L48" s="1031" t="s">
        <v>1261</v>
      </c>
    </row>
    <row r="49" spans="1:12" ht="21.95" hidden="1" customHeight="1" x14ac:dyDescent="0.15">
      <c r="A49" s="2513"/>
      <c r="B49" s="2684"/>
      <c r="C49" s="807" t="s">
        <v>949</v>
      </c>
      <c r="D49" s="1544"/>
      <c r="E49" s="1357"/>
      <c r="F49" s="1153">
        <f>Dre_Profunda!I116</f>
        <v>0</v>
      </c>
      <c r="G49" s="1153">
        <f t="shared" ref="G49" si="33">(G47+G48)*0.132</f>
        <v>0</v>
      </c>
      <c r="H49" s="1155">
        <f t="shared" si="30"/>
        <v>0</v>
      </c>
      <c r="I49" s="578">
        <f t="shared" si="18"/>
        <v>0</v>
      </c>
      <c r="J49" s="1023" t="s">
        <v>1178</v>
      </c>
      <c r="K49" s="1023" t="s">
        <v>1178</v>
      </c>
      <c r="L49" s="1023" t="s">
        <v>1178</v>
      </c>
    </row>
    <row r="50" spans="1:12" ht="21.95" hidden="1" customHeight="1" x14ac:dyDescent="0.15">
      <c r="A50" s="2513"/>
      <c r="B50" s="2684"/>
      <c r="C50" s="807" t="s">
        <v>694</v>
      </c>
      <c r="D50" s="1544"/>
      <c r="E50" s="1357"/>
      <c r="F50" s="1153">
        <f>Dre_Profunda!I117</f>
        <v>0</v>
      </c>
      <c r="G50" s="1153">
        <f t="shared" ref="G50" si="34">(G47+G48)*0.411</f>
        <v>0</v>
      </c>
      <c r="H50" s="1155">
        <f t="shared" si="30"/>
        <v>0</v>
      </c>
      <c r="I50" s="578">
        <f t="shared" si="18"/>
        <v>0</v>
      </c>
      <c r="J50" s="1024">
        <v>94963</v>
      </c>
      <c r="K50" s="1024">
        <v>94963</v>
      </c>
      <c r="L50" s="1024">
        <v>94963</v>
      </c>
    </row>
    <row r="51" spans="1:12" ht="21.95" hidden="1" customHeight="1" thickBot="1" x14ac:dyDescent="0.2">
      <c r="A51" s="2513"/>
      <c r="B51" s="2684"/>
      <c r="C51" s="562" t="s">
        <v>685</v>
      </c>
      <c r="D51" s="1544"/>
      <c r="E51" s="1357"/>
      <c r="F51" s="1153">
        <f>Dre_Profunda!I118</f>
        <v>0</v>
      </c>
      <c r="G51" s="1153">
        <f t="shared" ref="G51" si="35">(G47+G48)*0.968</f>
        <v>0</v>
      </c>
      <c r="H51" s="1155">
        <f t="shared" si="30"/>
        <v>0</v>
      </c>
      <c r="I51" s="578">
        <f t="shared" si="18"/>
        <v>0</v>
      </c>
      <c r="J51" s="1025">
        <v>273.06</v>
      </c>
      <c r="K51" s="1026">
        <v>0.80500000000000005</v>
      </c>
      <c r="L51" s="1026">
        <v>0.57899999999999996</v>
      </c>
    </row>
    <row r="52" spans="1:12" ht="21.95" hidden="1" customHeight="1" x14ac:dyDescent="0.15">
      <c r="A52" s="2513"/>
      <c r="B52" s="2683" t="s">
        <v>1277</v>
      </c>
      <c r="C52" s="559" t="s">
        <v>624</v>
      </c>
      <c r="D52" s="984"/>
      <c r="E52" s="1358"/>
      <c r="F52" s="1084"/>
      <c r="G52" s="424"/>
      <c r="H52" s="1018"/>
      <c r="I52" s="578">
        <f t="shared" si="18"/>
        <v>0</v>
      </c>
      <c r="J52" s="1047"/>
      <c r="K52" s="1048"/>
      <c r="L52" s="1048"/>
    </row>
    <row r="53" spans="1:12" ht="21.95" hidden="1" customHeight="1" x14ac:dyDescent="0.15">
      <c r="A53" s="2513"/>
      <c r="B53" s="2684"/>
      <c r="C53" s="558" t="s">
        <v>1278</v>
      </c>
      <c r="D53" s="1420"/>
      <c r="E53" s="1392"/>
      <c r="F53" s="1153"/>
      <c r="G53" s="1153">
        <f t="shared" ref="G53" si="36">IF(G$2=0,0,G52*G$2)</f>
        <v>0</v>
      </c>
      <c r="H53" s="1156">
        <f>ROUND(SUM(F53:G53),2)</f>
        <v>0</v>
      </c>
      <c r="I53" s="578">
        <f t="shared" si="18"/>
        <v>0</v>
      </c>
      <c r="J53" s="1049">
        <v>6.1499999999999999E-2</v>
      </c>
      <c r="K53" s="1049">
        <v>6.1499999999999999E-2</v>
      </c>
      <c r="L53" s="1049">
        <v>6.1499999999999999E-2</v>
      </c>
    </row>
    <row r="54" spans="1:12" ht="21.95" hidden="1" customHeight="1" x14ac:dyDescent="0.15">
      <c r="A54" s="2513"/>
      <c r="B54" s="2684"/>
      <c r="C54" s="807" t="s">
        <v>624</v>
      </c>
      <c r="D54" s="1545"/>
      <c r="E54" s="1546"/>
      <c r="F54" s="1552"/>
      <c r="G54" s="1020"/>
      <c r="H54" s="1019"/>
      <c r="I54" s="578">
        <f t="shared" si="18"/>
        <v>0</v>
      </c>
      <c r="J54" s="1049"/>
      <c r="K54" s="1049"/>
      <c r="L54" s="1049"/>
    </row>
    <row r="55" spans="1:12" ht="21.95" hidden="1" customHeight="1" x14ac:dyDescent="0.15">
      <c r="A55" s="2513"/>
      <c r="B55" s="2684"/>
      <c r="C55" s="566" t="s">
        <v>1279</v>
      </c>
      <c r="D55" s="1547"/>
      <c r="E55" s="1548"/>
      <c r="F55" s="1157"/>
      <c r="G55" s="1157">
        <f t="shared" ref="G55" si="37">IF(G$2=0,0,G54*G$2)</f>
        <v>0</v>
      </c>
      <c r="H55" s="1156">
        <f>ROUND(SUM(F55:G55),2)</f>
        <v>0</v>
      </c>
      <c r="I55" s="578">
        <f t="shared" si="18"/>
        <v>0</v>
      </c>
      <c r="J55" s="1049">
        <v>2.8500000000000001E-2</v>
      </c>
      <c r="K55" s="1049">
        <v>2.8500000000000001E-2</v>
      </c>
      <c r="L55" s="1049">
        <v>2.8500000000000001E-2</v>
      </c>
    </row>
    <row r="56" spans="1:12" ht="21.95" hidden="1" customHeight="1" x14ac:dyDescent="0.15">
      <c r="A56" s="2513"/>
      <c r="B56" s="2684"/>
      <c r="C56" s="807" t="s">
        <v>624</v>
      </c>
      <c r="D56" s="1549"/>
      <c r="E56" s="1550"/>
      <c r="F56" s="1552"/>
      <c r="G56" s="1020"/>
      <c r="H56" s="1019"/>
      <c r="I56" s="578">
        <f t="shared" si="18"/>
        <v>0</v>
      </c>
      <c r="J56" s="1049"/>
      <c r="K56" s="1049"/>
      <c r="L56" s="1049"/>
    </row>
    <row r="57" spans="1:12" ht="21.95" hidden="1" customHeight="1" x14ac:dyDescent="0.15">
      <c r="A57" s="2513"/>
      <c r="B57" s="2684"/>
      <c r="C57" s="558" t="s">
        <v>1280</v>
      </c>
      <c r="D57" s="1551"/>
      <c r="E57" s="1548"/>
      <c r="F57" s="1157"/>
      <c r="G57" s="1157">
        <f t="shared" ref="G57" si="38">IF(G$2=0,0,G56*G$2)</f>
        <v>0</v>
      </c>
      <c r="H57" s="1156">
        <f t="shared" ref="H57:H83" si="39">ROUND(SUM(F57:G57),2)</f>
        <v>0</v>
      </c>
      <c r="I57" s="578">
        <f t="shared" si="18"/>
        <v>0</v>
      </c>
      <c r="J57" s="1049">
        <v>0.05</v>
      </c>
      <c r="K57" s="1049">
        <v>0.05</v>
      </c>
      <c r="L57" s="1049">
        <v>0.05</v>
      </c>
    </row>
    <row r="58" spans="1:12" ht="21.95" hidden="1" customHeight="1" x14ac:dyDescent="0.15">
      <c r="A58" s="2513"/>
      <c r="B58" s="2684"/>
      <c r="C58" s="974" t="s">
        <v>1270</v>
      </c>
      <c r="D58" s="1494"/>
      <c r="E58" s="1495"/>
      <c r="F58" s="1153"/>
      <c r="G58" s="1153">
        <f>SUMPRODUCT(G53:G57,$J53:$J57)*$J$51</f>
        <v>0</v>
      </c>
      <c r="H58" s="1155">
        <f t="shared" si="39"/>
        <v>0</v>
      </c>
      <c r="I58" s="578">
        <f t="shared" si="18"/>
        <v>0</v>
      </c>
      <c r="J58" s="1017"/>
      <c r="K58" s="1017"/>
      <c r="L58" s="1017"/>
    </row>
    <row r="59" spans="1:12" ht="21.95" hidden="1" customHeight="1" x14ac:dyDescent="0.15">
      <c r="A59" s="2513"/>
      <c r="B59" s="2684"/>
      <c r="C59" s="567" t="s">
        <v>585</v>
      </c>
      <c r="D59" s="1494"/>
      <c r="E59" s="1495"/>
      <c r="F59" s="1153"/>
      <c r="G59" s="1153">
        <f>SUMPRODUCT(G53:G57,$K53:$K57)*$K$51</f>
        <v>0</v>
      </c>
      <c r="H59" s="1155">
        <f t="shared" si="39"/>
        <v>0</v>
      </c>
      <c r="I59" s="578">
        <f t="shared" si="18"/>
        <v>0</v>
      </c>
      <c r="J59" s="1017"/>
      <c r="K59" s="1017"/>
      <c r="L59" s="1017"/>
    </row>
    <row r="60" spans="1:12" ht="21.95" hidden="1" customHeight="1" thickBot="1" x14ac:dyDescent="0.2">
      <c r="A60" s="2513"/>
      <c r="B60" s="2685"/>
      <c r="C60" s="565" t="s">
        <v>642</v>
      </c>
      <c r="D60" s="1496"/>
      <c r="E60" s="1497"/>
      <c r="F60" s="1096"/>
      <c r="G60" s="1096">
        <f>SUMPRODUCT(G53:G57,$L53:$L57)*$L$51</f>
        <v>0</v>
      </c>
      <c r="H60" s="1155">
        <f t="shared" si="39"/>
        <v>0</v>
      </c>
      <c r="I60" s="578">
        <f t="shared" si="18"/>
        <v>0</v>
      </c>
    </row>
    <row r="61" spans="1:12" ht="21.95" hidden="1" customHeight="1" thickBot="1" x14ac:dyDescent="0.2">
      <c r="A61" s="2513"/>
      <c r="B61" s="2223" t="s">
        <v>1351</v>
      </c>
      <c r="C61" s="2257" t="s">
        <v>538</v>
      </c>
      <c r="D61" s="1494"/>
      <c r="E61" s="1495"/>
      <c r="F61" s="1566"/>
      <c r="G61" s="1153">
        <f t="shared" ref="G61" si="40">G19*1.375</f>
        <v>0</v>
      </c>
      <c r="H61" s="1095">
        <f t="shared" si="39"/>
        <v>0</v>
      </c>
      <c r="I61" s="578">
        <f t="shared" si="18"/>
        <v>0</v>
      </c>
    </row>
    <row r="62" spans="1:12" ht="21.95" customHeight="1" x14ac:dyDescent="0.15">
      <c r="A62" s="2513"/>
      <c r="B62" s="2533" t="s">
        <v>1374</v>
      </c>
      <c r="C62" s="806" t="s">
        <v>7</v>
      </c>
      <c r="D62" s="1541"/>
      <c r="E62" s="1542"/>
      <c r="F62" s="1093">
        <f t="shared" ref="F62" si="41">F16*1.25</f>
        <v>0</v>
      </c>
      <c r="G62" s="1093">
        <f t="shared" ref="G62" si="42">G16*1.25</f>
        <v>1.26</v>
      </c>
      <c r="H62" s="1095">
        <f t="shared" si="39"/>
        <v>1.26</v>
      </c>
      <c r="I62" s="578">
        <f t="shared" si="18"/>
        <v>2.52</v>
      </c>
    </row>
    <row r="63" spans="1:12" ht="21.95" hidden="1" customHeight="1" x14ac:dyDescent="0.15">
      <c r="A63" s="2513"/>
      <c r="B63" s="2534"/>
      <c r="C63" s="558" t="s">
        <v>1353</v>
      </c>
      <c r="E63" s="1357"/>
      <c r="F63" s="1566"/>
      <c r="G63" s="1153">
        <f t="shared" ref="G63" si="43">G27</f>
        <v>0</v>
      </c>
      <c r="H63" s="1155">
        <f t="shared" si="39"/>
        <v>0</v>
      </c>
      <c r="I63" s="578">
        <f t="shared" si="18"/>
        <v>0</v>
      </c>
    </row>
    <row r="64" spans="1:12" ht="21.95" hidden="1" customHeight="1" x14ac:dyDescent="0.15">
      <c r="A64" s="2513"/>
      <c r="B64" s="2534"/>
      <c r="C64" s="558" t="s">
        <v>1203</v>
      </c>
      <c r="E64" s="1357"/>
      <c r="F64" s="1566"/>
      <c r="G64" s="1153">
        <f t="shared" ref="G64" si="44">G58/1000</f>
        <v>0</v>
      </c>
      <c r="H64" s="1155">
        <f t="shared" si="39"/>
        <v>0</v>
      </c>
      <c r="I64" s="578">
        <f t="shared" si="18"/>
        <v>0</v>
      </c>
    </row>
    <row r="65" spans="1:9" ht="21.95" hidden="1" customHeight="1" x14ac:dyDescent="0.15">
      <c r="A65" s="2513"/>
      <c r="B65" s="2534"/>
      <c r="C65" s="566" t="s">
        <v>1835</v>
      </c>
      <c r="D65" s="1494"/>
      <c r="E65" s="1495"/>
      <c r="F65" s="1153"/>
      <c r="G65" s="1153">
        <f t="shared" ref="G65" si="45">G59</f>
        <v>0</v>
      </c>
      <c r="H65" s="1155">
        <f t="shared" si="39"/>
        <v>0</v>
      </c>
      <c r="I65" s="578">
        <f t="shared" si="18"/>
        <v>0</v>
      </c>
    </row>
    <row r="66" spans="1:9" ht="21.95" hidden="1" customHeight="1" x14ac:dyDescent="0.15">
      <c r="A66" s="2513"/>
      <c r="B66" s="2534"/>
      <c r="C66" s="558" t="s">
        <v>1416</v>
      </c>
      <c r="D66" s="1494"/>
      <c r="E66" s="1495"/>
      <c r="F66" s="1153"/>
      <c r="G66" s="1153">
        <f t="shared" ref="G66" si="46">G35</f>
        <v>0</v>
      </c>
      <c r="H66" s="1155">
        <f t="shared" si="39"/>
        <v>0</v>
      </c>
      <c r="I66" s="578">
        <f t="shared" ref="I66:I83" si="47">SUM(F66:H66)</f>
        <v>0</v>
      </c>
    </row>
    <row r="67" spans="1:9" ht="21.95" customHeight="1" x14ac:dyDescent="0.15">
      <c r="A67" s="2513"/>
      <c r="B67" s="2534"/>
      <c r="C67" s="558" t="s">
        <v>1390</v>
      </c>
      <c r="D67" s="1494"/>
      <c r="E67" s="1495"/>
      <c r="F67" s="1153">
        <f t="shared" ref="F67" si="48">F43</f>
        <v>0</v>
      </c>
      <c r="G67" s="1153">
        <f t="shared" ref="G67" si="49">G43</f>
        <v>6.9102230400000006E-2</v>
      </c>
      <c r="H67" s="1155">
        <f t="shared" si="39"/>
        <v>7.0000000000000007E-2</v>
      </c>
      <c r="I67" s="578">
        <f t="shared" si="47"/>
        <v>0.13910223040000003</v>
      </c>
    </row>
    <row r="68" spans="1:9" ht="21.95" hidden="1" customHeight="1" x14ac:dyDescent="0.15">
      <c r="A68" s="2513"/>
      <c r="B68" s="2534"/>
      <c r="C68" s="558" t="s">
        <v>1391</v>
      </c>
      <c r="D68" s="1494"/>
      <c r="E68" s="1495"/>
      <c r="F68" s="1153">
        <f t="shared" ref="F68" si="50">F50</f>
        <v>0</v>
      </c>
      <c r="G68" s="1153">
        <f t="shared" ref="G68" si="51">G50</f>
        <v>0</v>
      </c>
      <c r="H68" s="1155">
        <f t="shared" si="39"/>
        <v>0</v>
      </c>
      <c r="I68" s="578">
        <f t="shared" si="47"/>
        <v>0</v>
      </c>
    </row>
    <row r="69" spans="1:9" ht="21.95" hidden="1" customHeight="1" x14ac:dyDescent="0.15">
      <c r="A69" s="2513"/>
      <c r="B69" s="2534"/>
      <c r="C69" s="558" t="s">
        <v>1367</v>
      </c>
      <c r="D69" s="1494"/>
      <c r="E69" s="1495"/>
      <c r="F69" s="1153">
        <f t="shared" ref="F69" si="52">F29</f>
        <v>0</v>
      </c>
      <c r="G69" s="1153">
        <f t="shared" ref="G69" si="53">G29</f>
        <v>0</v>
      </c>
      <c r="H69" s="1155">
        <f t="shared" si="39"/>
        <v>0</v>
      </c>
      <c r="I69" s="578">
        <f t="shared" si="47"/>
        <v>0</v>
      </c>
    </row>
    <row r="70" spans="1:9" ht="21.95" hidden="1" customHeight="1" x14ac:dyDescent="0.15">
      <c r="A70" s="2513"/>
      <c r="B70" s="2534"/>
      <c r="C70" s="566" t="s">
        <v>1762</v>
      </c>
      <c r="D70" s="1494"/>
      <c r="E70" s="1495"/>
      <c r="F70" s="1566"/>
      <c r="G70" s="1153">
        <f t="shared" ref="G70" si="54">G28</f>
        <v>0</v>
      </c>
      <c r="H70" s="1155">
        <f t="shared" si="39"/>
        <v>0</v>
      </c>
      <c r="I70" s="578">
        <f t="shared" si="47"/>
        <v>0</v>
      </c>
    </row>
    <row r="71" spans="1:9" ht="21.95" customHeight="1" x14ac:dyDescent="0.15">
      <c r="A71" s="2513"/>
      <c r="B71" s="2534"/>
      <c r="C71" s="566" t="s">
        <v>1761</v>
      </c>
      <c r="D71" s="1494"/>
      <c r="E71" s="1495"/>
      <c r="F71" s="1153">
        <f t="shared" ref="F71:F72" si="55">F30</f>
        <v>0</v>
      </c>
      <c r="G71" s="1153">
        <f t="shared" ref="G71" si="56">G30</f>
        <v>1.155</v>
      </c>
      <c r="H71" s="1155">
        <f t="shared" si="39"/>
        <v>1.1599999999999999</v>
      </c>
      <c r="I71" s="578">
        <f t="shared" si="47"/>
        <v>2.3149999999999999</v>
      </c>
    </row>
    <row r="72" spans="1:9" ht="21.95" hidden="1" customHeight="1" x14ac:dyDescent="0.15">
      <c r="A72" s="2513"/>
      <c r="B72" s="2534"/>
      <c r="C72" s="566" t="s">
        <v>1368</v>
      </c>
      <c r="D72" s="1494"/>
      <c r="E72" s="1495"/>
      <c r="F72" s="1153">
        <f t="shared" si="55"/>
        <v>0</v>
      </c>
      <c r="G72" s="1153">
        <f t="shared" ref="G72" si="57">G31</f>
        <v>0</v>
      </c>
      <c r="H72" s="1155">
        <f t="shared" si="39"/>
        <v>0</v>
      </c>
      <c r="I72" s="578">
        <f t="shared" si="47"/>
        <v>0</v>
      </c>
    </row>
    <row r="73" spans="1:9" ht="21.95" hidden="1" customHeight="1" x14ac:dyDescent="0.15">
      <c r="A73" s="2513"/>
      <c r="B73" s="2534"/>
      <c r="C73" s="566" t="s">
        <v>1394</v>
      </c>
      <c r="D73" s="1494"/>
      <c r="E73" s="1495"/>
      <c r="F73" s="1566"/>
      <c r="G73" s="1153">
        <f t="shared" ref="G73" si="58">G36</f>
        <v>0</v>
      </c>
      <c r="H73" s="1155">
        <f t="shared" si="39"/>
        <v>0</v>
      </c>
      <c r="I73" s="578">
        <f t="shared" si="47"/>
        <v>0</v>
      </c>
    </row>
    <row r="74" spans="1:9" ht="21.95" hidden="1" customHeight="1" x14ac:dyDescent="0.15">
      <c r="A74" s="2513"/>
      <c r="B74" s="2534"/>
      <c r="C74" s="566" t="s">
        <v>1600</v>
      </c>
      <c r="D74" s="1494"/>
      <c r="E74" s="1495"/>
      <c r="F74" s="1566"/>
      <c r="G74" s="1153">
        <f t="shared" ref="G74" si="59">G60</f>
        <v>0</v>
      </c>
      <c r="H74" s="1155">
        <f t="shared" si="39"/>
        <v>0</v>
      </c>
      <c r="I74" s="578">
        <f t="shared" si="47"/>
        <v>0</v>
      </c>
    </row>
    <row r="75" spans="1:9" ht="21.95" customHeight="1" x14ac:dyDescent="0.15">
      <c r="A75" s="2513"/>
      <c r="B75" s="2534"/>
      <c r="C75" s="566" t="s">
        <v>1392</v>
      </c>
      <c r="D75" s="1494"/>
      <c r="E75" s="1495"/>
      <c r="F75" s="1153">
        <f t="shared" ref="F75" si="60">F44</f>
        <v>0</v>
      </c>
      <c r="G75" s="1153">
        <f t="shared" ref="G75" si="61">G44</f>
        <v>0.19185526080000001</v>
      </c>
      <c r="H75" s="1155">
        <f t="shared" si="39"/>
        <v>0.19</v>
      </c>
      <c r="I75" s="578">
        <f t="shared" si="47"/>
        <v>0.38185526079999998</v>
      </c>
    </row>
    <row r="76" spans="1:9" ht="21.95" hidden="1" customHeight="1" x14ac:dyDescent="0.15">
      <c r="A76" s="2513"/>
      <c r="B76" s="2534"/>
      <c r="C76" s="566" t="s">
        <v>1393</v>
      </c>
      <c r="D76" s="1494"/>
      <c r="E76" s="1495"/>
      <c r="F76" s="1153">
        <f t="shared" ref="F76" si="62">F51</f>
        <v>0</v>
      </c>
      <c r="G76" s="1153">
        <f t="shared" ref="G76" si="63">G51</f>
        <v>0</v>
      </c>
      <c r="H76" s="1155">
        <f t="shared" si="39"/>
        <v>0</v>
      </c>
      <c r="I76" s="578">
        <f t="shared" si="47"/>
        <v>0</v>
      </c>
    </row>
    <row r="77" spans="1:9" ht="21.95" hidden="1" customHeight="1" x14ac:dyDescent="0.15">
      <c r="A77" s="2513"/>
      <c r="B77" s="2534"/>
      <c r="C77" s="566" t="s">
        <v>538</v>
      </c>
      <c r="D77" s="1494"/>
      <c r="E77" s="1495"/>
      <c r="F77" s="1566"/>
      <c r="G77" s="1153">
        <f t="shared" ref="G77" si="64">G19*1.375</f>
        <v>0</v>
      </c>
      <c r="H77" s="1155">
        <f t="shared" si="39"/>
        <v>0</v>
      </c>
      <c r="I77" s="578">
        <f t="shared" si="47"/>
        <v>0</v>
      </c>
    </row>
    <row r="78" spans="1:9" ht="21.95" customHeight="1" x14ac:dyDescent="0.15">
      <c r="A78" s="2513"/>
      <c r="B78" s="2534"/>
      <c r="C78" s="566" t="s">
        <v>1764</v>
      </c>
      <c r="D78" s="1494"/>
      <c r="E78" s="1495"/>
      <c r="F78" s="1153">
        <f t="shared" ref="F78" si="65">F42</f>
        <v>0</v>
      </c>
      <c r="G78" s="1153">
        <f t="shared" ref="G78" si="66">G42</f>
        <v>2.5752384E-2</v>
      </c>
      <c r="H78" s="1155">
        <f t="shared" si="39"/>
        <v>0.03</v>
      </c>
      <c r="I78" s="578">
        <f t="shared" si="47"/>
        <v>5.5752384000000002E-2</v>
      </c>
    </row>
    <row r="79" spans="1:9" ht="21.95" customHeight="1" x14ac:dyDescent="0.15">
      <c r="A79" s="2513"/>
      <c r="B79" s="2534"/>
      <c r="C79" s="566" t="s">
        <v>1397</v>
      </c>
      <c r="D79" s="1494"/>
      <c r="E79" s="1495"/>
      <c r="F79" s="1153">
        <f t="shared" ref="F79" si="67">F33</f>
        <v>0</v>
      </c>
      <c r="G79" s="1153">
        <f t="shared" ref="G79" si="68">G33</f>
        <v>6.7199999999999994E-3</v>
      </c>
      <c r="H79" s="1155">
        <f t="shared" si="39"/>
        <v>0.01</v>
      </c>
      <c r="I79" s="578">
        <f t="shared" si="47"/>
        <v>1.6719999999999999E-2</v>
      </c>
    </row>
    <row r="80" spans="1:9" ht="21.95" hidden="1" customHeight="1" x14ac:dyDescent="0.15">
      <c r="A80" s="2513"/>
      <c r="B80" s="2534"/>
      <c r="C80" s="566" t="s">
        <v>1406</v>
      </c>
      <c r="D80" s="1494"/>
      <c r="E80" s="1495"/>
      <c r="F80" s="1153"/>
      <c r="G80" s="1153">
        <f t="shared" ref="G80" si="69">G37</f>
        <v>0</v>
      </c>
      <c r="H80" s="1155">
        <f t="shared" si="39"/>
        <v>0</v>
      </c>
      <c r="I80" s="578">
        <f t="shared" si="47"/>
        <v>0</v>
      </c>
    </row>
    <row r="81" spans="1:9" ht="21.95" hidden="1" customHeight="1" x14ac:dyDescent="0.15">
      <c r="A81" s="2513"/>
      <c r="B81" s="2534"/>
      <c r="C81" s="566" t="s">
        <v>1411</v>
      </c>
      <c r="D81" s="1494"/>
      <c r="E81" s="1495"/>
      <c r="F81" s="1153">
        <f t="shared" ref="F81" si="70">F49</f>
        <v>0</v>
      </c>
      <c r="G81" s="1153">
        <f t="shared" ref="G81" si="71">G49</f>
        <v>0</v>
      </c>
      <c r="H81" s="1155">
        <f t="shared" si="39"/>
        <v>0</v>
      </c>
      <c r="I81" s="578">
        <f t="shared" si="47"/>
        <v>0</v>
      </c>
    </row>
    <row r="82" spans="1:9" ht="21.95" customHeight="1" thickBot="1" x14ac:dyDescent="0.2">
      <c r="A82" s="2513"/>
      <c r="B82" s="2534"/>
      <c r="C82" s="566" t="s">
        <v>1372</v>
      </c>
      <c r="D82" s="1494"/>
      <c r="E82" s="1495"/>
      <c r="F82" s="1153">
        <f t="shared" ref="F82" si="72">F39</f>
        <v>0</v>
      </c>
      <c r="G82" s="1153">
        <f t="shared" ref="G82" si="73">G39</f>
        <v>0.42920639999999999</v>
      </c>
      <c r="H82" s="1155">
        <f t="shared" si="39"/>
        <v>0.43</v>
      </c>
      <c r="I82" s="578">
        <f t="shared" si="47"/>
        <v>0.85920639999999993</v>
      </c>
    </row>
    <row r="83" spans="1:9" ht="21.95" hidden="1" customHeight="1" thickBot="1" x14ac:dyDescent="0.2">
      <c r="A83" s="2513"/>
      <c r="B83" s="2535"/>
      <c r="C83" s="565" t="s">
        <v>1373</v>
      </c>
      <c r="D83" s="1496"/>
      <c r="E83" s="1497"/>
      <c r="F83" s="1096">
        <f t="shared" ref="F83" si="74">F46</f>
        <v>0</v>
      </c>
      <c r="G83" s="1096">
        <f t="shared" ref="G83" si="75">G46</f>
        <v>0</v>
      </c>
      <c r="H83" s="1097">
        <f t="shared" si="39"/>
        <v>0</v>
      </c>
      <c r="I83" s="578">
        <f t="shared" si="47"/>
        <v>0</v>
      </c>
    </row>
    <row r="84" spans="1:9" ht="21.95" hidden="1" customHeight="1" x14ac:dyDescent="0.15">
      <c r="A84" s="2513"/>
      <c r="B84" s="2533" t="s">
        <v>1366</v>
      </c>
      <c r="C84" s="806" t="s">
        <v>7</v>
      </c>
      <c r="D84" s="1492"/>
      <c r="E84" s="1493"/>
      <c r="F84" s="1093">
        <f>F62</f>
        <v>0</v>
      </c>
      <c r="G84" s="1093">
        <f t="shared" ref="G84" si="76">G62</f>
        <v>1.26</v>
      </c>
      <c r="H84" s="1095"/>
      <c r="I84" s="578"/>
    </row>
    <row r="85" spans="1:9" ht="21.95" hidden="1" customHeight="1" x14ac:dyDescent="0.15">
      <c r="A85" s="2513"/>
      <c r="B85" s="2534"/>
      <c r="C85" s="558" t="s">
        <v>1353</v>
      </c>
      <c r="D85" s="1494"/>
      <c r="E85" s="1495"/>
      <c r="F85" s="1153"/>
      <c r="G85" s="1153">
        <f t="shared" ref="G85" si="77">G63</f>
        <v>0</v>
      </c>
      <c r="H85" s="1155"/>
      <c r="I85" s="578"/>
    </row>
    <row r="86" spans="1:9" ht="21.95" hidden="1" customHeight="1" x14ac:dyDescent="0.15">
      <c r="A86" s="2513"/>
      <c r="B86" s="2534"/>
      <c r="C86" s="558" t="s">
        <v>1203</v>
      </c>
      <c r="D86" s="1494"/>
      <c r="E86" s="1495"/>
      <c r="F86" s="1153"/>
      <c r="G86" s="1153">
        <f t="shared" ref="G86" si="78">G64</f>
        <v>0</v>
      </c>
      <c r="H86" s="1155"/>
      <c r="I86" s="578"/>
    </row>
    <row r="87" spans="1:9" ht="21.95" hidden="1" customHeight="1" x14ac:dyDescent="0.15">
      <c r="A87" s="2513"/>
      <c r="B87" s="2534"/>
      <c r="C87" s="558" t="s">
        <v>1389</v>
      </c>
      <c r="D87" s="1494"/>
      <c r="E87" s="1495"/>
      <c r="F87" s="1153"/>
      <c r="G87" s="1153">
        <f t="shared" ref="G87" si="79">G65</f>
        <v>0</v>
      </c>
      <c r="H87" s="1155"/>
      <c r="I87" s="578"/>
    </row>
    <row r="88" spans="1:9" ht="21.95" hidden="1" customHeight="1" x14ac:dyDescent="0.15">
      <c r="A88" s="2513"/>
      <c r="B88" s="2534"/>
      <c r="C88" s="558" t="s">
        <v>1390</v>
      </c>
      <c r="D88" s="1494"/>
      <c r="E88" s="1495"/>
      <c r="F88" s="1153">
        <f>F67</f>
        <v>0</v>
      </c>
      <c r="G88" s="1153">
        <f t="shared" ref="G88" si="80">G67</f>
        <v>6.9102230400000006E-2</v>
      </c>
      <c r="H88" s="1155"/>
      <c r="I88" s="578"/>
    </row>
    <row r="89" spans="1:9" ht="21.95" hidden="1" customHeight="1" x14ac:dyDescent="0.15">
      <c r="A89" s="2513"/>
      <c r="B89" s="2534"/>
      <c r="C89" s="558" t="s">
        <v>1391</v>
      </c>
      <c r="D89" s="1494"/>
      <c r="E89" s="1495"/>
      <c r="F89" s="1153">
        <f>F68</f>
        <v>0</v>
      </c>
      <c r="G89" s="1153">
        <f t="shared" ref="G89" si="81">G68</f>
        <v>0</v>
      </c>
      <c r="H89" s="1155"/>
      <c r="I89" s="578"/>
    </row>
    <row r="90" spans="1:9" ht="21.95" hidden="1" customHeight="1" x14ac:dyDescent="0.15">
      <c r="A90" s="2513"/>
      <c r="B90" s="2534"/>
      <c r="C90" s="558" t="s">
        <v>1367</v>
      </c>
      <c r="D90" s="1494"/>
      <c r="E90" s="1495"/>
      <c r="F90" s="1153">
        <f>F69</f>
        <v>0</v>
      </c>
      <c r="G90" s="1153">
        <f t="shared" ref="G90" si="82">G69</f>
        <v>0</v>
      </c>
      <c r="H90" s="1155"/>
      <c r="I90" s="578"/>
    </row>
    <row r="91" spans="1:9" ht="21.95" hidden="1" customHeight="1" x14ac:dyDescent="0.15">
      <c r="A91" s="2513"/>
      <c r="B91" s="2534"/>
      <c r="C91" s="566" t="s">
        <v>1762</v>
      </c>
      <c r="D91" s="1494"/>
      <c r="E91" s="1495"/>
      <c r="F91" s="1153"/>
      <c r="G91" s="1153">
        <f t="shared" ref="G91" si="83">G70</f>
        <v>0</v>
      </c>
      <c r="H91" s="1155"/>
      <c r="I91" s="578"/>
    </row>
    <row r="92" spans="1:9" ht="21.95" hidden="1" customHeight="1" x14ac:dyDescent="0.15">
      <c r="A92" s="2513"/>
      <c r="B92" s="2534"/>
      <c r="C92" s="566" t="s">
        <v>1761</v>
      </c>
      <c r="D92" s="1494"/>
      <c r="E92" s="1495"/>
      <c r="F92" s="1153">
        <f>F71</f>
        <v>0</v>
      </c>
      <c r="G92" s="1153">
        <f t="shared" ref="G92" si="84">G71</f>
        <v>1.155</v>
      </c>
      <c r="H92" s="1155"/>
      <c r="I92" s="578"/>
    </row>
    <row r="93" spans="1:9" ht="21.95" hidden="1" customHeight="1" x14ac:dyDescent="0.15">
      <c r="A93" s="2513"/>
      <c r="B93" s="2534"/>
      <c r="C93" s="566" t="s">
        <v>1368</v>
      </c>
      <c r="D93" s="1494"/>
      <c r="E93" s="1495"/>
      <c r="F93" s="1153">
        <f>F72</f>
        <v>0</v>
      </c>
      <c r="G93" s="1153">
        <f t="shared" ref="G93" si="85">G72</f>
        <v>0</v>
      </c>
      <c r="H93" s="1155"/>
      <c r="I93" s="578"/>
    </row>
    <row r="94" spans="1:9" ht="21.95" hidden="1" customHeight="1" x14ac:dyDescent="0.15">
      <c r="A94" s="2513"/>
      <c r="B94" s="2534"/>
      <c r="C94" s="566" t="s">
        <v>1394</v>
      </c>
      <c r="D94" s="1494"/>
      <c r="E94" s="1495"/>
      <c r="F94" s="1153"/>
      <c r="G94" s="1153">
        <f t="shared" ref="G94" si="86">G73</f>
        <v>0</v>
      </c>
      <c r="H94" s="1155"/>
      <c r="I94" s="578"/>
    </row>
    <row r="95" spans="1:9" ht="21.95" hidden="1" customHeight="1" x14ac:dyDescent="0.15">
      <c r="A95" s="2513"/>
      <c r="B95" s="2534"/>
      <c r="C95" s="566" t="s">
        <v>1600</v>
      </c>
      <c r="D95" s="1494"/>
      <c r="E95" s="1495"/>
      <c r="F95" s="1153"/>
      <c r="G95" s="1153">
        <f t="shared" ref="G95" si="87">G74</f>
        <v>0</v>
      </c>
      <c r="H95" s="1155"/>
      <c r="I95" s="578"/>
    </row>
    <row r="96" spans="1:9" ht="21.95" hidden="1" customHeight="1" x14ac:dyDescent="0.15">
      <c r="A96" s="2513"/>
      <c r="B96" s="2534"/>
      <c r="C96" s="566" t="s">
        <v>1392</v>
      </c>
      <c r="D96" s="1494"/>
      <c r="E96" s="1495"/>
      <c r="F96" s="1153">
        <f>F75</f>
        <v>0</v>
      </c>
      <c r="G96" s="1153">
        <f t="shared" ref="G96" si="88">G75</f>
        <v>0.19185526080000001</v>
      </c>
      <c r="H96" s="1155"/>
      <c r="I96" s="578"/>
    </row>
    <row r="97" spans="1:9" ht="21.95" hidden="1" customHeight="1" x14ac:dyDescent="0.15">
      <c r="A97" s="2513"/>
      <c r="B97" s="2534"/>
      <c r="C97" s="566" t="s">
        <v>1393</v>
      </c>
      <c r="D97" s="1494"/>
      <c r="E97" s="1495"/>
      <c r="F97" s="1153">
        <f>F76</f>
        <v>0</v>
      </c>
      <c r="G97" s="1153">
        <f t="shared" ref="G97" si="89">G76</f>
        <v>0</v>
      </c>
      <c r="H97" s="1155"/>
      <c r="I97" s="578"/>
    </row>
    <row r="98" spans="1:9" ht="21.95" hidden="1" customHeight="1" x14ac:dyDescent="0.15">
      <c r="A98" s="2513"/>
      <c r="B98" s="2534"/>
      <c r="C98" s="566" t="s">
        <v>538</v>
      </c>
      <c r="D98" s="1494"/>
      <c r="E98" s="1495"/>
      <c r="F98" s="1153"/>
      <c r="G98" s="1153">
        <f t="shared" ref="G98" si="90">G77</f>
        <v>0</v>
      </c>
      <c r="H98" s="1155"/>
      <c r="I98" s="578"/>
    </row>
    <row r="99" spans="1:9" ht="21.95" hidden="1" customHeight="1" x14ac:dyDescent="0.15">
      <c r="A99" s="2513"/>
      <c r="B99" s="2534"/>
      <c r="C99" s="566" t="s">
        <v>1372</v>
      </c>
      <c r="D99" s="1494"/>
      <c r="E99" s="1495"/>
      <c r="F99" s="1153">
        <f>F82</f>
        <v>0</v>
      </c>
      <c r="G99" s="1153">
        <f t="shared" ref="G99" si="91">G82</f>
        <v>0.42920639999999999</v>
      </c>
      <c r="H99" s="1155"/>
      <c r="I99" s="578"/>
    </row>
    <row r="100" spans="1:9" ht="21.95" hidden="1" customHeight="1" thickBot="1" x14ac:dyDescent="0.2">
      <c r="A100" s="2513"/>
      <c r="B100" s="2535"/>
      <c r="C100" s="565" t="s">
        <v>1373</v>
      </c>
      <c r="D100" s="1496"/>
      <c r="E100" s="1497"/>
      <c r="F100" s="1096">
        <f>F83</f>
        <v>0</v>
      </c>
      <c r="G100" s="1096">
        <f t="shared" ref="G100" si="92">G83</f>
        <v>0</v>
      </c>
      <c r="H100" s="1097"/>
      <c r="I100" s="578"/>
    </row>
    <row r="101" spans="1:9" ht="50.1" customHeight="1" thickBot="1" x14ac:dyDescent="0.2">
      <c r="A101" s="2514"/>
      <c r="B101" s="2568" t="s">
        <v>12</v>
      </c>
      <c r="C101" s="2569"/>
      <c r="D101" s="989"/>
      <c r="E101" s="1534"/>
      <c r="F101" s="1158"/>
      <c r="G101" s="2092"/>
      <c r="H101" s="1159"/>
      <c r="I101" s="667">
        <v>1</v>
      </c>
    </row>
    <row r="102" spans="1:9" ht="19.5" thickTop="1" x14ac:dyDescent="0.15">
      <c r="F102" s="133"/>
    </row>
    <row r="103" spans="1:9" x14ac:dyDescent="0.15">
      <c r="F103" s="133"/>
    </row>
  </sheetData>
  <autoFilter ref="I1:I101">
    <filterColumn colId="0">
      <customFilters>
        <customFilter operator="notEqual" val=" "/>
      </customFilters>
    </filterColumn>
  </autoFilter>
  <mergeCells count="18">
    <mergeCell ref="A1:A101"/>
    <mergeCell ref="B1:C1"/>
    <mergeCell ref="B2:C2"/>
    <mergeCell ref="B3:B4"/>
    <mergeCell ref="B5:C5"/>
    <mergeCell ref="B12:B14"/>
    <mergeCell ref="B34:B37"/>
    <mergeCell ref="B101:C101"/>
    <mergeCell ref="B6:B8"/>
    <mergeCell ref="B9:B11"/>
    <mergeCell ref="B17:B31"/>
    <mergeCell ref="B32:B33"/>
    <mergeCell ref="B15:B16"/>
    <mergeCell ref="B45:B51"/>
    <mergeCell ref="B38:B44"/>
    <mergeCell ref="B52:B60"/>
    <mergeCell ref="B84:B100"/>
    <mergeCell ref="B62:B83"/>
  </mergeCells>
  <hyperlinks>
    <hyperlink ref="B1:C1" location="PAINEL!A1" display="TRECHOS"/>
  </hyperlinks>
  <pageMargins left="0.59055118110236227" right="0.59055118110236227" top="0.39370078740157483" bottom="0.59055118110236227" header="0.31496062992125984" footer="0.23622047244094491"/>
  <pageSetup paperSize="9" scale="84" fitToWidth="4" orientation="landscape" r:id="rId1"/>
  <headerFooter>
    <oddFooter>&amp;L&amp;"Arial,Normal"&amp;8&amp;F&amp;C&amp;"Arial,Normal"&amp;8&amp;P / &amp;N&amp;R&amp;"Cambria,Regular"&amp;8Ricardo Schettini Figueiredo&amp;10
&amp;8Eng. Civil - CREA-RJ 52.656/D</oddFooter>
  </headerFooter>
  <ignoredErrors>
    <ignoredError sqref="H19 G19:G28" formulaRange="1"/>
    <ignoredError sqref="H28:H29" formula="1"/>
  </ignoredErrors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31">
    <tabColor theme="8" tint="0.59999389629810485"/>
  </sheetPr>
  <dimension ref="A1:V270"/>
  <sheetViews>
    <sheetView showZeros="0" zoomScaleNormal="100" zoomScaleSheetLayoutView="115" workbookViewId="0">
      <pane xSplit="5" ySplit="1" topLeftCell="F2" activePane="bottomRight" state="frozenSplit"/>
      <selection activeCell="F2" sqref="F2"/>
      <selection pane="topRight" activeCell="F2" sqref="F2"/>
      <selection pane="bottomLeft" activeCell="F2" sqref="F2"/>
      <selection pane="bottomRight" activeCell="F2" sqref="F2"/>
    </sheetView>
  </sheetViews>
  <sheetFormatPr defaultColWidth="9" defaultRowHeight="18.75" x14ac:dyDescent="0.15"/>
  <cols>
    <col min="1" max="1" width="11.375" style="679" customWidth="1"/>
    <col min="2" max="2" width="16.875" style="675" customWidth="1"/>
    <col min="3" max="3" width="35.625" style="9" customWidth="1"/>
    <col min="4" max="4" width="4.125" style="981" hidden="1" customWidth="1"/>
    <col min="5" max="5" width="7.375" style="675" hidden="1" customWidth="1"/>
    <col min="6" max="9" width="12.625" style="5" customWidth="1"/>
    <col min="10" max="10" width="12.625" style="683" customWidth="1"/>
    <col min="11" max="11" width="17.375" style="679" customWidth="1"/>
    <col min="12" max="16384" width="9" style="679"/>
  </cols>
  <sheetData>
    <row r="1" spans="1:22" s="676" customFormat="1" ht="60" customHeight="1" thickTop="1" thickBot="1" x14ac:dyDescent="0.2">
      <c r="A1" s="2512" t="s">
        <v>1252</v>
      </c>
      <c r="B1" s="2700" t="s">
        <v>348</v>
      </c>
      <c r="C1" s="2701"/>
      <c r="D1" s="1729"/>
      <c r="E1" s="1730" t="s">
        <v>588</v>
      </c>
      <c r="F1" s="211" t="s">
        <v>2709</v>
      </c>
      <c r="G1" s="211" t="s">
        <v>2710</v>
      </c>
      <c r="H1" s="211" t="s">
        <v>2711</v>
      </c>
      <c r="I1" s="211"/>
      <c r="J1" s="674" t="s">
        <v>0</v>
      </c>
      <c r="K1" s="577" t="s">
        <v>1355</v>
      </c>
      <c r="L1" s="675"/>
      <c r="M1" s="675"/>
      <c r="N1" s="675"/>
      <c r="O1" s="675"/>
      <c r="P1" s="675"/>
      <c r="Q1" s="675"/>
      <c r="R1" s="675"/>
      <c r="S1" s="675"/>
      <c r="T1" s="675"/>
      <c r="U1" s="675"/>
      <c r="V1" s="675"/>
    </row>
    <row r="2" spans="1:22" s="677" customFormat="1" ht="21.95" customHeight="1" thickTop="1" thickBot="1" x14ac:dyDescent="0.2">
      <c r="A2" s="2688"/>
      <c r="B2" s="2702" t="s">
        <v>44</v>
      </c>
      <c r="C2" s="2703"/>
      <c r="D2" s="1452"/>
      <c r="E2" s="1453"/>
      <c r="F2" s="1163"/>
      <c r="G2" s="1163"/>
      <c r="H2" s="1163"/>
      <c r="I2" s="1163"/>
      <c r="J2" s="1164">
        <f>ROUND(SUM(F2:I2),2)</f>
        <v>0</v>
      </c>
      <c r="K2" s="578">
        <f>SUM(F2:J2)</f>
        <v>0</v>
      </c>
    </row>
    <row r="3" spans="1:22" s="677" customFormat="1" ht="21.95" customHeight="1" x14ac:dyDescent="0.15">
      <c r="A3" s="2688"/>
      <c r="B3" s="2533" t="s">
        <v>163</v>
      </c>
      <c r="C3" s="542" t="s">
        <v>161</v>
      </c>
      <c r="D3" s="1061"/>
      <c r="E3" s="1344"/>
      <c r="F3" s="1712"/>
      <c r="G3" s="1712"/>
      <c r="H3" s="1712"/>
      <c r="I3" s="1712"/>
      <c r="J3" s="980"/>
      <c r="K3" s="1016">
        <f>COUNTA(F3:I3)-COUNTIF(F3:I3,0)</f>
        <v>0</v>
      </c>
    </row>
    <row r="4" spans="1:22" s="677" customFormat="1" ht="21.95" customHeight="1" thickBot="1" x14ac:dyDescent="0.2">
      <c r="A4" s="2688"/>
      <c r="B4" s="2535"/>
      <c r="C4" s="542" t="s">
        <v>162</v>
      </c>
      <c r="D4" s="1061"/>
      <c r="E4" s="1344"/>
      <c r="F4" s="1261"/>
      <c r="G4" s="1261"/>
      <c r="H4" s="1261"/>
      <c r="I4" s="1261"/>
      <c r="J4" s="1191"/>
      <c r="K4" s="1016">
        <f>COUNTA(F4:I4)-COUNTIF(F4:I4,0)</f>
        <v>0</v>
      </c>
    </row>
    <row r="5" spans="1:22" s="677" customFormat="1" ht="21.95" customHeight="1" thickBot="1" x14ac:dyDescent="0.2">
      <c r="A5" s="2688"/>
      <c r="B5" s="2704" t="s">
        <v>1231</v>
      </c>
      <c r="C5" s="2705"/>
      <c r="D5" s="1454"/>
      <c r="E5" s="1455"/>
      <c r="F5" s="497">
        <v>7.4404444444444433</v>
      </c>
      <c r="G5" s="497">
        <v>6.6664772727272732</v>
      </c>
      <c r="H5" s="497">
        <v>6.5467692307692307</v>
      </c>
      <c r="I5" s="497"/>
      <c r="J5" s="678"/>
      <c r="K5" s="578">
        <f>SUM(F5:J5)</f>
        <v>20.653690947940945</v>
      </c>
    </row>
    <row r="6" spans="1:22" s="677" customFormat="1" ht="21.95" customHeight="1" thickBot="1" x14ac:dyDescent="0.2">
      <c r="A6" s="2688"/>
      <c r="B6" s="2706" t="s">
        <v>622</v>
      </c>
      <c r="C6" s="2707"/>
      <c r="D6" s="1454"/>
      <c r="E6" s="1455"/>
      <c r="F6" s="1165">
        <f>+F5*F2</f>
        <v>0</v>
      </c>
      <c r="G6" s="1165">
        <f>+G5*G2</f>
        <v>0</v>
      </c>
      <c r="H6" s="1165">
        <f>+H5*H2</f>
        <v>0</v>
      </c>
      <c r="I6" s="1165"/>
      <c r="J6" s="1166">
        <f>ROUND(SUM(F6:I6),2)</f>
        <v>0</v>
      </c>
      <c r="K6" s="578">
        <f>SUM(F6:J6)</f>
        <v>0</v>
      </c>
    </row>
    <row r="7" spans="1:22" s="677" customFormat="1" ht="21.95" customHeight="1" thickBot="1" x14ac:dyDescent="0.2">
      <c r="A7" s="2688"/>
      <c r="B7" s="2704" t="s">
        <v>1998</v>
      </c>
      <c r="C7" s="2707"/>
      <c r="D7" s="1463"/>
      <c r="E7" s="1733" t="s">
        <v>2010</v>
      </c>
      <c r="F7" s="1169" t="s">
        <v>245</v>
      </c>
      <c r="G7" s="1169" t="s">
        <v>245</v>
      </c>
      <c r="H7" s="1169" t="s">
        <v>245</v>
      </c>
      <c r="I7" s="1169"/>
      <c r="J7" s="678"/>
      <c r="K7" s="1016">
        <f>COUNTA(F7:I7)-COUNTIF(F7:I7,0)</f>
        <v>3</v>
      </c>
    </row>
    <row r="8" spans="1:22" ht="21.95" customHeight="1" x14ac:dyDescent="0.15">
      <c r="A8" s="2688"/>
      <c r="B8" s="2533" t="s">
        <v>1232</v>
      </c>
      <c r="C8" s="541" t="s">
        <v>202</v>
      </c>
      <c r="D8" s="1456"/>
      <c r="E8" s="1457"/>
      <c r="F8" s="979"/>
      <c r="G8" s="979"/>
      <c r="H8" s="979"/>
      <c r="I8" s="979"/>
      <c r="J8" s="980"/>
      <c r="K8" s="578">
        <f t="shared" ref="K8:K28" si="0">SUM(F8:J8)</f>
        <v>0</v>
      </c>
    </row>
    <row r="9" spans="1:22" s="1192" customFormat="1" ht="21.95" customHeight="1" x14ac:dyDescent="0.15">
      <c r="A9" s="2688"/>
      <c r="B9" s="2534"/>
      <c r="C9" s="1189" t="s">
        <v>1966</v>
      </c>
      <c r="D9" s="1458"/>
      <c r="E9" s="1459"/>
      <c r="F9" s="1190"/>
      <c r="G9" s="1190"/>
      <c r="H9" s="1190"/>
      <c r="I9" s="1190"/>
      <c r="J9" s="1191"/>
      <c r="K9" s="578">
        <f t="shared" si="0"/>
        <v>0</v>
      </c>
    </row>
    <row r="10" spans="1:22" s="677" customFormat="1" ht="21.95" customHeight="1" x14ac:dyDescent="0.15">
      <c r="A10" s="2688"/>
      <c r="B10" s="2534"/>
      <c r="C10" s="807" t="s">
        <v>1238</v>
      </c>
      <c r="D10" s="1460"/>
      <c r="E10" s="1461"/>
      <c r="F10" s="1143">
        <f t="shared" ref="F10:H10" si="1">F8*F$6</f>
        <v>0</v>
      </c>
      <c r="G10" s="1143">
        <f t="shared" si="1"/>
        <v>0</v>
      </c>
      <c r="H10" s="1143">
        <f t="shared" si="1"/>
        <v>0</v>
      </c>
      <c r="I10" s="1143"/>
      <c r="J10" s="1167">
        <f>ROUND(SUM(F10:I10),2)</f>
        <v>0</v>
      </c>
      <c r="K10" s="578">
        <f t="shared" si="0"/>
        <v>0</v>
      </c>
    </row>
    <row r="11" spans="1:22" s="677" customFormat="1" ht="21.95" customHeight="1" thickBot="1" x14ac:dyDescent="0.2">
      <c r="A11" s="2688"/>
      <c r="B11" s="2535"/>
      <c r="C11" s="545" t="s">
        <v>1967</v>
      </c>
      <c r="D11" s="1460"/>
      <c r="E11" s="1461"/>
      <c r="F11" s="1134">
        <f t="shared" ref="F11:H11" si="2">F10*F9/100</f>
        <v>0</v>
      </c>
      <c r="G11" s="1134">
        <f t="shared" si="2"/>
        <v>0</v>
      </c>
      <c r="H11" s="1134">
        <f t="shared" si="2"/>
        <v>0</v>
      </c>
      <c r="I11" s="1143"/>
      <c r="J11" s="1174">
        <f>ROUND(SUM(F11:I11),2)</f>
        <v>0</v>
      </c>
      <c r="K11" s="578">
        <f t="shared" si="0"/>
        <v>0</v>
      </c>
    </row>
    <row r="12" spans="1:22" s="677" customFormat="1" ht="21.95" customHeight="1" x14ac:dyDescent="0.15">
      <c r="A12" s="2688"/>
      <c r="B12" s="2534" t="s">
        <v>1234</v>
      </c>
      <c r="C12" s="543" t="s">
        <v>202</v>
      </c>
      <c r="D12" s="1456"/>
      <c r="E12" s="1457"/>
      <c r="F12" s="2112"/>
      <c r="G12" s="2112"/>
      <c r="H12" s="2112"/>
      <c r="I12" s="979"/>
      <c r="J12" s="2113"/>
      <c r="K12" s="578">
        <f t="shared" si="0"/>
        <v>0</v>
      </c>
    </row>
    <row r="13" spans="1:22" s="1192" customFormat="1" ht="21.95" customHeight="1" x14ac:dyDescent="0.15">
      <c r="A13" s="2688"/>
      <c r="B13" s="2694"/>
      <c r="C13" s="1189" t="s">
        <v>1966</v>
      </c>
      <c r="D13" s="1458"/>
      <c r="E13" s="1459"/>
      <c r="F13" s="1190"/>
      <c r="G13" s="1190"/>
      <c r="H13" s="1190"/>
      <c r="I13" s="1190"/>
      <c r="J13" s="1191"/>
      <c r="K13" s="578">
        <f t="shared" si="0"/>
        <v>0</v>
      </c>
    </row>
    <row r="14" spans="1:22" s="677" customFormat="1" ht="21.95" customHeight="1" x14ac:dyDescent="0.15">
      <c r="A14" s="2688"/>
      <c r="B14" s="2694"/>
      <c r="C14" s="807" t="s">
        <v>1239</v>
      </c>
      <c r="D14" s="1460"/>
      <c r="E14" s="1461"/>
      <c r="F14" s="1143">
        <f t="shared" ref="F14:H14" si="3">F12*F$6</f>
        <v>0</v>
      </c>
      <c r="G14" s="1143">
        <f t="shared" si="3"/>
        <v>0</v>
      </c>
      <c r="H14" s="1143">
        <f t="shared" si="3"/>
        <v>0</v>
      </c>
      <c r="I14" s="1143"/>
      <c r="J14" s="1167">
        <f>ROUND(SUM(F14:I14),2)</f>
        <v>0</v>
      </c>
      <c r="K14" s="578">
        <f t="shared" si="0"/>
        <v>0</v>
      </c>
    </row>
    <row r="15" spans="1:22" s="677" customFormat="1" ht="21.95" customHeight="1" thickBot="1" x14ac:dyDescent="0.2">
      <c r="A15" s="2688"/>
      <c r="B15" s="2694"/>
      <c r="C15" s="542" t="s">
        <v>1968</v>
      </c>
      <c r="D15" s="1460"/>
      <c r="E15" s="1462"/>
      <c r="F15" s="1143">
        <f t="shared" ref="F15:H15" si="4">F14*F12/100</f>
        <v>0</v>
      </c>
      <c r="G15" s="1143">
        <f t="shared" si="4"/>
        <v>0</v>
      </c>
      <c r="H15" s="1143">
        <f t="shared" si="4"/>
        <v>0</v>
      </c>
      <c r="I15" s="1143"/>
      <c r="J15" s="1168">
        <f>ROUND(SUM(F15:I15),2)</f>
        <v>0</v>
      </c>
      <c r="K15" s="578">
        <f t="shared" si="0"/>
        <v>0</v>
      </c>
    </row>
    <row r="16" spans="1:22" s="677" customFormat="1" ht="21.95" customHeight="1" x14ac:dyDescent="0.15">
      <c r="A16" s="2688"/>
      <c r="B16" s="2533" t="s">
        <v>1233</v>
      </c>
      <c r="C16" s="541" t="s">
        <v>202</v>
      </c>
      <c r="D16" s="1456"/>
      <c r="E16" s="1457"/>
      <c r="F16" s="1708"/>
      <c r="G16" s="1708"/>
      <c r="H16" s="1708"/>
      <c r="I16" s="1708"/>
      <c r="J16" s="1705"/>
      <c r="K16" s="578">
        <f t="shared" si="0"/>
        <v>0</v>
      </c>
    </row>
    <row r="17" spans="1:11" s="1192" customFormat="1" ht="21.95" customHeight="1" x14ac:dyDescent="0.15">
      <c r="A17" s="2688"/>
      <c r="B17" s="2534"/>
      <c r="C17" s="1189" t="s">
        <v>1966</v>
      </c>
      <c r="D17" s="1458"/>
      <c r="E17" s="1459"/>
      <c r="F17" s="1482"/>
      <c r="G17" s="1482"/>
      <c r="H17" s="1482"/>
      <c r="I17" s="1482"/>
      <c r="J17" s="1706"/>
      <c r="K17" s="578">
        <f t="shared" si="0"/>
        <v>0</v>
      </c>
    </row>
    <row r="18" spans="1:11" s="677" customFormat="1" ht="21.95" customHeight="1" x14ac:dyDescent="0.15">
      <c r="A18" s="2688"/>
      <c r="B18" s="2534"/>
      <c r="C18" s="807" t="s">
        <v>1240</v>
      </c>
      <c r="D18" s="1460"/>
      <c r="E18" s="1462"/>
      <c r="F18" s="1138">
        <f t="shared" ref="F18:H18" si="5">F16*F$6</f>
        <v>0</v>
      </c>
      <c r="G18" s="1138">
        <f t="shared" si="5"/>
        <v>0</v>
      </c>
      <c r="H18" s="1138">
        <f t="shared" si="5"/>
        <v>0</v>
      </c>
      <c r="I18" s="1138"/>
      <c r="J18" s="1707">
        <f>ROUND(SUM(F18:I18),2)</f>
        <v>0</v>
      </c>
      <c r="K18" s="578">
        <f t="shared" si="0"/>
        <v>0</v>
      </c>
    </row>
    <row r="19" spans="1:11" s="677" customFormat="1" ht="21.95" customHeight="1" x14ac:dyDescent="0.15">
      <c r="A19" s="2688"/>
      <c r="B19" s="2534"/>
      <c r="C19" s="542" t="s">
        <v>1969</v>
      </c>
      <c r="D19" s="1467"/>
      <c r="E19" s="1468"/>
      <c r="F19" s="1206">
        <f t="shared" ref="F19:H19" si="6">F18*F17/100</f>
        <v>0</v>
      </c>
      <c r="G19" s="1206">
        <f t="shared" si="6"/>
        <v>0</v>
      </c>
      <c r="H19" s="1206">
        <f t="shared" si="6"/>
        <v>0</v>
      </c>
      <c r="I19" s="1206"/>
      <c r="J19" s="1713">
        <f>ROUND(SUM(F19:I19),2)</f>
        <v>0</v>
      </c>
      <c r="K19" s="578">
        <f t="shared" si="0"/>
        <v>0</v>
      </c>
    </row>
    <row r="20" spans="1:11" s="677" customFormat="1" ht="32.1" customHeight="1" x14ac:dyDescent="0.15">
      <c r="A20" s="2688"/>
      <c r="B20" s="2534"/>
      <c r="C20" s="1195" t="s">
        <v>2726</v>
      </c>
      <c r="D20" s="1460"/>
      <c r="E20" s="1461"/>
      <c r="F20" s="1208"/>
      <c r="G20" s="1208"/>
      <c r="H20" s="1208"/>
      <c r="I20" s="1208"/>
      <c r="J20" s="1707"/>
      <c r="K20" s="578">
        <f t="shared" si="0"/>
        <v>0</v>
      </c>
    </row>
    <row r="21" spans="1:11" s="677" customFormat="1" ht="21.95" customHeight="1" x14ac:dyDescent="0.15">
      <c r="A21" s="2688"/>
      <c r="B21" s="2534"/>
      <c r="C21" s="542" t="s">
        <v>1244</v>
      </c>
      <c r="D21" s="1467"/>
      <c r="E21" s="1468"/>
      <c r="F21" s="1206">
        <f t="shared" ref="F21:H21" si="7">F18*F20/100</f>
        <v>0</v>
      </c>
      <c r="G21" s="1206">
        <f t="shared" si="7"/>
        <v>0</v>
      </c>
      <c r="H21" s="1206">
        <f t="shared" si="7"/>
        <v>0</v>
      </c>
      <c r="I21" s="1206"/>
      <c r="J21" s="1709">
        <f>ROUND(SUM(F21:I21),2)</f>
        <v>0</v>
      </c>
      <c r="K21" s="578">
        <f t="shared" si="0"/>
        <v>0</v>
      </c>
    </row>
    <row r="22" spans="1:11" s="677" customFormat="1" ht="32.1" customHeight="1" x14ac:dyDescent="0.15">
      <c r="A22" s="2688"/>
      <c r="B22" s="2534"/>
      <c r="C22" s="1195" t="s">
        <v>2724</v>
      </c>
      <c r="D22" s="1460"/>
      <c r="E22" s="1461"/>
      <c r="F22" s="1208"/>
      <c r="G22" s="1208"/>
      <c r="H22" s="1208"/>
      <c r="I22" s="1208"/>
      <c r="J22" s="1707"/>
      <c r="K22" s="578">
        <f t="shared" si="0"/>
        <v>0</v>
      </c>
    </row>
    <row r="23" spans="1:11" s="677" customFormat="1" ht="21.95" customHeight="1" thickBot="1" x14ac:dyDescent="0.2">
      <c r="A23" s="2688"/>
      <c r="B23" s="2534"/>
      <c r="C23" s="548" t="s">
        <v>1975</v>
      </c>
      <c r="D23" s="1460"/>
      <c r="E23" s="1469"/>
      <c r="F23" s="1134">
        <f t="shared" ref="F23:H23" si="8">F22*F18/100</f>
        <v>0</v>
      </c>
      <c r="G23" s="1134">
        <f t="shared" si="8"/>
        <v>0</v>
      </c>
      <c r="H23" s="1134">
        <f t="shared" si="8"/>
        <v>0</v>
      </c>
      <c r="I23" s="1134"/>
      <c r="J23" s="1135">
        <f>ROUND(SUM(F23:I23),2)</f>
        <v>0</v>
      </c>
      <c r="K23" s="578">
        <f t="shared" si="0"/>
        <v>0</v>
      </c>
    </row>
    <row r="24" spans="1:11" s="677" customFormat="1" ht="21.95" customHeight="1" x14ac:dyDescent="0.15">
      <c r="A24" s="2688"/>
      <c r="B24" s="2533" t="s">
        <v>1979</v>
      </c>
      <c r="C24" s="806" t="s">
        <v>1236</v>
      </c>
      <c r="D24" s="1463"/>
      <c r="E24" s="1568" t="s">
        <v>1955</v>
      </c>
      <c r="F24" s="1169"/>
      <c r="G24" s="1169"/>
      <c r="H24" s="1169"/>
      <c r="I24" s="1169"/>
      <c r="J24" s="1167">
        <f>ROUND(SUM(F24:I24),2)</f>
        <v>0</v>
      </c>
      <c r="K24" s="578">
        <f t="shared" si="0"/>
        <v>0</v>
      </c>
    </row>
    <row r="25" spans="1:11" s="677" customFormat="1" ht="21.95" customHeight="1" x14ac:dyDescent="0.15">
      <c r="A25" s="2688"/>
      <c r="B25" s="2534"/>
      <c r="C25" s="548" t="s">
        <v>164</v>
      </c>
      <c r="D25" s="1460"/>
      <c r="E25" s="1461"/>
      <c r="F25" s="1170"/>
      <c r="G25" s="1170"/>
      <c r="H25" s="1170"/>
      <c r="I25" s="1170"/>
      <c r="J25" s="1167"/>
      <c r="K25" s="578">
        <f t="shared" si="0"/>
        <v>0</v>
      </c>
    </row>
    <row r="26" spans="1:11" s="677" customFormat="1" ht="21.95" customHeight="1" x14ac:dyDescent="0.15">
      <c r="A26" s="2688"/>
      <c r="B26" s="2534"/>
      <c r="C26" s="807" t="s">
        <v>1241</v>
      </c>
      <c r="D26" s="1467"/>
      <c r="E26" s="1468"/>
      <c r="F26" s="1710">
        <f t="shared" ref="F26:H26" si="9">F25*F24</f>
        <v>0</v>
      </c>
      <c r="G26" s="1710">
        <f t="shared" si="9"/>
        <v>0</v>
      </c>
      <c r="H26" s="1710">
        <f t="shared" si="9"/>
        <v>0</v>
      </c>
      <c r="I26" s="1710"/>
      <c r="J26" s="1711">
        <f>ROUND(SUM(F26:I26),2)</f>
        <v>0</v>
      </c>
      <c r="K26" s="578">
        <f t="shared" si="0"/>
        <v>0</v>
      </c>
    </row>
    <row r="27" spans="1:11" s="1192" customFormat="1" ht="21.95" customHeight="1" x14ac:dyDescent="0.15">
      <c r="A27" s="2688"/>
      <c r="B27" s="2534"/>
      <c r="C27" s="1195" t="s">
        <v>1980</v>
      </c>
      <c r="D27" s="1465"/>
      <c r="E27" s="1466"/>
      <c r="F27" s="1774"/>
      <c r="G27" s="1774"/>
      <c r="H27" s="1774"/>
      <c r="I27" s="1774"/>
      <c r="J27" s="1167"/>
      <c r="K27" s="578">
        <f t="shared" si="0"/>
        <v>0</v>
      </c>
    </row>
    <row r="28" spans="1:11" s="677" customFormat="1" ht="21.95" customHeight="1" x14ac:dyDescent="0.15">
      <c r="A28" s="2688"/>
      <c r="B28" s="2534"/>
      <c r="C28" s="542" t="s">
        <v>1981</v>
      </c>
      <c r="D28" s="1467"/>
      <c r="E28" s="1468"/>
      <c r="F28" s="1710">
        <f t="shared" ref="F28:H28" si="10">F26*F27/100</f>
        <v>0</v>
      </c>
      <c r="G28" s="1710">
        <f t="shared" si="10"/>
        <v>0</v>
      </c>
      <c r="H28" s="1710">
        <f t="shared" si="10"/>
        <v>0</v>
      </c>
      <c r="I28" s="1710"/>
      <c r="J28" s="1713">
        <f>ROUND(SUM(F28:I28),2)</f>
        <v>0</v>
      </c>
      <c r="K28" s="578">
        <f t="shared" si="0"/>
        <v>0</v>
      </c>
    </row>
    <row r="29" spans="1:11" s="677" customFormat="1" ht="32.1" customHeight="1" x14ac:dyDescent="0.15">
      <c r="A29" s="2688"/>
      <c r="B29" s="2534"/>
      <c r="C29" s="542" t="s">
        <v>2725</v>
      </c>
      <c r="D29" s="1727"/>
      <c r="E29" s="1714"/>
      <c r="F29" s="1715"/>
      <c r="G29" s="1715"/>
      <c r="H29" s="1715"/>
      <c r="I29" s="1715"/>
      <c r="J29" s="1716"/>
      <c r="K29" s="1016">
        <f>COUNTA(F29:I29)-COUNTIF(F29:I29,0)</f>
        <v>0</v>
      </c>
    </row>
    <row r="30" spans="1:11" s="1192" customFormat="1" ht="21.95" customHeight="1" x14ac:dyDescent="0.15">
      <c r="A30" s="2688"/>
      <c r="B30" s="2534"/>
      <c r="C30" s="1195" t="s">
        <v>1984</v>
      </c>
      <c r="D30" s="1485"/>
      <c r="E30" s="1459"/>
      <c r="F30" s="1193"/>
      <c r="G30" s="1193"/>
      <c r="H30" s="1193"/>
      <c r="I30" s="1193"/>
      <c r="J30" s="1167"/>
      <c r="K30" s="578">
        <f t="shared" ref="K30:K48" si="11">SUM(F30:J30)</f>
        <v>0</v>
      </c>
    </row>
    <row r="31" spans="1:11" s="677" customFormat="1" ht="21.95" customHeight="1" x14ac:dyDescent="0.15">
      <c r="A31" s="2688"/>
      <c r="B31" s="2534"/>
      <c r="C31" s="542" t="s">
        <v>1983</v>
      </c>
      <c r="D31" s="1475"/>
      <c r="E31" s="1461"/>
      <c r="F31" s="1143">
        <f t="shared" ref="F31:H31" si="12">F30*F26/100</f>
        <v>0</v>
      </c>
      <c r="G31" s="1143">
        <f t="shared" si="12"/>
        <v>0</v>
      </c>
      <c r="H31" s="1143">
        <f t="shared" si="12"/>
        <v>0</v>
      </c>
      <c r="I31" s="1143"/>
      <c r="J31" s="1167">
        <f t="shared" ref="J31:J44" si="13">ROUND(SUM(F31:I31),2)</f>
        <v>0</v>
      </c>
      <c r="K31" s="578">
        <f t="shared" si="11"/>
        <v>0</v>
      </c>
    </row>
    <row r="32" spans="1:11" s="677" customFormat="1" ht="21.95" customHeight="1" x14ac:dyDescent="0.15">
      <c r="A32" s="2688"/>
      <c r="B32" s="2534"/>
      <c r="C32" s="542" t="s">
        <v>1985</v>
      </c>
      <c r="D32" s="1475"/>
      <c r="E32" s="1461"/>
      <c r="F32" s="1143">
        <f t="shared" ref="F32:H32" si="14">IF(F29="MAN",0,F31)</f>
        <v>0</v>
      </c>
      <c r="G32" s="1143">
        <f t="shared" si="14"/>
        <v>0</v>
      </c>
      <c r="H32" s="1143">
        <f t="shared" si="14"/>
        <v>0</v>
      </c>
      <c r="I32" s="1143"/>
      <c r="J32" s="1168">
        <f t="shared" si="13"/>
        <v>0</v>
      </c>
      <c r="K32" s="578">
        <f t="shared" si="11"/>
        <v>0</v>
      </c>
    </row>
    <row r="33" spans="1:11" s="677" customFormat="1" ht="21.95" customHeight="1" x14ac:dyDescent="0.15">
      <c r="A33" s="2688"/>
      <c r="B33" s="2534"/>
      <c r="C33" s="542" t="s">
        <v>1986</v>
      </c>
      <c r="D33" s="1490"/>
      <c r="E33" s="1468"/>
      <c r="F33" s="1710">
        <f t="shared" ref="F33:H33" si="15">IF(F29="MAN",F31,0)</f>
        <v>0</v>
      </c>
      <c r="G33" s="1710">
        <f t="shared" si="15"/>
        <v>0</v>
      </c>
      <c r="H33" s="1710">
        <f t="shared" si="15"/>
        <v>0</v>
      </c>
      <c r="I33" s="1710"/>
      <c r="J33" s="1713">
        <f t="shared" si="13"/>
        <v>0</v>
      </c>
      <c r="K33" s="578">
        <f t="shared" si="11"/>
        <v>0</v>
      </c>
    </row>
    <row r="34" spans="1:11" s="1192" customFormat="1" ht="21.95" customHeight="1" x14ac:dyDescent="0.15">
      <c r="A34" s="2688"/>
      <c r="B34" s="2534"/>
      <c r="C34" s="1196" t="s">
        <v>1982</v>
      </c>
      <c r="D34" s="1485"/>
      <c r="E34" s="1459"/>
      <c r="F34" s="1193"/>
      <c r="G34" s="1193"/>
      <c r="H34" s="1193"/>
      <c r="I34" s="1193"/>
      <c r="J34" s="1167">
        <f t="shared" si="13"/>
        <v>0</v>
      </c>
      <c r="K34" s="578">
        <f t="shared" si="11"/>
        <v>0</v>
      </c>
    </row>
    <row r="35" spans="1:11" s="677" customFormat="1" ht="21.95" customHeight="1" x14ac:dyDescent="0.15">
      <c r="A35" s="2688"/>
      <c r="B35" s="2534"/>
      <c r="C35" s="542" t="s">
        <v>57</v>
      </c>
      <c r="D35" s="1475"/>
      <c r="E35" s="1461"/>
      <c r="F35" s="1143">
        <f t="shared" ref="F35:H35" si="16">F34*F26/100</f>
        <v>0</v>
      </c>
      <c r="G35" s="1143">
        <f t="shared" si="16"/>
        <v>0</v>
      </c>
      <c r="H35" s="1143">
        <f t="shared" si="16"/>
        <v>0</v>
      </c>
      <c r="I35" s="1143"/>
      <c r="J35" s="1167">
        <f t="shared" si="13"/>
        <v>0</v>
      </c>
      <c r="K35" s="578">
        <f t="shared" si="11"/>
        <v>0</v>
      </c>
    </row>
    <row r="36" spans="1:11" s="677" customFormat="1" ht="21.95" customHeight="1" x14ac:dyDescent="0.15">
      <c r="A36" s="2688"/>
      <c r="B36" s="2534"/>
      <c r="C36" s="543" t="s">
        <v>1988</v>
      </c>
      <c r="D36" s="1475"/>
      <c r="E36" s="1461"/>
      <c r="F36" s="1143">
        <f t="shared" ref="F36:H36" si="17">IF(F29="MAN",0,F35)</f>
        <v>0</v>
      </c>
      <c r="G36" s="1143">
        <f t="shared" si="17"/>
        <v>0</v>
      </c>
      <c r="H36" s="1143">
        <f t="shared" si="17"/>
        <v>0</v>
      </c>
      <c r="I36" s="1143"/>
      <c r="J36" s="1168">
        <f t="shared" si="13"/>
        <v>0</v>
      </c>
      <c r="K36" s="578">
        <f t="shared" si="11"/>
        <v>0</v>
      </c>
    </row>
    <row r="37" spans="1:11" s="677" customFormat="1" ht="21.95" customHeight="1" x14ac:dyDescent="0.15">
      <c r="A37" s="2688"/>
      <c r="B37" s="2534"/>
      <c r="C37" s="543" t="s">
        <v>1987</v>
      </c>
      <c r="D37" s="1490"/>
      <c r="E37" s="1468"/>
      <c r="F37" s="1710">
        <f t="shared" ref="F37:H37" si="18">IF(F29="MAN",F35,0)</f>
        <v>0</v>
      </c>
      <c r="G37" s="1710">
        <f t="shared" si="18"/>
        <v>0</v>
      </c>
      <c r="H37" s="1710">
        <f t="shared" si="18"/>
        <v>0</v>
      </c>
      <c r="I37" s="1710"/>
      <c r="J37" s="1713">
        <f t="shared" si="13"/>
        <v>0</v>
      </c>
      <c r="K37" s="578">
        <f t="shared" si="11"/>
        <v>0</v>
      </c>
    </row>
    <row r="38" spans="1:11" s="677" customFormat="1" ht="21.95" customHeight="1" x14ac:dyDescent="0.15">
      <c r="A38" s="2688"/>
      <c r="B38" s="2534"/>
      <c r="C38" s="1195" t="s">
        <v>1993</v>
      </c>
      <c r="D38" s="1475"/>
      <c r="E38" s="1461"/>
      <c r="F38" s="1193"/>
      <c r="G38" s="1193"/>
      <c r="H38" s="1193"/>
      <c r="I38" s="1193"/>
      <c r="J38" s="1167">
        <f t="shared" si="13"/>
        <v>0</v>
      </c>
      <c r="K38" s="578">
        <f t="shared" si="11"/>
        <v>0</v>
      </c>
    </row>
    <row r="39" spans="1:11" s="677" customFormat="1" ht="21.95" customHeight="1" x14ac:dyDescent="0.15">
      <c r="A39" s="2688"/>
      <c r="B39" s="2534"/>
      <c r="C39" s="542" t="s">
        <v>1244</v>
      </c>
      <c r="D39" s="1475"/>
      <c r="E39" s="1461"/>
      <c r="F39" s="1138">
        <f t="shared" ref="F39:H39" si="19">F26*F38/100</f>
        <v>0</v>
      </c>
      <c r="G39" s="1138">
        <f t="shared" si="19"/>
        <v>0</v>
      </c>
      <c r="H39" s="1138">
        <f t="shared" si="19"/>
        <v>0</v>
      </c>
      <c r="I39" s="1138"/>
      <c r="J39" s="1167">
        <f t="shared" si="13"/>
        <v>0</v>
      </c>
      <c r="K39" s="578">
        <f t="shared" si="11"/>
        <v>0</v>
      </c>
    </row>
    <row r="40" spans="1:11" s="677" customFormat="1" ht="21.95" customHeight="1" x14ac:dyDescent="0.15">
      <c r="A40" s="2688"/>
      <c r="B40" s="2534"/>
      <c r="C40" s="542" t="s">
        <v>1992</v>
      </c>
      <c r="D40" s="1475"/>
      <c r="E40" s="1461"/>
      <c r="F40" s="1143">
        <f t="shared" ref="F40:H40" si="20">IF(F29="MAN",0,F39)</f>
        <v>0</v>
      </c>
      <c r="G40" s="1143">
        <f t="shared" si="20"/>
        <v>0</v>
      </c>
      <c r="H40" s="1143">
        <f t="shared" si="20"/>
        <v>0</v>
      </c>
      <c r="I40" s="1143"/>
      <c r="J40" s="1168">
        <f t="shared" si="13"/>
        <v>0</v>
      </c>
      <c r="K40" s="578">
        <f t="shared" si="11"/>
        <v>0</v>
      </c>
    </row>
    <row r="41" spans="1:11" s="677" customFormat="1" ht="21.95" customHeight="1" x14ac:dyDescent="0.15">
      <c r="A41" s="2688"/>
      <c r="B41" s="2534"/>
      <c r="C41" s="543" t="s">
        <v>1989</v>
      </c>
      <c r="D41" s="1490"/>
      <c r="E41" s="1468"/>
      <c r="F41" s="1710">
        <f t="shared" ref="F41:H41" si="21">IF(F29="MAN",F39,0)</f>
        <v>0</v>
      </c>
      <c r="G41" s="1710">
        <f t="shared" si="21"/>
        <v>0</v>
      </c>
      <c r="H41" s="1710">
        <f t="shared" si="21"/>
        <v>0</v>
      </c>
      <c r="I41" s="1710"/>
      <c r="J41" s="1713">
        <f t="shared" si="13"/>
        <v>0</v>
      </c>
      <c r="K41" s="578">
        <f t="shared" si="11"/>
        <v>0</v>
      </c>
    </row>
    <row r="42" spans="1:11" s="677" customFormat="1" ht="32.1" customHeight="1" x14ac:dyDescent="0.15">
      <c r="A42" s="2688"/>
      <c r="B42" s="2534"/>
      <c r="C42" s="1195" t="s">
        <v>2724</v>
      </c>
      <c r="D42" s="1475"/>
      <c r="E42" s="1461"/>
      <c r="F42" s="1193"/>
      <c r="G42" s="1193"/>
      <c r="H42" s="1193"/>
      <c r="I42" s="1193"/>
      <c r="J42" s="1167">
        <f t="shared" si="13"/>
        <v>0</v>
      </c>
      <c r="K42" s="578">
        <f t="shared" si="11"/>
        <v>0</v>
      </c>
    </row>
    <row r="43" spans="1:11" s="677" customFormat="1" ht="21.95" customHeight="1" thickBot="1" x14ac:dyDescent="0.2">
      <c r="A43" s="2688"/>
      <c r="B43" s="2535"/>
      <c r="C43" s="548" t="s">
        <v>1975</v>
      </c>
      <c r="D43" s="1460"/>
      <c r="E43" s="1461"/>
      <c r="F43" s="1134">
        <f t="shared" ref="F43:H43" si="22">F42*F26/100</f>
        <v>0</v>
      </c>
      <c r="G43" s="1134">
        <f t="shared" si="22"/>
        <v>0</v>
      </c>
      <c r="H43" s="1134">
        <f t="shared" si="22"/>
        <v>0</v>
      </c>
      <c r="I43" s="1134"/>
      <c r="J43" s="1135">
        <f t="shared" si="13"/>
        <v>0</v>
      </c>
      <c r="K43" s="578">
        <f t="shared" si="11"/>
        <v>0</v>
      </c>
    </row>
    <row r="44" spans="1:11" s="677" customFormat="1" ht="21.95" customHeight="1" x14ac:dyDescent="0.15">
      <c r="A44" s="2688"/>
      <c r="B44" s="2533" t="s">
        <v>1235</v>
      </c>
      <c r="C44" s="806" t="s">
        <v>1236</v>
      </c>
      <c r="D44" s="1463"/>
      <c r="E44" s="1568" t="s">
        <v>1955</v>
      </c>
      <c r="F44" s="1169"/>
      <c r="G44" s="1169"/>
      <c r="H44" s="1169"/>
      <c r="I44" s="1169"/>
      <c r="J44" s="1167">
        <f t="shared" si="13"/>
        <v>0</v>
      </c>
      <c r="K44" s="578">
        <f t="shared" si="11"/>
        <v>0</v>
      </c>
    </row>
    <row r="45" spans="1:11" s="677" customFormat="1" ht="21.95" customHeight="1" x14ac:dyDescent="0.15">
      <c r="A45" s="2688"/>
      <c r="B45" s="2534"/>
      <c r="C45" s="548" t="s">
        <v>164</v>
      </c>
      <c r="D45" s="1460"/>
      <c r="E45" s="1461"/>
      <c r="F45" s="1170"/>
      <c r="G45" s="1170"/>
      <c r="H45" s="1170"/>
      <c r="I45" s="1170"/>
      <c r="J45" s="1172"/>
      <c r="K45" s="578">
        <f t="shared" si="11"/>
        <v>0</v>
      </c>
    </row>
    <row r="46" spans="1:11" s="1192" customFormat="1" ht="21.95" customHeight="1" x14ac:dyDescent="0.15">
      <c r="A46" s="2688"/>
      <c r="B46" s="2534"/>
      <c r="C46" s="1189" t="s">
        <v>1966</v>
      </c>
      <c r="D46" s="1465"/>
      <c r="E46" s="1466"/>
      <c r="F46" s="1193"/>
      <c r="G46" s="1193"/>
      <c r="H46" s="1193"/>
      <c r="I46" s="1193"/>
      <c r="J46" s="1191"/>
      <c r="K46" s="578">
        <f t="shared" si="11"/>
        <v>0</v>
      </c>
    </row>
    <row r="47" spans="1:11" ht="21.95" customHeight="1" x14ac:dyDescent="0.15">
      <c r="A47" s="2688"/>
      <c r="B47" s="2534"/>
      <c r="C47" s="807" t="s">
        <v>1961</v>
      </c>
      <c r="D47" s="1460"/>
      <c r="E47" s="1461"/>
      <c r="F47" s="1143">
        <f t="shared" ref="F47:H47" si="23">F45*F44</f>
        <v>0</v>
      </c>
      <c r="G47" s="1143">
        <f t="shared" si="23"/>
        <v>0</v>
      </c>
      <c r="H47" s="1143">
        <f t="shared" si="23"/>
        <v>0</v>
      </c>
      <c r="I47" s="1143"/>
      <c r="J47" s="1167">
        <f>ROUND(SUM(F47:I47),2)</f>
        <v>0</v>
      </c>
      <c r="K47" s="578">
        <f t="shared" si="11"/>
        <v>0</v>
      </c>
    </row>
    <row r="48" spans="1:11" ht="21.95" customHeight="1" x14ac:dyDescent="0.15">
      <c r="A48" s="2688"/>
      <c r="B48" s="2534"/>
      <c r="C48" s="542" t="s">
        <v>1971</v>
      </c>
      <c r="D48" s="1460"/>
      <c r="E48" s="1462"/>
      <c r="F48" s="1143">
        <f t="shared" ref="F48:H48" si="24">F47*F46/100</f>
        <v>0</v>
      </c>
      <c r="G48" s="1143">
        <f t="shared" si="24"/>
        <v>0</v>
      </c>
      <c r="H48" s="1143">
        <f t="shared" si="24"/>
        <v>0</v>
      </c>
      <c r="I48" s="1143"/>
      <c r="J48" s="1168">
        <f>ROUND(SUM(F48:I48),2)</f>
        <v>0</v>
      </c>
      <c r="K48" s="578">
        <f t="shared" si="11"/>
        <v>0</v>
      </c>
    </row>
    <row r="49" spans="1:11" ht="21.95" customHeight="1" thickBot="1" x14ac:dyDescent="0.2">
      <c r="A49" s="2688"/>
      <c r="B49" s="2535"/>
      <c r="C49" s="545" t="s">
        <v>2007</v>
      </c>
      <c r="D49" s="1460"/>
      <c r="E49" s="1462"/>
      <c r="F49" s="1143"/>
      <c r="G49" s="1143"/>
      <c r="H49" s="1143"/>
      <c r="I49" s="1143"/>
      <c r="J49" s="1723"/>
      <c r="K49" s="578"/>
    </row>
    <row r="50" spans="1:11" ht="21.95" customHeight="1" x14ac:dyDescent="0.15">
      <c r="A50" s="2688"/>
      <c r="B50" s="2533" t="s">
        <v>1237</v>
      </c>
      <c r="C50" s="806" t="s">
        <v>1236</v>
      </c>
      <c r="D50" s="1463"/>
      <c r="E50" s="1568" t="s">
        <v>1955</v>
      </c>
      <c r="F50" s="1169"/>
      <c r="G50" s="1169"/>
      <c r="H50" s="1169"/>
      <c r="I50" s="1169"/>
      <c r="J50" s="1167">
        <f>ROUND(SUM(F50:I50),2)</f>
        <v>0</v>
      </c>
      <c r="K50" s="578">
        <f t="shared" ref="K50:K67" si="25">SUM(F50:J50)</f>
        <v>0</v>
      </c>
    </row>
    <row r="51" spans="1:11" ht="21.95" customHeight="1" x14ac:dyDescent="0.15">
      <c r="A51" s="2688"/>
      <c r="B51" s="2534"/>
      <c r="C51" s="548" t="s">
        <v>164</v>
      </c>
      <c r="D51" s="1460"/>
      <c r="E51" s="1461"/>
      <c r="F51" s="1170"/>
      <c r="G51" s="1170"/>
      <c r="H51" s="1170"/>
      <c r="I51" s="1170"/>
      <c r="J51" s="1167"/>
      <c r="K51" s="578">
        <f t="shared" si="25"/>
        <v>0</v>
      </c>
    </row>
    <row r="52" spans="1:11" s="1192" customFormat="1" ht="21.95" customHeight="1" x14ac:dyDescent="0.15">
      <c r="A52" s="2688"/>
      <c r="B52" s="2694"/>
      <c r="C52" s="1189" t="s">
        <v>1966</v>
      </c>
      <c r="D52" s="1465"/>
      <c r="E52" s="1459"/>
      <c r="F52" s="1193"/>
      <c r="G52" s="1193"/>
      <c r="H52" s="1193"/>
      <c r="I52" s="1193"/>
      <c r="J52" s="1194"/>
      <c r="K52" s="578">
        <f t="shared" si="25"/>
        <v>0</v>
      </c>
    </row>
    <row r="53" spans="1:11" ht="21.95" customHeight="1" x14ac:dyDescent="0.15">
      <c r="A53" s="2688"/>
      <c r="B53" s="2694"/>
      <c r="C53" s="807" t="s">
        <v>1962</v>
      </c>
      <c r="D53" s="1460"/>
      <c r="E53" s="1461"/>
      <c r="F53" s="1143">
        <f t="shared" ref="F53:H53" si="26">F51*F50</f>
        <v>0</v>
      </c>
      <c r="G53" s="1143">
        <f t="shared" si="26"/>
        <v>0</v>
      </c>
      <c r="H53" s="1143">
        <f t="shared" si="26"/>
        <v>0</v>
      </c>
      <c r="I53" s="1143"/>
      <c r="J53" s="1167">
        <f>ROUND(SUM(F53:I53),2)</f>
        <v>0</v>
      </c>
      <c r="K53" s="578">
        <f t="shared" si="25"/>
        <v>0</v>
      </c>
    </row>
    <row r="54" spans="1:11" ht="21.95" customHeight="1" x14ac:dyDescent="0.15">
      <c r="A54" s="2688"/>
      <c r="B54" s="2694"/>
      <c r="C54" s="542" t="s">
        <v>1972</v>
      </c>
      <c r="D54" s="1460"/>
      <c r="E54" s="1462"/>
      <c r="F54" s="1143">
        <f t="shared" ref="F54:H54" si="27">F53*F52/100</f>
        <v>0</v>
      </c>
      <c r="G54" s="1143">
        <f t="shared" si="27"/>
        <v>0</v>
      </c>
      <c r="H54" s="1143">
        <f t="shared" si="27"/>
        <v>0</v>
      </c>
      <c r="I54" s="1143"/>
      <c r="J54" s="1168">
        <f>ROUND(SUM(F54:I54),2)</f>
        <v>0</v>
      </c>
      <c r="K54" s="578">
        <f t="shared" si="25"/>
        <v>0</v>
      </c>
    </row>
    <row r="55" spans="1:11" ht="21.95" customHeight="1" thickBot="1" x14ac:dyDescent="0.2">
      <c r="A55" s="2688"/>
      <c r="B55" s="2695"/>
      <c r="C55" s="545" t="s">
        <v>1994</v>
      </c>
      <c r="D55" s="1471"/>
      <c r="E55" s="1469"/>
      <c r="F55" s="1722"/>
      <c r="G55" s="1722"/>
      <c r="H55" s="1722"/>
      <c r="I55" s="1722"/>
      <c r="J55" s="1723"/>
      <c r="K55" s="578">
        <f t="shared" si="25"/>
        <v>0</v>
      </c>
    </row>
    <row r="56" spans="1:11" ht="21.95" customHeight="1" x14ac:dyDescent="0.15">
      <c r="A56" s="2688"/>
      <c r="B56" s="2533" t="s">
        <v>1956</v>
      </c>
      <c r="C56" s="555" t="s">
        <v>1957</v>
      </c>
      <c r="D56" s="1460"/>
      <c r="E56" s="1461"/>
      <c r="F56" s="1143">
        <f t="shared" ref="F56:H56" si="28">F10+F14+F18+F26+F47+F53</f>
        <v>0</v>
      </c>
      <c r="G56" s="1143">
        <f t="shared" si="28"/>
        <v>0</v>
      </c>
      <c r="H56" s="1143">
        <f t="shared" si="28"/>
        <v>0</v>
      </c>
      <c r="I56" s="1143"/>
      <c r="J56" s="1168">
        <f>ROUND(SUM(F56:I56),2)</f>
        <v>0</v>
      </c>
      <c r="K56" s="578">
        <f t="shared" si="25"/>
        <v>0</v>
      </c>
    </row>
    <row r="57" spans="1:11" ht="21.95" customHeight="1" x14ac:dyDescent="0.15">
      <c r="A57" s="2688"/>
      <c r="B57" s="2534"/>
      <c r="C57" s="556" t="s">
        <v>1958</v>
      </c>
      <c r="D57" s="1467"/>
      <c r="E57" s="1468"/>
      <c r="F57" s="1065">
        <f t="shared" ref="F57:J57" si="29">IF(F56=0,0,F56/F6)</f>
        <v>0</v>
      </c>
      <c r="G57" s="1065">
        <f t="shared" ref="G57:H57" si="30">IF(G56=0,0,G56/G6)</f>
        <v>0</v>
      </c>
      <c r="H57" s="1065">
        <f t="shared" si="30"/>
        <v>0</v>
      </c>
      <c r="I57" s="1065"/>
      <c r="J57" s="1703">
        <f t="shared" si="29"/>
        <v>0</v>
      </c>
      <c r="K57" s="578">
        <f t="shared" si="25"/>
        <v>0</v>
      </c>
    </row>
    <row r="58" spans="1:11" ht="21.95" customHeight="1" x14ac:dyDescent="0.15">
      <c r="A58" s="2688"/>
      <c r="B58" s="2534"/>
      <c r="C58" s="556" t="s">
        <v>1959</v>
      </c>
      <c r="D58" s="1460"/>
      <c r="E58" s="1461"/>
      <c r="F58" s="1143">
        <f t="shared" ref="F58:H58" si="31">F24+F30+F44+F50</f>
        <v>0</v>
      </c>
      <c r="G58" s="1143">
        <f t="shared" si="31"/>
        <v>0</v>
      </c>
      <c r="H58" s="1143">
        <f t="shared" si="31"/>
        <v>0</v>
      </c>
      <c r="I58" s="1143"/>
      <c r="J58" s="1168">
        <f>ROUND(SUM(F58:I58),2)</f>
        <v>0</v>
      </c>
      <c r="K58" s="578">
        <f t="shared" si="25"/>
        <v>0</v>
      </c>
    </row>
    <row r="59" spans="1:11" ht="21.95" customHeight="1" thickBot="1" x14ac:dyDescent="0.2">
      <c r="A59" s="2688"/>
      <c r="B59" s="2535"/>
      <c r="C59" s="669" t="s">
        <v>1958</v>
      </c>
      <c r="D59" s="1476"/>
      <c r="E59" s="1469"/>
      <c r="F59" s="1702">
        <f t="shared" ref="F59:J59" si="32">IF(F58=0,0,F58/F2)</f>
        <v>0</v>
      </c>
      <c r="G59" s="1702">
        <f t="shared" ref="G59:H59" si="33">IF(G58=0,0,G58/G2)</f>
        <v>0</v>
      </c>
      <c r="H59" s="1702">
        <f t="shared" si="33"/>
        <v>0</v>
      </c>
      <c r="I59" s="1702"/>
      <c r="J59" s="1704">
        <f t="shared" si="32"/>
        <v>0</v>
      </c>
      <c r="K59" s="578">
        <f t="shared" si="25"/>
        <v>0</v>
      </c>
    </row>
    <row r="60" spans="1:11" s="677" customFormat="1" ht="21.95" customHeight="1" x14ac:dyDescent="0.15">
      <c r="A60" s="2688"/>
      <c r="B60" s="2533" t="s">
        <v>1245</v>
      </c>
      <c r="C60" s="541" t="s">
        <v>1241</v>
      </c>
      <c r="D60" s="1470"/>
      <c r="E60" s="1464"/>
      <c r="F60" s="1143">
        <f t="shared" ref="F60:H60" si="34">IF(F29="MEC",F26,0)</f>
        <v>0</v>
      </c>
      <c r="G60" s="1143">
        <f t="shared" si="34"/>
        <v>0</v>
      </c>
      <c r="H60" s="1143">
        <f t="shared" si="34"/>
        <v>0</v>
      </c>
      <c r="I60" s="1143"/>
      <c r="J60" s="1167">
        <f t="shared" ref="J60:J66" si="35">ROUND(SUM(F60:I60),2)</f>
        <v>0</v>
      </c>
      <c r="K60" s="578">
        <f t="shared" si="25"/>
        <v>0</v>
      </c>
    </row>
    <row r="61" spans="1:11" ht="21.95" customHeight="1" x14ac:dyDescent="0.15">
      <c r="A61" s="2688"/>
      <c r="B61" s="2534"/>
      <c r="C61" s="1189" t="s">
        <v>1973</v>
      </c>
      <c r="E61" s="1461"/>
      <c r="F61" s="1143">
        <f t="shared" ref="F61:H61" si="36">IF(F60&gt;0,F38,0)</f>
        <v>0</v>
      </c>
      <c r="G61" s="1143">
        <f t="shared" si="36"/>
        <v>0</v>
      </c>
      <c r="H61" s="1143">
        <f t="shared" si="36"/>
        <v>0</v>
      </c>
      <c r="I61" s="1143"/>
      <c r="J61" s="1167">
        <f t="shared" si="35"/>
        <v>0</v>
      </c>
      <c r="K61" s="578">
        <f t="shared" si="25"/>
        <v>0</v>
      </c>
    </row>
    <row r="62" spans="1:11" ht="21.95" customHeight="1" x14ac:dyDescent="0.15">
      <c r="A62" s="2688"/>
      <c r="B62" s="2534"/>
      <c r="C62" s="1189" t="s">
        <v>1970</v>
      </c>
      <c r="E62" s="1461"/>
      <c r="F62" s="1143">
        <f t="shared" ref="F62:H62" si="37">F61*F60/100</f>
        <v>0</v>
      </c>
      <c r="G62" s="1143">
        <f t="shared" si="37"/>
        <v>0</v>
      </c>
      <c r="H62" s="1143">
        <f t="shared" si="37"/>
        <v>0</v>
      </c>
      <c r="I62" s="1143"/>
      <c r="J62" s="1167">
        <f t="shared" si="35"/>
        <v>0</v>
      </c>
      <c r="K62" s="578">
        <f t="shared" si="25"/>
        <v>0</v>
      </c>
    </row>
    <row r="63" spans="1:11" ht="21.95" customHeight="1" x14ac:dyDescent="0.15">
      <c r="A63" s="2688"/>
      <c r="B63" s="2534"/>
      <c r="C63" s="807" t="s">
        <v>1962</v>
      </c>
      <c r="E63" s="1461"/>
      <c r="F63" s="1143">
        <f t="shared" ref="F63:H63" si="38">IF(F55="N",0,F53)</f>
        <v>0</v>
      </c>
      <c r="G63" s="1143">
        <f t="shared" si="38"/>
        <v>0</v>
      </c>
      <c r="H63" s="1143">
        <f t="shared" si="38"/>
        <v>0</v>
      </c>
      <c r="I63" s="1143"/>
      <c r="J63" s="1167">
        <f t="shared" si="35"/>
        <v>0</v>
      </c>
      <c r="K63" s="578">
        <f t="shared" si="25"/>
        <v>0</v>
      </c>
    </row>
    <row r="64" spans="1:11" ht="21.95" customHeight="1" x14ac:dyDescent="0.15">
      <c r="A64" s="2688"/>
      <c r="B64" s="2534"/>
      <c r="C64" s="1189" t="s">
        <v>1974</v>
      </c>
      <c r="E64" s="1461"/>
      <c r="F64" s="1193">
        <f t="shared" ref="F64:H64" si="39">IF(F63&gt;0,F52,0)</f>
        <v>0</v>
      </c>
      <c r="G64" s="1193">
        <f t="shared" si="39"/>
        <v>0</v>
      </c>
      <c r="H64" s="1193">
        <f t="shared" si="39"/>
        <v>0</v>
      </c>
      <c r="I64" s="1193"/>
      <c r="J64" s="1167">
        <f t="shared" si="35"/>
        <v>0</v>
      </c>
      <c r="K64" s="578">
        <f t="shared" si="25"/>
        <v>0</v>
      </c>
    </row>
    <row r="65" spans="1:11" ht="21.95" customHeight="1" thickBot="1" x14ac:dyDescent="0.2">
      <c r="A65" s="2688"/>
      <c r="B65" s="2534"/>
      <c r="C65" s="1720" t="s">
        <v>1972</v>
      </c>
      <c r="D65" s="1376"/>
      <c r="E65" s="1469"/>
      <c r="F65" s="1173">
        <f t="shared" ref="F65:H65" si="40">F64*F63/100</f>
        <v>0</v>
      </c>
      <c r="G65" s="1173">
        <f t="shared" si="40"/>
        <v>0</v>
      </c>
      <c r="H65" s="1173">
        <f t="shared" si="40"/>
        <v>0</v>
      </c>
      <c r="I65" s="1173"/>
      <c r="J65" s="1721">
        <f t="shared" si="35"/>
        <v>0</v>
      </c>
      <c r="K65" s="578">
        <f t="shared" si="25"/>
        <v>0</v>
      </c>
    </row>
    <row r="66" spans="1:11" s="677" customFormat="1" ht="21.95" customHeight="1" x14ac:dyDescent="0.15">
      <c r="A66" s="2688"/>
      <c r="B66" s="2533" t="s">
        <v>1960</v>
      </c>
      <c r="C66" s="668" t="s">
        <v>1957</v>
      </c>
      <c r="D66" s="1460"/>
      <c r="E66" s="1461"/>
      <c r="F66" s="1143">
        <f t="shared" ref="F66:H66" si="41">F65</f>
        <v>0</v>
      </c>
      <c r="G66" s="1143">
        <f t="shared" si="41"/>
        <v>0</v>
      </c>
      <c r="H66" s="1143">
        <f t="shared" si="41"/>
        <v>0</v>
      </c>
      <c r="I66" s="1143"/>
      <c r="J66" s="1168">
        <f t="shared" si="35"/>
        <v>0</v>
      </c>
      <c r="K66" s="578">
        <f t="shared" si="25"/>
        <v>0</v>
      </c>
    </row>
    <row r="67" spans="1:11" s="677" customFormat="1" ht="21.95" customHeight="1" thickBot="1" x14ac:dyDescent="0.2">
      <c r="A67" s="2688"/>
      <c r="B67" s="2535"/>
      <c r="C67" s="669" t="s">
        <v>1958</v>
      </c>
      <c r="D67" s="1476"/>
      <c r="E67" s="1469"/>
      <c r="F67" s="1702">
        <f t="shared" ref="F67:J67" si="42">IF(F66=0,0,F66/F6)</f>
        <v>0</v>
      </c>
      <c r="G67" s="1702">
        <f t="shared" ref="G67:H67" si="43">IF(G66=0,0,G66/G6)</f>
        <v>0</v>
      </c>
      <c r="H67" s="1702">
        <f t="shared" si="43"/>
        <v>0</v>
      </c>
      <c r="I67" s="1702"/>
      <c r="J67" s="1704">
        <f t="shared" si="42"/>
        <v>0</v>
      </c>
      <c r="K67" s="578">
        <f t="shared" si="25"/>
        <v>0</v>
      </c>
    </row>
    <row r="68" spans="1:11" s="677" customFormat="1" ht="32.1" customHeight="1" x14ac:dyDescent="0.15">
      <c r="A68" s="2688"/>
      <c r="B68" s="2683" t="s">
        <v>1876</v>
      </c>
      <c r="C68" s="541" t="s">
        <v>1976</v>
      </c>
      <c r="D68" s="1728"/>
      <c r="E68" s="1717"/>
      <c r="F68" s="1718"/>
      <c r="G68" s="1718"/>
      <c r="H68" s="1718"/>
      <c r="I68" s="1718"/>
      <c r="J68" s="1719">
        <f t="shared" ref="J68:J78" si="44">ROUND(SUM(F68:I68),2)</f>
        <v>0</v>
      </c>
      <c r="K68" s="1016">
        <f>COUNTA(F68:I68)-COUNTIF(F68:I68,0)</f>
        <v>0</v>
      </c>
    </row>
    <row r="69" spans="1:11" s="677" customFormat="1" ht="21.95" customHeight="1" x14ac:dyDescent="0.15">
      <c r="A69" s="2688"/>
      <c r="B69" s="2684"/>
      <c r="C69" s="562" t="s">
        <v>1995</v>
      </c>
      <c r="D69" s="1460"/>
      <c r="E69" s="1461"/>
      <c r="F69" s="1143">
        <f t="shared" ref="F69:H69" si="45">IF(F68="SB",F21+F39+F65,0)*50%*1.25</f>
        <v>0</v>
      </c>
      <c r="G69" s="1143">
        <f t="shared" si="45"/>
        <v>0</v>
      </c>
      <c r="H69" s="1143">
        <f t="shared" si="45"/>
        <v>0</v>
      </c>
      <c r="I69" s="1143"/>
      <c r="J69" s="1168">
        <f t="shared" si="44"/>
        <v>0</v>
      </c>
      <c r="K69" s="578">
        <f t="shared" ref="K69:K81" si="46">SUM(F69:J69)</f>
        <v>0</v>
      </c>
    </row>
    <row r="70" spans="1:11" s="677" customFormat="1" ht="21.95" customHeight="1" x14ac:dyDescent="0.15">
      <c r="A70" s="2688"/>
      <c r="B70" s="2684"/>
      <c r="C70" s="542" t="s">
        <v>1978</v>
      </c>
      <c r="D70" s="1460"/>
      <c r="E70" s="1461"/>
      <c r="F70" s="1143">
        <f t="shared" ref="F70:H70" si="47">IF(F68="SB",F21+F39+F65,0)*0.688</f>
        <v>0</v>
      </c>
      <c r="G70" s="1143">
        <f t="shared" si="47"/>
        <v>0</v>
      </c>
      <c r="H70" s="1143">
        <f t="shared" si="47"/>
        <v>0</v>
      </c>
      <c r="I70" s="1143"/>
      <c r="J70" s="1168">
        <f t="shared" si="44"/>
        <v>0</v>
      </c>
      <c r="K70" s="578">
        <f t="shared" si="46"/>
        <v>0</v>
      </c>
    </row>
    <row r="71" spans="1:11" s="677" customFormat="1" ht="21.95" customHeight="1" x14ac:dyDescent="0.15">
      <c r="A71" s="2688"/>
      <c r="B71" s="2684"/>
      <c r="C71" s="807" t="s">
        <v>1246</v>
      </c>
      <c r="D71" s="1460"/>
      <c r="E71" s="1461"/>
      <c r="F71" s="1143">
        <f>IF(F68="C",F21+F39+F65,0)*1.25</f>
        <v>0</v>
      </c>
      <c r="G71" s="1143">
        <f t="shared" ref="G71:H71" si="48">IF(G68="C",G21+G39+G65,0)*1.25</f>
        <v>0</v>
      </c>
      <c r="H71" s="1143">
        <f t="shared" si="48"/>
        <v>0</v>
      </c>
      <c r="I71" s="1143"/>
      <c r="J71" s="1168">
        <f t="shared" si="44"/>
        <v>0</v>
      </c>
      <c r="K71" s="578">
        <f t="shared" si="46"/>
        <v>0</v>
      </c>
    </row>
    <row r="72" spans="1:11" s="677" customFormat="1" ht="21.95" customHeight="1" x14ac:dyDescent="0.15">
      <c r="A72" s="2688"/>
      <c r="B72" s="2684"/>
      <c r="C72" s="562" t="s">
        <v>1771</v>
      </c>
      <c r="D72" s="1460"/>
      <c r="E72" s="1461"/>
      <c r="F72" s="1143">
        <f t="shared" ref="F72:H72" si="49">IF(F68="BC",F21+F39+F65,0)*1.375</f>
        <v>0</v>
      </c>
      <c r="G72" s="1143">
        <f t="shared" si="49"/>
        <v>0</v>
      </c>
      <c r="H72" s="1143">
        <f t="shared" si="49"/>
        <v>0</v>
      </c>
      <c r="I72" s="1143"/>
      <c r="J72" s="1168">
        <f t="shared" si="44"/>
        <v>0</v>
      </c>
      <c r="K72" s="578">
        <f t="shared" si="46"/>
        <v>0</v>
      </c>
    </row>
    <row r="73" spans="1:11" s="677" customFormat="1" ht="21.95" customHeight="1" x14ac:dyDescent="0.15">
      <c r="A73" s="2688"/>
      <c r="B73" s="2684"/>
      <c r="C73" s="562" t="s">
        <v>1875</v>
      </c>
      <c r="D73" s="1467"/>
      <c r="E73" s="1468"/>
      <c r="F73" s="1710">
        <f t="shared" ref="F73:H73" si="50">IF(F68="BG",F21+F39+F65,0)*1.4667</f>
        <v>0</v>
      </c>
      <c r="G73" s="1710">
        <f t="shared" si="50"/>
        <v>0</v>
      </c>
      <c r="H73" s="1710">
        <f t="shared" si="50"/>
        <v>0</v>
      </c>
      <c r="I73" s="1710"/>
      <c r="J73" s="1713">
        <f t="shared" si="44"/>
        <v>0</v>
      </c>
      <c r="K73" s="578">
        <f t="shared" si="46"/>
        <v>0</v>
      </c>
    </row>
    <row r="74" spans="1:11" s="677" customFormat="1" ht="21.95" customHeight="1" x14ac:dyDescent="0.15">
      <c r="A74" s="2688"/>
      <c r="B74" s="2684"/>
      <c r="C74" s="562" t="s">
        <v>1996</v>
      </c>
      <c r="D74" s="1460"/>
      <c r="E74" s="1461"/>
      <c r="F74" s="1143">
        <f t="shared" ref="F74:H74" si="51">IF(F68="SB",F62+F65,0)</f>
        <v>0</v>
      </c>
      <c r="G74" s="1143">
        <f t="shared" si="51"/>
        <v>0</v>
      </c>
      <c r="H74" s="1143">
        <f t="shared" si="51"/>
        <v>0</v>
      </c>
      <c r="I74" s="1143"/>
      <c r="J74" s="1168">
        <f t="shared" si="44"/>
        <v>0</v>
      </c>
      <c r="K74" s="578">
        <f t="shared" si="46"/>
        <v>0</v>
      </c>
    </row>
    <row r="75" spans="1:11" s="677" customFormat="1" ht="21.95" customHeight="1" x14ac:dyDescent="0.15">
      <c r="A75" s="2688"/>
      <c r="B75" s="2684"/>
      <c r="C75" s="807" t="s">
        <v>1991</v>
      </c>
      <c r="D75" s="1460"/>
      <c r="E75" s="1461"/>
      <c r="F75" s="1143">
        <f t="shared" ref="F75:H75" si="52">IF(F68="C",F62+F65,0)</f>
        <v>0</v>
      </c>
      <c r="G75" s="1143">
        <f t="shared" si="52"/>
        <v>0</v>
      </c>
      <c r="H75" s="1143">
        <f t="shared" si="52"/>
        <v>0</v>
      </c>
      <c r="I75" s="1143"/>
      <c r="J75" s="1168">
        <f t="shared" si="44"/>
        <v>0</v>
      </c>
      <c r="K75" s="578">
        <f t="shared" si="46"/>
        <v>0</v>
      </c>
    </row>
    <row r="76" spans="1:11" s="677" customFormat="1" ht="21.95" customHeight="1" x14ac:dyDescent="0.15">
      <c r="A76" s="2688"/>
      <c r="B76" s="2684"/>
      <c r="C76" s="562" t="s">
        <v>1990</v>
      </c>
      <c r="D76" s="1460"/>
      <c r="E76" s="1461"/>
      <c r="F76" s="1143">
        <f t="shared" ref="F76:H76" si="53">IF(F68="BC",F62+F65,0)</f>
        <v>0</v>
      </c>
      <c r="G76" s="1143">
        <f t="shared" si="53"/>
        <v>0</v>
      </c>
      <c r="H76" s="1143">
        <f t="shared" si="53"/>
        <v>0</v>
      </c>
      <c r="I76" s="1143"/>
      <c r="J76" s="1168">
        <f t="shared" si="44"/>
        <v>0</v>
      </c>
      <c r="K76" s="578">
        <f t="shared" si="46"/>
        <v>0</v>
      </c>
    </row>
    <row r="77" spans="1:11" s="677" customFormat="1" ht="21.95" customHeight="1" thickBot="1" x14ac:dyDescent="0.2">
      <c r="A77" s="2688"/>
      <c r="B77" s="2684"/>
      <c r="C77" s="669" t="s">
        <v>1999</v>
      </c>
      <c r="D77" s="1476"/>
      <c r="E77" s="1469"/>
      <c r="F77" s="1725">
        <f t="shared" ref="F77:H77" si="54">IF(F68="BG",F62+F65,0)</f>
        <v>0</v>
      </c>
      <c r="G77" s="1725">
        <f t="shared" si="54"/>
        <v>0</v>
      </c>
      <c r="H77" s="1725">
        <f t="shared" si="54"/>
        <v>0</v>
      </c>
      <c r="I77" s="1725"/>
      <c r="J77" s="1174">
        <f t="shared" si="44"/>
        <v>0</v>
      </c>
      <c r="K77" s="578">
        <f t="shared" si="46"/>
        <v>0</v>
      </c>
    </row>
    <row r="78" spans="1:11" s="677" customFormat="1" ht="21.95" customHeight="1" x14ac:dyDescent="0.15">
      <c r="A78" s="2688"/>
      <c r="B78" s="2533" t="s">
        <v>1263</v>
      </c>
      <c r="C78" s="806" t="s">
        <v>3</v>
      </c>
      <c r="D78" s="1463"/>
      <c r="E78" s="1568" t="s">
        <v>1955</v>
      </c>
      <c r="F78" s="1169"/>
      <c r="G78" s="1169"/>
      <c r="H78" s="1169"/>
      <c r="I78" s="1169"/>
      <c r="J78" s="1167">
        <f t="shared" si="44"/>
        <v>0</v>
      </c>
      <c r="K78" s="578">
        <f t="shared" si="46"/>
        <v>0</v>
      </c>
    </row>
    <row r="79" spans="1:11" s="677" customFormat="1" ht="21.95" customHeight="1" x14ac:dyDescent="0.15">
      <c r="A79" s="2688"/>
      <c r="B79" s="2534"/>
      <c r="C79" s="548" t="s">
        <v>164</v>
      </c>
      <c r="D79" s="1460"/>
      <c r="E79" s="1461"/>
      <c r="F79" s="1175"/>
      <c r="G79" s="1175"/>
      <c r="H79" s="1175"/>
      <c r="I79" s="1175"/>
      <c r="J79" s="1167"/>
      <c r="K79" s="578">
        <f t="shared" si="46"/>
        <v>0</v>
      </c>
    </row>
    <row r="80" spans="1:11" s="677" customFormat="1" ht="21.95" customHeight="1" x14ac:dyDescent="0.15">
      <c r="A80" s="2688"/>
      <c r="B80" s="2534"/>
      <c r="C80" s="548" t="s">
        <v>29</v>
      </c>
      <c r="D80" s="1460"/>
      <c r="E80" s="1461"/>
      <c r="F80" s="1143">
        <f t="shared" ref="F80:H80" si="55">F79*F78</f>
        <v>0</v>
      </c>
      <c r="G80" s="1143">
        <f t="shared" si="55"/>
        <v>0</v>
      </c>
      <c r="H80" s="1143">
        <f t="shared" si="55"/>
        <v>0</v>
      </c>
      <c r="I80" s="1143"/>
      <c r="J80" s="1167">
        <f>ROUND(SUM(F80:I80),2)</f>
        <v>0</v>
      </c>
      <c r="K80" s="578">
        <f t="shared" si="46"/>
        <v>0</v>
      </c>
    </row>
    <row r="81" spans="1:11" s="1192" customFormat="1" ht="21.95" customHeight="1" x14ac:dyDescent="0.15">
      <c r="A81" s="2688"/>
      <c r="B81" s="2534"/>
      <c r="C81" s="1189" t="s">
        <v>1242</v>
      </c>
      <c r="D81" s="1458"/>
      <c r="E81" s="1459"/>
      <c r="F81" s="1190"/>
      <c r="G81" s="1190"/>
      <c r="H81" s="1190"/>
      <c r="I81" s="1190"/>
      <c r="J81" s="1194"/>
      <c r="K81" s="578">
        <f t="shared" si="46"/>
        <v>0</v>
      </c>
    </row>
    <row r="82" spans="1:11" s="677" customFormat="1" ht="21.95" customHeight="1" x14ac:dyDescent="0.15">
      <c r="A82" s="2688"/>
      <c r="B82" s="2534"/>
      <c r="C82" s="548" t="s">
        <v>1264</v>
      </c>
      <c r="D82" s="1460"/>
      <c r="E82" s="1461"/>
      <c r="F82" s="689"/>
      <c r="G82" s="689"/>
      <c r="H82" s="689"/>
      <c r="I82" s="689"/>
      <c r="J82" s="680"/>
      <c r="K82" s="1016">
        <f>K81</f>
        <v>0</v>
      </c>
    </row>
    <row r="83" spans="1:11" s="677" customFormat="1" ht="21.95" customHeight="1" x14ac:dyDescent="0.15">
      <c r="A83" s="2688"/>
      <c r="B83" s="2534"/>
      <c r="C83" s="542" t="s">
        <v>11</v>
      </c>
      <c r="D83" s="981"/>
      <c r="E83" s="1461"/>
      <c r="F83" s="1143">
        <f t="shared" ref="F83:H83" si="56">F81*F80/100</f>
        <v>0</v>
      </c>
      <c r="G83" s="1143">
        <f t="shared" si="56"/>
        <v>0</v>
      </c>
      <c r="H83" s="1143">
        <f t="shared" si="56"/>
        <v>0</v>
      </c>
      <c r="I83" s="1143"/>
      <c r="J83" s="1167"/>
      <c r="K83" s="578">
        <f t="shared" ref="K83:K105" si="57">SUM(F83:J83)</f>
        <v>0</v>
      </c>
    </row>
    <row r="84" spans="1:11" s="677" customFormat="1" ht="21.95" customHeight="1" x14ac:dyDescent="0.15">
      <c r="A84" s="2688"/>
      <c r="B84" s="2534"/>
      <c r="C84" s="542" t="s">
        <v>1265</v>
      </c>
      <c r="D84" s="981"/>
      <c r="E84" s="1461"/>
      <c r="F84" s="1143">
        <f t="shared" ref="F84:H84" si="58">IF(F82="simples",F83,0)</f>
        <v>0</v>
      </c>
      <c r="G84" s="1143">
        <f t="shared" si="58"/>
        <v>0</v>
      </c>
      <c r="H84" s="1143">
        <f t="shared" si="58"/>
        <v>0</v>
      </c>
      <c r="I84" s="1143"/>
      <c r="J84" s="1168">
        <f t="shared" ref="J84:J89" si="59">ROUND(SUM(F84:I84),2)</f>
        <v>0</v>
      </c>
      <c r="K84" s="578">
        <f t="shared" si="57"/>
        <v>0</v>
      </c>
    </row>
    <row r="85" spans="1:11" s="677" customFormat="1" ht="21.95" customHeight="1" x14ac:dyDescent="0.15">
      <c r="A85" s="2688"/>
      <c r="B85" s="2534"/>
      <c r="C85" s="542" t="s">
        <v>1266</v>
      </c>
      <c r="D85" s="981"/>
      <c r="E85" s="1461"/>
      <c r="F85" s="1143">
        <f t="shared" ref="F85:H85" si="60">IF(F82="cimento",F83,0)</f>
        <v>0</v>
      </c>
      <c r="G85" s="1143">
        <f t="shared" si="60"/>
        <v>0</v>
      </c>
      <c r="H85" s="1143">
        <f t="shared" si="60"/>
        <v>0</v>
      </c>
      <c r="I85" s="1143"/>
      <c r="J85" s="1168">
        <f t="shared" si="59"/>
        <v>0</v>
      </c>
      <c r="K85" s="578">
        <f t="shared" si="57"/>
        <v>0</v>
      </c>
    </row>
    <row r="86" spans="1:11" s="677" customFormat="1" ht="21.95" customHeight="1" x14ac:dyDescent="0.15">
      <c r="A86" s="2688"/>
      <c r="B86" s="2534"/>
      <c r="C86" s="542" t="s">
        <v>1267</v>
      </c>
      <c r="D86" s="981"/>
      <c r="E86" s="1461"/>
      <c r="F86" s="1143">
        <f t="shared" ref="F86:H86" si="61">IF(F82="brita",F83,0)</f>
        <v>0</v>
      </c>
      <c r="G86" s="1143">
        <f t="shared" si="61"/>
        <v>0</v>
      </c>
      <c r="H86" s="1143">
        <f t="shared" si="61"/>
        <v>0</v>
      </c>
      <c r="I86" s="1143"/>
      <c r="J86" s="1168">
        <f t="shared" si="59"/>
        <v>0</v>
      </c>
      <c r="K86" s="578">
        <f t="shared" si="57"/>
        <v>0</v>
      </c>
    </row>
    <row r="87" spans="1:11" s="677" customFormat="1" ht="21.95" customHeight="1" x14ac:dyDescent="0.15">
      <c r="A87" s="2688"/>
      <c r="B87" s="2534"/>
      <c r="C87" s="542" t="s">
        <v>1268</v>
      </c>
      <c r="D87" s="981"/>
      <c r="E87" s="1461"/>
      <c r="F87" s="1143">
        <f t="shared" ref="F87:H87" si="62">F85*88</f>
        <v>0</v>
      </c>
      <c r="G87" s="1143">
        <f t="shared" si="62"/>
        <v>0</v>
      </c>
      <c r="H87" s="1143">
        <f t="shared" si="62"/>
        <v>0</v>
      </c>
      <c r="I87" s="1143"/>
      <c r="J87" s="1168">
        <f t="shared" si="59"/>
        <v>0</v>
      </c>
      <c r="K87" s="578">
        <f t="shared" si="57"/>
        <v>0</v>
      </c>
    </row>
    <row r="88" spans="1:11" s="677" customFormat="1" ht="21.95" customHeight="1" thickBot="1" x14ac:dyDescent="0.2">
      <c r="A88" s="2688"/>
      <c r="B88" s="2535"/>
      <c r="C88" s="545" t="s">
        <v>1269</v>
      </c>
      <c r="D88" s="982"/>
      <c r="E88" s="1469"/>
      <c r="F88" s="1173">
        <f t="shared" ref="F88:H88" si="63">F86*0.2</f>
        <v>0</v>
      </c>
      <c r="G88" s="1173">
        <f t="shared" si="63"/>
        <v>0</v>
      </c>
      <c r="H88" s="1173">
        <f t="shared" si="63"/>
        <v>0</v>
      </c>
      <c r="I88" s="1173"/>
      <c r="J88" s="1174">
        <f t="shared" si="59"/>
        <v>0</v>
      </c>
      <c r="K88" s="578">
        <f t="shared" si="57"/>
        <v>0</v>
      </c>
    </row>
    <row r="89" spans="1:11" s="677" customFormat="1" ht="21.95" customHeight="1" x14ac:dyDescent="0.15">
      <c r="A89" s="2688"/>
      <c r="B89" s="2683" t="s">
        <v>1247</v>
      </c>
      <c r="C89" s="806" t="s">
        <v>3</v>
      </c>
      <c r="D89" s="1463"/>
      <c r="E89" s="1568" t="s">
        <v>1955</v>
      </c>
      <c r="F89" s="1169"/>
      <c r="G89" s="1169"/>
      <c r="H89" s="1169"/>
      <c r="I89" s="1169"/>
      <c r="J89" s="1176">
        <f t="shared" si="59"/>
        <v>0</v>
      </c>
      <c r="K89" s="578">
        <f t="shared" si="57"/>
        <v>0</v>
      </c>
    </row>
    <row r="90" spans="1:11" s="677" customFormat="1" ht="21.95" customHeight="1" x14ac:dyDescent="0.15">
      <c r="A90" s="2688"/>
      <c r="B90" s="2692"/>
      <c r="C90" s="548" t="s">
        <v>164</v>
      </c>
      <c r="D90" s="1460"/>
      <c r="E90" s="1461"/>
      <c r="F90" s="1175"/>
      <c r="G90" s="1175"/>
      <c r="H90" s="1175"/>
      <c r="I90" s="1175"/>
      <c r="J90" s="1172"/>
      <c r="K90" s="578">
        <f t="shared" si="57"/>
        <v>0</v>
      </c>
    </row>
    <row r="91" spans="1:11" s="677" customFormat="1" ht="21.95" customHeight="1" x14ac:dyDescent="0.15">
      <c r="A91" s="2688"/>
      <c r="B91" s="2692"/>
      <c r="C91" s="548" t="s">
        <v>29</v>
      </c>
      <c r="D91" s="1460"/>
      <c r="E91" s="1461"/>
      <c r="F91" s="1143">
        <f t="shared" ref="F91:H91" si="64">F90*F89</f>
        <v>0</v>
      </c>
      <c r="G91" s="1143">
        <f t="shared" si="64"/>
        <v>0</v>
      </c>
      <c r="H91" s="1143">
        <f t="shared" si="64"/>
        <v>0</v>
      </c>
      <c r="I91" s="1143"/>
      <c r="J91" s="1168">
        <f>ROUND(SUM(F91:I91),2)</f>
        <v>0</v>
      </c>
      <c r="K91" s="578">
        <f t="shared" si="57"/>
        <v>0</v>
      </c>
    </row>
    <row r="92" spans="1:11" s="1192" customFormat="1" ht="21.95" customHeight="1" x14ac:dyDescent="0.15">
      <c r="A92" s="2688"/>
      <c r="B92" s="2692"/>
      <c r="C92" s="1197" t="s">
        <v>1242</v>
      </c>
      <c r="D92" s="1458"/>
      <c r="E92" s="1459"/>
      <c r="F92" s="1190"/>
      <c r="G92" s="1190"/>
      <c r="H92" s="1190"/>
      <c r="I92" s="1190"/>
      <c r="J92" s="1191"/>
      <c r="K92" s="578">
        <f t="shared" si="57"/>
        <v>0</v>
      </c>
    </row>
    <row r="93" spans="1:11" s="677" customFormat="1" ht="21.95" customHeight="1" thickBot="1" x14ac:dyDescent="0.2">
      <c r="A93" s="2688"/>
      <c r="B93" s="2692"/>
      <c r="C93" s="978" t="s">
        <v>300</v>
      </c>
      <c r="D93" s="1460"/>
      <c r="E93" s="1461"/>
      <c r="F93" s="1143">
        <f t="shared" ref="F93:H93" si="65">F91*F92/100</f>
        <v>0</v>
      </c>
      <c r="G93" s="1143">
        <f t="shared" si="65"/>
        <v>0</v>
      </c>
      <c r="H93" s="1143">
        <f t="shared" si="65"/>
        <v>0</v>
      </c>
      <c r="I93" s="1143"/>
      <c r="J93" s="1148">
        <f t="shared" ref="J93:J104" si="66">ROUND(SUM(F93:I93),2)</f>
        <v>0</v>
      </c>
      <c r="K93" s="578">
        <f t="shared" si="57"/>
        <v>0</v>
      </c>
    </row>
    <row r="94" spans="1:11" s="677" customFormat="1" ht="21.95" customHeight="1" x14ac:dyDescent="0.15">
      <c r="A94" s="2688"/>
      <c r="B94" s="2683" t="s">
        <v>301</v>
      </c>
      <c r="C94" s="541" t="s">
        <v>1240</v>
      </c>
      <c r="D94" s="1463"/>
      <c r="E94" s="1472"/>
      <c r="F94" s="1726">
        <f t="shared" ref="F94:H94" si="67">F18</f>
        <v>0</v>
      </c>
      <c r="G94" s="1726">
        <f t="shared" si="67"/>
        <v>0</v>
      </c>
      <c r="H94" s="1726">
        <f t="shared" si="67"/>
        <v>0</v>
      </c>
      <c r="I94" s="1726"/>
      <c r="J94" s="1176">
        <f t="shared" si="66"/>
        <v>0</v>
      </c>
      <c r="K94" s="578">
        <f t="shared" si="57"/>
        <v>0</v>
      </c>
    </row>
    <row r="95" spans="1:11" s="677" customFormat="1" ht="21.95" customHeight="1" x14ac:dyDescent="0.15">
      <c r="A95" s="2688"/>
      <c r="B95" s="2684"/>
      <c r="C95" s="542" t="s">
        <v>1241</v>
      </c>
      <c r="D95" s="1460"/>
      <c r="E95" s="1462"/>
      <c r="F95" s="1132">
        <f t="shared" ref="F95:H95" si="68">F26</f>
        <v>0</v>
      </c>
      <c r="G95" s="1132">
        <f t="shared" si="68"/>
        <v>0</v>
      </c>
      <c r="H95" s="1132">
        <f t="shared" si="68"/>
        <v>0</v>
      </c>
      <c r="I95" s="1132"/>
      <c r="J95" s="1148">
        <f t="shared" si="66"/>
        <v>0</v>
      </c>
      <c r="K95" s="578">
        <f t="shared" si="57"/>
        <v>0</v>
      </c>
    </row>
    <row r="96" spans="1:11" s="677" customFormat="1" ht="21.95" customHeight="1" x14ac:dyDescent="0.15">
      <c r="A96" s="2688"/>
      <c r="B96" s="2684"/>
      <c r="C96" s="542" t="s">
        <v>1962</v>
      </c>
      <c r="D96" s="1460"/>
      <c r="E96" s="1462"/>
      <c r="F96" s="1132">
        <f t="shared" ref="F96:H96" si="69">F63</f>
        <v>0</v>
      </c>
      <c r="G96" s="1132">
        <f t="shared" si="69"/>
        <v>0</v>
      </c>
      <c r="H96" s="1132">
        <f t="shared" si="69"/>
        <v>0</v>
      </c>
      <c r="I96" s="1132"/>
      <c r="J96" s="1148">
        <f t="shared" si="66"/>
        <v>0</v>
      </c>
      <c r="K96" s="578">
        <f t="shared" si="57"/>
        <v>0</v>
      </c>
    </row>
    <row r="97" spans="1:11" s="677" customFormat="1" ht="21.95" customHeight="1" x14ac:dyDescent="0.15">
      <c r="A97" s="2688"/>
      <c r="B97" s="2684"/>
      <c r="C97" s="542" t="s">
        <v>1243</v>
      </c>
      <c r="D97" s="1460"/>
      <c r="E97" s="1462"/>
      <c r="F97" s="1143">
        <f t="shared" ref="F97:H97" si="70">SUM(F94:F96)</f>
        <v>0</v>
      </c>
      <c r="G97" s="1143">
        <f t="shared" si="70"/>
        <v>0</v>
      </c>
      <c r="H97" s="1143">
        <f t="shared" si="70"/>
        <v>0</v>
      </c>
      <c r="I97" s="1143"/>
      <c r="J97" s="1168">
        <f t="shared" si="66"/>
        <v>0</v>
      </c>
      <c r="K97" s="578">
        <f t="shared" si="57"/>
        <v>0</v>
      </c>
    </row>
    <row r="98" spans="1:11" s="677" customFormat="1" ht="21.95" customHeight="1" thickBot="1" x14ac:dyDescent="0.2">
      <c r="A98" s="2688"/>
      <c r="B98" s="2685"/>
      <c r="C98" s="565" t="s">
        <v>1398</v>
      </c>
      <c r="D98" s="1471"/>
      <c r="E98" s="1473"/>
      <c r="F98" s="1173">
        <f t="shared" ref="F98:H98" si="71">F97*0.0012</f>
        <v>0</v>
      </c>
      <c r="G98" s="1173">
        <f t="shared" si="71"/>
        <v>0</v>
      </c>
      <c r="H98" s="1173">
        <f t="shared" si="71"/>
        <v>0</v>
      </c>
      <c r="I98" s="1173"/>
      <c r="J98" s="1140">
        <f t="shared" si="66"/>
        <v>0</v>
      </c>
      <c r="K98" s="578">
        <f t="shared" si="57"/>
        <v>0</v>
      </c>
    </row>
    <row r="99" spans="1:11" s="677" customFormat="1" ht="21.95" customHeight="1" x14ac:dyDescent="0.15">
      <c r="A99" s="2688"/>
      <c r="B99" s="2683" t="s">
        <v>517</v>
      </c>
      <c r="C99" s="542" t="s">
        <v>1239</v>
      </c>
      <c r="D99" s="1460"/>
      <c r="E99" s="1462"/>
      <c r="F99" s="1726">
        <f t="shared" ref="F99:H99" si="72">F14</f>
        <v>0</v>
      </c>
      <c r="G99" s="1726">
        <f t="shared" si="72"/>
        <v>0</v>
      </c>
      <c r="H99" s="1726">
        <f t="shared" si="72"/>
        <v>0</v>
      </c>
      <c r="I99" s="1726"/>
      <c r="J99" s="1176">
        <f t="shared" si="66"/>
        <v>0</v>
      </c>
      <c r="K99" s="578">
        <f t="shared" si="57"/>
        <v>0</v>
      </c>
    </row>
    <row r="100" spans="1:11" s="677" customFormat="1" ht="21.95" customHeight="1" x14ac:dyDescent="0.15">
      <c r="A100" s="2688"/>
      <c r="B100" s="2684"/>
      <c r="C100" s="542" t="s">
        <v>1997</v>
      </c>
      <c r="D100" s="1460"/>
      <c r="E100" s="1462"/>
      <c r="F100" s="1132">
        <f t="shared" ref="F100:H100" si="73">F104</f>
        <v>0</v>
      </c>
      <c r="G100" s="1132">
        <f t="shared" si="73"/>
        <v>0</v>
      </c>
      <c r="H100" s="1132">
        <f t="shared" si="73"/>
        <v>0</v>
      </c>
      <c r="I100" s="1132"/>
      <c r="J100" s="1148">
        <f t="shared" si="66"/>
        <v>0</v>
      </c>
      <c r="K100" s="578">
        <f t="shared" si="57"/>
        <v>0</v>
      </c>
    </row>
    <row r="101" spans="1:11" s="677" customFormat="1" ht="21.95" customHeight="1" x14ac:dyDescent="0.15">
      <c r="A101" s="2688"/>
      <c r="B101" s="2684"/>
      <c r="C101" s="542" t="s">
        <v>1243</v>
      </c>
      <c r="D101" s="1460"/>
      <c r="E101" s="1462"/>
      <c r="F101" s="1177">
        <f t="shared" ref="F101:H101" si="74">SUM(F99:F100)</f>
        <v>0</v>
      </c>
      <c r="G101" s="1177">
        <f t="shared" si="74"/>
        <v>0</v>
      </c>
      <c r="H101" s="1177">
        <f t="shared" si="74"/>
        <v>0</v>
      </c>
      <c r="I101" s="1177"/>
      <c r="J101" s="1168">
        <f t="shared" si="66"/>
        <v>0</v>
      </c>
      <c r="K101" s="578">
        <f t="shared" si="57"/>
        <v>0</v>
      </c>
    </row>
    <row r="102" spans="1:11" s="677" customFormat="1" ht="21.95" customHeight="1" thickBot="1" x14ac:dyDescent="0.2">
      <c r="A102" s="2688"/>
      <c r="B102" s="2685"/>
      <c r="C102" s="545" t="s">
        <v>1399</v>
      </c>
      <c r="D102" s="1471"/>
      <c r="E102" s="1473"/>
      <c r="F102" s="1173">
        <f t="shared" ref="F102:H102" si="75">F101*0.0005</f>
        <v>0</v>
      </c>
      <c r="G102" s="1173">
        <f t="shared" si="75"/>
        <v>0</v>
      </c>
      <c r="H102" s="1173">
        <f t="shared" si="75"/>
        <v>0</v>
      </c>
      <c r="I102" s="1173"/>
      <c r="J102" s="1140">
        <f t="shared" si="66"/>
        <v>0</v>
      </c>
      <c r="K102" s="578">
        <f t="shared" si="57"/>
        <v>0</v>
      </c>
    </row>
    <row r="103" spans="1:11" s="677" customFormat="1" ht="21.95" customHeight="1" x14ac:dyDescent="0.15">
      <c r="A103" s="2688"/>
      <c r="B103" s="2683" t="s">
        <v>1963</v>
      </c>
      <c r="C103" s="806" t="s">
        <v>3</v>
      </c>
      <c r="D103" s="1463"/>
      <c r="E103" s="1568" t="s">
        <v>1955</v>
      </c>
      <c r="F103" s="1169"/>
      <c r="G103" s="1169"/>
      <c r="H103" s="1169"/>
      <c r="I103" s="1169"/>
      <c r="J103" s="1176">
        <f t="shared" si="66"/>
        <v>0</v>
      </c>
      <c r="K103" s="578">
        <f t="shared" si="57"/>
        <v>0</v>
      </c>
    </row>
    <row r="104" spans="1:11" s="677" customFormat="1" ht="21.95" customHeight="1" x14ac:dyDescent="0.15">
      <c r="A104" s="2688"/>
      <c r="B104" s="2684"/>
      <c r="C104" s="548" t="s">
        <v>1997</v>
      </c>
      <c r="D104" s="1460"/>
      <c r="E104" s="1461"/>
      <c r="F104" s="1175"/>
      <c r="G104" s="1175"/>
      <c r="H104" s="1175"/>
      <c r="I104" s="1175"/>
      <c r="J104" s="493">
        <f t="shared" si="66"/>
        <v>0</v>
      </c>
      <c r="K104" s="578">
        <f t="shared" si="57"/>
        <v>0</v>
      </c>
    </row>
    <row r="105" spans="1:11" s="1192" customFormat="1" ht="21.95" customHeight="1" x14ac:dyDescent="0.15">
      <c r="A105" s="2688"/>
      <c r="B105" s="2684"/>
      <c r="C105" s="1189" t="s">
        <v>1242</v>
      </c>
      <c r="D105" s="1458"/>
      <c r="E105" s="1459"/>
      <c r="F105" s="1190"/>
      <c r="G105" s="1190"/>
      <c r="H105" s="1190"/>
      <c r="I105" s="1190"/>
      <c r="J105" s="1198"/>
      <c r="K105" s="578">
        <f t="shared" si="57"/>
        <v>0</v>
      </c>
    </row>
    <row r="106" spans="1:11" s="677" customFormat="1" ht="21.95" customHeight="1" x14ac:dyDescent="0.15">
      <c r="A106" s="2688"/>
      <c r="B106" s="2684"/>
      <c r="C106" s="548" t="s">
        <v>1248</v>
      </c>
      <c r="D106" s="1460"/>
      <c r="E106" s="1461"/>
      <c r="F106" s="689"/>
      <c r="G106" s="689"/>
      <c r="H106" s="689"/>
      <c r="I106" s="689"/>
      <c r="J106" s="493"/>
      <c r="K106" s="1016">
        <f>K105</f>
        <v>0</v>
      </c>
    </row>
    <row r="107" spans="1:11" s="677" customFormat="1" ht="21.95" customHeight="1" thickBot="1" x14ac:dyDescent="0.2">
      <c r="A107" s="2688"/>
      <c r="B107" s="2685"/>
      <c r="C107" s="809" t="s">
        <v>300</v>
      </c>
      <c r="D107" s="1471"/>
      <c r="E107" s="1469"/>
      <c r="F107" s="1173">
        <f t="shared" ref="F107:H107" si="76">F104*F105/100</f>
        <v>0</v>
      </c>
      <c r="G107" s="1173">
        <f t="shared" si="76"/>
        <v>0</v>
      </c>
      <c r="H107" s="1173">
        <f t="shared" si="76"/>
        <v>0</v>
      </c>
      <c r="I107" s="1173"/>
      <c r="J107" s="1135">
        <f t="shared" ref="J107:J143" si="77">ROUND(SUM(F107:I107),2)</f>
        <v>0</v>
      </c>
      <c r="K107" s="578">
        <f t="shared" ref="K107:K143" si="78">SUM(F107:J107)</f>
        <v>0</v>
      </c>
    </row>
    <row r="108" spans="1:11" s="677" customFormat="1" ht="21.95" customHeight="1" x14ac:dyDescent="0.15">
      <c r="A108" s="2688"/>
      <c r="B108" s="2683" t="s">
        <v>1370</v>
      </c>
      <c r="C108" s="566" t="s">
        <v>684</v>
      </c>
      <c r="D108" s="1463"/>
      <c r="E108" s="1474"/>
      <c r="F108" s="1178">
        <f>SUM(F109:F111)*2.5548</f>
        <v>0</v>
      </c>
      <c r="G108" s="1178">
        <f t="shared" ref="G108:H108" si="79">SUM(G109:G111)*2.5548</f>
        <v>0</v>
      </c>
      <c r="H108" s="1178">
        <f t="shared" si="79"/>
        <v>0</v>
      </c>
      <c r="I108" s="1178"/>
      <c r="J108" s="1168">
        <f t="shared" si="77"/>
        <v>0</v>
      </c>
      <c r="K108" s="578">
        <f t="shared" si="78"/>
        <v>0</v>
      </c>
    </row>
    <row r="109" spans="1:11" s="677" customFormat="1" ht="21.95" customHeight="1" x14ac:dyDescent="0.15">
      <c r="A109" s="2688"/>
      <c r="B109" s="2692"/>
      <c r="C109" s="562" t="s">
        <v>519</v>
      </c>
      <c r="D109" s="1460"/>
      <c r="E109" s="1461"/>
      <c r="F109" s="1138">
        <f>IF(F7="CBUQ",F15+F23+IF(F29="MAN",F43,0),0)</f>
        <v>0</v>
      </c>
      <c r="G109" s="1138">
        <f t="shared" ref="G109:H109" si="80">IF(G7="CBUQ",G15+G23+IF(G29="MAN",G43,0),0)</f>
        <v>0</v>
      </c>
      <c r="H109" s="1138">
        <f t="shared" si="80"/>
        <v>0</v>
      </c>
      <c r="I109" s="1138"/>
      <c r="J109" s="1168">
        <f t="shared" si="77"/>
        <v>0</v>
      </c>
      <c r="K109" s="578">
        <f t="shared" si="78"/>
        <v>0</v>
      </c>
    </row>
    <row r="110" spans="1:11" s="677" customFormat="1" ht="21.95" customHeight="1" x14ac:dyDescent="0.15">
      <c r="A110" s="2688"/>
      <c r="B110" s="2692"/>
      <c r="C110" s="807" t="s">
        <v>1249</v>
      </c>
      <c r="D110" s="1460"/>
      <c r="E110" s="1461"/>
      <c r="F110" s="1143">
        <f>IF(AND(F106="MOTO",F7="CBUQ"),F107,0)</f>
        <v>0</v>
      </c>
      <c r="G110" s="1143">
        <f t="shared" ref="G110:H110" si="81">IF(AND(G106="MOTO",G7="CBUQ"),G107,0)</f>
        <v>0</v>
      </c>
      <c r="H110" s="1143">
        <f t="shared" si="81"/>
        <v>0</v>
      </c>
      <c r="I110" s="1143"/>
      <c r="J110" s="1168">
        <f t="shared" si="77"/>
        <v>0</v>
      </c>
      <c r="K110" s="578">
        <f t="shared" si="78"/>
        <v>0</v>
      </c>
    </row>
    <row r="111" spans="1:11" s="677" customFormat="1" ht="21.95" customHeight="1" x14ac:dyDescent="0.15">
      <c r="A111" s="2688"/>
      <c r="B111" s="2692"/>
      <c r="C111" s="807" t="s">
        <v>1250</v>
      </c>
      <c r="D111" s="1460"/>
      <c r="E111" s="1461"/>
      <c r="F111" s="1143">
        <f t="shared" ref="F111:H111" si="82">IF(AND(F106="VIBRO",F7="CBUQ"),F107,0)+IF(F7="CBUQ",IF(F29="MEC",F43,0),0)</f>
        <v>0</v>
      </c>
      <c r="G111" s="1143">
        <f t="shared" si="82"/>
        <v>0</v>
      </c>
      <c r="H111" s="1143">
        <f t="shared" si="82"/>
        <v>0</v>
      </c>
      <c r="I111" s="1143"/>
      <c r="J111" s="1168">
        <f t="shared" si="77"/>
        <v>0</v>
      </c>
      <c r="K111" s="578">
        <f t="shared" si="78"/>
        <v>0</v>
      </c>
    </row>
    <row r="112" spans="1:11" s="677" customFormat="1" ht="21.95" customHeight="1" x14ac:dyDescent="0.15">
      <c r="A112" s="2688"/>
      <c r="B112" s="2692"/>
      <c r="C112" s="562" t="s">
        <v>696</v>
      </c>
      <c r="D112" s="1475"/>
      <c r="E112" s="1461"/>
      <c r="F112" s="1143">
        <f t="shared" ref="F112:H112" si="83">SUM(F109:F111)*0.161</f>
        <v>0</v>
      </c>
      <c r="G112" s="1143">
        <f t="shared" si="83"/>
        <v>0</v>
      </c>
      <c r="H112" s="1143">
        <f t="shared" si="83"/>
        <v>0</v>
      </c>
      <c r="I112" s="1143"/>
      <c r="J112" s="1168">
        <f t="shared" si="77"/>
        <v>0</v>
      </c>
      <c r="K112" s="578">
        <f t="shared" si="78"/>
        <v>0</v>
      </c>
    </row>
    <row r="113" spans="1:11" s="677" customFormat="1" ht="21.95" customHeight="1" x14ac:dyDescent="0.15">
      <c r="A113" s="2688"/>
      <c r="B113" s="2692"/>
      <c r="C113" s="807" t="s">
        <v>695</v>
      </c>
      <c r="D113" s="1475"/>
      <c r="E113" s="1461"/>
      <c r="F113" s="1143">
        <f t="shared" ref="F113:H113" si="84">SUM(F109:F111)*0.447*2.5548</f>
        <v>0</v>
      </c>
      <c r="G113" s="1143">
        <f t="shared" si="84"/>
        <v>0</v>
      </c>
      <c r="H113" s="1143">
        <f t="shared" si="84"/>
        <v>0</v>
      </c>
      <c r="I113" s="1143"/>
      <c r="J113" s="1168">
        <f t="shared" si="77"/>
        <v>0</v>
      </c>
      <c r="K113" s="578">
        <f t="shared" si="78"/>
        <v>0</v>
      </c>
    </row>
    <row r="114" spans="1:11" s="677" customFormat="1" ht="21.95" customHeight="1" thickBot="1" x14ac:dyDescent="0.2">
      <c r="A114" s="2688"/>
      <c r="B114" s="2693"/>
      <c r="C114" s="808" t="s">
        <v>1763</v>
      </c>
      <c r="D114" s="1476"/>
      <c r="E114" s="1469"/>
      <c r="F114" s="1173">
        <f t="shared" ref="F114:H114" si="85">SUM(F109:F111)*0.06*2.5548</f>
        <v>0</v>
      </c>
      <c r="G114" s="1173">
        <f t="shared" si="85"/>
        <v>0</v>
      </c>
      <c r="H114" s="1173">
        <f t="shared" si="85"/>
        <v>0</v>
      </c>
      <c r="I114" s="1173"/>
      <c r="J114" s="1174">
        <f t="shared" si="77"/>
        <v>0</v>
      </c>
      <c r="K114" s="578">
        <f t="shared" si="78"/>
        <v>0</v>
      </c>
    </row>
    <row r="115" spans="1:11" s="677" customFormat="1" ht="21.95" customHeight="1" x14ac:dyDescent="0.15">
      <c r="A115" s="2688"/>
      <c r="B115" s="2683" t="s">
        <v>1371</v>
      </c>
      <c r="C115" s="566" t="s">
        <v>1369</v>
      </c>
      <c r="D115" s="1463"/>
      <c r="E115" s="1474"/>
      <c r="F115" s="1178">
        <f t="shared" ref="F115:H115" si="86">SUM(F116:F118)*2.346</f>
        <v>0</v>
      </c>
      <c r="G115" s="1178">
        <f t="shared" si="86"/>
        <v>0</v>
      </c>
      <c r="H115" s="1178">
        <f t="shared" si="86"/>
        <v>0</v>
      </c>
      <c r="I115" s="1178"/>
      <c r="J115" s="1168">
        <f t="shared" si="77"/>
        <v>0</v>
      </c>
      <c r="K115" s="578">
        <f t="shared" si="78"/>
        <v>0</v>
      </c>
    </row>
    <row r="116" spans="1:11" s="677" customFormat="1" ht="21.95" customHeight="1" x14ac:dyDescent="0.15">
      <c r="A116" s="2688"/>
      <c r="B116" s="2684"/>
      <c r="C116" s="562" t="s">
        <v>519</v>
      </c>
      <c r="D116" s="1460"/>
      <c r="E116" s="1461"/>
      <c r="F116" s="1138">
        <f t="shared" ref="F116:H116" si="87">IF(F7="PMF",F15+F23+IF(F29="MAN",F43,0),0)</f>
        <v>0</v>
      </c>
      <c r="G116" s="1138">
        <f t="shared" si="87"/>
        <v>0</v>
      </c>
      <c r="H116" s="1138">
        <f t="shared" si="87"/>
        <v>0</v>
      </c>
      <c r="I116" s="1138"/>
      <c r="J116" s="1168">
        <f t="shared" si="77"/>
        <v>0</v>
      </c>
      <c r="K116" s="578">
        <f t="shared" si="78"/>
        <v>0</v>
      </c>
    </row>
    <row r="117" spans="1:11" s="677" customFormat="1" ht="21.95" customHeight="1" x14ac:dyDescent="0.15">
      <c r="A117" s="2688"/>
      <c r="B117" s="2684"/>
      <c r="C117" s="807" t="s">
        <v>1249</v>
      </c>
      <c r="D117" s="1460"/>
      <c r="E117" s="1461"/>
      <c r="F117" s="1143">
        <f t="shared" ref="F117:H117" si="88">IF(AND(F106="MOTO",F7="PMF"),F107,0)</f>
        <v>0</v>
      </c>
      <c r="G117" s="1143">
        <f t="shared" si="88"/>
        <v>0</v>
      </c>
      <c r="H117" s="1143">
        <f t="shared" si="88"/>
        <v>0</v>
      </c>
      <c r="I117" s="1143"/>
      <c r="J117" s="1168">
        <f t="shared" si="77"/>
        <v>0</v>
      </c>
      <c r="K117" s="578">
        <f t="shared" si="78"/>
        <v>0</v>
      </c>
    </row>
    <row r="118" spans="1:11" s="677" customFormat="1" ht="21.95" customHeight="1" x14ac:dyDescent="0.15">
      <c r="A118" s="2688"/>
      <c r="B118" s="2684"/>
      <c r="C118" s="807" t="s">
        <v>1250</v>
      </c>
      <c r="D118" s="1460"/>
      <c r="E118" s="1461"/>
      <c r="F118" s="1143">
        <f t="shared" ref="F118:H118" si="89">IF(AND(F106="VIBRO",F7="PMF"),F107,0)+IF(F7="PMF",IF(F29="MEC",F43,0),0)</f>
        <v>0</v>
      </c>
      <c r="G118" s="1143">
        <f t="shared" si="89"/>
        <v>0</v>
      </c>
      <c r="H118" s="1143">
        <f t="shared" si="89"/>
        <v>0</v>
      </c>
      <c r="I118" s="1143"/>
      <c r="J118" s="1168">
        <f t="shared" si="77"/>
        <v>0</v>
      </c>
      <c r="K118" s="578">
        <f t="shared" si="78"/>
        <v>0</v>
      </c>
    </row>
    <row r="119" spans="1:11" s="677" customFormat="1" ht="21.95" customHeight="1" x14ac:dyDescent="0.15">
      <c r="A119" s="2688"/>
      <c r="B119" s="2692"/>
      <c r="C119" s="562" t="s">
        <v>694</v>
      </c>
      <c r="D119" s="1460"/>
      <c r="E119" s="1461"/>
      <c r="F119" s="1143">
        <f t="shared" ref="F119:H119" si="90">SUM(F116:F118)*0.411</f>
        <v>0</v>
      </c>
      <c r="G119" s="1143">
        <f t="shared" si="90"/>
        <v>0</v>
      </c>
      <c r="H119" s="1143">
        <f t="shared" si="90"/>
        <v>0</v>
      </c>
      <c r="I119" s="1143"/>
      <c r="J119" s="1168">
        <f t="shared" si="77"/>
        <v>0</v>
      </c>
      <c r="K119" s="578">
        <f t="shared" si="78"/>
        <v>0</v>
      </c>
    </row>
    <row r="120" spans="1:11" s="677" customFormat="1" ht="21.95" customHeight="1" x14ac:dyDescent="0.15">
      <c r="A120" s="2688"/>
      <c r="B120" s="2692"/>
      <c r="C120" s="562" t="s">
        <v>685</v>
      </c>
      <c r="D120" s="1460"/>
      <c r="E120" s="1461"/>
      <c r="F120" s="1143">
        <f t="shared" ref="F120:H120" si="91">SUM(F116:F118)*0.968</f>
        <v>0</v>
      </c>
      <c r="G120" s="1143">
        <f t="shared" si="91"/>
        <v>0</v>
      </c>
      <c r="H120" s="1143">
        <f t="shared" si="91"/>
        <v>0</v>
      </c>
      <c r="I120" s="1143"/>
      <c r="J120" s="1168">
        <f t="shared" si="77"/>
        <v>0</v>
      </c>
      <c r="K120" s="578">
        <f t="shared" si="78"/>
        <v>0</v>
      </c>
    </row>
    <row r="121" spans="1:11" s="677" customFormat="1" ht="21.95" customHeight="1" thickBot="1" x14ac:dyDescent="0.2">
      <c r="A121" s="2688"/>
      <c r="B121" s="2693"/>
      <c r="C121" s="560" t="s">
        <v>949</v>
      </c>
      <c r="D121" s="1471"/>
      <c r="E121" s="1469"/>
      <c r="F121" s="1173">
        <f t="shared" ref="F121:H121" si="92">SUM(F116:F118)*0.132</f>
        <v>0</v>
      </c>
      <c r="G121" s="1173">
        <f t="shared" si="92"/>
        <v>0</v>
      </c>
      <c r="H121" s="1173">
        <f t="shared" si="92"/>
        <v>0</v>
      </c>
      <c r="I121" s="1173"/>
      <c r="J121" s="1174">
        <f t="shared" si="77"/>
        <v>0</v>
      </c>
      <c r="K121" s="578">
        <f t="shared" si="78"/>
        <v>0</v>
      </c>
    </row>
    <row r="122" spans="1:11" s="677" customFormat="1" ht="21.95" customHeight="1" x14ac:dyDescent="0.15">
      <c r="A122" s="2688"/>
      <c r="B122" s="2683" t="s">
        <v>1351</v>
      </c>
      <c r="C122" s="806" t="s">
        <v>7</v>
      </c>
      <c r="D122" s="1463"/>
      <c r="E122" s="1464"/>
      <c r="F122" s="1179">
        <f t="shared" ref="F122:H122" si="93">(F48+F54)*1.25</f>
        <v>0</v>
      </c>
      <c r="G122" s="1179">
        <f t="shared" si="93"/>
        <v>0</v>
      </c>
      <c r="H122" s="1179">
        <f t="shared" si="93"/>
        <v>0</v>
      </c>
      <c r="I122" s="1179"/>
      <c r="J122" s="1168">
        <f t="shared" si="77"/>
        <v>0</v>
      </c>
      <c r="K122" s="578">
        <f t="shared" si="78"/>
        <v>0</v>
      </c>
    </row>
    <row r="123" spans="1:11" s="677" customFormat="1" ht="21.95" customHeight="1" x14ac:dyDescent="0.15">
      <c r="A123" s="2688"/>
      <c r="B123" s="2684"/>
      <c r="C123" s="548" t="s">
        <v>1203</v>
      </c>
      <c r="D123" s="1460"/>
      <c r="E123" s="1461"/>
      <c r="F123" s="1143">
        <f t="shared" ref="F123:H123" si="94">F87/1000</f>
        <v>0</v>
      </c>
      <c r="G123" s="1143">
        <f t="shared" si="94"/>
        <v>0</v>
      </c>
      <c r="H123" s="1143">
        <f t="shared" si="94"/>
        <v>0</v>
      </c>
      <c r="I123" s="1143"/>
      <c r="J123" s="1168">
        <f t="shared" si="77"/>
        <v>0</v>
      </c>
      <c r="K123" s="578">
        <f t="shared" si="78"/>
        <v>0</v>
      </c>
    </row>
    <row r="124" spans="1:11" s="677" customFormat="1" ht="21.95" customHeight="1" thickBot="1" x14ac:dyDescent="0.2">
      <c r="A124" s="2688"/>
      <c r="B124" s="2685"/>
      <c r="C124" s="808" t="s">
        <v>1368</v>
      </c>
      <c r="D124" s="1471"/>
      <c r="E124" s="1469"/>
      <c r="F124" s="1173">
        <f t="shared" ref="F124:H124" si="95">F73</f>
        <v>0</v>
      </c>
      <c r="G124" s="1173">
        <f t="shared" si="95"/>
        <v>0</v>
      </c>
      <c r="H124" s="1173">
        <f t="shared" si="95"/>
        <v>0</v>
      </c>
      <c r="I124" s="1173"/>
      <c r="J124" s="1174">
        <f t="shared" si="77"/>
        <v>0</v>
      </c>
      <c r="K124" s="578">
        <f t="shared" si="78"/>
        <v>0</v>
      </c>
    </row>
    <row r="125" spans="1:11" s="677" customFormat="1" ht="21.95" customHeight="1" x14ac:dyDescent="0.15">
      <c r="A125" s="2688"/>
      <c r="B125" s="2533" t="s">
        <v>1375</v>
      </c>
      <c r="C125" s="806" t="s">
        <v>7</v>
      </c>
      <c r="D125" s="1460"/>
      <c r="E125" s="1461"/>
      <c r="F125" s="1143">
        <f t="shared" ref="F125:H125" si="96">(F15+F19+F28+F54)*1.25</f>
        <v>0</v>
      </c>
      <c r="G125" s="1143">
        <f t="shared" si="96"/>
        <v>0</v>
      </c>
      <c r="H125" s="1143">
        <f t="shared" si="96"/>
        <v>0</v>
      </c>
      <c r="I125" s="1143"/>
      <c r="J125" s="1180">
        <f t="shared" si="77"/>
        <v>0</v>
      </c>
      <c r="K125" s="578">
        <f t="shared" si="78"/>
        <v>0</v>
      </c>
    </row>
    <row r="126" spans="1:11" s="677" customFormat="1" ht="21.95" customHeight="1" x14ac:dyDescent="0.15">
      <c r="A126" s="2688"/>
      <c r="B126" s="2534"/>
      <c r="C126" s="663" t="s">
        <v>1919</v>
      </c>
      <c r="D126" s="1460"/>
      <c r="E126" s="1461"/>
      <c r="F126" s="1143">
        <f t="shared" ref="F126:H126" si="97">(F11+F48+F93)*2.4</f>
        <v>0</v>
      </c>
      <c r="G126" s="1143">
        <f t="shared" si="97"/>
        <v>0</v>
      </c>
      <c r="H126" s="1143">
        <f t="shared" si="97"/>
        <v>0</v>
      </c>
      <c r="I126" s="1143"/>
      <c r="J126" s="1168">
        <f t="shared" si="77"/>
        <v>0</v>
      </c>
      <c r="K126" s="578">
        <f t="shared" si="78"/>
        <v>0</v>
      </c>
    </row>
    <row r="127" spans="1:11" s="677" customFormat="1" ht="21.95" customHeight="1" x14ac:dyDescent="0.15">
      <c r="A127" s="2688"/>
      <c r="B127" s="2534"/>
      <c r="C127" s="558" t="s">
        <v>2001</v>
      </c>
      <c r="D127" s="1460"/>
      <c r="E127" s="1461"/>
      <c r="F127" s="1143">
        <f t="shared" ref="F127:H127" si="98">F35*1.25+F69</f>
        <v>0</v>
      </c>
      <c r="G127" s="1143">
        <f t="shared" si="98"/>
        <v>0</v>
      </c>
      <c r="H127" s="1143">
        <f t="shared" si="98"/>
        <v>0</v>
      </c>
      <c r="I127" s="1143"/>
      <c r="J127" s="1168">
        <f t="shared" si="77"/>
        <v>0</v>
      </c>
      <c r="K127" s="578">
        <f t="shared" si="78"/>
        <v>0</v>
      </c>
    </row>
    <row r="128" spans="1:11" s="677" customFormat="1" ht="21.95" customHeight="1" x14ac:dyDescent="0.15">
      <c r="A128" s="2688"/>
      <c r="B128" s="2534"/>
      <c r="C128" s="558" t="s">
        <v>1203</v>
      </c>
      <c r="D128" s="1460"/>
      <c r="E128" s="1461"/>
      <c r="F128" s="1143">
        <f t="shared" ref="F128:H128" si="99">F87/1000</f>
        <v>0</v>
      </c>
      <c r="G128" s="1143">
        <f t="shared" si="99"/>
        <v>0</v>
      </c>
      <c r="H128" s="1143">
        <f t="shared" si="99"/>
        <v>0</v>
      </c>
      <c r="I128" s="1143"/>
      <c r="J128" s="1168">
        <f t="shared" si="77"/>
        <v>0</v>
      </c>
      <c r="K128" s="578">
        <f t="shared" si="78"/>
        <v>0</v>
      </c>
    </row>
    <row r="129" spans="1:11" s="677" customFormat="1" ht="21.95" customHeight="1" x14ac:dyDescent="0.15">
      <c r="A129" s="2688"/>
      <c r="B129" s="2534"/>
      <c r="C129" s="558" t="s">
        <v>1390</v>
      </c>
      <c r="D129" s="1460"/>
      <c r="E129" s="1461"/>
      <c r="F129" s="1143">
        <f t="shared" ref="F129:H129" si="100">F112</f>
        <v>0</v>
      </c>
      <c r="G129" s="1143">
        <f t="shared" si="100"/>
        <v>0</v>
      </c>
      <c r="H129" s="1143">
        <f t="shared" si="100"/>
        <v>0</v>
      </c>
      <c r="I129" s="1143"/>
      <c r="J129" s="1168">
        <f t="shared" si="77"/>
        <v>0</v>
      </c>
      <c r="K129" s="578">
        <f t="shared" si="78"/>
        <v>0</v>
      </c>
    </row>
    <row r="130" spans="1:11" s="677" customFormat="1" ht="21.95" customHeight="1" x14ac:dyDescent="0.15">
      <c r="A130" s="2688"/>
      <c r="B130" s="2534"/>
      <c r="C130" s="558" t="s">
        <v>1391</v>
      </c>
      <c r="D130" s="1460"/>
      <c r="E130" s="1461"/>
      <c r="F130" s="1143">
        <f t="shared" ref="F130:H130" si="101">F119</f>
        <v>0</v>
      </c>
      <c r="G130" s="1143">
        <f t="shared" si="101"/>
        <v>0</v>
      </c>
      <c r="H130" s="1143">
        <f t="shared" si="101"/>
        <v>0</v>
      </c>
      <c r="I130" s="1143"/>
      <c r="J130" s="1168">
        <f t="shared" si="77"/>
        <v>0</v>
      </c>
      <c r="K130" s="578">
        <f t="shared" si="78"/>
        <v>0</v>
      </c>
    </row>
    <row r="131" spans="1:11" s="677" customFormat="1" ht="21.95" customHeight="1" x14ac:dyDescent="0.15">
      <c r="A131" s="2688"/>
      <c r="B131" s="2534"/>
      <c r="C131" s="558" t="s">
        <v>1367</v>
      </c>
      <c r="D131" s="1460"/>
      <c r="E131" s="1461"/>
      <c r="F131" s="1143">
        <f t="shared" ref="F131:H131" si="102">F71</f>
        <v>0</v>
      </c>
      <c r="G131" s="1143">
        <f t="shared" si="102"/>
        <v>0</v>
      </c>
      <c r="H131" s="1143">
        <f t="shared" si="102"/>
        <v>0</v>
      </c>
      <c r="I131" s="1143"/>
      <c r="J131" s="1168">
        <f t="shared" si="77"/>
        <v>0</v>
      </c>
      <c r="K131" s="578">
        <f t="shared" si="78"/>
        <v>0</v>
      </c>
    </row>
    <row r="132" spans="1:11" s="677" customFormat="1" ht="21.95" customHeight="1" x14ac:dyDescent="0.15">
      <c r="A132" s="2688"/>
      <c r="B132" s="2534"/>
      <c r="C132" s="558" t="s">
        <v>2000</v>
      </c>
      <c r="D132" s="1460"/>
      <c r="E132" s="1461"/>
      <c r="F132" s="1143">
        <f t="shared" ref="F132:H132" si="103">F31*1.1</f>
        <v>0</v>
      </c>
      <c r="G132" s="1143">
        <f t="shared" si="103"/>
        <v>0</v>
      </c>
      <c r="H132" s="1143">
        <f t="shared" si="103"/>
        <v>0</v>
      </c>
      <c r="I132" s="1143"/>
      <c r="J132" s="1168">
        <f t="shared" si="77"/>
        <v>0</v>
      </c>
      <c r="K132" s="578">
        <f t="shared" si="78"/>
        <v>0</v>
      </c>
    </row>
    <row r="133" spans="1:11" s="677" customFormat="1" ht="21.95" customHeight="1" x14ac:dyDescent="0.15">
      <c r="A133" s="2688"/>
      <c r="B133" s="2534"/>
      <c r="C133" s="566" t="s">
        <v>1761</v>
      </c>
      <c r="D133" s="1460"/>
      <c r="E133" s="1461"/>
      <c r="F133" s="1143">
        <f t="shared" ref="F133:H134" si="104">F72</f>
        <v>0</v>
      </c>
      <c r="G133" s="1143">
        <f t="shared" si="104"/>
        <v>0</v>
      </c>
      <c r="H133" s="1143">
        <f t="shared" si="104"/>
        <v>0</v>
      </c>
      <c r="I133" s="1143"/>
      <c r="J133" s="1168">
        <f t="shared" si="77"/>
        <v>0</v>
      </c>
      <c r="K133" s="578">
        <f t="shared" si="78"/>
        <v>0</v>
      </c>
    </row>
    <row r="134" spans="1:11" s="677" customFormat="1" ht="21.95" customHeight="1" x14ac:dyDescent="0.15">
      <c r="A134" s="2688"/>
      <c r="B134" s="2534"/>
      <c r="C134" s="566" t="s">
        <v>1368</v>
      </c>
      <c r="D134" s="1460"/>
      <c r="E134" s="1461"/>
      <c r="F134" s="1143">
        <f t="shared" si="104"/>
        <v>0</v>
      </c>
      <c r="G134" s="1143">
        <f t="shared" si="104"/>
        <v>0</v>
      </c>
      <c r="H134" s="1143">
        <f t="shared" si="104"/>
        <v>0</v>
      </c>
      <c r="I134" s="1143"/>
      <c r="J134" s="1168">
        <f t="shared" si="77"/>
        <v>0</v>
      </c>
      <c r="K134" s="578">
        <f t="shared" si="78"/>
        <v>0</v>
      </c>
    </row>
    <row r="135" spans="1:11" s="677" customFormat="1" ht="21.95" customHeight="1" x14ac:dyDescent="0.15">
      <c r="A135" s="2688"/>
      <c r="B135" s="2534"/>
      <c r="C135" s="566" t="s">
        <v>1392</v>
      </c>
      <c r="D135" s="1460"/>
      <c r="E135" s="1461"/>
      <c r="F135" s="1143">
        <f t="shared" ref="F135:H135" si="105">F113</f>
        <v>0</v>
      </c>
      <c r="G135" s="1143">
        <f t="shared" si="105"/>
        <v>0</v>
      </c>
      <c r="H135" s="1143">
        <f t="shared" si="105"/>
        <v>0</v>
      </c>
      <c r="I135" s="1143"/>
      <c r="J135" s="1168">
        <f t="shared" si="77"/>
        <v>0</v>
      </c>
      <c r="K135" s="578">
        <f t="shared" si="78"/>
        <v>0</v>
      </c>
    </row>
    <row r="136" spans="1:11" s="677" customFormat="1" ht="21.95" customHeight="1" x14ac:dyDescent="0.15">
      <c r="A136" s="2688"/>
      <c r="B136" s="2534"/>
      <c r="C136" s="566" t="s">
        <v>1393</v>
      </c>
      <c r="D136" s="1460"/>
      <c r="E136" s="1461"/>
      <c r="F136" s="1143">
        <f t="shared" ref="F136:H136" si="106">F120</f>
        <v>0</v>
      </c>
      <c r="G136" s="1143">
        <f t="shared" si="106"/>
        <v>0</v>
      </c>
      <c r="H136" s="1143">
        <f t="shared" si="106"/>
        <v>0</v>
      </c>
      <c r="I136" s="1143"/>
      <c r="J136" s="1168">
        <f t="shared" si="77"/>
        <v>0</v>
      </c>
      <c r="K136" s="578">
        <f t="shared" si="78"/>
        <v>0</v>
      </c>
    </row>
    <row r="137" spans="1:11" s="677" customFormat="1" ht="21.95" customHeight="1" x14ac:dyDescent="0.15">
      <c r="A137" s="2688"/>
      <c r="B137" s="2534"/>
      <c r="C137" s="566" t="s">
        <v>1776</v>
      </c>
      <c r="D137" s="1460"/>
      <c r="E137" s="1461"/>
      <c r="F137" s="1143">
        <f t="shared" ref="F137:H137" si="107">F88</f>
        <v>0</v>
      </c>
      <c r="G137" s="1143">
        <f t="shared" si="107"/>
        <v>0</v>
      </c>
      <c r="H137" s="1143">
        <f t="shared" si="107"/>
        <v>0</v>
      </c>
      <c r="I137" s="1143"/>
      <c r="J137" s="1168">
        <f t="shared" si="77"/>
        <v>0</v>
      </c>
      <c r="K137" s="578">
        <f t="shared" si="78"/>
        <v>0</v>
      </c>
    </row>
    <row r="138" spans="1:11" s="677" customFormat="1" ht="21.95" customHeight="1" x14ac:dyDescent="0.15">
      <c r="A138" s="2688"/>
      <c r="B138" s="2534"/>
      <c r="C138" s="566" t="s">
        <v>1764</v>
      </c>
      <c r="D138" s="1460"/>
      <c r="E138" s="1461"/>
      <c r="F138" s="1143">
        <f>F114</f>
        <v>0</v>
      </c>
      <c r="G138" s="1143">
        <f t="shared" ref="G138:H138" si="108">G114</f>
        <v>0</v>
      </c>
      <c r="H138" s="1143">
        <f t="shared" si="108"/>
        <v>0</v>
      </c>
      <c r="I138" s="1143"/>
      <c r="J138" s="1168">
        <f t="shared" si="77"/>
        <v>0</v>
      </c>
      <c r="K138" s="578">
        <f t="shared" si="78"/>
        <v>0</v>
      </c>
    </row>
    <row r="139" spans="1:11" s="677" customFormat="1" ht="21.95" customHeight="1" x14ac:dyDescent="0.15">
      <c r="A139" s="2688"/>
      <c r="B139" s="2534"/>
      <c r="C139" s="566" t="s">
        <v>1397</v>
      </c>
      <c r="D139" s="1460"/>
      <c r="E139" s="1461"/>
      <c r="F139" s="1143">
        <f t="shared" ref="F139:H139" si="109">F98</f>
        <v>0</v>
      </c>
      <c r="G139" s="1143">
        <f t="shared" si="109"/>
        <v>0</v>
      </c>
      <c r="H139" s="1143">
        <f t="shared" si="109"/>
        <v>0</v>
      </c>
      <c r="I139" s="1143"/>
      <c r="J139" s="1168">
        <f t="shared" si="77"/>
        <v>0</v>
      </c>
      <c r="K139" s="578">
        <f t="shared" si="78"/>
        <v>0</v>
      </c>
    </row>
    <row r="140" spans="1:11" s="677" customFormat="1" ht="21.95" customHeight="1" x14ac:dyDescent="0.15">
      <c r="A140" s="2688"/>
      <c r="B140" s="2534"/>
      <c r="C140" s="566" t="s">
        <v>1400</v>
      </c>
      <c r="D140" s="1460"/>
      <c r="E140" s="1461"/>
      <c r="F140" s="1143">
        <f t="shared" ref="F140:H140" si="110">F102</f>
        <v>0</v>
      </c>
      <c r="G140" s="1143">
        <f t="shared" si="110"/>
        <v>0</v>
      </c>
      <c r="H140" s="1143">
        <f t="shared" si="110"/>
        <v>0</v>
      </c>
      <c r="I140" s="1143"/>
      <c r="J140" s="1168">
        <f t="shared" si="77"/>
        <v>0</v>
      </c>
      <c r="K140" s="578">
        <f t="shared" si="78"/>
        <v>0</v>
      </c>
    </row>
    <row r="141" spans="1:11" s="677" customFormat="1" ht="21.95" customHeight="1" x14ac:dyDescent="0.15">
      <c r="A141" s="2688"/>
      <c r="B141" s="2534"/>
      <c r="C141" s="566" t="s">
        <v>1411</v>
      </c>
      <c r="D141" s="1460"/>
      <c r="E141" s="1461"/>
      <c r="F141" s="1143">
        <f t="shared" ref="F141:H141" si="111">F121</f>
        <v>0</v>
      </c>
      <c r="G141" s="1143">
        <f t="shared" si="111"/>
        <v>0</v>
      </c>
      <c r="H141" s="1143">
        <f t="shared" si="111"/>
        <v>0</v>
      </c>
      <c r="I141" s="1143"/>
      <c r="J141" s="1168">
        <f t="shared" si="77"/>
        <v>0</v>
      </c>
      <c r="K141" s="578">
        <f t="shared" si="78"/>
        <v>0</v>
      </c>
    </row>
    <row r="142" spans="1:11" s="677" customFormat="1" ht="21.95" customHeight="1" x14ac:dyDescent="0.15">
      <c r="A142" s="2688"/>
      <c r="B142" s="2534"/>
      <c r="C142" s="566" t="s">
        <v>1372</v>
      </c>
      <c r="D142" s="1460"/>
      <c r="E142" s="1461"/>
      <c r="F142" s="1143">
        <f t="shared" ref="F142:H142" si="112">F108</f>
        <v>0</v>
      </c>
      <c r="G142" s="1143">
        <f t="shared" si="112"/>
        <v>0</v>
      </c>
      <c r="H142" s="1143">
        <f t="shared" si="112"/>
        <v>0</v>
      </c>
      <c r="I142" s="1143"/>
      <c r="J142" s="1168">
        <f t="shared" si="77"/>
        <v>0</v>
      </c>
      <c r="K142" s="578">
        <f t="shared" si="78"/>
        <v>0</v>
      </c>
    </row>
    <row r="143" spans="1:11" s="677" customFormat="1" ht="21.95" customHeight="1" thickBot="1" x14ac:dyDescent="0.2">
      <c r="A143" s="2688"/>
      <c r="B143" s="2535"/>
      <c r="C143" s="565" t="s">
        <v>1373</v>
      </c>
      <c r="D143" s="1460"/>
      <c r="E143" s="1469"/>
      <c r="F143" s="1143">
        <f t="shared" ref="F143:H143" si="113">F115</f>
        <v>0</v>
      </c>
      <c r="G143" s="1143">
        <f t="shared" si="113"/>
        <v>0</v>
      </c>
      <c r="H143" s="1143">
        <f t="shared" si="113"/>
        <v>0</v>
      </c>
      <c r="I143" s="1143"/>
      <c r="J143" s="1174">
        <f t="shared" si="77"/>
        <v>0</v>
      </c>
      <c r="K143" s="578">
        <f t="shared" si="78"/>
        <v>0</v>
      </c>
    </row>
    <row r="144" spans="1:11" s="677" customFormat="1" ht="21.95" customHeight="1" x14ac:dyDescent="0.15">
      <c r="A144" s="2688"/>
      <c r="B144" s="2696" t="s">
        <v>1366</v>
      </c>
      <c r="C144" s="806" t="s">
        <v>7</v>
      </c>
      <c r="D144" s="1463"/>
      <c r="E144" s="1464"/>
      <c r="F144" s="1179">
        <f t="shared" ref="F144:H146" si="114">F125</f>
        <v>0</v>
      </c>
      <c r="G144" s="1179">
        <f t="shared" si="114"/>
        <v>0</v>
      </c>
      <c r="H144" s="1179">
        <f t="shared" si="114"/>
        <v>0</v>
      </c>
      <c r="I144" s="1179"/>
      <c r="J144" s="1168"/>
      <c r="K144" s="578"/>
    </row>
    <row r="145" spans="1:11" s="677" customFormat="1" ht="21.95" customHeight="1" x14ac:dyDescent="0.15">
      <c r="A145" s="2688"/>
      <c r="B145" s="2697"/>
      <c r="C145" s="663" t="s">
        <v>1919</v>
      </c>
      <c r="D145" s="1460"/>
      <c r="E145" s="1461"/>
      <c r="F145" s="1143">
        <f t="shared" si="114"/>
        <v>0</v>
      </c>
      <c r="G145" s="1143">
        <f t="shared" si="114"/>
        <v>0</v>
      </c>
      <c r="H145" s="1143">
        <f t="shared" si="114"/>
        <v>0</v>
      </c>
      <c r="I145" s="1143"/>
      <c r="J145" s="1168"/>
      <c r="K145" s="578"/>
    </row>
    <row r="146" spans="1:11" s="677" customFormat="1" ht="21.95" customHeight="1" x14ac:dyDescent="0.15">
      <c r="A146" s="2688"/>
      <c r="B146" s="2697"/>
      <c r="C146" s="558" t="s">
        <v>1353</v>
      </c>
      <c r="D146" s="1460"/>
      <c r="E146" s="1461"/>
      <c r="F146" s="1143">
        <f t="shared" si="114"/>
        <v>0</v>
      </c>
      <c r="G146" s="1143">
        <f t="shared" si="114"/>
        <v>0</v>
      </c>
      <c r="H146" s="1143">
        <f t="shared" si="114"/>
        <v>0</v>
      </c>
      <c r="I146" s="1143"/>
      <c r="J146" s="1168"/>
      <c r="K146" s="578"/>
    </row>
    <row r="147" spans="1:11" s="677" customFormat="1" ht="21.95" customHeight="1" x14ac:dyDescent="0.15">
      <c r="A147" s="2688"/>
      <c r="B147" s="2697"/>
      <c r="C147" s="558" t="s">
        <v>1965</v>
      </c>
      <c r="D147" s="1460"/>
      <c r="E147" s="1461"/>
      <c r="F147" s="1143">
        <f t="shared" ref="F147:H147" si="115">SUM(F132:F137)</f>
        <v>0</v>
      </c>
      <c r="G147" s="1143">
        <f t="shared" si="115"/>
        <v>0</v>
      </c>
      <c r="H147" s="1143">
        <f t="shared" si="115"/>
        <v>0</v>
      </c>
      <c r="I147" s="1143"/>
      <c r="J147" s="1168"/>
      <c r="K147" s="578"/>
    </row>
    <row r="148" spans="1:11" s="677" customFormat="1" ht="21.95" customHeight="1" x14ac:dyDescent="0.15">
      <c r="A148" s="2688"/>
      <c r="B148" s="2697"/>
      <c r="C148" s="558" t="s">
        <v>1203</v>
      </c>
      <c r="D148" s="1460"/>
      <c r="E148" s="1461"/>
      <c r="F148" s="1143">
        <f t="shared" ref="F148:H148" si="116">F128</f>
        <v>0</v>
      </c>
      <c r="G148" s="1143">
        <f t="shared" si="116"/>
        <v>0</v>
      </c>
      <c r="H148" s="1143">
        <f t="shared" si="116"/>
        <v>0</v>
      </c>
      <c r="I148" s="1143"/>
      <c r="J148" s="1168"/>
      <c r="K148" s="578"/>
    </row>
    <row r="149" spans="1:11" s="677" customFormat="1" ht="21.95" customHeight="1" x14ac:dyDescent="0.15">
      <c r="A149" s="2688"/>
      <c r="B149" s="2697"/>
      <c r="C149" s="558" t="s">
        <v>585</v>
      </c>
      <c r="D149" s="1460"/>
      <c r="E149" s="1461"/>
      <c r="F149" s="1143">
        <f t="shared" ref="F149:H149" si="117">F129+F130</f>
        <v>0</v>
      </c>
      <c r="G149" s="1143">
        <f t="shared" si="117"/>
        <v>0</v>
      </c>
      <c r="H149" s="1143">
        <f t="shared" si="117"/>
        <v>0</v>
      </c>
      <c r="I149" s="1143"/>
      <c r="J149" s="1168"/>
      <c r="K149" s="578"/>
    </row>
    <row r="150" spans="1:11" s="677" customFormat="1" ht="21.95" customHeight="1" x14ac:dyDescent="0.15">
      <c r="A150" s="2688"/>
      <c r="B150" s="2697"/>
      <c r="C150" s="558" t="s">
        <v>1367</v>
      </c>
      <c r="D150" s="1460"/>
      <c r="E150" s="1461"/>
      <c r="F150" s="1143">
        <f t="shared" ref="F150:H150" si="118">F131</f>
        <v>0</v>
      </c>
      <c r="G150" s="1143">
        <f t="shared" si="118"/>
        <v>0</v>
      </c>
      <c r="H150" s="1143">
        <f t="shared" si="118"/>
        <v>0</v>
      </c>
      <c r="I150" s="1143"/>
      <c r="J150" s="1168"/>
      <c r="K150" s="578"/>
    </row>
    <row r="151" spans="1:11" s="677" customFormat="1" ht="21.95" customHeight="1" x14ac:dyDescent="0.15">
      <c r="A151" s="2688"/>
      <c r="B151" s="2698"/>
      <c r="C151" s="566" t="s">
        <v>1764</v>
      </c>
      <c r="D151" s="1460"/>
      <c r="E151" s="1461"/>
      <c r="F151" s="1143">
        <f t="shared" ref="F151:H152" si="119">F138</f>
        <v>0</v>
      </c>
      <c r="G151" s="1143">
        <f t="shared" si="119"/>
        <v>0</v>
      </c>
      <c r="H151" s="1143">
        <f t="shared" si="119"/>
        <v>0</v>
      </c>
      <c r="I151" s="1143"/>
      <c r="J151" s="1168"/>
      <c r="K151" s="578"/>
    </row>
    <row r="152" spans="1:11" s="677" customFormat="1" ht="21.95" customHeight="1" x14ac:dyDescent="0.15">
      <c r="A152" s="2688"/>
      <c r="B152" s="2698"/>
      <c r="C152" s="566" t="s">
        <v>1397</v>
      </c>
      <c r="D152" s="1460"/>
      <c r="E152" s="1461"/>
      <c r="F152" s="1143">
        <f t="shared" si="119"/>
        <v>0</v>
      </c>
      <c r="G152" s="1143">
        <f t="shared" si="119"/>
        <v>0</v>
      </c>
      <c r="H152" s="1143">
        <f t="shared" si="119"/>
        <v>0</v>
      </c>
      <c r="I152" s="1143"/>
      <c r="J152" s="1168"/>
      <c r="K152" s="578"/>
    </row>
    <row r="153" spans="1:11" s="677" customFormat="1" ht="21.95" customHeight="1" x14ac:dyDescent="0.15">
      <c r="A153" s="2688"/>
      <c r="B153" s="2698"/>
      <c r="C153" s="566" t="s">
        <v>1964</v>
      </c>
      <c r="D153" s="1460"/>
      <c r="E153" s="1461"/>
      <c r="F153" s="1143">
        <f t="shared" ref="F153:H153" si="120">F140+F141</f>
        <v>0</v>
      </c>
      <c r="G153" s="1143">
        <f t="shared" si="120"/>
        <v>0</v>
      </c>
      <c r="H153" s="1143">
        <f t="shared" si="120"/>
        <v>0</v>
      </c>
      <c r="I153" s="1143"/>
      <c r="J153" s="1168"/>
      <c r="K153" s="578"/>
    </row>
    <row r="154" spans="1:11" s="677" customFormat="1" ht="21.95" customHeight="1" x14ac:dyDescent="0.15">
      <c r="A154" s="2688"/>
      <c r="B154" s="2698"/>
      <c r="C154" s="566" t="s">
        <v>1372</v>
      </c>
      <c r="D154" s="1460"/>
      <c r="E154" s="1461"/>
      <c r="F154" s="1143">
        <f t="shared" ref="F154:H155" si="121">F142</f>
        <v>0</v>
      </c>
      <c r="G154" s="1143">
        <f t="shared" si="121"/>
        <v>0</v>
      </c>
      <c r="H154" s="1143">
        <f t="shared" si="121"/>
        <v>0</v>
      </c>
      <c r="I154" s="1143"/>
      <c r="J154" s="1168"/>
      <c r="K154" s="578"/>
    </row>
    <row r="155" spans="1:11" s="677" customFormat="1" ht="21.95" customHeight="1" thickBot="1" x14ac:dyDescent="0.2">
      <c r="A155" s="2688"/>
      <c r="B155" s="2699"/>
      <c r="C155" s="565" t="s">
        <v>1373</v>
      </c>
      <c r="D155" s="1476"/>
      <c r="E155" s="1469"/>
      <c r="F155" s="1173">
        <f t="shared" si="121"/>
        <v>0</v>
      </c>
      <c r="G155" s="1173">
        <f t="shared" si="121"/>
        <v>0</v>
      </c>
      <c r="H155" s="1173">
        <f t="shared" si="121"/>
        <v>0</v>
      </c>
      <c r="I155" s="1173"/>
      <c r="J155" s="1174"/>
      <c r="K155" s="578"/>
    </row>
    <row r="156" spans="1:11" s="675" customFormat="1" ht="50.1" customHeight="1" thickBot="1" x14ac:dyDescent="0.2">
      <c r="A156" s="2689"/>
      <c r="B156" s="2690" t="s">
        <v>12</v>
      </c>
      <c r="C156" s="2691"/>
      <c r="D156" s="1477"/>
      <c r="E156" s="1478"/>
      <c r="F156" s="1181"/>
      <c r="G156" s="1181"/>
      <c r="H156" s="1181"/>
      <c r="I156" s="1181"/>
      <c r="J156" s="1182"/>
      <c r="K156" s="667">
        <v>1</v>
      </c>
    </row>
    <row r="157" spans="1:11" s="681" customFormat="1" ht="19.5" thickTop="1" x14ac:dyDescent="0.15">
      <c r="A157" s="47"/>
      <c r="B157" s="161"/>
      <c r="C157" s="161"/>
      <c r="D157" s="1479"/>
      <c r="E157" s="161"/>
      <c r="F157" s="47"/>
      <c r="G157" s="47"/>
      <c r="H157" s="47"/>
      <c r="I157" s="47"/>
      <c r="J157" s="682"/>
    </row>
    <row r="158" spans="1:11" s="681" customFormat="1" x14ac:dyDescent="0.15">
      <c r="A158" s="47"/>
      <c r="B158" s="161"/>
      <c r="C158" s="161"/>
      <c r="D158" s="1479"/>
      <c r="E158" s="161"/>
      <c r="F158" s="47"/>
      <c r="G158" s="47"/>
      <c r="H158" s="47"/>
      <c r="I158" s="47"/>
      <c r="J158" s="682"/>
    </row>
    <row r="159" spans="1:11" s="681" customFormat="1" x14ac:dyDescent="0.15">
      <c r="A159" s="47"/>
      <c r="B159" s="47"/>
      <c r="C159" s="47"/>
      <c r="D159" s="1479"/>
      <c r="E159" s="161"/>
      <c r="F159" s="47"/>
      <c r="G159" s="47"/>
      <c r="H159" s="47"/>
      <c r="I159" s="47"/>
      <c r="J159" s="682"/>
    </row>
    <row r="160" spans="1:11" s="681" customFormat="1" x14ac:dyDescent="0.15">
      <c r="A160" s="47"/>
      <c r="B160" s="47"/>
      <c r="C160" s="47"/>
      <c r="D160" s="1480"/>
      <c r="E160" s="161"/>
      <c r="F160" s="47"/>
      <c r="G160" s="47"/>
      <c r="H160" s="47"/>
      <c r="I160" s="47"/>
      <c r="J160" s="682"/>
    </row>
    <row r="161" spans="1:10" s="681" customFormat="1" x14ac:dyDescent="0.15">
      <c r="A161" s="47"/>
      <c r="B161" s="47"/>
      <c r="C161" s="47"/>
      <c r="D161" s="1481"/>
      <c r="E161" s="161"/>
      <c r="F161" s="47"/>
      <c r="G161" s="47"/>
      <c r="H161" s="47"/>
      <c r="I161" s="47"/>
      <c r="J161" s="682"/>
    </row>
    <row r="162" spans="1:10" s="681" customFormat="1" x14ac:dyDescent="0.15">
      <c r="A162" s="47"/>
      <c r="B162" s="47"/>
      <c r="C162" s="47"/>
      <c r="D162" s="1481"/>
      <c r="E162" s="161"/>
      <c r="F162" s="47"/>
      <c r="G162" s="47"/>
      <c r="H162" s="47"/>
      <c r="I162" s="47"/>
      <c r="J162" s="682"/>
    </row>
    <row r="163" spans="1:10" s="681" customFormat="1" x14ac:dyDescent="0.15">
      <c r="A163" s="47"/>
      <c r="B163" s="47"/>
      <c r="C163" s="47"/>
      <c r="D163" s="1481"/>
      <c r="E163" s="161"/>
      <c r="F163" s="47"/>
      <c r="G163" s="47"/>
      <c r="H163" s="47"/>
      <c r="I163" s="47"/>
      <c r="J163" s="682"/>
    </row>
    <row r="164" spans="1:10" s="681" customFormat="1" x14ac:dyDescent="0.15">
      <c r="A164" s="47"/>
      <c r="B164" s="47"/>
      <c r="C164" s="47"/>
      <c r="D164" s="1479"/>
      <c r="E164" s="161"/>
      <c r="F164" s="47"/>
      <c r="G164" s="47"/>
      <c r="H164" s="47"/>
      <c r="I164" s="47"/>
      <c r="J164" s="682"/>
    </row>
    <row r="165" spans="1:10" s="681" customFormat="1" x14ac:dyDescent="0.15">
      <c r="A165" s="47"/>
      <c r="B165" s="47"/>
      <c r="C165" s="47"/>
      <c r="D165" s="1479"/>
      <c r="E165" s="161"/>
      <c r="F165" s="47"/>
      <c r="G165" s="47"/>
      <c r="H165" s="47"/>
      <c r="I165" s="47"/>
      <c r="J165" s="682"/>
    </row>
    <row r="166" spans="1:10" s="681" customFormat="1" x14ac:dyDescent="0.15">
      <c r="A166" s="47"/>
      <c r="B166" s="47"/>
      <c r="C166" s="47"/>
      <c r="D166" s="1479"/>
      <c r="E166" s="161"/>
      <c r="F166" s="47"/>
      <c r="G166" s="47"/>
      <c r="H166" s="47"/>
      <c r="I166" s="47"/>
      <c r="J166" s="682"/>
    </row>
    <row r="167" spans="1:10" s="681" customFormat="1" x14ac:dyDescent="0.15">
      <c r="A167" s="47"/>
      <c r="B167" s="47"/>
      <c r="C167" s="47"/>
      <c r="D167" s="1479"/>
      <c r="E167" s="161"/>
      <c r="F167" s="47"/>
      <c r="G167" s="47"/>
      <c r="H167" s="47"/>
      <c r="I167" s="47"/>
      <c r="J167" s="682"/>
    </row>
    <row r="168" spans="1:10" s="681" customFormat="1" x14ac:dyDescent="0.15">
      <c r="A168" s="47"/>
      <c r="B168" s="47"/>
      <c r="C168" s="47"/>
      <c r="D168" s="1479"/>
      <c r="E168" s="161"/>
      <c r="F168" s="47"/>
      <c r="G168" s="47"/>
      <c r="H168" s="47"/>
      <c r="I168" s="47"/>
      <c r="J168" s="682"/>
    </row>
    <row r="169" spans="1:10" x14ac:dyDescent="0.15">
      <c r="A169" s="47"/>
      <c r="B169" s="47"/>
      <c r="C169" s="47"/>
      <c r="E169" s="9"/>
    </row>
    <row r="170" spans="1:10" x14ac:dyDescent="0.15">
      <c r="A170" s="47"/>
      <c r="B170" s="47"/>
      <c r="C170" s="47"/>
      <c r="E170" s="9"/>
    </row>
    <row r="171" spans="1:10" x14ac:dyDescent="0.15">
      <c r="A171" s="47"/>
      <c r="B171" s="47"/>
      <c r="C171" s="47"/>
      <c r="E171" s="9"/>
    </row>
    <row r="172" spans="1:10" x14ac:dyDescent="0.15">
      <c r="A172" s="47"/>
      <c r="B172" s="47"/>
      <c r="C172" s="47"/>
      <c r="E172" s="9"/>
    </row>
    <row r="173" spans="1:10" x14ac:dyDescent="0.15">
      <c r="A173" s="47"/>
      <c r="B173" s="47"/>
      <c r="C173" s="47"/>
      <c r="E173" s="9"/>
    </row>
    <row r="174" spans="1:10" x14ac:dyDescent="0.15">
      <c r="A174" s="47"/>
      <c r="B174" s="47"/>
      <c r="C174" s="47"/>
      <c r="E174" s="9"/>
    </row>
    <row r="175" spans="1:10" x14ac:dyDescent="0.15">
      <c r="A175" s="47"/>
      <c r="B175" s="47"/>
      <c r="C175" s="47"/>
      <c r="E175" s="9"/>
    </row>
    <row r="176" spans="1:10" x14ac:dyDescent="0.15">
      <c r="A176" s="47"/>
      <c r="B176" s="47"/>
      <c r="C176" s="47"/>
      <c r="E176" s="9"/>
    </row>
    <row r="177" spans="1:5" x14ac:dyDescent="0.15">
      <c r="A177" s="47"/>
      <c r="B177" s="47"/>
      <c r="C177" s="47"/>
      <c r="E177" s="9"/>
    </row>
    <row r="178" spans="1:5" x14ac:dyDescent="0.15">
      <c r="A178" s="47"/>
      <c r="B178" s="47"/>
      <c r="C178" s="47"/>
      <c r="E178" s="9"/>
    </row>
    <row r="179" spans="1:5" x14ac:dyDescent="0.15">
      <c r="A179" s="47"/>
      <c r="B179" s="47"/>
      <c r="C179" s="47"/>
      <c r="E179" s="9"/>
    </row>
    <row r="180" spans="1:5" x14ac:dyDescent="0.15">
      <c r="A180" s="47"/>
      <c r="B180" s="47"/>
      <c r="C180" s="47"/>
      <c r="E180" s="9"/>
    </row>
    <row r="181" spans="1:5" x14ac:dyDescent="0.15">
      <c r="A181" s="47"/>
      <c r="B181" s="47"/>
      <c r="C181" s="47"/>
      <c r="E181" s="9"/>
    </row>
    <row r="182" spans="1:5" x14ac:dyDescent="0.15">
      <c r="A182" s="47"/>
      <c r="B182" s="47"/>
      <c r="C182" s="47"/>
      <c r="E182" s="9"/>
    </row>
    <row r="183" spans="1:5" x14ac:dyDescent="0.15">
      <c r="A183" s="47"/>
      <c r="B183" s="47"/>
      <c r="C183" s="47"/>
      <c r="E183" s="9"/>
    </row>
    <row r="184" spans="1:5" x14ac:dyDescent="0.15">
      <c r="A184" s="47"/>
      <c r="B184" s="47"/>
      <c r="C184" s="47"/>
      <c r="E184" s="9"/>
    </row>
    <row r="185" spans="1:5" x14ac:dyDescent="0.15">
      <c r="A185" s="47"/>
      <c r="B185" s="47"/>
      <c r="C185" s="47"/>
      <c r="E185" s="9"/>
    </row>
    <row r="186" spans="1:5" x14ac:dyDescent="0.15">
      <c r="A186" s="47"/>
      <c r="B186" s="47"/>
      <c r="C186" s="47"/>
      <c r="E186" s="9"/>
    </row>
    <row r="187" spans="1:5" x14ac:dyDescent="0.15">
      <c r="A187" s="47"/>
      <c r="B187" s="47"/>
      <c r="C187" s="47"/>
      <c r="E187" s="9"/>
    </row>
    <row r="188" spans="1:5" x14ac:dyDescent="0.15">
      <c r="A188" s="47"/>
      <c r="B188" s="47"/>
      <c r="C188" s="47"/>
      <c r="E188" s="9"/>
    </row>
    <row r="189" spans="1:5" x14ac:dyDescent="0.15">
      <c r="A189" s="47"/>
      <c r="B189" s="47"/>
      <c r="C189" s="47"/>
      <c r="E189" s="9"/>
    </row>
    <row r="190" spans="1:5" x14ac:dyDescent="0.15">
      <c r="A190" s="47"/>
      <c r="B190" s="47"/>
      <c r="C190" s="47"/>
      <c r="E190" s="9"/>
    </row>
    <row r="191" spans="1:5" x14ac:dyDescent="0.15">
      <c r="A191" s="47"/>
      <c r="B191" s="47"/>
      <c r="C191" s="47"/>
      <c r="E191" s="9"/>
    </row>
    <row r="192" spans="1:5" x14ac:dyDescent="0.15">
      <c r="A192" s="47"/>
      <c r="B192" s="47"/>
      <c r="C192" s="47"/>
      <c r="E192" s="9"/>
    </row>
    <row r="193" spans="1:5" x14ac:dyDescent="0.15">
      <c r="A193" s="47"/>
      <c r="B193" s="47"/>
      <c r="C193" s="47"/>
      <c r="E193" s="9"/>
    </row>
    <row r="194" spans="1:5" x14ac:dyDescent="0.15">
      <c r="A194" s="47"/>
      <c r="B194" s="47"/>
      <c r="C194" s="47"/>
      <c r="E194" s="9"/>
    </row>
    <row r="195" spans="1:5" x14ac:dyDescent="0.15">
      <c r="A195" s="47"/>
      <c r="B195" s="47"/>
      <c r="C195" s="47"/>
      <c r="E195" s="9"/>
    </row>
    <row r="196" spans="1:5" x14ac:dyDescent="0.15">
      <c r="A196" s="47"/>
      <c r="B196" s="47"/>
      <c r="C196" s="47"/>
      <c r="E196" s="9"/>
    </row>
    <row r="197" spans="1:5" x14ac:dyDescent="0.15">
      <c r="A197" s="47"/>
      <c r="B197" s="47"/>
      <c r="C197" s="47"/>
      <c r="E197" s="9"/>
    </row>
    <row r="198" spans="1:5" x14ac:dyDescent="0.15">
      <c r="A198" s="47"/>
      <c r="B198" s="47"/>
      <c r="C198" s="47"/>
      <c r="E198" s="9"/>
    </row>
    <row r="199" spans="1:5" x14ac:dyDescent="0.15">
      <c r="A199" s="47"/>
      <c r="B199" s="47"/>
      <c r="C199" s="47"/>
      <c r="E199" s="9"/>
    </row>
    <row r="200" spans="1:5" x14ac:dyDescent="0.15">
      <c r="A200" s="47"/>
      <c r="B200" s="47"/>
      <c r="C200" s="47"/>
      <c r="E200" s="9"/>
    </row>
    <row r="201" spans="1:5" x14ac:dyDescent="0.15">
      <c r="A201" s="47"/>
      <c r="B201" s="47"/>
      <c r="C201" s="47"/>
      <c r="E201" s="9"/>
    </row>
    <row r="202" spans="1:5" x14ac:dyDescent="0.15">
      <c r="A202" s="47"/>
      <c r="B202" s="47"/>
      <c r="C202" s="47"/>
      <c r="E202" s="9"/>
    </row>
    <row r="203" spans="1:5" x14ac:dyDescent="0.15">
      <c r="A203" s="47"/>
      <c r="B203" s="47"/>
      <c r="C203" s="47"/>
      <c r="E203" s="9"/>
    </row>
    <row r="204" spans="1:5" x14ac:dyDescent="0.15">
      <c r="A204" s="47"/>
      <c r="B204" s="47"/>
      <c r="C204" s="47"/>
      <c r="E204" s="9"/>
    </row>
    <row r="205" spans="1:5" x14ac:dyDescent="0.15">
      <c r="A205" s="47"/>
      <c r="B205" s="47"/>
      <c r="C205" s="47"/>
      <c r="E205" s="9"/>
    </row>
    <row r="206" spans="1:5" x14ac:dyDescent="0.15">
      <c r="A206" s="47"/>
      <c r="B206" s="47"/>
      <c r="C206" s="47"/>
      <c r="E206" s="9"/>
    </row>
    <row r="207" spans="1:5" x14ac:dyDescent="0.15">
      <c r="A207" s="47"/>
      <c r="B207" s="47"/>
      <c r="C207" s="47"/>
      <c r="E207" s="9"/>
    </row>
    <row r="208" spans="1:5" x14ac:dyDescent="0.15">
      <c r="A208" s="47"/>
      <c r="B208" s="47"/>
      <c r="C208" s="47"/>
      <c r="E208" s="9"/>
    </row>
    <row r="209" spans="1:5" x14ac:dyDescent="0.15">
      <c r="A209" s="47"/>
      <c r="B209" s="47"/>
      <c r="C209" s="47"/>
      <c r="E209" s="9"/>
    </row>
    <row r="210" spans="1:5" x14ac:dyDescent="0.15">
      <c r="A210" s="47"/>
      <c r="B210" s="47"/>
      <c r="C210" s="47"/>
      <c r="E210" s="9"/>
    </row>
    <row r="211" spans="1:5" x14ac:dyDescent="0.15">
      <c r="A211" s="47"/>
      <c r="B211" s="47"/>
      <c r="C211" s="47"/>
      <c r="E211" s="9"/>
    </row>
    <row r="212" spans="1:5" x14ac:dyDescent="0.15">
      <c r="A212" s="47"/>
      <c r="B212" s="47"/>
      <c r="C212" s="47"/>
      <c r="E212" s="9"/>
    </row>
    <row r="213" spans="1:5" x14ac:dyDescent="0.15">
      <c r="A213" s="47"/>
      <c r="B213" s="47"/>
      <c r="C213" s="47"/>
      <c r="E213" s="9"/>
    </row>
    <row r="214" spans="1:5" x14ac:dyDescent="0.15">
      <c r="A214" s="47"/>
      <c r="B214" s="47"/>
      <c r="C214" s="47"/>
      <c r="E214" s="9"/>
    </row>
    <row r="215" spans="1:5" x14ac:dyDescent="0.15">
      <c r="A215" s="47"/>
      <c r="B215" s="47"/>
      <c r="C215" s="47"/>
      <c r="E215" s="9"/>
    </row>
    <row r="216" spans="1:5" x14ac:dyDescent="0.15">
      <c r="A216" s="47"/>
      <c r="B216" s="47"/>
      <c r="C216" s="47"/>
      <c r="E216" s="9"/>
    </row>
    <row r="217" spans="1:5" x14ac:dyDescent="0.15">
      <c r="A217" s="47"/>
      <c r="B217" s="47"/>
      <c r="C217" s="47"/>
      <c r="E217" s="9"/>
    </row>
    <row r="218" spans="1:5" x14ac:dyDescent="0.15">
      <c r="A218" s="47"/>
      <c r="B218" s="47"/>
      <c r="C218" s="47"/>
      <c r="E218" s="9"/>
    </row>
    <row r="219" spans="1:5" x14ac:dyDescent="0.15">
      <c r="A219" s="47"/>
      <c r="B219" s="47"/>
      <c r="C219" s="47"/>
      <c r="E219" s="9"/>
    </row>
    <row r="220" spans="1:5" x14ac:dyDescent="0.15">
      <c r="A220" s="47"/>
      <c r="B220" s="47"/>
      <c r="C220" s="47"/>
      <c r="E220" s="9"/>
    </row>
    <row r="221" spans="1:5" x14ac:dyDescent="0.15">
      <c r="A221" s="47"/>
      <c r="B221" s="47"/>
      <c r="C221" s="47"/>
      <c r="E221" s="9"/>
    </row>
    <row r="222" spans="1:5" x14ac:dyDescent="0.15">
      <c r="A222" s="47"/>
      <c r="B222" s="47"/>
      <c r="C222" s="47"/>
      <c r="E222" s="9"/>
    </row>
    <row r="223" spans="1:5" x14ac:dyDescent="0.15">
      <c r="A223" s="47"/>
      <c r="B223" s="47"/>
      <c r="C223" s="47"/>
      <c r="E223" s="9"/>
    </row>
    <row r="224" spans="1:5" x14ac:dyDescent="0.15">
      <c r="A224" s="47"/>
      <c r="B224" s="47"/>
      <c r="C224" s="47"/>
      <c r="E224" s="9"/>
    </row>
    <row r="225" spans="1:5" x14ac:dyDescent="0.15">
      <c r="A225" s="47"/>
      <c r="B225" s="47"/>
      <c r="C225" s="47"/>
      <c r="E225" s="9"/>
    </row>
    <row r="226" spans="1:5" x14ac:dyDescent="0.15">
      <c r="A226" s="47"/>
      <c r="B226" s="47"/>
      <c r="C226" s="47"/>
      <c r="E226" s="9"/>
    </row>
    <row r="227" spans="1:5" x14ac:dyDescent="0.15">
      <c r="A227" s="47"/>
      <c r="B227" s="47"/>
      <c r="C227" s="47"/>
      <c r="E227" s="9"/>
    </row>
    <row r="228" spans="1:5" x14ac:dyDescent="0.15">
      <c r="A228" s="47"/>
      <c r="B228" s="47"/>
      <c r="C228" s="47"/>
      <c r="E228" s="9"/>
    </row>
    <row r="229" spans="1:5" x14ac:dyDescent="0.15">
      <c r="A229" s="47"/>
      <c r="B229" s="47"/>
      <c r="C229" s="47"/>
      <c r="E229" s="9"/>
    </row>
    <row r="230" spans="1:5" x14ac:dyDescent="0.15">
      <c r="A230" s="5"/>
      <c r="B230" s="9"/>
      <c r="E230" s="9"/>
    </row>
    <row r="231" spans="1:5" x14ac:dyDescent="0.15">
      <c r="A231" s="5"/>
      <c r="B231" s="9"/>
      <c r="E231" s="9"/>
    </row>
    <row r="232" spans="1:5" x14ac:dyDescent="0.15">
      <c r="A232" s="5"/>
      <c r="B232" s="9"/>
      <c r="E232" s="9"/>
    </row>
    <row r="233" spans="1:5" x14ac:dyDescent="0.15">
      <c r="A233" s="5"/>
      <c r="B233" s="9"/>
      <c r="E233" s="9"/>
    </row>
    <row r="234" spans="1:5" x14ac:dyDescent="0.15">
      <c r="A234" s="5"/>
      <c r="B234" s="9"/>
      <c r="E234" s="9"/>
    </row>
    <row r="235" spans="1:5" x14ac:dyDescent="0.15">
      <c r="A235" s="5"/>
      <c r="B235" s="9"/>
      <c r="E235" s="9"/>
    </row>
    <row r="236" spans="1:5" x14ac:dyDescent="0.15">
      <c r="A236" s="5"/>
      <c r="B236" s="9"/>
      <c r="E236" s="9"/>
    </row>
    <row r="237" spans="1:5" x14ac:dyDescent="0.15">
      <c r="A237" s="5"/>
      <c r="B237" s="9"/>
      <c r="E237" s="9"/>
    </row>
    <row r="238" spans="1:5" x14ac:dyDescent="0.15">
      <c r="A238" s="5"/>
      <c r="B238" s="9"/>
      <c r="E238" s="9"/>
    </row>
    <row r="239" spans="1:5" x14ac:dyDescent="0.15">
      <c r="A239" s="5"/>
      <c r="B239" s="9"/>
      <c r="E239" s="9"/>
    </row>
    <row r="240" spans="1:5" x14ac:dyDescent="0.15">
      <c r="A240" s="5"/>
      <c r="B240" s="9"/>
      <c r="E240" s="9"/>
    </row>
    <row r="241" spans="1:5" x14ac:dyDescent="0.15">
      <c r="A241" s="5"/>
      <c r="B241" s="9"/>
      <c r="E241" s="9"/>
    </row>
    <row r="242" spans="1:5" x14ac:dyDescent="0.15">
      <c r="A242" s="5"/>
      <c r="B242" s="9"/>
      <c r="E242" s="9"/>
    </row>
    <row r="243" spans="1:5" x14ac:dyDescent="0.15">
      <c r="A243" s="5"/>
      <c r="B243" s="9"/>
      <c r="E243" s="9"/>
    </row>
    <row r="244" spans="1:5" x14ac:dyDescent="0.15">
      <c r="A244" s="5"/>
      <c r="B244" s="9"/>
      <c r="E244" s="9"/>
    </row>
    <row r="245" spans="1:5" x14ac:dyDescent="0.15">
      <c r="A245" s="5"/>
      <c r="B245" s="9"/>
      <c r="E245" s="9"/>
    </row>
    <row r="246" spans="1:5" x14ac:dyDescent="0.15">
      <c r="A246" s="5"/>
      <c r="B246" s="9"/>
      <c r="E246" s="9"/>
    </row>
    <row r="247" spans="1:5" x14ac:dyDescent="0.15">
      <c r="A247" s="5"/>
      <c r="B247" s="9"/>
      <c r="E247" s="9"/>
    </row>
    <row r="248" spans="1:5" x14ac:dyDescent="0.15">
      <c r="A248" s="5"/>
      <c r="B248" s="9"/>
      <c r="E248" s="9"/>
    </row>
    <row r="249" spans="1:5" x14ac:dyDescent="0.15">
      <c r="A249" s="5"/>
      <c r="B249" s="9"/>
      <c r="E249" s="9"/>
    </row>
    <row r="250" spans="1:5" x14ac:dyDescent="0.15">
      <c r="A250" s="5"/>
      <c r="B250" s="9"/>
      <c r="E250" s="9"/>
    </row>
    <row r="251" spans="1:5" x14ac:dyDescent="0.15">
      <c r="A251" s="5"/>
      <c r="B251" s="9"/>
      <c r="E251" s="9"/>
    </row>
    <row r="252" spans="1:5" x14ac:dyDescent="0.15">
      <c r="A252" s="5"/>
      <c r="B252" s="9"/>
      <c r="E252" s="9"/>
    </row>
    <row r="253" spans="1:5" x14ac:dyDescent="0.15">
      <c r="A253" s="5"/>
      <c r="B253" s="9"/>
      <c r="E253" s="9"/>
    </row>
    <row r="254" spans="1:5" x14ac:dyDescent="0.15">
      <c r="A254" s="5"/>
      <c r="B254" s="9"/>
      <c r="E254" s="9"/>
    </row>
    <row r="255" spans="1:5" x14ac:dyDescent="0.15">
      <c r="A255" s="5"/>
      <c r="B255" s="9"/>
      <c r="E255" s="9"/>
    </row>
    <row r="256" spans="1:5" x14ac:dyDescent="0.15">
      <c r="A256" s="5"/>
      <c r="B256" s="9"/>
      <c r="E256" s="9"/>
    </row>
    <row r="257" spans="1:5" x14ac:dyDescent="0.15">
      <c r="A257" s="5"/>
      <c r="B257" s="9"/>
      <c r="E257" s="9"/>
    </row>
    <row r="258" spans="1:5" x14ac:dyDescent="0.15">
      <c r="A258" s="5"/>
      <c r="B258" s="9"/>
      <c r="E258" s="9"/>
    </row>
    <row r="259" spans="1:5" x14ac:dyDescent="0.15">
      <c r="A259" s="5"/>
      <c r="B259" s="9"/>
      <c r="E259" s="9"/>
    </row>
    <row r="260" spans="1:5" x14ac:dyDescent="0.15">
      <c r="A260" s="5"/>
      <c r="B260" s="9"/>
      <c r="E260" s="9"/>
    </row>
    <row r="261" spans="1:5" x14ac:dyDescent="0.15">
      <c r="A261" s="5"/>
      <c r="B261" s="9"/>
      <c r="E261" s="9"/>
    </row>
    <row r="262" spans="1:5" x14ac:dyDescent="0.15">
      <c r="A262" s="5"/>
      <c r="B262" s="9"/>
      <c r="E262" s="9"/>
    </row>
    <row r="263" spans="1:5" x14ac:dyDescent="0.15">
      <c r="A263" s="5"/>
      <c r="B263" s="9"/>
      <c r="E263" s="9"/>
    </row>
    <row r="264" spans="1:5" x14ac:dyDescent="0.15">
      <c r="A264" s="5"/>
      <c r="B264" s="9"/>
      <c r="E264" s="9"/>
    </row>
    <row r="265" spans="1:5" x14ac:dyDescent="0.15">
      <c r="A265" s="5"/>
      <c r="B265" s="9"/>
      <c r="E265" s="9"/>
    </row>
    <row r="266" spans="1:5" x14ac:dyDescent="0.15">
      <c r="A266" s="5"/>
      <c r="B266" s="9"/>
      <c r="E266" s="9"/>
    </row>
    <row r="267" spans="1:5" x14ac:dyDescent="0.15">
      <c r="A267" s="5"/>
      <c r="B267" s="9"/>
      <c r="E267" s="9"/>
    </row>
    <row r="268" spans="1:5" x14ac:dyDescent="0.15">
      <c r="A268" s="5"/>
      <c r="B268" s="9"/>
      <c r="E268" s="9"/>
    </row>
    <row r="269" spans="1:5" x14ac:dyDescent="0.15">
      <c r="A269" s="5"/>
      <c r="B269" s="9"/>
      <c r="E269" s="9"/>
    </row>
    <row r="270" spans="1:5" x14ac:dyDescent="0.15">
      <c r="A270" s="5"/>
      <c r="B270" s="9"/>
      <c r="E270" s="9"/>
    </row>
  </sheetData>
  <autoFilter ref="K1:K270"/>
  <mergeCells count="28">
    <mergeCell ref="B89:B93"/>
    <mergeCell ref="B2:C2"/>
    <mergeCell ref="B5:C5"/>
    <mergeCell ref="B6:C6"/>
    <mergeCell ref="B8:B11"/>
    <mergeCell ref="B56:B59"/>
    <mergeCell ref="B66:B67"/>
    <mergeCell ref="B24:B43"/>
    <mergeCell ref="B68:B77"/>
    <mergeCell ref="B3:B4"/>
    <mergeCell ref="B7:C7"/>
    <mergeCell ref="B44:B49"/>
    <mergeCell ref="A1:A156"/>
    <mergeCell ref="B156:C156"/>
    <mergeCell ref="B16:B23"/>
    <mergeCell ref="B94:B98"/>
    <mergeCell ref="B60:B65"/>
    <mergeCell ref="B108:B114"/>
    <mergeCell ref="B115:B121"/>
    <mergeCell ref="B12:B15"/>
    <mergeCell ref="B50:B55"/>
    <mergeCell ref="B99:B102"/>
    <mergeCell ref="B144:B155"/>
    <mergeCell ref="B78:B88"/>
    <mergeCell ref="B103:B107"/>
    <mergeCell ref="B1:C1"/>
    <mergeCell ref="B122:B124"/>
    <mergeCell ref="B125:B143"/>
  </mergeCells>
  <phoneticPr fontId="140" type="noConversion"/>
  <conditionalFormatting sqref="F24:I24">
    <cfRule type="expression" dxfId="70" priority="32">
      <formula>F24&gt;F$2</formula>
    </cfRule>
  </conditionalFormatting>
  <conditionalFormatting sqref="F44:I44 F50:I50 F78:I78 F89:I89">
    <cfRule type="expression" dxfId="69" priority="42">
      <formula>F44&gt;F$2</formula>
    </cfRule>
  </conditionalFormatting>
  <conditionalFormatting sqref="F103:I103">
    <cfRule type="expression" dxfId="68" priority="35">
      <formula>F103&gt;F$2</formula>
    </cfRule>
  </conditionalFormatting>
  <hyperlinks>
    <hyperlink ref="B1" location="PAINEL!A1" display="VIAS"/>
  </hyperlinks>
  <printOptions horizontalCentered="1"/>
  <pageMargins left="0.39370078740157483" right="0.39370078740157483" top="0.55118110236220474" bottom="0.70866141732283472" header="0.23622047244094491" footer="0.23622047244094491"/>
  <pageSetup paperSize="8" scale="80" fitToWidth="4" orientation="portrait" r:id="rId1"/>
  <headerFooter>
    <oddFooter>&amp;L&amp;"Arial,Normal"&amp;8&amp;F&amp;C&amp;"Arial,Normal"&amp;8&amp;P / &amp;N&amp;R&amp;"Cambria,Regular"&amp;8Ricardo Schettini Figueiredo&amp;10
&amp;8Eng. Civil - CREA-RJ 52.656/D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32">
    <tabColor theme="8" tint="0.59999389629810485"/>
  </sheetPr>
  <dimension ref="A1:T149"/>
  <sheetViews>
    <sheetView showZeros="0" zoomScaleNormal="100" workbookViewId="0">
      <pane xSplit="6" ySplit="1" topLeftCell="G2" activePane="bottomRight" state="frozenSplit"/>
      <selection activeCell="F2" sqref="F2"/>
      <selection pane="topRight" activeCell="F2" sqref="F2"/>
      <selection pane="bottomLeft" activeCell="F2" sqref="F2"/>
      <selection pane="bottomRight" activeCell="F2" sqref="F2"/>
    </sheetView>
  </sheetViews>
  <sheetFormatPr defaultColWidth="9" defaultRowHeight="18.75" x14ac:dyDescent="0.15"/>
  <cols>
    <col min="1" max="1" width="11.625" style="5" customWidth="1"/>
    <col min="2" max="2" width="8.625" style="9" customWidth="1"/>
    <col min="3" max="3" width="14.625" style="9" customWidth="1"/>
    <col min="4" max="4" width="35.625" style="9" customWidth="1"/>
    <col min="5" max="5" width="4.75" style="981" hidden="1" customWidth="1"/>
    <col min="6" max="6" width="10.625" style="9" hidden="1" customWidth="1"/>
    <col min="7" max="9" width="12.625" style="5" customWidth="1"/>
    <col min="10" max="10" width="12.625" style="5" hidden="1" customWidth="1"/>
    <col min="11" max="11" width="12.625" style="417" customWidth="1"/>
    <col min="12" max="12" width="18" style="5" customWidth="1"/>
    <col min="13" max="13" width="9" style="670"/>
    <col min="14" max="16384" width="9" style="5"/>
  </cols>
  <sheetData>
    <row r="1" spans="1:13" s="10" customFormat="1" ht="60" customHeight="1" thickTop="1" thickBot="1" x14ac:dyDescent="0.2">
      <c r="A1" s="2512" t="s">
        <v>1412</v>
      </c>
      <c r="B1" s="2708" t="s">
        <v>348</v>
      </c>
      <c r="C1" s="2709"/>
      <c r="D1" s="2710"/>
      <c r="E1" s="1729"/>
      <c r="F1" s="1730" t="s">
        <v>588</v>
      </c>
      <c r="G1" s="212" t="str">
        <f>Recap_Previo!F1</f>
        <v>Rua Peróba</v>
      </c>
      <c r="H1" s="212" t="str">
        <f>Recap_Previo!G1</f>
        <v>Rua Imbuia</v>
      </c>
      <c r="I1" s="212" t="str">
        <f>Recap_Previo!H1</f>
        <v>Rua Buriti</v>
      </c>
      <c r="J1" s="212"/>
      <c r="K1" s="214" t="s">
        <v>0</v>
      </c>
      <c r="L1" s="577" t="s">
        <v>1355</v>
      </c>
      <c r="M1" s="670"/>
    </row>
    <row r="2" spans="1:13" ht="21.95" customHeight="1" thickTop="1" thickBot="1" x14ac:dyDescent="0.2">
      <c r="A2" s="2513"/>
      <c r="B2" s="2711" t="s">
        <v>44</v>
      </c>
      <c r="C2" s="2712"/>
      <c r="D2" s="2713"/>
      <c r="E2" s="1483"/>
      <c r="F2" s="501"/>
      <c r="G2" s="1163">
        <f>Recap_Previo!F2</f>
        <v>0</v>
      </c>
      <c r="H2" s="1163">
        <f>Recap_Previo!G2</f>
        <v>0</v>
      </c>
      <c r="I2" s="1163">
        <f>Recap_Previo!H2</f>
        <v>0</v>
      </c>
      <c r="J2" s="1163"/>
      <c r="K2" s="1131">
        <f>ROUND(SUM(G2:J2),2)</f>
        <v>0</v>
      </c>
      <c r="L2" s="578">
        <f t="shared" ref="L2:L8" si="0">SUM(G2:K2)</f>
        <v>0</v>
      </c>
    </row>
    <row r="3" spans="1:13" ht="21.95" customHeight="1" thickBot="1" x14ac:dyDescent="0.2">
      <c r="A3" s="2513"/>
      <c r="B3" s="2714" t="s">
        <v>623</v>
      </c>
      <c r="C3" s="2715"/>
      <c r="D3" s="2716"/>
      <c r="E3" s="1484"/>
      <c r="F3" s="500"/>
      <c r="G3" s="1141">
        <f>Recap_Previo!F5</f>
        <v>7.4404444444444433</v>
      </c>
      <c r="H3" s="1141">
        <f>Recap_Previo!G5</f>
        <v>6.6664772727272732</v>
      </c>
      <c r="I3" s="1141">
        <f>Recap_Previo!H5</f>
        <v>6.5467692307692307</v>
      </c>
      <c r="J3" s="1141"/>
      <c r="K3" s="1199"/>
      <c r="L3" s="578">
        <f t="shared" si="0"/>
        <v>20.653690947940945</v>
      </c>
    </row>
    <row r="4" spans="1:13" ht="21.95" customHeight="1" thickBot="1" x14ac:dyDescent="0.2">
      <c r="A4" s="2513"/>
      <c r="B4" s="2717" t="s">
        <v>622</v>
      </c>
      <c r="C4" s="2718"/>
      <c r="D4" s="2719"/>
      <c r="E4" s="1484"/>
      <c r="F4" s="500"/>
      <c r="G4" s="1165">
        <f>Recap_Previo!F6</f>
        <v>0</v>
      </c>
      <c r="H4" s="1165">
        <f>Recap_Previo!G6</f>
        <v>0</v>
      </c>
      <c r="I4" s="1165">
        <f>Recap_Previo!H6</f>
        <v>0</v>
      </c>
      <c r="J4" s="1165"/>
      <c r="K4" s="1142">
        <f>ROUND(SUM(G4:J4),2)</f>
        <v>0</v>
      </c>
      <c r="L4" s="578">
        <f t="shared" si="0"/>
        <v>0</v>
      </c>
    </row>
    <row r="5" spans="1:13" ht="21.95" customHeight="1" x14ac:dyDescent="0.15">
      <c r="A5" s="2513"/>
      <c r="B5" s="2727" t="s">
        <v>173</v>
      </c>
      <c r="C5" s="2674"/>
      <c r="D5" s="541" t="s">
        <v>3</v>
      </c>
      <c r="E5" s="1470"/>
      <c r="F5" s="1472"/>
      <c r="G5" s="1202">
        <f t="shared" ref="G5:I6" si="1">G2</f>
        <v>0</v>
      </c>
      <c r="H5" s="1202">
        <f t="shared" si="1"/>
        <v>0</v>
      </c>
      <c r="I5" s="1202">
        <f t="shared" si="1"/>
        <v>0</v>
      </c>
      <c r="J5" s="1202"/>
      <c r="K5" s="1148">
        <f>ROUND(SUM(G5:J5),2)</f>
        <v>0</v>
      </c>
      <c r="L5" s="578">
        <f t="shared" si="0"/>
        <v>0</v>
      </c>
    </row>
    <row r="6" spans="1:13" ht="21.95" customHeight="1" x14ac:dyDescent="0.15">
      <c r="A6" s="2513"/>
      <c r="B6" s="2516"/>
      <c r="C6" s="2676"/>
      <c r="D6" s="542" t="s">
        <v>164</v>
      </c>
      <c r="E6" s="1475"/>
      <c r="F6" s="1462"/>
      <c r="G6" s="1201">
        <f t="shared" si="1"/>
        <v>7.4404444444444433</v>
      </c>
      <c r="H6" s="1201">
        <f t="shared" si="1"/>
        <v>6.6664772727272732</v>
      </c>
      <c r="I6" s="1201">
        <f t="shared" si="1"/>
        <v>6.5467692307692307</v>
      </c>
      <c r="J6" s="1201"/>
      <c r="K6" s="1148"/>
      <c r="L6" s="578">
        <f t="shared" si="0"/>
        <v>20.653690947940945</v>
      </c>
    </row>
    <row r="7" spans="1:13" ht="21.95" customHeight="1" x14ac:dyDescent="0.15">
      <c r="A7" s="2513"/>
      <c r="B7" s="2516"/>
      <c r="C7" s="2676"/>
      <c r="D7" s="1189" t="s">
        <v>1286</v>
      </c>
      <c r="E7" s="1485"/>
      <c r="F7" s="1500" t="s">
        <v>2003</v>
      </c>
      <c r="G7" s="1208">
        <v>3</v>
      </c>
      <c r="H7" s="1208">
        <v>3</v>
      </c>
      <c r="I7" s="1208">
        <v>3</v>
      </c>
      <c r="J7" s="1208"/>
      <c r="K7" s="1198"/>
      <c r="L7" s="1186">
        <f t="shared" si="0"/>
        <v>9</v>
      </c>
      <c r="M7" s="1209"/>
    </row>
    <row r="8" spans="1:13" ht="21.95" customHeight="1" x14ac:dyDescent="0.15">
      <c r="A8" s="2513"/>
      <c r="B8" s="2516"/>
      <c r="C8" s="2676"/>
      <c r="D8" s="542" t="s">
        <v>29</v>
      </c>
      <c r="E8" s="1475"/>
      <c r="F8" s="1462"/>
      <c r="G8" s="1138">
        <f t="shared" ref="G8:I8" si="2">G4</f>
        <v>0</v>
      </c>
      <c r="H8" s="1138">
        <f t="shared" si="2"/>
        <v>0</v>
      </c>
      <c r="I8" s="1138">
        <f t="shared" si="2"/>
        <v>0</v>
      </c>
      <c r="J8" s="1138"/>
      <c r="K8" s="1148">
        <f>ROUND(SUM(G8:J8),2)</f>
        <v>0</v>
      </c>
      <c r="L8" s="578">
        <f t="shared" si="0"/>
        <v>0</v>
      </c>
    </row>
    <row r="9" spans="1:13" ht="21.95" customHeight="1" x14ac:dyDescent="0.15">
      <c r="A9" s="2513"/>
      <c r="B9" s="2516"/>
      <c r="C9" s="2676"/>
      <c r="D9" s="2746" t="s">
        <v>1284</v>
      </c>
      <c r="E9" s="2747"/>
      <c r="F9" s="2748"/>
      <c r="G9" s="1082" t="str">
        <f t="shared" ref="G9:I9" si="3">IF(COUNTA(G10:G17)&gt;1,"erro","ok")</f>
        <v>ok</v>
      </c>
      <c r="H9" s="1082" t="str">
        <f t="shared" si="3"/>
        <v>ok</v>
      </c>
      <c r="I9" s="1082" t="str">
        <f t="shared" si="3"/>
        <v>ok</v>
      </c>
      <c r="J9" s="1082"/>
      <c r="K9" s="1022"/>
      <c r="L9" s="579"/>
    </row>
    <row r="10" spans="1:13" ht="21.95" customHeight="1" x14ac:dyDescent="0.15">
      <c r="A10" s="2513"/>
      <c r="B10" s="2516"/>
      <c r="C10" s="2676"/>
      <c r="D10" s="542" t="s">
        <v>725</v>
      </c>
      <c r="E10" s="1475"/>
      <c r="F10" s="1462"/>
      <c r="G10" s="1021"/>
      <c r="H10" s="1021"/>
      <c r="I10" s="1021"/>
      <c r="J10" s="1021"/>
      <c r="K10" s="493"/>
      <c r="L10" s="1016">
        <f t="shared" ref="L10:L17" si="4">COUNTA(G10:J10)-COUNTIF(G10:J10,0)</f>
        <v>0</v>
      </c>
    </row>
    <row r="11" spans="1:13" ht="21.95" customHeight="1" x14ac:dyDescent="0.15">
      <c r="A11" s="2513"/>
      <c r="B11" s="2516"/>
      <c r="C11" s="2676"/>
      <c r="D11" s="542" t="s">
        <v>713</v>
      </c>
      <c r="E11" s="1475"/>
      <c r="F11" s="1462"/>
      <c r="G11" s="1021"/>
      <c r="H11" s="1021"/>
      <c r="I11" s="1021"/>
      <c r="J11" s="1021"/>
      <c r="K11" s="588"/>
      <c r="L11" s="1016">
        <f t="shared" si="4"/>
        <v>0</v>
      </c>
    </row>
    <row r="12" spans="1:13" ht="21.95" customHeight="1" x14ac:dyDescent="0.15">
      <c r="A12" s="2513"/>
      <c r="B12" s="2516"/>
      <c r="C12" s="2676"/>
      <c r="D12" s="542" t="s">
        <v>714</v>
      </c>
      <c r="E12" s="1475"/>
      <c r="F12" s="1462"/>
      <c r="G12" s="1021"/>
      <c r="H12" s="1021"/>
      <c r="I12" s="1021"/>
      <c r="J12" s="1021"/>
      <c r="K12" s="588"/>
      <c r="L12" s="1016">
        <f t="shared" si="4"/>
        <v>0</v>
      </c>
    </row>
    <row r="13" spans="1:13" ht="21.95" customHeight="1" x14ac:dyDescent="0.15">
      <c r="A13" s="2513"/>
      <c r="B13" s="2516"/>
      <c r="C13" s="2676"/>
      <c r="D13" s="542" t="s">
        <v>353</v>
      </c>
      <c r="E13" s="1475"/>
      <c r="F13" s="1462"/>
      <c r="G13" s="1021"/>
      <c r="H13" s="1021"/>
      <c r="I13" s="1021"/>
      <c r="J13" s="1021"/>
      <c r="K13" s="588"/>
      <c r="L13" s="1016">
        <f t="shared" si="4"/>
        <v>0</v>
      </c>
    </row>
    <row r="14" spans="1:13" ht="21.95" customHeight="1" x14ac:dyDescent="0.15">
      <c r="A14" s="2513"/>
      <c r="B14" s="2516"/>
      <c r="C14" s="2676"/>
      <c r="D14" s="542" t="s">
        <v>1282</v>
      </c>
      <c r="E14" s="1475"/>
      <c r="F14" s="1462"/>
      <c r="G14" s="1021" t="s">
        <v>312</v>
      </c>
      <c r="H14" s="1021" t="s">
        <v>312</v>
      </c>
      <c r="I14" s="1021" t="s">
        <v>312</v>
      </c>
      <c r="J14" s="1021"/>
      <c r="K14" s="588"/>
      <c r="L14" s="1016">
        <f t="shared" si="4"/>
        <v>3</v>
      </c>
    </row>
    <row r="15" spans="1:13" ht="21.95" customHeight="1" x14ac:dyDescent="0.15">
      <c r="A15" s="2513"/>
      <c r="B15" s="2516"/>
      <c r="C15" s="2676"/>
      <c r="D15" s="542" t="s">
        <v>686</v>
      </c>
      <c r="E15" s="1475"/>
      <c r="F15" s="1462"/>
      <c r="G15" s="1021"/>
      <c r="H15" s="1021"/>
      <c r="I15" s="1021"/>
      <c r="J15" s="1021"/>
      <c r="K15" s="797"/>
      <c r="L15" s="1016">
        <f t="shared" si="4"/>
        <v>0</v>
      </c>
    </row>
    <row r="16" spans="1:13" ht="21.95" customHeight="1" x14ac:dyDescent="0.15">
      <c r="A16" s="2513"/>
      <c r="B16" s="2516"/>
      <c r="C16" s="2676"/>
      <c r="D16" s="542" t="s">
        <v>1283</v>
      </c>
      <c r="E16" s="1475"/>
      <c r="F16" s="1462"/>
      <c r="G16" s="1021"/>
      <c r="H16" s="1021"/>
      <c r="I16" s="1021"/>
      <c r="J16" s="1021"/>
      <c r="K16" s="588"/>
      <c r="L16" s="1016">
        <f t="shared" si="4"/>
        <v>0</v>
      </c>
    </row>
    <row r="17" spans="1:13" ht="21.95" customHeight="1" thickBot="1" x14ac:dyDescent="0.2">
      <c r="A17" s="2513"/>
      <c r="B17" s="2728"/>
      <c r="C17" s="2675"/>
      <c r="D17" s="545" t="s">
        <v>729</v>
      </c>
      <c r="E17" s="1476"/>
      <c r="F17" s="1473"/>
      <c r="G17" s="1731"/>
      <c r="H17" s="1731"/>
      <c r="I17" s="1731"/>
      <c r="J17" s="1731"/>
      <c r="K17" s="1732"/>
      <c r="L17" s="1016">
        <f t="shared" si="4"/>
        <v>0</v>
      </c>
    </row>
    <row r="18" spans="1:13" ht="21.95" customHeight="1" x14ac:dyDescent="0.15">
      <c r="A18" s="2513"/>
      <c r="B18" s="2727" t="s">
        <v>2009</v>
      </c>
      <c r="C18" s="2674"/>
      <c r="D18" s="543" t="s">
        <v>1282</v>
      </c>
      <c r="E18" s="1475"/>
      <c r="F18" s="2754" t="s">
        <v>2014</v>
      </c>
      <c r="G18" s="1021"/>
      <c r="H18" s="1021"/>
      <c r="I18" s="1021"/>
      <c r="J18" s="1021"/>
      <c r="K18" s="588"/>
      <c r="L18" s="1016"/>
    </row>
    <row r="19" spans="1:13" ht="21.95" customHeight="1" x14ac:dyDescent="0.15">
      <c r="A19" s="2513"/>
      <c r="B19" s="2516"/>
      <c r="C19" s="2676"/>
      <c r="D19" s="542" t="s">
        <v>686</v>
      </c>
      <c r="E19" s="1475"/>
      <c r="F19" s="2755"/>
      <c r="G19" s="1021"/>
      <c r="H19" s="1021"/>
      <c r="I19" s="1021"/>
      <c r="J19" s="1021"/>
      <c r="K19" s="588"/>
      <c r="L19" s="1016"/>
    </row>
    <row r="20" spans="1:13" ht="21.95" customHeight="1" x14ac:dyDescent="0.15">
      <c r="A20" s="2513"/>
      <c r="B20" s="2516"/>
      <c r="C20" s="2676"/>
      <c r="D20" s="542" t="s">
        <v>907</v>
      </c>
      <c r="E20" s="1475"/>
      <c r="F20" s="2755"/>
      <c r="G20" s="1021"/>
      <c r="H20" s="1021"/>
      <c r="I20" s="1021"/>
      <c r="J20" s="1021"/>
      <c r="K20" s="588"/>
      <c r="L20" s="1016"/>
    </row>
    <row r="21" spans="1:13" ht="21.95" customHeight="1" thickBot="1" x14ac:dyDescent="0.2">
      <c r="A21" s="2513"/>
      <c r="B21" s="2728"/>
      <c r="C21" s="2675"/>
      <c r="D21" s="1070" t="s">
        <v>729</v>
      </c>
      <c r="E21" s="1475"/>
      <c r="F21" s="2756"/>
      <c r="G21" s="1021"/>
      <c r="H21" s="1021"/>
      <c r="I21" s="1021"/>
      <c r="J21" s="1021"/>
      <c r="K21" s="588"/>
      <c r="L21" s="1016"/>
    </row>
    <row r="22" spans="1:13" s="6" customFormat="1" ht="21.95" customHeight="1" x14ac:dyDescent="0.15">
      <c r="A22" s="2513"/>
      <c r="B22" s="2727" t="s">
        <v>1271</v>
      </c>
      <c r="C22" s="2674"/>
      <c r="D22" s="541" t="s">
        <v>3</v>
      </c>
      <c r="E22" s="1470"/>
      <c r="F22" s="2751" t="s">
        <v>2004</v>
      </c>
      <c r="G22" s="1136"/>
      <c r="H22" s="1136"/>
      <c r="I22" s="1136"/>
      <c r="J22" s="1136"/>
      <c r="K22" s="1200">
        <f>SUM(G22:J22)</f>
        <v>0</v>
      </c>
      <c r="L22" s="578">
        <f>SUM(G22:K22)</f>
        <v>0</v>
      </c>
      <c r="M22" s="670"/>
    </row>
    <row r="23" spans="1:13" s="6" customFormat="1" ht="21.95" customHeight="1" x14ac:dyDescent="0.15">
      <c r="A23" s="2513"/>
      <c r="B23" s="2516"/>
      <c r="C23" s="2676"/>
      <c r="D23" s="542" t="s">
        <v>164</v>
      </c>
      <c r="E23" s="1475"/>
      <c r="F23" s="2752"/>
      <c r="G23" s="1138">
        <f>Recap_Previo!F45</f>
        <v>0</v>
      </c>
      <c r="H23" s="1138">
        <f>Recap_Previo!G45</f>
        <v>0</v>
      </c>
      <c r="I23" s="1138">
        <f>Recap_Previo!H45</f>
        <v>0</v>
      </c>
      <c r="J23" s="1138"/>
      <c r="K23" s="1148"/>
      <c r="L23" s="578">
        <f>SUM(G23:K23)</f>
        <v>0</v>
      </c>
      <c r="M23" s="670"/>
    </row>
    <row r="24" spans="1:13" s="6" customFormat="1" ht="21.95" customHeight="1" x14ac:dyDescent="0.15">
      <c r="A24" s="2513"/>
      <c r="B24" s="2516"/>
      <c r="C24" s="2676"/>
      <c r="D24" s="542" t="s">
        <v>29</v>
      </c>
      <c r="E24" s="1475"/>
      <c r="F24" s="2752"/>
      <c r="G24" s="1138">
        <f t="shared" ref="G24:I24" si="5">G23*G22</f>
        <v>0</v>
      </c>
      <c r="H24" s="1138">
        <f t="shared" si="5"/>
        <v>0</v>
      </c>
      <c r="I24" s="1138">
        <f t="shared" si="5"/>
        <v>0</v>
      </c>
      <c r="J24" s="1138"/>
      <c r="K24" s="1148">
        <f>SUM(G24:J24)</f>
        <v>0</v>
      </c>
      <c r="L24" s="578">
        <f>SUM(G24:K24)</f>
        <v>0</v>
      </c>
      <c r="M24" s="670"/>
    </row>
    <row r="25" spans="1:13" s="6" customFormat="1" ht="21.95" customHeight="1" x14ac:dyDescent="0.15">
      <c r="A25" s="2513"/>
      <c r="B25" s="2516"/>
      <c r="C25" s="2676"/>
      <c r="D25" s="1189" t="s">
        <v>2005</v>
      </c>
      <c r="E25" s="1475"/>
      <c r="F25" s="2752"/>
      <c r="G25" s="1138">
        <f>Recap_Previo!F46</f>
        <v>0</v>
      </c>
      <c r="H25" s="1138">
        <f>Recap_Previo!G46</f>
        <v>0</v>
      </c>
      <c r="I25" s="1138">
        <f>Recap_Previo!H46</f>
        <v>0</v>
      </c>
      <c r="J25" s="1138"/>
      <c r="K25" s="1148"/>
      <c r="L25" s="578">
        <f>SUM(G25:K25)</f>
        <v>0</v>
      </c>
      <c r="M25" s="670"/>
    </row>
    <row r="26" spans="1:13" s="1210" customFormat="1" ht="21.95" customHeight="1" x14ac:dyDescent="0.15">
      <c r="A26" s="2513"/>
      <c r="B26" s="2516"/>
      <c r="C26" s="2676"/>
      <c r="D26" s="1189" t="s">
        <v>2011</v>
      </c>
      <c r="E26" s="1485"/>
      <c r="F26" s="2749" t="s">
        <v>2006</v>
      </c>
      <c r="G26" s="1208"/>
      <c r="H26" s="1208"/>
      <c r="I26" s="1208"/>
      <c r="J26" s="1208"/>
      <c r="K26" s="1198"/>
      <c r="L26" s="578">
        <f>SUM(G26:K26)</f>
        <v>0</v>
      </c>
      <c r="M26" s="1209"/>
    </row>
    <row r="27" spans="1:13" s="6" customFormat="1" ht="21.95" customHeight="1" thickBot="1" x14ac:dyDescent="0.2">
      <c r="A27" s="2513"/>
      <c r="B27" s="2516"/>
      <c r="C27" s="2676"/>
      <c r="D27" s="542" t="s">
        <v>1281</v>
      </c>
      <c r="E27" s="1475"/>
      <c r="F27" s="2749"/>
      <c r="G27" s="1021"/>
      <c r="H27" s="1021"/>
      <c r="I27" s="1021"/>
      <c r="J27" s="1021"/>
      <c r="K27" s="493"/>
      <c r="L27" s="1016">
        <f>COUNTA(G27:J27)-COUNTIF(G27:J27,0)</f>
        <v>0</v>
      </c>
      <c r="M27" s="670"/>
    </row>
    <row r="28" spans="1:13" s="6" customFormat="1" ht="21.95" customHeight="1" x14ac:dyDescent="0.15">
      <c r="A28" s="2513"/>
      <c r="B28" s="2727" t="s">
        <v>1302</v>
      </c>
      <c r="C28" s="2757"/>
      <c r="D28" s="541" t="s">
        <v>3</v>
      </c>
      <c r="E28" s="1470"/>
      <c r="F28" s="2751" t="s">
        <v>2008</v>
      </c>
      <c r="G28" s="1136">
        <f>IF(Recap_Previo!F55="S",Recap_Previo!F50,0)</f>
        <v>0</v>
      </c>
      <c r="H28" s="1136">
        <f>IF(Recap_Previo!G55="S",Recap_Previo!G50,0)</f>
        <v>0</v>
      </c>
      <c r="I28" s="1136">
        <f>IF(Recap_Previo!H55="S",Recap_Previo!H50,0)</f>
        <v>0</v>
      </c>
      <c r="J28" s="1136"/>
      <c r="K28" s="1200">
        <f>SUM(G28:J28)</f>
        <v>0</v>
      </c>
      <c r="L28" s="578">
        <f>SUM(G28:K28)</f>
        <v>0</v>
      </c>
      <c r="M28" s="670"/>
    </row>
    <row r="29" spans="1:13" s="6" customFormat="1" ht="21.95" customHeight="1" x14ac:dyDescent="0.15">
      <c r="A29" s="2513"/>
      <c r="B29" s="2516"/>
      <c r="C29" s="2758"/>
      <c r="D29" s="542" t="s">
        <v>164</v>
      </c>
      <c r="E29" s="1475"/>
      <c r="F29" s="2752"/>
      <c r="G29" s="1138">
        <f>IF(G28=0,0,Recap_Previo!F51)</f>
        <v>0</v>
      </c>
      <c r="H29" s="1138">
        <f>IF(H28=0,0,Recap_Previo!G51)</f>
        <v>0</v>
      </c>
      <c r="I29" s="1138">
        <f>IF(I28=0,0,Recap_Previo!H51)</f>
        <v>0</v>
      </c>
      <c r="J29" s="1138"/>
      <c r="K29" s="1148"/>
      <c r="L29" s="578">
        <f>SUM(G29:K29)</f>
        <v>0</v>
      </c>
      <c r="M29" s="670"/>
    </row>
    <row r="30" spans="1:13" s="6" customFormat="1" ht="21.95" customHeight="1" thickBot="1" x14ac:dyDescent="0.2">
      <c r="A30" s="2513"/>
      <c r="B30" s="2516"/>
      <c r="C30" s="2758"/>
      <c r="D30" s="542" t="s">
        <v>29</v>
      </c>
      <c r="E30" s="1475"/>
      <c r="F30" s="2752"/>
      <c r="G30" s="1138">
        <f t="shared" ref="G30:I30" si="6">G29*G28</f>
        <v>0</v>
      </c>
      <c r="H30" s="1138">
        <f t="shared" si="6"/>
        <v>0</v>
      </c>
      <c r="I30" s="1138">
        <f t="shared" si="6"/>
        <v>0</v>
      </c>
      <c r="J30" s="1138"/>
      <c r="K30" s="1148">
        <f>SUM(G30:J30)</f>
        <v>0</v>
      </c>
      <c r="L30" s="578">
        <f>SUM(G30:K30)</f>
        <v>0</v>
      </c>
      <c r="M30" s="670"/>
    </row>
    <row r="31" spans="1:13" s="1210" customFormat="1" ht="21.95" customHeight="1" thickBot="1" x14ac:dyDescent="0.2">
      <c r="A31" s="2513"/>
      <c r="B31" s="2727"/>
      <c r="C31" s="2674"/>
      <c r="D31" s="1189" t="s">
        <v>2011</v>
      </c>
      <c r="E31" s="1485"/>
      <c r="F31" s="2750" t="s">
        <v>2006</v>
      </c>
      <c r="G31" s="1208"/>
      <c r="H31" s="1208"/>
      <c r="I31" s="1208"/>
      <c r="J31" s="1208"/>
      <c r="K31" s="1198"/>
      <c r="L31" s="1186">
        <f>SUM(G31:K31)</f>
        <v>0</v>
      </c>
      <c r="M31" s="1209"/>
    </row>
    <row r="32" spans="1:13" s="6" customFormat="1" ht="21.95" customHeight="1" thickBot="1" x14ac:dyDescent="0.2">
      <c r="A32" s="2513"/>
      <c r="B32" s="2727"/>
      <c r="C32" s="2674"/>
      <c r="D32" s="545" t="s">
        <v>1281</v>
      </c>
      <c r="E32" s="1475"/>
      <c r="F32" s="2750"/>
      <c r="G32" s="1021"/>
      <c r="H32" s="1021"/>
      <c r="I32" s="1021"/>
      <c r="J32" s="1021"/>
      <c r="K32" s="493"/>
      <c r="L32" s="1016">
        <f>COUNTA(G32:J32)-COUNTIF(G32:J32,0)</f>
        <v>0</v>
      </c>
      <c r="M32" s="670"/>
    </row>
    <row r="33" spans="1:13" s="6" customFormat="1" ht="21.95" customHeight="1" x14ac:dyDescent="0.15">
      <c r="A33" s="2513"/>
      <c r="B33" s="2727" t="s">
        <v>1272</v>
      </c>
      <c r="C33" s="2674"/>
      <c r="D33" s="543" t="s">
        <v>3</v>
      </c>
      <c r="E33" s="1470"/>
      <c r="F33" s="2751" t="s">
        <v>2013</v>
      </c>
      <c r="G33" s="1136">
        <f>IF(G36="sim",Recap_Previo!F78,0)</f>
        <v>0</v>
      </c>
      <c r="H33" s="1136">
        <f>IF(H36="sim",Recap_Previo!G78,0)</f>
        <v>0</v>
      </c>
      <c r="I33" s="1136">
        <f>IF(I36="sim",Recap_Previo!H78,0)</f>
        <v>0</v>
      </c>
      <c r="J33" s="1136"/>
      <c r="K33" s="1200"/>
      <c r="L33" s="578">
        <f>SUM(G33:K33)</f>
        <v>0</v>
      </c>
      <c r="M33" s="670"/>
    </row>
    <row r="34" spans="1:13" s="6" customFormat="1" ht="21.95" customHeight="1" x14ac:dyDescent="0.15">
      <c r="A34" s="2513"/>
      <c r="B34" s="2516"/>
      <c r="C34" s="2676"/>
      <c r="D34" s="542" t="s">
        <v>164</v>
      </c>
      <c r="E34" s="1475"/>
      <c r="F34" s="2752"/>
      <c r="G34" s="1138">
        <f>IF(G33=0,0,Recap_Previo!F79)</f>
        <v>0</v>
      </c>
      <c r="H34" s="1138">
        <f>IF(H33=0,0,Recap_Previo!G79)</f>
        <v>0</v>
      </c>
      <c r="I34" s="1138">
        <f>IF(I33=0,0,Recap_Previo!H79)</f>
        <v>0</v>
      </c>
      <c r="J34" s="1138"/>
      <c r="K34" s="1148"/>
      <c r="L34" s="578">
        <f>SUM(G34:K34)</f>
        <v>0</v>
      </c>
      <c r="M34" s="670"/>
    </row>
    <row r="35" spans="1:13" s="6" customFormat="1" ht="21.95" customHeight="1" x14ac:dyDescent="0.15">
      <c r="A35" s="2513"/>
      <c r="B35" s="2516"/>
      <c r="C35" s="2676"/>
      <c r="D35" s="542" t="s">
        <v>29</v>
      </c>
      <c r="E35" s="1475"/>
      <c r="F35" s="2752"/>
      <c r="G35" s="1138">
        <f t="shared" ref="G35:I35" si="7">G34*G33</f>
        <v>0</v>
      </c>
      <c r="H35" s="1138">
        <f t="shared" si="7"/>
        <v>0</v>
      </c>
      <c r="I35" s="1138">
        <f t="shared" si="7"/>
        <v>0</v>
      </c>
      <c r="J35" s="1138"/>
      <c r="K35" s="1148"/>
      <c r="L35" s="578">
        <f>SUM(G35:K35)</f>
        <v>0</v>
      </c>
      <c r="M35" s="670"/>
    </row>
    <row r="36" spans="1:13" s="6" customFormat="1" ht="32.1" customHeight="1" x14ac:dyDescent="0.15">
      <c r="A36" s="2513"/>
      <c r="B36" s="2516"/>
      <c r="C36" s="2676"/>
      <c r="D36" s="542" t="s">
        <v>2012</v>
      </c>
      <c r="E36" s="1475"/>
      <c r="F36" s="2750" t="s">
        <v>2006</v>
      </c>
      <c r="G36" s="1021"/>
      <c r="H36" s="1021"/>
      <c r="I36" s="1021"/>
      <c r="J36" s="1021"/>
      <c r="K36" s="496"/>
      <c r="L36" s="579"/>
      <c r="M36" s="670"/>
    </row>
    <row r="37" spans="1:13" s="1210" customFormat="1" ht="21.95" customHeight="1" x14ac:dyDescent="0.15">
      <c r="A37" s="2513"/>
      <c r="B37" s="2516"/>
      <c r="C37" s="2676"/>
      <c r="D37" s="1189" t="s">
        <v>1242</v>
      </c>
      <c r="E37" s="1485"/>
      <c r="F37" s="2750"/>
      <c r="G37" s="1208"/>
      <c r="H37" s="1208"/>
      <c r="I37" s="1208"/>
      <c r="J37" s="1208"/>
      <c r="K37" s="1198"/>
      <c r="L37" s="1186">
        <f>SUM(G37:K37)</f>
        <v>0</v>
      </c>
      <c r="M37" s="1209"/>
    </row>
    <row r="38" spans="1:13" s="6" customFormat="1" ht="21.95" customHeight="1" thickBot="1" x14ac:dyDescent="0.2">
      <c r="A38" s="2513"/>
      <c r="B38" s="2516"/>
      <c r="C38" s="2676"/>
      <c r="D38" s="542" t="s">
        <v>1281</v>
      </c>
      <c r="E38" s="1475"/>
      <c r="F38" s="2753"/>
      <c r="G38" s="1021"/>
      <c r="H38" s="1021"/>
      <c r="I38" s="1021"/>
      <c r="J38" s="1021"/>
      <c r="K38" s="493"/>
      <c r="L38" s="1016">
        <f>COUNTA(G38:J38)-COUNTIF(G38:J38,0)</f>
        <v>0</v>
      </c>
      <c r="M38" s="670"/>
    </row>
    <row r="39" spans="1:13" s="6" customFormat="1" ht="21.95" customHeight="1" x14ac:dyDescent="0.15">
      <c r="A39" s="2513"/>
      <c r="B39" s="2533" t="s">
        <v>1786</v>
      </c>
      <c r="C39" s="2722"/>
      <c r="D39" s="541" t="s">
        <v>29</v>
      </c>
      <c r="E39" s="1470"/>
      <c r="F39" s="1462"/>
      <c r="G39" s="1136">
        <f t="shared" ref="G39:I39" si="8">IF(G10="sim",G8,0)</f>
        <v>0</v>
      </c>
      <c r="H39" s="1136">
        <f t="shared" si="8"/>
        <v>0</v>
      </c>
      <c r="I39" s="1136">
        <f t="shared" si="8"/>
        <v>0</v>
      </c>
      <c r="J39" s="1136"/>
      <c r="K39" s="1203">
        <f>ROUND(SUM(G39:J39),2)</f>
        <v>0</v>
      </c>
      <c r="L39" s="578">
        <f t="shared" ref="L39:L48" si="9">SUM(G39:K39)</f>
        <v>0</v>
      </c>
      <c r="M39" s="670"/>
    </row>
    <row r="40" spans="1:13" s="6" customFormat="1" ht="21.95" customHeight="1" x14ac:dyDescent="0.15">
      <c r="A40" s="2513"/>
      <c r="B40" s="2534"/>
      <c r="C40" s="2724"/>
      <c r="D40" s="542" t="s">
        <v>726</v>
      </c>
      <c r="E40" s="1475"/>
      <c r="F40" s="1462"/>
      <c r="G40" s="1138">
        <f t="shared" ref="G40:I40" si="10">G39*0.01212</f>
        <v>0</v>
      </c>
      <c r="H40" s="1138">
        <f t="shared" si="10"/>
        <v>0</v>
      </c>
      <c r="I40" s="1138">
        <f t="shared" si="10"/>
        <v>0</v>
      </c>
      <c r="J40" s="1138"/>
      <c r="K40" s="1148">
        <f>SUM(G40:J40)</f>
        <v>0</v>
      </c>
      <c r="L40" s="578">
        <f t="shared" si="9"/>
        <v>0</v>
      </c>
      <c r="M40" s="670"/>
    </row>
    <row r="41" spans="1:13" s="6" customFormat="1" ht="21.95" customHeight="1" thickBot="1" x14ac:dyDescent="0.2">
      <c r="A41" s="2513"/>
      <c r="B41" s="2535"/>
      <c r="C41" s="2723"/>
      <c r="D41" s="545" t="s">
        <v>1402</v>
      </c>
      <c r="E41" s="1476"/>
      <c r="F41" s="1473"/>
      <c r="G41" s="1134">
        <f t="shared" ref="G41:I41" si="11">G39*0.00194</f>
        <v>0</v>
      </c>
      <c r="H41" s="1134">
        <f t="shared" si="11"/>
        <v>0</v>
      </c>
      <c r="I41" s="1134">
        <f t="shared" si="11"/>
        <v>0</v>
      </c>
      <c r="J41" s="1134"/>
      <c r="K41" s="1148">
        <f>SUM(G41:J41)</f>
        <v>0</v>
      </c>
      <c r="L41" s="578">
        <f t="shared" si="9"/>
        <v>0</v>
      </c>
      <c r="M41" s="670"/>
    </row>
    <row r="42" spans="1:13" s="6" customFormat="1" ht="21.95" customHeight="1" x14ac:dyDescent="0.15">
      <c r="A42" s="2513"/>
      <c r="B42" s="2533" t="s">
        <v>1787</v>
      </c>
      <c r="C42" s="2722"/>
      <c r="D42" s="541" t="s">
        <v>29</v>
      </c>
      <c r="E42" s="1470"/>
      <c r="F42" s="1472"/>
      <c r="G42" s="1136">
        <f t="shared" ref="G42:I42" si="12">IF(G11="sim",G8,0)</f>
        <v>0</v>
      </c>
      <c r="H42" s="1136">
        <f t="shared" si="12"/>
        <v>0</v>
      </c>
      <c r="I42" s="1136">
        <f t="shared" si="12"/>
        <v>0</v>
      </c>
      <c r="J42" s="1136"/>
      <c r="K42" s="1203">
        <f>ROUND(SUM(G42:J42),2)</f>
        <v>0</v>
      </c>
      <c r="L42" s="578">
        <f t="shared" si="9"/>
        <v>0</v>
      </c>
      <c r="M42" s="670"/>
    </row>
    <row r="43" spans="1:13" s="6" customFormat="1" ht="21.95" customHeight="1" x14ac:dyDescent="0.15">
      <c r="A43" s="2513"/>
      <c r="B43" s="2534"/>
      <c r="C43" s="2724"/>
      <c r="D43" s="542" t="s">
        <v>727</v>
      </c>
      <c r="E43" s="1475"/>
      <c r="F43" s="1462"/>
      <c r="G43" s="1138">
        <f t="shared" ref="G43:I43" si="13">G42*0.022725</f>
        <v>0</v>
      </c>
      <c r="H43" s="1138">
        <f t="shared" si="13"/>
        <v>0</v>
      </c>
      <c r="I43" s="1138">
        <f t="shared" si="13"/>
        <v>0</v>
      </c>
      <c r="J43" s="1138"/>
      <c r="K43" s="1148">
        <f>SUM(G43:J43)</f>
        <v>0</v>
      </c>
      <c r="L43" s="578">
        <f t="shared" si="9"/>
        <v>0</v>
      </c>
      <c r="M43" s="670"/>
    </row>
    <row r="44" spans="1:13" s="6" customFormat="1" ht="21.95" customHeight="1" thickBot="1" x14ac:dyDescent="0.2">
      <c r="A44" s="2513"/>
      <c r="B44" s="2535"/>
      <c r="C44" s="2723"/>
      <c r="D44" s="545" t="s">
        <v>1403</v>
      </c>
      <c r="E44" s="1476"/>
      <c r="F44" s="1473"/>
      <c r="G44" s="1134">
        <f t="shared" ref="G44:I44" si="14">G42*0.0032</f>
        <v>0</v>
      </c>
      <c r="H44" s="1134">
        <f t="shared" si="14"/>
        <v>0</v>
      </c>
      <c r="I44" s="1134">
        <f t="shared" si="14"/>
        <v>0</v>
      </c>
      <c r="J44" s="1134"/>
      <c r="K44" s="1148">
        <f>SUM(G44:J44)</f>
        <v>0</v>
      </c>
      <c r="L44" s="578">
        <f t="shared" si="9"/>
        <v>0</v>
      </c>
      <c r="M44" s="670"/>
    </row>
    <row r="45" spans="1:13" s="6" customFormat="1" ht="21.95" customHeight="1" x14ac:dyDescent="0.15">
      <c r="A45" s="2513"/>
      <c r="B45" s="2533" t="s">
        <v>1788</v>
      </c>
      <c r="C45" s="2722"/>
      <c r="D45" s="541" t="s">
        <v>29</v>
      </c>
      <c r="E45" s="1470"/>
      <c r="F45" s="1472"/>
      <c r="G45" s="1136">
        <f t="shared" ref="G45:I45" si="15">IF(G12="sim",G8,0)</f>
        <v>0</v>
      </c>
      <c r="H45" s="1136">
        <f t="shared" si="15"/>
        <v>0</v>
      </c>
      <c r="I45" s="1136">
        <f t="shared" si="15"/>
        <v>0</v>
      </c>
      <c r="J45" s="1136"/>
      <c r="K45" s="1203">
        <f>ROUND(SUM(G45:J45),2)</f>
        <v>0</v>
      </c>
      <c r="L45" s="578">
        <f t="shared" si="9"/>
        <v>0</v>
      </c>
      <c r="M45" s="670"/>
    </row>
    <row r="46" spans="1:13" s="6" customFormat="1" ht="21.95" customHeight="1" x14ac:dyDescent="0.15">
      <c r="A46" s="2513"/>
      <c r="B46" s="2534"/>
      <c r="C46" s="2724"/>
      <c r="D46" s="542" t="s">
        <v>728</v>
      </c>
      <c r="E46" s="1475"/>
      <c r="F46" s="1462"/>
      <c r="G46" s="1138">
        <f t="shared" ref="G46:I46" si="16">G45*0.0303</f>
        <v>0</v>
      </c>
      <c r="H46" s="1138">
        <f t="shared" si="16"/>
        <v>0</v>
      </c>
      <c r="I46" s="1138">
        <f t="shared" si="16"/>
        <v>0</v>
      </c>
      <c r="J46" s="1138"/>
      <c r="K46" s="1148">
        <f>SUM(G46:J46)</f>
        <v>0</v>
      </c>
      <c r="L46" s="578">
        <f t="shared" si="9"/>
        <v>0</v>
      </c>
      <c r="M46" s="670"/>
    </row>
    <row r="47" spans="1:13" s="6" customFormat="1" ht="21.95" customHeight="1" thickBot="1" x14ac:dyDescent="0.2">
      <c r="A47" s="2513"/>
      <c r="B47" s="2535"/>
      <c r="C47" s="2723"/>
      <c r="D47" s="545" t="s">
        <v>1404</v>
      </c>
      <c r="E47" s="1476"/>
      <c r="F47" s="1473"/>
      <c r="G47" s="1134">
        <f t="shared" ref="G47:I47" si="17">G45*0.0039</f>
        <v>0</v>
      </c>
      <c r="H47" s="1134">
        <f t="shared" si="17"/>
        <v>0</v>
      </c>
      <c r="I47" s="1134">
        <f t="shared" si="17"/>
        <v>0</v>
      </c>
      <c r="J47" s="1134"/>
      <c r="K47" s="1148">
        <f>SUM(G47:J47)</f>
        <v>0</v>
      </c>
      <c r="L47" s="578">
        <f t="shared" si="9"/>
        <v>0</v>
      </c>
      <c r="M47" s="670"/>
    </row>
    <row r="48" spans="1:13" s="6" customFormat="1" ht="21.95" customHeight="1" x14ac:dyDescent="0.15">
      <c r="A48" s="2513"/>
      <c r="B48" s="2727" t="s">
        <v>1285</v>
      </c>
      <c r="C48" s="2674"/>
      <c r="D48" s="541" t="s">
        <v>29</v>
      </c>
      <c r="E48" s="1470"/>
      <c r="F48" s="1462"/>
      <c r="G48" s="1138">
        <f>IF(G13="SIM",#REF!+G8,0)</f>
        <v>0</v>
      </c>
      <c r="H48" s="1138">
        <f>IF(H13="SIM",#REF!+H8,0)</f>
        <v>0</v>
      </c>
      <c r="I48" s="1138">
        <f>IF(I13="SIM",#REF!+I8,0)</f>
        <v>0</v>
      </c>
      <c r="J48" s="1138"/>
      <c r="K48" s="1203">
        <f t="shared" ref="K48:K69" si="18">ROUND(SUM(G48:J48),2)</f>
        <v>0</v>
      </c>
      <c r="L48" s="578">
        <f t="shared" si="9"/>
        <v>0</v>
      </c>
      <c r="M48" s="670"/>
    </row>
    <row r="49" spans="1:13" s="6" customFormat="1" ht="21.95" customHeight="1" x14ac:dyDescent="0.15">
      <c r="A49" s="2513"/>
      <c r="B49" s="2516"/>
      <c r="C49" s="2676"/>
      <c r="D49" s="543" t="s">
        <v>1273</v>
      </c>
      <c r="E49" s="1475"/>
      <c r="F49" s="1462"/>
      <c r="G49" s="1138">
        <f t="shared" ref="G49:I49" si="19">G48*0.006</f>
        <v>0</v>
      </c>
      <c r="H49" s="1138">
        <f t="shared" si="19"/>
        <v>0</v>
      </c>
      <c r="I49" s="1138">
        <f t="shared" si="19"/>
        <v>0</v>
      </c>
      <c r="J49" s="1138"/>
      <c r="K49" s="1148">
        <f t="shared" si="18"/>
        <v>0</v>
      </c>
      <c r="L49" s="578"/>
      <c r="M49" s="670"/>
    </row>
    <row r="50" spans="1:13" s="6" customFormat="1" ht="21.95" customHeight="1" x14ac:dyDescent="0.15">
      <c r="A50" s="2513"/>
      <c r="B50" s="2516"/>
      <c r="C50" s="2676"/>
      <c r="D50" s="542" t="s">
        <v>1274</v>
      </c>
      <c r="E50" s="1475"/>
      <c r="F50" s="1462"/>
      <c r="G50" s="1138">
        <f t="shared" ref="G50:I50" si="20">G48*0.0223</f>
        <v>0</v>
      </c>
      <c r="H50" s="1138">
        <f t="shared" si="20"/>
        <v>0</v>
      </c>
      <c r="I50" s="1138">
        <f t="shared" si="20"/>
        <v>0</v>
      </c>
      <c r="J50" s="1138"/>
      <c r="K50" s="1148">
        <f t="shared" si="18"/>
        <v>0</v>
      </c>
      <c r="L50" s="578">
        <f t="shared" ref="L50:L63" si="21">SUM(G50:K50)</f>
        <v>0</v>
      </c>
      <c r="M50" s="670"/>
    </row>
    <row r="51" spans="1:13" s="6" customFormat="1" ht="21.95" customHeight="1" thickBot="1" x14ac:dyDescent="0.2">
      <c r="A51" s="2513"/>
      <c r="B51" s="2728"/>
      <c r="C51" s="2675"/>
      <c r="D51" s="545" t="s">
        <v>1407</v>
      </c>
      <c r="E51" s="1476"/>
      <c r="F51" s="1462"/>
      <c r="G51" s="1138">
        <f t="shared" ref="G51:I51" si="22">G48*0.0048</f>
        <v>0</v>
      </c>
      <c r="H51" s="1138">
        <f t="shared" si="22"/>
        <v>0</v>
      </c>
      <c r="I51" s="1138">
        <f t="shared" si="22"/>
        <v>0</v>
      </c>
      <c r="J51" s="1138"/>
      <c r="K51" s="1135">
        <f t="shared" si="18"/>
        <v>0</v>
      </c>
      <c r="L51" s="578">
        <f t="shared" si="21"/>
        <v>0</v>
      </c>
      <c r="M51" s="670"/>
    </row>
    <row r="52" spans="1:13" ht="21.95" customHeight="1" x14ac:dyDescent="0.15">
      <c r="A52" s="2513"/>
      <c r="B52" s="2533" t="s">
        <v>517</v>
      </c>
      <c r="C52" s="2722"/>
      <c r="D52" s="547" t="s">
        <v>29</v>
      </c>
      <c r="E52" s="1470"/>
      <c r="F52" s="1472"/>
      <c r="G52" s="1136">
        <f>G57</f>
        <v>0</v>
      </c>
      <c r="H52" s="1136">
        <f t="shared" ref="H52:I52" si="23">H57</f>
        <v>0</v>
      </c>
      <c r="I52" s="1136">
        <f t="shared" si="23"/>
        <v>0</v>
      </c>
      <c r="J52" s="1136"/>
      <c r="K52" s="1203">
        <f t="shared" si="18"/>
        <v>0</v>
      </c>
      <c r="L52" s="578">
        <f t="shared" si="21"/>
        <v>0</v>
      </c>
    </row>
    <row r="53" spans="1:13" ht="21.95" customHeight="1" thickBot="1" x14ac:dyDescent="0.2">
      <c r="A53" s="2513"/>
      <c r="B53" s="2535"/>
      <c r="C53" s="2723"/>
      <c r="D53" s="545" t="s">
        <v>1399</v>
      </c>
      <c r="E53" s="1476"/>
      <c r="F53" s="1473"/>
      <c r="G53" s="1134">
        <f t="shared" ref="G53:I53" si="24">G52*0.0005</f>
        <v>0</v>
      </c>
      <c r="H53" s="1134">
        <f t="shared" si="24"/>
        <v>0</v>
      </c>
      <c r="I53" s="1134">
        <f t="shared" si="24"/>
        <v>0</v>
      </c>
      <c r="J53" s="1134"/>
      <c r="K53" s="1135">
        <f t="shared" si="18"/>
        <v>0</v>
      </c>
      <c r="L53" s="578">
        <f t="shared" si="21"/>
        <v>0</v>
      </c>
    </row>
    <row r="54" spans="1:13" ht="21.95" customHeight="1" x14ac:dyDescent="0.15">
      <c r="A54" s="2513"/>
      <c r="B54" s="2727" t="s">
        <v>1413</v>
      </c>
      <c r="C54" s="2674"/>
      <c r="D54" s="541" t="s">
        <v>29</v>
      </c>
      <c r="E54" s="1475"/>
      <c r="F54" s="1462"/>
      <c r="G54" s="1138">
        <f t="shared" ref="G54:I54" si="25">IF(G27="sim",G24,0)+IF(G32="sim",G30,0)+IF(G38="sim",G35,0)</f>
        <v>0</v>
      </c>
      <c r="H54" s="1138">
        <f t="shared" si="25"/>
        <v>0</v>
      </c>
      <c r="I54" s="1138">
        <f t="shared" si="25"/>
        <v>0</v>
      </c>
      <c r="J54" s="1138"/>
      <c r="K54" s="1139">
        <f t="shared" si="18"/>
        <v>0</v>
      </c>
      <c r="L54" s="578">
        <f t="shared" si="21"/>
        <v>0</v>
      </c>
    </row>
    <row r="55" spans="1:13" ht="21.95" customHeight="1" x14ac:dyDescent="0.15">
      <c r="A55" s="2513"/>
      <c r="B55" s="2516"/>
      <c r="C55" s="2676"/>
      <c r="D55" s="542" t="s">
        <v>1414</v>
      </c>
      <c r="E55" s="1475"/>
      <c r="F55" s="1462"/>
      <c r="G55" s="1138">
        <f t="shared" ref="G55:I55" si="26">G54*0.006</f>
        <v>0</v>
      </c>
      <c r="H55" s="1138">
        <f t="shared" si="26"/>
        <v>0</v>
      </c>
      <c r="I55" s="1138">
        <f t="shared" si="26"/>
        <v>0</v>
      </c>
      <c r="J55" s="1138"/>
      <c r="K55" s="1148">
        <f t="shared" si="18"/>
        <v>0</v>
      </c>
      <c r="L55" s="578">
        <f t="shared" si="21"/>
        <v>0</v>
      </c>
    </row>
    <row r="56" spans="1:13" ht="21.95" customHeight="1" thickBot="1" x14ac:dyDescent="0.2">
      <c r="A56" s="2513"/>
      <c r="B56" s="2728"/>
      <c r="C56" s="2675"/>
      <c r="D56" s="545" t="s">
        <v>1415</v>
      </c>
      <c r="E56" s="1475"/>
      <c r="F56" s="1462"/>
      <c r="G56" s="1138">
        <f t="shared" ref="G56:I56" si="27">G54*0.001</f>
        <v>0</v>
      </c>
      <c r="H56" s="1138">
        <f t="shared" si="27"/>
        <v>0</v>
      </c>
      <c r="I56" s="1138">
        <f t="shared" si="27"/>
        <v>0</v>
      </c>
      <c r="J56" s="1138"/>
      <c r="K56" s="1135">
        <f t="shared" si="18"/>
        <v>0</v>
      </c>
      <c r="L56" s="578">
        <f t="shared" si="21"/>
        <v>0</v>
      </c>
    </row>
    <row r="57" spans="1:13" ht="21.95" customHeight="1" x14ac:dyDescent="0.15">
      <c r="A57" s="2513"/>
      <c r="B57" s="2727" t="s">
        <v>751</v>
      </c>
      <c r="C57" s="2674"/>
      <c r="D57" s="541" t="s">
        <v>29</v>
      </c>
      <c r="E57" s="1486"/>
      <c r="F57" s="1487"/>
      <c r="G57" s="1219">
        <f t="shared" ref="G57:I57" si="28">IF(COUNTA(G14:G17)&gt;0,G8,0)+IF(G26&gt;0,G24,0)+IF(G31&gt;0,G30,0)+IF(G37&gt;0,G35,0)</f>
        <v>0</v>
      </c>
      <c r="H57" s="1219">
        <f t="shared" si="28"/>
        <v>0</v>
      </c>
      <c r="I57" s="1219">
        <f t="shared" si="28"/>
        <v>0</v>
      </c>
      <c r="J57" s="1219"/>
      <c r="K57" s="1224">
        <f t="shared" si="18"/>
        <v>0</v>
      </c>
      <c r="L57" s="578">
        <f t="shared" si="21"/>
        <v>0</v>
      </c>
    </row>
    <row r="58" spans="1:13" ht="21.95" customHeight="1" thickBot="1" x14ac:dyDescent="0.2">
      <c r="A58" s="2513"/>
      <c r="B58" s="2728"/>
      <c r="C58" s="2675"/>
      <c r="D58" s="543" t="s">
        <v>1294</v>
      </c>
      <c r="E58" s="1475"/>
      <c r="F58" s="1462"/>
      <c r="G58" s="1138">
        <f>(IF(G14="sim",G8*G7,0)+IF(G18="SIM",G24*G26+G30*G31,0)+IF(AND(G18="SIM",G36="SIM"),G35*G37,0))/100</f>
        <v>0</v>
      </c>
      <c r="H58" s="1138">
        <f t="shared" ref="H58:I58" si="29">(IF(H14="sim",H8*H7,0)+IF(H18="SIM",H24*H26+H30*H31,0)+IF(AND(H18="SIM",H36="SIM"),H35*H37,0))/100</f>
        <v>0</v>
      </c>
      <c r="I58" s="1138">
        <f t="shared" si="29"/>
        <v>0</v>
      </c>
      <c r="J58" s="1138"/>
      <c r="K58" s="1139">
        <f t="shared" si="18"/>
        <v>0</v>
      </c>
      <c r="L58" s="578">
        <f t="shared" si="21"/>
        <v>0</v>
      </c>
    </row>
    <row r="59" spans="1:13" ht="21.95" customHeight="1" x14ac:dyDescent="0.15">
      <c r="A59" s="2513"/>
      <c r="B59" s="2516"/>
      <c r="C59" s="2676"/>
      <c r="D59" s="542" t="s">
        <v>1295</v>
      </c>
      <c r="E59" s="1475"/>
      <c r="F59" s="1462"/>
      <c r="G59" s="1138">
        <f t="shared" ref="G59:I59" si="30">(IF(G15="sim",G8*G7,0)+IF(G19="SIM",G24*G26+G30*G31,0)+IF(AND(G19="SIM",G36="SIM"),G35*G37,0))/100</f>
        <v>0</v>
      </c>
      <c r="H59" s="1138">
        <f t="shared" si="30"/>
        <v>0</v>
      </c>
      <c r="I59" s="1138">
        <f t="shared" si="30"/>
        <v>0</v>
      </c>
      <c r="J59" s="1138"/>
      <c r="K59" s="1139">
        <f t="shared" si="18"/>
        <v>0</v>
      </c>
      <c r="L59" s="578">
        <f t="shared" si="21"/>
        <v>0</v>
      </c>
    </row>
    <row r="60" spans="1:13" ht="21.95" customHeight="1" x14ac:dyDescent="0.15">
      <c r="A60" s="2513"/>
      <c r="B60" s="2516"/>
      <c r="C60" s="2676"/>
      <c r="D60" s="542" t="s">
        <v>1296</v>
      </c>
      <c r="E60" s="1475"/>
      <c r="F60" s="1462"/>
      <c r="G60" s="1138">
        <f t="shared" ref="G60:I60" si="31">(IF(G16="sim",G8*G7,0)+IF(G20="SIM",G24*G26+G30*G31,0)+IF(AND(G20="SIM",G36="SIM"),G35*G37,0))/100</f>
        <v>0</v>
      </c>
      <c r="H60" s="1138">
        <f t="shared" si="31"/>
        <v>0</v>
      </c>
      <c r="I60" s="1138">
        <f t="shared" si="31"/>
        <v>0</v>
      </c>
      <c r="J60" s="1138"/>
      <c r="K60" s="1139">
        <f t="shared" si="18"/>
        <v>0</v>
      </c>
      <c r="L60" s="578">
        <f t="shared" si="21"/>
        <v>0</v>
      </c>
    </row>
    <row r="61" spans="1:13" ht="21.95" customHeight="1" x14ac:dyDescent="0.15">
      <c r="A61" s="2513"/>
      <c r="B61" s="2516"/>
      <c r="C61" s="2676"/>
      <c r="D61" s="548" t="s">
        <v>1297</v>
      </c>
      <c r="E61" s="1475"/>
      <c r="F61" s="1462"/>
      <c r="G61" s="1138">
        <f t="shared" ref="G61:I61" si="32">(IF(G17="sim",G8*G7,0)+IF(G21="SIM",G24*G26+G30*G31,0)+IF(AND(G21="SIM",G36="SIM"),G35*G37,0))/100</f>
        <v>0</v>
      </c>
      <c r="H61" s="1138">
        <f t="shared" si="32"/>
        <v>0</v>
      </c>
      <c r="I61" s="1138">
        <f t="shared" si="32"/>
        <v>0</v>
      </c>
      <c r="J61" s="1138"/>
      <c r="K61" s="1139">
        <f t="shared" si="18"/>
        <v>0</v>
      </c>
      <c r="L61" s="578">
        <f t="shared" si="21"/>
        <v>0</v>
      </c>
    </row>
    <row r="62" spans="1:13" ht="21.95" customHeight="1" thickBot="1" x14ac:dyDescent="0.2">
      <c r="A62" s="2513"/>
      <c r="B62" s="2728"/>
      <c r="C62" s="2675"/>
      <c r="D62" s="542" t="s">
        <v>1289</v>
      </c>
      <c r="E62" s="1488"/>
      <c r="F62" s="1489"/>
      <c r="G62" s="1204">
        <f t="shared" ref="G62:I62" si="33">SUM(G58:G60)*0.161*2.5548</f>
        <v>0</v>
      </c>
      <c r="H62" s="1204">
        <f t="shared" si="33"/>
        <v>0</v>
      </c>
      <c r="I62" s="1204">
        <f t="shared" si="33"/>
        <v>0</v>
      </c>
      <c r="J62" s="1204"/>
      <c r="K62" s="1205">
        <f t="shared" si="18"/>
        <v>0</v>
      </c>
      <c r="L62" s="578">
        <f t="shared" si="21"/>
        <v>0</v>
      </c>
    </row>
    <row r="63" spans="1:13" ht="21.95" customHeight="1" x14ac:dyDescent="0.15">
      <c r="A63" s="2513"/>
      <c r="B63" s="2516"/>
      <c r="C63" s="2676"/>
      <c r="D63" s="542" t="s">
        <v>1290</v>
      </c>
      <c r="E63" s="1490"/>
      <c r="F63" s="1491"/>
      <c r="G63" s="1206">
        <f t="shared" ref="G63:I63" si="34">G61*0.411</f>
        <v>0</v>
      </c>
      <c r="H63" s="1206">
        <f t="shared" si="34"/>
        <v>0</v>
      </c>
      <c r="I63" s="1206">
        <f t="shared" si="34"/>
        <v>0</v>
      </c>
      <c r="J63" s="1206"/>
      <c r="K63" s="1207">
        <f t="shared" si="18"/>
        <v>0</v>
      </c>
      <c r="L63" s="578">
        <f t="shared" si="21"/>
        <v>0</v>
      </c>
    </row>
    <row r="64" spans="1:13" ht="21.95" customHeight="1" x14ac:dyDescent="0.15">
      <c r="A64" s="2513"/>
      <c r="B64" s="2516"/>
      <c r="C64" s="2676"/>
      <c r="D64" s="543" t="s">
        <v>1288</v>
      </c>
      <c r="E64" s="1475"/>
      <c r="F64" s="1462"/>
      <c r="G64" s="1138">
        <f t="shared" ref="G64:I64" si="35">SUM(G58:G60)*0.447*2.5548</f>
        <v>0</v>
      </c>
      <c r="H64" s="1138">
        <f t="shared" si="35"/>
        <v>0</v>
      </c>
      <c r="I64" s="1138">
        <f t="shared" si="35"/>
        <v>0</v>
      </c>
      <c r="J64" s="1138"/>
      <c r="K64" s="1205">
        <f t="shared" si="18"/>
        <v>0</v>
      </c>
      <c r="L64" s="578"/>
    </row>
    <row r="65" spans="1:20" ht="21.95" customHeight="1" x14ac:dyDescent="0.15">
      <c r="A65" s="2513"/>
      <c r="B65" s="2516"/>
      <c r="C65" s="2676"/>
      <c r="D65" s="542" t="s">
        <v>1287</v>
      </c>
      <c r="E65" s="1490"/>
      <c r="F65" s="1491"/>
      <c r="G65" s="1206">
        <f t="shared" ref="G65:I65" si="36">G61*0.968</f>
        <v>0</v>
      </c>
      <c r="H65" s="1206">
        <f t="shared" si="36"/>
        <v>0</v>
      </c>
      <c r="I65" s="1206">
        <f t="shared" si="36"/>
        <v>0</v>
      </c>
      <c r="J65" s="1206"/>
      <c r="K65" s="1207">
        <f t="shared" si="18"/>
        <v>0</v>
      </c>
      <c r="L65" s="578">
        <f>SUM(G65:K65)</f>
        <v>0</v>
      </c>
    </row>
    <row r="66" spans="1:20" ht="21.95" customHeight="1" x14ac:dyDescent="0.15">
      <c r="A66" s="2513"/>
      <c r="B66" s="2516"/>
      <c r="C66" s="2676"/>
      <c r="D66" s="663" t="s">
        <v>1291</v>
      </c>
      <c r="E66" s="1475"/>
      <c r="F66" s="1462"/>
      <c r="G66" s="1138">
        <f t="shared" ref="G66:I68" si="37">G58*2.5548*6%</f>
        <v>0</v>
      </c>
      <c r="H66" s="1138">
        <f t="shared" si="37"/>
        <v>0</v>
      </c>
      <c r="I66" s="1138">
        <f t="shared" si="37"/>
        <v>0</v>
      </c>
      <c r="J66" s="1138"/>
      <c r="K66" s="1205">
        <f t="shared" si="18"/>
        <v>0</v>
      </c>
      <c r="L66" s="578"/>
    </row>
    <row r="67" spans="1:20" ht="21.95" customHeight="1" x14ac:dyDescent="0.15">
      <c r="A67" s="2513"/>
      <c r="B67" s="2516"/>
      <c r="C67" s="2676"/>
      <c r="D67" s="548" t="s">
        <v>1292</v>
      </c>
      <c r="E67" s="1475"/>
      <c r="F67" s="1462"/>
      <c r="G67" s="1138">
        <f t="shared" si="37"/>
        <v>0</v>
      </c>
      <c r="H67" s="1138">
        <f t="shared" si="37"/>
        <v>0</v>
      </c>
      <c r="I67" s="1138">
        <f t="shared" si="37"/>
        <v>0</v>
      </c>
      <c r="J67" s="1138"/>
      <c r="K67" s="1139">
        <f t="shared" si="18"/>
        <v>0</v>
      </c>
      <c r="L67" s="578"/>
    </row>
    <row r="68" spans="1:20" ht="21.95" customHeight="1" x14ac:dyDescent="0.15">
      <c r="A68" s="2513"/>
      <c r="B68" s="2516"/>
      <c r="C68" s="2676"/>
      <c r="D68" s="548" t="s">
        <v>1293</v>
      </c>
      <c r="E68" s="1490"/>
      <c r="F68" s="1491"/>
      <c r="G68" s="1206">
        <f t="shared" si="37"/>
        <v>0</v>
      </c>
      <c r="H68" s="1206">
        <f t="shared" si="37"/>
        <v>0</v>
      </c>
      <c r="I68" s="1206">
        <f t="shared" si="37"/>
        <v>0</v>
      </c>
      <c r="J68" s="1206"/>
      <c r="K68" s="1207">
        <f t="shared" si="18"/>
        <v>0</v>
      </c>
      <c r="L68" s="578">
        <f t="shared" ref="L68:L114" si="38">SUM(G68:K68)</f>
        <v>0</v>
      </c>
    </row>
    <row r="69" spans="1:20" ht="21.95" customHeight="1" thickBot="1" x14ac:dyDescent="0.2">
      <c r="A69" s="2513"/>
      <c r="B69" s="2728"/>
      <c r="C69" s="2675"/>
      <c r="D69" s="560" t="s">
        <v>949</v>
      </c>
      <c r="E69" s="1475"/>
      <c r="F69" s="1462"/>
      <c r="G69" s="1138">
        <f t="shared" ref="G69:I69" si="39">G61*0.132</f>
        <v>0</v>
      </c>
      <c r="H69" s="1138">
        <f t="shared" si="39"/>
        <v>0</v>
      </c>
      <c r="I69" s="1138">
        <f t="shared" si="39"/>
        <v>0</v>
      </c>
      <c r="J69" s="1138"/>
      <c r="K69" s="1139">
        <f t="shared" si="18"/>
        <v>0</v>
      </c>
      <c r="L69" s="578">
        <f t="shared" si="38"/>
        <v>0</v>
      </c>
    </row>
    <row r="70" spans="1:20" ht="21.95" customHeight="1" x14ac:dyDescent="0.15">
      <c r="A70" s="2513"/>
      <c r="B70" s="2741" t="s">
        <v>1262</v>
      </c>
      <c r="C70" s="2674" t="s">
        <v>514</v>
      </c>
      <c r="D70" s="976" t="s">
        <v>624</v>
      </c>
      <c r="E70" s="1470"/>
      <c r="F70" s="1472"/>
      <c r="G70" s="424"/>
      <c r="H70" s="424"/>
      <c r="I70" s="424"/>
      <c r="J70" s="424"/>
      <c r="K70" s="498"/>
      <c r="L70" s="578">
        <f t="shared" si="38"/>
        <v>0</v>
      </c>
      <c r="M70" s="5"/>
    </row>
    <row r="71" spans="1:20" ht="21.95" customHeight="1" x14ac:dyDescent="0.15">
      <c r="A71" s="2513"/>
      <c r="B71" s="2742"/>
      <c r="C71" s="2730"/>
      <c r="D71" s="542" t="s">
        <v>3</v>
      </c>
      <c r="E71" s="1490"/>
      <c r="F71" s="1491"/>
      <c r="G71" s="1206">
        <f t="shared" ref="G71:I71" si="40">ROUND(+G70*G$2,2)</f>
        <v>0</v>
      </c>
      <c r="H71" s="1206">
        <f t="shared" si="40"/>
        <v>0</v>
      </c>
      <c r="I71" s="1206">
        <f t="shared" si="40"/>
        <v>0</v>
      </c>
      <c r="J71" s="1206"/>
      <c r="K71" s="1171">
        <f>ROUND(SUM(G71:J71),2)</f>
        <v>0</v>
      </c>
      <c r="L71" s="578">
        <f t="shared" si="38"/>
        <v>0</v>
      </c>
      <c r="M71" s="5"/>
    </row>
    <row r="72" spans="1:20" ht="21.95" customHeight="1" x14ac:dyDescent="0.15">
      <c r="A72" s="2513"/>
      <c r="B72" s="2742"/>
      <c r="C72" s="2729" t="s">
        <v>515</v>
      </c>
      <c r="D72" s="1069" t="s">
        <v>624</v>
      </c>
      <c r="E72" s="1488"/>
      <c r="F72" s="1489"/>
      <c r="G72" s="368"/>
      <c r="H72" s="368"/>
      <c r="I72" s="368"/>
      <c r="J72" s="368"/>
      <c r="K72" s="1076"/>
      <c r="L72" s="578">
        <f t="shared" si="38"/>
        <v>0</v>
      </c>
      <c r="M72" s="5"/>
    </row>
    <row r="73" spans="1:20" ht="21.95" customHeight="1" x14ac:dyDescent="0.15">
      <c r="A73" s="2513"/>
      <c r="B73" s="2742"/>
      <c r="C73" s="2730"/>
      <c r="D73" s="542" t="s">
        <v>3</v>
      </c>
      <c r="E73" s="1490"/>
      <c r="F73" s="1491"/>
      <c r="G73" s="1206">
        <f t="shared" ref="G73:I73" si="41">ROUND(+G72*G$2,2)</f>
        <v>0</v>
      </c>
      <c r="H73" s="1206">
        <f t="shared" si="41"/>
        <v>0</v>
      </c>
      <c r="I73" s="1206">
        <f t="shared" si="41"/>
        <v>0</v>
      </c>
      <c r="J73" s="1206"/>
      <c r="K73" s="1171">
        <f>ROUND(SUM(G73:J73),2)</f>
        <v>0</v>
      </c>
      <c r="L73" s="578">
        <f t="shared" si="38"/>
        <v>0</v>
      </c>
      <c r="M73" s="2734" t="s">
        <v>1192</v>
      </c>
      <c r="N73" s="2735"/>
      <c r="O73" s="2736"/>
      <c r="P73" s="2731" t="s">
        <v>1260</v>
      </c>
      <c r="Q73" s="2732"/>
      <c r="R73" s="2733"/>
      <c r="S73" s="2731" t="s">
        <v>1261</v>
      </c>
      <c r="T73" s="2733"/>
    </row>
    <row r="74" spans="1:20" ht="21.95" customHeight="1" x14ac:dyDescent="0.15">
      <c r="A74" s="2513"/>
      <c r="B74" s="2742"/>
      <c r="C74" s="2729" t="s">
        <v>516</v>
      </c>
      <c r="D74" s="1069" t="s">
        <v>624</v>
      </c>
      <c r="E74" s="1488"/>
      <c r="F74" s="1489"/>
      <c r="G74" s="368"/>
      <c r="H74" s="368"/>
      <c r="I74" s="368"/>
      <c r="J74" s="368"/>
      <c r="K74" s="1076"/>
      <c r="L74" s="578">
        <f t="shared" si="38"/>
        <v>0</v>
      </c>
      <c r="M74" s="1023" t="s">
        <v>1178</v>
      </c>
      <c r="N74" s="1023" t="s">
        <v>1179</v>
      </c>
      <c r="O74" s="1023" t="s">
        <v>1185</v>
      </c>
      <c r="P74" s="1023" t="s">
        <v>1178</v>
      </c>
      <c r="Q74" s="1023" t="s">
        <v>1179</v>
      </c>
      <c r="R74" s="1023" t="s">
        <v>1185</v>
      </c>
      <c r="S74" s="1023" t="s">
        <v>1178</v>
      </c>
      <c r="T74" s="1023" t="s">
        <v>1179</v>
      </c>
    </row>
    <row r="75" spans="1:20" ht="21.95" customHeight="1" x14ac:dyDescent="0.15">
      <c r="A75" s="2513"/>
      <c r="B75" s="2742"/>
      <c r="C75" s="2730"/>
      <c r="D75" s="542" t="s">
        <v>3</v>
      </c>
      <c r="E75" s="1490"/>
      <c r="F75" s="1491"/>
      <c r="G75" s="1206">
        <f t="shared" ref="G75:I75" si="42">ROUND(+G74*G$2,2)</f>
        <v>0</v>
      </c>
      <c r="H75" s="1206">
        <f t="shared" si="42"/>
        <v>0</v>
      </c>
      <c r="I75" s="1206">
        <f t="shared" si="42"/>
        <v>0</v>
      </c>
      <c r="J75" s="1206"/>
      <c r="K75" s="1171">
        <f>ROUND(SUM(G75:J75),2)</f>
        <v>0</v>
      </c>
      <c r="L75" s="578">
        <f t="shared" si="38"/>
        <v>0</v>
      </c>
      <c r="M75" s="1024">
        <v>94963</v>
      </c>
      <c r="N75" s="1024">
        <v>94964</v>
      </c>
      <c r="O75" s="1024">
        <v>88631</v>
      </c>
      <c r="P75" s="1024">
        <v>94963</v>
      </c>
      <c r="Q75" s="1024">
        <v>94964</v>
      </c>
      <c r="R75" s="1024">
        <v>88631</v>
      </c>
      <c r="S75" s="1024">
        <v>94963</v>
      </c>
      <c r="T75" s="1024">
        <v>94964</v>
      </c>
    </row>
    <row r="76" spans="1:20" ht="21.95" customHeight="1" thickBot="1" x14ac:dyDescent="0.2">
      <c r="A76" s="2513"/>
      <c r="B76" s="2743"/>
      <c r="C76" s="2744" t="s">
        <v>1346</v>
      </c>
      <c r="D76" s="2745"/>
      <c r="E76" s="1475"/>
      <c r="F76" s="1462"/>
      <c r="G76" s="1138">
        <f t="shared" ref="G76:I76" si="43">G71*0.0615+G73*0.0285+G75*0.033</f>
        <v>0</v>
      </c>
      <c r="H76" s="1138">
        <f t="shared" si="43"/>
        <v>0</v>
      </c>
      <c r="I76" s="1138">
        <f t="shared" si="43"/>
        <v>0</v>
      </c>
      <c r="J76" s="1138"/>
      <c r="K76" s="1140">
        <f>ROUND(SUM(G76:J76),2)</f>
        <v>0</v>
      </c>
      <c r="L76" s="578">
        <f t="shared" si="38"/>
        <v>0</v>
      </c>
      <c r="M76" s="1024"/>
      <c r="N76" s="1024"/>
      <c r="O76" s="1024"/>
      <c r="P76" s="1024"/>
      <c r="Q76" s="1024"/>
      <c r="R76" s="1024"/>
      <c r="S76" s="1024"/>
      <c r="T76" s="1024"/>
    </row>
    <row r="77" spans="1:20" ht="21.95" customHeight="1" x14ac:dyDescent="0.15">
      <c r="A77" s="2513"/>
      <c r="B77" s="2741" t="s">
        <v>513</v>
      </c>
      <c r="C77" s="2674" t="s">
        <v>514</v>
      </c>
      <c r="D77" s="976" t="s">
        <v>624</v>
      </c>
      <c r="E77" s="1470"/>
      <c r="F77" s="1472"/>
      <c r="G77" s="424"/>
      <c r="H77" s="424"/>
      <c r="I77" s="424"/>
      <c r="J77" s="424"/>
      <c r="K77" s="498"/>
      <c r="L77" s="578">
        <f t="shared" si="38"/>
        <v>0</v>
      </c>
      <c r="M77" s="1025">
        <v>273.06</v>
      </c>
      <c r="N77" s="1025">
        <v>322.98</v>
      </c>
      <c r="O77" s="1025">
        <v>362.66</v>
      </c>
      <c r="P77" s="1026">
        <v>0.80500000000000005</v>
      </c>
      <c r="Q77" s="1026">
        <v>0.75580000000000003</v>
      </c>
      <c r="R77" s="1025">
        <v>1.1499999999999999</v>
      </c>
      <c r="S77" s="1026">
        <v>0.57899999999999996</v>
      </c>
      <c r="T77" s="1026">
        <v>0.58699999999999997</v>
      </c>
    </row>
    <row r="78" spans="1:20" ht="21.95" customHeight="1" x14ac:dyDescent="0.15">
      <c r="A78" s="2513"/>
      <c r="B78" s="2742"/>
      <c r="C78" s="2730"/>
      <c r="D78" s="542" t="s">
        <v>3</v>
      </c>
      <c r="E78" s="1490"/>
      <c r="F78" s="1491"/>
      <c r="G78" s="1206">
        <f t="shared" ref="G78:I78" si="44">ROUND(+G77*G$2,2)</f>
        <v>0</v>
      </c>
      <c r="H78" s="1206">
        <f t="shared" si="44"/>
        <v>0</v>
      </c>
      <c r="I78" s="1206">
        <f t="shared" si="44"/>
        <v>0</v>
      </c>
      <c r="J78" s="1206"/>
      <c r="K78" s="1207">
        <f>ROUND(SUM(G78:J78),2)</f>
        <v>0</v>
      </c>
      <c r="L78" s="578">
        <f t="shared" si="38"/>
        <v>0</v>
      </c>
      <c r="M78" s="1027">
        <v>6.1499999999999999E-2</v>
      </c>
      <c r="N78" s="1027"/>
      <c r="O78" s="1028"/>
      <c r="P78" s="1027">
        <v>6.1499999999999999E-2</v>
      </c>
      <c r="Q78" s="1027"/>
      <c r="R78" s="1028"/>
      <c r="S78" s="1027">
        <v>6.1499999999999999E-2</v>
      </c>
      <c r="T78" s="1027"/>
    </row>
    <row r="79" spans="1:20" ht="21.95" customHeight="1" x14ac:dyDescent="0.15">
      <c r="A79" s="2513"/>
      <c r="B79" s="2742"/>
      <c r="C79" s="2729" t="s">
        <v>515</v>
      </c>
      <c r="D79" s="1069" t="s">
        <v>624</v>
      </c>
      <c r="E79" s="1488"/>
      <c r="F79" s="1489"/>
      <c r="G79" s="1020"/>
      <c r="H79" s="1020"/>
      <c r="I79" s="1020"/>
      <c r="J79" s="1020"/>
      <c r="K79" s="1075"/>
      <c r="L79" s="578">
        <f t="shared" si="38"/>
        <v>0</v>
      </c>
      <c r="M79" s="1027"/>
      <c r="N79" s="1027"/>
      <c r="O79" s="1029"/>
      <c r="P79" s="1027"/>
      <c r="Q79" s="1027"/>
      <c r="R79" s="1029"/>
      <c r="S79" s="1027"/>
      <c r="T79" s="1027"/>
    </row>
    <row r="80" spans="1:20" ht="21.95" customHeight="1" x14ac:dyDescent="0.15">
      <c r="A80" s="2513"/>
      <c r="B80" s="2742"/>
      <c r="C80" s="2730"/>
      <c r="D80" s="542" t="s">
        <v>3</v>
      </c>
      <c r="E80" s="1490"/>
      <c r="F80" s="1491"/>
      <c r="G80" s="1206">
        <f t="shared" ref="G80:I80" si="45">ROUND(+G79*G$2,2)</f>
        <v>0</v>
      </c>
      <c r="H80" s="1206">
        <f t="shared" si="45"/>
        <v>0</v>
      </c>
      <c r="I80" s="1206">
        <f t="shared" si="45"/>
        <v>0</v>
      </c>
      <c r="J80" s="1206"/>
      <c r="K80" s="1207">
        <f>ROUND(SUM(G80:J80),2)</f>
        <v>0</v>
      </c>
      <c r="L80" s="578">
        <f t="shared" si="38"/>
        <v>0</v>
      </c>
      <c r="M80" s="1027">
        <v>2.8500000000000001E-2</v>
      </c>
      <c r="N80" s="1027"/>
      <c r="O80" s="1029"/>
      <c r="P80" s="1027">
        <v>2.8500000000000001E-2</v>
      </c>
      <c r="Q80" s="1027"/>
      <c r="R80" s="1029"/>
      <c r="S80" s="1027">
        <v>2.8500000000000001E-2</v>
      </c>
      <c r="T80" s="1027"/>
    </row>
    <row r="81" spans="1:20" ht="21.95" customHeight="1" x14ac:dyDescent="0.15">
      <c r="A81" s="2513"/>
      <c r="B81" s="2742"/>
      <c r="C81" s="2676" t="s">
        <v>516</v>
      </c>
      <c r="D81" s="586" t="s">
        <v>624</v>
      </c>
      <c r="E81" s="1475"/>
      <c r="F81" s="1462"/>
      <c r="G81" s="368"/>
      <c r="H81" s="368"/>
      <c r="I81" s="368"/>
      <c r="J81" s="368"/>
      <c r="K81" s="499"/>
      <c r="L81" s="578">
        <f t="shared" si="38"/>
        <v>0</v>
      </c>
      <c r="M81" s="1027"/>
      <c r="N81" s="1027"/>
      <c r="O81" s="1029"/>
      <c r="P81" s="1027"/>
      <c r="Q81" s="1027"/>
      <c r="R81" s="1029"/>
      <c r="S81" s="1027"/>
      <c r="T81" s="1027"/>
    </row>
    <row r="82" spans="1:20" ht="21.95" customHeight="1" thickBot="1" x14ac:dyDescent="0.2">
      <c r="A82" s="2513"/>
      <c r="B82" s="2743"/>
      <c r="C82" s="2675"/>
      <c r="D82" s="545" t="s">
        <v>3</v>
      </c>
      <c r="E82" s="1476"/>
      <c r="F82" s="1473"/>
      <c r="G82" s="1206">
        <f t="shared" ref="G82:I82" si="46">ROUND(+G81*G$2,2)</f>
        <v>0</v>
      </c>
      <c r="H82" s="1206">
        <f t="shared" si="46"/>
        <v>0</v>
      </c>
      <c r="I82" s="1206">
        <f t="shared" si="46"/>
        <v>0</v>
      </c>
      <c r="J82" s="1206"/>
      <c r="K82" s="1140">
        <f>ROUND(SUM(G82:J82),2)</f>
        <v>0</v>
      </c>
      <c r="L82" s="578">
        <f t="shared" si="38"/>
        <v>0</v>
      </c>
      <c r="M82" s="1027">
        <v>3.3000000000000002E-2</v>
      </c>
      <c r="N82" s="1027"/>
      <c r="O82" s="1029"/>
      <c r="P82" s="1027">
        <v>3.3000000000000002E-2</v>
      </c>
      <c r="Q82" s="1027"/>
      <c r="R82" s="1029"/>
      <c r="S82" s="1027">
        <v>3.3000000000000002E-2</v>
      </c>
      <c r="T82" s="1027"/>
    </row>
    <row r="83" spans="1:20" ht="21.95" customHeight="1" thickBot="1" x14ac:dyDescent="0.2">
      <c r="A83" s="2513"/>
      <c r="B83" s="2737" t="s">
        <v>25</v>
      </c>
      <c r="C83" s="2738"/>
      <c r="D83" s="929" t="s">
        <v>3</v>
      </c>
      <c r="E83" s="1515"/>
      <c r="F83" s="1516"/>
      <c r="G83" s="1208"/>
      <c r="H83" s="1208"/>
      <c r="I83" s="1208"/>
      <c r="J83" s="1208"/>
      <c r="K83" s="498"/>
      <c r="L83" s="578">
        <f t="shared" si="38"/>
        <v>0</v>
      </c>
      <c r="M83" s="1027"/>
      <c r="N83" s="1027"/>
      <c r="O83" s="1029"/>
      <c r="P83" s="1027"/>
      <c r="Q83" s="1027"/>
      <c r="R83" s="1029"/>
      <c r="S83" s="1027"/>
      <c r="T83" s="1027"/>
    </row>
    <row r="84" spans="1:20" ht="21.95" customHeight="1" thickBot="1" x14ac:dyDescent="0.2">
      <c r="A84" s="2513"/>
      <c r="B84" s="2737"/>
      <c r="C84" s="2738"/>
      <c r="D84" s="590" t="s">
        <v>58</v>
      </c>
      <c r="E84" s="1517"/>
      <c r="F84" s="591"/>
      <c r="G84" s="1208"/>
      <c r="H84" s="1208"/>
      <c r="I84" s="1208"/>
      <c r="J84" s="1208"/>
      <c r="K84" s="1148">
        <f t="shared" ref="K84:K114" si="47">ROUND(SUM(G84:J84),2)</f>
        <v>0</v>
      </c>
      <c r="L84" s="578">
        <f t="shared" si="38"/>
        <v>0</v>
      </c>
      <c r="M84" s="1027"/>
      <c r="N84" s="1027"/>
      <c r="O84" s="1029"/>
      <c r="P84" s="1027"/>
      <c r="Q84" s="1027"/>
      <c r="R84" s="1029"/>
      <c r="S84" s="1027"/>
      <c r="T84" s="1027"/>
    </row>
    <row r="85" spans="1:20" ht="21.95" customHeight="1" thickBot="1" x14ac:dyDescent="0.2">
      <c r="A85" s="2513"/>
      <c r="B85" s="2737"/>
      <c r="C85" s="2738"/>
      <c r="D85" s="928" t="s">
        <v>29</v>
      </c>
      <c r="E85" s="1518"/>
      <c r="F85" s="1519"/>
      <c r="G85" s="239">
        <f t="shared" ref="G85:I85" si="48">G84*G83</f>
        <v>0</v>
      </c>
      <c r="H85" s="239">
        <f t="shared" si="48"/>
        <v>0</v>
      </c>
      <c r="I85" s="239">
        <f t="shared" si="48"/>
        <v>0</v>
      </c>
      <c r="J85" s="239"/>
      <c r="K85" s="1140">
        <f t="shared" si="47"/>
        <v>0</v>
      </c>
      <c r="L85" s="578">
        <f t="shared" si="38"/>
        <v>0</v>
      </c>
      <c r="M85" s="1027"/>
      <c r="N85" s="1027"/>
      <c r="O85" s="1029"/>
      <c r="P85" s="1027"/>
      <c r="Q85" s="1027"/>
      <c r="R85" s="1029"/>
      <c r="S85" s="1027"/>
      <c r="T85" s="1027"/>
    </row>
    <row r="86" spans="1:20" ht="21.95" customHeight="1" thickBot="1" x14ac:dyDescent="0.2">
      <c r="A86" s="2513"/>
      <c r="B86" s="2739" t="s">
        <v>325</v>
      </c>
      <c r="C86" s="2740"/>
      <c r="D86" s="542" t="s">
        <v>1424</v>
      </c>
      <c r="E86" s="1530"/>
      <c r="F86" s="1516"/>
      <c r="G86" s="1734"/>
      <c r="H86" s="1734"/>
      <c r="I86" s="1734"/>
      <c r="J86" s="1734"/>
      <c r="K86" s="495">
        <f t="shared" si="47"/>
        <v>0</v>
      </c>
      <c r="L86" s="578">
        <f t="shared" si="38"/>
        <v>0</v>
      </c>
      <c r="M86" s="1027"/>
      <c r="N86" s="1027"/>
      <c r="O86" s="1029"/>
      <c r="P86" s="1027"/>
      <c r="Q86" s="1027"/>
      <c r="R86" s="1029"/>
      <c r="S86" s="1027"/>
      <c r="T86" s="1027"/>
    </row>
    <row r="87" spans="1:20" ht="21.95" customHeight="1" thickBot="1" x14ac:dyDescent="0.2">
      <c r="A87" s="2513"/>
      <c r="B87" s="2739"/>
      <c r="C87" s="2740"/>
      <c r="D87" s="545" t="s">
        <v>1425</v>
      </c>
      <c r="E87" s="1531"/>
      <c r="F87" s="1519"/>
      <c r="G87" s="1735"/>
      <c r="H87" s="1735"/>
      <c r="I87" s="1735"/>
      <c r="J87" s="1735"/>
      <c r="K87" s="494">
        <f t="shared" si="47"/>
        <v>0</v>
      </c>
      <c r="L87" s="578">
        <f t="shared" si="38"/>
        <v>0</v>
      </c>
      <c r="M87" s="1027"/>
      <c r="N87" s="1027"/>
      <c r="O87" s="1029"/>
      <c r="P87" s="1027"/>
      <c r="Q87" s="1027"/>
      <c r="R87" s="1029"/>
      <c r="S87" s="1027"/>
      <c r="T87" s="1027"/>
    </row>
    <row r="88" spans="1:20" ht="21.95" customHeight="1" x14ac:dyDescent="0.15">
      <c r="A88" s="2513"/>
      <c r="B88" s="2522" t="s">
        <v>503</v>
      </c>
      <c r="C88" s="2646"/>
      <c r="D88" s="549" t="s">
        <v>505</v>
      </c>
      <c r="E88" s="1470"/>
      <c r="F88" s="1472"/>
      <c r="G88" s="672"/>
      <c r="H88" s="672"/>
      <c r="I88" s="672"/>
      <c r="J88" s="672"/>
      <c r="K88" s="495">
        <f t="shared" si="47"/>
        <v>0</v>
      </c>
      <c r="L88" s="578">
        <f t="shared" si="38"/>
        <v>0</v>
      </c>
      <c r="M88" s="1027"/>
      <c r="N88" s="1027">
        <v>6.9600000000000009E-2</v>
      </c>
      <c r="O88" s="1029">
        <v>8.0000000000000002E-3</v>
      </c>
      <c r="P88" s="1027"/>
      <c r="Q88" s="1027">
        <v>6.9600000000000009E-2</v>
      </c>
      <c r="R88" s="1029">
        <v>8.0000000000000002E-3</v>
      </c>
      <c r="S88" s="1027"/>
      <c r="T88" s="1027">
        <v>6.9600000000000009E-2</v>
      </c>
    </row>
    <row r="89" spans="1:20" ht="21.95" customHeight="1" thickBot="1" x14ac:dyDescent="0.2">
      <c r="A89" s="2513"/>
      <c r="B89" s="2524"/>
      <c r="C89" s="2648"/>
      <c r="D89" s="550" t="s">
        <v>506</v>
      </c>
      <c r="E89" s="1476"/>
      <c r="F89" s="1473"/>
      <c r="G89" s="673"/>
      <c r="H89" s="673"/>
      <c r="I89" s="673"/>
      <c r="J89" s="673"/>
      <c r="K89" s="494">
        <f t="shared" si="47"/>
        <v>0</v>
      </c>
      <c r="L89" s="578">
        <f t="shared" si="38"/>
        <v>0</v>
      </c>
      <c r="M89" s="1027"/>
      <c r="N89" s="1027">
        <v>6.9600000000000009E-2</v>
      </c>
      <c r="O89" s="1029">
        <v>8.0000000000000002E-3</v>
      </c>
      <c r="P89" s="1027"/>
      <c r="Q89" s="1027">
        <v>6.9600000000000009E-2</v>
      </c>
      <c r="R89" s="1029">
        <v>8.0000000000000002E-3</v>
      </c>
      <c r="S89" s="1027"/>
      <c r="T89" s="1027">
        <v>6.9600000000000009E-2</v>
      </c>
    </row>
    <row r="90" spans="1:20" ht="21.95" customHeight="1" x14ac:dyDescent="0.15">
      <c r="A90" s="2513"/>
      <c r="B90" s="2616" t="s">
        <v>1257</v>
      </c>
      <c r="C90" s="2725"/>
      <c r="D90" s="551" t="s">
        <v>505</v>
      </c>
      <c r="E90" s="1475"/>
      <c r="F90" s="1462"/>
      <c r="G90" s="426"/>
      <c r="H90" s="426"/>
      <c r="I90" s="426"/>
      <c r="J90" s="426"/>
      <c r="K90" s="495">
        <f t="shared" si="47"/>
        <v>0</v>
      </c>
      <c r="L90" s="578">
        <f t="shared" si="38"/>
        <v>0</v>
      </c>
      <c r="M90" s="1027"/>
      <c r="N90" s="1027">
        <v>0.123031</v>
      </c>
      <c r="O90" s="1029">
        <v>5.0000000000000001E-3</v>
      </c>
      <c r="P90" s="1027"/>
      <c r="Q90" s="1027">
        <v>0.123031</v>
      </c>
      <c r="R90" s="1029">
        <v>5.0000000000000001E-3</v>
      </c>
      <c r="S90" s="1027"/>
      <c r="T90" s="1027">
        <v>0.123031</v>
      </c>
    </row>
    <row r="91" spans="1:20" ht="21.95" customHeight="1" thickBot="1" x14ac:dyDescent="0.2">
      <c r="A91" s="2513"/>
      <c r="B91" s="2623"/>
      <c r="C91" s="2726"/>
      <c r="D91" s="550" t="s">
        <v>506</v>
      </c>
      <c r="E91" s="1476"/>
      <c r="F91" s="1473"/>
      <c r="G91" s="673"/>
      <c r="H91" s="673"/>
      <c r="I91" s="673"/>
      <c r="J91" s="673"/>
      <c r="K91" s="494">
        <f t="shared" si="47"/>
        <v>0</v>
      </c>
      <c r="L91" s="578">
        <f t="shared" si="38"/>
        <v>0</v>
      </c>
      <c r="M91" s="1027"/>
      <c r="N91" s="1027">
        <v>0.123031</v>
      </c>
      <c r="O91" s="1029">
        <v>5.0000000000000001E-3</v>
      </c>
      <c r="P91" s="1027"/>
      <c r="Q91" s="1027">
        <v>0.123031</v>
      </c>
      <c r="R91" s="1029">
        <v>5.0000000000000001E-3</v>
      </c>
      <c r="S91" s="1027"/>
      <c r="T91" s="1027">
        <v>0.123031</v>
      </c>
    </row>
    <row r="92" spans="1:20" ht="21.95" customHeight="1" x14ac:dyDescent="0.15">
      <c r="A92" s="2513"/>
      <c r="B92" s="2616" t="s">
        <v>1258</v>
      </c>
      <c r="C92" s="2725"/>
      <c r="D92" s="551" t="s">
        <v>1259</v>
      </c>
      <c r="E92" s="1475"/>
      <c r="F92" s="1462"/>
      <c r="G92" s="426"/>
      <c r="H92" s="426"/>
      <c r="I92" s="426"/>
      <c r="J92" s="426"/>
      <c r="K92" s="495">
        <f t="shared" si="47"/>
        <v>0</v>
      </c>
      <c r="L92" s="578">
        <f t="shared" si="38"/>
        <v>0</v>
      </c>
      <c r="M92" s="1027"/>
      <c r="N92" s="1027">
        <v>0.49809900000000001</v>
      </c>
      <c r="O92" s="1029">
        <v>1.8E-3</v>
      </c>
      <c r="P92" s="1027"/>
      <c r="Q92" s="1027">
        <v>0.49809900000000001</v>
      </c>
      <c r="R92" s="1029">
        <v>1.8E-3</v>
      </c>
      <c r="S92" s="1027"/>
      <c r="T92" s="1027">
        <v>0.49809900000000001</v>
      </c>
    </row>
    <row r="93" spans="1:20" ht="21.95" customHeight="1" thickBot="1" x14ac:dyDescent="0.2">
      <c r="A93" s="2513"/>
      <c r="B93" s="2623"/>
      <c r="C93" s="2726"/>
      <c r="D93" s="550" t="s">
        <v>505</v>
      </c>
      <c r="E93" s="1476"/>
      <c r="F93" s="1473"/>
      <c r="G93" s="673"/>
      <c r="H93" s="673"/>
      <c r="I93" s="673"/>
      <c r="J93" s="673"/>
      <c r="K93" s="494">
        <f t="shared" si="47"/>
        <v>0</v>
      </c>
      <c r="L93" s="578">
        <f t="shared" si="38"/>
        <v>0</v>
      </c>
      <c r="M93" s="1027"/>
      <c r="N93" s="1027">
        <v>0.49809900000000001</v>
      </c>
      <c r="O93" s="1029">
        <v>1.8E-3</v>
      </c>
      <c r="P93" s="1027"/>
      <c r="Q93" s="1027">
        <v>0.49809900000000001</v>
      </c>
      <c r="R93" s="1029">
        <v>1.8E-3</v>
      </c>
      <c r="S93" s="1027"/>
      <c r="T93" s="1027">
        <v>0.49809900000000001</v>
      </c>
    </row>
    <row r="94" spans="1:20" ht="21.95" customHeight="1" thickBot="1" x14ac:dyDescent="0.2">
      <c r="A94" s="2513"/>
      <c r="B94" s="2614" t="s">
        <v>1351</v>
      </c>
      <c r="C94" s="2582"/>
      <c r="D94" s="1068" t="s">
        <v>1530</v>
      </c>
      <c r="E94" s="1484"/>
      <c r="F94" s="500"/>
      <c r="G94" s="1141">
        <f>G95</f>
        <v>0</v>
      </c>
      <c r="H94" s="1141">
        <f t="shared" ref="H94:I94" si="49">H95</f>
        <v>0</v>
      </c>
      <c r="I94" s="1141">
        <f t="shared" si="49"/>
        <v>0</v>
      </c>
      <c r="J94" s="1141"/>
      <c r="K94" s="494">
        <f t="shared" si="47"/>
        <v>0</v>
      </c>
      <c r="L94" s="578">
        <f t="shared" si="38"/>
        <v>0</v>
      </c>
      <c r="M94" s="1162"/>
      <c r="N94" s="1162"/>
      <c r="O94" s="1162"/>
      <c r="P94" s="1162"/>
      <c r="Q94" s="1162"/>
      <c r="R94" s="1162"/>
      <c r="S94" s="1162"/>
      <c r="T94" s="1162"/>
    </row>
    <row r="95" spans="1:20" ht="21.95" customHeight="1" x14ac:dyDescent="0.15">
      <c r="A95" s="2513"/>
      <c r="B95" s="2727" t="s">
        <v>1375</v>
      </c>
      <c r="C95" s="2674"/>
      <c r="D95" s="566" t="s">
        <v>1251</v>
      </c>
      <c r="E95" s="1475"/>
      <c r="F95" s="1462"/>
      <c r="G95" s="1138">
        <f t="shared" ref="G95:I95" si="50">G76*1.25</f>
        <v>0</v>
      </c>
      <c r="H95" s="1138">
        <f t="shared" si="50"/>
        <v>0</v>
      </c>
      <c r="I95" s="1138">
        <f t="shared" si="50"/>
        <v>0</v>
      </c>
      <c r="J95" s="1138"/>
      <c r="K95" s="1205">
        <f t="shared" si="47"/>
        <v>0</v>
      </c>
      <c r="L95" s="578">
        <f t="shared" si="38"/>
        <v>0</v>
      </c>
      <c r="M95" s="1162"/>
      <c r="N95" s="1162"/>
      <c r="O95" s="1162"/>
      <c r="P95" s="1162"/>
      <c r="Q95" s="1162"/>
      <c r="R95" s="1162"/>
      <c r="S95" s="1162"/>
      <c r="T95" s="1162"/>
    </row>
    <row r="96" spans="1:20" ht="21.95" customHeight="1" x14ac:dyDescent="0.15">
      <c r="A96" s="2513"/>
      <c r="B96" s="2516"/>
      <c r="C96" s="2676"/>
      <c r="D96" s="566" t="s">
        <v>1203</v>
      </c>
      <c r="E96" s="1475"/>
      <c r="F96" s="1462"/>
      <c r="G96" s="1138">
        <f>(SUMPRODUCT(G78:G82,$M78:$M82)*$M$77+SUMPRODUCT(G88:G93,$N88:$N93)*$N$77+SUMPRODUCT(G88:G93,$O88:$O93)*$O$77)/1000</f>
        <v>0</v>
      </c>
      <c r="H96" s="1138">
        <f t="shared" ref="H96:I96" si="51">(SUMPRODUCT(H78:H82,$M78:$M82)*$M$77+SUMPRODUCT(H88:H93,$N88:$N93)*$N$77+SUMPRODUCT(H88:H93,$O88:$O93)*$O$77)/1000</f>
        <v>0</v>
      </c>
      <c r="I96" s="1138">
        <f t="shared" si="51"/>
        <v>0</v>
      </c>
      <c r="J96" s="1138"/>
      <c r="K96" s="1139">
        <f t="shared" si="47"/>
        <v>0</v>
      </c>
      <c r="L96" s="578">
        <f t="shared" si="38"/>
        <v>0</v>
      </c>
      <c r="M96" s="1162"/>
      <c r="N96" s="1162"/>
      <c r="O96" s="1162"/>
      <c r="P96" s="1162"/>
      <c r="Q96" s="1162"/>
      <c r="R96" s="1162"/>
      <c r="S96" s="1162"/>
      <c r="T96" s="1162"/>
    </row>
    <row r="97" spans="1:20" ht="21.95" customHeight="1" x14ac:dyDescent="0.15">
      <c r="A97" s="2513"/>
      <c r="B97" s="2516"/>
      <c r="C97" s="2676"/>
      <c r="D97" s="558" t="s">
        <v>1389</v>
      </c>
      <c r="E97" s="1475"/>
      <c r="F97" s="1462"/>
      <c r="G97" s="1138">
        <f>SUMPRODUCT(G78:G82,$P78:$P82)*$P$77+SUMPRODUCT(G88:G93,$Q88:$Q93)*$Q$77+SUMPRODUCT(G88:G93,$R88:$R93)*$R$77</f>
        <v>0</v>
      </c>
      <c r="H97" s="1138">
        <f t="shared" ref="H97:I97" si="52">SUMPRODUCT(H78:H82,$P78:$P82)*$P$77+SUMPRODUCT(H88:H93,$Q88:$Q93)*$Q$77+SUMPRODUCT(H88:H93,$R88:$R93)*$R$77</f>
        <v>0</v>
      </c>
      <c r="I97" s="1138">
        <f t="shared" si="52"/>
        <v>0</v>
      </c>
      <c r="J97" s="1138"/>
      <c r="K97" s="1139">
        <f t="shared" si="47"/>
        <v>0</v>
      </c>
      <c r="L97" s="578">
        <f t="shared" si="38"/>
        <v>0</v>
      </c>
      <c r="M97" s="1162"/>
      <c r="N97" s="1162"/>
      <c r="O97" s="1162"/>
      <c r="P97" s="1162"/>
      <c r="Q97" s="1162"/>
      <c r="R97" s="1162"/>
      <c r="S97" s="1162"/>
      <c r="T97" s="1162"/>
    </row>
    <row r="98" spans="1:20" ht="21.95" customHeight="1" thickBot="1" x14ac:dyDescent="0.2">
      <c r="A98" s="2513"/>
      <c r="B98" s="2516"/>
      <c r="C98" s="2676"/>
      <c r="D98" s="974" t="s">
        <v>1416</v>
      </c>
      <c r="E98" s="1475"/>
      <c r="F98" s="1462"/>
      <c r="G98" s="1138">
        <f t="shared" ref="G98:I98" si="53">G49</f>
        <v>0</v>
      </c>
      <c r="H98" s="1138">
        <f t="shared" si="53"/>
        <v>0</v>
      </c>
      <c r="I98" s="1138">
        <f t="shared" si="53"/>
        <v>0</v>
      </c>
      <c r="J98" s="1138"/>
      <c r="K98" s="1139">
        <f t="shared" si="47"/>
        <v>0</v>
      </c>
      <c r="L98" s="578">
        <f t="shared" si="38"/>
        <v>0</v>
      </c>
      <c r="M98" s="1162"/>
      <c r="N98" s="1162"/>
      <c r="O98" s="1162"/>
      <c r="P98" s="1162"/>
      <c r="Q98" s="1162"/>
      <c r="R98" s="1162"/>
      <c r="S98" s="1162"/>
      <c r="T98" s="1162"/>
    </row>
    <row r="99" spans="1:20" ht="21.95" customHeight="1" x14ac:dyDescent="0.15">
      <c r="A99" s="2513"/>
      <c r="B99" s="2727"/>
      <c r="C99" s="2674"/>
      <c r="D99" s="549" t="s">
        <v>1390</v>
      </c>
      <c r="E99" s="1475"/>
      <c r="F99" s="1462"/>
      <c r="G99" s="1136">
        <f t="shared" ref="G99:I100" si="54">G62</f>
        <v>0</v>
      </c>
      <c r="H99" s="1136">
        <f t="shared" si="54"/>
        <v>0</v>
      </c>
      <c r="I99" s="1136">
        <f t="shared" si="54"/>
        <v>0</v>
      </c>
      <c r="J99" s="1138"/>
      <c r="K99" s="1203">
        <f t="shared" si="47"/>
        <v>0</v>
      </c>
      <c r="L99" s="578">
        <f t="shared" si="38"/>
        <v>0</v>
      </c>
      <c r="M99" s="1162"/>
      <c r="N99" s="1162"/>
      <c r="O99" s="1162"/>
      <c r="P99" s="1162"/>
      <c r="Q99" s="1162"/>
      <c r="R99" s="1162"/>
      <c r="S99" s="1162"/>
      <c r="T99" s="1162"/>
    </row>
    <row r="100" spans="1:20" ht="21.95" customHeight="1" x14ac:dyDescent="0.15">
      <c r="A100" s="2513"/>
      <c r="B100" s="2516"/>
      <c r="C100" s="2676"/>
      <c r="D100" s="558" t="s">
        <v>1391</v>
      </c>
      <c r="E100" s="1475"/>
      <c r="F100" s="1462"/>
      <c r="G100" s="1138">
        <f t="shared" si="54"/>
        <v>0</v>
      </c>
      <c r="H100" s="1138">
        <f t="shared" si="54"/>
        <v>0</v>
      </c>
      <c r="I100" s="1138">
        <f t="shared" si="54"/>
        <v>0</v>
      </c>
      <c r="J100" s="1138"/>
      <c r="K100" s="1139">
        <f t="shared" si="47"/>
        <v>0</v>
      </c>
      <c r="L100" s="578">
        <f t="shared" si="38"/>
        <v>0</v>
      </c>
      <c r="M100" s="1162"/>
      <c r="N100" s="1162"/>
      <c r="O100" s="1162"/>
      <c r="P100" s="1162"/>
      <c r="Q100" s="1162"/>
      <c r="R100" s="1162"/>
      <c r="S100" s="1162"/>
      <c r="T100" s="1162"/>
    </row>
    <row r="101" spans="1:20" ht="21.95" customHeight="1" x14ac:dyDescent="0.15">
      <c r="A101" s="2513"/>
      <c r="B101" s="2516"/>
      <c r="C101" s="2676"/>
      <c r="D101" s="566" t="s">
        <v>1600</v>
      </c>
      <c r="E101" s="1475"/>
      <c r="F101" s="1462"/>
      <c r="G101" s="1138">
        <f>SUMPRODUCT(G78:G82,$S78:$S82)*$S$77+SUMPRODUCT(G88:G93,$T88:$T93)*$T$77</f>
        <v>0</v>
      </c>
      <c r="H101" s="1138">
        <f t="shared" ref="H101:I101" si="55">SUMPRODUCT(H78:H82,$S78:$S82)*$S$77+SUMPRODUCT(H88:H93,$T88:$T93)*$T$77</f>
        <v>0</v>
      </c>
      <c r="I101" s="1138">
        <f t="shared" si="55"/>
        <v>0</v>
      </c>
      <c r="J101" s="1138"/>
      <c r="K101" s="1139">
        <f t="shared" si="47"/>
        <v>0</v>
      </c>
      <c r="L101" s="578">
        <f t="shared" si="38"/>
        <v>0</v>
      </c>
      <c r="M101" s="1162"/>
      <c r="N101" s="1162"/>
      <c r="O101" s="1162"/>
      <c r="P101" s="1162"/>
      <c r="Q101" s="1162"/>
      <c r="R101" s="1162"/>
      <c r="S101" s="1162"/>
      <c r="T101" s="1162"/>
    </row>
    <row r="102" spans="1:20" ht="21.95" customHeight="1" x14ac:dyDescent="0.15">
      <c r="A102" s="2513"/>
      <c r="B102" s="2516"/>
      <c r="C102" s="2676"/>
      <c r="D102" s="566" t="s">
        <v>1781</v>
      </c>
      <c r="E102" s="1475"/>
      <c r="F102" s="1462"/>
      <c r="G102" s="1138">
        <f t="shared" ref="G102:I102" si="56">G40+G43+G46</f>
        <v>0</v>
      </c>
      <c r="H102" s="1138">
        <f t="shared" si="56"/>
        <v>0</v>
      </c>
      <c r="I102" s="1138">
        <f t="shared" si="56"/>
        <v>0</v>
      </c>
      <c r="J102" s="1138"/>
      <c r="K102" s="1139">
        <f t="shared" si="47"/>
        <v>0</v>
      </c>
      <c r="L102" s="578">
        <f t="shared" si="38"/>
        <v>0</v>
      </c>
      <c r="M102" s="1162"/>
      <c r="N102" s="1162"/>
      <c r="O102" s="1162"/>
      <c r="P102" s="1162"/>
      <c r="Q102" s="1162"/>
      <c r="R102" s="1162"/>
      <c r="S102" s="1162"/>
      <c r="T102" s="1162"/>
    </row>
    <row r="103" spans="1:20" ht="21.95" customHeight="1" thickBot="1" x14ac:dyDescent="0.2">
      <c r="A103" s="2513"/>
      <c r="B103" s="2516"/>
      <c r="C103" s="2676"/>
      <c r="D103" s="566" t="s">
        <v>1782</v>
      </c>
      <c r="E103" s="1475"/>
      <c r="F103" s="1462"/>
      <c r="G103" s="1138">
        <f t="shared" ref="G103:I103" si="57">G50+G55</f>
        <v>0</v>
      </c>
      <c r="H103" s="1138">
        <f t="shared" si="57"/>
        <v>0</v>
      </c>
      <c r="I103" s="1138">
        <f t="shared" si="57"/>
        <v>0</v>
      </c>
      <c r="J103" s="1138"/>
      <c r="K103" s="1139">
        <f t="shared" si="47"/>
        <v>0</v>
      </c>
      <c r="L103" s="578">
        <f t="shared" si="38"/>
        <v>0</v>
      </c>
      <c r="M103" s="1162"/>
      <c r="N103" s="1162"/>
      <c r="O103" s="1162"/>
      <c r="P103" s="1162"/>
      <c r="Q103" s="1162"/>
      <c r="R103" s="1162"/>
      <c r="S103" s="1162"/>
      <c r="T103" s="1162"/>
    </row>
    <row r="104" spans="1:20" ht="21.95" customHeight="1" x14ac:dyDescent="0.15">
      <c r="A104" s="2513"/>
      <c r="B104" s="2727"/>
      <c r="C104" s="2674"/>
      <c r="D104" s="566" t="s">
        <v>1392</v>
      </c>
      <c r="E104" s="1475"/>
      <c r="F104" s="1462"/>
      <c r="G104" s="1138">
        <f t="shared" ref="G104:I105" si="58">G64</f>
        <v>0</v>
      </c>
      <c r="H104" s="1138">
        <f t="shared" si="58"/>
        <v>0</v>
      </c>
      <c r="I104" s="1138">
        <f t="shared" si="58"/>
        <v>0</v>
      </c>
      <c r="J104" s="1138"/>
      <c r="K104" s="1139">
        <f t="shared" si="47"/>
        <v>0</v>
      </c>
      <c r="L104" s="578">
        <f t="shared" si="38"/>
        <v>0</v>
      </c>
      <c r="M104" s="1162"/>
      <c r="N104" s="1162"/>
      <c r="O104" s="1162"/>
      <c r="P104" s="1162"/>
      <c r="Q104" s="1162"/>
      <c r="R104" s="1162"/>
      <c r="S104" s="1162"/>
      <c r="T104" s="1162"/>
    </row>
    <row r="105" spans="1:20" ht="21.95" customHeight="1" x14ac:dyDescent="0.15">
      <c r="A105" s="2513"/>
      <c r="B105" s="2516"/>
      <c r="C105" s="2676"/>
      <c r="D105" s="566" t="s">
        <v>1393</v>
      </c>
      <c r="E105" s="1475"/>
      <c r="F105" s="1462"/>
      <c r="G105" s="1138">
        <f t="shared" si="58"/>
        <v>0</v>
      </c>
      <c r="H105" s="1138">
        <f t="shared" si="58"/>
        <v>0</v>
      </c>
      <c r="I105" s="1138">
        <f t="shared" si="58"/>
        <v>0</v>
      </c>
      <c r="J105" s="1138"/>
      <c r="K105" s="1139">
        <f t="shared" si="47"/>
        <v>0</v>
      </c>
      <c r="L105" s="578">
        <f t="shared" si="38"/>
        <v>0</v>
      </c>
      <c r="M105" s="1162"/>
      <c r="N105" s="1162"/>
      <c r="O105" s="1162"/>
      <c r="P105" s="1162"/>
      <c r="Q105" s="1162"/>
      <c r="R105" s="1162"/>
      <c r="S105" s="1162"/>
      <c r="T105" s="1162"/>
    </row>
    <row r="106" spans="1:20" ht="21.95" customHeight="1" thickBot="1" x14ac:dyDescent="0.2">
      <c r="A106" s="2513"/>
      <c r="B106" s="2516"/>
      <c r="C106" s="2676"/>
      <c r="D106" s="566" t="s">
        <v>1405</v>
      </c>
      <c r="E106" s="1475"/>
      <c r="F106" s="1462"/>
      <c r="G106" s="1138">
        <f t="shared" ref="G106:I106" si="59">G41+G44+G47</f>
        <v>0</v>
      </c>
      <c r="H106" s="1138">
        <f t="shared" si="59"/>
        <v>0</v>
      </c>
      <c r="I106" s="1138">
        <f t="shared" si="59"/>
        <v>0</v>
      </c>
      <c r="J106" s="1138"/>
      <c r="K106" s="1139">
        <f t="shared" si="47"/>
        <v>0</v>
      </c>
      <c r="L106" s="578">
        <f t="shared" si="38"/>
        <v>0</v>
      </c>
      <c r="M106" s="1162"/>
      <c r="N106" s="1162"/>
      <c r="O106" s="1162"/>
      <c r="P106" s="1162"/>
      <c r="Q106" s="1162"/>
      <c r="R106" s="1162"/>
      <c r="S106" s="1162"/>
      <c r="T106" s="1162"/>
    </row>
    <row r="107" spans="1:20" ht="21.95" customHeight="1" x14ac:dyDescent="0.15">
      <c r="A107" s="2513"/>
      <c r="B107" s="2727"/>
      <c r="C107" s="2674"/>
      <c r="D107" s="566" t="s">
        <v>1400</v>
      </c>
      <c r="E107" s="1475"/>
      <c r="F107" s="1462"/>
      <c r="G107" s="1138">
        <f t="shared" ref="G107:I107" si="60">G53</f>
        <v>0</v>
      </c>
      <c r="H107" s="1138">
        <f t="shared" si="60"/>
        <v>0</v>
      </c>
      <c r="I107" s="1138">
        <f t="shared" si="60"/>
        <v>0</v>
      </c>
      <c r="J107" s="1138"/>
      <c r="K107" s="1139">
        <f t="shared" si="47"/>
        <v>0</v>
      </c>
      <c r="L107" s="578">
        <f t="shared" si="38"/>
        <v>0</v>
      </c>
      <c r="M107" s="1162"/>
      <c r="N107" s="1162"/>
      <c r="O107" s="1162"/>
      <c r="P107" s="1162"/>
      <c r="Q107" s="1162"/>
      <c r="R107" s="1162"/>
      <c r="S107" s="1162"/>
      <c r="T107" s="1162"/>
    </row>
    <row r="108" spans="1:20" ht="21.95" customHeight="1" x14ac:dyDescent="0.15">
      <c r="A108" s="2513"/>
      <c r="B108" s="2516"/>
      <c r="C108" s="2676"/>
      <c r="D108" s="566" t="s">
        <v>1406</v>
      </c>
      <c r="E108" s="1475"/>
      <c r="F108" s="1462"/>
      <c r="G108" s="1138">
        <f t="shared" ref="G108:I108" si="61">G51+G56</f>
        <v>0</v>
      </c>
      <c r="H108" s="1138">
        <f t="shared" si="61"/>
        <v>0</v>
      </c>
      <c r="I108" s="1138">
        <f t="shared" si="61"/>
        <v>0</v>
      </c>
      <c r="J108" s="1138"/>
      <c r="K108" s="1139">
        <f t="shared" si="47"/>
        <v>0</v>
      </c>
      <c r="L108" s="578">
        <f t="shared" si="38"/>
        <v>0</v>
      </c>
      <c r="M108" s="1162"/>
      <c r="N108" s="1162"/>
      <c r="O108" s="1162"/>
      <c r="P108" s="1162"/>
      <c r="Q108" s="1162"/>
      <c r="R108" s="1162"/>
      <c r="S108" s="1162"/>
      <c r="T108" s="1162"/>
    </row>
    <row r="109" spans="1:20" ht="21.95" customHeight="1" thickBot="1" x14ac:dyDescent="0.2">
      <c r="A109" s="2513"/>
      <c r="B109" s="2516"/>
      <c r="C109" s="2676"/>
      <c r="D109" s="566" t="s">
        <v>1411</v>
      </c>
      <c r="E109" s="1475"/>
      <c r="F109" s="1462"/>
      <c r="G109" s="1138">
        <f t="shared" ref="G109:I109" si="62">G69</f>
        <v>0</v>
      </c>
      <c r="H109" s="1138">
        <f t="shared" si="62"/>
        <v>0</v>
      </c>
      <c r="I109" s="1138">
        <f t="shared" si="62"/>
        <v>0</v>
      </c>
      <c r="J109" s="1138"/>
      <c r="K109" s="1139">
        <f t="shared" si="47"/>
        <v>0</v>
      </c>
      <c r="L109" s="578">
        <f t="shared" si="38"/>
        <v>0</v>
      </c>
      <c r="M109" s="1162"/>
      <c r="N109" s="1162"/>
      <c r="O109" s="1162"/>
      <c r="P109" s="1162"/>
      <c r="Q109" s="1162"/>
      <c r="R109" s="1162"/>
      <c r="S109" s="1162"/>
      <c r="T109" s="1162"/>
    </row>
    <row r="110" spans="1:20" ht="21.95" customHeight="1" x14ac:dyDescent="0.15">
      <c r="A110" s="2513"/>
      <c r="B110" s="2727"/>
      <c r="C110" s="2674"/>
      <c r="D110" s="566" t="s">
        <v>1408</v>
      </c>
      <c r="E110" s="1475"/>
      <c r="F110" s="1462"/>
      <c r="G110" s="1138">
        <f t="shared" ref="G110:I112" si="63">G66</f>
        <v>0</v>
      </c>
      <c r="H110" s="1138">
        <f t="shared" si="63"/>
        <v>0</v>
      </c>
      <c r="I110" s="1138">
        <f t="shared" si="63"/>
        <v>0</v>
      </c>
      <c r="J110" s="1138"/>
      <c r="K110" s="1139">
        <f t="shared" si="47"/>
        <v>0</v>
      </c>
      <c r="L110" s="578">
        <f t="shared" si="38"/>
        <v>0</v>
      </c>
      <c r="M110" s="1162"/>
      <c r="N110" s="1162"/>
      <c r="O110" s="1162"/>
      <c r="P110" s="1162"/>
      <c r="Q110" s="1162"/>
      <c r="R110" s="1162"/>
      <c r="S110" s="1162"/>
      <c r="T110" s="1162"/>
    </row>
    <row r="111" spans="1:20" ht="21.95" customHeight="1" x14ac:dyDescent="0.15">
      <c r="A111" s="2513"/>
      <c r="B111" s="2516"/>
      <c r="C111" s="2676"/>
      <c r="D111" s="566" t="s">
        <v>1409</v>
      </c>
      <c r="E111" s="1475"/>
      <c r="F111" s="1462"/>
      <c r="G111" s="1138">
        <f t="shared" si="63"/>
        <v>0</v>
      </c>
      <c r="H111" s="1138">
        <f t="shared" si="63"/>
        <v>0</v>
      </c>
      <c r="I111" s="1138">
        <f t="shared" si="63"/>
        <v>0</v>
      </c>
      <c r="J111" s="1138"/>
      <c r="K111" s="1139">
        <f t="shared" si="47"/>
        <v>0</v>
      </c>
      <c r="L111" s="578">
        <f t="shared" si="38"/>
        <v>0</v>
      </c>
      <c r="M111" s="1162"/>
      <c r="N111" s="1162"/>
      <c r="O111" s="1162"/>
      <c r="P111" s="1162"/>
      <c r="Q111" s="1162"/>
      <c r="R111" s="1162"/>
      <c r="S111" s="1162"/>
      <c r="T111" s="1162"/>
    </row>
    <row r="112" spans="1:20" ht="21.95" customHeight="1" thickBot="1" x14ac:dyDescent="0.2">
      <c r="A112" s="2513"/>
      <c r="B112" s="2516"/>
      <c r="C112" s="2676"/>
      <c r="D112" s="566" t="s">
        <v>1410</v>
      </c>
      <c r="E112" s="1475"/>
      <c r="F112" s="1462"/>
      <c r="G112" s="1138">
        <f t="shared" si="63"/>
        <v>0</v>
      </c>
      <c r="H112" s="1138">
        <f t="shared" si="63"/>
        <v>0</v>
      </c>
      <c r="I112" s="1138">
        <f t="shared" si="63"/>
        <v>0</v>
      </c>
      <c r="J112" s="1138"/>
      <c r="K112" s="1139">
        <f t="shared" si="47"/>
        <v>0</v>
      </c>
      <c r="L112" s="578">
        <f t="shared" si="38"/>
        <v>0</v>
      </c>
      <c r="M112" s="1162"/>
      <c r="N112" s="1162"/>
      <c r="O112" s="1162"/>
      <c r="P112" s="1162"/>
      <c r="Q112" s="1162"/>
      <c r="R112" s="1162"/>
      <c r="S112" s="1162"/>
      <c r="T112" s="1162"/>
    </row>
    <row r="113" spans="1:20" ht="21.95" customHeight="1" x14ac:dyDescent="0.15">
      <c r="A113" s="2513"/>
      <c r="B113" s="2727"/>
      <c r="C113" s="2674"/>
      <c r="D113" s="566" t="s">
        <v>1372</v>
      </c>
      <c r="E113" s="1475"/>
      <c r="F113" s="1462"/>
      <c r="G113" s="1138">
        <f t="shared" ref="G113:I113" si="64">(+G58+G59+G60)*2.5548</f>
        <v>0</v>
      </c>
      <c r="H113" s="1138">
        <f t="shared" si="64"/>
        <v>0</v>
      </c>
      <c r="I113" s="1138">
        <f t="shared" si="64"/>
        <v>0</v>
      </c>
      <c r="J113" s="1138"/>
      <c r="K113" s="1139">
        <f t="shared" si="47"/>
        <v>0</v>
      </c>
      <c r="L113" s="578">
        <f t="shared" si="38"/>
        <v>0</v>
      </c>
      <c r="M113" s="1162"/>
      <c r="N113" s="1162"/>
      <c r="O113" s="1162"/>
      <c r="P113" s="1162"/>
      <c r="Q113" s="1162"/>
      <c r="R113" s="1162"/>
      <c r="S113" s="1162"/>
      <c r="T113" s="1162"/>
    </row>
    <row r="114" spans="1:20" ht="21.95" customHeight="1" thickBot="1" x14ac:dyDescent="0.2">
      <c r="A114" s="2513"/>
      <c r="B114" s="2728"/>
      <c r="C114" s="2675"/>
      <c r="D114" s="565" t="s">
        <v>1373</v>
      </c>
      <c r="E114" s="1475"/>
      <c r="F114" s="1462"/>
      <c r="G114" s="1138">
        <f t="shared" ref="G114:I114" si="65">G61*2.346</f>
        <v>0</v>
      </c>
      <c r="H114" s="1138">
        <f t="shared" si="65"/>
        <v>0</v>
      </c>
      <c r="I114" s="1138">
        <f t="shared" si="65"/>
        <v>0</v>
      </c>
      <c r="J114" s="1138"/>
      <c r="K114" s="1140">
        <f t="shared" si="47"/>
        <v>0</v>
      </c>
      <c r="L114" s="578">
        <f t="shared" si="38"/>
        <v>0</v>
      </c>
      <c r="M114" s="1162"/>
      <c r="N114" s="1162"/>
      <c r="O114" s="1162"/>
      <c r="P114" s="1162"/>
      <c r="Q114" s="1162"/>
      <c r="R114" s="1162"/>
      <c r="S114" s="1162"/>
      <c r="T114" s="1162"/>
    </row>
    <row r="115" spans="1:20" ht="21.95" customHeight="1" x14ac:dyDescent="0.15">
      <c r="A115" s="2513"/>
      <c r="B115" s="2727" t="s">
        <v>1362</v>
      </c>
      <c r="C115" s="2674"/>
      <c r="D115" s="566" t="s">
        <v>1251</v>
      </c>
      <c r="E115" s="1492"/>
      <c r="F115" s="1493"/>
      <c r="G115" s="1136">
        <f t="shared" ref="G115:I134" si="66">G95</f>
        <v>0</v>
      </c>
      <c r="H115" s="1136">
        <f t="shared" si="66"/>
        <v>0</v>
      </c>
      <c r="I115" s="1136">
        <f t="shared" si="66"/>
        <v>0</v>
      </c>
      <c r="J115" s="1136"/>
      <c r="K115" s="1205"/>
      <c r="L115" s="578"/>
    </row>
    <row r="116" spans="1:20" ht="21.95" customHeight="1" x14ac:dyDescent="0.15">
      <c r="A116" s="2513"/>
      <c r="B116" s="2516"/>
      <c r="C116" s="2676"/>
      <c r="D116" s="566" t="s">
        <v>1203</v>
      </c>
      <c r="E116" s="1494"/>
      <c r="F116" s="1495"/>
      <c r="G116" s="1138">
        <f t="shared" si="66"/>
        <v>0</v>
      </c>
      <c r="H116" s="1138">
        <f t="shared" si="66"/>
        <v>0</v>
      </c>
      <c r="I116" s="1138">
        <f t="shared" si="66"/>
        <v>0</v>
      </c>
      <c r="J116" s="1138"/>
      <c r="K116" s="1139"/>
      <c r="L116" s="578"/>
    </row>
    <row r="117" spans="1:20" ht="21.95" customHeight="1" x14ac:dyDescent="0.15">
      <c r="A117" s="2513"/>
      <c r="B117" s="2516"/>
      <c r="C117" s="2676"/>
      <c r="D117" s="558" t="s">
        <v>1389</v>
      </c>
      <c r="E117" s="1494"/>
      <c r="F117" s="1495"/>
      <c r="G117" s="1138">
        <f t="shared" si="66"/>
        <v>0</v>
      </c>
      <c r="H117" s="1138">
        <f t="shared" si="66"/>
        <v>0</v>
      </c>
      <c r="I117" s="1138">
        <f t="shared" si="66"/>
        <v>0</v>
      </c>
      <c r="J117" s="1138"/>
      <c r="K117" s="1139"/>
      <c r="L117" s="578"/>
    </row>
    <row r="118" spans="1:20" ht="21.95" customHeight="1" x14ac:dyDescent="0.15">
      <c r="A118" s="2513"/>
      <c r="B118" s="2516"/>
      <c r="C118" s="2676"/>
      <c r="D118" s="558" t="s">
        <v>1416</v>
      </c>
      <c r="E118" s="1494"/>
      <c r="F118" s="1495"/>
      <c r="G118" s="1138">
        <f t="shared" si="66"/>
        <v>0</v>
      </c>
      <c r="H118" s="1138">
        <f t="shared" si="66"/>
        <v>0</v>
      </c>
      <c r="I118" s="1138">
        <f t="shared" si="66"/>
        <v>0</v>
      </c>
      <c r="J118" s="1138"/>
      <c r="K118" s="1139"/>
      <c r="L118" s="578"/>
    </row>
    <row r="119" spans="1:20" ht="21.95" customHeight="1" x14ac:dyDescent="0.15">
      <c r="A119" s="2513"/>
      <c r="B119" s="2516"/>
      <c r="C119" s="2676"/>
      <c r="D119" s="558" t="s">
        <v>1390</v>
      </c>
      <c r="E119" s="1494"/>
      <c r="F119" s="1495"/>
      <c r="G119" s="1138">
        <f t="shared" si="66"/>
        <v>0</v>
      </c>
      <c r="H119" s="1138">
        <f t="shared" si="66"/>
        <v>0</v>
      </c>
      <c r="I119" s="1138">
        <f t="shared" si="66"/>
        <v>0</v>
      </c>
      <c r="J119" s="1138"/>
      <c r="K119" s="1139"/>
      <c r="L119" s="578"/>
    </row>
    <row r="120" spans="1:20" ht="21.95" customHeight="1" x14ac:dyDescent="0.15">
      <c r="A120" s="2513"/>
      <c r="B120" s="2516"/>
      <c r="C120" s="2676"/>
      <c r="D120" s="558" t="s">
        <v>1391</v>
      </c>
      <c r="E120" s="1494"/>
      <c r="F120" s="1495"/>
      <c r="G120" s="1138">
        <f t="shared" si="66"/>
        <v>0</v>
      </c>
      <c r="H120" s="1138">
        <f t="shared" si="66"/>
        <v>0</v>
      </c>
      <c r="I120" s="1138">
        <f t="shared" si="66"/>
        <v>0</v>
      </c>
      <c r="J120" s="1138"/>
      <c r="K120" s="1139"/>
      <c r="L120" s="578"/>
    </row>
    <row r="121" spans="1:20" ht="21.95" customHeight="1" x14ac:dyDescent="0.15">
      <c r="A121" s="2513"/>
      <c r="B121" s="2516"/>
      <c r="C121" s="2676"/>
      <c r="D121" s="566" t="s">
        <v>1600</v>
      </c>
      <c r="E121" s="1494"/>
      <c r="F121" s="1495"/>
      <c r="G121" s="1138">
        <f t="shared" si="66"/>
        <v>0</v>
      </c>
      <c r="H121" s="1138">
        <f t="shared" si="66"/>
        <v>0</v>
      </c>
      <c r="I121" s="1138">
        <f t="shared" si="66"/>
        <v>0</v>
      </c>
      <c r="J121" s="1138"/>
      <c r="K121" s="1139"/>
      <c r="L121" s="578"/>
    </row>
    <row r="122" spans="1:20" ht="21.95" customHeight="1" x14ac:dyDescent="0.15">
      <c r="A122" s="2513"/>
      <c r="B122" s="2516"/>
      <c r="C122" s="2676"/>
      <c r="D122" s="566" t="s">
        <v>1781</v>
      </c>
      <c r="E122" s="1494"/>
      <c r="F122" s="1495"/>
      <c r="G122" s="1138">
        <f t="shared" si="66"/>
        <v>0</v>
      </c>
      <c r="H122" s="1138">
        <f t="shared" si="66"/>
        <v>0</v>
      </c>
      <c r="I122" s="1138">
        <f t="shared" si="66"/>
        <v>0</v>
      </c>
      <c r="J122" s="1138"/>
      <c r="K122" s="1139"/>
      <c r="L122" s="578"/>
    </row>
    <row r="123" spans="1:20" ht="21.95" customHeight="1" x14ac:dyDescent="0.15">
      <c r="A123" s="2513"/>
      <c r="B123" s="2516"/>
      <c r="C123" s="2676"/>
      <c r="D123" s="566" t="s">
        <v>1782</v>
      </c>
      <c r="E123" s="1494"/>
      <c r="F123" s="1495"/>
      <c r="G123" s="1138">
        <f t="shared" si="66"/>
        <v>0</v>
      </c>
      <c r="H123" s="1138">
        <f t="shared" si="66"/>
        <v>0</v>
      </c>
      <c r="I123" s="1138">
        <f t="shared" si="66"/>
        <v>0</v>
      </c>
      <c r="J123" s="1138"/>
      <c r="K123" s="1139"/>
      <c r="L123" s="578"/>
    </row>
    <row r="124" spans="1:20" ht="21.95" customHeight="1" x14ac:dyDescent="0.15">
      <c r="A124" s="2513"/>
      <c r="B124" s="2516"/>
      <c r="C124" s="2676"/>
      <c r="D124" s="566" t="s">
        <v>1392</v>
      </c>
      <c r="E124" s="1494"/>
      <c r="F124" s="1495"/>
      <c r="G124" s="1138">
        <f t="shared" si="66"/>
        <v>0</v>
      </c>
      <c r="H124" s="1138">
        <f t="shared" si="66"/>
        <v>0</v>
      </c>
      <c r="I124" s="1138">
        <f t="shared" si="66"/>
        <v>0</v>
      </c>
      <c r="J124" s="1138"/>
      <c r="K124" s="1139"/>
      <c r="L124" s="578"/>
    </row>
    <row r="125" spans="1:20" ht="21.95" customHeight="1" x14ac:dyDescent="0.15">
      <c r="A125" s="2513"/>
      <c r="B125" s="2516"/>
      <c r="C125" s="2676"/>
      <c r="D125" s="566" t="s">
        <v>1393</v>
      </c>
      <c r="E125" s="1494"/>
      <c r="F125" s="1495"/>
      <c r="G125" s="1138">
        <f t="shared" si="66"/>
        <v>0</v>
      </c>
      <c r="H125" s="1138">
        <f t="shared" si="66"/>
        <v>0</v>
      </c>
      <c r="I125" s="1138">
        <f t="shared" si="66"/>
        <v>0</v>
      </c>
      <c r="J125" s="1138"/>
      <c r="K125" s="1139"/>
      <c r="L125" s="578"/>
    </row>
    <row r="126" spans="1:20" ht="21.95" customHeight="1" x14ac:dyDescent="0.15">
      <c r="A126" s="2513"/>
      <c r="B126" s="2516"/>
      <c r="C126" s="2676"/>
      <c r="D126" s="566" t="s">
        <v>1405</v>
      </c>
      <c r="E126" s="1494"/>
      <c r="F126" s="1495"/>
      <c r="G126" s="1138">
        <f t="shared" si="66"/>
        <v>0</v>
      </c>
      <c r="H126" s="1138">
        <f t="shared" si="66"/>
        <v>0</v>
      </c>
      <c r="I126" s="1138">
        <f t="shared" si="66"/>
        <v>0</v>
      </c>
      <c r="J126" s="1138"/>
      <c r="K126" s="1139"/>
      <c r="L126" s="578"/>
    </row>
    <row r="127" spans="1:20" ht="21.95" customHeight="1" x14ac:dyDescent="0.15">
      <c r="A127" s="2513"/>
      <c r="B127" s="2516"/>
      <c r="C127" s="2676"/>
      <c r="D127" s="566" t="s">
        <v>1400</v>
      </c>
      <c r="E127" s="1494"/>
      <c r="F127" s="1495"/>
      <c r="G127" s="1138">
        <f t="shared" si="66"/>
        <v>0</v>
      </c>
      <c r="H127" s="1138">
        <f t="shared" si="66"/>
        <v>0</v>
      </c>
      <c r="I127" s="1138">
        <f t="shared" si="66"/>
        <v>0</v>
      </c>
      <c r="J127" s="1138"/>
      <c r="K127" s="1139"/>
      <c r="L127" s="578"/>
    </row>
    <row r="128" spans="1:20" ht="21.95" customHeight="1" x14ac:dyDescent="0.15">
      <c r="A128" s="2513"/>
      <c r="B128" s="2516"/>
      <c r="C128" s="2676"/>
      <c r="D128" s="566" t="s">
        <v>1406</v>
      </c>
      <c r="E128" s="1494"/>
      <c r="F128" s="1495"/>
      <c r="G128" s="1138">
        <f t="shared" si="66"/>
        <v>0</v>
      </c>
      <c r="H128" s="1138">
        <f t="shared" si="66"/>
        <v>0</v>
      </c>
      <c r="I128" s="1138">
        <f t="shared" si="66"/>
        <v>0</v>
      </c>
      <c r="J128" s="1138"/>
      <c r="K128" s="1139"/>
      <c r="L128" s="578"/>
    </row>
    <row r="129" spans="1:13" ht="21.95" customHeight="1" x14ac:dyDescent="0.15">
      <c r="A129" s="2513"/>
      <c r="B129" s="2516"/>
      <c r="C129" s="2676"/>
      <c r="D129" s="566" t="s">
        <v>1411</v>
      </c>
      <c r="E129" s="1494"/>
      <c r="F129" s="1495"/>
      <c r="G129" s="1138">
        <f t="shared" si="66"/>
        <v>0</v>
      </c>
      <c r="H129" s="1138">
        <f t="shared" si="66"/>
        <v>0</v>
      </c>
      <c r="I129" s="1138">
        <f t="shared" si="66"/>
        <v>0</v>
      </c>
      <c r="J129" s="1138"/>
      <c r="K129" s="1139"/>
      <c r="L129" s="578"/>
    </row>
    <row r="130" spans="1:13" ht="21.95" customHeight="1" x14ac:dyDescent="0.15">
      <c r="A130" s="2513"/>
      <c r="B130" s="2516"/>
      <c r="C130" s="2676"/>
      <c r="D130" s="566" t="s">
        <v>1408</v>
      </c>
      <c r="E130" s="1494"/>
      <c r="F130" s="1495"/>
      <c r="G130" s="1138">
        <f t="shared" si="66"/>
        <v>0</v>
      </c>
      <c r="H130" s="1138">
        <f t="shared" si="66"/>
        <v>0</v>
      </c>
      <c r="I130" s="1138">
        <f t="shared" si="66"/>
        <v>0</v>
      </c>
      <c r="J130" s="1138"/>
      <c r="K130" s="1139"/>
      <c r="L130" s="578"/>
    </row>
    <row r="131" spans="1:13" ht="21.95" customHeight="1" x14ac:dyDescent="0.15">
      <c r="A131" s="2513"/>
      <c r="B131" s="2516"/>
      <c r="C131" s="2676"/>
      <c r="D131" s="566" t="s">
        <v>1409</v>
      </c>
      <c r="E131" s="1494"/>
      <c r="F131" s="1495"/>
      <c r="G131" s="1138">
        <f t="shared" si="66"/>
        <v>0</v>
      </c>
      <c r="H131" s="1138">
        <f t="shared" si="66"/>
        <v>0</v>
      </c>
      <c r="I131" s="1138">
        <f t="shared" si="66"/>
        <v>0</v>
      </c>
      <c r="J131" s="1138"/>
      <c r="K131" s="1139"/>
      <c r="L131" s="578"/>
    </row>
    <row r="132" spans="1:13" ht="21.95" customHeight="1" x14ac:dyDescent="0.15">
      <c r="A132" s="2513"/>
      <c r="B132" s="2516"/>
      <c r="C132" s="2676"/>
      <c r="D132" s="566" t="s">
        <v>1410</v>
      </c>
      <c r="E132" s="1494"/>
      <c r="F132" s="1495"/>
      <c r="G132" s="1138">
        <f t="shared" si="66"/>
        <v>0</v>
      </c>
      <c r="H132" s="1138">
        <f t="shared" si="66"/>
        <v>0</v>
      </c>
      <c r="I132" s="1138">
        <f t="shared" si="66"/>
        <v>0</v>
      </c>
      <c r="J132" s="1138"/>
      <c r="K132" s="1139"/>
      <c r="L132" s="578"/>
    </row>
    <row r="133" spans="1:13" ht="21.95" customHeight="1" x14ac:dyDescent="0.15">
      <c r="A133" s="2513"/>
      <c r="B133" s="2516"/>
      <c r="C133" s="2676"/>
      <c r="D133" s="566" t="s">
        <v>1372</v>
      </c>
      <c r="E133" s="1494"/>
      <c r="F133" s="1495"/>
      <c r="G133" s="1138">
        <f t="shared" si="66"/>
        <v>0</v>
      </c>
      <c r="H133" s="1138">
        <f t="shared" si="66"/>
        <v>0</v>
      </c>
      <c r="I133" s="1138">
        <f t="shared" si="66"/>
        <v>0</v>
      </c>
      <c r="J133" s="1138"/>
      <c r="K133" s="1139"/>
      <c r="L133" s="578"/>
    </row>
    <row r="134" spans="1:13" ht="21.95" customHeight="1" thickBot="1" x14ac:dyDescent="0.2">
      <c r="A134" s="2513"/>
      <c r="B134" s="2728"/>
      <c r="C134" s="2675"/>
      <c r="D134" s="565" t="s">
        <v>1373</v>
      </c>
      <c r="E134" s="1496"/>
      <c r="F134" s="1497"/>
      <c r="G134" s="1134">
        <f t="shared" si="66"/>
        <v>0</v>
      </c>
      <c r="H134" s="1134">
        <f t="shared" si="66"/>
        <v>0</v>
      </c>
      <c r="I134" s="1134">
        <f t="shared" si="66"/>
        <v>0</v>
      </c>
      <c r="J134" s="1134"/>
      <c r="K134" s="1140"/>
      <c r="L134" s="578"/>
    </row>
    <row r="135" spans="1:13" s="9" customFormat="1" ht="50.1" customHeight="1" thickBot="1" x14ac:dyDescent="0.2">
      <c r="A135" s="2514"/>
      <c r="B135" s="2720" t="s">
        <v>12</v>
      </c>
      <c r="C135" s="2690"/>
      <c r="D135" s="2721"/>
      <c r="E135" s="1498"/>
      <c r="F135" s="1499"/>
      <c r="G135" s="901"/>
      <c r="H135" s="901"/>
      <c r="I135" s="901"/>
      <c r="J135" s="901"/>
      <c r="K135" s="576"/>
      <c r="L135" s="667">
        <v>1</v>
      </c>
      <c r="M135" s="670"/>
    </row>
    <row r="136" spans="1:13" ht="19.5" thickTop="1" x14ac:dyDescent="0.15"/>
    <row r="137" spans="1:13" s="9" customFormat="1" ht="11.25" x14ac:dyDescent="0.15"/>
    <row r="138" spans="1:13" s="9" customFormat="1" ht="11.25" x14ac:dyDescent="0.15"/>
    <row r="139" spans="1:13" s="9" customFormat="1" ht="11.25" x14ac:dyDescent="0.15"/>
    <row r="140" spans="1:13" s="9" customFormat="1" ht="11.25" x14ac:dyDescent="0.15"/>
    <row r="141" spans="1:13" s="9" customFormat="1" ht="11.25" x14ac:dyDescent="0.15"/>
    <row r="142" spans="1:13" s="9" customFormat="1" ht="11.25" x14ac:dyDescent="0.15"/>
    <row r="143" spans="1:13" s="9" customFormat="1" ht="11.25" x14ac:dyDescent="0.15"/>
    <row r="144" spans="1:13" s="9" customFormat="1" ht="11.25" x14ac:dyDescent="0.15"/>
    <row r="145" s="9" customFormat="1" ht="11.25" x14ac:dyDescent="0.15"/>
    <row r="146" s="9" customFormat="1" ht="11.25" x14ac:dyDescent="0.15"/>
    <row r="147" s="9" customFormat="1" ht="11.25" x14ac:dyDescent="0.15"/>
    <row r="148" s="9" customFormat="1" ht="11.25" x14ac:dyDescent="0.15"/>
    <row r="149" s="9" customFormat="1" ht="11.25" x14ac:dyDescent="0.15"/>
  </sheetData>
  <autoFilter ref="L1:L135"/>
  <mergeCells count="46">
    <mergeCell ref="B18:C21"/>
    <mergeCell ref="D9:F9"/>
    <mergeCell ref="F26:F27"/>
    <mergeCell ref="F31:F32"/>
    <mergeCell ref="F33:F35"/>
    <mergeCell ref="B5:C17"/>
    <mergeCell ref="B33:C38"/>
    <mergeCell ref="F36:F38"/>
    <mergeCell ref="F18:F21"/>
    <mergeCell ref="F22:F25"/>
    <mergeCell ref="F28:F30"/>
    <mergeCell ref="B28:C32"/>
    <mergeCell ref="B48:C51"/>
    <mergeCell ref="B77:B82"/>
    <mergeCell ref="B45:C47"/>
    <mergeCell ref="B39:C41"/>
    <mergeCell ref="B70:B76"/>
    <mergeCell ref="C76:D76"/>
    <mergeCell ref="B54:C56"/>
    <mergeCell ref="C74:C75"/>
    <mergeCell ref="B94:C94"/>
    <mergeCell ref="B95:C114"/>
    <mergeCell ref="P73:R73"/>
    <mergeCell ref="S73:T73"/>
    <mergeCell ref="C70:C71"/>
    <mergeCell ref="C72:C73"/>
    <mergeCell ref="M73:O73"/>
    <mergeCell ref="B92:C93"/>
    <mergeCell ref="B83:C85"/>
    <mergeCell ref="B86:C87"/>
    <mergeCell ref="A1:A135"/>
    <mergeCell ref="B1:D1"/>
    <mergeCell ref="B2:D2"/>
    <mergeCell ref="B3:D3"/>
    <mergeCell ref="B4:D4"/>
    <mergeCell ref="B135:D135"/>
    <mergeCell ref="B52:C53"/>
    <mergeCell ref="B42:C44"/>
    <mergeCell ref="B88:C89"/>
    <mergeCell ref="B90:C91"/>
    <mergeCell ref="B115:C134"/>
    <mergeCell ref="C81:C82"/>
    <mergeCell ref="C79:C80"/>
    <mergeCell ref="C77:C78"/>
    <mergeCell ref="B22:C27"/>
    <mergeCell ref="B57:C69"/>
  </mergeCells>
  <conditionalFormatting sqref="G14:I16">
    <cfRule type="expression" dxfId="67" priority="7">
      <formula>COUNTA(G$18:G$21)&gt;0</formula>
    </cfRule>
    <cfRule type="expression" dxfId="66" priority="8">
      <formula>G$26+G$31+G$37&gt;0</formula>
    </cfRule>
  </conditionalFormatting>
  <conditionalFormatting sqref="G9:J9">
    <cfRule type="expression" dxfId="65" priority="1653">
      <formula>G$9="erro"</formula>
    </cfRule>
  </conditionalFormatting>
  <conditionalFormatting sqref="G18:J21">
    <cfRule type="expression" dxfId="64" priority="1">
      <formula>COUNTA(G$18:G$21)&gt;0</formula>
    </cfRule>
    <cfRule type="expression" dxfId="63" priority="2">
      <formula>G$26+G$31+G$37&gt;0</formula>
    </cfRule>
  </conditionalFormatting>
  <conditionalFormatting sqref="J7">
    <cfRule type="expression" dxfId="62" priority="1665">
      <formula>J7=0</formula>
    </cfRule>
    <cfRule type="expression" dxfId="61" priority="1666">
      <formula>COUNTA(J$10:J$13)&gt;0</formula>
    </cfRule>
    <cfRule type="expression" dxfId="60" priority="1667">
      <formula>COUNTA(J$14:J$17)&gt;0</formula>
    </cfRule>
  </conditionalFormatting>
  <hyperlinks>
    <hyperlink ref="B1:D1" location="PAINEL!A1" display="VIAS"/>
  </hyperlinks>
  <printOptions horizontalCentered="1"/>
  <pageMargins left="0.39370078740157483" right="0.39370078740157483" top="0.59055118110236227" bottom="0.59055118110236227" header="0.23622047244094491" footer="0.23622047244094491"/>
  <pageSetup paperSize="8" scale="80" fitToWidth="6" orientation="portrait" r:id="rId1"/>
  <headerFooter>
    <oddFooter>&amp;L&amp;"Arial,Normal"&amp;8&amp;F&amp;C&amp;"Arial,Normal"&amp;8&amp;P / &amp;N&amp;R&amp;"Cambria,Regular"&amp;8Ricardo Schettini Figueiredo&amp;10
&amp;8Eng. Civil - CREA-RJ 52.656/D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073" id="{55DBCFD9-E3C5-44A0-8C85-2272CD5A6A54}">
            <xm:f>Recap_Previo!#REF!&gt;0</xm:f>
            <x14:dxf>
              <fill>
                <patternFill>
                  <bgColor rgb="FFCCFFCC"/>
                </patternFill>
              </fill>
            </x14:dxf>
          </x14:cfRule>
          <xm:sqref>G36:J36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33">
    <tabColor theme="9" tint="0.59999389629810485"/>
    <pageSetUpPr fitToPage="1"/>
  </sheetPr>
  <dimension ref="A1:M163"/>
  <sheetViews>
    <sheetView showZeros="0" zoomScaleNormal="100" zoomScaleSheetLayoutView="100" workbookViewId="0">
      <pane xSplit="4" ySplit="1" topLeftCell="E11" activePane="bottomRight" state="frozenSplit"/>
      <selection activeCell="D18" sqref="B13:I28"/>
      <selection pane="topRight" activeCell="D18" sqref="B13:I28"/>
      <selection pane="bottomLeft" activeCell="D18" sqref="B13:I28"/>
      <selection pane="bottomRight" activeCell="G5" sqref="G5"/>
    </sheetView>
  </sheetViews>
  <sheetFormatPr defaultColWidth="9" defaultRowHeight="18.75" x14ac:dyDescent="0.15"/>
  <cols>
    <col min="1" max="1" width="9.75" style="5" customWidth="1"/>
    <col min="2" max="2" width="6.625" style="9" customWidth="1"/>
    <col min="3" max="3" width="16.625" style="9" customWidth="1"/>
    <col min="4" max="4" width="35.625" style="9" customWidth="1"/>
    <col min="5" max="5" width="3.375" style="981" customWidth="1"/>
    <col min="6" max="6" width="39.375" style="9" bestFit="1" customWidth="1"/>
    <col min="7" max="13" width="12.625" style="5" customWidth="1"/>
    <col min="14" max="16384" width="9" style="5"/>
  </cols>
  <sheetData>
    <row r="1" spans="1:13" s="10" customFormat="1" ht="60" customHeight="1" thickTop="1" thickBot="1" x14ac:dyDescent="0.2">
      <c r="A1" s="2512" t="s">
        <v>601</v>
      </c>
      <c r="B1" s="2765" t="s">
        <v>348</v>
      </c>
      <c r="C1" s="2765"/>
      <c r="D1" s="2765"/>
      <c r="E1" s="983"/>
      <c r="F1" s="973" t="s">
        <v>588</v>
      </c>
      <c r="G1" s="1052" t="s">
        <v>2773</v>
      </c>
      <c r="H1" s="1052" t="s">
        <v>2774</v>
      </c>
      <c r="I1" s="1052" t="s">
        <v>2775</v>
      </c>
      <c r="J1" s="1052" t="s">
        <v>2776</v>
      </c>
      <c r="K1" s="1052" t="s">
        <v>2777</v>
      </c>
      <c r="L1" s="1052" t="s">
        <v>2778</v>
      </c>
      <c r="M1" s="1052"/>
    </row>
    <row r="2" spans="1:13" ht="21.95" customHeight="1" thickTop="1" thickBot="1" x14ac:dyDescent="0.2">
      <c r="A2" s="2513"/>
      <c r="B2" s="2766" t="s">
        <v>44</v>
      </c>
      <c r="C2" s="2767"/>
      <c r="D2" s="2768"/>
      <c r="E2" s="1059"/>
      <c r="F2" s="1380"/>
      <c r="G2" s="1054">
        <f>142.16</f>
        <v>142.16</v>
      </c>
      <c r="H2" s="1054">
        <f>69.31+27.7+163.58+18.76+146.98+9.87+54.24+14.45+59.17+68.78</f>
        <v>632.84</v>
      </c>
      <c r="I2" s="1054">
        <f>60.04+45.36</f>
        <v>105.4</v>
      </c>
      <c r="J2" s="1054">
        <f>81.44</f>
        <v>81.44</v>
      </c>
      <c r="K2" s="1054">
        <f>38.13+61.51</f>
        <v>99.64</v>
      </c>
      <c r="L2" s="1054">
        <f>40.75+33.39+26.85+27+15.39+26.11+16.04+104.62+9.17+216.49+39.22+125.27</f>
        <v>680.3</v>
      </c>
      <c r="M2" s="1054"/>
    </row>
    <row r="3" spans="1:13" ht="21.95" customHeight="1" x14ac:dyDescent="0.15">
      <c r="A3" s="2513"/>
      <c r="B3" s="2778" t="s">
        <v>163</v>
      </c>
      <c r="C3" s="2779"/>
      <c r="D3" s="1055" t="s">
        <v>161</v>
      </c>
      <c r="E3" s="1060"/>
      <c r="F3" s="1343"/>
      <c r="G3" s="216"/>
      <c r="H3" s="216"/>
      <c r="I3" s="216"/>
      <c r="J3" s="216"/>
      <c r="K3" s="216"/>
      <c r="L3" s="216"/>
      <c r="M3" s="216"/>
    </row>
    <row r="4" spans="1:13" ht="21.95" customHeight="1" thickBot="1" x14ac:dyDescent="0.2">
      <c r="A4" s="2513"/>
      <c r="B4" s="2782"/>
      <c r="C4" s="2783"/>
      <c r="D4" s="1056" t="s">
        <v>162</v>
      </c>
      <c r="E4" s="982"/>
      <c r="F4" s="1269"/>
      <c r="G4" s="215"/>
      <c r="H4" s="215"/>
      <c r="I4" s="215"/>
      <c r="J4" s="215"/>
      <c r="K4" s="215"/>
      <c r="L4" s="215"/>
      <c r="M4" s="215"/>
    </row>
    <row r="5" spans="1:13" s="9" customFormat="1" ht="32.1" customHeight="1" thickBot="1" x14ac:dyDescent="0.2">
      <c r="A5" s="2513"/>
      <c r="B5" s="2769" t="s">
        <v>2719</v>
      </c>
      <c r="C5" s="2770"/>
      <c r="D5" s="2770"/>
      <c r="E5" s="1231"/>
      <c r="F5" s="552"/>
      <c r="G5" s="2267" t="s">
        <v>49</v>
      </c>
      <c r="H5" s="2267" t="s">
        <v>49</v>
      </c>
      <c r="I5" s="2267" t="s">
        <v>49</v>
      </c>
      <c r="J5" s="2267" t="s">
        <v>49</v>
      </c>
      <c r="K5" s="2267" t="s">
        <v>49</v>
      </c>
      <c r="L5" s="2267" t="s">
        <v>49</v>
      </c>
      <c r="M5" s="2267"/>
    </row>
    <row r="6" spans="1:13" ht="21.95" customHeight="1" x14ac:dyDescent="0.15">
      <c r="A6" s="2513"/>
      <c r="B6" s="2780" t="s">
        <v>1483</v>
      </c>
      <c r="C6" s="2781"/>
      <c r="D6" s="1050" t="s">
        <v>1482</v>
      </c>
      <c r="E6" s="1060"/>
      <c r="F6" s="1343"/>
      <c r="G6" s="216">
        <v>7</v>
      </c>
      <c r="H6" s="216">
        <v>7</v>
      </c>
      <c r="I6" s="216">
        <v>9</v>
      </c>
      <c r="J6" s="216">
        <v>7</v>
      </c>
      <c r="K6" s="216">
        <v>7</v>
      </c>
      <c r="L6" s="216">
        <v>7</v>
      </c>
      <c r="M6" s="216"/>
    </row>
    <row r="7" spans="1:13" ht="32.1" customHeight="1" thickBot="1" x14ac:dyDescent="0.2">
      <c r="A7" s="2513"/>
      <c r="B7" s="2782"/>
      <c r="C7" s="2783"/>
      <c r="D7" s="1051" t="s">
        <v>2435</v>
      </c>
      <c r="E7" s="982"/>
      <c r="F7" s="1269"/>
      <c r="G7" s="215"/>
      <c r="H7" s="215"/>
      <c r="I7" s="215"/>
      <c r="J7" s="215"/>
      <c r="K7" s="215"/>
      <c r="L7" s="215"/>
      <c r="M7" s="215"/>
    </row>
    <row r="8" spans="1:13" ht="21.95" customHeight="1" x14ac:dyDescent="0.15">
      <c r="A8" s="2513"/>
      <c r="B8" s="2803" t="s">
        <v>1617</v>
      </c>
      <c r="C8" s="2806" t="s">
        <v>1560</v>
      </c>
      <c r="D8" s="1050" t="s">
        <v>3</v>
      </c>
      <c r="E8" s="1060"/>
      <c r="F8" s="1343"/>
      <c r="G8" s="216"/>
      <c r="H8" s="216"/>
      <c r="I8" s="216"/>
      <c r="J8" s="216"/>
      <c r="K8" s="216"/>
      <c r="L8" s="216"/>
      <c r="M8" s="216"/>
    </row>
    <row r="9" spans="1:13" ht="21.95" customHeight="1" x14ac:dyDescent="0.15">
      <c r="A9" s="2513"/>
      <c r="B9" s="2804"/>
      <c r="C9" s="2807"/>
      <c r="D9" s="503" t="s">
        <v>625</v>
      </c>
      <c r="E9" s="1061"/>
      <c r="F9" s="1344"/>
      <c r="G9" s="8"/>
      <c r="H9" s="8"/>
      <c r="I9" s="8"/>
      <c r="J9" s="8"/>
      <c r="K9" s="8"/>
      <c r="L9" s="8"/>
      <c r="M9" s="8"/>
    </row>
    <row r="10" spans="1:13" ht="21.95" customHeight="1" thickBot="1" x14ac:dyDescent="0.2">
      <c r="A10" s="2513"/>
      <c r="B10" s="2804"/>
      <c r="C10" s="2808"/>
      <c r="D10" s="1051" t="s">
        <v>54</v>
      </c>
      <c r="E10" s="982"/>
      <c r="F10" s="1269"/>
      <c r="G10" s="215"/>
      <c r="H10" s="215"/>
      <c r="I10" s="215"/>
      <c r="J10" s="215"/>
      <c r="K10" s="215"/>
      <c r="L10" s="215"/>
      <c r="M10" s="215"/>
    </row>
    <row r="11" spans="1:13" ht="21.95" customHeight="1" x14ac:dyDescent="0.15">
      <c r="A11" s="2513"/>
      <c r="B11" s="2804"/>
      <c r="C11" s="2792" t="s">
        <v>1230</v>
      </c>
      <c r="D11" s="1388" t="s">
        <v>1614</v>
      </c>
      <c r="E11" s="985"/>
      <c r="F11" s="1360"/>
      <c r="G11" s="238"/>
      <c r="H11" s="238">
        <v>3</v>
      </c>
      <c r="I11" s="238">
        <v>3</v>
      </c>
      <c r="J11" s="238"/>
      <c r="K11" s="238">
        <v>3</v>
      </c>
      <c r="L11" s="238"/>
      <c r="M11" s="238"/>
    </row>
    <row r="12" spans="1:13" ht="21.95" customHeight="1" x14ac:dyDescent="0.15">
      <c r="A12" s="2513"/>
      <c r="B12" s="2804"/>
      <c r="C12" s="2794"/>
      <c r="D12" s="1389" t="s">
        <v>1615</v>
      </c>
      <c r="E12" s="985"/>
      <c r="F12" s="344"/>
      <c r="G12" s="158"/>
      <c r="H12" s="158"/>
      <c r="I12" s="158">
        <v>1</v>
      </c>
      <c r="J12" s="158"/>
      <c r="K12" s="158"/>
      <c r="L12" s="158"/>
      <c r="M12" s="158"/>
    </row>
    <row r="13" spans="1:13" ht="21.95" customHeight="1" thickBot="1" x14ac:dyDescent="0.2">
      <c r="A13" s="2513"/>
      <c r="B13" s="2804"/>
      <c r="C13" s="2796"/>
      <c r="D13" s="1390" t="s">
        <v>1616</v>
      </c>
      <c r="E13" s="986"/>
      <c r="F13" s="414"/>
      <c r="G13" s="239"/>
      <c r="H13" s="239"/>
      <c r="I13" s="239"/>
      <c r="J13" s="239"/>
      <c r="K13" s="239"/>
      <c r="L13" s="239"/>
      <c r="M13" s="239"/>
    </row>
    <row r="14" spans="1:13" ht="21.95" customHeight="1" x14ac:dyDescent="0.15">
      <c r="A14" s="2513"/>
      <c r="B14" s="2804"/>
      <c r="C14" s="2792" t="s">
        <v>1224</v>
      </c>
      <c r="D14" s="1388" t="s">
        <v>1614</v>
      </c>
      <c r="E14" s="985"/>
      <c r="F14" s="1357"/>
      <c r="G14" s="158">
        <f t="shared" ref="G14:H14" si="0">+G11</f>
        <v>0</v>
      </c>
      <c r="H14" s="158">
        <f t="shared" si="0"/>
        <v>3</v>
      </c>
      <c r="I14" s="158">
        <f t="shared" ref="I14:L14" si="1">+I11</f>
        <v>3</v>
      </c>
      <c r="J14" s="158">
        <f t="shared" si="1"/>
        <v>0</v>
      </c>
      <c r="K14" s="158">
        <f t="shared" si="1"/>
        <v>3</v>
      </c>
      <c r="L14" s="158">
        <f t="shared" si="1"/>
        <v>0</v>
      </c>
      <c r="M14" s="158"/>
    </row>
    <row r="15" spans="1:13" ht="21.95" customHeight="1" x14ac:dyDescent="0.15">
      <c r="A15" s="2513"/>
      <c r="B15" s="2804"/>
      <c r="C15" s="2794"/>
      <c r="D15" s="1389" t="s">
        <v>1615</v>
      </c>
      <c r="E15" s="985"/>
      <c r="F15" s="1357"/>
      <c r="G15" s="158">
        <f t="shared" ref="G15:H15" si="2">+G12</f>
        <v>0</v>
      </c>
      <c r="H15" s="158">
        <f t="shared" si="2"/>
        <v>0</v>
      </c>
      <c r="I15" s="158">
        <f t="shared" ref="I15:L15" si="3">+I12</f>
        <v>1</v>
      </c>
      <c r="J15" s="158">
        <f t="shared" si="3"/>
        <v>0</v>
      </c>
      <c r="K15" s="158">
        <f t="shared" si="3"/>
        <v>0</v>
      </c>
      <c r="L15" s="158">
        <f t="shared" si="3"/>
        <v>0</v>
      </c>
      <c r="M15" s="158"/>
    </row>
    <row r="16" spans="1:13" ht="21.95" customHeight="1" thickBot="1" x14ac:dyDescent="0.2">
      <c r="A16" s="2513"/>
      <c r="B16" s="2804"/>
      <c r="C16" s="2796"/>
      <c r="D16" s="1390" t="s">
        <v>1616</v>
      </c>
      <c r="E16" s="986"/>
      <c r="F16" s="563"/>
      <c r="G16" s="239">
        <f t="shared" ref="G16:H16" si="4">+G13</f>
        <v>0</v>
      </c>
      <c r="H16" s="239">
        <f t="shared" si="4"/>
        <v>0</v>
      </c>
      <c r="I16" s="239">
        <f t="shared" ref="I16:L16" si="5">+I13</f>
        <v>0</v>
      </c>
      <c r="J16" s="239">
        <f t="shared" si="5"/>
        <v>0</v>
      </c>
      <c r="K16" s="239">
        <f t="shared" si="5"/>
        <v>0</v>
      </c>
      <c r="L16" s="239">
        <f t="shared" si="5"/>
        <v>0</v>
      </c>
      <c r="M16" s="239"/>
    </row>
    <row r="17" spans="1:13" ht="21.95" customHeight="1" x14ac:dyDescent="0.15">
      <c r="A17" s="2513"/>
      <c r="B17" s="2804"/>
      <c r="C17" s="2792" t="s">
        <v>1226</v>
      </c>
      <c r="D17" s="1388" t="s">
        <v>1225</v>
      </c>
      <c r="E17" s="984"/>
      <c r="F17" s="1358"/>
      <c r="G17" s="238"/>
      <c r="H17" s="238"/>
      <c r="I17" s="238"/>
      <c r="J17" s="238"/>
      <c r="K17" s="238"/>
      <c r="L17" s="238"/>
      <c r="M17" s="238"/>
    </row>
    <row r="18" spans="1:13" ht="21.95" customHeight="1" x14ac:dyDescent="0.15">
      <c r="A18" s="2513"/>
      <c r="B18" s="2804"/>
      <c r="C18" s="2794"/>
      <c r="D18" s="1389" t="s">
        <v>1614</v>
      </c>
      <c r="E18" s="985"/>
      <c r="F18" s="1357"/>
      <c r="G18" s="158">
        <f t="shared" ref="G18:H18" si="6">+G11</f>
        <v>0</v>
      </c>
      <c r="H18" s="158">
        <f t="shared" si="6"/>
        <v>3</v>
      </c>
      <c r="I18" s="158">
        <f t="shared" ref="I18:L18" si="7">+I11</f>
        <v>3</v>
      </c>
      <c r="J18" s="158">
        <f t="shared" si="7"/>
        <v>0</v>
      </c>
      <c r="K18" s="158">
        <f t="shared" si="7"/>
        <v>3</v>
      </c>
      <c r="L18" s="158">
        <f t="shared" si="7"/>
        <v>0</v>
      </c>
      <c r="M18" s="158"/>
    </row>
    <row r="19" spans="1:13" ht="21.95" customHeight="1" x14ac:dyDescent="0.15">
      <c r="A19" s="2513"/>
      <c r="B19" s="2804"/>
      <c r="C19" s="2794"/>
      <c r="D19" s="1389" t="s">
        <v>1615</v>
      </c>
      <c r="E19" s="985"/>
      <c r="F19" s="344"/>
      <c r="G19" s="158">
        <f t="shared" ref="G19:H19" si="8">+G12</f>
        <v>0</v>
      </c>
      <c r="H19" s="158">
        <f t="shared" si="8"/>
        <v>0</v>
      </c>
      <c r="I19" s="158">
        <f t="shared" ref="I19:L19" si="9">+I12</f>
        <v>1</v>
      </c>
      <c r="J19" s="158">
        <f t="shared" si="9"/>
        <v>0</v>
      </c>
      <c r="K19" s="158">
        <f t="shared" si="9"/>
        <v>0</v>
      </c>
      <c r="L19" s="158">
        <f t="shared" si="9"/>
        <v>0</v>
      </c>
      <c r="M19" s="158"/>
    </row>
    <row r="20" spans="1:13" ht="21.95" customHeight="1" thickBot="1" x14ac:dyDescent="0.2">
      <c r="A20" s="2513"/>
      <c r="B20" s="2805"/>
      <c r="C20" s="2796"/>
      <c r="D20" s="1390" t="s">
        <v>1616</v>
      </c>
      <c r="E20" s="986"/>
      <c r="F20" s="414"/>
      <c r="G20" s="239">
        <f t="shared" ref="G20:H20" si="10">+G13</f>
        <v>0</v>
      </c>
      <c r="H20" s="239">
        <f t="shared" si="10"/>
        <v>0</v>
      </c>
      <c r="I20" s="239">
        <f t="shared" ref="I20:L20" si="11">+I13</f>
        <v>0</v>
      </c>
      <c r="J20" s="239">
        <f t="shared" si="11"/>
        <v>0</v>
      </c>
      <c r="K20" s="239">
        <f t="shared" si="11"/>
        <v>0</v>
      </c>
      <c r="L20" s="239">
        <f t="shared" si="11"/>
        <v>0</v>
      </c>
      <c r="M20" s="239"/>
    </row>
    <row r="21" spans="1:13" ht="21.95" customHeight="1" x14ac:dyDescent="0.15">
      <c r="A21" s="2513"/>
      <c r="B21" s="2814" t="s">
        <v>1561</v>
      </c>
      <c r="C21" s="2815"/>
      <c r="D21" s="1050" t="s">
        <v>699</v>
      </c>
      <c r="E21" s="1060"/>
      <c r="F21" s="1343"/>
      <c r="G21" s="216"/>
      <c r="H21" s="216"/>
      <c r="I21" s="216"/>
      <c r="J21" s="216"/>
      <c r="K21" s="216"/>
      <c r="L21" s="216"/>
      <c r="M21" s="216"/>
    </row>
    <row r="22" spans="1:13" ht="21.95" customHeight="1" x14ac:dyDescent="0.15">
      <c r="A22" s="2513"/>
      <c r="B22" s="2816"/>
      <c r="C22" s="2817"/>
      <c r="D22" s="502" t="s">
        <v>2736</v>
      </c>
      <c r="E22" s="1061"/>
      <c r="F22" s="1344"/>
      <c r="G22" s="8"/>
      <c r="H22" s="8"/>
      <c r="I22" s="8"/>
      <c r="J22" s="8"/>
      <c r="K22" s="8"/>
      <c r="L22" s="8"/>
      <c r="M22" s="8"/>
    </row>
    <row r="23" spans="1:13" ht="21.95" customHeight="1" x14ac:dyDescent="0.15">
      <c r="A23" s="2513"/>
      <c r="B23" s="2816"/>
      <c r="C23" s="2817"/>
      <c r="D23" s="503" t="s">
        <v>1559</v>
      </c>
      <c r="E23" s="1061"/>
      <c r="F23" s="1344"/>
      <c r="G23" s="8"/>
      <c r="H23" s="8">
        <v>79.25</v>
      </c>
      <c r="I23" s="8"/>
      <c r="J23" s="8"/>
      <c r="K23" s="8"/>
      <c r="L23" s="8"/>
      <c r="M23" s="8"/>
    </row>
    <row r="24" spans="1:13" ht="21.95" customHeight="1" x14ac:dyDescent="0.15">
      <c r="A24" s="2513"/>
      <c r="B24" s="2816"/>
      <c r="C24" s="2817"/>
      <c r="D24" s="503" t="s">
        <v>1320</v>
      </c>
      <c r="E24" s="1061"/>
      <c r="F24" s="1344"/>
      <c r="G24" s="8"/>
      <c r="H24" s="8">
        <v>25.36</v>
      </c>
      <c r="I24" s="8"/>
      <c r="J24" s="8"/>
      <c r="K24" s="8"/>
      <c r="L24" s="8"/>
      <c r="M24" s="8"/>
    </row>
    <row r="25" spans="1:13" ht="21.95" customHeight="1" thickBot="1" x14ac:dyDescent="0.2">
      <c r="A25" s="2513"/>
      <c r="B25" s="2818"/>
      <c r="C25" s="2819"/>
      <c r="D25" s="1390" t="s">
        <v>1280</v>
      </c>
      <c r="E25" s="986"/>
      <c r="F25" s="414"/>
      <c r="G25" s="239">
        <f t="shared" ref="G25:H25" si="12">G24</f>
        <v>0</v>
      </c>
      <c r="H25" s="239">
        <f t="shared" si="12"/>
        <v>25.36</v>
      </c>
      <c r="I25" s="239">
        <f t="shared" ref="I25:L25" si="13">I24</f>
        <v>0</v>
      </c>
      <c r="J25" s="239">
        <f t="shared" si="13"/>
        <v>0</v>
      </c>
      <c r="K25" s="239">
        <f t="shared" si="13"/>
        <v>0</v>
      </c>
      <c r="L25" s="239">
        <f t="shared" si="13"/>
        <v>0</v>
      </c>
      <c r="M25" s="239"/>
    </row>
    <row r="26" spans="1:13" ht="21.95" customHeight="1" x14ac:dyDescent="0.15">
      <c r="A26" s="2513"/>
      <c r="B26" s="2791" t="s">
        <v>23</v>
      </c>
      <c r="C26" s="2809"/>
      <c r="D26" s="1050" t="s">
        <v>3</v>
      </c>
      <c r="E26" s="1061"/>
      <c r="F26" s="1381" t="s">
        <v>1337</v>
      </c>
      <c r="G26" s="2105"/>
      <c r="H26" s="2105"/>
      <c r="I26" s="2105"/>
      <c r="J26" s="2105"/>
      <c r="K26" s="2105"/>
      <c r="L26" s="2105"/>
      <c r="M26" s="216"/>
    </row>
    <row r="27" spans="1:13" ht="21.95" customHeight="1" x14ac:dyDescent="0.15">
      <c r="A27" s="2513"/>
      <c r="B27" s="2810"/>
      <c r="C27" s="2811"/>
      <c r="D27" s="503" t="s">
        <v>951</v>
      </c>
      <c r="E27" s="1061"/>
      <c r="F27" s="2759" t="s">
        <v>1321</v>
      </c>
      <c r="G27" s="1064"/>
      <c r="H27" s="1064"/>
      <c r="I27" s="1064"/>
      <c r="J27" s="1064"/>
      <c r="K27" s="1064"/>
      <c r="L27" s="1064"/>
      <c r="M27" s="1064"/>
    </row>
    <row r="28" spans="1:13" ht="21.95" customHeight="1" x14ac:dyDescent="0.15">
      <c r="A28" s="2513"/>
      <c r="B28" s="2810"/>
      <c r="C28" s="2811"/>
      <c r="D28" s="503" t="s">
        <v>952</v>
      </c>
      <c r="E28" s="1061"/>
      <c r="F28" s="2759"/>
      <c r="G28" s="2322"/>
      <c r="H28" s="2322"/>
      <c r="I28" s="2322"/>
      <c r="J28" s="2322"/>
      <c r="K28" s="2322"/>
      <c r="L28" s="2322"/>
      <c r="M28" s="1064"/>
    </row>
    <row r="29" spans="1:13" ht="21.95" customHeight="1" thickBot="1" x14ac:dyDescent="0.2">
      <c r="A29" s="2513"/>
      <c r="B29" s="2812"/>
      <c r="C29" s="2813"/>
      <c r="D29" s="1053" t="s">
        <v>292</v>
      </c>
      <c r="E29" s="982"/>
      <c r="F29" s="1382" t="s">
        <v>1325</v>
      </c>
      <c r="G29" s="215">
        <f>+G33</f>
        <v>0</v>
      </c>
      <c r="H29" s="215">
        <f>+H33</f>
        <v>0</v>
      </c>
      <c r="I29" s="215">
        <f>+I33</f>
        <v>0</v>
      </c>
      <c r="J29" s="215">
        <f t="shared" ref="J29:L29" si="14">+J33</f>
        <v>0</v>
      </c>
      <c r="K29" s="215">
        <f t="shared" si="14"/>
        <v>0</v>
      </c>
      <c r="L29" s="215">
        <f t="shared" si="14"/>
        <v>0</v>
      </c>
      <c r="M29" s="215"/>
    </row>
    <row r="30" spans="1:13" ht="21.95" customHeight="1" x14ac:dyDescent="0.15">
      <c r="A30" s="2513"/>
      <c r="B30" s="2778" t="s">
        <v>351</v>
      </c>
      <c r="C30" s="2779"/>
      <c r="D30" s="1050" t="s">
        <v>3</v>
      </c>
      <c r="E30" s="1061"/>
      <c r="F30" s="1383" t="s">
        <v>1336</v>
      </c>
      <c r="G30" s="2321"/>
      <c r="H30" s="2321"/>
      <c r="I30" s="2321"/>
      <c r="J30" s="2321"/>
      <c r="K30" s="2321"/>
      <c r="L30" s="2321"/>
      <c r="M30" s="8"/>
    </row>
    <row r="31" spans="1:13" ht="21.95" customHeight="1" x14ac:dyDescent="0.15">
      <c r="A31" s="2513"/>
      <c r="B31" s="2780"/>
      <c r="C31" s="2781"/>
      <c r="D31" s="503" t="s">
        <v>951</v>
      </c>
      <c r="E31" s="1061"/>
      <c r="F31" s="1384" t="s">
        <v>1338</v>
      </c>
      <c r="G31" s="8"/>
      <c r="H31" s="8"/>
      <c r="I31" s="8"/>
      <c r="J31" s="8"/>
      <c r="K31" s="8"/>
      <c r="L31" s="8"/>
      <c r="M31" s="8"/>
    </row>
    <row r="32" spans="1:13" ht="21.95" customHeight="1" x14ac:dyDescent="0.15">
      <c r="A32" s="2513"/>
      <c r="B32" s="2780"/>
      <c r="C32" s="2781"/>
      <c r="D32" s="503" t="s">
        <v>952</v>
      </c>
      <c r="E32" s="1061"/>
      <c r="F32" s="1385"/>
      <c r="G32" s="2321"/>
      <c r="H32" s="2321"/>
      <c r="I32" s="2321"/>
      <c r="J32" s="2321"/>
      <c r="K32" s="2321"/>
      <c r="L32" s="2321"/>
      <c r="M32" s="8"/>
    </row>
    <row r="33" spans="1:13" ht="21.95" customHeight="1" thickBot="1" x14ac:dyDescent="0.2">
      <c r="A33" s="2513"/>
      <c r="B33" s="2782"/>
      <c r="C33" s="2783"/>
      <c r="D33" s="1053" t="s">
        <v>292</v>
      </c>
      <c r="E33" s="982"/>
      <c r="F33" s="1382" t="s">
        <v>1325</v>
      </c>
      <c r="G33" s="215"/>
      <c r="H33" s="215"/>
      <c r="I33" s="215"/>
      <c r="J33" s="215"/>
      <c r="K33" s="215"/>
      <c r="L33" s="215"/>
      <c r="M33" s="215"/>
    </row>
    <row r="34" spans="1:13" ht="21.95" customHeight="1" x14ac:dyDescent="0.15">
      <c r="A34" s="2513"/>
      <c r="B34" s="2778" t="s">
        <v>352</v>
      </c>
      <c r="C34" s="2779"/>
      <c r="D34" s="1050" t="s">
        <v>3</v>
      </c>
      <c r="E34" s="1061"/>
      <c r="F34" s="1381" t="s">
        <v>1337</v>
      </c>
      <c r="G34" s="216"/>
      <c r="H34" s="216"/>
      <c r="I34" s="216"/>
      <c r="J34" s="216"/>
      <c r="K34" s="216"/>
      <c r="L34" s="216"/>
      <c r="M34" s="216"/>
    </row>
    <row r="35" spans="1:13" ht="21.95" customHeight="1" x14ac:dyDescent="0.15">
      <c r="A35" s="2513"/>
      <c r="B35" s="2780"/>
      <c r="C35" s="2781"/>
      <c r="D35" s="503" t="s">
        <v>951</v>
      </c>
      <c r="E35" s="1061"/>
      <c r="F35" s="2759" t="s">
        <v>1321</v>
      </c>
      <c r="G35" s="1064"/>
      <c r="H35" s="1064"/>
      <c r="I35" s="1064"/>
      <c r="J35" s="1064"/>
      <c r="K35" s="1064"/>
      <c r="L35" s="1064"/>
      <c r="M35" s="1064"/>
    </row>
    <row r="36" spans="1:13" ht="21.95" customHeight="1" x14ac:dyDescent="0.15">
      <c r="A36" s="2513"/>
      <c r="B36" s="2780"/>
      <c r="C36" s="2781"/>
      <c r="D36" s="503" t="s">
        <v>58</v>
      </c>
      <c r="E36" s="1061"/>
      <c r="F36" s="2759"/>
      <c r="G36" s="1064"/>
      <c r="H36" s="1064"/>
      <c r="I36" s="1064"/>
      <c r="J36" s="1064"/>
      <c r="K36" s="1064"/>
      <c r="L36" s="1064"/>
      <c r="M36" s="1064"/>
    </row>
    <row r="37" spans="1:13" ht="21.95" customHeight="1" thickBot="1" x14ac:dyDescent="0.2">
      <c r="A37" s="2513"/>
      <c r="B37" s="2782"/>
      <c r="C37" s="2783"/>
      <c r="D37" s="1053" t="s">
        <v>292</v>
      </c>
      <c r="E37" s="982"/>
      <c r="F37" s="1382" t="s">
        <v>1325</v>
      </c>
      <c r="G37" s="215"/>
      <c r="H37" s="215"/>
      <c r="I37" s="215"/>
      <c r="J37" s="215"/>
      <c r="K37" s="215"/>
      <c r="L37" s="215"/>
      <c r="M37" s="215"/>
    </row>
    <row r="38" spans="1:13" ht="21.95" customHeight="1" thickBot="1" x14ac:dyDescent="0.2">
      <c r="A38" s="2513"/>
      <c r="B38" s="2820" t="s">
        <v>2684</v>
      </c>
      <c r="C38" s="2798" t="s">
        <v>293</v>
      </c>
      <c r="D38" s="1050" t="s">
        <v>3</v>
      </c>
      <c r="E38" s="1060"/>
      <c r="F38" s="1381" t="s">
        <v>1337</v>
      </c>
      <c r="G38" s="216"/>
      <c r="H38" s="216"/>
      <c r="I38" s="216"/>
      <c r="J38" s="216"/>
      <c r="K38" s="216"/>
      <c r="L38" s="216"/>
      <c r="M38" s="216"/>
    </row>
    <row r="39" spans="1:13" ht="21.95" customHeight="1" thickBot="1" x14ac:dyDescent="0.2">
      <c r="A39" s="2513"/>
      <c r="B39" s="2820"/>
      <c r="C39" s="2798"/>
      <c r="D39" s="503" t="s">
        <v>951</v>
      </c>
      <c r="E39" s="1061"/>
      <c r="F39" s="2233" t="s">
        <v>1317</v>
      </c>
      <c r="G39" s="1064"/>
      <c r="H39" s="1064"/>
      <c r="I39" s="1064"/>
      <c r="J39" s="1064"/>
      <c r="K39" s="1064"/>
      <c r="L39" s="1064"/>
      <c r="M39" s="1064"/>
    </row>
    <row r="40" spans="1:13" ht="21.95" customHeight="1" thickBot="1" x14ac:dyDescent="0.2">
      <c r="A40" s="2513"/>
      <c r="B40" s="2820"/>
      <c r="C40" s="2798"/>
      <c r="D40" s="503" t="s">
        <v>952</v>
      </c>
      <c r="E40" s="1061"/>
      <c r="F40" s="1384" t="s">
        <v>1338</v>
      </c>
      <c r="G40" s="8"/>
      <c r="H40" s="8"/>
      <c r="I40" s="8"/>
      <c r="J40" s="8"/>
      <c r="K40" s="8"/>
      <c r="L40" s="8"/>
      <c r="M40" s="8"/>
    </row>
    <row r="41" spans="1:13" ht="21.95" customHeight="1" thickBot="1" x14ac:dyDescent="0.2">
      <c r="A41" s="2513"/>
      <c r="B41" s="2820"/>
      <c r="C41" s="2802"/>
      <c r="D41" s="1057" t="s">
        <v>292</v>
      </c>
      <c r="E41" s="1062"/>
      <c r="F41" s="1386" t="s">
        <v>1325</v>
      </c>
      <c r="G41" s="1072"/>
      <c r="H41" s="1072"/>
      <c r="I41" s="1072"/>
      <c r="J41" s="1072"/>
      <c r="K41" s="1072"/>
      <c r="L41" s="1072"/>
      <c r="M41" s="1072"/>
    </row>
    <row r="42" spans="1:13" ht="21.95" customHeight="1" thickBot="1" x14ac:dyDescent="0.2">
      <c r="A42" s="2513"/>
      <c r="B42" s="2820"/>
      <c r="C42" s="2796" t="s">
        <v>28</v>
      </c>
      <c r="D42" s="502" t="s">
        <v>3</v>
      </c>
      <c r="E42" s="1061"/>
      <c r="F42" s="1381" t="s">
        <v>1337</v>
      </c>
      <c r="G42" s="216"/>
      <c r="H42" s="216"/>
      <c r="I42" s="216"/>
      <c r="J42" s="216"/>
      <c r="K42" s="216"/>
      <c r="L42" s="216"/>
      <c r="M42" s="216"/>
    </row>
    <row r="43" spans="1:13" ht="21.95" customHeight="1" thickBot="1" x14ac:dyDescent="0.2">
      <c r="A43" s="2513"/>
      <c r="B43" s="2820"/>
      <c r="C43" s="2798"/>
      <c r="D43" s="503" t="s">
        <v>951</v>
      </c>
      <c r="E43" s="1061"/>
      <c r="F43" s="2233" t="s">
        <v>1317</v>
      </c>
      <c r="G43" s="1064"/>
      <c r="H43" s="1064"/>
      <c r="I43" s="1064"/>
      <c r="J43" s="1064"/>
      <c r="K43" s="1064"/>
      <c r="L43" s="1064"/>
      <c r="M43" s="1064"/>
    </row>
    <row r="44" spans="1:13" ht="21.95" customHeight="1" thickBot="1" x14ac:dyDescent="0.2">
      <c r="A44" s="2513"/>
      <c r="B44" s="2820"/>
      <c r="C44" s="2798"/>
      <c r="D44" s="503" t="s">
        <v>952</v>
      </c>
      <c r="E44" s="1061"/>
      <c r="F44" s="1384" t="s">
        <v>1338</v>
      </c>
      <c r="G44" s="8"/>
      <c r="H44" s="8"/>
      <c r="I44" s="8"/>
      <c r="J44" s="8"/>
      <c r="K44" s="8"/>
      <c r="L44" s="8"/>
      <c r="M44" s="8"/>
    </row>
    <row r="45" spans="1:13" ht="21.95" customHeight="1" thickBot="1" x14ac:dyDescent="0.2">
      <c r="A45" s="2513"/>
      <c r="B45" s="2820"/>
      <c r="C45" s="2798"/>
      <c r="D45" s="1053" t="s">
        <v>292</v>
      </c>
      <c r="E45" s="982"/>
      <c r="F45" s="1382" t="s">
        <v>1325</v>
      </c>
      <c r="G45" s="215"/>
      <c r="H45" s="215"/>
      <c r="I45" s="215"/>
      <c r="J45" s="215"/>
      <c r="K45" s="215"/>
      <c r="L45" s="215"/>
      <c r="M45" s="215"/>
    </row>
    <row r="46" spans="1:13" ht="21.95" customHeight="1" thickBot="1" x14ac:dyDescent="0.2">
      <c r="A46" s="2513"/>
      <c r="B46" s="2820" t="s">
        <v>51</v>
      </c>
      <c r="C46" s="2798" t="s">
        <v>293</v>
      </c>
      <c r="D46" s="1050" t="s">
        <v>3</v>
      </c>
      <c r="E46" s="1060"/>
      <c r="F46" s="1381" t="s">
        <v>1337</v>
      </c>
      <c r="G46" s="216"/>
      <c r="H46" s="216"/>
      <c r="I46" s="216"/>
      <c r="J46" s="216"/>
      <c r="K46" s="216"/>
      <c r="L46" s="216"/>
      <c r="M46" s="216"/>
    </row>
    <row r="47" spans="1:13" ht="21.95" customHeight="1" thickBot="1" x14ac:dyDescent="0.2">
      <c r="A47" s="2513"/>
      <c r="B47" s="2820"/>
      <c r="C47" s="2798"/>
      <c r="D47" s="503" t="s">
        <v>951</v>
      </c>
      <c r="E47" s="1061"/>
      <c r="F47" s="2233" t="s">
        <v>1317</v>
      </c>
      <c r="G47" s="1064"/>
      <c r="H47" s="1064"/>
      <c r="I47" s="1064"/>
      <c r="J47" s="1064"/>
      <c r="K47" s="1064"/>
      <c r="L47" s="1064"/>
      <c r="M47" s="1064"/>
    </row>
    <row r="48" spans="1:13" ht="21.95" customHeight="1" thickBot="1" x14ac:dyDescent="0.2">
      <c r="A48" s="2513"/>
      <c r="B48" s="2820"/>
      <c r="C48" s="2798"/>
      <c r="D48" s="503" t="s">
        <v>952</v>
      </c>
      <c r="E48" s="1061"/>
      <c r="F48" s="1384" t="s">
        <v>1338</v>
      </c>
      <c r="G48" s="8"/>
      <c r="H48" s="8"/>
      <c r="I48" s="8"/>
      <c r="J48" s="8"/>
      <c r="K48" s="8"/>
      <c r="L48" s="8"/>
      <c r="M48" s="8"/>
    </row>
    <row r="49" spans="1:13" ht="21.95" customHeight="1" thickBot="1" x14ac:dyDescent="0.2">
      <c r="A49" s="2513"/>
      <c r="B49" s="2820"/>
      <c r="C49" s="2802"/>
      <c r="D49" s="1057" t="s">
        <v>292</v>
      </c>
      <c r="E49" s="1062"/>
      <c r="F49" s="1386" t="s">
        <v>1325</v>
      </c>
      <c r="G49" s="1072"/>
      <c r="H49" s="1072"/>
      <c r="I49" s="1072"/>
      <c r="J49" s="1072"/>
      <c r="K49" s="1072"/>
      <c r="L49" s="1072"/>
      <c r="M49" s="1072"/>
    </row>
    <row r="50" spans="1:13" ht="21.95" customHeight="1" thickBot="1" x14ac:dyDescent="0.2">
      <c r="A50" s="2513"/>
      <c r="B50" s="2820"/>
      <c r="C50" s="2796" t="s">
        <v>28</v>
      </c>
      <c r="D50" s="502" t="s">
        <v>3</v>
      </c>
      <c r="E50" s="1061"/>
      <c r="F50" s="1381" t="s">
        <v>1337</v>
      </c>
      <c r="G50" s="216"/>
      <c r="H50" s="216"/>
      <c r="I50" s="216"/>
      <c r="J50" s="216"/>
      <c r="K50" s="216"/>
      <c r="L50" s="216"/>
      <c r="M50" s="216"/>
    </row>
    <row r="51" spans="1:13" ht="21.95" customHeight="1" thickBot="1" x14ac:dyDescent="0.2">
      <c r="A51" s="2513"/>
      <c r="B51" s="2820"/>
      <c r="C51" s="2798"/>
      <c r="D51" s="503" t="s">
        <v>951</v>
      </c>
      <c r="E51" s="1061"/>
      <c r="F51" s="2233" t="s">
        <v>1317</v>
      </c>
      <c r="G51" s="1064"/>
      <c r="H51" s="1064"/>
      <c r="I51" s="1064"/>
      <c r="J51" s="1064"/>
      <c r="K51" s="1064"/>
      <c r="L51" s="1064"/>
      <c r="M51" s="1064"/>
    </row>
    <row r="52" spans="1:13" ht="21.95" customHeight="1" thickBot="1" x14ac:dyDescent="0.2">
      <c r="A52" s="2513"/>
      <c r="B52" s="2820"/>
      <c r="C52" s="2798"/>
      <c r="D52" s="503" t="s">
        <v>952</v>
      </c>
      <c r="E52" s="1061"/>
      <c r="F52" s="1384" t="s">
        <v>1338</v>
      </c>
      <c r="G52" s="8"/>
      <c r="H52" s="8"/>
      <c r="I52" s="8"/>
      <c r="J52" s="8"/>
      <c r="K52" s="8"/>
      <c r="L52" s="8"/>
      <c r="M52" s="8"/>
    </row>
    <row r="53" spans="1:13" ht="21.95" customHeight="1" thickBot="1" x14ac:dyDescent="0.2">
      <c r="A53" s="2513"/>
      <c r="B53" s="2820"/>
      <c r="C53" s="2798"/>
      <c r="D53" s="1053" t="s">
        <v>292</v>
      </c>
      <c r="E53" s="982"/>
      <c r="F53" s="1382" t="s">
        <v>1325</v>
      </c>
      <c r="G53" s="215"/>
      <c r="H53" s="215"/>
      <c r="I53" s="215"/>
      <c r="J53" s="215"/>
      <c r="K53" s="215"/>
      <c r="L53" s="215"/>
      <c r="M53" s="215"/>
    </row>
    <row r="54" spans="1:13" ht="21.95" customHeight="1" thickBot="1" x14ac:dyDescent="0.2">
      <c r="A54" s="2513"/>
      <c r="B54" s="2820" t="s">
        <v>366</v>
      </c>
      <c r="C54" s="2798" t="s">
        <v>293</v>
      </c>
      <c r="D54" s="502" t="s">
        <v>3</v>
      </c>
      <c r="E54" s="1060"/>
      <c r="F54" s="1381" t="s">
        <v>1337</v>
      </c>
      <c r="G54" s="216"/>
      <c r="H54" s="216"/>
      <c r="I54" s="216"/>
      <c r="J54" s="216"/>
      <c r="K54" s="216"/>
      <c r="L54" s="216"/>
      <c r="M54" s="216"/>
    </row>
    <row r="55" spans="1:13" ht="21.95" customHeight="1" thickBot="1" x14ac:dyDescent="0.2">
      <c r="A55" s="2513"/>
      <c r="B55" s="2820"/>
      <c r="C55" s="2798"/>
      <c r="D55" s="503" t="s">
        <v>951</v>
      </c>
      <c r="E55" s="1061"/>
      <c r="F55" s="2233" t="s">
        <v>1317</v>
      </c>
      <c r="G55" s="1064"/>
      <c r="H55" s="1064"/>
      <c r="I55" s="1064"/>
      <c r="J55" s="1064"/>
      <c r="K55" s="1064"/>
      <c r="L55" s="1064"/>
      <c r="M55" s="1064"/>
    </row>
    <row r="56" spans="1:13" ht="21.95" customHeight="1" thickBot="1" x14ac:dyDescent="0.2">
      <c r="A56" s="2513"/>
      <c r="B56" s="2820"/>
      <c r="C56" s="2798"/>
      <c r="D56" s="503" t="s">
        <v>952</v>
      </c>
      <c r="E56" s="1061"/>
      <c r="F56" s="1384" t="s">
        <v>1338</v>
      </c>
      <c r="G56" s="8"/>
      <c r="H56" s="8"/>
      <c r="I56" s="8"/>
      <c r="J56" s="8"/>
      <c r="K56" s="8"/>
      <c r="L56" s="8"/>
      <c r="M56" s="8"/>
    </row>
    <row r="57" spans="1:13" ht="21.95" customHeight="1" thickBot="1" x14ac:dyDescent="0.2">
      <c r="A57" s="2513"/>
      <c r="B57" s="2820"/>
      <c r="C57" s="2802"/>
      <c r="D57" s="1057" t="s">
        <v>292</v>
      </c>
      <c r="E57" s="1062"/>
      <c r="F57" s="1386" t="s">
        <v>1325</v>
      </c>
      <c r="G57" s="1072"/>
      <c r="H57" s="1072"/>
      <c r="I57" s="1072"/>
      <c r="J57" s="1072"/>
      <c r="K57" s="1072"/>
      <c r="L57" s="1072"/>
      <c r="M57" s="1072"/>
    </row>
    <row r="58" spans="1:13" ht="21.95" customHeight="1" thickBot="1" x14ac:dyDescent="0.2">
      <c r="A58" s="2513"/>
      <c r="B58" s="2820"/>
      <c r="C58" s="2796" t="s">
        <v>28</v>
      </c>
      <c r="D58" s="502" t="s">
        <v>3</v>
      </c>
      <c r="E58" s="1061"/>
      <c r="F58" s="1381" t="s">
        <v>1337</v>
      </c>
      <c r="G58" s="216"/>
      <c r="H58" s="216"/>
      <c r="I58" s="216"/>
      <c r="J58" s="216"/>
      <c r="K58" s="216"/>
      <c r="L58" s="216"/>
      <c r="M58" s="216"/>
    </row>
    <row r="59" spans="1:13" ht="21.95" customHeight="1" thickBot="1" x14ac:dyDescent="0.2">
      <c r="A59" s="2513"/>
      <c r="B59" s="2820"/>
      <c r="C59" s="2798"/>
      <c r="D59" s="503" t="s">
        <v>951</v>
      </c>
      <c r="E59" s="1061"/>
      <c r="F59" s="2233" t="s">
        <v>1317</v>
      </c>
      <c r="G59" s="1064"/>
      <c r="H59" s="1064"/>
      <c r="I59" s="1064"/>
      <c r="J59" s="1064"/>
      <c r="K59" s="1064"/>
      <c r="L59" s="1064"/>
      <c r="M59" s="1064"/>
    </row>
    <row r="60" spans="1:13" ht="21.95" customHeight="1" thickBot="1" x14ac:dyDescent="0.2">
      <c r="A60" s="2513"/>
      <c r="B60" s="2820"/>
      <c r="C60" s="2798"/>
      <c r="D60" s="503" t="s">
        <v>952</v>
      </c>
      <c r="E60" s="1061"/>
      <c r="F60" s="1384" t="s">
        <v>1338</v>
      </c>
      <c r="G60" s="8"/>
      <c r="H60" s="8"/>
      <c r="I60" s="8"/>
      <c r="J60" s="8"/>
      <c r="K60" s="8"/>
      <c r="L60" s="8"/>
      <c r="M60" s="8"/>
    </row>
    <row r="61" spans="1:13" ht="21.95" customHeight="1" thickBot="1" x14ac:dyDescent="0.2">
      <c r="A61" s="2513"/>
      <c r="B61" s="2820"/>
      <c r="C61" s="2798"/>
      <c r="D61" s="1053" t="s">
        <v>292</v>
      </c>
      <c r="E61" s="982"/>
      <c r="F61" s="1382" t="s">
        <v>1325</v>
      </c>
      <c r="G61" s="215"/>
      <c r="H61" s="215"/>
      <c r="I61" s="215"/>
      <c r="J61" s="215"/>
      <c r="K61" s="215"/>
      <c r="L61" s="215"/>
      <c r="M61" s="215"/>
    </row>
    <row r="62" spans="1:13" ht="21.95" customHeight="1" x14ac:dyDescent="0.15">
      <c r="A62" s="2513"/>
      <c r="B62" s="2788" t="s">
        <v>15</v>
      </c>
      <c r="C62" s="2792" t="s">
        <v>293</v>
      </c>
      <c r="D62" s="1050" t="s">
        <v>3</v>
      </c>
      <c r="E62" s="1060"/>
      <c r="F62" s="1381" t="s">
        <v>1562</v>
      </c>
      <c r="G62" s="216"/>
      <c r="H62" s="216"/>
      <c r="I62" s="216"/>
      <c r="J62" s="216"/>
      <c r="K62" s="216"/>
      <c r="L62" s="216"/>
      <c r="M62" s="216"/>
    </row>
    <row r="63" spans="1:13" ht="21.95" customHeight="1" x14ac:dyDescent="0.15">
      <c r="A63" s="2513"/>
      <c r="B63" s="2789"/>
      <c r="C63" s="2794"/>
      <c r="D63" s="503" t="s">
        <v>951</v>
      </c>
      <c r="E63" s="1061"/>
      <c r="F63" s="2233" t="s">
        <v>1317</v>
      </c>
      <c r="G63" s="1064"/>
      <c r="H63" s="1064"/>
      <c r="I63" s="1064"/>
      <c r="J63" s="1064"/>
      <c r="K63" s="1064"/>
      <c r="L63" s="1064"/>
      <c r="M63" s="1064"/>
    </row>
    <row r="64" spans="1:13" ht="21.95" customHeight="1" x14ac:dyDescent="0.15">
      <c r="A64" s="2513"/>
      <c r="B64" s="2789"/>
      <c r="C64" s="2772"/>
      <c r="D64" s="1057" t="s">
        <v>292</v>
      </c>
      <c r="E64" s="1062"/>
      <c r="F64" s="1386" t="s">
        <v>1325</v>
      </c>
      <c r="G64" s="8">
        <v>538.22500000000002</v>
      </c>
      <c r="H64" s="8">
        <v>1805.95</v>
      </c>
      <c r="I64" s="8">
        <v>425.89299999999997</v>
      </c>
      <c r="J64" s="8">
        <v>204.77199999999999</v>
      </c>
      <c r="K64" s="8">
        <v>310.69499999999999</v>
      </c>
      <c r="L64" s="8">
        <v>2456.8159999999998</v>
      </c>
      <c r="M64" s="8"/>
    </row>
    <row r="65" spans="1:13" ht="21.95" customHeight="1" x14ac:dyDescent="0.15">
      <c r="A65" s="2513"/>
      <c r="B65" s="2789"/>
      <c r="C65" s="2794" t="s">
        <v>28</v>
      </c>
      <c r="D65" s="503" t="s">
        <v>3</v>
      </c>
      <c r="E65" s="1061"/>
      <c r="F65" s="1381" t="s">
        <v>1337</v>
      </c>
      <c r="G65" s="2274"/>
      <c r="H65" s="2274"/>
      <c r="I65" s="2274"/>
      <c r="J65" s="2274"/>
      <c r="K65" s="2274"/>
      <c r="L65" s="2274"/>
      <c r="M65" s="2274"/>
    </row>
    <row r="66" spans="1:13" ht="21.95" customHeight="1" x14ac:dyDescent="0.15">
      <c r="A66" s="2513"/>
      <c r="B66" s="2789"/>
      <c r="C66" s="2794"/>
      <c r="D66" s="503" t="s">
        <v>951</v>
      </c>
      <c r="E66" s="1061"/>
      <c r="F66" s="2233" t="s">
        <v>1317</v>
      </c>
      <c r="G66" s="1064"/>
      <c r="H66" s="1064"/>
      <c r="I66" s="1064"/>
      <c r="J66" s="1064"/>
      <c r="K66" s="1064"/>
      <c r="L66" s="1064"/>
      <c r="M66" s="1064"/>
    </row>
    <row r="67" spans="1:13" ht="21.95" customHeight="1" x14ac:dyDescent="0.15">
      <c r="A67" s="2513"/>
      <c r="B67" s="2789"/>
      <c r="C67" s="2794"/>
      <c r="D67" s="503" t="s">
        <v>952</v>
      </c>
      <c r="E67" s="1061"/>
      <c r="F67" s="1384" t="s">
        <v>1339</v>
      </c>
      <c r="G67" s="8"/>
      <c r="H67" s="8"/>
      <c r="I67" s="8"/>
      <c r="J67" s="8"/>
      <c r="K67" s="8"/>
      <c r="L67" s="8"/>
      <c r="M67" s="8"/>
    </row>
    <row r="68" spans="1:13" ht="21.95" customHeight="1" thickBot="1" x14ac:dyDescent="0.2">
      <c r="A68" s="2513"/>
      <c r="B68" s="2790"/>
      <c r="C68" s="2796"/>
      <c r="D68" s="1053" t="s">
        <v>292</v>
      </c>
      <c r="E68" s="982"/>
      <c r="F68" s="1382" t="s">
        <v>1325</v>
      </c>
      <c r="G68" s="215"/>
      <c r="H68" s="215">
        <v>2.294</v>
      </c>
      <c r="I68" s="215">
        <v>0.09</v>
      </c>
      <c r="J68" s="215">
        <v>1.071</v>
      </c>
      <c r="K68" s="215"/>
      <c r="L68" s="215">
        <v>3.5</v>
      </c>
      <c r="M68" s="215"/>
    </row>
    <row r="69" spans="1:13" ht="21.95" customHeight="1" x14ac:dyDescent="0.15">
      <c r="A69" s="2513"/>
      <c r="B69" s="2784" t="s">
        <v>299</v>
      </c>
      <c r="C69" s="2785"/>
      <c r="D69" s="1058" t="s">
        <v>158</v>
      </c>
      <c r="E69" s="1061"/>
      <c r="F69" s="1344"/>
      <c r="G69" s="216">
        <v>291.77999999999997</v>
      </c>
      <c r="H69" s="216">
        <v>1202.55</v>
      </c>
      <c r="I69" s="216">
        <v>255.68</v>
      </c>
      <c r="J69" s="216">
        <v>170.94</v>
      </c>
      <c r="K69" s="216">
        <v>188.84</v>
      </c>
      <c r="L69" s="216">
        <v>1282.3699999999999</v>
      </c>
      <c r="M69" s="216"/>
    </row>
    <row r="70" spans="1:13" ht="21.95" customHeight="1" x14ac:dyDescent="0.15">
      <c r="A70" s="2513"/>
      <c r="B70" s="2786"/>
      <c r="C70" s="2787"/>
      <c r="D70" s="1057" t="s">
        <v>159</v>
      </c>
      <c r="E70" s="1061"/>
      <c r="F70" s="1344"/>
      <c r="G70" s="8"/>
      <c r="H70" s="8"/>
      <c r="I70" s="8"/>
      <c r="J70" s="8"/>
      <c r="K70" s="8"/>
      <c r="L70" s="8"/>
      <c r="M70" s="8"/>
    </row>
    <row r="71" spans="1:13" ht="21.95" customHeight="1" x14ac:dyDescent="0.15">
      <c r="A71" s="2513"/>
      <c r="B71" s="2786"/>
      <c r="C71" s="2787"/>
      <c r="D71" s="1057" t="s">
        <v>297</v>
      </c>
      <c r="E71" s="1061"/>
      <c r="F71" s="1344"/>
      <c r="G71" s="8"/>
      <c r="H71" s="8"/>
      <c r="I71" s="8"/>
      <c r="J71" s="8"/>
      <c r="K71" s="8"/>
      <c r="L71" s="8"/>
      <c r="M71" s="8"/>
    </row>
    <row r="72" spans="1:13" ht="21.95" customHeight="1" x14ac:dyDescent="0.15">
      <c r="A72" s="2513"/>
      <c r="B72" s="2786"/>
      <c r="C72" s="2787"/>
      <c r="D72" s="1057" t="s">
        <v>160</v>
      </c>
      <c r="E72" s="1061"/>
      <c r="F72" s="1344"/>
      <c r="G72" s="8"/>
      <c r="H72" s="8"/>
      <c r="I72" s="8"/>
      <c r="J72" s="8"/>
      <c r="K72" s="8"/>
      <c r="L72" s="8"/>
      <c r="M72" s="8"/>
    </row>
    <row r="73" spans="1:13" ht="21.95" customHeight="1" x14ac:dyDescent="0.15">
      <c r="A73" s="2513"/>
      <c r="B73" s="2786"/>
      <c r="C73" s="2787"/>
      <c r="D73" s="1057" t="s">
        <v>1819</v>
      </c>
      <c r="E73" s="1061"/>
      <c r="F73" s="1344"/>
      <c r="G73" s="8"/>
      <c r="H73" s="8"/>
      <c r="I73" s="8"/>
      <c r="J73" s="8"/>
      <c r="K73" s="8"/>
      <c r="L73" s="8"/>
      <c r="M73" s="8"/>
    </row>
    <row r="74" spans="1:13" ht="21.95" customHeight="1" x14ac:dyDescent="0.15">
      <c r="A74" s="2513"/>
      <c r="B74" s="2786"/>
      <c r="C74" s="2787"/>
      <c r="D74" s="1057" t="s">
        <v>1820</v>
      </c>
      <c r="E74" s="1061"/>
      <c r="F74" s="1344"/>
      <c r="G74" s="8"/>
      <c r="H74" s="8"/>
      <c r="I74" s="8"/>
      <c r="J74" s="8"/>
      <c r="K74" s="8"/>
      <c r="L74" s="8"/>
      <c r="M74" s="8"/>
    </row>
    <row r="75" spans="1:13" ht="21.95" customHeight="1" x14ac:dyDescent="0.15">
      <c r="A75" s="2513"/>
      <c r="B75" s="2786"/>
      <c r="C75" s="2787"/>
      <c r="D75" s="1057" t="s">
        <v>549</v>
      </c>
      <c r="E75" s="1061"/>
      <c r="F75" s="1344"/>
      <c r="G75" s="8"/>
      <c r="H75" s="8"/>
      <c r="I75" s="8"/>
      <c r="J75" s="8"/>
      <c r="K75" s="8"/>
      <c r="L75" s="8"/>
      <c r="M75" s="8"/>
    </row>
    <row r="76" spans="1:13" ht="21.95" customHeight="1" x14ac:dyDescent="0.15">
      <c r="A76" s="2513"/>
      <c r="B76" s="2786"/>
      <c r="C76" s="2787"/>
      <c r="D76" s="1057" t="s">
        <v>298</v>
      </c>
      <c r="E76" s="1061"/>
      <c r="F76" s="1344"/>
      <c r="G76" s="8"/>
      <c r="H76" s="8"/>
      <c r="I76" s="8"/>
      <c r="J76" s="8"/>
      <c r="K76" s="8"/>
      <c r="L76" s="8"/>
      <c r="M76" s="8"/>
    </row>
    <row r="77" spans="1:13" ht="21.95" customHeight="1" thickBot="1" x14ac:dyDescent="0.2">
      <c r="A77" s="2513"/>
      <c r="B77" s="2786"/>
      <c r="C77" s="2787"/>
      <c r="D77" s="1053" t="s">
        <v>203</v>
      </c>
      <c r="E77" s="982"/>
      <c r="F77" s="1269"/>
      <c r="G77" s="215">
        <v>1020.75</v>
      </c>
      <c r="H77" s="215">
        <v>4462.97</v>
      </c>
      <c r="I77" s="215">
        <v>1120.5899999999999</v>
      </c>
      <c r="J77" s="215">
        <v>598.41999999999996</v>
      </c>
      <c r="K77" s="215">
        <v>709.51</v>
      </c>
      <c r="L77" s="215">
        <v>4770.33</v>
      </c>
      <c r="M77" s="215"/>
    </row>
    <row r="78" spans="1:13" ht="21.95" customHeight="1" thickBot="1" x14ac:dyDescent="0.2">
      <c r="A78" s="2513"/>
      <c r="B78" s="2786"/>
      <c r="C78" s="2787"/>
      <c r="D78" s="503" t="s">
        <v>170</v>
      </c>
      <c r="E78" s="1061"/>
      <c r="F78" s="1344"/>
      <c r="G78" s="162">
        <f t="shared" ref="G78:H78" si="15">G69-G70-G71-G72-G76-G73</f>
        <v>291.77999999999997</v>
      </c>
      <c r="H78" s="162">
        <f t="shared" si="15"/>
        <v>1202.55</v>
      </c>
      <c r="I78" s="162">
        <f t="shared" ref="I78:L78" si="16">I69-I70-I71-I72-I76-I73</f>
        <v>255.68</v>
      </c>
      <c r="J78" s="162">
        <f t="shared" si="16"/>
        <v>170.94</v>
      </c>
      <c r="K78" s="162">
        <f t="shared" si="16"/>
        <v>188.84</v>
      </c>
      <c r="L78" s="162">
        <f t="shared" si="16"/>
        <v>1282.3699999999999</v>
      </c>
      <c r="M78" s="162"/>
    </row>
    <row r="79" spans="1:13" s="6" customFormat="1" ht="21.95" customHeight="1" x14ac:dyDescent="0.15">
      <c r="A79" s="2513"/>
      <c r="B79" s="2778" t="s">
        <v>250</v>
      </c>
      <c r="C79" s="2779"/>
      <c r="D79" s="1050" t="s">
        <v>1310</v>
      </c>
      <c r="E79" s="1067"/>
      <c r="F79" s="1387"/>
      <c r="G79" s="2380">
        <v>15</v>
      </c>
      <c r="H79" s="2380">
        <v>15</v>
      </c>
      <c r="I79" s="2380">
        <v>15</v>
      </c>
      <c r="J79" s="2380">
        <v>15</v>
      </c>
      <c r="K79" s="2380">
        <v>15</v>
      </c>
      <c r="L79" s="2380">
        <v>15</v>
      </c>
      <c r="M79" s="1226"/>
    </row>
    <row r="80" spans="1:13" s="6" customFormat="1" ht="21.95" customHeight="1" x14ac:dyDescent="0.15">
      <c r="A80" s="2513"/>
      <c r="B80" s="2780"/>
      <c r="C80" s="2781"/>
      <c r="D80" s="502" t="s">
        <v>1418</v>
      </c>
      <c r="E80" s="1061"/>
      <c r="F80" s="1341" t="s">
        <v>1805</v>
      </c>
      <c r="G80" s="1066"/>
      <c r="H80" s="1066"/>
      <c r="I80" s="1066"/>
      <c r="J80" s="1066"/>
      <c r="K80" s="1066"/>
      <c r="L80" s="1066"/>
      <c r="M80" s="1066"/>
    </row>
    <row r="81" spans="1:13" s="6" customFormat="1" ht="21.95" customHeight="1" x14ac:dyDescent="0.15">
      <c r="A81" s="2513"/>
      <c r="B81" s="2780"/>
      <c r="C81" s="2781"/>
      <c r="D81" s="503" t="s">
        <v>2015</v>
      </c>
      <c r="E81" s="1061"/>
      <c r="F81" s="2763" t="s">
        <v>1318</v>
      </c>
      <c r="G81" s="1066">
        <v>1</v>
      </c>
      <c r="H81" s="1066">
        <v>1</v>
      </c>
      <c r="I81" s="1066">
        <v>1</v>
      </c>
      <c r="J81" s="1066">
        <v>1</v>
      </c>
      <c r="K81" s="1066">
        <v>1</v>
      </c>
      <c r="L81" s="1066">
        <v>1</v>
      </c>
      <c r="M81" s="1066"/>
    </row>
    <row r="82" spans="1:13" s="6" customFormat="1" ht="21.95" customHeight="1" x14ac:dyDescent="0.15">
      <c r="A82" s="2513"/>
      <c r="B82" s="2780"/>
      <c r="C82" s="2781"/>
      <c r="D82" s="503" t="s">
        <v>1299</v>
      </c>
      <c r="E82" s="1061"/>
      <c r="F82" s="2763"/>
      <c r="G82" s="1066"/>
      <c r="H82" s="1066"/>
      <c r="I82" s="1066"/>
      <c r="J82" s="1066"/>
      <c r="K82" s="1066"/>
      <c r="L82" s="1066"/>
      <c r="M82" s="1066"/>
    </row>
    <row r="83" spans="1:13" s="6" customFormat="1" ht="21.95" customHeight="1" x14ac:dyDescent="0.15">
      <c r="A83" s="2513"/>
      <c r="B83" s="2780"/>
      <c r="C83" s="2781"/>
      <c r="D83" s="503" t="s">
        <v>1312</v>
      </c>
      <c r="E83" s="1061"/>
      <c r="F83" s="2763"/>
      <c r="G83" s="1066"/>
      <c r="H83" s="1066"/>
      <c r="I83" s="1066"/>
      <c r="J83" s="1066"/>
      <c r="K83" s="1066"/>
      <c r="L83" s="1066"/>
      <c r="M83" s="1066"/>
    </row>
    <row r="84" spans="1:13" s="6" customFormat="1" ht="21.95" customHeight="1" x14ac:dyDescent="0.15">
      <c r="A84" s="2513"/>
      <c r="B84" s="2780"/>
      <c r="C84" s="2781"/>
      <c r="D84" s="503" t="s">
        <v>1313</v>
      </c>
      <c r="E84" s="1061"/>
      <c r="F84" s="2763"/>
      <c r="G84" s="1066"/>
      <c r="H84" s="1066"/>
      <c r="I84" s="1066"/>
      <c r="J84" s="1066"/>
      <c r="K84" s="1066"/>
      <c r="L84" s="1066"/>
      <c r="M84" s="1066"/>
    </row>
    <row r="85" spans="1:13" s="6" customFormat="1" ht="21.95" customHeight="1" thickBot="1" x14ac:dyDescent="0.2">
      <c r="A85" s="2513"/>
      <c r="B85" s="2782"/>
      <c r="C85" s="2783"/>
      <c r="D85" s="1051" t="s">
        <v>1314</v>
      </c>
      <c r="E85" s="982"/>
      <c r="F85" s="2764"/>
      <c r="G85" s="1066"/>
      <c r="H85" s="1066"/>
      <c r="I85" s="1066"/>
      <c r="J85" s="1066"/>
      <c r="K85" s="1066"/>
      <c r="L85" s="1066"/>
      <c r="M85" s="1066"/>
    </row>
    <row r="86" spans="1:13" s="6" customFormat="1" ht="21.95" customHeight="1" x14ac:dyDescent="0.15">
      <c r="A86" s="2513"/>
      <c r="B86" s="2771" t="s">
        <v>59</v>
      </c>
      <c r="C86" s="2772"/>
      <c r="D86" s="502" t="s">
        <v>1310</v>
      </c>
      <c r="E86" s="1061"/>
      <c r="F86" s="1346" t="s">
        <v>1381</v>
      </c>
      <c r="G86" s="2380">
        <v>15</v>
      </c>
      <c r="H86" s="2380">
        <v>15</v>
      </c>
      <c r="I86" s="2380">
        <v>20</v>
      </c>
      <c r="J86" s="2380">
        <v>15</v>
      </c>
      <c r="K86" s="2380">
        <v>15</v>
      </c>
      <c r="L86" s="2380">
        <v>20</v>
      </c>
      <c r="M86" s="1226"/>
    </row>
    <row r="87" spans="1:13" s="6" customFormat="1" ht="21.95" customHeight="1" x14ac:dyDescent="0.15">
      <c r="A87" s="2513"/>
      <c r="B87" s="2771"/>
      <c r="C87" s="2772"/>
      <c r="D87" s="502" t="s">
        <v>1418</v>
      </c>
      <c r="E87" s="1061"/>
      <c r="F87" s="1341" t="s">
        <v>1419</v>
      </c>
      <c r="G87" s="1066"/>
      <c r="H87" s="1066"/>
      <c r="I87" s="1066"/>
      <c r="J87" s="1066"/>
      <c r="K87" s="1066"/>
      <c r="L87" s="1066"/>
      <c r="M87" s="1066"/>
    </row>
    <row r="88" spans="1:13" s="6" customFormat="1" ht="21.95" customHeight="1" x14ac:dyDescent="0.15">
      <c r="A88" s="2513"/>
      <c r="B88" s="2771"/>
      <c r="C88" s="2772"/>
      <c r="D88" s="503" t="s">
        <v>2015</v>
      </c>
      <c r="E88" s="1061"/>
      <c r="F88" s="2763" t="s">
        <v>1318</v>
      </c>
      <c r="G88" s="1066"/>
      <c r="H88" s="1066"/>
      <c r="I88" s="1066"/>
      <c r="J88" s="1066"/>
      <c r="K88" s="1066"/>
      <c r="L88" s="1066"/>
      <c r="M88" s="1066"/>
    </row>
    <row r="89" spans="1:13" s="6" customFormat="1" ht="21.95" customHeight="1" x14ac:dyDescent="0.15">
      <c r="A89" s="2513"/>
      <c r="B89" s="2771"/>
      <c r="C89" s="2772"/>
      <c r="D89" s="503" t="s">
        <v>1299</v>
      </c>
      <c r="E89" s="1061"/>
      <c r="F89" s="2763"/>
      <c r="G89" s="1066"/>
      <c r="H89" s="1066"/>
      <c r="I89" s="1066"/>
      <c r="J89" s="1066"/>
      <c r="K89" s="1066"/>
      <c r="L89" s="1066"/>
      <c r="M89" s="1066"/>
    </row>
    <row r="90" spans="1:13" s="6" customFormat="1" ht="21.95" customHeight="1" x14ac:dyDescent="0.15">
      <c r="A90" s="2513"/>
      <c r="B90" s="2771"/>
      <c r="C90" s="2772"/>
      <c r="D90" s="503" t="s">
        <v>329</v>
      </c>
      <c r="E90" s="1061"/>
      <c r="F90" s="2763"/>
      <c r="G90" s="1066"/>
      <c r="H90" s="1066"/>
      <c r="I90" s="1066"/>
      <c r="J90" s="1066"/>
      <c r="K90" s="1066"/>
      <c r="L90" s="1066"/>
      <c r="M90" s="1066"/>
    </row>
    <row r="91" spans="1:13" s="6" customFormat="1" ht="21.95" customHeight="1" x14ac:dyDescent="0.15">
      <c r="A91" s="2513"/>
      <c r="B91" s="2771"/>
      <c r="C91" s="2772"/>
      <c r="D91" s="503" t="s">
        <v>1298</v>
      </c>
      <c r="E91" s="1061"/>
      <c r="F91" s="2763"/>
      <c r="G91" s="1066">
        <v>1</v>
      </c>
      <c r="H91" s="1066">
        <v>1</v>
      </c>
      <c r="I91" s="1066">
        <v>1</v>
      </c>
      <c r="J91" s="1066">
        <v>1</v>
      </c>
      <c r="K91" s="1066">
        <v>1</v>
      </c>
      <c r="L91" s="1066">
        <v>1</v>
      </c>
      <c r="M91" s="1066"/>
    </row>
    <row r="92" spans="1:13" s="6" customFormat="1" ht="21.95" customHeight="1" thickBot="1" x14ac:dyDescent="0.2">
      <c r="A92" s="2513"/>
      <c r="B92" s="2773"/>
      <c r="C92" s="2774"/>
      <c r="D92" s="503" t="s">
        <v>1055</v>
      </c>
      <c r="E92" s="982"/>
      <c r="F92" s="2764"/>
      <c r="G92" s="1066"/>
      <c r="H92" s="1066"/>
      <c r="I92" s="1066"/>
      <c r="J92" s="1066"/>
      <c r="K92" s="1066"/>
      <c r="L92" s="1066"/>
      <c r="M92" s="1066"/>
    </row>
    <row r="93" spans="1:13" s="6" customFormat="1" ht="21.95" customHeight="1" x14ac:dyDescent="0.15">
      <c r="A93" s="2513"/>
      <c r="B93" s="2791" t="s">
        <v>244</v>
      </c>
      <c r="C93" s="2792"/>
      <c r="D93" s="1050" t="s">
        <v>1417</v>
      </c>
      <c r="E93" s="1067"/>
      <c r="F93" s="2760" t="s">
        <v>1319</v>
      </c>
      <c r="G93" s="1226"/>
      <c r="H93" s="1226"/>
      <c r="I93" s="1226"/>
      <c r="J93" s="1226"/>
      <c r="K93" s="1226"/>
      <c r="L93" s="1226"/>
      <c r="M93" s="1226"/>
    </row>
    <row r="94" spans="1:13" s="6" customFormat="1" ht="21.95" customHeight="1" x14ac:dyDescent="0.15">
      <c r="A94" s="2513"/>
      <c r="B94" s="2793"/>
      <c r="C94" s="2794"/>
      <c r="D94" s="502" t="s">
        <v>1304</v>
      </c>
      <c r="E94" s="1736"/>
      <c r="F94" s="2761"/>
      <c r="G94" s="1225"/>
      <c r="H94" s="1225"/>
      <c r="I94" s="1225"/>
      <c r="J94" s="1225"/>
      <c r="K94" s="1225"/>
      <c r="L94" s="1225"/>
      <c r="M94" s="1225"/>
    </row>
    <row r="95" spans="1:13" s="6" customFormat="1" ht="21.95" customHeight="1" x14ac:dyDescent="0.15">
      <c r="A95" s="2513"/>
      <c r="B95" s="2793"/>
      <c r="C95" s="2794"/>
      <c r="D95" s="503" t="s">
        <v>1305</v>
      </c>
      <c r="E95" s="1061"/>
      <c r="F95" s="2761"/>
      <c r="G95" s="157"/>
      <c r="H95" s="157"/>
      <c r="I95" s="157"/>
      <c r="J95" s="157"/>
      <c r="K95" s="157"/>
      <c r="L95" s="157"/>
      <c r="M95" s="157"/>
    </row>
    <row r="96" spans="1:13" s="6" customFormat="1" ht="21.95" customHeight="1" x14ac:dyDescent="0.15">
      <c r="A96" s="2513"/>
      <c r="B96" s="2793"/>
      <c r="C96" s="2794"/>
      <c r="D96" s="503" t="s">
        <v>1306</v>
      </c>
      <c r="E96" s="1061"/>
      <c r="F96" s="2761"/>
      <c r="G96" s="157"/>
      <c r="H96" s="157"/>
      <c r="I96" s="157"/>
      <c r="J96" s="157"/>
      <c r="K96" s="157"/>
      <c r="L96" s="157"/>
      <c r="M96" s="157"/>
    </row>
    <row r="97" spans="1:13" s="6" customFormat="1" ht="21.95" customHeight="1" x14ac:dyDescent="0.15">
      <c r="A97" s="2513"/>
      <c r="B97" s="2793"/>
      <c r="C97" s="2794"/>
      <c r="D97" s="503" t="s">
        <v>1307</v>
      </c>
      <c r="E97" s="1061"/>
      <c r="F97" s="2761"/>
      <c r="G97" s="157"/>
      <c r="H97" s="157"/>
      <c r="I97" s="157"/>
      <c r="J97" s="157"/>
      <c r="K97" s="157"/>
      <c r="L97" s="157"/>
      <c r="M97" s="157"/>
    </row>
    <row r="98" spans="1:13" s="6" customFormat="1" ht="21.95" customHeight="1" x14ac:dyDescent="0.15">
      <c r="A98" s="2513"/>
      <c r="B98" s="2793"/>
      <c r="C98" s="2794"/>
      <c r="D98" s="503" t="s">
        <v>1308</v>
      </c>
      <c r="E98" s="1062"/>
      <c r="F98" s="2761"/>
      <c r="G98" s="337"/>
      <c r="H98" s="337"/>
      <c r="I98" s="337"/>
      <c r="J98" s="337"/>
      <c r="K98" s="337"/>
      <c r="L98" s="337"/>
      <c r="M98" s="337"/>
    </row>
    <row r="99" spans="1:13" s="6" customFormat="1" ht="21.95" customHeight="1" x14ac:dyDescent="0.15">
      <c r="A99" s="2513"/>
      <c r="B99" s="2793"/>
      <c r="C99" s="2794"/>
      <c r="D99" s="502" t="s">
        <v>732</v>
      </c>
      <c r="E99" s="1736"/>
      <c r="F99" s="2761"/>
      <c r="G99" s="1225"/>
      <c r="H99" s="1225"/>
      <c r="I99" s="1225"/>
      <c r="J99" s="1225"/>
      <c r="K99" s="1225"/>
      <c r="L99" s="1225"/>
      <c r="M99" s="1225"/>
    </row>
    <row r="100" spans="1:13" s="6" customFormat="1" ht="21.95" customHeight="1" x14ac:dyDescent="0.15">
      <c r="A100" s="2513"/>
      <c r="B100" s="2793"/>
      <c r="C100" s="2794"/>
      <c r="D100" s="503" t="s">
        <v>1315</v>
      </c>
      <c r="E100" s="1061"/>
      <c r="F100" s="2761"/>
      <c r="G100" s="157" t="s">
        <v>312</v>
      </c>
      <c r="H100" s="157" t="s">
        <v>312</v>
      </c>
      <c r="I100" s="157" t="s">
        <v>312</v>
      </c>
      <c r="J100" s="157" t="s">
        <v>312</v>
      </c>
      <c r="K100" s="157" t="s">
        <v>312</v>
      </c>
      <c r="L100" s="157" t="s">
        <v>312</v>
      </c>
      <c r="M100" s="157"/>
    </row>
    <row r="101" spans="1:13" s="6" customFormat="1" ht="21.95" customHeight="1" x14ac:dyDescent="0.15">
      <c r="A101" s="2513"/>
      <c r="B101" s="2793"/>
      <c r="C101" s="2794"/>
      <c r="D101" s="503" t="s">
        <v>1309</v>
      </c>
      <c r="E101" s="1061"/>
      <c r="F101" s="2761"/>
      <c r="G101" s="157"/>
      <c r="H101" s="157"/>
      <c r="I101" s="157"/>
      <c r="J101" s="157"/>
      <c r="K101" s="157"/>
      <c r="L101" s="157"/>
      <c r="M101" s="157"/>
    </row>
    <row r="102" spans="1:13" s="6" customFormat="1" ht="21.95" customHeight="1" x14ac:dyDescent="0.15">
      <c r="A102" s="2513"/>
      <c r="B102" s="2793"/>
      <c r="C102" s="2794"/>
      <c r="D102" s="503" t="s">
        <v>908</v>
      </c>
      <c r="E102" s="1061"/>
      <c r="F102" s="2762"/>
      <c r="G102" s="337"/>
      <c r="H102" s="337"/>
      <c r="I102" s="337"/>
      <c r="J102" s="337"/>
      <c r="K102" s="337"/>
      <c r="L102" s="337"/>
      <c r="M102" s="337"/>
    </row>
    <row r="103" spans="1:13" s="6" customFormat="1" ht="21.95" customHeight="1" thickBot="1" x14ac:dyDescent="0.2">
      <c r="A103" s="2513"/>
      <c r="B103" s="2795"/>
      <c r="C103" s="2796"/>
      <c r="D103" s="1051" t="s">
        <v>733</v>
      </c>
      <c r="E103" s="982"/>
      <c r="F103" s="1269"/>
      <c r="G103" s="215">
        <v>3</v>
      </c>
      <c r="H103" s="215">
        <v>3</v>
      </c>
      <c r="I103" s="215">
        <v>4</v>
      </c>
      <c r="J103" s="215">
        <v>3</v>
      </c>
      <c r="K103" s="215">
        <v>3</v>
      </c>
      <c r="L103" s="215">
        <v>4</v>
      </c>
      <c r="M103" s="215"/>
    </row>
    <row r="104" spans="1:13" s="6" customFormat="1" ht="21.95" customHeight="1" thickBot="1" x14ac:dyDescent="0.2">
      <c r="A104" s="2513"/>
      <c r="B104" s="2797" t="s">
        <v>2610</v>
      </c>
      <c r="C104" s="2798"/>
      <c r="D104" s="451" t="s">
        <v>29</v>
      </c>
      <c r="E104" s="1231"/>
      <c r="F104" s="552"/>
      <c r="G104" s="243"/>
      <c r="H104" s="243"/>
      <c r="I104" s="243"/>
      <c r="J104" s="243"/>
      <c r="K104" s="243"/>
      <c r="L104" s="243"/>
      <c r="M104" s="243"/>
    </row>
    <row r="105" spans="1:13" s="6" customFormat="1" ht="21.95" customHeight="1" x14ac:dyDescent="0.15">
      <c r="A105" s="2513"/>
      <c r="B105" s="2801" t="s">
        <v>550</v>
      </c>
      <c r="C105" s="2802"/>
      <c r="D105" s="1050" t="s">
        <v>3</v>
      </c>
      <c r="E105" s="1060"/>
      <c r="F105" s="1343"/>
      <c r="G105" s="216"/>
      <c r="H105" s="216"/>
      <c r="I105" s="216"/>
      <c r="J105" s="216"/>
      <c r="K105" s="216"/>
      <c r="L105" s="216"/>
      <c r="M105" s="216"/>
    </row>
    <row r="106" spans="1:13" s="6" customFormat="1" ht="21.95" customHeight="1" thickBot="1" x14ac:dyDescent="0.2">
      <c r="A106" s="2513"/>
      <c r="B106" s="2773"/>
      <c r="C106" s="2774"/>
      <c r="D106" s="1051" t="s">
        <v>58</v>
      </c>
      <c r="E106" s="982"/>
      <c r="F106" s="1269"/>
      <c r="G106" s="215"/>
      <c r="H106" s="215"/>
      <c r="I106" s="215"/>
      <c r="J106" s="215"/>
      <c r="K106" s="215"/>
      <c r="L106" s="215"/>
      <c r="M106" s="215"/>
    </row>
    <row r="107" spans="1:13" s="6" customFormat="1" ht="21.95" customHeight="1" thickBot="1" x14ac:dyDescent="0.2">
      <c r="A107" s="2513"/>
      <c r="B107" s="2797" t="s">
        <v>551</v>
      </c>
      <c r="C107" s="2798"/>
      <c r="D107" s="451" t="s">
        <v>29</v>
      </c>
      <c r="E107" s="1231"/>
      <c r="F107" s="552"/>
      <c r="G107" s="243"/>
      <c r="H107" s="243"/>
      <c r="I107" s="243"/>
      <c r="J107" s="243"/>
      <c r="K107" s="243"/>
      <c r="L107" s="243"/>
      <c r="M107" s="243"/>
    </row>
    <row r="108" spans="1:13" s="6" customFormat="1" ht="21.95" customHeight="1" x14ac:dyDescent="0.15">
      <c r="A108" s="2513"/>
      <c r="B108" s="2801" t="s">
        <v>552</v>
      </c>
      <c r="C108" s="2802"/>
      <c r="D108" s="1050" t="s">
        <v>3</v>
      </c>
      <c r="E108" s="1060"/>
      <c r="F108" s="1343"/>
      <c r="G108" s="2105"/>
      <c r="H108" s="2105"/>
      <c r="I108" s="2105"/>
      <c r="J108" s="2105"/>
      <c r="K108" s="2105"/>
      <c r="L108" s="2105"/>
      <c r="M108" s="2105"/>
    </row>
    <row r="109" spans="1:13" s="6" customFormat="1" ht="21.95" customHeight="1" thickBot="1" x14ac:dyDescent="0.2">
      <c r="A109" s="2513"/>
      <c r="B109" s="2773"/>
      <c r="C109" s="2774"/>
      <c r="D109" s="1051" t="s">
        <v>58</v>
      </c>
      <c r="E109" s="982"/>
      <c r="F109" s="1269"/>
      <c r="G109" s="215"/>
      <c r="H109" s="215"/>
      <c r="I109" s="215"/>
      <c r="J109" s="215"/>
      <c r="K109" s="215"/>
      <c r="L109" s="215"/>
      <c r="M109" s="215"/>
    </row>
    <row r="110" spans="1:13" s="6" customFormat="1" ht="21.95" customHeight="1" thickBot="1" x14ac:dyDescent="0.2">
      <c r="A110" s="2513"/>
      <c r="B110" s="2797" t="s">
        <v>555</v>
      </c>
      <c r="C110" s="2798"/>
      <c r="D110" s="451" t="s">
        <v>29</v>
      </c>
      <c r="E110" s="1231"/>
      <c r="F110" s="552"/>
      <c r="G110" s="243"/>
      <c r="H110" s="243"/>
      <c r="I110" s="243"/>
      <c r="J110" s="243"/>
      <c r="K110" s="243"/>
      <c r="L110" s="243"/>
      <c r="M110" s="243"/>
    </row>
    <row r="111" spans="1:13" s="6" customFormat="1" ht="21.95" customHeight="1" x14ac:dyDescent="0.15">
      <c r="A111" s="2513"/>
      <c r="B111" s="2799" t="s">
        <v>556</v>
      </c>
      <c r="C111" s="2800"/>
      <c r="D111" s="503" t="s">
        <v>3</v>
      </c>
      <c r="E111" s="1063"/>
      <c r="F111" s="1362"/>
      <c r="G111" s="2274"/>
      <c r="H111" s="2274"/>
      <c r="I111" s="2274"/>
      <c r="J111" s="2274"/>
      <c r="K111" s="2274"/>
      <c r="L111" s="2274"/>
      <c r="M111" s="2274"/>
    </row>
    <row r="112" spans="1:13" s="6" customFormat="1" ht="21.95" customHeight="1" thickBot="1" x14ac:dyDescent="0.2">
      <c r="A112" s="2513"/>
      <c r="B112" s="2799"/>
      <c r="C112" s="2800"/>
      <c r="D112" s="503" t="s">
        <v>58</v>
      </c>
      <c r="E112" s="1062"/>
      <c r="F112" s="1361"/>
      <c r="G112" s="1072"/>
      <c r="H112" s="1072"/>
      <c r="I112" s="1072"/>
      <c r="J112" s="1072"/>
      <c r="K112" s="1072"/>
      <c r="L112" s="1072"/>
      <c r="M112" s="1072"/>
    </row>
    <row r="113" spans="1:13" s="6" customFormat="1" ht="32.1" customHeight="1" thickBot="1" x14ac:dyDescent="0.2">
      <c r="A113" s="2513"/>
      <c r="B113" s="2797" t="s">
        <v>1316</v>
      </c>
      <c r="C113" s="2798"/>
      <c r="D113" s="451" t="s">
        <v>29</v>
      </c>
      <c r="E113" s="1231"/>
      <c r="F113" s="552"/>
      <c r="G113" s="243">
        <f t="shared" ref="G113:H113" si="17">G107</f>
        <v>0</v>
      </c>
      <c r="H113" s="243">
        <f t="shared" si="17"/>
        <v>0</v>
      </c>
      <c r="I113" s="243">
        <f t="shared" ref="I113:L113" si="18">I107</f>
        <v>0</v>
      </c>
      <c r="J113" s="243">
        <f t="shared" si="18"/>
        <v>0</v>
      </c>
      <c r="K113" s="243">
        <f t="shared" si="18"/>
        <v>0</v>
      </c>
      <c r="L113" s="243">
        <f t="shared" si="18"/>
        <v>0</v>
      </c>
      <c r="M113" s="243"/>
    </row>
    <row r="114" spans="1:13" s="6" customFormat="1" ht="21.95" customHeight="1" x14ac:dyDescent="0.15">
      <c r="A114" s="2513"/>
      <c r="B114" s="2799" t="s">
        <v>557</v>
      </c>
      <c r="C114" s="2800"/>
      <c r="D114" s="503" t="s">
        <v>3</v>
      </c>
      <c r="E114" s="1061"/>
      <c r="F114" s="1344"/>
      <c r="G114" s="8"/>
      <c r="H114" s="8"/>
      <c r="I114" s="8"/>
      <c r="J114" s="8"/>
      <c r="K114" s="8"/>
      <c r="L114" s="8"/>
      <c r="M114" s="8"/>
    </row>
    <row r="115" spans="1:13" s="6" customFormat="1" ht="21.95" customHeight="1" thickBot="1" x14ac:dyDescent="0.2">
      <c r="A115" s="2513"/>
      <c r="B115" s="2773"/>
      <c r="C115" s="2774"/>
      <c r="D115" s="1051" t="s">
        <v>58</v>
      </c>
      <c r="E115" s="982"/>
      <c r="F115" s="1269"/>
      <c r="G115" s="215"/>
      <c r="H115" s="215"/>
      <c r="I115" s="215"/>
      <c r="J115" s="215"/>
      <c r="K115" s="215"/>
      <c r="L115" s="215"/>
      <c r="M115" s="215"/>
    </row>
    <row r="116" spans="1:13" s="6" customFormat="1" ht="21.95" customHeight="1" thickBot="1" x14ac:dyDescent="0.2">
      <c r="A116" s="2513"/>
      <c r="B116" s="2769" t="s">
        <v>2044</v>
      </c>
      <c r="C116" s="2821"/>
      <c r="D116" s="1777" t="s">
        <v>2041</v>
      </c>
      <c r="E116" s="1061"/>
      <c r="F116" s="1344"/>
      <c r="G116" s="8"/>
      <c r="H116" s="8"/>
      <c r="I116" s="8"/>
      <c r="J116" s="8"/>
      <c r="K116" s="8"/>
      <c r="L116" s="8"/>
      <c r="M116" s="8"/>
    </row>
    <row r="117" spans="1:13" s="6" customFormat="1" ht="21.95" customHeight="1" thickBot="1" x14ac:dyDescent="0.2">
      <c r="A117" s="2513"/>
      <c r="B117" s="2769"/>
      <c r="C117" s="2821"/>
      <c r="D117" s="1778" t="s">
        <v>2042</v>
      </c>
      <c r="E117" s="1061"/>
      <c r="F117" s="1344"/>
      <c r="G117" s="8"/>
      <c r="H117" s="8"/>
      <c r="I117" s="8"/>
      <c r="J117" s="8"/>
      <c r="K117" s="8"/>
      <c r="L117" s="8"/>
      <c r="M117" s="8"/>
    </row>
    <row r="118" spans="1:13" s="6" customFormat="1" ht="21.95" customHeight="1" thickBot="1" x14ac:dyDescent="0.2">
      <c r="A118" s="2513"/>
      <c r="B118" s="2769"/>
      <c r="C118" s="2821"/>
      <c r="D118" s="1051" t="s">
        <v>2043</v>
      </c>
      <c r="E118" s="982"/>
      <c r="F118" s="1269"/>
      <c r="G118" s="215"/>
      <c r="H118" s="215"/>
      <c r="I118" s="215"/>
      <c r="J118" s="215"/>
      <c r="K118" s="215"/>
      <c r="L118" s="215"/>
      <c r="M118" s="215"/>
    </row>
    <row r="119" spans="1:13" s="6" customFormat="1" ht="21.95" customHeight="1" thickBot="1" x14ac:dyDescent="0.2">
      <c r="A119" s="2513"/>
      <c r="B119" s="2769" t="s">
        <v>2039</v>
      </c>
      <c r="C119" s="2821"/>
      <c r="D119" s="1778" t="s">
        <v>60</v>
      </c>
      <c r="E119" s="1061"/>
      <c r="F119" s="1344"/>
      <c r="G119" s="8"/>
      <c r="H119" s="8"/>
      <c r="I119" s="8"/>
      <c r="J119" s="8"/>
      <c r="K119" s="8"/>
      <c r="L119" s="8"/>
      <c r="M119" s="8"/>
    </row>
    <row r="120" spans="1:13" s="6" customFormat="1" ht="21.95" customHeight="1" thickBot="1" x14ac:dyDescent="0.2">
      <c r="A120" s="2513"/>
      <c r="B120" s="2769"/>
      <c r="C120" s="2821"/>
      <c r="D120" s="1778" t="s">
        <v>10</v>
      </c>
      <c r="E120" s="1061"/>
      <c r="F120" s="1344"/>
      <c r="G120" s="8"/>
      <c r="H120" s="8"/>
      <c r="I120" s="8"/>
      <c r="J120" s="8"/>
      <c r="K120" s="8"/>
      <c r="L120" s="8"/>
      <c r="M120" s="8"/>
    </row>
    <row r="121" spans="1:13" s="6" customFormat="1" ht="21.95" customHeight="1" thickBot="1" x14ac:dyDescent="0.2">
      <c r="A121" s="2513"/>
      <c r="B121" s="2769"/>
      <c r="C121" s="2821"/>
      <c r="D121" s="1778" t="s">
        <v>58</v>
      </c>
      <c r="E121" s="1061"/>
      <c r="F121" s="1344"/>
      <c r="G121" s="8"/>
      <c r="H121" s="8"/>
      <c r="I121" s="8"/>
      <c r="J121" s="8"/>
      <c r="K121" s="8"/>
      <c r="L121" s="8"/>
      <c r="M121" s="8"/>
    </row>
    <row r="122" spans="1:13" s="6" customFormat="1" ht="21.95" customHeight="1" x14ac:dyDescent="0.15">
      <c r="A122" s="2513"/>
      <c r="B122" s="2778" t="s">
        <v>545</v>
      </c>
      <c r="C122" s="2779"/>
      <c r="D122" s="1050" t="s">
        <v>3</v>
      </c>
      <c r="E122" s="1060"/>
      <c r="F122" s="1343"/>
      <c r="G122" s="216"/>
      <c r="H122" s="216"/>
      <c r="I122" s="216"/>
      <c r="J122" s="216"/>
      <c r="K122" s="216"/>
      <c r="L122" s="216"/>
      <c r="M122" s="216"/>
    </row>
    <row r="123" spans="1:13" s="6" customFormat="1" ht="21.95" customHeight="1" x14ac:dyDescent="0.15">
      <c r="A123" s="2513"/>
      <c r="B123" s="2780"/>
      <c r="C123" s="2781"/>
      <c r="D123" s="503" t="s">
        <v>58</v>
      </c>
      <c r="E123" s="1061"/>
      <c r="F123" s="1344"/>
      <c r="G123" s="8"/>
      <c r="H123" s="8"/>
      <c r="I123" s="8"/>
      <c r="J123" s="8"/>
      <c r="K123" s="8"/>
      <c r="L123" s="8"/>
      <c r="M123" s="8"/>
    </row>
    <row r="124" spans="1:13" s="6" customFormat="1" ht="21.95" customHeight="1" thickBot="1" x14ac:dyDescent="0.2">
      <c r="A124" s="2513"/>
      <c r="B124" s="2782"/>
      <c r="C124" s="2783"/>
      <c r="D124" s="1051" t="s">
        <v>16</v>
      </c>
      <c r="E124" s="982"/>
      <c r="F124" s="1269"/>
      <c r="G124" s="215"/>
      <c r="H124" s="215"/>
      <c r="I124" s="215"/>
      <c r="J124" s="215"/>
      <c r="K124" s="215"/>
      <c r="L124" s="215"/>
      <c r="M124" s="215"/>
    </row>
    <row r="125" spans="1:13" s="6" customFormat="1" ht="21.95" customHeight="1" x14ac:dyDescent="0.15">
      <c r="A125" s="2513"/>
      <c r="B125" s="2780" t="s">
        <v>562</v>
      </c>
      <c r="C125" s="2781"/>
      <c r="D125" s="1050" t="s">
        <v>3</v>
      </c>
      <c r="E125" s="1061"/>
      <c r="F125" s="1344"/>
      <c r="G125" s="8"/>
      <c r="H125" s="8"/>
      <c r="I125" s="8"/>
      <c r="J125" s="8"/>
      <c r="K125" s="8"/>
      <c r="L125" s="8"/>
      <c r="M125" s="8"/>
    </row>
    <row r="126" spans="1:13" s="6" customFormat="1" ht="21.95" customHeight="1" x14ac:dyDescent="0.15">
      <c r="A126" s="2513"/>
      <c r="B126" s="2780"/>
      <c r="C126" s="2781"/>
      <c r="D126" s="503" t="s">
        <v>58</v>
      </c>
      <c r="E126" s="1061"/>
      <c r="F126" s="1344"/>
      <c r="G126" s="8"/>
      <c r="H126" s="8"/>
      <c r="I126" s="8"/>
      <c r="J126" s="8"/>
      <c r="K126" s="8"/>
      <c r="L126" s="8"/>
      <c r="M126" s="8"/>
    </row>
    <row r="127" spans="1:13" s="6" customFormat="1" ht="21.95" customHeight="1" thickBot="1" x14ac:dyDescent="0.2">
      <c r="A127" s="2513"/>
      <c r="B127" s="2780"/>
      <c r="C127" s="2781"/>
      <c r="D127" s="1051" t="s">
        <v>16</v>
      </c>
      <c r="E127" s="982"/>
      <c r="F127" s="1269"/>
      <c r="G127" s="215"/>
      <c r="H127" s="215"/>
      <c r="I127" s="215"/>
      <c r="J127" s="215"/>
      <c r="K127" s="215"/>
      <c r="L127" s="215"/>
      <c r="M127" s="215"/>
    </row>
    <row r="128" spans="1:13" s="6" customFormat="1" ht="21.95" customHeight="1" x14ac:dyDescent="0.15">
      <c r="A128" s="2513"/>
      <c r="B128" s="2778" t="s">
        <v>547</v>
      </c>
      <c r="C128" s="2779"/>
      <c r="D128" s="1055" t="s">
        <v>3</v>
      </c>
      <c r="E128" s="1061"/>
      <c r="F128" s="1344"/>
      <c r="G128" s="8"/>
      <c r="H128" s="8"/>
      <c r="I128" s="8"/>
      <c r="J128" s="8"/>
      <c r="K128" s="8"/>
      <c r="L128" s="8"/>
      <c r="M128" s="8"/>
    </row>
    <row r="129" spans="1:13" s="6" customFormat="1" ht="21.95" customHeight="1" thickBot="1" x14ac:dyDescent="0.2">
      <c r="A129" s="2513"/>
      <c r="B129" s="2782"/>
      <c r="C129" s="2783"/>
      <c r="D129" s="1056" t="s">
        <v>58</v>
      </c>
      <c r="E129" s="982"/>
      <c r="F129" s="1269"/>
      <c r="G129" s="215"/>
      <c r="H129" s="215"/>
      <c r="I129" s="215"/>
      <c r="J129" s="215"/>
      <c r="K129" s="215"/>
      <c r="L129" s="215"/>
      <c r="M129" s="215"/>
    </row>
    <row r="130" spans="1:13" s="6" customFormat="1" ht="21.95" customHeight="1" x14ac:dyDescent="0.15">
      <c r="A130" s="2513"/>
      <c r="B130" s="2780" t="s">
        <v>548</v>
      </c>
      <c r="C130" s="2781"/>
      <c r="D130" s="1050" t="s">
        <v>558</v>
      </c>
      <c r="E130" s="1061"/>
      <c r="F130" s="1344"/>
      <c r="G130" s="8"/>
      <c r="H130" s="8"/>
      <c r="I130" s="8"/>
      <c r="J130" s="8"/>
      <c r="K130" s="8"/>
      <c r="L130" s="8"/>
      <c r="M130" s="8"/>
    </row>
    <row r="131" spans="1:13" s="6" customFormat="1" ht="21.95" customHeight="1" x14ac:dyDescent="0.15">
      <c r="A131" s="2513"/>
      <c r="B131" s="2780"/>
      <c r="C131" s="2781"/>
      <c r="D131" s="503" t="s">
        <v>559</v>
      </c>
      <c r="E131" s="1061"/>
      <c r="F131" s="1344"/>
      <c r="G131" s="8"/>
      <c r="H131" s="8"/>
      <c r="I131" s="8"/>
      <c r="J131" s="8"/>
      <c r="K131" s="8"/>
      <c r="L131" s="8"/>
      <c r="M131" s="8"/>
    </row>
    <row r="132" spans="1:13" s="6" customFormat="1" ht="21.95" customHeight="1" x14ac:dyDescent="0.15">
      <c r="A132" s="2513"/>
      <c r="B132" s="2780"/>
      <c r="C132" s="2781"/>
      <c r="D132" s="503" t="s">
        <v>560</v>
      </c>
      <c r="E132" s="1061"/>
      <c r="F132" s="1344"/>
      <c r="G132" s="8"/>
      <c r="H132" s="8"/>
      <c r="I132" s="8"/>
      <c r="J132" s="8"/>
      <c r="K132" s="8"/>
      <c r="L132" s="8"/>
      <c r="M132" s="8"/>
    </row>
    <row r="133" spans="1:13" s="6" customFormat="1" ht="21.95" customHeight="1" thickBot="1" x14ac:dyDescent="0.2">
      <c r="A133" s="2513"/>
      <c r="B133" s="2780"/>
      <c r="C133" s="2781"/>
      <c r="D133" s="1051" t="s">
        <v>561</v>
      </c>
      <c r="E133" s="982"/>
      <c r="F133" s="1269"/>
      <c r="G133" s="215"/>
      <c r="H133" s="215"/>
      <c r="I133" s="215"/>
      <c r="J133" s="215"/>
      <c r="K133" s="215"/>
      <c r="L133" s="215"/>
      <c r="M133" s="215"/>
    </row>
    <row r="134" spans="1:13" s="6" customFormat="1" ht="21.95" customHeight="1" x14ac:dyDescent="0.15">
      <c r="A134" s="2513"/>
      <c r="B134" s="2778" t="s">
        <v>1426</v>
      </c>
      <c r="C134" s="2779"/>
      <c r="D134" s="1055" t="s">
        <v>1428</v>
      </c>
      <c r="E134" s="1061"/>
      <c r="F134" s="1344"/>
      <c r="G134" s="8"/>
      <c r="H134" s="8"/>
      <c r="I134" s="8"/>
      <c r="J134" s="8"/>
      <c r="K134" s="8"/>
      <c r="L134" s="8"/>
      <c r="M134" s="8"/>
    </row>
    <row r="135" spans="1:13" s="6" customFormat="1" ht="21.95" customHeight="1" thickBot="1" x14ac:dyDescent="0.2">
      <c r="A135" s="2513"/>
      <c r="B135" s="2782"/>
      <c r="C135" s="2783"/>
      <c r="D135" s="1056" t="s">
        <v>1427</v>
      </c>
      <c r="E135" s="982"/>
      <c r="F135" s="1269"/>
      <c r="G135" s="215"/>
      <c r="H135" s="215"/>
      <c r="I135" s="215"/>
      <c r="J135" s="215"/>
      <c r="K135" s="215"/>
      <c r="L135" s="215"/>
      <c r="M135" s="215"/>
    </row>
    <row r="136" spans="1:13" s="6" customFormat="1" ht="21.95" customHeight="1" x14ac:dyDescent="0.15">
      <c r="A136" s="2513"/>
      <c r="B136" s="2778" t="s">
        <v>1429</v>
      </c>
      <c r="C136" s="2779"/>
      <c r="D136" s="1055" t="s">
        <v>1430</v>
      </c>
      <c r="E136" s="1061"/>
      <c r="F136" s="1344"/>
      <c r="G136" s="8"/>
      <c r="H136" s="8"/>
      <c r="I136" s="8"/>
      <c r="J136" s="8"/>
      <c r="K136" s="8"/>
      <c r="L136" s="8"/>
      <c r="M136" s="8"/>
    </row>
    <row r="137" spans="1:13" s="6" customFormat="1" ht="21.95" customHeight="1" thickBot="1" x14ac:dyDescent="0.2">
      <c r="A137" s="2513"/>
      <c r="B137" s="2782"/>
      <c r="C137" s="2783"/>
      <c r="D137" s="1056" t="s">
        <v>49</v>
      </c>
      <c r="E137" s="982"/>
      <c r="F137" s="1269"/>
      <c r="G137" s="215"/>
      <c r="H137" s="215"/>
      <c r="I137" s="215"/>
      <c r="J137" s="215"/>
      <c r="K137" s="215"/>
      <c r="L137" s="215"/>
      <c r="M137" s="215"/>
    </row>
    <row r="138" spans="1:13" s="6" customFormat="1" ht="21.95" customHeight="1" x14ac:dyDescent="0.15">
      <c r="A138" s="2513"/>
      <c r="B138" s="2778" t="s">
        <v>325</v>
      </c>
      <c r="C138" s="2779"/>
      <c r="D138" s="1055" t="s">
        <v>1424</v>
      </c>
      <c r="E138" s="1061"/>
      <c r="F138" s="1344"/>
      <c r="G138" s="8"/>
      <c r="H138" s="8"/>
      <c r="I138" s="8"/>
      <c r="J138" s="8"/>
      <c r="K138" s="8"/>
      <c r="L138" s="8"/>
      <c r="M138" s="8"/>
    </row>
    <row r="139" spans="1:13" s="6" customFormat="1" ht="21.95" customHeight="1" thickBot="1" x14ac:dyDescent="0.2">
      <c r="A139" s="2513"/>
      <c r="B139" s="2782"/>
      <c r="C139" s="2783"/>
      <c r="D139" s="1056" t="s">
        <v>1425</v>
      </c>
      <c r="E139" s="982"/>
      <c r="F139" s="1269"/>
      <c r="G139" s="215"/>
      <c r="H139" s="215"/>
      <c r="I139" s="215"/>
      <c r="J139" s="215"/>
      <c r="K139" s="215"/>
      <c r="L139" s="215"/>
      <c r="M139" s="215"/>
    </row>
    <row r="140" spans="1:13" s="9" customFormat="1" ht="50.1" customHeight="1" thickBot="1" x14ac:dyDescent="0.2">
      <c r="A140" s="2514"/>
      <c r="B140" s="2775" t="s">
        <v>12</v>
      </c>
      <c r="C140" s="2776"/>
      <c r="D140" s="2777"/>
      <c r="E140" s="1232"/>
      <c r="F140" s="1345"/>
      <c r="G140" s="2266"/>
      <c r="H140" s="2266"/>
      <c r="I140" s="2266"/>
      <c r="J140" s="2266"/>
      <c r="K140" s="2266"/>
      <c r="L140" s="2266"/>
      <c r="M140" s="2266"/>
    </row>
    <row r="141" spans="1:13" ht="19.5" thickTop="1" x14ac:dyDescent="0.15"/>
    <row r="142" spans="1:13" ht="12.75" x14ac:dyDescent="0.15">
      <c r="B142" s="5"/>
      <c r="C142" s="5"/>
      <c r="D142" s="5"/>
      <c r="E142" s="5"/>
      <c r="F142" s="5"/>
    </row>
    <row r="143" spans="1:13" ht="12.75" x14ac:dyDescent="0.15">
      <c r="B143" s="5"/>
      <c r="C143" s="5"/>
      <c r="D143" s="5"/>
      <c r="E143" s="5"/>
      <c r="F143" s="5"/>
    </row>
    <row r="144" spans="1:13" ht="12.75" x14ac:dyDescent="0.15">
      <c r="B144" s="5"/>
      <c r="C144" s="5"/>
      <c r="D144" s="5"/>
      <c r="E144" s="5"/>
      <c r="F144" s="5"/>
    </row>
    <row r="145" s="5" customFormat="1" ht="12.75" x14ac:dyDescent="0.15"/>
    <row r="146" s="5" customFormat="1" ht="12.75" x14ac:dyDescent="0.15"/>
    <row r="147" s="5" customFormat="1" ht="12.75" x14ac:dyDescent="0.15"/>
    <row r="148" s="5" customFormat="1" ht="12.75" x14ac:dyDescent="0.15"/>
    <row r="149" s="5" customFormat="1" ht="12.75" x14ac:dyDescent="0.15"/>
    <row r="150" s="5" customFormat="1" ht="12.75" x14ac:dyDescent="0.15"/>
    <row r="151" s="5" customFormat="1" ht="12.75" x14ac:dyDescent="0.15"/>
    <row r="152" s="5" customFormat="1" ht="12.75" x14ac:dyDescent="0.15"/>
    <row r="153" s="5" customFormat="1" ht="12.75" x14ac:dyDescent="0.15"/>
    <row r="154" s="5" customFormat="1" ht="12.75" x14ac:dyDescent="0.15"/>
    <row r="155" s="5" customFormat="1" ht="12.75" x14ac:dyDescent="0.15"/>
    <row r="156" s="5" customFormat="1" ht="12.75" x14ac:dyDescent="0.15"/>
    <row r="157" s="5" customFormat="1" ht="12.75" x14ac:dyDescent="0.15"/>
    <row r="158" s="5" customFormat="1" ht="12.75" x14ac:dyDescent="0.15"/>
    <row r="159" s="5" customFormat="1" ht="12.75" x14ac:dyDescent="0.15"/>
    <row r="160" s="5" customFormat="1" ht="12.75" x14ac:dyDescent="0.15"/>
    <row r="161" s="5" customFormat="1" ht="12.75" x14ac:dyDescent="0.15"/>
    <row r="162" s="5" customFormat="1" ht="12.75" x14ac:dyDescent="0.15"/>
    <row r="163" s="5" customFormat="1" ht="12.75" x14ac:dyDescent="0.15"/>
  </sheetData>
  <mergeCells count="54">
    <mergeCell ref="B116:C118"/>
    <mergeCell ref="B119:C121"/>
    <mergeCell ref="B108:C109"/>
    <mergeCell ref="C42:C45"/>
    <mergeCell ref="C46:C49"/>
    <mergeCell ref="C65:C68"/>
    <mergeCell ref="C62:C64"/>
    <mergeCell ref="C58:C61"/>
    <mergeCell ref="C50:C53"/>
    <mergeCell ref="B107:C107"/>
    <mergeCell ref="B138:C139"/>
    <mergeCell ref="B122:C124"/>
    <mergeCell ref="B125:C127"/>
    <mergeCell ref="B128:C129"/>
    <mergeCell ref="B130:C133"/>
    <mergeCell ref="B134:C135"/>
    <mergeCell ref="B136:C137"/>
    <mergeCell ref="B6:C7"/>
    <mergeCell ref="B105:C106"/>
    <mergeCell ref="B104:C104"/>
    <mergeCell ref="C11:C13"/>
    <mergeCell ref="C14:C16"/>
    <mergeCell ref="C17:C20"/>
    <mergeCell ref="B8:B20"/>
    <mergeCell ref="C8:C10"/>
    <mergeCell ref="B26:C29"/>
    <mergeCell ref="B21:C25"/>
    <mergeCell ref="B54:B61"/>
    <mergeCell ref="C54:C57"/>
    <mergeCell ref="C38:C41"/>
    <mergeCell ref="B79:C85"/>
    <mergeCell ref="B38:B45"/>
    <mergeCell ref="B46:B53"/>
    <mergeCell ref="A1:A140"/>
    <mergeCell ref="B1:D1"/>
    <mergeCell ref="B2:D2"/>
    <mergeCell ref="B5:D5"/>
    <mergeCell ref="B86:C92"/>
    <mergeCell ref="B140:D140"/>
    <mergeCell ref="B30:C33"/>
    <mergeCell ref="B69:C78"/>
    <mergeCell ref="B62:B68"/>
    <mergeCell ref="B93:C103"/>
    <mergeCell ref="B110:C110"/>
    <mergeCell ref="B111:C112"/>
    <mergeCell ref="B113:C113"/>
    <mergeCell ref="B114:C115"/>
    <mergeCell ref="B3:C4"/>
    <mergeCell ref="B34:C37"/>
    <mergeCell ref="F35:F36"/>
    <mergeCell ref="F93:F102"/>
    <mergeCell ref="F81:F85"/>
    <mergeCell ref="F88:F92"/>
    <mergeCell ref="F27:F28"/>
  </mergeCells>
  <phoneticPr fontId="140" type="noConversion"/>
  <conditionalFormatting sqref="G79:L80 M80 G86:M87">
    <cfRule type="expression" dxfId="58" priority="111">
      <formula>G$86&gt;0</formula>
    </cfRule>
    <cfRule type="expression" dxfId="57" priority="112">
      <formula>G$2&gt;0</formula>
    </cfRule>
  </conditionalFormatting>
  <conditionalFormatting sqref="G26:M26">
    <cfRule type="expression" dxfId="56" priority="86">
      <formula>G$26&gt;G$2</formula>
    </cfRule>
  </conditionalFormatting>
  <conditionalFormatting sqref="G29:M29">
    <cfRule type="expression" dxfId="55" priority="85">
      <formula>G$27&gt;0</formula>
    </cfRule>
  </conditionalFormatting>
  <conditionalFormatting sqref="G30:M30">
    <cfRule type="expression" dxfId="54" priority="102">
      <formula>G$26&gt;0</formula>
    </cfRule>
  </conditionalFormatting>
  <conditionalFormatting sqref="G31:M31">
    <cfRule type="expression" dxfId="53" priority="104">
      <formula>G$30&gt;0</formula>
    </cfRule>
  </conditionalFormatting>
  <conditionalFormatting sqref="G33:M33">
    <cfRule type="expression" dxfId="52" priority="105">
      <formula>G$31&gt;0</formula>
    </cfRule>
  </conditionalFormatting>
  <conditionalFormatting sqref="G34:M34">
    <cfRule type="expression" dxfId="51" priority="108">
      <formula>G$34&gt;G$2</formula>
    </cfRule>
  </conditionalFormatting>
  <conditionalFormatting sqref="G37:M37">
    <cfRule type="expression" dxfId="50" priority="103">
      <formula>G$35&gt;0</formula>
    </cfRule>
  </conditionalFormatting>
  <conditionalFormatting sqref="G38:M38">
    <cfRule type="expression" dxfId="49" priority="88">
      <formula>G$38&gt;G$2*2</formula>
    </cfRule>
  </conditionalFormatting>
  <conditionalFormatting sqref="G40:M40">
    <cfRule type="expression" dxfId="48" priority="87">
      <formula>G$38&gt;0</formula>
    </cfRule>
  </conditionalFormatting>
  <conditionalFormatting sqref="G41:M41">
    <cfRule type="expression" dxfId="47" priority="101">
      <formula>G$39&gt;0</formula>
    </cfRule>
  </conditionalFormatting>
  <conditionalFormatting sqref="G42:M42">
    <cfRule type="expression" dxfId="46" priority="109">
      <formula>G$42&gt;G$2*2</formula>
    </cfRule>
  </conditionalFormatting>
  <conditionalFormatting sqref="G44:M44">
    <cfRule type="expression" dxfId="45" priority="100">
      <formula>G$42&gt;0</formula>
    </cfRule>
  </conditionalFormatting>
  <conditionalFormatting sqref="G45:M45">
    <cfRule type="expression" dxfId="44" priority="99">
      <formula>G$43&gt;0</formula>
    </cfRule>
  </conditionalFormatting>
  <conditionalFormatting sqref="G46:M46 G54:M54">
    <cfRule type="expression" dxfId="43" priority="79">
      <formula>G$46+G$50&gt;G$2</formula>
    </cfRule>
  </conditionalFormatting>
  <conditionalFormatting sqref="G48:M48">
    <cfRule type="expression" dxfId="42" priority="78">
      <formula>G$46&gt;0</formula>
    </cfRule>
  </conditionalFormatting>
  <conditionalFormatting sqref="G49:M49">
    <cfRule type="expression" dxfId="41" priority="98">
      <formula>G$47&gt;0</formula>
    </cfRule>
  </conditionalFormatting>
  <conditionalFormatting sqref="G50:M50">
    <cfRule type="expression" dxfId="40" priority="77">
      <formula>G$50+G$46&gt;G$2</formula>
    </cfRule>
  </conditionalFormatting>
  <conditionalFormatting sqref="G52:M52">
    <cfRule type="expression" dxfId="39" priority="76">
      <formula>G$50&gt;0</formula>
    </cfRule>
  </conditionalFormatting>
  <conditionalFormatting sqref="G53:M53">
    <cfRule type="expression" dxfId="38" priority="97">
      <formula>G$51&gt;0</formula>
    </cfRule>
  </conditionalFormatting>
  <conditionalFormatting sqref="G56:M56">
    <cfRule type="expression" dxfId="37" priority="72">
      <formula>G$54&gt;0</formula>
    </cfRule>
  </conditionalFormatting>
  <conditionalFormatting sqref="G57:M57">
    <cfRule type="expression" dxfId="36" priority="96">
      <formula>G$55&gt;0</formula>
    </cfRule>
  </conditionalFormatting>
  <conditionalFormatting sqref="G58:M58">
    <cfRule type="expression" dxfId="35" priority="110">
      <formula>G$58&gt;G$2</formula>
    </cfRule>
  </conditionalFormatting>
  <conditionalFormatting sqref="G60:M60">
    <cfRule type="expression" dxfId="34" priority="95">
      <formula>G$58&gt;0</formula>
    </cfRule>
  </conditionalFormatting>
  <conditionalFormatting sqref="G61:M61">
    <cfRule type="expression" dxfId="33" priority="94">
      <formula>G$59&gt;0</formula>
    </cfRule>
  </conditionalFormatting>
  <conditionalFormatting sqref="G62:M62">
    <cfRule type="expression" dxfId="32" priority="171">
      <formula>G$63&gt;0</formula>
    </cfRule>
  </conditionalFormatting>
  <conditionalFormatting sqref="G64:M64">
    <cfRule type="expression" dxfId="31" priority="93">
      <formula>G$63&gt;0</formula>
    </cfRule>
  </conditionalFormatting>
  <conditionalFormatting sqref="G65:M65">
    <cfRule type="expression" dxfId="30" priority="75">
      <formula>G$65&gt;G$2</formula>
    </cfRule>
  </conditionalFormatting>
  <conditionalFormatting sqref="G67:M67">
    <cfRule type="expression" dxfId="29" priority="91">
      <formula>G$65&gt;0</formula>
    </cfRule>
  </conditionalFormatting>
  <conditionalFormatting sqref="G68:M68">
    <cfRule type="expression" dxfId="28" priority="92">
      <formula>G$66&gt;0</formula>
    </cfRule>
  </conditionalFormatting>
  <conditionalFormatting sqref="G81:M85">
    <cfRule type="expression" dxfId="27" priority="1">
      <formula>SUM(G$81:G$85)&lt;&gt;1</formula>
    </cfRule>
  </conditionalFormatting>
  <conditionalFormatting sqref="G88:M90">
    <cfRule type="expression" dxfId="26" priority="6">
      <formula>SUM(G$88:G$92)&lt;&gt;1</formula>
    </cfRule>
  </conditionalFormatting>
  <conditionalFormatting sqref="G91:M92">
    <cfRule type="expression" dxfId="25" priority="80">
      <formula>SUM(G$88:G$92)&lt;&gt;1</formula>
    </cfRule>
  </conditionalFormatting>
  <conditionalFormatting sqref="G94:M102">
    <cfRule type="expression" dxfId="24" priority="7">
      <formula>COUNTA(G$94:G$102)&gt;1</formula>
    </cfRule>
  </conditionalFormatting>
  <conditionalFormatting sqref="G103:M103">
    <cfRule type="expression" dxfId="23" priority="28">
      <formula>COUNTA(G$99:G$102)&gt;=1</formula>
    </cfRule>
  </conditionalFormatting>
  <hyperlinks>
    <hyperlink ref="B1:D1" location="PAINEL!A1" display="TRECHO"/>
  </hyperlinks>
  <printOptions horizontalCentered="1" verticalCentered="1" headings="1"/>
  <pageMargins left="0.59055118110236227" right="0.15748031496062992" top="0.27559055118110237" bottom="0.82677165354330717" header="0.31496062992125984" footer="0.55118110236220474"/>
  <pageSetup paperSize="8" scale="34" fitToWidth="5" orientation="portrait" horizontalDpi="300" verticalDpi="300" r:id="rId1"/>
  <headerFooter>
    <oddFooter>&amp;L&amp;F   &amp;A&amp;R&amp;D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34" filterMode="1">
    <tabColor theme="9" tint="0.59999389629810485"/>
  </sheetPr>
  <dimension ref="A1:R125"/>
  <sheetViews>
    <sheetView showZeros="0" zoomScaleNormal="100" zoomScaleSheetLayoutView="85" workbookViewId="0">
      <pane xSplit="5" ySplit="1" topLeftCell="F2" activePane="bottomRight" state="frozenSplit"/>
      <selection activeCell="D18" sqref="B13:I28"/>
      <selection pane="topRight" activeCell="D18" sqref="B13:I28"/>
      <selection pane="bottomLeft" activeCell="D18" sqref="B13:I28"/>
      <selection pane="bottomRight" activeCell="F2" sqref="F2"/>
    </sheetView>
  </sheetViews>
  <sheetFormatPr defaultColWidth="9" defaultRowHeight="18.75" x14ac:dyDescent="0.15"/>
  <cols>
    <col min="1" max="1" width="13.25" style="5" customWidth="1"/>
    <col min="2" max="2" width="14.625" style="9" customWidth="1"/>
    <col min="3" max="3" width="35.625" style="9" customWidth="1"/>
    <col min="4" max="4" width="3.125" style="981" hidden="1" customWidth="1"/>
    <col min="5" max="5" width="7.5" style="9" hidden="1" customWidth="1"/>
    <col min="6" max="11" width="12.625" style="5" customWidth="1"/>
    <col min="12" max="12" width="12.625" style="5" hidden="1" customWidth="1"/>
    <col min="13" max="13" width="12.625" style="513" customWidth="1"/>
    <col min="14" max="14" width="17.125" style="5" customWidth="1"/>
    <col min="15" max="15" width="9" style="5"/>
    <col min="16" max="16" width="10.25" style="5" bestFit="1" customWidth="1"/>
    <col min="17" max="16384" width="9" style="5"/>
  </cols>
  <sheetData>
    <row r="1" spans="1:14" s="10" customFormat="1" ht="60" customHeight="1" thickTop="1" thickBot="1" x14ac:dyDescent="0.2">
      <c r="A1" s="2512" t="s">
        <v>291</v>
      </c>
      <c r="B1" s="2765" t="s">
        <v>348</v>
      </c>
      <c r="C1" s="2832"/>
      <c r="D1" s="983"/>
      <c r="E1" s="973" t="s">
        <v>588</v>
      </c>
      <c r="F1" s="212" t="str">
        <f>Pav_Dados!G1</f>
        <v>Rua Maria Anunciação Rodrigues</v>
      </c>
      <c r="G1" s="212" t="str">
        <f>Pav_Dados!H1</f>
        <v>Rua Olinda Garcia de Oliveira / Rua João Trivellato</v>
      </c>
      <c r="H1" s="212" t="str">
        <f>Pav_Dados!I1</f>
        <v>Rua Clelia Santos da Rosa</v>
      </c>
      <c r="I1" s="212" t="str">
        <f>Pav_Dados!J1</f>
        <v>Rua Escobar Nunes</v>
      </c>
      <c r="J1" s="212" t="str">
        <f>Pav_Dados!K1</f>
        <v>Rua Ronald de Carvalho</v>
      </c>
      <c r="K1" s="212" t="str">
        <f>Pav_Dados!L1</f>
        <v>Rua Paulo Soares Valentin / Rua Michel Calarge</v>
      </c>
      <c r="L1" s="212"/>
      <c r="M1" s="508" t="s">
        <v>0</v>
      </c>
      <c r="N1" s="577" t="s">
        <v>1355</v>
      </c>
    </row>
    <row r="2" spans="1:14" ht="21.95" customHeight="1" thickTop="1" thickBot="1" x14ac:dyDescent="0.2">
      <c r="A2" s="2513"/>
      <c r="B2" s="2822" t="s">
        <v>44</v>
      </c>
      <c r="C2" s="2823"/>
      <c r="D2" s="1059"/>
      <c r="E2" s="1380"/>
      <c r="F2" s="1054">
        <f>Pav_Dados!G2</f>
        <v>142.16</v>
      </c>
      <c r="G2" s="1054">
        <f>Pav_Dados!H2</f>
        <v>632.84</v>
      </c>
      <c r="H2" s="1054">
        <f>Pav_Dados!I2</f>
        <v>105.4</v>
      </c>
      <c r="I2" s="1054">
        <f>Pav_Dados!J2</f>
        <v>81.44</v>
      </c>
      <c r="J2" s="1054">
        <f>Pav_Dados!K2</f>
        <v>99.64</v>
      </c>
      <c r="K2" s="1054">
        <f>Pav_Dados!L2</f>
        <v>680.3</v>
      </c>
      <c r="L2" s="1054"/>
      <c r="M2" s="2341">
        <f>TRUNC(SUM(F2:L2),2)</f>
        <v>1741.78</v>
      </c>
      <c r="N2" s="578">
        <f>SUM(F2:M2)</f>
        <v>3483.56</v>
      </c>
    </row>
    <row r="3" spans="1:14" ht="21.95" hidden="1" customHeight="1" x14ac:dyDescent="0.15">
      <c r="A3" s="2513"/>
      <c r="B3" s="2676" t="s">
        <v>163</v>
      </c>
      <c r="C3" s="543" t="s">
        <v>161</v>
      </c>
      <c r="D3" s="1061"/>
      <c r="E3" s="1344"/>
      <c r="F3" s="8">
        <f>Pav_Dados!G3</f>
        <v>0</v>
      </c>
      <c r="G3" s="8">
        <f>Pav_Dados!H3</f>
        <v>0</v>
      </c>
      <c r="H3" s="8">
        <f>Pav_Dados!I3</f>
        <v>0</v>
      </c>
      <c r="I3" s="8">
        <f>Pav_Dados!J3</f>
        <v>0</v>
      </c>
      <c r="J3" s="8">
        <f>Pav_Dados!K3</f>
        <v>0</v>
      </c>
      <c r="K3" s="8">
        <f>Pav_Dados!L3</f>
        <v>0</v>
      </c>
      <c r="L3" s="8"/>
      <c r="M3" s="1077"/>
      <c r="N3" s="1016">
        <f>COUNTA(F3:L3)-COUNTIF(F3:L3,0)</f>
        <v>0</v>
      </c>
    </row>
    <row r="4" spans="1:14" ht="21.95" hidden="1" customHeight="1" thickBot="1" x14ac:dyDescent="0.2">
      <c r="A4" s="2513"/>
      <c r="B4" s="2676"/>
      <c r="C4" s="557" t="s">
        <v>162</v>
      </c>
      <c r="D4" s="1061"/>
      <c r="E4" s="1344"/>
      <c r="F4" s="8">
        <f>Pav_Dados!G4</f>
        <v>0</v>
      </c>
      <c r="G4" s="8">
        <f>Pav_Dados!H4</f>
        <v>0</v>
      </c>
      <c r="H4" s="8">
        <f>Pav_Dados!I4</f>
        <v>0</v>
      </c>
      <c r="I4" s="8">
        <f>Pav_Dados!J4</f>
        <v>0</v>
      </c>
      <c r="J4" s="8">
        <f>Pav_Dados!K4</f>
        <v>0</v>
      </c>
      <c r="K4" s="8">
        <f>Pav_Dados!L4</f>
        <v>0</v>
      </c>
      <c r="L4" s="8"/>
      <c r="M4" s="1077"/>
      <c r="N4" s="1016">
        <f>COUNTA(F4:L4)-COUNTIF(F4:L4,0)</f>
        <v>0</v>
      </c>
    </row>
    <row r="5" spans="1:14" s="9" customFormat="1" ht="32.1" hidden="1" customHeight="1" thickBot="1" x14ac:dyDescent="0.2">
      <c r="A5" s="2513"/>
      <c r="B5" s="2739" t="s">
        <v>2719</v>
      </c>
      <c r="C5" s="2824"/>
      <c r="D5" s="2339"/>
      <c r="E5" s="552"/>
      <c r="F5" s="243" t="str">
        <f>Pav_Dados!G5</f>
        <v>DUPLA</v>
      </c>
      <c r="G5" s="243" t="str">
        <f>Pav_Dados!H5</f>
        <v>DUPLA</v>
      </c>
      <c r="H5" s="243" t="str">
        <f>Pav_Dados!I5</f>
        <v>DUPLA</v>
      </c>
      <c r="I5" s="243" t="str">
        <f>Pav_Dados!J5</f>
        <v>DUPLA</v>
      </c>
      <c r="J5" s="243" t="str">
        <f>Pav_Dados!K5</f>
        <v>DUPLA</v>
      </c>
      <c r="K5" s="243" t="str">
        <f>Pav_Dados!L5</f>
        <v>DUPLA</v>
      </c>
      <c r="L5" s="243"/>
      <c r="M5" s="2340">
        <f>COUNTA(F5:L5)</f>
        <v>6</v>
      </c>
      <c r="N5" s="1016"/>
    </row>
    <row r="6" spans="1:14" ht="21.95" customHeight="1" thickBot="1" x14ac:dyDescent="0.2">
      <c r="A6" s="2513"/>
      <c r="B6" s="2535" t="s">
        <v>1483</v>
      </c>
      <c r="C6" s="543" t="s">
        <v>1482</v>
      </c>
      <c r="D6" s="1061"/>
      <c r="E6" s="1344"/>
      <c r="F6" s="1072">
        <f>Pav_Dados!G6</f>
        <v>7</v>
      </c>
      <c r="G6" s="1072">
        <f>Pav_Dados!H6</f>
        <v>7</v>
      </c>
      <c r="H6" s="1072">
        <f>Pav_Dados!I6</f>
        <v>9</v>
      </c>
      <c r="I6" s="1072">
        <f>Pav_Dados!J6</f>
        <v>7</v>
      </c>
      <c r="J6" s="1072">
        <f>Pav_Dados!K6</f>
        <v>7</v>
      </c>
      <c r="K6" s="1072">
        <f>Pav_Dados!L6</f>
        <v>7</v>
      </c>
      <c r="L6" s="1072"/>
      <c r="M6" s="2338"/>
      <c r="N6" s="578">
        <f t="shared" ref="N6:N12" si="0">SUM(F6:M6)</f>
        <v>44</v>
      </c>
    </row>
    <row r="7" spans="1:14" ht="21.95" hidden="1" customHeight="1" thickBot="1" x14ac:dyDescent="0.2">
      <c r="A7" s="2513"/>
      <c r="B7" s="2535"/>
      <c r="C7" s="545" t="s">
        <v>1481</v>
      </c>
      <c r="D7" s="982"/>
      <c r="E7" s="1269"/>
      <c r="F7" s="215">
        <f>Pav_Dados!G7</f>
        <v>0</v>
      </c>
      <c r="G7" s="215">
        <f>Pav_Dados!H7</f>
        <v>0</v>
      </c>
      <c r="H7" s="215">
        <f>Pav_Dados!I7</f>
        <v>0</v>
      </c>
      <c r="I7" s="215">
        <f>Pav_Dados!J7</f>
        <v>0</v>
      </c>
      <c r="J7" s="215">
        <f>Pav_Dados!K7</f>
        <v>0</v>
      </c>
      <c r="K7" s="215">
        <f>Pav_Dados!L7</f>
        <v>0</v>
      </c>
      <c r="L7" s="215"/>
      <c r="M7" s="1078"/>
      <c r="N7" s="578">
        <f t="shared" si="0"/>
        <v>0</v>
      </c>
    </row>
    <row r="8" spans="1:14" s="6" customFormat="1" ht="21.95" hidden="1" customHeight="1" x14ac:dyDescent="0.15">
      <c r="A8" s="2513"/>
      <c r="B8" s="2674" t="s">
        <v>55</v>
      </c>
      <c r="C8" s="541" t="s">
        <v>3</v>
      </c>
      <c r="D8" s="981"/>
      <c r="E8" s="1344"/>
      <c r="F8" s="216">
        <f>Pav_Dados!G8</f>
        <v>0</v>
      </c>
      <c r="G8" s="216">
        <f>Pav_Dados!H8</f>
        <v>0</v>
      </c>
      <c r="H8" s="216">
        <f>Pav_Dados!I8</f>
        <v>0</v>
      </c>
      <c r="I8" s="216">
        <f>Pav_Dados!J8</f>
        <v>0</v>
      </c>
      <c r="J8" s="216">
        <f>Pav_Dados!K8</f>
        <v>0</v>
      </c>
      <c r="K8" s="216">
        <f>Pav_Dados!L8</f>
        <v>0</v>
      </c>
      <c r="L8" s="216"/>
      <c r="M8" s="532">
        <f>TRUNC(SUM(F8:L8),2)</f>
        <v>0</v>
      </c>
      <c r="N8" s="578">
        <f t="shared" si="0"/>
        <v>0</v>
      </c>
    </row>
    <row r="9" spans="1:14" s="6" customFormat="1" ht="21.95" hidden="1" customHeight="1" x14ac:dyDescent="0.15">
      <c r="A9" s="2513"/>
      <c r="B9" s="2676"/>
      <c r="C9" s="542" t="s">
        <v>54</v>
      </c>
      <c r="D9" s="981"/>
      <c r="E9" s="1344"/>
      <c r="F9" s="8">
        <f>Pav_Dados!G10</f>
        <v>0</v>
      </c>
      <c r="G9" s="8">
        <f>Pav_Dados!H10</f>
        <v>0</v>
      </c>
      <c r="H9" s="8">
        <f>Pav_Dados!I10</f>
        <v>0</v>
      </c>
      <c r="I9" s="8">
        <f>Pav_Dados!J10</f>
        <v>0</v>
      </c>
      <c r="J9" s="8">
        <f>Pav_Dados!K10</f>
        <v>0</v>
      </c>
      <c r="K9" s="8">
        <f>Pav_Dados!L10</f>
        <v>0</v>
      </c>
      <c r="L9" s="8"/>
      <c r="M9" s="1079"/>
      <c r="N9" s="578">
        <f t="shared" si="0"/>
        <v>0</v>
      </c>
    </row>
    <row r="10" spans="1:14" s="6" customFormat="1" ht="21.95" hidden="1" customHeight="1" x14ac:dyDescent="0.15">
      <c r="A10" s="2513"/>
      <c r="B10" s="2676"/>
      <c r="C10" s="542" t="s">
        <v>29</v>
      </c>
      <c r="D10" s="981"/>
      <c r="E10" s="1344"/>
      <c r="F10" s="8">
        <f t="shared" ref="F10" si="1">F9*F8</f>
        <v>0</v>
      </c>
      <c r="G10" s="8">
        <f t="shared" ref="G10:K10" si="2">G9*G8</f>
        <v>0</v>
      </c>
      <c r="H10" s="8">
        <f t="shared" si="2"/>
        <v>0</v>
      </c>
      <c r="I10" s="8">
        <f t="shared" si="2"/>
        <v>0</v>
      </c>
      <c r="J10" s="8">
        <f t="shared" si="2"/>
        <v>0</v>
      </c>
      <c r="K10" s="8">
        <f t="shared" si="2"/>
        <v>0</v>
      </c>
      <c r="L10" s="8"/>
      <c r="M10" s="511">
        <f>TRUNC(SUM(F10:L10),2)</f>
        <v>0</v>
      </c>
      <c r="N10" s="578">
        <f t="shared" si="0"/>
        <v>0</v>
      </c>
    </row>
    <row r="11" spans="1:14" s="6" customFormat="1" ht="21.95" hidden="1" customHeight="1" x14ac:dyDescent="0.15">
      <c r="A11" s="2513"/>
      <c r="B11" s="2676"/>
      <c r="C11" s="542" t="s">
        <v>625</v>
      </c>
      <c r="D11" s="981"/>
      <c r="E11" s="1344"/>
      <c r="F11" s="8">
        <f>Pav_Dados!G9</f>
        <v>0</v>
      </c>
      <c r="G11" s="8">
        <f>Pav_Dados!H9</f>
        <v>0</v>
      </c>
      <c r="H11" s="8">
        <f>Pav_Dados!I9</f>
        <v>0</v>
      </c>
      <c r="I11" s="8">
        <f>Pav_Dados!J9</f>
        <v>0</v>
      </c>
      <c r="J11" s="8">
        <f>Pav_Dados!K9</f>
        <v>0</v>
      </c>
      <c r="K11" s="8">
        <f>Pav_Dados!L9</f>
        <v>0</v>
      </c>
      <c r="L11" s="8"/>
      <c r="M11" s="1079"/>
      <c r="N11" s="578">
        <f t="shared" si="0"/>
        <v>0</v>
      </c>
    </row>
    <row r="12" spans="1:14" s="6" customFormat="1" ht="21.95" hidden="1" customHeight="1" x14ac:dyDescent="0.15">
      <c r="A12" s="2513"/>
      <c r="B12" s="2676"/>
      <c r="C12" s="542" t="s">
        <v>7</v>
      </c>
      <c r="D12" s="981"/>
      <c r="E12" s="1344"/>
      <c r="F12" s="8">
        <f t="shared" ref="F12" si="3">F11*F10</f>
        <v>0</v>
      </c>
      <c r="G12" s="8">
        <f t="shared" ref="G12:K12" si="4">G11*G10</f>
        <v>0</v>
      </c>
      <c r="H12" s="8">
        <f t="shared" si="4"/>
        <v>0</v>
      </c>
      <c r="I12" s="8">
        <f t="shared" si="4"/>
        <v>0</v>
      </c>
      <c r="J12" s="8">
        <f t="shared" si="4"/>
        <v>0</v>
      </c>
      <c r="K12" s="8">
        <f t="shared" si="4"/>
        <v>0</v>
      </c>
      <c r="L12" s="8"/>
      <c r="M12" s="533">
        <f>TRUNC(SUM(F12:L12),2)</f>
        <v>0</v>
      </c>
      <c r="N12" s="578">
        <f t="shared" si="0"/>
        <v>0</v>
      </c>
    </row>
    <row r="13" spans="1:14" s="68" customFormat="1" ht="21.95" hidden="1" customHeight="1" thickBot="1" x14ac:dyDescent="0.2">
      <c r="A13" s="2513"/>
      <c r="B13" s="2675"/>
      <c r="C13" s="545" t="s">
        <v>26</v>
      </c>
      <c r="D13" s="1376"/>
      <c r="E13" s="1269"/>
      <c r="F13" s="1071">
        <f t="shared" ref="F13" si="5">IF(F8=0,0,"BOTA-FORA")</f>
        <v>0</v>
      </c>
      <c r="G13" s="1071">
        <f t="shared" ref="G13:K13" si="6">IF(G8=0,0,"BOTA-FORA")</f>
        <v>0</v>
      </c>
      <c r="H13" s="1071">
        <f t="shared" si="6"/>
        <v>0</v>
      </c>
      <c r="I13" s="1071">
        <f t="shared" si="6"/>
        <v>0</v>
      </c>
      <c r="J13" s="1071">
        <f t="shared" si="6"/>
        <v>0</v>
      </c>
      <c r="K13" s="1071">
        <f t="shared" si="6"/>
        <v>0</v>
      </c>
      <c r="L13" s="1071"/>
      <c r="M13" s="1080">
        <f>COUNTA(F13:L13)</f>
        <v>6</v>
      </c>
      <c r="N13" s="1016">
        <f>COUNTA(F13:L13)-COUNTIF(F13:L13,0)</f>
        <v>0</v>
      </c>
    </row>
    <row r="14" spans="1:14" s="68" customFormat="1" ht="21.95" hidden="1" customHeight="1" x14ac:dyDescent="0.15">
      <c r="A14" s="2513"/>
      <c r="B14" s="2533" t="s">
        <v>1230</v>
      </c>
      <c r="C14" s="549" t="s">
        <v>1253</v>
      </c>
      <c r="D14" s="985"/>
      <c r="E14" s="1360"/>
      <c r="F14" s="238">
        <f>Pav_Dados!G11</f>
        <v>0</v>
      </c>
      <c r="G14" s="238">
        <f>Pav_Dados!H11</f>
        <v>3</v>
      </c>
      <c r="H14" s="238">
        <f>Pav_Dados!I11</f>
        <v>3</v>
      </c>
      <c r="I14" s="238">
        <f>Pav_Dados!J11</f>
        <v>0</v>
      </c>
      <c r="J14" s="238">
        <f>Pav_Dados!K11</f>
        <v>3</v>
      </c>
      <c r="K14" s="238">
        <f>Pav_Dados!L11</f>
        <v>0</v>
      </c>
      <c r="L14" s="238"/>
      <c r="M14" s="511">
        <f t="shared" ref="M14:M30" si="7">TRUNC(SUM(F14:L14),2)</f>
        <v>9</v>
      </c>
      <c r="N14" s="578"/>
    </row>
    <row r="15" spans="1:14" s="68" customFormat="1" ht="21.95" hidden="1" customHeight="1" x14ac:dyDescent="0.15">
      <c r="A15" s="2513"/>
      <c r="B15" s="2534"/>
      <c r="C15" s="566" t="s">
        <v>1254</v>
      </c>
      <c r="D15" s="985"/>
      <c r="E15" s="344"/>
      <c r="F15" s="158">
        <f>Pav_Dados!G12</f>
        <v>0</v>
      </c>
      <c r="G15" s="158">
        <f>Pav_Dados!H12</f>
        <v>0</v>
      </c>
      <c r="H15" s="158">
        <f>Pav_Dados!I12</f>
        <v>1</v>
      </c>
      <c r="I15" s="158">
        <f>Pav_Dados!J12</f>
        <v>0</v>
      </c>
      <c r="J15" s="158">
        <f>Pav_Dados!K12</f>
        <v>0</v>
      </c>
      <c r="K15" s="158">
        <f>Pav_Dados!L12</f>
        <v>0</v>
      </c>
      <c r="L15" s="158"/>
      <c r="M15" s="511">
        <f t="shared" si="7"/>
        <v>1</v>
      </c>
      <c r="N15" s="578"/>
    </row>
    <row r="16" spans="1:14" s="68" customFormat="1" ht="21.95" hidden="1" customHeight="1" thickBot="1" x14ac:dyDescent="0.2">
      <c r="A16" s="2513"/>
      <c r="B16" s="2535"/>
      <c r="C16" s="565" t="s">
        <v>1255</v>
      </c>
      <c r="D16" s="986"/>
      <c r="E16" s="414"/>
      <c r="F16" s="239">
        <f>Pav_Dados!G13</f>
        <v>0</v>
      </c>
      <c r="G16" s="239">
        <f>Pav_Dados!H13</f>
        <v>0</v>
      </c>
      <c r="H16" s="239">
        <f>Pav_Dados!I13</f>
        <v>0</v>
      </c>
      <c r="I16" s="239">
        <f>Pav_Dados!J13</f>
        <v>0</v>
      </c>
      <c r="J16" s="239">
        <f>Pav_Dados!K13</f>
        <v>0</v>
      </c>
      <c r="K16" s="239">
        <f>Pav_Dados!L13</f>
        <v>0</v>
      </c>
      <c r="L16" s="239"/>
      <c r="M16" s="494">
        <f t="shared" si="7"/>
        <v>0</v>
      </c>
      <c r="N16" s="578"/>
    </row>
    <row r="17" spans="1:14" s="68" customFormat="1" ht="21.95" hidden="1" customHeight="1" x14ac:dyDescent="0.15">
      <c r="A17" s="2513"/>
      <c r="B17" s="2533" t="s">
        <v>1224</v>
      </c>
      <c r="C17" s="549" t="s">
        <v>1253</v>
      </c>
      <c r="D17" s="985"/>
      <c r="E17" s="1357"/>
      <c r="F17" s="238">
        <f>Pav_Dados!G14</f>
        <v>0</v>
      </c>
      <c r="G17" s="238">
        <f>Pav_Dados!H14</f>
        <v>3</v>
      </c>
      <c r="H17" s="238">
        <f>Pav_Dados!I14</f>
        <v>3</v>
      </c>
      <c r="I17" s="238">
        <f>Pav_Dados!J14</f>
        <v>0</v>
      </c>
      <c r="J17" s="238">
        <f>Pav_Dados!K14</f>
        <v>3</v>
      </c>
      <c r="K17" s="238">
        <f>Pav_Dados!L14</f>
        <v>0</v>
      </c>
      <c r="L17" s="238"/>
      <c r="M17" s="511">
        <f t="shared" si="7"/>
        <v>9</v>
      </c>
      <c r="N17" s="578"/>
    </row>
    <row r="18" spans="1:14" s="68" customFormat="1" ht="21.95" hidden="1" customHeight="1" x14ac:dyDescent="0.15">
      <c r="A18" s="2513"/>
      <c r="B18" s="2534"/>
      <c r="C18" s="566" t="s">
        <v>1254</v>
      </c>
      <c r="D18" s="985"/>
      <c r="E18" s="1357"/>
      <c r="F18" s="158">
        <f>Pav_Dados!G15</f>
        <v>0</v>
      </c>
      <c r="G18" s="158">
        <f>Pav_Dados!H15</f>
        <v>0</v>
      </c>
      <c r="H18" s="158">
        <f>Pav_Dados!I15</f>
        <v>1</v>
      </c>
      <c r="I18" s="158">
        <f>Pav_Dados!J15</f>
        <v>0</v>
      </c>
      <c r="J18" s="158">
        <f>Pav_Dados!K15</f>
        <v>0</v>
      </c>
      <c r="K18" s="158">
        <f>Pav_Dados!L15</f>
        <v>0</v>
      </c>
      <c r="L18" s="158"/>
      <c r="M18" s="511">
        <f t="shared" si="7"/>
        <v>1</v>
      </c>
      <c r="N18" s="578"/>
    </row>
    <row r="19" spans="1:14" s="68" customFormat="1" ht="21.95" hidden="1" customHeight="1" thickBot="1" x14ac:dyDescent="0.2">
      <c r="A19" s="2513"/>
      <c r="B19" s="2535"/>
      <c r="C19" s="565" t="s">
        <v>1255</v>
      </c>
      <c r="D19" s="986"/>
      <c r="E19" s="563"/>
      <c r="F19" s="239">
        <f>Pav_Dados!G16</f>
        <v>0</v>
      </c>
      <c r="G19" s="239">
        <f>Pav_Dados!H16</f>
        <v>0</v>
      </c>
      <c r="H19" s="239">
        <f>Pav_Dados!I16</f>
        <v>0</v>
      </c>
      <c r="I19" s="239">
        <f>Pav_Dados!J16</f>
        <v>0</v>
      </c>
      <c r="J19" s="239">
        <f>Pav_Dados!K16</f>
        <v>0</v>
      </c>
      <c r="K19" s="239">
        <f>Pav_Dados!L16</f>
        <v>0</v>
      </c>
      <c r="L19" s="239"/>
      <c r="M19" s="494">
        <f t="shared" si="7"/>
        <v>0</v>
      </c>
      <c r="N19" s="578"/>
    </row>
    <row r="20" spans="1:14" s="68" customFormat="1" ht="21.95" hidden="1" customHeight="1" x14ac:dyDescent="0.15">
      <c r="A20" s="2513"/>
      <c r="B20" s="2522" t="s">
        <v>1226</v>
      </c>
      <c r="C20" s="549" t="s">
        <v>1225</v>
      </c>
      <c r="D20" s="984"/>
      <c r="E20" s="1358"/>
      <c r="F20" s="238">
        <f>Pav_Dados!G17</f>
        <v>0</v>
      </c>
      <c r="G20" s="238">
        <f>Pav_Dados!H17</f>
        <v>0</v>
      </c>
      <c r="H20" s="238">
        <f>Pav_Dados!I17</f>
        <v>0</v>
      </c>
      <c r="I20" s="238">
        <f>Pav_Dados!J17</f>
        <v>0</v>
      </c>
      <c r="J20" s="238">
        <f>Pav_Dados!K17</f>
        <v>0</v>
      </c>
      <c r="K20" s="238">
        <f>Pav_Dados!L17</f>
        <v>0</v>
      </c>
      <c r="L20" s="238"/>
      <c r="M20" s="511">
        <f t="shared" si="7"/>
        <v>0</v>
      </c>
      <c r="N20" s="578">
        <f>SUM(F20:M20)</f>
        <v>0</v>
      </c>
    </row>
    <row r="21" spans="1:14" s="68" customFormat="1" ht="21.95" hidden="1" customHeight="1" x14ac:dyDescent="0.15">
      <c r="A21" s="2513"/>
      <c r="B21" s="2523"/>
      <c r="C21" s="566" t="s">
        <v>1253</v>
      </c>
      <c r="D21" s="985"/>
      <c r="E21" s="1357"/>
      <c r="F21" s="158">
        <f>Pav_Dados!G18</f>
        <v>0</v>
      </c>
      <c r="G21" s="158">
        <f>Pav_Dados!H18</f>
        <v>3</v>
      </c>
      <c r="H21" s="158">
        <f>Pav_Dados!I18</f>
        <v>3</v>
      </c>
      <c r="I21" s="158">
        <f>Pav_Dados!J18</f>
        <v>0</v>
      </c>
      <c r="J21" s="158">
        <f>Pav_Dados!K18</f>
        <v>3</v>
      </c>
      <c r="K21" s="158">
        <f>Pav_Dados!L18</f>
        <v>0</v>
      </c>
      <c r="L21" s="158"/>
      <c r="M21" s="511">
        <f t="shared" si="7"/>
        <v>9</v>
      </c>
      <c r="N21" s="578"/>
    </row>
    <row r="22" spans="1:14" s="68" customFormat="1" ht="21.95" hidden="1" customHeight="1" x14ac:dyDescent="0.15">
      <c r="A22" s="2513"/>
      <c r="B22" s="2523"/>
      <c r="C22" s="566" t="s">
        <v>1254</v>
      </c>
      <c r="D22" s="985"/>
      <c r="E22" s="344"/>
      <c r="F22" s="158">
        <f>Pav_Dados!G19</f>
        <v>0</v>
      </c>
      <c r="G22" s="158">
        <f>Pav_Dados!H19</f>
        <v>0</v>
      </c>
      <c r="H22" s="158">
        <f>Pav_Dados!I19</f>
        <v>1</v>
      </c>
      <c r="I22" s="158">
        <f>Pav_Dados!J19</f>
        <v>0</v>
      </c>
      <c r="J22" s="158">
        <f>Pav_Dados!K19</f>
        <v>0</v>
      </c>
      <c r="K22" s="158">
        <f>Pav_Dados!L19</f>
        <v>0</v>
      </c>
      <c r="L22" s="158"/>
      <c r="M22" s="511">
        <f t="shared" si="7"/>
        <v>1</v>
      </c>
      <c r="N22" s="578"/>
    </row>
    <row r="23" spans="1:14" s="68" customFormat="1" ht="21.95" hidden="1" customHeight="1" thickBot="1" x14ac:dyDescent="0.2">
      <c r="A23" s="2513"/>
      <c r="B23" s="2524"/>
      <c r="C23" s="565" t="s">
        <v>1255</v>
      </c>
      <c r="D23" s="986"/>
      <c r="E23" s="414"/>
      <c r="F23" s="239">
        <f>Pav_Dados!G20</f>
        <v>0</v>
      </c>
      <c r="G23" s="239">
        <f>Pav_Dados!H20</f>
        <v>0</v>
      </c>
      <c r="H23" s="239">
        <f>Pav_Dados!I20</f>
        <v>0</v>
      </c>
      <c r="I23" s="239">
        <f>Pav_Dados!J20</f>
        <v>0</v>
      </c>
      <c r="J23" s="239">
        <f>Pav_Dados!K20</f>
        <v>0</v>
      </c>
      <c r="K23" s="239">
        <f>Pav_Dados!L20</f>
        <v>0</v>
      </c>
      <c r="L23" s="239"/>
      <c r="M23" s="511">
        <f t="shared" si="7"/>
        <v>0</v>
      </c>
      <c r="N23" s="578"/>
    </row>
    <row r="24" spans="1:14" s="68" customFormat="1" ht="21.95" hidden="1" customHeight="1" x14ac:dyDescent="0.15">
      <c r="A24" s="2513"/>
      <c r="B24" s="2393"/>
      <c r="C24" s="557" t="s">
        <v>699</v>
      </c>
      <c r="D24" s="981"/>
      <c r="E24" s="1344"/>
      <c r="F24" s="8">
        <f>Pav_Dados!G21</f>
        <v>0</v>
      </c>
      <c r="G24" s="8">
        <f>Pav_Dados!H21</f>
        <v>0</v>
      </c>
      <c r="H24" s="8">
        <f>Pav_Dados!I21</f>
        <v>0</v>
      </c>
      <c r="I24" s="8">
        <f>Pav_Dados!J21</f>
        <v>0</v>
      </c>
      <c r="J24" s="8">
        <f>Pav_Dados!K21</f>
        <v>0</v>
      </c>
      <c r="K24" s="8">
        <f>Pav_Dados!L21</f>
        <v>0</v>
      </c>
      <c r="L24" s="8"/>
      <c r="M24" s="495">
        <f t="shared" si="7"/>
        <v>0</v>
      </c>
      <c r="N24" s="1016"/>
    </row>
    <row r="25" spans="1:14" s="68" customFormat="1" ht="21.95" hidden="1" customHeight="1" thickBot="1" x14ac:dyDescent="0.2">
      <c r="A25" s="2513"/>
      <c r="B25" s="2397"/>
      <c r="C25" s="557" t="s">
        <v>2736</v>
      </c>
      <c r="D25" s="981"/>
      <c r="E25" s="1344"/>
      <c r="F25" s="8">
        <f>Pav_Dados!G22</f>
        <v>0</v>
      </c>
      <c r="G25" s="8">
        <f>Pav_Dados!H22</f>
        <v>0</v>
      </c>
      <c r="H25" s="8">
        <f>Pav_Dados!I22</f>
        <v>0</v>
      </c>
      <c r="I25" s="8">
        <f>Pav_Dados!J22</f>
        <v>0</v>
      </c>
      <c r="J25" s="8">
        <f>Pav_Dados!K22</f>
        <v>0</v>
      </c>
      <c r="K25" s="8">
        <f>Pav_Dados!L22</f>
        <v>0</v>
      </c>
      <c r="L25" s="8"/>
      <c r="M25" s="496">
        <f t="shared" ref="M25" si="8">TRUNC(SUM(F25:L25),2)</f>
        <v>0</v>
      </c>
      <c r="N25" s="578">
        <f t="shared" ref="N25:N44" si="9">SUM(F25:M25)</f>
        <v>0</v>
      </c>
    </row>
    <row r="26" spans="1:14" s="68" customFormat="1" ht="21.95" customHeight="1" x14ac:dyDescent="0.15">
      <c r="A26" s="2513"/>
      <c r="B26" s="2533" t="s">
        <v>1262</v>
      </c>
      <c r="C26" s="547" t="s">
        <v>1567</v>
      </c>
      <c r="D26" s="981"/>
      <c r="E26" s="1344"/>
      <c r="F26" s="216">
        <f>Pav_Dados!G23</f>
        <v>0</v>
      </c>
      <c r="G26" s="216">
        <f>Pav_Dados!H23</f>
        <v>79.25</v>
      </c>
      <c r="H26" s="216">
        <f>Pav_Dados!I23</f>
        <v>0</v>
      </c>
      <c r="I26" s="216">
        <f>Pav_Dados!J23</f>
        <v>0</v>
      </c>
      <c r="J26" s="216">
        <f>Pav_Dados!K23</f>
        <v>0</v>
      </c>
      <c r="K26" s="216">
        <f>Pav_Dados!L23</f>
        <v>0</v>
      </c>
      <c r="L26" s="8"/>
      <c r="M26" s="495">
        <f t="shared" si="7"/>
        <v>79.25</v>
      </c>
      <c r="N26" s="578">
        <f t="shared" si="9"/>
        <v>158.5</v>
      </c>
    </row>
    <row r="27" spans="1:14" s="68" customFormat="1" ht="21.95" customHeight="1" x14ac:dyDescent="0.15">
      <c r="A27" s="2513"/>
      <c r="B27" s="2534"/>
      <c r="C27" s="542" t="s">
        <v>1320</v>
      </c>
      <c r="D27" s="981"/>
      <c r="E27" s="1344"/>
      <c r="F27" s="8">
        <f>Pav_Dados!G24</f>
        <v>0</v>
      </c>
      <c r="G27" s="8">
        <f>Pav_Dados!H24</f>
        <v>25.36</v>
      </c>
      <c r="H27" s="8">
        <f>Pav_Dados!I24</f>
        <v>0</v>
      </c>
      <c r="I27" s="8">
        <f>Pav_Dados!J24</f>
        <v>0</v>
      </c>
      <c r="J27" s="8">
        <f>Pav_Dados!K24</f>
        <v>0</v>
      </c>
      <c r="K27" s="8">
        <f>Pav_Dados!L24</f>
        <v>0</v>
      </c>
      <c r="L27" s="8"/>
      <c r="M27" s="493">
        <f t="shared" si="7"/>
        <v>25.36</v>
      </c>
      <c r="N27" s="578">
        <f t="shared" si="9"/>
        <v>50.72</v>
      </c>
    </row>
    <row r="28" spans="1:14" s="68" customFormat="1" ht="21.95" customHeight="1" x14ac:dyDescent="0.15">
      <c r="A28" s="2513"/>
      <c r="B28" s="2534"/>
      <c r="C28" s="542" t="s">
        <v>1280</v>
      </c>
      <c r="D28" s="981"/>
      <c r="E28" s="1344"/>
      <c r="F28" s="8">
        <f>Pav_Dados!G25</f>
        <v>0</v>
      </c>
      <c r="G28" s="8">
        <f>Pav_Dados!H25</f>
        <v>25.36</v>
      </c>
      <c r="H28" s="8">
        <f>Pav_Dados!I25</f>
        <v>0</v>
      </c>
      <c r="I28" s="8">
        <f>Pav_Dados!J25</f>
        <v>0</v>
      </c>
      <c r="J28" s="8">
        <f>Pav_Dados!K25</f>
        <v>0</v>
      </c>
      <c r="K28" s="8">
        <f>Pav_Dados!L25</f>
        <v>0</v>
      </c>
      <c r="L28" s="8"/>
      <c r="M28" s="533">
        <f t="shared" si="7"/>
        <v>25.36</v>
      </c>
      <c r="N28" s="578">
        <f t="shared" si="9"/>
        <v>50.72</v>
      </c>
    </row>
    <row r="29" spans="1:14" s="68" customFormat="1" ht="21.95" customHeight="1" thickBot="1" x14ac:dyDescent="0.2">
      <c r="A29" s="2513"/>
      <c r="B29" s="2535"/>
      <c r="C29" s="1070" t="s">
        <v>1612</v>
      </c>
      <c r="D29" s="1376"/>
      <c r="E29" s="1269"/>
      <c r="F29" s="8">
        <f t="shared" ref="F29" si="10">F27*0.0285+F28*0.033</f>
        <v>0</v>
      </c>
      <c r="G29" s="8">
        <f t="shared" ref="G29:K29" si="11">G27*0.0285+G28*0.033</f>
        <v>1.5596399999999999</v>
      </c>
      <c r="H29" s="8">
        <f t="shared" si="11"/>
        <v>0</v>
      </c>
      <c r="I29" s="8">
        <f t="shared" si="11"/>
        <v>0</v>
      </c>
      <c r="J29" s="8">
        <f t="shared" si="11"/>
        <v>0</v>
      </c>
      <c r="K29" s="8">
        <f t="shared" si="11"/>
        <v>0</v>
      </c>
      <c r="L29" s="8"/>
      <c r="M29" s="512">
        <f t="shared" si="7"/>
        <v>1.55</v>
      </c>
      <c r="N29" s="578">
        <f t="shared" si="9"/>
        <v>3.1096399999999997</v>
      </c>
    </row>
    <row r="30" spans="1:14" s="68" customFormat="1" ht="21.95" hidden="1" customHeight="1" x14ac:dyDescent="0.15">
      <c r="A30" s="2513"/>
      <c r="B30" s="2825" t="s">
        <v>23</v>
      </c>
      <c r="C30" s="543" t="s">
        <v>3</v>
      </c>
      <c r="D30" s="981"/>
      <c r="E30" s="1344"/>
      <c r="F30" s="2105">
        <f>IF(SUM(Pav_Dados!G27:G29)=0,0,Pav_Dados!G26)</f>
        <v>0</v>
      </c>
      <c r="G30" s="2105">
        <f>IF(SUM(Pav_Dados!H27:H29)=0,0,Pav_Dados!H26)</f>
        <v>0</v>
      </c>
      <c r="H30" s="2105">
        <f>IF(SUM(Pav_Dados!I27:I29)=0,0,Pav_Dados!I26)</f>
        <v>0</v>
      </c>
      <c r="I30" s="2105">
        <f>IF(SUM(Pav_Dados!J27:J29)=0,0,Pav_Dados!J26)</f>
        <v>0</v>
      </c>
      <c r="J30" s="2105">
        <f>IF(SUM(Pav_Dados!K27:K29)=0,0,Pav_Dados!K26)</f>
        <v>0</v>
      </c>
      <c r="K30" s="2105">
        <f>IF(SUM(Pav_Dados!L27:L29)=0,0,Pav_Dados!L26)</f>
        <v>0</v>
      </c>
      <c r="L30" s="2105"/>
      <c r="M30" s="533">
        <f t="shared" si="7"/>
        <v>0</v>
      </c>
      <c r="N30" s="578">
        <f t="shared" si="9"/>
        <v>0</v>
      </c>
    </row>
    <row r="31" spans="1:14" s="68" customFormat="1" ht="21.95" hidden="1" customHeight="1" x14ac:dyDescent="0.15">
      <c r="A31" s="2513"/>
      <c r="B31" s="2826"/>
      <c r="C31" s="542" t="s">
        <v>951</v>
      </c>
      <c r="D31" s="981"/>
      <c r="E31" s="1344"/>
      <c r="F31" s="8">
        <f>IF(F30=0,0,IF(Pav_Dados!G27=0,Pav_Dados!G29/F33,Pav_Dados!G27))</f>
        <v>0</v>
      </c>
      <c r="G31" s="8">
        <f>IF(G30=0,0,IF(Pav_Dados!H27=0,Pav_Dados!H29/G33,Pav_Dados!H27))</f>
        <v>0</v>
      </c>
      <c r="H31" s="8">
        <f>IF(H30=0,0,IF(Pav_Dados!I27=0,Pav_Dados!I29/H33,Pav_Dados!I27))</f>
        <v>0</v>
      </c>
      <c r="I31" s="8">
        <f>IF(I30=0,0,IF(Pav_Dados!J27=0,Pav_Dados!J29/I33,Pav_Dados!J27))</f>
        <v>0</v>
      </c>
      <c r="J31" s="8">
        <f>IF(J30=0,0,IF(Pav_Dados!K27=0,Pav_Dados!K29/J33,Pav_Dados!K27))</f>
        <v>0</v>
      </c>
      <c r="K31" s="8">
        <f>IF(K30=0,0,IF(Pav_Dados!L27=0,Pav_Dados!L29/K33,Pav_Dados!L27))</f>
        <v>0</v>
      </c>
      <c r="L31" s="8"/>
      <c r="M31" s="533"/>
      <c r="N31" s="578">
        <f t="shared" si="9"/>
        <v>0</v>
      </c>
    </row>
    <row r="32" spans="1:14" s="6" customFormat="1" ht="21.95" hidden="1" customHeight="1" x14ac:dyDescent="0.15">
      <c r="A32" s="2513"/>
      <c r="B32" s="2826"/>
      <c r="C32" s="542" t="s">
        <v>952</v>
      </c>
      <c r="D32" s="981"/>
      <c r="E32" s="1344"/>
      <c r="F32" s="2321">
        <f>IF(F30=0,0,IF(Pav_Dados!G28&gt;0,Pav_Dados!G28,F79))</f>
        <v>0</v>
      </c>
      <c r="G32" s="2321">
        <f>IF(G30=0,0,IF(Pav_Dados!H28&gt;0,Pav_Dados!H28,G79))</f>
        <v>0</v>
      </c>
      <c r="H32" s="2321">
        <f>IF(H30=0,0,IF(Pav_Dados!I28&gt;0,Pav_Dados!I28,H79))</f>
        <v>0</v>
      </c>
      <c r="I32" s="2321">
        <f>IF(I30=0,0,IF(Pav_Dados!J28&gt;0,Pav_Dados!J28,I79))</f>
        <v>0</v>
      </c>
      <c r="J32" s="2321">
        <f>IF(J30=0,0,IF(Pav_Dados!K28&gt;0,Pav_Dados!K28,J79))</f>
        <v>0</v>
      </c>
      <c r="K32" s="2321">
        <f>IF(K30=0,0,IF(Pav_Dados!L28&gt;0,Pav_Dados!L28,K79))</f>
        <v>0</v>
      </c>
      <c r="L32" s="2321"/>
      <c r="M32" s="1079"/>
      <c r="N32" s="578">
        <f t="shared" si="9"/>
        <v>0</v>
      </c>
    </row>
    <row r="33" spans="1:14" s="6" customFormat="1" ht="21.95" hidden="1" customHeight="1" x14ac:dyDescent="0.15">
      <c r="A33" s="2513"/>
      <c r="B33" s="2729"/>
      <c r="C33" s="542" t="s">
        <v>29</v>
      </c>
      <c r="D33" s="981"/>
      <c r="E33" s="1344"/>
      <c r="F33" s="8">
        <f t="shared" ref="F33" si="12">IF(F30=0,0,IF(F32=F79,F81,F30*F32))</f>
        <v>0</v>
      </c>
      <c r="G33" s="8">
        <f t="shared" ref="G33:K33" si="13">IF(G30=0,0,IF(G32=G79,G81,G30*G32))</f>
        <v>0</v>
      </c>
      <c r="H33" s="8">
        <f t="shared" si="13"/>
        <v>0</v>
      </c>
      <c r="I33" s="8">
        <f t="shared" si="13"/>
        <v>0</v>
      </c>
      <c r="J33" s="8">
        <f t="shared" si="13"/>
        <v>0</v>
      </c>
      <c r="K33" s="8">
        <f t="shared" si="13"/>
        <v>0</v>
      </c>
      <c r="L33" s="8"/>
      <c r="M33" s="533">
        <f>TRUNC(SUM(F33:L33),2)</f>
        <v>0</v>
      </c>
      <c r="N33" s="578">
        <f t="shared" si="9"/>
        <v>0</v>
      </c>
    </row>
    <row r="34" spans="1:14" s="6" customFormat="1" ht="21.95" hidden="1" customHeight="1" x14ac:dyDescent="0.15">
      <c r="A34" s="2513"/>
      <c r="B34" s="2729"/>
      <c r="C34" s="542" t="s">
        <v>1903</v>
      </c>
      <c r="D34" s="981"/>
      <c r="E34" s="1344"/>
      <c r="F34" s="8">
        <f>IF(F31&gt;0,F33*F31,Pav_Dados!G29)</f>
        <v>0</v>
      </c>
      <c r="G34" s="8">
        <f>IF(G31&gt;0,G33*G31,Pav_Dados!H29)</f>
        <v>0</v>
      </c>
      <c r="H34" s="8">
        <f>IF(H31&gt;0,H33*H31,Pav_Dados!I29)</f>
        <v>0</v>
      </c>
      <c r="I34" s="8">
        <f>IF(I31&gt;0,I33*I31,Pav_Dados!J29)</f>
        <v>0</v>
      </c>
      <c r="J34" s="8">
        <f>IF(J31&gt;0,J33*J31,Pav_Dados!K29)</f>
        <v>0</v>
      </c>
      <c r="K34" s="8">
        <f>IF(K31&gt;0,K33*K31,Pav_Dados!L29)</f>
        <v>0</v>
      </c>
      <c r="L34" s="8"/>
      <c r="M34" s="511">
        <f>TRUNC(SUM(F34:L34),2)</f>
        <v>0</v>
      </c>
      <c r="N34" s="578">
        <f t="shared" si="9"/>
        <v>0</v>
      </c>
    </row>
    <row r="35" spans="1:14" s="6" customFormat="1" ht="21.95" hidden="1" customHeight="1" x14ac:dyDescent="0.15">
      <c r="A35" s="2513"/>
      <c r="B35" s="2729"/>
      <c r="C35" s="542" t="s">
        <v>1322</v>
      </c>
      <c r="D35" s="981"/>
      <c r="E35" s="1344"/>
      <c r="F35" s="8">
        <f t="shared" ref="F35" si="14">F34*0.1</f>
        <v>0</v>
      </c>
      <c r="G35" s="8">
        <f t="shared" ref="G35:K35" si="15">G34*0.1</f>
        <v>0</v>
      </c>
      <c r="H35" s="8">
        <f t="shared" si="15"/>
        <v>0</v>
      </c>
      <c r="I35" s="8">
        <f t="shared" si="15"/>
        <v>0</v>
      </c>
      <c r="J35" s="8">
        <f t="shared" si="15"/>
        <v>0</v>
      </c>
      <c r="K35" s="8">
        <f t="shared" si="15"/>
        <v>0</v>
      </c>
      <c r="L35" s="8"/>
      <c r="M35" s="533">
        <f>TRUNC(SUM(F35:L35),2)</f>
        <v>0</v>
      </c>
      <c r="N35" s="578">
        <f t="shared" si="9"/>
        <v>0</v>
      </c>
    </row>
    <row r="36" spans="1:14" s="6" customFormat="1" ht="21.95" hidden="1" customHeight="1" thickBot="1" x14ac:dyDescent="0.2">
      <c r="A36" s="2513"/>
      <c r="B36" s="2827"/>
      <c r="C36" s="545" t="s">
        <v>731</v>
      </c>
      <c r="D36" s="1376"/>
      <c r="E36" s="1269"/>
      <c r="F36" s="215">
        <f t="shared" ref="F36" si="16">F34*1.3</f>
        <v>0</v>
      </c>
      <c r="G36" s="215">
        <f t="shared" ref="G36:K36" si="17">G34*1.3</f>
        <v>0</v>
      </c>
      <c r="H36" s="215">
        <f t="shared" si="17"/>
        <v>0</v>
      </c>
      <c r="I36" s="215">
        <f t="shared" si="17"/>
        <v>0</v>
      </c>
      <c r="J36" s="215">
        <f t="shared" si="17"/>
        <v>0</v>
      </c>
      <c r="K36" s="215">
        <f t="shared" si="17"/>
        <v>0</v>
      </c>
      <c r="L36" s="215"/>
      <c r="M36" s="664">
        <f>TRUNC(SUM(F36:L36),2)</f>
        <v>0</v>
      </c>
      <c r="N36" s="578">
        <f t="shared" si="9"/>
        <v>0</v>
      </c>
    </row>
    <row r="37" spans="1:14" s="6" customFormat="1" ht="21.95" hidden="1" customHeight="1" x14ac:dyDescent="0.15">
      <c r="A37" s="2513"/>
      <c r="B37" s="2825" t="s">
        <v>53</v>
      </c>
      <c r="C37" s="541" t="s">
        <v>3</v>
      </c>
      <c r="D37" s="981"/>
      <c r="E37" s="1344"/>
      <c r="F37" s="2105">
        <f>IF(SUM(Pav_Dados!G31:G33)=0,0,Pav_Dados!G30)</f>
        <v>0</v>
      </c>
      <c r="G37" s="2105">
        <f>IF(SUM(Pav_Dados!H31:H33)=0,0,Pav_Dados!H30)</f>
        <v>0</v>
      </c>
      <c r="H37" s="2105">
        <f>IF(SUM(Pav_Dados!I31:I33)=0,0,Pav_Dados!I30)</f>
        <v>0</v>
      </c>
      <c r="I37" s="2105">
        <f>IF(SUM(Pav_Dados!J31:J33)=0,0,Pav_Dados!J30)</f>
        <v>0</v>
      </c>
      <c r="J37" s="2105">
        <f>IF(SUM(Pav_Dados!K31:K33)=0,0,Pav_Dados!K30)</f>
        <v>0</v>
      </c>
      <c r="K37" s="2105">
        <f>IF(SUM(Pav_Dados!L31:L33)=0,0,Pav_Dados!L30)</f>
        <v>0</v>
      </c>
      <c r="L37" s="2105"/>
      <c r="M37" s="533">
        <f>TRUNC(SUM(F37:L37),2)</f>
        <v>0</v>
      </c>
      <c r="N37" s="578">
        <f t="shared" si="9"/>
        <v>0</v>
      </c>
    </row>
    <row r="38" spans="1:14" s="6" customFormat="1" ht="21.95" hidden="1" customHeight="1" x14ac:dyDescent="0.15">
      <c r="A38" s="2513"/>
      <c r="B38" s="2826"/>
      <c r="C38" s="542" t="s">
        <v>951</v>
      </c>
      <c r="D38" s="981"/>
      <c r="E38" s="1344"/>
      <c r="F38" s="8">
        <f>IF(F37=0,0,IF(Pav_Dados!G31=0,Pav_Dados!G33/F40,Pav_Dados!G31))</f>
        <v>0</v>
      </c>
      <c r="G38" s="8">
        <f>IF(G37=0,0,IF(Pav_Dados!H31=0,Pav_Dados!H33/G40,Pav_Dados!H31))</f>
        <v>0</v>
      </c>
      <c r="H38" s="8">
        <f>IF(H37=0,0,IF(Pav_Dados!I31=0,Pav_Dados!I33/H40,Pav_Dados!I31))</f>
        <v>0</v>
      </c>
      <c r="I38" s="8">
        <f>IF(I37=0,0,IF(Pav_Dados!J31=0,Pav_Dados!J33/I40,Pav_Dados!J31))</f>
        <v>0</v>
      </c>
      <c r="J38" s="8">
        <f>IF(J37=0,0,IF(Pav_Dados!K31=0,Pav_Dados!K33/J40,Pav_Dados!K31))</f>
        <v>0</v>
      </c>
      <c r="K38" s="8">
        <f>IF(K37=0,0,IF(Pav_Dados!L31=0,Pav_Dados!L33/K40,Pav_Dados!L31))</f>
        <v>0</v>
      </c>
      <c r="L38" s="8"/>
      <c r="M38" s="533"/>
      <c r="N38" s="578">
        <f t="shared" si="9"/>
        <v>0</v>
      </c>
    </row>
    <row r="39" spans="1:14" s="6" customFormat="1" ht="21.95" hidden="1" customHeight="1" x14ac:dyDescent="0.15">
      <c r="A39" s="2513"/>
      <c r="B39" s="2826"/>
      <c r="C39" s="542" t="s">
        <v>952</v>
      </c>
      <c r="D39" s="981"/>
      <c r="E39" s="1344"/>
      <c r="F39" s="2321">
        <f>IF(F37=0,0,IF(Pav_Dados!G32&gt;0,Pav_Dados!G32,F79))</f>
        <v>0</v>
      </c>
      <c r="G39" s="2321">
        <f>IF(G37=0,0,IF(Pav_Dados!H32&gt;0,Pav_Dados!H32,G79))</f>
        <v>0</v>
      </c>
      <c r="H39" s="2321">
        <f>IF(H37=0,0,IF(Pav_Dados!I32&gt;0,Pav_Dados!I32,H79))</f>
        <v>0</v>
      </c>
      <c r="I39" s="2321">
        <f>IF(I37=0,0,IF(Pav_Dados!J32&gt;0,Pav_Dados!J32,I79))</f>
        <v>0</v>
      </c>
      <c r="J39" s="2321">
        <f>IF(J37=0,0,IF(Pav_Dados!K32&gt;0,Pav_Dados!K32,J79))</f>
        <v>0</v>
      </c>
      <c r="K39" s="2321">
        <f>IF(K37=0,0,IF(Pav_Dados!L32&gt;0,Pav_Dados!L32,K79))</f>
        <v>0</v>
      </c>
      <c r="L39" s="2321"/>
      <c r="M39" s="1079"/>
      <c r="N39" s="578">
        <f t="shared" si="9"/>
        <v>0</v>
      </c>
    </row>
    <row r="40" spans="1:14" s="6" customFormat="1" ht="21.95" hidden="1" customHeight="1" x14ac:dyDescent="0.15">
      <c r="A40" s="2513"/>
      <c r="B40" s="2729"/>
      <c r="C40" s="542" t="s">
        <v>29</v>
      </c>
      <c r="D40" s="981"/>
      <c r="E40" s="1344"/>
      <c r="F40" s="8">
        <f t="shared" ref="F40" si="18">IF(F37=0,0,IF(F39=F79,F81,F37*F39))</f>
        <v>0</v>
      </c>
      <c r="G40" s="8">
        <f t="shared" ref="G40:K40" si="19">IF(G37=0,0,IF(G39=G79,G81,G37*G39))</f>
        <v>0</v>
      </c>
      <c r="H40" s="8">
        <f t="shared" si="19"/>
        <v>0</v>
      </c>
      <c r="I40" s="8">
        <f t="shared" si="19"/>
        <v>0</v>
      </c>
      <c r="J40" s="8">
        <f t="shared" si="19"/>
        <v>0</v>
      </c>
      <c r="K40" s="8">
        <f t="shared" si="19"/>
        <v>0</v>
      </c>
      <c r="L40" s="8"/>
      <c r="M40" s="533">
        <f>TRUNC(SUM(F40:L40),2)</f>
        <v>0</v>
      </c>
      <c r="N40" s="578">
        <f t="shared" si="9"/>
        <v>0</v>
      </c>
    </row>
    <row r="41" spans="1:14" s="6" customFormat="1" ht="21.95" hidden="1" customHeight="1" thickBot="1" x14ac:dyDescent="0.2">
      <c r="A41" s="2513"/>
      <c r="B41" s="2827"/>
      <c r="C41" s="542" t="s">
        <v>1903</v>
      </c>
      <c r="D41" s="1376"/>
      <c r="E41" s="1269"/>
      <c r="F41" s="215">
        <f>IF(F38&gt;0,F40*F38,Pav_Dados!G33)</f>
        <v>0</v>
      </c>
      <c r="G41" s="215">
        <f>IF(G38&gt;0,G40*G38,Pav_Dados!H33)</f>
        <v>0</v>
      </c>
      <c r="H41" s="215">
        <f>IF(H38&gt;0,H40*H38,Pav_Dados!I33)</f>
        <v>0</v>
      </c>
      <c r="I41" s="215">
        <f>IF(I38&gt;0,I40*I38,Pav_Dados!J33)</f>
        <v>0</v>
      </c>
      <c r="J41" s="215">
        <f>IF(J38&gt;0,J40*J38,Pav_Dados!K33)</f>
        <v>0</v>
      </c>
      <c r="K41" s="215">
        <f>IF(K38&gt;0,K40*K38,Pav_Dados!L33)</f>
        <v>0</v>
      </c>
      <c r="L41" s="215"/>
      <c r="M41" s="512">
        <f>TRUNC(SUM(F41:L41),2)</f>
        <v>0</v>
      </c>
      <c r="N41" s="578">
        <f t="shared" si="9"/>
        <v>0</v>
      </c>
    </row>
    <row r="42" spans="1:14" s="6" customFormat="1" ht="21.95" hidden="1" customHeight="1" x14ac:dyDescent="0.15">
      <c r="A42" s="2513"/>
      <c r="B42" s="2674" t="s">
        <v>338</v>
      </c>
      <c r="C42" s="541" t="s">
        <v>3</v>
      </c>
      <c r="D42" s="981"/>
      <c r="E42" s="1343"/>
      <c r="F42" s="216">
        <f>IF(SUM(Pav_Dados!G35:G37)=0,0,Pav_Dados!G34)</f>
        <v>0</v>
      </c>
      <c r="G42" s="216">
        <f>IF(SUM(Pav_Dados!H35:H37)=0,0,Pav_Dados!H34)</f>
        <v>0</v>
      </c>
      <c r="H42" s="216">
        <f>IF(SUM(Pav_Dados!I35:I37)=0,0,Pav_Dados!I34)</f>
        <v>0</v>
      </c>
      <c r="I42" s="216">
        <f>IF(SUM(Pav_Dados!J35:J37)=0,0,Pav_Dados!J34)</f>
        <v>0</v>
      </c>
      <c r="J42" s="216">
        <f>IF(SUM(Pav_Dados!K35:K37)=0,0,Pav_Dados!K34)</f>
        <v>0</v>
      </c>
      <c r="K42" s="216">
        <f>IF(SUM(Pav_Dados!L35:L37)=0,0,Pav_Dados!L34)</f>
        <v>0</v>
      </c>
      <c r="L42" s="216"/>
      <c r="M42" s="533">
        <f>TRUNC(SUM(F42:L42),2)</f>
        <v>0</v>
      </c>
      <c r="N42" s="578">
        <f t="shared" si="9"/>
        <v>0</v>
      </c>
    </row>
    <row r="43" spans="1:14" s="6" customFormat="1" ht="21.95" hidden="1" customHeight="1" x14ac:dyDescent="0.15">
      <c r="A43" s="2513"/>
      <c r="B43" s="2676"/>
      <c r="C43" s="542" t="s">
        <v>951</v>
      </c>
      <c r="D43" s="981"/>
      <c r="E43" s="1344"/>
      <c r="F43" s="8">
        <f>IF(F42=0,0,IF(Pav_Dados!G35=0,Pav_Dados!G37/F45,Pav_Dados!G35))</f>
        <v>0</v>
      </c>
      <c r="G43" s="8">
        <f>IF(G42=0,0,IF(Pav_Dados!H35=0,Pav_Dados!H37/G45,Pav_Dados!H35))</f>
        <v>0</v>
      </c>
      <c r="H43" s="8">
        <f>IF(H42=0,0,IF(Pav_Dados!I35=0,Pav_Dados!I37/H45,Pav_Dados!I35))</f>
        <v>0</v>
      </c>
      <c r="I43" s="8">
        <f>IF(I42=0,0,IF(Pav_Dados!J35=0,Pav_Dados!J37/I45,Pav_Dados!J35))</f>
        <v>0</v>
      </c>
      <c r="J43" s="8">
        <f>IF(J42=0,0,IF(Pav_Dados!K35=0,Pav_Dados!K37/J45,Pav_Dados!K35))</f>
        <v>0</v>
      </c>
      <c r="K43" s="8">
        <f>IF(K42=0,0,IF(Pav_Dados!L35=0,Pav_Dados!L37/K45,Pav_Dados!L35))</f>
        <v>0</v>
      </c>
      <c r="L43" s="8"/>
      <c r="M43" s="533"/>
      <c r="N43" s="578">
        <f t="shared" si="9"/>
        <v>0</v>
      </c>
    </row>
    <row r="44" spans="1:14" s="6" customFormat="1" ht="21.95" hidden="1" customHeight="1" x14ac:dyDescent="0.15">
      <c r="A44" s="2513"/>
      <c r="B44" s="2676"/>
      <c r="C44" s="542" t="s">
        <v>58</v>
      </c>
      <c r="D44" s="981"/>
      <c r="E44" s="1344"/>
      <c r="F44" s="8">
        <f>IF(F42=0,0,IF(Pav_Dados!G36&gt;0,Pav_Dados!G36,F79))</f>
        <v>0</v>
      </c>
      <c r="G44" s="8">
        <f>IF(G42=0,0,IF(Pav_Dados!H36&gt;0,Pav_Dados!H36,G79))</f>
        <v>0</v>
      </c>
      <c r="H44" s="8">
        <f>IF(H42=0,0,IF(Pav_Dados!I36&gt;0,Pav_Dados!I36,H79))</f>
        <v>0</v>
      </c>
      <c r="I44" s="8">
        <f>IF(I42=0,0,IF(Pav_Dados!J36&gt;0,Pav_Dados!J36,I79))</f>
        <v>0</v>
      </c>
      <c r="J44" s="8">
        <f>IF(J42=0,0,IF(Pav_Dados!K36&gt;0,Pav_Dados!K36,J79))</f>
        <v>0</v>
      </c>
      <c r="K44" s="8">
        <f>IF(K42=0,0,IF(Pav_Dados!L36&gt;0,Pav_Dados!L36,K79))</f>
        <v>0</v>
      </c>
      <c r="L44" s="8"/>
      <c r="M44" s="1079"/>
      <c r="N44" s="578">
        <f t="shared" si="9"/>
        <v>0</v>
      </c>
    </row>
    <row r="45" spans="1:14" s="6" customFormat="1" ht="21.95" hidden="1" customHeight="1" x14ac:dyDescent="0.15">
      <c r="A45" s="2513"/>
      <c r="B45" s="2676"/>
      <c r="C45" s="542" t="s">
        <v>29</v>
      </c>
      <c r="D45" s="981"/>
      <c r="E45" s="1344"/>
      <c r="F45" s="8">
        <f t="shared" ref="F45" si="20">IF(F42=0,0,IF(F44=F78,F79,F42*F44))</f>
        <v>0</v>
      </c>
      <c r="G45" s="8">
        <f t="shared" ref="G45:K45" si="21">IF(G42=0,0,IF(G44=G78,G79,G42*G44))</f>
        <v>0</v>
      </c>
      <c r="H45" s="8">
        <f t="shared" si="21"/>
        <v>0</v>
      </c>
      <c r="I45" s="8">
        <f t="shared" si="21"/>
        <v>0</v>
      </c>
      <c r="J45" s="8">
        <f t="shared" si="21"/>
        <v>0</v>
      </c>
      <c r="K45" s="8">
        <f t="shared" si="21"/>
        <v>0</v>
      </c>
      <c r="L45" s="8"/>
      <c r="M45" s="533">
        <f>TRUNC(SUM(F45:L45),2)</f>
        <v>0</v>
      </c>
      <c r="N45" s="578"/>
    </row>
    <row r="46" spans="1:14" s="6" customFormat="1" ht="21.95" hidden="1" customHeight="1" thickBot="1" x14ac:dyDescent="0.2">
      <c r="A46" s="2513"/>
      <c r="B46" s="2675"/>
      <c r="C46" s="545" t="s">
        <v>11</v>
      </c>
      <c r="D46" s="1376"/>
      <c r="E46" s="1269"/>
      <c r="F46" s="215">
        <f>IF(F43&gt;0,F45*F43,Pav_Dados!G37)</f>
        <v>0</v>
      </c>
      <c r="G46" s="215">
        <f>IF(G43&gt;0,G45*G43,Pav_Dados!H37)</f>
        <v>0</v>
      </c>
      <c r="H46" s="215">
        <f>IF(H43&gt;0,H45*H43,Pav_Dados!I37)</f>
        <v>0</v>
      </c>
      <c r="I46" s="215">
        <f>IF(I43&gt;0,I45*I43,Pav_Dados!J37)</f>
        <v>0</v>
      </c>
      <c r="J46" s="215">
        <f>IF(J43&gt;0,J45*J43,Pav_Dados!K37)</f>
        <v>0</v>
      </c>
      <c r="K46" s="215">
        <f>IF(K43&gt;0,K45*K43,Pav_Dados!L37)</f>
        <v>0</v>
      </c>
      <c r="L46" s="215"/>
      <c r="M46" s="512">
        <f>TRUNC(SUM(F46:L46),2)</f>
        <v>0</v>
      </c>
      <c r="N46" s="578">
        <f>SUM(F46:M46)</f>
        <v>0</v>
      </c>
    </row>
    <row r="47" spans="1:14" s="6" customFormat="1" ht="21.95" hidden="1" customHeight="1" x14ac:dyDescent="0.15">
      <c r="A47" s="2513"/>
      <c r="B47" s="2533" t="s">
        <v>2684</v>
      </c>
      <c r="C47" s="541" t="s">
        <v>167</v>
      </c>
      <c r="D47" s="981"/>
      <c r="E47" s="1343"/>
      <c r="F47" s="216">
        <f>Pav_Dados!G38</f>
        <v>0</v>
      </c>
      <c r="G47" s="216">
        <f>Pav_Dados!H38</f>
        <v>0</v>
      </c>
      <c r="H47" s="216">
        <f>Pav_Dados!I38</f>
        <v>0</v>
      </c>
      <c r="I47" s="216">
        <f>Pav_Dados!J38</f>
        <v>0</v>
      </c>
      <c r="J47" s="216">
        <f>Pav_Dados!K38</f>
        <v>0</v>
      </c>
      <c r="K47" s="216">
        <f>Pav_Dados!L38</f>
        <v>0</v>
      </c>
      <c r="L47" s="216"/>
      <c r="M47" s="532">
        <f>TRUNC(SUM(F47:L47),2)</f>
        <v>0</v>
      </c>
      <c r="N47" s="578">
        <f>SUM(F47:M47)</f>
        <v>0</v>
      </c>
    </row>
    <row r="48" spans="1:14" s="6" customFormat="1" ht="21.95" hidden="1" customHeight="1" x14ac:dyDescent="0.15">
      <c r="A48" s="2513"/>
      <c r="B48" s="2534"/>
      <c r="C48" s="542" t="s">
        <v>1377</v>
      </c>
      <c r="D48" s="981"/>
      <c r="E48" s="1344"/>
      <c r="F48" s="8">
        <f>IF(F47=0,0,IF(Pav_Dados!G39=0,Pav_Dados!G41/(F47*F49),Pav_Dados!G39))</f>
        <v>0</v>
      </c>
      <c r="G48" s="8">
        <f>IF(G47=0,0,IF(Pav_Dados!H39=0,Pav_Dados!H41/(G47*G49),Pav_Dados!H39))</f>
        <v>0</v>
      </c>
      <c r="H48" s="8">
        <f>IF(H47=0,0,IF(Pav_Dados!I39=0,Pav_Dados!I41/(H47*H49),Pav_Dados!I39))</f>
        <v>0</v>
      </c>
      <c r="I48" s="8">
        <f>IF(I47=0,0,IF(Pav_Dados!J39=0,Pav_Dados!J41/(I47*I49),Pav_Dados!J39))</f>
        <v>0</v>
      </c>
      <c r="J48" s="8">
        <f>IF(J47=0,0,IF(Pav_Dados!K39=0,Pav_Dados!K41/(J47*J49),Pav_Dados!K39))</f>
        <v>0</v>
      </c>
      <c r="K48" s="8">
        <f>IF(K47=0,0,IF(Pav_Dados!L39=0,Pav_Dados!L41/(K47*K49),Pav_Dados!L39))</f>
        <v>0</v>
      </c>
      <c r="L48" s="8"/>
      <c r="M48" s="509"/>
      <c r="N48" s="578">
        <f>SUM(F48:M48)</f>
        <v>0</v>
      </c>
    </row>
    <row r="49" spans="1:14" s="6" customFormat="1" ht="21.95" hidden="1" customHeight="1" x14ac:dyDescent="0.15">
      <c r="A49" s="2513"/>
      <c r="B49" s="2534"/>
      <c r="C49" s="542" t="s">
        <v>168</v>
      </c>
      <c r="D49" s="981"/>
      <c r="E49" s="1344"/>
      <c r="F49" s="8">
        <f>Pav_Dados!G40</f>
        <v>0</v>
      </c>
      <c r="G49" s="8">
        <f>Pav_Dados!H40</f>
        <v>0</v>
      </c>
      <c r="H49" s="8">
        <f>Pav_Dados!I40</f>
        <v>0</v>
      </c>
      <c r="I49" s="8">
        <f>Pav_Dados!J40</f>
        <v>0</v>
      </c>
      <c r="J49" s="8">
        <f>Pav_Dados!K40</f>
        <v>0</v>
      </c>
      <c r="K49" s="8">
        <f>Pav_Dados!L40</f>
        <v>0</v>
      </c>
      <c r="L49" s="8"/>
      <c r="M49" s="509"/>
      <c r="N49" s="578">
        <f>SUM(F49:M49)</f>
        <v>0</v>
      </c>
    </row>
    <row r="50" spans="1:14" s="6" customFormat="1" ht="21.95" hidden="1" customHeight="1" x14ac:dyDescent="0.15">
      <c r="A50" s="2513"/>
      <c r="B50" s="2534"/>
      <c r="C50" s="542" t="s">
        <v>56</v>
      </c>
      <c r="D50" s="981"/>
      <c r="E50" s="1344"/>
      <c r="F50" s="8">
        <f>IF(F48&gt;0,(F47*F49)*F48,Pav_Dados!G41)</f>
        <v>0</v>
      </c>
      <c r="G50" s="8">
        <f>IF(G48&gt;0,(G47*G49)*G48,Pav_Dados!H41)</f>
        <v>0</v>
      </c>
      <c r="H50" s="8">
        <f>IF(H48&gt;0,(H47*H49)*H48,Pav_Dados!I41)</f>
        <v>0</v>
      </c>
      <c r="I50" s="8">
        <f>IF(I48&gt;0,(I47*I49)*I48,Pav_Dados!J41)</f>
        <v>0</v>
      </c>
      <c r="J50" s="8">
        <f>IF(J48&gt;0,(J47*J49)*J48,Pav_Dados!K41)</f>
        <v>0</v>
      </c>
      <c r="K50" s="8">
        <f>IF(K48&gt;0,(K47*K49)*K48,Pav_Dados!L41)</f>
        <v>0</v>
      </c>
      <c r="L50" s="8"/>
      <c r="M50" s="511">
        <f>TRUNC(SUM(F50:L50),2)</f>
        <v>0</v>
      </c>
      <c r="N50" s="578">
        <f>SUM(F50:M50)</f>
        <v>0</v>
      </c>
    </row>
    <row r="51" spans="1:14" s="6" customFormat="1" ht="21.95" hidden="1" customHeight="1" x14ac:dyDescent="0.15">
      <c r="A51" s="2513"/>
      <c r="B51" s="2534"/>
      <c r="C51" s="542" t="s">
        <v>26</v>
      </c>
      <c r="D51" s="1377"/>
      <c r="E51" s="1361"/>
      <c r="F51" s="923">
        <f t="shared" ref="F51" si="22">IF(F47=0,0,"BOTA-FORA")</f>
        <v>0</v>
      </c>
      <c r="G51" s="923">
        <f t="shared" ref="G51:K51" si="23">IF(G47=0,0,"BOTA-FORA")</f>
        <v>0</v>
      </c>
      <c r="H51" s="923">
        <f t="shared" si="23"/>
        <v>0</v>
      </c>
      <c r="I51" s="923">
        <f t="shared" si="23"/>
        <v>0</v>
      </c>
      <c r="J51" s="923">
        <f t="shared" si="23"/>
        <v>0</v>
      </c>
      <c r="K51" s="923">
        <f t="shared" si="23"/>
        <v>0</v>
      </c>
      <c r="L51" s="923"/>
      <c r="M51" s="509"/>
      <c r="N51" s="1016">
        <f>COUNTA(F51:L51)-COUNTIF(F51:L51,0)</f>
        <v>0</v>
      </c>
    </row>
    <row r="52" spans="1:14" s="6" customFormat="1" ht="21.95" hidden="1" customHeight="1" x14ac:dyDescent="0.15">
      <c r="A52" s="2513"/>
      <c r="B52" s="2534"/>
      <c r="C52" s="542" t="s">
        <v>61</v>
      </c>
      <c r="D52" s="1378"/>
      <c r="E52" s="1362"/>
      <c r="F52" s="2274">
        <f>Pav_Dados!G42</f>
        <v>0</v>
      </c>
      <c r="G52" s="2274">
        <f>Pav_Dados!H42</f>
        <v>0</v>
      </c>
      <c r="H52" s="2274">
        <f>Pav_Dados!I42</f>
        <v>0</v>
      </c>
      <c r="I52" s="2274">
        <f>Pav_Dados!J42</f>
        <v>0</v>
      </c>
      <c r="J52" s="2274">
        <f>Pav_Dados!K42</f>
        <v>0</v>
      </c>
      <c r="K52" s="2274">
        <f>Pav_Dados!L42</f>
        <v>0</v>
      </c>
      <c r="L52" s="2274"/>
      <c r="M52" s="1081">
        <f>TRUNC(SUM(F52:L52),2)</f>
        <v>0</v>
      </c>
      <c r="N52" s="578">
        <f>SUM(F52:M52)</f>
        <v>0</v>
      </c>
    </row>
    <row r="53" spans="1:14" s="6" customFormat="1" ht="21.95" hidden="1" customHeight="1" x14ac:dyDescent="0.15">
      <c r="A53" s="2513"/>
      <c r="B53" s="2534"/>
      <c r="C53" s="542" t="s">
        <v>1378</v>
      </c>
      <c r="D53" s="981"/>
      <c r="E53" s="1344"/>
      <c r="F53" s="8">
        <f>IF(F52=0,0,IF(Pav_Dados!G43=0,Pav_Dados!G45/(F52*F54),Pav_Dados!G43))</f>
        <v>0</v>
      </c>
      <c r="G53" s="8">
        <f>IF(G52=0,0,IF(Pav_Dados!H43=0,Pav_Dados!H45/(G52*G54),Pav_Dados!H43))</f>
        <v>0</v>
      </c>
      <c r="H53" s="8">
        <f>IF(H52=0,0,IF(Pav_Dados!I43=0,Pav_Dados!I45/(H52*H54),Pav_Dados!I43))</f>
        <v>0</v>
      </c>
      <c r="I53" s="8">
        <f>IF(I52=0,0,IF(Pav_Dados!J43=0,Pav_Dados!J45/(I52*I54),Pav_Dados!J43))</f>
        <v>0</v>
      </c>
      <c r="J53" s="8">
        <f>IF(J52=0,0,IF(Pav_Dados!K43=0,Pav_Dados!K45/(J52*J54),Pav_Dados!K43))</f>
        <v>0</v>
      </c>
      <c r="K53" s="8">
        <f>IF(K52=0,0,IF(Pav_Dados!L43=0,Pav_Dados!L45/(K52*K54),Pav_Dados!L43))</f>
        <v>0</v>
      </c>
      <c r="L53" s="8"/>
      <c r="M53" s="509"/>
      <c r="N53" s="578">
        <f>SUM(F53:M53)</f>
        <v>0</v>
      </c>
    </row>
    <row r="54" spans="1:14" s="6" customFormat="1" ht="21.95" hidden="1" customHeight="1" x14ac:dyDescent="0.15">
      <c r="A54" s="2513"/>
      <c r="B54" s="2534"/>
      <c r="C54" s="542" t="s">
        <v>169</v>
      </c>
      <c r="D54" s="981"/>
      <c r="E54" s="1344"/>
      <c r="F54" s="8">
        <f>Pav_Dados!G44</f>
        <v>0</v>
      </c>
      <c r="G54" s="8">
        <f>Pav_Dados!H44</f>
        <v>0</v>
      </c>
      <c r="H54" s="8">
        <f>Pav_Dados!I44</f>
        <v>0</v>
      </c>
      <c r="I54" s="8">
        <f>Pav_Dados!J44</f>
        <v>0</v>
      </c>
      <c r="J54" s="8">
        <f>Pav_Dados!K44</f>
        <v>0</v>
      </c>
      <c r="K54" s="8">
        <f>Pav_Dados!L44</f>
        <v>0</v>
      </c>
      <c r="L54" s="8"/>
      <c r="M54" s="509"/>
      <c r="N54" s="578">
        <f>SUM(F54:M54)</f>
        <v>0</v>
      </c>
    </row>
    <row r="55" spans="1:14" s="6" customFormat="1" ht="21.95" hidden="1" customHeight="1" x14ac:dyDescent="0.15">
      <c r="A55" s="2513"/>
      <c r="B55" s="2534"/>
      <c r="C55" s="542" t="s">
        <v>57</v>
      </c>
      <c r="D55" s="981"/>
      <c r="E55" s="1344"/>
      <c r="F55" s="8">
        <f>IF(F53&gt;0,(F52*F54)*F53,Pav_Dados!G45)</f>
        <v>0</v>
      </c>
      <c r="G55" s="8">
        <f>IF(G53&gt;0,(G52*G54)*G53,Pav_Dados!H45)</f>
        <v>0</v>
      </c>
      <c r="H55" s="8">
        <f>IF(H53&gt;0,(H52*H54)*H53,Pav_Dados!I45)</f>
        <v>0</v>
      </c>
      <c r="I55" s="8">
        <f>IF(I53&gt;0,(I52*I54)*I53,Pav_Dados!J45)</f>
        <v>0</v>
      </c>
      <c r="J55" s="8">
        <f>IF(J53&gt;0,(J52*J54)*J53,Pav_Dados!K45)</f>
        <v>0</v>
      </c>
      <c r="K55" s="8">
        <f>IF(K53&gt;0,(K52*K54)*K53,Pav_Dados!L45)</f>
        <v>0</v>
      </c>
      <c r="L55" s="8"/>
      <c r="M55" s="511">
        <f>TRUNC(SUM(F55:L55),2)</f>
        <v>0</v>
      </c>
      <c r="N55" s="578">
        <f>SUM(F55:M55)</f>
        <v>0</v>
      </c>
    </row>
    <row r="56" spans="1:14" s="6" customFormat="1" ht="21.95" hidden="1" customHeight="1" thickBot="1" x14ac:dyDescent="0.2">
      <c r="A56" s="2513"/>
      <c r="B56" s="2535"/>
      <c r="C56" s="543" t="s">
        <v>26</v>
      </c>
      <c r="D56" s="1376"/>
      <c r="E56" s="1269"/>
      <c r="F56" s="1071">
        <f t="shared" ref="F56" si="24">IF(F52=0,0,"BOTA-FORA")</f>
        <v>0</v>
      </c>
      <c r="G56" s="1071">
        <f t="shared" ref="G56:K56" si="25">IF(G52=0,0,"BOTA-FORA")</f>
        <v>0</v>
      </c>
      <c r="H56" s="1071">
        <f t="shared" si="25"/>
        <v>0</v>
      </c>
      <c r="I56" s="1071">
        <f t="shared" si="25"/>
        <v>0</v>
      </c>
      <c r="J56" s="1071">
        <f t="shared" si="25"/>
        <v>0</v>
      </c>
      <c r="K56" s="1071">
        <f t="shared" si="25"/>
        <v>0</v>
      </c>
      <c r="L56" s="1071"/>
      <c r="M56" s="509"/>
      <c r="N56" s="1016">
        <f>COUNTA(F56:L56)-COUNTIF(F56:L56,0)</f>
        <v>0</v>
      </c>
    </row>
    <row r="57" spans="1:14" s="6" customFormat="1" ht="21.95" hidden="1" customHeight="1" x14ac:dyDescent="0.15">
      <c r="A57" s="2513"/>
      <c r="B57" s="2533" t="s">
        <v>1326</v>
      </c>
      <c r="C57" s="541" t="s">
        <v>167</v>
      </c>
      <c r="D57" s="981"/>
      <c r="E57" s="1343"/>
      <c r="F57" s="216">
        <f>Pav_Dados!G46</f>
        <v>0</v>
      </c>
      <c r="G57" s="216">
        <f>Pav_Dados!H46</f>
        <v>0</v>
      </c>
      <c r="H57" s="216">
        <f>Pav_Dados!I46</f>
        <v>0</v>
      </c>
      <c r="I57" s="216">
        <f>Pav_Dados!J46</f>
        <v>0</v>
      </c>
      <c r="J57" s="216">
        <f>Pav_Dados!K46</f>
        <v>0</v>
      </c>
      <c r="K57" s="216">
        <f>Pav_Dados!L46</f>
        <v>0</v>
      </c>
      <c r="L57" s="216"/>
      <c r="M57" s="532">
        <f>TRUNC(SUM(F57:L57),2)</f>
        <v>0</v>
      </c>
      <c r="N57" s="578">
        <f>SUM(F57:M57)</f>
        <v>0</v>
      </c>
    </row>
    <row r="58" spans="1:14" s="6" customFormat="1" ht="21.95" hidden="1" customHeight="1" x14ac:dyDescent="0.15">
      <c r="A58" s="2513"/>
      <c r="B58" s="2534"/>
      <c r="C58" s="542" t="s">
        <v>1377</v>
      </c>
      <c r="D58" s="981"/>
      <c r="E58" s="1344"/>
      <c r="F58" s="8">
        <f>IF(F57=0,0,IF(Pav_Dados!G47=0,Pav_Dados!G49/(F57*F59),Pav_Dados!G47))</f>
        <v>0</v>
      </c>
      <c r="G58" s="8">
        <f>IF(G57=0,0,IF(Pav_Dados!H47=0,Pav_Dados!H49/(G57*G59),Pav_Dados!H47))</f>
        <v>0</v>
      </c>
      <c r="H58" s="8">
        <f>IF(H57=0,0,IF(Pav_Dados!I47=0,Pav_Dados!I49/(H57*H59),Pav_Dados!I47))</f>
        <v>0</v>
      </c>
      <c r="I58" s="8">
        <f>IF(I57=0,0,IF(Pav_Dados!J47=0,Pav_Dados!J49/(I57*I59),Pav_Dados!J47))</f>
        <v>0</v>
      </c>
      <c r="J58" s="8">
        <f>IF(J57=0,0,IF(Pav_Dados!K47=0,Pav_Dados!K49/(J57*J59),Pav_Dados!K47))</f>
        <v>0</v>
      </c>
      <c r="K58" s="8">
        <f>IF(K57=0,0,IF(Pav_Dados!L47=0,Pav_Dados!L49/(K57*K59),Pav_Dados!L47))</f>
        <v>0</v>
      </c>
      <c r="L58" s="8"/>
      <c r="M58" s="509"/>
      <c r="N58" s="578">
        <f>SUM(F58:M58)</f>
        <v>0</v>
      </c>
    </row>
    <row r="59" spans="1:14" s="6" customFormat="1" ht="21.95" hidden="1" customHeight="1" x14ac:dyDescent="0.15">
      <c r="A59" s="2513"/>
      <c r="B59" s="2534"/>
      <c r="C59" s="542" t="s">
        <v>168</v>
      </c>
      <c r="D59" s="981"/>
      <c r="E59" s="1344"/>
      <c r="F59" s="8">
        <f>Pav_Dados!G48</f>
        <v>0</v>
      </c>
      <c r="G59" s="8">
        <f>Pav_Dados!H48</f>
        <v>0</v>
      </c>
      <c r="H59" s="8">
        <f>Pav_Dados!I48</f>
        <v>0</v>
      </c>
      <c r="I59" s="8">
        <f>Pav_Dados!J48</f>
        <v>0</v>
      </c>
      <c r="J59" s="8">
        <f>Pav_Dados!K48</f>
        <v>0</v>
      </c>
      <c r="K59" s="8">
        <f>Pav_Dados!L48</f>
        <v>0</v>
      </c>
      <c r="L59" s="8"/>
      <c r="M59" s="509"/>
      <c r="N59" s="578">
        <f>SUM(F59:M59)</f>
        <v>0</v>
      </c>
    </row>
    <row r="60" spans="1:14" s="6" customFormat="1" ht="21.95" hidden="1" customHeight="1" x14ac:dyDescent="0.15">
      <c r="A60" s="2513"/>
      <c r="B60" s="2534"/>
      <c r="C60" s="542" t="s">
        <v>56</v>
      </c>
      <c r="D60" s="981"/>
      <c r="E60" s="1344"/>
      <c r="F60" s="8">
        <f>IF(F58&gt;0,(F57*F59)*F58,Pav_Dados!G49)</f>
        <v>0</v>
      </c>
      <c r="G60" s="8">
        <f>IF(G58&gt;0,(G57*G59)*G58,Pav_Dados!H49)</f>
        <v>0</v>
      </c>
      <c r="H60" s="8">
        <f>IF(H58&gt;0,(H57*H59)*H58,Pav_Dados!I49)</f>
        <v>0</v>
      </c>
      <c r="I60" s="8">
        <f>IF(I58&gt;0,(I57*I59)*I58,Pav_Dados!J49)</f>
        <v>0</v>
      </c>
      <c r="J60" s="8">
        <f>IF(J58&gt;0,(J57*J59)*J58,Pav_Dados!K49)</f>
        <v>0</v>
      </c>
      <c r="K60" s="8">
        <f>IF(K58&gt;0,(K57*K59)*K58,Pav_Dados!L49)</f>
        <v>0</v>
      </c>
      <c r="L60" s="8"/>
      <c r="M60" s="511">
        <f>TRUNC(SUM(F60:L60),2)</f>
        <v>0</v>
      </c>
      <c r="N60" s="578">
        <f>SUM(F60:M60)</f>
        <v>0</v>
      </c>
    </row>
    <row r="61" spans="1:14" s="6" customFormat="1" ht="21.95" hidden="1" customHeight="1" x14ac:dyDescent="0.15">
      <c r="A61" s="2513"/>
      <c r="B61" s="2534"/>
      <c r="C61" s="542" t="s">
        <v>26</v>
      </c>
      <c r="D61" s="1377"/>
      <c r="E61" s="1361"/>
      <c r="F61" s="923">
        <f t="shared" ref="F61" si="26">IF(F57=0,0,"BOTA-FORA")</f>
        <v>0</v>
      </c>
      <c r="G61" s="923">
        <f t="shared" ref="G61:K61" si="27">IF(G57=0,0,"BOTA-FORA")</f>
        <v>0</v>
      </c>
      <c r="H61" s="923">
        <f t="shared" si="27"/>
        <v>0</v>
      </c>
      <c r="I61" s="923">
        <f t="shared" si="27"/>
        <v>0</v>
      </c>
      <c r="J61" s="923">
        <f t="shared" si="27"/>
        <v>0</v>
      </c>
      <c r="K61" s="923">
        <f t="shared" si="27"/>
        <v>0</v>
      </c>
      <c r="L61" s="923"/>
      <c r="M61" s="509"/>
      <c r="N61" s="1016">
        <f>COUNTA(F61:L61)-COUNTIF(F61:L61,0)</f>
        <v>0</v>
      </c>
    </row>
    <row r="62" spans="1:14" s="6" customFormat="1" ht="21.95" hidden="1" customHeight="1" x14ac:dyDescent="0.15">
      <c r="A62" s="2513"/>
      <c r="B62" s="2534"/>
      <c r="C62" s="542" t="s">
        <v>61</v>
      </c>
      <c r="D62" s="981"/>
      <c r="E62" s="1344"/>
      <c r="F62" s="2274">
        <f>Pav_Dados!G50</f>
        <v>0</v>
      </c>
      <c r="G62" s="2274">
        <f>Pav_Dados!H50</f>
        <v>0</v>
      </c>
      <c r="H62" s="2274">
        <f>Pav_Dados!I50</f>
        <v>0</v>
      </c>
      <c r="I62" s="2274">
        <f>Pav_Dados!J50</f>
        <v>0</v>
      </c>
      <c r="J62" s="2274">
        <f>Pav_Dados!K50</f>
        <v>0</v>
      </c>
      <c r="K62" s="2274">
        <f>Pav_Dados!L50</f>
        <v>0</v>
      </c>
      <c r="L62" s="2274"/>
      <c r="M62" s="1081">
        <f>TRUNC(SUM(F62:L62),2)</f>
        <v>0</v>
      </c>
      <c r="N62" s="578">
        <f>SUM(F62:M62)</f>
        <v>0</v>
      </c>
    </row>
    <row r="63" spans="1:14" s="6" customFormat="1" ht="21.95" hidden="1" customHeight="1" x14ac:dyDescent="0.15">
      <c r="A63" s="2513"/>
      <c r="B63" s="2534"/>
      <c r="C63" s="542" t="s">
        <v>1378</v>
      </c>
      <c r="D63" s="981"/>
      <c r="E63" s="1344"/>
      <c r="F63" s="8">
        <f>IF(F62=0,0,IF(Pav_Dados!G51=0,Pav_Dados!G53/(F62*F64),Pav_Dados!G51))</f>
        <v>0</v>
      </c>
      <c r="G63" s="8">
        <f>IF(G62=0,0,IF(Pav_Dados!H51=0,Pav_Dados!H53/(G62*G64),Pav_Dados!H51))</f>
        <v>0</v>
      </c>
      <c r="H63" s="8">
        <f>IF(H62=0,0,IF(Pav_Dados!I51=0,Pav_Dados!I53/(H62*H64),Pav_Dados!I51))</f>
        <v>0</v>
      </c>
      <c r="I63" s="8">
        <f>IF(I62=0,0,IF(Pav_Dados!J51=0,Pav_Dados!J53/(I62*I64),Pav_Dados!J51))</f>
        <v>0</v>
      </c>
      <c r="J63" s="8">
        <f>IF(J62=0,0,IF(Pav_Dados!K51=0,Pav_Dados!K53/(J62*J64),Pav_Dados!K51))</f>
        <v>0</v>
      </c>
      <c r="K63" s="8">
        <f>IF(K62=0,0,IF(Pav_Dados!L51=0,Pav_Dados!L53/(K62*K64),Pav_Dados!L51))</f>
        <v>0</v>
      </c>
      <c r="L63" s="8"/>
      <c r="M63" s="509"/>
      <c r="N63" s="578">
        <f>SUM(F63:M63)</f>
        <v>0</v>
      </c>
    </row>
    <row r="64" spans="1:14" s="6" customFormat="1" ht="21.95" hidden="1" customHeight="1" x14ac:dyDescent="0.15">
      <c r="A64" s="2513"/>
      <c r="B64" s="2534"/>
      <c r="C64" s="542" t="s">
        <v>169</v>
      </c>
      <c r="D64" s="981"/>
      <c r="E64" s="1344"/>
      <c r="F64" s="8">
        <f>Pav_Dados!G52</f>
        <v>0</v>
      </c>
      <c r="G64" s="8">
        <f>Pav_Dados!H52</f>
        <v>0</v>
      </c>
      <c r="H64" s="8">
        <f>Pav_Dados!I52</f>
        <v>0</v>
      </c>
      <c r="I64" s="8">
        <f>Pav_Dados!J52</f>
        <v>0</v>
      </c>
      <c r="J64" s="8">
        <f>Pav_Dados!K52</f>
        <v>0</v>
      </c>
      <c r="K64" s="8">
        <f>Pav_Dados!L52</f>
        <v>0</v>
      </c>
      <c r="L64" s="8"/>
      <c r="M64" s="509"/>
      <c r="N64" s="578">
        <f>SUM(F64:M64)</f>
        <v>0</v>
      </c>
    </row>
    <row r="65" spans="1:14" s="6" customFormat="1" ht="21.95" hidden="1" customHeight="1" x14ac:dyDescent="0.15">
      <c r="A65" s="2513"/>
      <c r="B65" s="2534"/>
      <c r="C65" s="542" t="s">
        <v>57</v>
      </c>
      <c r="D65" s="981"/>
      <c r="E65" s="1344"/>
      <c r="F65" s="8">
        <f>IF(F63&gt;0,(F62*F64)*F63,Pav_Dados!G53)</f>
        <v>0</v>
      </c>
      <c r="G65" s="8">
        <f>IF(G63&gt;0,(G62*G64)*G63,Pav_Dados!H53)</f>
        <v>0</v>
      </c>
      <c r="H65" s="8">
        <f>IF(H63&gt;0,(H62*H64)*H63,Pav_Dados!I53)</f>
        <v>0</v>
      </c>
      <c r="I65" s="8">
        <f>IF(I63&gt;0,(I62*I64)*I63,Pav_Dados!J53)</f>
        <v>0</v>
      </c>
      <c r="J65" s="8">
        <f>IF(J63&gt;0,(J62*J64)*J63,Pav_Dados!K53)</f>
        <v>0</v>
      </c>
      <c r="K65" s="8">
        <f>IF(K63&gt;0,(K62*K64)*K63,Pav_Dados!L53)</f>
        <v>0</v>
      </c>
      <c r="L65" s="8"/>
      <c r="M65" s="511">
        <f>TRUNC(SUM(F65:L65),2)</f>
        <v>0</v>
      </c>
      <c r="N65" s="578">
        <f>SUM(F65:M65)</f>
        <v>0</v>
      </c>
    </row>
    <row r="66" spans="1:14" s="6" customFormat="1" ht="21.95" hidden="1" customHeight="1" thickBot="1" x14ac:dyDescent="0.2">
      <c r="A66" s="2513"/>
      <c r="B66" s="2535"/>
      <c r="C66" s="543" t="s">
        <v>26</v>
      </c>
      <c r="D66" s="1376"/>
      <c r="E66" s="1269"/>
      <c r="F66" s="1071">
        <f t="shared" ref="F66" si="28">IF(F62=0,0,"BOTA-FORA")</f>
        <v>0</v>
      </c>
      <c r="G66" s="1071">
        <f t="shared" ref="G66:K66" si="29">IF(G62=0,0,"BOTA-FORA")</f>
        <v>0</v>
      </c>
      <c r="H66" s="1071">
        <f t="shared" si="29"/>
        <v>0</v>
      </c>
      <c r="I66" s="1071">
        <f t="shared" si="29"/>
        <v>0</v>
      </c>
      <c r="J66" s="1071">
        <f t="shared" si="29"/>
        <v>0</v>
      </c>
      <c r="K66" s="1071">
        <f t="shared" si="29"/>
        <v>0</v>
      </c>
      <c r="L66" s="1071"/>
      <c r="M66" s="509"/>
      <c r="N66" s="1016">
        <f>COUNTA(F66:L66)-COUNTIF(F66:L66,0)</f>
        <v>0</v>
      </c>
    </row>
    <row r="67" spans="1:14" s="6" customFormat="1" ht="21.95" hidden="1" customHeight="1" x14ac:dyDescent="0.15">
      <c r="A67" s="2513"/>
      <c r="B67" s="2533" t="s">
        <v>1327</v>
      </c>
      <c r="C67" s="541" t="s">
        <v>167</v>
      </c>
      <c r="D67" s="981"/>
      <c r="E67" s="1343"/>
      <c r="F67" s="216">
        <f>Pav_Dados!G54</f>
        <v>0</v>
      </c>
      <c r="G67" s="216">
        <f>Pav_Dados!H54</f>
        <v>0</v>
      </c>
      <c r="H67" s="216">
        <f>Pav_Dados!I54</f>
        <v>0</v>
      </c>
      <c r="I67" s="216">
        <f>Pav_Dados!J54</f>
        <v>0</v>
      </c>
      <c r="J67" s="216">
        <f>Pav_Dados!K54</f>
        <v>0</v>
      </c>
      <c r="K67" s="216">
        <f>Pav_Dados!L54</f>
        <v>0</v>
      </c>
      <c r="L67" s="216"/>
      <c r="M67" s="532">
        <f>TRUNC(SUM(F67:L67),2)</f>
        <v>0</v>
      </c>
      <c r="N67" s="578">
        <f>SUM(F67:M67)</f>
        <v>0</v>
      </c>
    </row>
    <row r="68" spans="1:14" s="6" customFormat="1" ht="21.95" hidden="1" customHeight="1" x14ac:dyDescent="0.15">
      <c r="A68" s="2513"/>
      <c r="B68" s="2534"/>
      <c r="C68" s="542" t="s">
        <v>1377</v>
      </c>
      <c r="D68" s="981"/>
      <c r="E68" s="1344"/>
      <c r="F68" s="8">
        <f>IF(F67=0,0,IF(Pav_Dados!G55=0,Pav_Dados!G57/(F67*F69),Pav_Dados!G55))</f>
        <v>0</v>
      </c>
      <c r="G68" s="8">
        <f>IF(G67=0,0,IF(Pav_Dados!H55=0,Pav_Dados!H57/(G67*G69),Pav_Dados!H55))</f>
        <v>0</v>
      </c>
      <c r="H68" s="8">
        <f>IF(H67=0,0,IF(Pav_Dados!I55=0,Pav_Dados!I57/(H67*H69),Pav_Dados!I55))</f>
        <v>0</v>
      </c>
      <c r="I68" s="8">
        <f>IF(I67=0,0,IF(Pav_Dados!J55=0,Pav_Dados!J57/(I67*I69),Pav_Dados!J55))</f>
        <v>0</v>
      </c>
      <c r="J68" s="8">
        <f>IF(J67=0,0,IF(Pav_Dados!K55=0,Pav_Dados!K57/(J67*J69),Pav_Dados!K55))</f>
        <v>0</v>
      </c>
      <c r="K68" s="8">
        <f>IF(K67=0,0,IF(Pav_Dados!L55=0,Pav_Dados!L57/(K67*K69),Pav_Dados!L55))</f>
        <v>0</v>
      </c>
      <c r="L68" s="8"/>
      <c r="M68" s="509"/>
      <c r="N68" s="578">
        <f>SUM(F68:M68)</f>
        <v>0</v>
      </c>
    </row>
    <row r="69" spans="1:14" s="6" customFormat="1" ht="21.95" hidden="1" customHeight="1" x14ac:dyDescent="0.15">
      <c r="A69" s="2513"/>
      <c r="B69" s="2534"/>
      <c r="C69" s="542" t="s">
        <v>168</v>
      </c>
      <c r="D69" s="981"/>
      <c r="E69" s="1344"/>
      <c r="F69" s="8">
        <f>Pav_Dados!G56</f>
        <v>0</v>
      </c>
      <c r="G69" s="8">
        <f>Pav_Dados!H56</f>
        <v>0</v>
      </c>
      <c r="H69" s="8">
        <f>Pav_Dados!I56</f>
        <v>0</v>
      </c>
      <c r="I69" s="8">
        <f>Pav_Dados!J56</f>
        <v>0</v>
      </c>
      <c r="J69" s="8">
        <f>Pav_Dados!K56</f>
        <v>0</v>
      </c>
      <c r="K69" s="8">
        <f>Pav_Dados!L56</f>
        <v>0</v>
      </c>
      <c r="L69" s="8"/>
      <c r="M69" s="509"/>
      <c r="N69" s="578">
        <f>SUM(F69:M69)</f>
        <v>0</v>
      </c>
    </row>
    <row r="70" spans="1:14" s="6" customFormat="1" ht="21.95" hidden="1" customHeight="1" x14ac:dyDescent="0.15">
      <c r="A70" s="2513"/>
      <c r="B70" s="2534"/>
      <c r="C70" s="542" t="s">
        <v>56</v>
      </c>
      <c r="D70" s="981"/>
      <c r="E70" s="1344"/>
      <c r="F70" s="8">
        <f>IF(F68&gt;0,(F67*F69)*F68,Pav_Dados!G57)</f>
        <v>0</v>
      </c>
      <c r="G70" s="8">
        <f>IF(G68&gt;0,(G67*G69)*G68,Pav_Dados!H57)</f>
        <v>0</v>
      </c>
      <c r="H70" s="8">
        <f>IF(H68&gt;0,(H67*H69)*H68,Pav_Dados!I57)</f>
        <v>0</v>
      </c>
      <c r="I70" s="8">
        <f>IF(I68&gt;0,(I67*I69)*I68,Pav_Dados!J57)</f>
        <v>0</v>
      </c>
      <c r="J70" s="8">
        <f>IF(J68&gt;0,(J67*J69)*J68,Pav_Dados!K57)</f>
        <v>0</v>
      </c>
      <c r="K70" s="8">
        <f>IF(K68&gt;0,(K67*K69)*K68,Pav_Dados!L57)</f>
        <v>0</v>
      </c>
      <c r="L70" s="8"/>
      <c r="M70" s="511">
        <f>TRUNC(SUM(F70:L70),2)</f>
        <v>0</v>
      </c>
      <c r="N70" s="578">
        <f>SUM(F70:M70)</f>
        <v>0</v>
      </c>
    </row>
    <row r="71" spans="1:14" s="6" customFormat="1" ht="21.95" hidden="1" customHeight="1" x14ac:dyDescent="0.15">
      <c r="A71" s="2513"/>
      <c r="B71" s="2833"/>
      <c r="C71" s="542" t="s">
        <v>26</v>
      </c>
      <c r="D71" s="1377"/>
      <c r="E71" s="1361"/>
      <c r="F71" s="923">
        <f t="shared" ref="F71" si="30">IF(F67=0,0,"BOTA-FORA")</f>
        <v>0</v>
      </c>
      <c r="G71" s="923">
        <f t="shared" ref="G71:K71" si="31">IF(G67=0,0,"BOTA-FORA")</f>
        <v>0</v>
      </c>
      <c r="H71" s="923">
        <f t="shared" si="31"/>
        <v>0</v>
      </c>
      <c r="I71" s="923">
        <f t="shared" si="31"/>
        <v>0</v>
      </c>
      <c r="J71" s="923">
        <f t="shared" si="31"/>
        <v>0</v>
      </c>
      <c r="K71" s="923">
        <f t="shared" si="31"/>
        <v>0</v>
      </c>
      <c r="L71" s="923"/>
      <c r="M71" s="2093"/>
      <c r="N71" s="1016">
        <f>COUNTA(F71:L71)-COUNTIF(F71:L71,0)</f>
        <v>0</v>
      </c>
    </row>
    <row r="72" spans="1:14" s="6" customFormat="1" ht="21.95" hidden="1" customHeight="1" x14ac:dyDescent="0.15">
      <c r="A72" s="2513"/>
      <c r="B72" s="2534"/>
      <c r="C72" s="543" t="s">
        <v>61</v>
      </c>
      <c r="D72" s="981"/>
      <c r="E72" s="1344"/>
      <c r="F72" s="2274">
        <f>Pav_Dados!G58</f>
        <v>0</v>
      </c>
      <c r="G72" s="2274">
        <f>Pav_Dados!H58</f>
        <v>0</v>
      </c>
      <c r="H72" s="2274">
        <f>Pav_Dados!I58</f>
        <v>0</v>
      </c>
      <c r="I72" s="2274">
        <f>Pav_Dados!J58</f>
        <v>0</v>
      </c>
      <c r="J72" s="2274">
        <f>Pav_Dados!K58</f>
        <v>0</v>
      </c>
      <c r="K72" s="2274">
        <f>Pav_Dados!L58</f>
        <v>0</v>
      </c>
      <c r="L72" s="2274"/>
      <c r="M72" s="1081">
        <f>TRUNC(SUM(F72:L72),2)</f>
        <v>0</v>
      </c>
      <c r="N72" s="578">
        <f>SUM(F72:M72)</f>
        <v>0</v>
      </c>
    </row>
    <row r="73" spans="1:14" s="6" customFormat="1" ht="21.95" hidden="1" customHeight="1" x14ac:dyDescent="0.15">
      <c r="A73" s="2513"/>
      <c r="B73" s="2534"/>
      <c r="C73" s="542" t="s">
        <v>1378</v>
      </c>
      <c r="D73" s="981"/>
      <c r="E73" s="1344"/>
      <c r="F73" s="8">
        <f>IF(F72=0,0,IF(Pav_Dados!G59=0,Pav_Dados!G61/(F72*F74),Pav_Dados!G59))</f>
        <v>0</v>
      </c>
      <c r="G73" s="8">
        <f>IF(G72=0,0,IF(Pav_Dados!H59=0,Pav_Dados!H61/(G72*G74),Pav_Dados!H59))</f>
        <v>0</v>
      </c>
      <c r="H73" s="8">
        <f>IF(H72=0,0,IF(Pav_Dados!I59=0,Pav_Dados!I61/(H72*H74),Pav_Dados!I59))</f>
        <v>0</v>
      </c>
      <c r="I73" s="8">
        <f>IF(I72=0,0,IF(Pav_Dados!J59=0,Pav_Dados!J61/(I72*I74),Pav_Dados!J59))</f>
        <v>0</v>
      </c>
      <c r="J73" s="8">
        <f>IF(J72=0,0,IF(Pav_Dados!K59=0,Pav_Dados!K61/(J72*J74),Pav_Dados!K59))</f>
        <v>0</v>
      </c>
      <c r="K73" s="8">
        <f>IF(K72=0,0,IF(Pav_Dados!L59=0,Pav_Dados!L61/(K72*K74),Pav_Dados!L59))</f>
        <v>0</v>
      </c>
      <c r="L73" s="8"/>
      <c r="M73" s="509"/>
      <c r="N73" s="578">
        <f>SUM(F73:M73)</f>
        <v>0</v>
      </c>
    </row>
    <row r="74" spans="1:14" s="6" customFormat="1" ht="21.95" hidden="1" customHeight="1" x14ac:dyDescent="0.15">
      <c r="A74" s="2513"/>
      <c r="B74" s="2534"/>
      <c r="C74" s="542" t="s">
        <v>169</v>
      </c>
      <c r="D74" s="981"/>
      <c r="E74" s="1344"/>
      <c r="F74" s="8">
        <f>Pav_Dados!G60</f>
        <v>0</v>
      </c>
      <c r="G74" s="8">
        <f>Pav_Dados!H60</f>
        <v>0</v>
      </c>
      <c r="H74" s="8">
        <f>Pav_Dados!I60</f>
        <v>0</v>
      </c>
      <c r="I74" s="8">
        <f>Pav_Dados!J60</f>
        <v>0</v>
      </c>
      <c r="J74" s="8">
        <f>Pav_Dados!K60</f>
        <v>0</v>
      </c>
      <c r="K74" s="8">
        <f>Pav_Dados!L60</f>
        <v>0</v>
      </c>
      <c r="L74" s="8"/>
      <c r="M74" s="509"/>
      <c r="N74" s="578">
        <f>SUM(F74:M74)</f>
        <v>0</v>
      </c>
    </row>
    <row r="75" spans="1:14" s="6" customFormat="1" ht="21.95" hidden="1" customHeight="1" x14ac:dyDescent="0.15">
      <c r="A75" s="2513"/>
      <c r="B75" s="2534"/>
      <c r="C75" s="542" t="s">
        <v>57</v>
      </c>
      <c r="D75" s="981"/>
      <c r="E75" s="1344"/>
      <c r="F75" s="8">
        <f>IF(F73&gt;0,(F72*F74)*F73,Pav_Dados!G61)</f>
        <v>0</v>
      </c>
      <c r="G75" s="8">
        <f>IF(G73&gt;0,(G72*G74)*G73,Pav_Dados!H61)</f>
        <v>0</v>
      </c>
      <c r="H75" s="8">
        <f>IF(H73&gt;0,(H72*H74)*H73,Pav_Dados!I61)</f>
        <v>0</v>
      </c>
      <c r="I75" s="8">
        <f>IF(I73&gt;0,(I72*I74)*I73,Pav_Dados!J61)</f>
        <v>0</v>
      </c>
      <c r="J75" s="8">
        <f>IF(J73&gt;0,(J72*J74)*J73,Pav_Dados!K61)</f>
        <v>0</v>
      </c>
      <c r="K75" s="8">
        <f>IF(K73&gt;0,(K72*K74)*K73,Pav_Dados!L61)</f>
        <v>0</v>
      </c>
      <c r="L75" s="8"/>
      <c r="M75" s="511">
        <f>TRUNC(SUM(F75:L75),2)</f>
        <v>0</v>
      </c>
      <c r="N75" s="578">
        <f>SUM(F75:M75)</f>
        <v>0</v>
      </c>
    </row>
    <row r="76" spans="1:14" s="6" customFormat="1" ht="21.95" hidden="1" customHeight="1" thickBot="1" x14ac:dyDescent="0.2">
      <c r="A76" s="2513"/>
      <c r="B76" s="2535"/>
      <c r="C76" s="543" t="s">
        <v>26</v>
      </c>
      <c r="D76" s="1376"/>
      <c r="E76" s="1269"/>
      <c r="F76" s="1071">
        <f t="shared" ref="F76" si="32">IF(F72=0,0,"BOTA-FORA")</f>
        <v>0</v>
      </c>
      <c r="G76" s="1071">
        <f t="shared" ref="G76:K76" si="33">IF(G72=0,0,"BOTA-FORA")</f>
        <v>0</v>
      </c>
      <c r="H76" s="1071">
        <f t="shared" si="33"/>
        <v>0</v>
      </c>
      <c r="I76" s="1071">
        <f t="shared" si="33"/>
        <v>0</v>
      </c>
      <c r="J76" s="1071">
        <f t="shared" si="33"/>
        <v>0</v>
      </c>
      <c r="K76" s="1071">
        <f t="shared" si="33"/>
        <v>0</v>
      </c>
      <c r="L76" s="1071"/>
      <c r="M76" s="509"/>
      <c r="N76" s="1016">
        <f>COUNTA(F76:L76)-COUNTIF(F76:L76,0)</f>
        <v>0</v>
      </c>
    </row>
    <row r="77" spans="1:14" s="6" customFormat="1" ht="21.95" hidden="1" customHeight="1" x14ac:dyDescent="0.15">
      <c r="A77" s="2513"/>
      <c r="B77" s="2828" t="s">
        <v>15</v>
      </c>
      <c r="C77" s="541" t="s">
        <v>167</v>
      </c>
      <c r="D77" s="1061"/>
      <c r="E77" s="1343"/>
      <c r="F77" s="216">
        <f>IF(SUM(Pav_Dados!G63:G64)=0,0,+Pav_Dados!G62)</f>
        <v>0</v>
      </c>
      <c r="G77" s="216">
        <f>IF(SUM(Pav_Dados!H63:H64)=0,0,+Pav_Dados!H62)</f>
        <v>0</v>
      </c>
      <c r="H77" s="216">
        <f>IF(SUM(Pav_Dados!I63:I64)=0,0,+Pav_Dados!I62)</f>
        <v>0</v>
      </c>
      <c r="I77" s="216">
        <f>IF(SUM(Pav_Dados!J63:J64)=0,0,+Pav_Dados!J62)</f>
        <v>0</v>
      </c>
      <c r="J77" s="216">
        <f>IF(SUM(Pav_Dados!K63:K64)=0,0,+Pav_Dados!K62)</f>
        <v>0</v>
      </c>
      <c r="K77" s="216">
        <f>IF(SUM(Pav_Dados!L63:L64)=0,0,+Pav_Dados!L62)</f>
        <v>0</v>
      </c>
      <c r="L77" s="216"/>
      <c r="M77" s="1300"/>
      <c r="N77" s="578">
        <f t="shared" ref="N77:N83" si="34">SUM(F77:M77)</f>
        <v>0</v>
      </c>
    </row>
    <row r="78" spans="1:14" s="6" customFormat="1" ht="21.95" hidden="1" customHeight="1" x14ac:dyDescent="0.15">
      <c r="A78" s="2513"/>
      <c r="B78" s="2829"/>
      <c r="C78" s="542" t="s">
        <v>1379</v>
      </c>
      <c r="D78" s="1061"/>
      <c r="E78" s="1344"/>
      <c r="F78" s="8">
        <f>IF(F77=0,0,IF(Pav_Dados!G63=0,Pav_Dados!G64/(F77*F79),Pav_Dados!G63))</f>
        <v>0</v>
      </c>
      <c r="G78" s="8">
        <f>IF(G77=0,0,IF(Pav_Dados!H63=0,Pav_Dados!H64/(G77*G79),Pav_Dados!H63))</f>
        <v>0</v>
      </c>
      <c r="H78" s="8">
        <f>IF(H77=0,0,IF(Pav_Dados!I63=0,Pav_Dados!I64/(H77*H79),Pav_Dados!I63))</f>
        <v>0</v>
      </c>
      <c r="I78" s="8">
        <f>IF(I77=0,0,IF(Pav_Dados!J63=0,Pav_Dados!J64/(I77*I79),Pav_Dados!J63))</f>
        <v>0</v>
      </c>
      <c r="J78" s="8">
        <f>IF(J77=0,0,IF(Pav_Dados!K63=0,Pav_Dados!K64/(J77*J79),Pav_Dados!K63))</f>
        <v>0</v>
      </c>
      <c r="K78" s="8">
        <f>IF(K77=0,0,IF(Pav_Dados!L63=0,Pav_Dados!L64/(K77*K79),Pav_Dados!L63))</f>
        <v>0</v>
      </c>
      <c r="L78" s="8"/>
      <c r="M78" s="493"/>
      <c r="N78" s="578">
        <f t="shared" si="34"/>
        <v>0</v>
      </c>
    </row>
    <row r="79" spans="1:14" s="6" customFormat="1" ht="21.95" hidden="1" customHeight="1" x14ac:dyDescent="0.15">
      <c r="A79" s="2513"/>
      <c r="B79" s="2829"/>
      <c r="C79" s="542" t="s">
        <v>168</v>
      </c>
      <c r="D79" s="1061"/>
      <c r="E79" s="1344"/>
      <c r="F79" s="8">
        <f>IF(F77=0,0,Pav_Estrutura!G9)</f>
        <v>0</v>
      </c>
      <c r="G79" s="8">
        <f>IF(G77=0,0,Pav_Estrutura!H9)</f>
        <v>0</v>
      </c>
      <c r="H79" s="8">
        <f>IF(H77=0,0,Pav_Estrutura!I9)</f>
        <v>0</v>
      </c>
      <c r="I79" s="8">
        <f>IF(I77=0,0,Pav_Estrutura!J9)</f>
        <v>0</v>
      </c>
      <c r="J79" s="8">
        <f>IF(J77=0,0,Pav_Estrutura!K9)</f>
        <v>0</v>
      </c>
      <c r="K79" s="8">
        <f>IF(K77=0,0,Pav_Estrutura!L9)</f>
        <v>0</v>
      </c>
      <c r="L79" s="8"/>
      <c r="M79" s="493"/>
      <c r="N79" s="578">
        <f t="shared" si="34"/>
        <v>0</v>
      </c>
    </row>
    <row r="80" spans="1:14" s="6" customFormat="1" ht="21.95" hidden="1" customHeight="1" thickBot="1" x14ac:dyDescent="0.2">
      <c r="A80" s="2513"/>
      <c r="B80" s="2611"/>
      <c r="C80" s="557" t="s">
        <v>29</v>
      </c>
      <c r="D80" s="1061"/>
      <c r="E80" s="1344"/>
      <c r="F80" s="8">
        <f>IF(F77=0,0,Pav_Estrutura!G11)</f>
        <v>0</v>
      </c>
      <c r="G80" s="8">
        <f>IF(G77=0,0,Pav_Estrutura!H11)</f>
        <v>0</v>
      </c>
      <c r="H80" s="8">
        <f>IF(H77=0,0,Pav_Estrutura!I11)</f>
        <v>0</v>
      </c>
      <c r="I80" s="8">
        <f>IF(I77=0,0,Pav_Estrutura!J11)</f>
        <v>0</v>
      </c>
      <c r="J80" s="8">
        <f>IF(J77=0,0,Pav_Estrutura!K11)</f>
        <v>0</v>
      </c>
      <c r="K80" s="8">
        <f>IF(K77=0,0,Pav_Estrutura!L11)</f>
        <v>0</v>
      </c>
      <c r="L80" s="8"/>
      <c r="M80" s="493"/>
      <c r="N80" s="578">
        <f t="shared" si="34"/>
        <v>0</v>
      </c>
    </row>
    <row r="81" spans="1:14" s="6" customFormat="1" ht="21.95" customHeight="1" thickBot="1" x14ac:dyDescent="0.2">
      <c r="A81" s="2513"/>
      <c r="B81" s="2828"/>
      <c r="C81" s="541" t="s">
        <v>56</v>
      </c>
      <c r="D81" s="1061"/>
      <c r="E81" s="1344"/>
      <c r="F81" s="216">
        <f>IF(Pav_Dados!G64=0,F80*F78,Pav_Dados!G64)</f>
        <v>538.22500000000002</v>
      </c>
      <c r="G81" s="216">
        <f>IF(Pav_Dados!H64=0,G80*G78,Pav_Dados!H64)</f>
        <v>1805.95</v>
      </c>
      <c r="H81" s="216">
        <f>IF(Pav_Dados!I64=0,H80*H78,Pav_Dados!I64)</f>
        <v>425.89299999999997</v>
      </c>
      <c r="I81" s="216">
        <f>IF(Pav_Dados!J64=0,I80*I78,Pav_Dados!J64)</f>
        <v>204.77199999999999</v>
      </c>
      <c r="J81" s="216">
        <f>IF(Pav_Dados!K64=0,J80*J78,Pav_Dados!K64)</f>
        <v>310.69499999999999</v>
      </c>
      <c r="K81" s="216">
        <f>IF(Pav_Dados!L64=0,K80*K78,Pav_Dados!L64)</f>
        <v>2456.8159999999998</v>
      </c>
      <c r="L81" s="216"/>
      <c r="M81" s="1300">
        <f>TRUNC(SUM(F81:L81),2)</f>
        <v>5742.35</v>
      </c>
      <c r="N81" s="578">
        <f t="shared" si="34"/>
        <v>11484.701000000001</v>
      </c>
    </row>
    <row r="82" spans="1:14" s="6" customFormat="1" ht="21.95" hidden="1" customHeight="1" x14ac:dyDescent="0.15">
      <c r="A82" s="2513"/>
      <c r="B82" s="2829"/>
      <c r="C82" s="542" t="s">
        <v>1328</v>
      </c>
      <c r="D82" s="1061"/>
      <c r="E82" s="1344"/>
      <c r="F82" s="2225"/>
      <c r="G82" s="2225"/>
      <c r="H82" s="2225"/>
      <c r="I82" s="2225"/>
      <c r="J82" s="2225"/>
      <c r="K82" s="2225"/>
      <c r="L82" s="2225"/>
      <c r="M82" s="493">
        <f>TRUNC(SUM(F82:L82),2)</f>
        <v>0</v>
      </c>
      <c r="N82" s="578">
        <f t="shared" si="34"/>
        <v>0</v>
      </c>
    </row>
    <row r="83" spans="1:14" s="6" customFormat="1" ht="21.95" hidden="1" customHeight="1" x14ac:dyDescent="0.15">
      <c r="A83" s="2513"/>
      <c r="B83" s="2829"/>
      <c r="C83" s="542" t="s">
        <v>1329</v>
      </c>
      <c r="D83" s="1061"/>
      <c r="E83" s="1344"/>
      <c r="F83" s="8">
        <f t="shared" ref="F83" si="35">F82*F81</f>
        <v>0</v>
      </c>
      <c r="G83" s="8">
        <f t="shared" ref="G83:K83" si="36">G82*G81</f>
        <v>0</v>
      </c>
      <c r="H83" s="8">
        <f t="shared" si="36"/>
        <v>0</v>
      </c>
      <c r="I83" s="8">
        <f t="shared" si="36"/>
        <v>0</v>
      </c>
      <c r="J83" s="8">
        <f t="shared" si="36"/>
        <v>0</v>
      </c>
      <c r="K83" s="8">
        <f t="shared" si="36"/>
        <v>0</v>
      </c>
      <c r="L83" s="8"/>
      <c r="M83" s="493">
        <f>TRUNC(SUM(F83:L83),2)</f>
        <v>0</v>
      </c>
      <c r="N83" s="578">
        <f t="shared" si="34"/>
        <v>0</v>
      </c>
    </row>
    <row r="84" spans="1:14" s="6" customFormat="1" ht="21.95" hidden="1" customHeight="1" x14ac:dyDescent="0.15">
      <c r="A84" s="2513"/>
      <c r="B84" s="2829"/>
      <c r="C84" s="542" t="s">
        <v>2648</v>
      </c>
      <c r="D84" s="1061"/>
      <c r="E84" s="1344"/>
      <c r="F84" s="8"/>
      <c r="G84" s="8"/>
      <c r="H84" s="8"/>
      <c r="I84" s="8"/>
      <c r="J84" s="8"/>
      <c r="K84" s="8"/>
      <c r="L84" s="8"/>
      <c r="M84" s="493"/>
      <c r="N84" s="578"/>
    </row>
    <row r="85" spans="1:14" s="6" customFormat="1" ht="21.95" hidden="1" customHeight="1" x14ac:dyDescent="0.15">
      <c r="A85" s="2513"/>
      <c r="B85" s="2829"/>
      <c r="C85" s="542" t="s">
        <v>2644</v>
      </c>
      <c r="D85" s="1061"/>
      <c r="E85" s="1344"/>
      <c r="F85" s="8"/>
      <c r="G85" s="8"/>
      <c r="H85" s="8"/>
      <c r="I85" s="8"/>
      <c r="J85" s="8"/>
      <c r="K85" s="8"/>
      <c r="L85" s="8"/>
      <c r="M85" s="594">
        <f>SUM(F85:L85)</f>
        <v>0</v>
      </c>
      <c r="N85" s="578">
        <f t="shared" ref="N85:N95" si="37">SUM(F85:M85)</f>
        <v>0</v>
      </c>
    </row>
    <row r="86" spans="1:14" s="6" customFormat="1" ht="21.95" hidden="1" customHeight="1" thickBot="1" x14ac:dyDescent="0.2">
      <c r="A86" s="2513"/>
      <c r="B86" s="2611"/>
      <c r="C86" s="542" t="s">
        <v>2645</v>
      </c>
      <c r="D86" s="1061"/>
      <c r="E86" s="1344"/>
      <c r="F86" s="158">
        <f t="shared" ref="F86" si="38">+F85*F83</f>
        <v>0</v>
      </c>
      <c r="G86" s="158">
        <f t="shared" ref="G86:K86" si="39">+G85*G83</f>
        <v>0</v>
      </c>
      <c r="H86" s="158">
        <f t="shared" si="39"/>
        <v>0</v>
      </c>
      <c r="I86" s="158">
        <f t="shared" si="39"/>
        <v>0</v>
      </c>
      <c r="J86" s="158">
        <f t="shared" si="39"/>
        <v>0</v>
      </c>
      <c r="K86" s="158">
        <f t="shared" si="39"/>
        <v>0</v>
      </c>
      <c r="L86" s="158"/>
      <c r="M86" s="350">
        <f>IF(M83=0,0,ROUND(SUM(F86:L86),1)/M83)</f>
        <v>0</v>
      </c>
      <c r="N86" s="578">
        <f t="shared" si="37"/>
        <v>0</v>
      </c>
    </row>
    <row r="87" spans="1:14" s="6" customFormat="1" ht="21.95" customHeight="1" thickBot="1" x14ac:dyDescent="0.2">
      <c r="A87" s="2513"/>
      <c r="B87" s="2828"/>
      <c r="C87" s="542" t="s">
        <v>1330</v>
      </c>
      <c r="D87" s="1062"/>
      <c r="E87" s="1361"/>
      <c r="F87" s="1072">
        <f t="shared" ref="F87" si="40">F81-F83</f>
        <v>538.22500000000002</v>
      </c>
      <c r="G87" s="1072">
        <f t="shared" ref="G87:K87" si="41">G81-G83</f>
        <v>1805.95</v>
      </c>
      <c r="H87" s="1072">
        <f t="shared" si="41"/>
        <v>425.89299999999997</v>
      </c>
      <c r="I87" s="1072">
        <f t="shared" si="41"/>
        <v>204.77199999999999</v>
      </c>
      <c r="J87" s="1072">
        <f t="shared" si="41"/>
        <v>310.69499999999999</v>
      </c>
      <c r="K87" s="1072">
        <f t="shared" si="41"/>
        <v>2456.8159999999998</v>
      </c>
      <c r="L87" s="1072"/>
      <c r="M87" s="1301">
        <f t="shared" ref="M87:M93" si="42">TRUNC(SUM(F87:L87),2)</f>
        <v>5742.35</v>
      </c>
      <c r="N87" s="578">
        <f t="shared" si="37"/>
        <v>11484.701000000001</v>
      </c>
    </row>
    <row r="88" spans="1:14" s="6" customFormat="1" ht="21.95" hidden="1" customHeight="1" x14ac:dyDescent="0.15">
      <c r="A88" s="2513"/>
      <c r="B88" s="2829"/>
      <c r="C88" s="543" t="s">
        <v>61</v>
      </c>
      <c r="D88" s="1063"/>
      <c r="E88" s="1362"/>
      <c r="F88" s="2274">
        <f>IF(SUM(Pav_Dados!G66:G68)=0,0,+Pav_Dados!G65)</f>
        <v>0</v>
      </c>
      <c r="G88" s="2274">
        <f>IF(SUM(Pav_Dados!H66:H68)=0,0,+Pav_Dados!H65)</f>
        <v>0</v>
      </c>
      <c r="H88" s="2274">
        <f>IF(SUM(Pav_Dados!I66:I68)=0,0,+Pav_Dados!I65)</f>
        <v>0</v>
      </c>
      <c r="I88" s="2274">
        <f>IF(SUM(Pav_Dados!J66:J68)=0,0,+Pav_Dados!J65)</f>
        <v>0</v>
      </c>
      <c r="J88" s="2274">
        <f>IF(SUM(Pav_Dados!K66:K68)=0,0,+Pav_Dados!K65)</f>
        <v>0</v>
      </c>
      <c r="K88" s="2274">
        <f>IF(SUM(Pav_Dados!L66:L68)=0,0,+Pav_Dados!L65)</f>
        <v>0</v>
      </c>
      <c r="L88" s="2274"/>
      <c r="M88" s="493">
        <f t="shared" si="42"/>
        <v>0</v>
      </c>
      <c r="N88" s="578">
        <f t="shared" si="37"/>
        <v>0</v>
      </c>
    </row>
    <row r="89" spans="1:14" s="6" customFormat="1" ht="21.95" hidden="1" customHeight="1" x14ac:dyDescent="0.15">
      <c r="A89" s="2513"/>
      <c r="B89" s="2829"/>
      <c r="C89" s="542" t="s">
        <v>1380</v>
      </c>
      <c r="D89" s="1061"/>
      <c r="E89" s="1344"/>
      <c r="F89" s="8">
        <f>IF(F88=0,0,IF(Pav_Dados!G66&gt;0,Pav_Dados!G66,(-F90+(F90^2+6*(Pav_Dados!G68/F88))^(1/2))/3/F88))</f>
        <v>0</v>
      </c>
      <c r="G89" s="8">
        <f>IF(G88=0,0,IF(Pav_Dados!H66&gt;0,Pav_Dados!H66,(-G90+(G90^2+6*(Pav_Dados!H68/G88))^(1/2))/3/G88))</f>
        <v>0</v>
      </c>
      <c r="H89" s="8">
        <f>IF(H88=0,0,IF(Pav_Dados!I66&gt;0,Pav_Dados!I66,(-H90+(H90^2+6*(Pav_Dados!I68/H88))^(1/2))/3/H88))</f>
        <v>0</v>
      </c>
      <c r="I89" s="8">
        <f>IF(I88=0,0,IF(Pav_Dados!J66&gt;0,Pav_Dados!J66,(-I90+(I90^2+6*(Pav_Dados!J68/I88))^(1/2))/3/I88))</f>
        <v>0</v>
      </c>
      <c r="J89" s="8">
        <f>IF(J88=0,0,IF(Pav_Dados!K66&gt;0,Pav_Dados!K66,(-J90+(J90^2+6*(Pav_Dados!K68/J88))^(1/2))/3/J88))</f>
        <v>0</v>
      </c>
      <c r="K89" s="8">
        <f>IF(K88=0,0,IF(Pav_Dados!L66&gt;0,Pav_Dados!L66,(-K90+(K90^2+6*(Pav_Dados!L68/K88))^(1/2))/3/K88))</f>
        <v>0</v>
      </c>
      <c r="L89" s="8"/>
      <c r="M89" s="493">
        <f t="shared" si="42"/>
        <v>0</v>
      </c>
      <c r="N89" s="578">
        <f t="shared" si="37"/>
        <v>0</v>
      </c>
    </row>
    <row r="90" spans="1:14" s="6" customFormat="1" ht="21.95" hidden="1" customHeight="1" x14ac:dyDescent="0.15">
      <c r="A90" s="2513"/>
      <c r="B90" s="2829"/>
      <c r="C90" s="542" t="s">
        <v>1332</v>
      </c>
      <c r="D90" s="1061"/>
      <c r="E90" s="1344"/>
      <c r="F90" s="8">
        <f>IF(F88=0,0,IF(Pav_Dados!G67&gt;0,Pav_Dados!G67,Pav_Estrutura!N9))</f>
        <v>0</v>
      </c>
      <c r="G90" s="8">
        <f>IF(G88=0,0,IF(Pav_Dados!H67&gt;0,Pav_Dados!H67,Pav_Estrutura!O9))</f>
        <v>0</v>
      </c>
      <c r="H90" s="8">
        <f>IF(H88=0,0,IF(Pav_Dados!I67&gt;0,Pav_Dados!I67,Pav_Estrutura!P9))</f>
        <v>0</v>
      </c>
      <c r="I90" s="8">
        <f>IF(I88=0,0,IF(Pav_Dados!J67&gt;0,Pav_Dados!J67,Pav_Estrutura!Q9))</f>
        <v>0</v>
      </c>
      <c r="J90" s="8">
        <f>IF(J88=0,0,IF(Pav_Dados!K67&gt;0,Pav_Dados!K67,Pav_Estrutura!R9))</f>
        <v>0</v>
      </c>
      <c r="K90" s="8">
        <f>IF(K88=0,0,IF(Pav_Dados!L67&gt;0,Pav_Dados!L67,Pav_Estrutura!S9))</f>
        <v>0</v>
      </c>
      <c r="L90" s="8"/>
      <c r="M90" s="493">
        <f t="shared" si="42"/>
        <v>0</v>
      </c>
      <c r="N90" s="578">
        <f t="shared" si="37"/>
        <v>0</v>
      </c>
    </row>
    <row r="91" spans="1:14" s="6" customFormat="1" ht="21.95" hidden="1" customHeight="1" x14ac:dyDescent="0.15">
      <c r="A91" s="2513"/>
      <c r="B91" s="2829"/>
      <c r="C91" s="542" t="s">
        <v>1333</v>
      </c>
      <c r="D91" s="1061"/>
      <c r="E91" s="1344"/>
      <c r="F91" s="8">
        <f t="shared" ref="F91" si="43">IF(F88=0,0,F88*F90)</f>
        <v>0</v>
      </c>
      <c r="G91" s="8">
        <f t="shared" ref="G91:K91" si="44">IF(G88=0,0,G88*G90)</f>
        <v>0</v>
      </c>
      <c r="H91" s="8">
        <f t="shared" si="44"/>
        <v>0</v>
      </c>
      <c r="I91" s="8">
        <f t="shared" si="44"/>
        <v>0</v>
      </c>
      <c r="J91" s="8">
        <f t="shared" si="44"/>
        <v>0</v>
      </c>
      <c r="K91" s="8">
        <f t="shared" si="44"/>
        <v>0</v>
      </c>
      <c r="L91" s="8"/>
      <c r="M91" s="493">
        <f t="shared" si="42"/>
        <v>0</v>
      </c>
      <c r="N91" s="578">
        <f t="shared" si="37"/>
        <v>0</v>
      </c>
    </row>
    <row r="92" spans="1:14" s="6" customFormat="1" ht="21.95" hidden="1" customHeight="1" thickBot="1" x14ac:dyDescent="0.2">
      <c r="A92" s="2513"/>
      <c r="B92" s="2611"/>
      <c r="C92" s="542" t="s">
        <v>1334</v>
      </c>
      <c r="D92" s="1061"/>
      <c r="E92" s="1344"/>
      <c r="F92" s="8">
        <f t="shared" ref="F92" si="45">IF(F88=0,0,F88*(F89*3+F90))</f>
        <v>0</v>
      </c>
      <c r="G92" s="8">
        <f t="shared" ref="G92:K92" si="46">IF(G88=0,0,G88*(G89*3+G90))</f>
        <v>0</v>
      </c>
      <c r="H92" s="8">
        <f t="shared" si="46"/>
        <v>0</v>
      </c>
      <c r="I92" s="8">
        <f t="shared" si="46"/>
        <v>0</v>
      </c>
      <c r="J92" s="8">
        <f t="shared" si="46"/>
        <v>0</v>
      </c>
      <c r="K92" s="8">
        <f t="shared" si="46"/>
        <v>0</v>
      </c>
      <c r="L92" s="8"/>
      <c r="M92" s="493">
        <f t="shared" si="42"/>
        <v>0</v>
      </c>
      <c r="N92" s="578">
        <f t="shared" si="37"/>
        <v>0</v>
      </c>
    </row>
    <row r="93" spans="1:14" s="6" customFormat="1" ht="21.95" customHeight="1" thickBot="1" x14ac:dyDescent="0.2">
      <c r="A93" s="2513"/>
      <c r="B93" s="2714"/>
      <c r="C93" s="545" t="s">
        <v>57</v>
      </c>
      <c r="D93" s="982"/>
      <c r="E93" s="1269"/>
      <c r="F93" s="215">
        <f>IF(Pav_Dados!G68&gt;0,Pav_Dados!G68,(F91+F92)/2*F89)</f>
        <v>0</v>
      </c>
      <c r="G93" s="215">
        <f>IF(Pav_Dados!H68&gt;0,Pav_Dados!H68,(G91+G92)/2*G89)</f>
        <v>2.294</v>
      </c>
      <c r="H93" s="215">
        <f>IF(Pav_Dados!I68&gt;0,Pav_Dados!I68,(H91+H92)/2*H89)</f>
        <v>0.09</v>
      </c>
      <c r="I93" s="215">
        <f>IF(Pav_Dados!J68&gt;0,Pav_Dados!J68,(I91+I92)/2*I89)</f>
        <v>1.071</v>
      </c>
      <c r="J93" s="215">
        <f>IF(Pav_Dados!K68&gt;0,Pav_Dados!K68,(J91+J92)/2*J89)</f>
        <v>0</v>
      </c>
      <c r="K93" s="215">
        <f>IF(Pav_Dados!L68&gt;0,Pav_Dados!L68,(K91+K92)/2*K89)</f>
        <v>3.5</v>
      </c>
      <c r="L93" s="215"/>
      <c r="M93" s="671">
        <f t="shared" si="42"/>
        <v>6.95</v>
      </c>
      <c r="N93" s="578">
        <f t="shared" si="37"/>
        <v>13.905000000000001</v>
      </c>
    </row>
    <row r="94" spans="1:14" s="6" customFormat="1" ht="21.95" customHeight="1" x14ac:dyDescent="0.15">
      <c r="A94" s="2513"/>
      <c r="B94" s="2533" t="s">
        <v>1342</v>
      </c>
      <c r="C94" s="546" t="s">
        <v>1343</v>
      </c>
      <c r="D94" s="981"/>
      <c r="E94" s="1344"/>
      <c r="F94" s="8">
        <f t="shared" ref="F94" si="47">(F46+F65+F75+F93)</f>
        <v>0</v>
      </c>
      <c r="G94" s="8">
        <f t="shared" ref="G94:K94" si="48">(G46+G65+G75+G93)</f>
        <v>2.294</v>
      </c>
      <c r="H94" s="8">
        <f t="shared" si="48"/>
        <v>0.09</v>
      </c>
      <c r="I94" s="8">
        <f t="shared" si="48"/>
        <v>1.071</v>
      </c>
      <c r="J94" s="8">
        <f t="shared" si="48"/>
        <v>0</v>
      </c>
      <c r="K94" s="8">
        <f t="shared" si="48"/>
        <v>3.5</v>
      </c>
      <c r="L94" s="8"/>
      <c r="M94" s="493">
        <f>SUM(F94:L94)</f>
        <v>6.9550000000000001</v>
      </c>
      <c r="N94" s="578">
        <f t="shared" si="37"/>
        <v>13.91</v>
      </c>
    </row>
    <row r="95" spans="1:14" s="6" customFormat="1" ht="21.95" customHeight="1" x14ac:dyDescent="0.15">
      <c r="A95" s="2513"/>
      <c r="B95" s="2534"/>
      <c r="C95" s="542" t="s">
        <v>1466</v>
      </c>
      <c r="D95" s="981"/>
      <c r="E95" s="1344"/>
      <c r="F95" s="8">
        <f t="shared" ref="F95" si="49">F94*1.25</f>
        <v>0</v>
      </c>
      <c r="G95" s="8">
        <f t="shared" ref="G95:K95" si="50">G94*1.25</f>
        <v>2.8675000000000002</v>
      </c>
      <c r="H95" s="8">
        <f t="shared" si="50"/>
        <v>0.11249999999999999</v>
      </c>
      <c r="I95" s="8">
        <f t="shared" si="50"/>
        <v>1.3387499999999999</v>
      </c>
      <c r="J95" s="8">
        <f t="shared" si="50"/>
        <v>0</v>
      </c>
      <c r="K95" s="8">
        <f t="shared" si="50"/>
        <v>4.375</v>
      </c>
      <c r="L95" s="8"/>
      <c r="M95" s="493">
        <f>SUM(F95:L95)</f>
        <v>8.6937499999999996</v>
      </c>
      <c r="N95" s="578">
        <f t="shared" si="37"/>
        <v>17.387499999999999</v>
      </c>
    </row>
    <row r="96" spans="1:14" s="6" customFormat="1" ht="21.95" customHeight="1" x14ac:dyDescent="0.15">
      <c r="A96" s="2513"/>
      <c r="B96" s="2534"/>
      <c r="C96" s="557" t="s">
        <v>1340</v>
      </c>
      <c r="D96" s="981"/>
      <c r="E96" s="1344"/>
      <c r="F96" s="1073"/>
      <c r="G96" s="1073" t="s">
        <v>2810</v>
      </c>
      <c r="H96" s="1073" t="s">
        <v>2810</v>
      </c>
      <c r="I96" s="1073" t="s">
        <v>2810</v>
      </c>
      <c r="J96" s="1073"/>
      <c r="K96" s="1073" t="s">
        <v>2810</v>
      </c>
      <c r="L96" s="1073"/>
      <c r="M96" s="1076"/>
      <c r="N96" s="1016">
        <f>COUNTA(F96:L96)-COUNTIF(F96:L96,0)</f>
        <v>4</v>
      </c>
    </row>
    <row r="97" spans="1:18" s="6" customFormat="1" ht="21.95" customHeight="1" thickBot="1" x14ac:dyDescent="0.2">
      <c r="A97" s="2513"/>
      <c r="B97" s="2535"/>
      <c r="C97" s="557" t="s">
        <v>1335</v>
      </c>
      <c r="D97" s="981"/>
      <c r="E97" s="1344"/>
      <c r="F97" s="423"/>
      <c r="G97" s="423">
        <f>+G95</f>
        <v>2.8675000000000002</v>
      </c>
      <c r="H97" s="423">
        <f>+H95</f>
        <v>0.11249999999999999</v>
      </c>
      <c r="I97" s="423">
        <f>+I95</f>
        <v>1.3387499999999999</v>
      </c>
      <c r="J97" s="423"/>
      <c r="K97" s="423">
        <f>+K95</f>
        <v>4.375</v>
      </c>
      <c r="L97" s="423"/>
      <c r="M97" s="1301">
        <f>SUM(F97:L97)</f>
        <v>8.6937499999999996</v>
      </c>
      <c r="N97" s="578">
        <f>SUM(F97:M97)</f>
        <v>17.387499999999999</v>
      </c>
    </row>
    <row r="98" spans="1:18" s="6" customFormat="1" ht="21.95" hidden="1" customHeight="1" x14ac:dyDescent="0.15">
      <c r="A98" s="2513"/>
      <c r="B98" s="2534"/>
      <c r="C98" s="557" t="s">
        <v>27</v>
      </c>
      <c r="D98" s="981"/>
      <c r="E98" s="1344"/>
      <c r="F98" s="1074"/>
      <c r="G98" s="1074"/>
      <c r="H98" s="1074"/>
      <c r="I98" s="1074"/>
      <c r="J98" s="1074"/>
      <c r="K98" s="1074"/>
      <c r="L98" s="1074"/>
      <c r="M98" s="493"/>
      <c r="N98" s="1016">
        <f>COUNTA(F98:L98)</f>
        <v>0</v>
      </c>
    </row>
    <row r="99" spans="1:18" s="6" customFormat="1" ht="21.95" hidden="1" customHeight="1" x14ac:dyDescent="0.15">
      <c r="A99" s="2513"/>
      <c r="B99" s="2534"/>
      <c r="C99" s="557" t="s">
        <v>1335</v>
      </c>
      <c r="D99" s="981"/>
      <c r="E99" s="1344"/>
      <c r="F99" s="162"/>
      <c r="G99" s="162"/>
      <c r="H99" s="162"/>
      <c r="I99" s="162"/>
      <c r="J99" s="162"/>
      <c r="K99" s="162"/>
      <c r="L99" s="162"/>
      <c r="M99" s="493">
        <f>SUM(F99:L99)</f>
        <v>0</v>
      </c>
      <c r="N99" s="578">
        <f>SUM(F99:M99)</f>
        <v>0</v>
      </c>
    </row>
    <row r="100" spans="1:18" s="6" customFormat="1" ht="21.95" hidden="1" customHeight="1" x14ac:dyDescent="0.15">
      <c r="A100" s="2513"/>
      <c r="B100" s="2534"/>
      <c r="C100" s="557" t="s">
        <v>27</v>
      </c>
      <c r="D100" s="981"/>
      <c r="E100" s="1344"/>
      <c r="F100" s="1073"/>
      <c r="G100" s="1073"/>
      <c r="H100" s="1073"/>
      <c r="I100" s="1073"/>
      <c r="J100" s="1073"/>
      <c r="K100" s="1073"/>
      <c r="L100" s="1073"/>
      <c r="M100" s="1076"/>
      <c r="N100" s="1016">
        <f>COUNTA(F100:L100)</f>
        <v>0</v>
      </c>
    </row>
    <row r="101" spans="1:18" s="6" customFormat="1" ht="21.95" hidden="1" customHeight="1" x14ac:dyDescent="0.15">
      <c r="A101" s="2513"/>
      <c r="B101" s="2534"/>
      <c r="C101" s="557" t="s">
        <v>1335</v>
      </c>
      <c r="D101" s="981"/>
      <c r="E101" s="1344"/>
      <c r="F101" s="423"/>
      <c r="G101" s="423"/>
      <c r="H101" s="423"/>
      <c r="I101" s="423"/>
      <c r="J101" s="423"/>
      <c r="K101" s="423"/>
      <c r="L101" s="423"/>
      <c r="M101" s="1301">
        <f>SUM(F101:L101)</f>
        <v>0</v>
      </c>
      <c r="N101" s="578">
        <f t="shared" ref="N101:N117" si="51">SUM(F101:M101)</f>
        <v>0</v>
      </c>
    </row>
    <row r="102" spans="1:18" s="6" customFormat="1" ht="21.95" customHeight="1" thickBot="1" x14ac:dyDescent="0.2">
      <c r="A102" s="2513"/>
      <c r="B102" s="2535"/>
      <c r="C102" s="557" t="s">
        <v>1344</v>
      </c>
      <c r="D102" s="1376"/>
      <c r="E102" s="1269"/>
      <c r="F102" s="8">
        <f t="shared" ref="F102" si="52">SUM(F97:F101)</f>
        <v>0</v>
      </c>
      <c r="G102" s="8">
        <f t="shared" ref="G102:K102" si="53">SUM(G97:G101)</f>
        <v>2.8675000000000002</v>
      </c>
      <c r="H102" s="8">
        <f t="shared" si="53"/>
        <v>0.11249999999999999</v>
      </c>
      <c r="I102" s="8">
        <f t="shared" si="53"/>
        <v>1.3387499999999999</v>
      </c>
      <c r="J102" s="8">
        <f t="shared" si="53"/>
        <v>0</v>
      </c>
      <c r="K102" s="8">
        <f t="shared" si="53"/>
        <v>4.375</v>
      </c>
      <c r="L102" s="8"/>
      <c r="M102" s="493">
        <f>SUM(F102:L102)</f>
        <v>8.6937499999999996</v>
      </c>
      <c r="N102" s="578">
        <f t="shared" si="51"/>
        <v>17.387499999999999</v>
      </c>
    </row>
    <row r="103" spans="1:18" s="6" customFormat="1" ht="21.95" hidden="1" customHeight="1" x14ac:dyDescent="0.15">
      <c r="A103" s="2513"/>
      <c r="B103" s="2533" t="s">
        <v>38</v>
      </c>
      <c r="C103" s="541" t="s">
        <v>1341</v>
      </c>
      <c r="D103" s="981"/>
      <c r="E103" s="1343"/>
      <c r="F103" s="216">
        <f t="shared" ref="F103" si="54">F34</f>
        <v>0</v>
      </c>
      <c r="G103" s="216">
        <f t="shared" ref="G103:K103" si="55">G34</f>
        <v>0</v>
      </c>
      <c r="H103" s="216">
        <f t="shared" si="55"/>
        <v>0</v>
      </c>
      <c r="I103" s="216">
        <f t="shared" si="55"/>
        <v>0</v>
      </c>
      <c r="J103" s="216">
        <f t="shared" si="55"/>
        <v>0</v>
      </c>
      <c r="K103" s="216">
        <f t="shared" si="55"/>
        <v>0</v>
      </c>
      <c r="L103" s="216"/>
      <c r="M103" s="510">
        <f t="shared" ref="M103:M117" si="56">TRUNC(SUM(F103:L103),2)</f>
        <v>0</v>
      </c>
      <c r="N103" s="578">
        <f t="shared" si="51"/>
        <v>0</v>
      </c>
    </row>
    <row r="104" spans="1:18" s="6" customFormat="1" ht="32.1" hidden="1" customHeight="1" x14ac:dyDescent="0.15">
      <c r="A104" s="2513"/>
      <c r="B104" s="2534"/>
      <c r="C104" s="557" t="s">
        <v>2717</v>
      </c>
      <c r="D104" s="981"/>
      <c r="E104" s="1344"/>
      <c r="F104" s="8">
        <f t="shared" ref="F104" si="57">F41+F50+F60</f>
        <v>0</v>
      </c>
      <c r="G104" s="8">
        <f t="shared" ref="G104:K104" si="58">G41+G50+G60</f>
        <v>0</v>
      </c>
      <c r="H104" s="8">
        <f t="shared" si="58"/>
        <v>0</v>
      </c>
      <c r="I104" s="8">
        <f t="shared" si="58"/>
        <v>0</v>
      </c>
      <c r="J104" s="8">
        <f t="shared" si="58"/>
        <v>0</v>
      </c>
      <c r="K104" s="8">
        <f t="shared" si="58"/>
        <v>0</v>
      </c>
      <c r="L104" s="8"/>
      <c r="M104" s="511">
        <f t="shared" si="56"/>
        <v>0</v>
      </c>
      <c r="N104" s="578">
        <f t="shared" si="51"/>
        <v>0</v>
      </c>
    </row>
    <row r="105" spans="1:18" s="6" customFormat="1" ht="21.95" hidden="1" customHeight="1" thickBot="1" x14ac:dyDescent="0.2">
      <c r="A105" s="2513"/>
      <c r="B105" s="2534"/>
      <c r="C105" s="557" t="s">
        <v>2718</v>
      </c>
      <c r="D105" s="981"/>
      <c r="E105" s="1344"/>
      <c r="F105" s="8">
        <f t="shared" ref="F105" si="59">F46</f>
        <v>0</v>
      </c>
      <c r="G105" s="8">
        <f t="shared" ref="G105:K105" si="60">G46</f>
        <v>0</v>
      </c>
      <c r="H105" s="8">
        <f t="shared" si="60"/>
        <v>0</v>
      </c>
      <c r="I105" s="8">
        <f t="shared" si="60"/>
        <v>0</v>
      </c>
      <c r="J105" s="8">
        <f t="shared" si="60"/>
        <v>0</v>
      </c>
      <c r="K105" s="8">
        <f t="shared" si="60"/>
        <v>0</v>
      </c>
      <c r="L105" s="8"/>
      <c r="M105" s="511">
        <f t="shared" si="56"/>
        <v>0</v>
      </c>
      <c r="N105" s="578">
        <f t="shared" si="51"/>
        <v>0</v>
      </c>
    </row>
    <row r="106" spans="1:18" s="6" customFormat="1" ht="21.95" customHeight="1" x14ac:dyDescent="0.15">
      <c r="A106" s="2513"/>
      <c r="B106" s="2533"/>
      <c r="C106" s="541" t="s">
        <v>294</v>
      </c>
      <c r="D106" s="981"/>
      <c r="E106" s="1344"/>
      <c r="F106" s="216">
        <f t="shared" ref="F106" si="61">F70+F81</f>
        <v>538.22500000000002</v>
      </c>
      <c r="G106" s="216">
        <f t="shared" ref="G106:K106" si="62">G70+G81</f>
        <v>1805.95</v>
      </c>
      <c r="H106" s="216">
        <f t="shared" si="62"/>
        <v>425.89299999999997</v>
      </c>
      <c r="I106" s="216">
        <f t="shared" si="62"/>
        <v>204.77199999999999</v>
      </c>
      <c r="J106" s="216">
        <f t="shared" si="62"/>
        <v>310.69499999999999</v>
      </c>
      <c r="K106" s="216">
        <f t="shared" si="62"/>
        <v>2456.8159999999998</v>
      </c>
      <c r="L106" s="8"/>
      <c r="M106" s="495">
        <f t="shared" si="56"/>
        <v>5742.35</v>
      </c>
      <c r="N106" s="578">
        <f t="shared" si="51"/>
        <v>11484.701000000001</v>
      </c>
    </row>
    <row r="107" spans="1:18" s="6" customFormat="1" ht="21.95" customHeight="1" thickBot="1" x14ac:dyDescent="0.2">
      <c r="A107" s="2513"/>
      <c r="B107" s="2535"/>
      <c r="C107" s="542" t="s">
        <v>295</v>
      </c>
      <c r="D107" s="981"/>
      <c r="E107" s="1344"/>
      <c r="F107" s="8">
        <f t="shared" ref="F107" si="63">F94</f>
        <v>0</v>
      </c>
      <c r="G107" s="8">
        <f t="shared" ref="G107:K107" si="64">G94</f>
        <v>2.294</v>
      </c>
      <c r="H107" s="8">
        <f t="shared" si="64"/>
        <v>0.09</v>
      </c>
      <c r="I107" s="8">
        <f t="shared" si="64"/>
        <v>1.071</v>
      </c>
      <c r="J107" s="8">
        <f t="shared" si="64"/>
        <v>0</v>
      </c>
      <c r="K107" s="8">
        <f t="shared" si="64"/>
        <v>3.5</v>
      </c>
      <c r="L107" s="8"/>
      <c r="M107" s="511">
        <f t="shared" si="56"/>
        <v>6.95</v>
      </c>
      <c r="N107" s="578">
        <f t="shared" si="51"/>
        <v>13.905000000000001</v>
      </c>
      <c r="O107" s="5"/>
      <c r="P107" s="5"/>
      <c r="Q107" s="5"/>
      <c r="R107" s="5"/>
    </row>
    <row r="108" spans="1:18" ht="21.95" hidden="1" customHeight="1" thickBot="1" x14ac:dyDescent="0.2">
      <c r="A108" s="2513"/>
      <c r="B108" s="2535"/>
      <c r="C108" s="545" t="s">
        <v>741</v>
      </c>
      <c r="D108" s="1376"/>
      <c r="E108" s="1269"/>
      <c r="F108" s="215">
        <f t="shared" ref="F108" si="65">F95-F102</f>
        <v>0</v>
      </c>
      <c r="G108" s="215">
        <f t="shared" ref="G108:K108" si="66">G95-G102</f>
        <v>0</v>
      </c>
      <c r="H108" s="215">
        <f t="shared" si="66"/>
        <v>0</v>
      </c>
      <c r="I108" s="215">
        <f t="shared" si="66"/>
        <v>0</v>
      </c>
      <c r="J108" s="215">
        <f t="shared" si="66"/>
        <v>0</v>
      </c>
      <c r="K108" s="215">
        <f t="shared" si="66"/>
        <v>0</v>
      </c>
      <c r="L108" s="215"/>
      <c r="M108" s="494">
        <f t="shared" si="56"/>
        <v>0</v>
      </c>
      <c r="N108" s="578">
        <f t="shared" si="51"/>
        <v>0</v>
      </c>
    </row>
    <row r="109" spans="1:18" ht="21.95" hidden="1" customHeight="1" thickBot="1" x14ac:dyDescent="0.2">
      <c r="A109" s="2513"/>
      <c r="B109" s="2393"/>
      <c r="C109" s="547" t="s">
        <v>7</v>
      </c>
      <c r="E109" s="1344"/>
      <c r="F109" s="216">
        <f t="shared" ref="F109" si="67">(F12+F104)*1.25</f>
        <v>0</v>
      </c>
      <c r="G109" s="216">
        <f t="shared" ref="G109:K109" si="68">(G12+G104)*1.25</f>
        <v>0</v>
      </c>
      <c r="H109" s="216">
        <f t="shared" si="68"/>
        <v>0</v>
      </c>
      <c r="I109" s="216">
        <f t="shared" si="68"/>
        <v>0</v>
      </c>
      <c r="J109" s="216">
        <f t="shared" si="68"/>
        <v>0</v>
      </c>
      <c r="K109" s="216">
        <f t="shared" si="68"/>
        <v>0</v>
      </c>
      <c r="L109" s="216"/>
      <c r="M109" s="495">
        <f t="shared" si="56"/>
        <v>0</v>
      </c>
      <c r="N109" s="578">
        <f t="shared" si="51"/>
        <v>0</v>
      </c>
    </row>
    <row r="110" spans="1:18" ht="21.95" customHeight="1" x14ac:dyDescent="0.15">
      <c r="A110" s="2513"/>
      <c r="B110" s="2533" t="s">
        <v>1351</v>
      </c>
      <c r="C110" s="549" t="s">
        <v>1420</v>
      </c>
      <c r="E110" s="1344"/>
      <c r="F110" s="216">
        <f t="shared" ref="F110" si="69">F113</f>
        <v>0</v>
      </c>
      <c r="G110" s="216">
        <f t="shared" ref="G110:K110" si="70">G113</f>
        <v>1.9495499999999999</v>
      </c>
      <c r="H110" s="216">
        <f t="shared" si="70"/>
        <v>0</v>
      </c>
      <c r="I110" s="216">
        <f t="shared" si="70"/>
        <v>0</v>
      </c>
      <c r="J110" s="216">
        <f t="shared" si="70"/>
        <v>0</v>
      </c>
      <c r="K110" s="216">
        <f t="shared" si="70"/>
        <v>0</v>
      </c>
      <c r="L110" s="8"/>
      <c r="M110" s="495">
        <f t="shared" si="56"/>
        <v>1.94</v>
      </c>
      <c r="N110" s="578">
        <f t="shared" si="51"/>
        <v>3.8895499999999998</v>
      </c>
    </row>
    <row r="111" spans="1:18" ht="32.1" customHeight="1" thickBot="1" x14ac:dyDescent="0.2">
      <c r="A111" s="2513"/>
      <c r="B111" s="2535"/>
      <c r="C111" s="587" t="s">
        <v>1352</v>
      </c>
      <c r="E111" s="1344"/>
      <c r="F111" s="8">
        <f t="shared" ref="F111" si="71">F102</f>
        <v>0</v>
      </c>
      <c r="G111" s="8">
        <f t="shared" ref="G111:K111" si="72">G102</f>
        <v>2.8675000000000002</v>
      </c>
      <c r="H111" s="8">
        <f t="shared" si="72"/>
        <v>0.11249999999999999</v>
      </c>
      <c r="I111" s="8">
        <f t="shared" si="72"/>
        <v>1.3387499999999999</v>
      </c>
      <c r="J111" s="8">
        <f t="shared" si="72"/>
        <v>0</v>
      </c>
      <c r="K111" s="8">
        <f t="shared" si="72"/>
        <v>4.375</v>
      </c>
      <c r="L111" s="8"/>
      <c r="M111" s="494">
        <f t="shared" si="56"/>
        <v>8.69</v>
      </c>
      <c r="N111" s="578">
        <f t="shared" si="51"/>
        <v>17.383749999999999</v>
      </c>
    </row>
    <row r="112" spans="1:18" ht="21.95" hidden="1" customHeight="1" thickBot="1" x14ac:dyDescent="0.2">
      <c r="A112" s="2513"/>
      <c r="B112" s="2674" t="s">
        <v>1376</v>
      </c>
      <c r="C112" s="547" t="s">
        <v>1810</v>
      </c>
      <c r="D112" s="1379"/>
      <c r="E112" s="1343"/>
      <c r="F112" s="216">
        <f t="shared" ref="F112" si="73">F35+F36</f>
        <v>0</v>
      </c>
      <c r="G112" s="216">
        <f t="shared" ref="G112:K112" si="74">G35+G36</f>
        <v>0</v>
      </c>
      <c r="H112" s="216">
        <f t="shared" si="74"/>
        <v>0</v>
      </c>
      <c r="I112" s="216">
        <f t="shared" si="74"/>
        <v>0</v>
      </c>
      <c r="J112" s="216">
        <f t="shared" si="74"/>
        <v>0</v>
      </c>
      <c r="K112" s="216">
        <f t="shared" si="74"/>
        <v>0</v>
      </c>
      <c r="L112" s="216"/>
      <c r="M112" s="495">
        <f t="shared" si="56"/>
        <v>0</v>
      </c>
      <c r="N112" s="578">
        <f t="shared" si="51"/>
        <v>0</v>
      </c>
      <c r="O112" s="6"/>
      <c r="P112" s="6"/>
      <c r="Q112" s="6"/>
    </row>
    <row r="113" spans="1:17" ht="21.95" customHeight="1" thickBot="1" x14ac:dyDescent="0.2">
      <c r="A113" s="2513"/>
      <c r="B113" s="2676"/>
      <c r="C113" s="549" t="s">
        <v>1420</v>
      </c>
      <c r="E113" s="1344"/>
      <c r="F113" s="216">
        <f t="shared" ref="F113" si="75">F29*1.25</f>
        <v>0</v>
      </c>
      <c r="G113" s="216">
        <f t="shared" ref="G113:K113" si="76">G29*1.25</f>
        <v>1.9495499999999999</v>
      </c>
      <c r="H113" s="216">
        <f t="shared" si="76"/>
        <v>0</v>
      </c>
      <c r="I113" s="216">
        <f t="shared" si="76"/>
        <v>0</v>
      </c>
      <c r="J113" s="216">
        <f t="shared" si="76"/>
        <v>0</v>
      </c>
      <c r="K113" s="216">
        <f t="shared" si="76"/>
        <v>0</v>
      </c>
      <c r="L113" s="8"/>
      <c r="M113" s="495">
        <f t="shared" si="56"/>
        <v>1.94</v>
      </c>
      <c r="N113" s="578">
        <f t="shared" si="51"/>
        <v>3.8895499999999998</v>
      </c>
      <c r="O113" s="6"/>
      <c r="P113" s="6"/>
      <c r="Q113" s="6"/>
    </row>
    <row r="114" spans="1:17" ht="21.95" hidden="1" customHeight="1" thickBot="1" x14ac:dyDescent="0.2">
      <c r="A114" s="2513"/>
      <c r="B114" s="2676"/>
      <c r="C114" s="542" t="s">
        <v>1800</v>
      </c>
      <c r="E114" s="1344"/>
      <c r="F114" s="8">
        <f t="shared" ref="F114" si="77">F12*1.25</f>
        <v>0</v>
      </c>
      <c r="G114" s="8">
        <f t="shared" ref="G114:K114" si="78">G12*1.25</f>
        <v>0</v>
      </c>
      <c r="H114" s="8">
        <f t="shared" si="78"/>
        <v>0</v>
      </c>
      <c r="I114" s="8">
        <f t="shared" si="78"/>
        <v>0</v>
      </c>
      <c r="J114" s="8">
        <f t="shared" si="78"/>
        <v>0</v>
      </c>
      <c r="K114" s="8">
        <f t="shared" si="78"/>
        <v>0</v>
      </c>
      <c r="L114" s="8"/>
      <c r="M114" s="511">
        <f t="shared" si="56"/>
        <v>0</v>
      </c>
      <c r="N114" s="578">
        <f t="shared" si="51"/>
        <v>0</v>
      </c>
      <c r="O114" s="6"/>
      <c r="P114" s="6"/>
      <c r="Q114" s="6"/>
    </row>
    <row r="115" spans="1:17" ht="21.95" customHeight="1" x14ac:dyDescent="0.15">
      <c r="A115" s="2513"/>
      <c r="B115" s="2674"/>
      <c r="C115" s="586" t="s">
        <v>1356</v>
      </c>
      <c r="E115" s="1344"/>
      <c r="F115" s="8">
        <f t="shared" ref="F115" si="79">(F104+F106)*1.25-F102</f>
        <v>672.78125</v>
      </c>
      <c r="G115" s="8">
        <f t="shared" ref="G115:K115" si="80">(G104+G106)*1.25-G102</f>
        <v>2254.5700000000002</v>
      </c>
      <c r="H115" s="8">
        <f t="shared" si="80"/>
        <v>532.25374999999997</v>
      </c>
      <c r="I115" s="8">
        <f t="shared" si="80"/>
        <v>254.62624999999997</v>
      </c>
      <c r="J115" s="8">
        <f t="shared" si="80"/>
        <v>388.36874999999998</v>
      </c>
      <c r="K115" s="8">
        <f t="shared" si="80"/>
        <v>3066.6449999999995</v>
      </c>
      <c r="L115" s="8"/>
      <c r="M115" s="496">
        <f t="shared" si="56"/>
        <v>7169.24</v>
      </c>
      <c r="N115" s="578">
        <f t="shared" si="51"/>
        <v>14338.484999999999</v>
      </c>
      <c r="O115" s="6"/>
      <c r="P115" s="6"/>
      <c r="Q115" s="6"/>
    </row>
    <row r="116" spans="1:17" ht="21.95" customHeight="1" thickBot="1" x14ac:dyDescent="0.2">
      <c r="A116" s="2513"/>
      <c r="B116" s="2676"/>
      <c r="C116" s="587" t="s">
        <v>1350</v>
      </c>
      <c r="E116" s="1344"/>
      <c r="F116" s="8">
        <f t="shared" ref="F116" si="81">F102*2</f>
        <v>0</v>
      </c>
      <c r="G116" s="8">
        <f t="shared" ref="G116:K116" si="82">G102*2</f>
        <v>5.7350000000000003</v>
      </c>
      <c r="H116" s="8">
        <f t="shared" si="82"/>
        <v>0.22499999999999998</v>
      </c>
      <c r="I116" s="8">
        <f t="shared" si="82"/>
        <v>2.6774999999999998</v>
      </c>
      <c r="J116" s="8">
        <f t="shared" si="82"/>
        <v>0</v>
      </c>
      <c r="K116" s="8">
        <f t="shared" si="82"/>
        <v>8.75</v>
      </c>
      <c r="L116" s="8"/>
      <c r="M116" s="511">
        <f t="shared" si="56"/>
        <v>17.38</v>
      </c>
      <c r="N116" s="578">
        <f t="shared" si="51"/>
        <v>34.767499999999998</v>
      </c>
      <c r="O116" s="6"/>
      <c r="P116" s="6"/>
      <c r="Q116" s="6"/>
    </row>
    <row r="117" spans="1:17" ht="21.95" hidden="1" customHeight="1" thickBot="1" x14ac:dyDescent="0.2">
      <c r="A117" s="2513"/>
      <c r="B117" s="2675"/>
      <c r="C117" s="545" t="s">
        <v>2001</v>
      </c>
      <c r="D117" s="1376"/>
      <c r="E117" s="1269"/>
      <c r="F117" s="215">
        <f t="shared" ref="F117" si="83">F108</f>
        <v>0</v>
      </c>
      <c r="G117" s="215">
        <f t="shared" ref="G117:K117" si="84">G108</f>
        <v>0</v>
      </c>
      <c r="H117" s="215">
        <f t="shared" si="84"/>
        <v>0</v>
      </c>
      <c r="I117" s="215">
        <f t="shared" si="84"/>
        <v>0</v>
      </c>
      <c r="J117" s="215">
        <f t="shared" si="84"/>
        <v>0</v>
      </c>
      <c r="K117" s="215">
        <f t="shared" si="84"/>
        <v>0</v>
      </c>
      <c r="L117" s="215"/>
      <c r="M117" s="494">
        <f t="shared" si="56"/>
        <v>0</v>
      </c>
      <c r="N117" s="578">
        <f t="shared" si="51"/>
        <v>0</v>
      </c>
      <c r="O117" s="6"/>
      <c r="P117" s="6"/>
      <c r="Q117" s="6"/>
    </row>
    <row r="118" spans="1:17" ht="21.95" hidden="1" customHeight="1" x14ac:dyDescent="0.15">
      <c r="A118" s="2513"/>
      <c r="B118" s="2674" t="s">
        <v>1362</v>
      </c>
      <c r="C118" s="541" t="s">
        <v>1345</v>
      </c>
      <c r="D118" s="1379"/>
      <c r="E118" s="1343"/>
      <c r="F118" s="216">
        <f t="shared" ref="F118:F119" si="85">F112</f>
        <v>0</v>
      </c>
      <c r="G118" s="216">
        <f t="shared" ref="G118:K118" si="86">G112</f>
        <v>0</v>
      </c>
      <c r="H118" s="216">
        <f t="shared" si="86"/>
        <v>0</v>
      </c>
      <c r="I118" s="216">
        <f t="shared" si="86"/>
        <v>0</v>
      </c>
      <c r="J118" s="216">
        <f t="shared" si="86"/>
        <v>0</v>
      </c>
      <c r="K118" s="216">
        <f t="shared" si="86"/>
        <v>0</v>
      </c>
      <c r="L118" s="216"/>
      <c r="M118" s="511"/>
      <c r="N118" s="578"/>
      <c r="O118" s="6"/>
      <c r="P118" s="6"/>
      <c r="Q118" s="6"/>
    </row>
    <row r="119" spans="1:17" ht="21.95" hidden="1" customHeight="1" x14ac:dyDescent="0.15">
      <c r="A119" s="2513"/>
      <c r="B119" s="2676"/>
      <c r="C119" s="566" t="s">
        <v>1420</v>
      </c>
      <c r="E119" s="1344"/>
      <c r="F119" s="8">
        <f t="shared" si="85"/>
        <v>0</v>
      </c>
      <c r="G119" s="8">
        <f t="shared" ref="G119:K119" si="87">G113</f>
        <v>1.9495499999999999</v>
      </c>
      <c r="H119" s="8">
        <f t="shared" si="87"/>
        <v>0</v>
      </c>
      <c r="I119" s="8">
        <f t="shared" si="87"/>
        <v>0</v>
      </c>
      <c r="J119" s="8">
        <f t="shared" si="87"/>
        <v>0</v>
      </c>
      <c r="K119" s="8">
        <f t="shared" si="87"/>
        <v>0</v>
      </c>
      <c r="L119" s="8"/>
      <c r="M119" s="511"/>
      <c r="N119" s="578"/>
      <c r="O119" s="6"/>
      <c r="P119" s="6"/>
      <c r="Q119" s="6"/>
    </row>
    <row r="120" spans="1:17" ht="21.95" hidden="1" customHeight="1" thickBot="1" x14ac:dyDescent="0.2">
      <c r="A120" s="2513"/>
      <c r="B120" s="2676"/>
      <c r="C120" s="587" t="s">
        <v>1354</v>
      </c>
      <c r="E120" s="1344"/>
      <c r="F120" s="8">
        <f t="shared" ref="F120" si="88">F104+F106+F108+F105</f>
        <v>538.22500000000002</v>
      </c>
      <c r="G120" s="8">
        <f t="shared" ref="G120:K120" si="89">G104+G106+G108+G105</f>
        <v>1805.95</v>
      </c>
      <c r="H120" s="8">
        <f t="shared" si="89"/>
        <v>425.89299999999997</v>
      </c>
      <c r="I120" s="8">
        <f t="shared" si="89"/>
        <v>204.77199999999999</v>
      </c>
      <c r="J120" s="8">
        <f t="shared" si="89"/>
        <v>310.69499999999999</v>
      </c>
      <c r="K120" s="8">
        <f t="shared" si="89"/>
        <v>2456.8159999999998</v>
      </c>
      <c r="L120" s="8"/>
      <c r="M120" s="511"/>
      <c r="N120" s="578"/>
      <c r="O120" s="6"/>
      <c r="P120" s="6"/>
      <c r="Q120" s="6"/>
    </row>
    <row r="121" spans="1:17" s="9" customFormat="1" ht="50.1" customHeight="1" thickBot="1" x14ac:dyDescent="0.2">
      <c r="A121" s="2659"/>
      <c r="B121" s="2830" t="s">
        <v>12</v>
      </c>
      <c r="C121" s="2831"/>
      <c r="D121" s="1397"/>
      <c r="E121" s="2053"/>
      <c r="F121" s="2054"/>
      <c r="G121" s="2054"/>
      <c r="H121" s="2054"/>
      <c r="I121" s="2054"/>
      <c r="J121" s="2054"/>
      <c r="K121" s="2054"/>
      <c r="L121" s="2054"/>
      <c r="M121" s="2055"/>
      <c r="N121" s="1016">
        <v>1</v>
      </c>
      <c r="O121" s="6"/>
      <c r="P121" s="6"/>
      <c r="Q121" s="6"/>
    </row>
    <row r="122" spans="1:17" ht="19.5" hidden="1" thickTop="1" x14ac:dyDescent="0.15">
      <c r="N122" s="6"/>
      <c r="O122" s="6"/>
      <c r="P122" s="6"/>
      <c r="Q122" s="6"/>
    </row>
    <row r="123" spans="1:17" hidden="1" x14ac:dyDescent="0.15">
      <c r="N123" s="6"/>
      <c r="O123" s="6"/>
      <c r="P123" s="6"/>
      <c r="Q123" s="6"/>
    </row>
    <row r="124" spans="1:17" hidden="1" x14ac:dyDescent="0.15">
      <c r="N124" s="6"/>
      <c r="O124" s="6"/>
      <c r="P124" s="6"/>
      <c r="Q124" s="6"/>
    </row>
    <row r="125" spans="1:17" ht="19.5" thickTop="1" x14ac:dyDescent="0.15"/>
  </sheetData>
  <autoFilter ref="N1:N124">
    <filterColumn colId="0">
      <customFilters>
        <customFilter operator="notEqual" val=" "/>
      </customFilters>
    </filterColumn>
  </autoFilter>
  <mergeCells count="24">
    <mergeCell ref="B26:B29"/>
    <mergeCell ref="B110:B111"/>
    <mergeCell ref="A1:A121"/>
    <mergeCell ref="B30:B36"/>
    <mergeCell ref="B37:B41"/>
    <mergeCell ref="B103:B108"/>
    <mergeCell ref="B77:B93"/>
    <mergeCell ref="B42:B46"/>
    <mergeCell ref="B94:B102"/>
    <mergeCell ref="B112:B117"/>
    <mergeCell ref="B118:B120"/>
    <mergeCell ref="B121:C121"/>
    <mergeCell ref="B1:C1"/>
    <mergeCell ref="B47:B56"/>
    <mergeCell ref="B57:B66"/>
    <mergeCell ref="B67:B76"/>
    <mergeCell ref="B14:B16"/>
    <mergeCell ref="B17:B19"/>
    <mergeCell ref="B20:B23"/>
    <mergeCell ref="B8:B13"/>
    <mergeCell ref="B2:C2"/>
    <mergeCell ref="B3:B4"/>
    <mergeCell ref="B5:C5"/>
    <mergeCell ref="B6:B7"/>
  </mergeCells>
  <pageMargins left="0.39370078740157483" right="0.39370078740157483" top="0.59055118110236227" bottom="0.59055118110236227" header="0.31496062992125984" footer="0.23622047244094491"/>
  <pageSetup paperSize="9" scale="75" fitToWidth="5" orientation="landscape" r:id="rId1"/>
  <headerFooter>
    <oddFooter>&amp;L&amp;"Arial,Normal"&amp;8&amp;F&amp;C&amp;"Arial,Normal"&amp;8&amp;P / &amp;N&amp;R&amp;"Cambria,Regular"&amp;8Ricardo Schettini Figueiredo&amp;10
&amp;8Eng. Civil - CREA-RJ 52.656/D</oddFooter>
  </headerFooter>
  <ignoredErrors>
    <ignoredError sqref="M11 M13:N13 N61:N76 N96:N100 F11 N51:N56 G11:K11 M25" formula="1"/>
    <ignoredError sqref="F88 G88:K88" formulaRange="1"/>
  </ignoredErrors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35" filterMode="1">
    <tabColor theme="9" tint="0.59999389629810485"/>
    <pageSetUpPr fitToPage="1"/>
  </sheetPr>
  <dimension ref="A1:P139"/>
  <sheetViews>
    <sheetView showZeros="0" zoomScaleNormal="100" zoomScaleSheetLayoutView="100" workbookViewId="0">
      <pane xSplit="6" ySplit="1" topLeftCell="G62" activePane="bottomRight" state="frozenSplit"/>
      <selection activeCell="D18" sqref="B13:I28"/>
      <selection pane="topRight" activeCell="D18" sqref="B13:I28"/>
      <selection pane="bottomLeft" activeCell="D18" sqref="B13:I28"/>
      <selection pane="bottomRight" activeCell="H135" sqref="H135"/>
    </sheetView>
  </sheetViews>
  <sheetFormatPr defaultColWidth="9" defaultRowHeight="18.75" x14ac:dyDescent="0.15"/>
  <cols>
    <col min="1" max="1" width="9.75" style="5" customWidth="1"/>
    <col min="2" max="2" width="5.625" style="9" customWidth="1"/>
    <col min="3" max="3" width="14.625" style="9" customWidth="1"/>
    <col min="4" max="4" width="32.625" style="9" customWidth="1"/>
    <col min="5" max="5" width="3.125" style="981" hidden="1" customWidth="1"/>
    <col min="6" max="6" width="7.5" style="9" hidden="1" customWidth="1"/>
    <col min="7" max="12" width="12.625" style="5" customWidth="1"/>
    <col min="13" max="13" width="12.625" style="5" hidden="1" customWidth="1"/>
    <col min="14" max="14" width="12.625" style="417" customWidth="1"/>
    <col min="15" max="15" width="19.125" style="5" customWidth="1"/>
    <col min="16" max="16" width="11.125" style="5" customWidth="1"/>
    <col min="17" max="23" width="8.25" style="5" customWidth="1"/>
    <col min="24" max="16384" width="9" style="5"/>
  </cols>
  <sheetData>
    <row r="1" spans="1:15" s="10" customFormat="1" ht="60" customHeight="1" thickTop="1" thickBot="1" x14ac:dyDescent="0.2">
      <c r="A1" s="2512" t="s">
        <v>419</v>
      </c>
      <c r="B1" s="2708" t="s">
        <v>348</v>
      </c>
      <c r="C1" s="2709"/>
      <c r="D1" s="2839"/>
      <c r="E1" s="1795"/>
      <c r="F1" s="973" t="s">
        <v>588</v>
      </c>
      <c r="G1" s="212" t="str">
        <f>Pav_Dados!G1</f>
        <v>Rua Maria Anunciação Rodrigues</v>
      </c>
      <c r="H1" s="212" t="str">
        <f>Pav_Dados!H1</f>
        <v>Rua Olinda Garcia de Oliveira / Rua João Trivellato</v>
      </c>
      <c r="I1" s="212" t="str">
        <f>Pav_Dados!I1</f>
        <v>Rua Clelia Santos da Rosa</v>
      </c>
      <c r="J1" s="212" t="str">
        <f>Pav_Dados!J1</f>
        <v>Rua Escobar Nunes</v>
      </c>
      <c r="K1" s="212" t="str">
        <f>Pav_Dados!K1</f>
        <v>Rua Ronald de Carvalho</v>
      </c>
      <c r="L1" s="212" t="str">
        <f>Pav_Dados!L1</f>
        <v>Rua Paulo Soares Valentin / Rua Michel Calarge</v>
      </c>
      <c r="M1" s="212"/>
      <c r="N1" s="217" t="s">
        <v>0</v>
      </c>
      <c r="O1" s="577" t="s">
        <v>1355</v>
      </c>
    </row>
    <row r="2" spans="1:15" ht="21.95" customHeight="1" thickTop="1" thickBot="1" x14ac:dyDescent="0.2">
      <c r="A2" s="2513"/>
      <c r="B2" s="2711" t="s">
        <v>44</v>
      </c>
      <c r="C2" s="2712"/>
      <c r="D2" s="2713"/>
      <c r="E2" s="2344"/>
      <c r="F2" s="1380"/>
      <c r="G2" s="1130">
        <f>Pav_Dados!G2</f>
        <v>142.16</v>
      </c>
      <c r="H2" s="1130">
        <f>Pav_Dados!H2</f>
        <v>632.84</v>
      </c>
      <c r="I2" s="1130">
        <f>Pav_Dados!I2</f>
        <v>105.4</v>
      </c>
      <c r="J2" s="1130">
        <f>Pav_Dados!J2</f>
        <v>81.44</v>
      </c>
      <c r="K2" s="1130">
        <f>Pav_Dados!K2</f>
        <v>99.64</v>
      </c>
      <c r="L2" s="1130">
        <f>Pav_Dados!L2</f>
        <v>680.3</v>
      </c>
      <c r="M2" s="1130"/>
      <c r="N2" s="2345">
        <f>+ROUND(SUM(G2:M2),2)</f>
        <v>1741.78</v>
      </c>
      <c r="O2" s="578">
        <f>SUM(G2:N2)</f>
        <v>3483.56</v>
      </c>
    </row>
    <row r="3" spans="1:15" ht="21.95" hidden="1" customHeight="1" x14ac:dyDescent="0.15">
      <c r="A3" s="2513"/>
      <c r="B3" s="2516" t="s">
        <v>163</v>
      </c>
      <c r="C3" s="2676"/>
      <c r="D3" s="543" t="s">
        <v>161</v>
      </c>
      <c r="F3" s="1344"/>
      <c r="G3" s="1138">
        <f>Pav_Dados!G3</f>
        <v>0</v>
      </c>
      <c r="H3" s="1138">
        <f>Pav_Dados!H3</f>
        <v>0</v>
      </c>
      <c r="I3" s="1138">
        <f>Pav_Dados!I3</f>
        <v>0</v>
      </c>
      <c r="J3" s="1138">
        <f>Pav_Dados!J3</f>
        <v>0</v>
      </c>
      <c r="K3" s="1138">
        <f>Pav_Dados!K3</f>
        <v>0</v>
      </c>
      <c r="L3" s="1138">
        <f>Pav_Dados!L3</f>
        <v>0</v>
      </c>
      <c r="M3" s="1138"/>
      <c r="N3" s="1211">
        <f>+COUNTA(G3:M3)</f>
        <v>6</v>
      </c>
      <c r="O3" s="1016"/>
    </row>
    <row r="4" spans="1:15" ht="21.95" hidden="1" customHeight="1" thickBot="1" x14ac:dyDescent="0.2">
      <c r="A4" s="2513"/>
      <c r="B4" s="2516"/>
      <c r="C4" s="2676"/>
      <c r="D4" s="557" t="s">
        <v>162</v>
      </c>
      <c r="F4" s="1344"/>
      <c r="G4" s="1138">
        <f>Pav_Dados!G4</f>
        <v>0</v>
      </c>
      <c r="H4" s="1138">
        <f>Pav_Dados!H4</f>
        <v>0</v>
      </c>
      <c r="I4" s="1138">
        <f>Pav_Dados!I4</f>
        <v>0</v>
      </c>
      <c r="J4" s="1138">
        <f>Pav_Dados!J4</f>
        <v>0</v>
      </c>
      <c r="K4" s="1138">
        <f>Pav_Dados!K4</f>
        <v>0</v>
      </c>
      <c r="L4" s="1138">
        <f>Pav_Dados!L4</f>
        <v>0</v>
      </c>
      <c r="M4" s="1138"/>
      <c r="N4" s="1211">
        <f>+COUNTA(G4:M4)</f>
        <v>6</v>
      </c>
      <c r="O4" s="1016"/>
    </row>
    <row r="5" spans="1:15" s="9" customFormat="1" ht="32.1" hidden="1" customHeight="1" thickBot="1" x14ac:dyDescent="0.2">
      <c r="A5" s="2513"/>
      <c r="B5" s="2714" t="s">
        <v>2719</v>
      </c>
      <c r="C5" s="2715"/>
      <c r="D5" s="2716"/>
      <c r="E5" s="2342"/>
      <c r="F5" s="552"/>
      <c r="G5" s="243" t="str">
        <f>Pav_Dados!G5</f>
        <v>DUPLA</v>
      </c>
      <c r="H5" s="243" t="str">
        <f>Pav_Dados!H5</f>
        <v>DUPLA</v>
      </c>
      <c r="I5" s="243" t="str">
        <f>Pav_Dados!I5</f>
        <v>DUPLA</v>
      </c>
      <c r="J5" s="243" t="str">
        <f>Pav_Dados!J5</f>
        <v>DUPLA</v>
      </c>
      <c r="K5" s="243" t="str">
        <f>Pav_Dados!K5</f>
        <v>DUPLA</v>
      </c>
      <c r="L5" s="243" t="str">
        <f>Pav_Dados!L5</f>
        <v>DUPLA</v>
      </c>
      <c r="M5" s="243"/>
      <c r="N5" s="2343">
        <f>+COUNTA(G5:M5)</f>
        <v>6</v>
      </c>
      <c r="O5" s="1016"/>
    </row>
    <row r="6" spans="1:15" ht="21.95" customHeight="1" thickBot="1" x14ac:dyDescent="0.2">
      <c r="A6" s="2513"/>
      <c r="B6" s="2516" t="s">
        <v>1483</v>
      </c>
      <c r="C6" s="2676"/>
      <c r="D6" s="543" t="s">
        <v>1482</v>
      </c>
      <c r="F6" s="1344"/>
      <c r="G6" s="8">
        <f>Pav_Dados!G6</f>
        <v>7</v>
      </c>
      <c r="H6" s="8">
        <f>Pav_Dados!H6</f>
        <v>7</v>
      </c>
      <c r="I6" s="8">
        <f>Pav_Dados!I6</f>
        <v>9</v>
      </c>
      <c r="J6" s="8">
        <f>Pav_Dados!J6</f>
        <v>7</v>
      </c>
      <c r="K6" s="8">
        <f>Pav_Dados!K6</f>
        <v>7</v>
      </c>
      <c r="L6" s="8">
        <f>Pav_Dados!L6</f>
        <v>7</v>
      </c>
      <c r="M6" s="8"/>
      <c r="N6" s="1211"/>
      <c r="O6" s="578">
        <f t="shared" ref="O6:O14" si="0">SUM(G6:N6)</f>
        <v>44</v>
      </c>
    </row>
    <row r="7" spans="1:15" ht="21.95" hidden="1" customHeight="1" thickBot="1" x14ac:dyDescent="0.2">
      <c r="A7" s="2513"/>
      <c r="B7" s="2728"/>
      <c r="C7" s="2675"/>
      <c r="D7" s="545" t="s">
        <v>1481</v>
      </c>
      <c r="E7" s="1376"/>
      <c r="F7" s="1269"/>
      <c r="G7" s="215">
        <f>Pav_Dados!G7</f>
        <v>0</v>
      </c>
      <c r="H7" s="215">
        <f>Pav_Dados!H7</f>
        <v>0</v>
      </c>
      <c r="I7" s="215">
        <f>Pav_Dados!I7</f>
        <v>0</v>
      </c>
      <c r="J7" s="215">
        <f>Pav_Dados!J7</f>
        <v>0</v>
      </c>
      <c r="K7" s="215">
        <f>Pav_Dados!K7</f>
        <v>0</v>
      </c>
      <c r="L7" s="215">
        <f>Pav_Dados!L7</f>
        <v>0</v>
      </c>
      <c r="M7" s="215"/>
      <c r="N7" s="1274"/>
      <c r="O7" s="578">
        <f t="shared" si="0"/>
        <v>0</v>
      </c>
    </row>
    <row r="8" spans="1:15" ht="21.95" customHeight="1" x14ac:dyDescent="0.15">
      <c r="A8" s="2513"/>
      <c r="B8" s="2840" t="s">
        <v>165</v>
      </c>
      <c r="C8" s="2757" t="s">
        <v>296</v>
      </c>
      <c r="D8" s="541" t="s">
        <v>1323</v>
      </c>
      <c r="E8" s="1379"/>
      <c r="F8" s="1343"/>
      <c r="G8" s="1136">
        <f>G2-Pav_Dados!G26</f>
        <v>142.16</v>
      </c>
      <c r="H8" s="1136">
        <f>H2-Pav_Dados!H26</f>
        <v>632.84</v>
      </c>
      <c r="I8" s="1136">
        <f>I2-Pav_Dados!I26</f>
        <v>105.4</v>
      </c>
      <c r="J8" s="1136">
        <f>J2-Pav_Dados!J26</f>
        <v>81.44</v>
      </c>
      <c r="K8" s="1136">
        <f>K2-Pav_Dados!K26</f>
        <v>99.64</v>
      </c>
      <c r="L8" s="1136">
        <f>L2-Pav_Dados!L26</f>
        <v>680.3</v>
      </c>
      <c r="M8" s="1136"/>
      <c r="N8" s="1212">
        <f>+ROUND(SUM(G8:M8),2)</f>
        <v>1741.78</v>
      </c>
      <c r="O8" s="578">
        <f t="shared" si="0"/>
        <v>3483.56</v>
      </c>
    </row>
    <row r="9" spans="1:15" ht="21.95" customHeight="1" x14ac:dyDescent="0.15">
      <c r="A9" s="2513"/>
      <c r="B9" s="2841"/>
      <c r="C9" s="2758"/>
      <c r="D9" s="542" t="s">
        <v>164</v>
      </c>
      <c r="F9" s="1344"/>
      <c r="G9" s="1138">
        <f t="shared" ref="G9" si="1">IF(G6=0,0,G6+IF(G5="dupla",2*0.52,0.52)+IF(G5="simples",0.22,0))</f>
        <v>8.0399999999999991</v>
      </c>
      <c r="H9" s="1138">
        <f t="shared" ref="H9:L9" si="2">IF(H6=0,0,H6+IF(H5="dupla",2*0.52,0.52)+IF(H5="simples",0.22,0))</f>
        <v>8.0399999999999991</v>
      </c>
      <c r="I9" s="1138">
        <f t="shared" si="2"/>
        <v>10.039999999999999</v>
      </c>
      <c r="J9" s="1138">
        <f t="shared" si="2"/>
        <v>8.0399999999999991</v>
      </c>
      <c r="K9" s="1138">
        <f t="shared" si="2"/>
        <v>8.0399999999999991</v>
      </c>
      <c r="L9" s="1138">
        <f t="shared" si="2"/>
        <v>8.0399999999999991</v>
      </c>
      <c r="M9" s="1138"/>
      <c r="N9" s="1213"/>
      <c r="O9" s="578">
        <f t="shared" si="0"/>
        <v>50.239999999999995</v>
      </c>
    </row>
    <row r="10" spans="1:15" ht="21.95" customHeight="1" x14ac:dyDescent="0.15">
      <c r="A10" s="2513"/>
      <c r="B10" s="2841"/>
      <c r="C10" s="2758"/>
      <c r="D10" s="557" t="s">
        <v>1324</v>
      </c>
      <c r="F10" s="1344"/>
      <c r="G10" s="1138">
        <f>S_Complementares!I5*0.52+S_Complementares!I6*0.22+S_Complementares!I8*0.6</f>
        <v>151.72559999999999</v>
      </c>
      <c r="H10" s="1138">
        <f>S_Complementares!J5*0.52+S_Complementares!J6*0.22+S_Complementares!J8*0.6</f>
        <v>625.32600000000002</v>
      </c>
      <c r="I10" s="1138">
        <f>S_Complementares!K5*0.52+S_Complementares!K6*0.22+S_Complementares!K8*0.6</f>
        <v>132.95359999999999</v>
      </c>
      <c r="J10" s="1138">
        <f>S_Complementares!L5*0.52+S_Complementares!L6*0.22+S_Complementares!L8*0.6</f>
        <v>88.888800000000003</v>
      </c>
      <c r="K10" s="1138">
        <f>S_Complementares!M5*0.52+S_Complementares!M6*0.22+S_Complementares!M8*0.6</f>
        <v>98.19680000000001</v>
      </c>
      <c r="L10" s="1138">
        <f>S_Complementares!N5*0.52+S_Complementares!N6*0.22+S_Complementares!N8*0.6</f>
        <v>666.83240000000001</v>
      </c>
      <c r="M10" s="1138"/>
      <c r="N10" s="1213"/>
      <c r="O10" s="578">
        <f t="shared" si="0"/>
        <v>1763.9232</v>
      </c>
    </row>
    <row r="11" spans="1:15" ht="21.95" customHeight="1" thickBot="1" x14ac:dyDescent="0.2">
      <c r="A11" s="2513"/>
      <c r="B11" s="2841"/>
      <c r="C11" s="2837"/>
      <c r="D11" s="545" t="s">
        <v>1331</v>
      </c>
      <c r="E11" s="1376"/>
      <c r="F11" s="1269"/>
      <c r="G11" s="1134">
        <f>G10+Pav_Dados!G77</f>
        <v>1172.4756</v>
      </c>
      <c r="H11" s="1134">
        <f>H10+Pav_Dados!H77</f>
        <v>5088.2960000000003</v>
      </c>
      <c r="I11" s="1134">
        <f>I10+Pav_Dados!I77</f>
        <v>1253.5436</v>
      </c>
      <c r="J11" s="1134">
        <f>J10+Pav_Dados!J77</f>
        <v>687.30880000000002</v>
      </c>
      <c r="K11" s="1134">
        <f>K10+Pav_Dados!K77</f>
        <v>807.70680000000004</v>
      </c>
      <c r="L11" s="1134">
        <f>L10+Pav_Dados!L77</f>
        <v>5437.1624000000002</v>
      </c>
      <c r="M11" s="1134"/>
      <c r="N11" s="1214">
        <f>+ROUND(SUM(G11:M11),2)</f>
        <v>14446.49</v>
      </c>
      <c r="O11" s="578">
        <f t="shared" si="0"/>
        <v>28892.983200000002</v>
      </c>
    </row>
    <row r="12" spans="1:15" ht="21.95" customHeight="1" x14ac:dyDescent="0.15">
      <c r="A12" s="2513"/>
      <c r="B12" s="2841"/>
      <c r="C12" s="2674" t="s">
        <v>250</v>
      </c>
      <c r="D12" s="541" t="s">
        <v>3</v>
      </c>
      <c r="F12" s="1344"/>
      <c r="G12" s="1136">
        <f t="shared" ref="G12" si="3">IF(G13=0,0,G2)</f>
        <v>142.16</v>
      </c>
      <c r="H12" s="1136">
        <f t="shared" ref="H12:L12" si="4">IF(H13=0,0,H2)</f>
        <v>632.84</v>
      </c>
      <c r="I12" s="1136">
        <f t="shared" si="4"/>
        <v>105.4</v>
      </c>
      <c r="J12" s="1136">
        <f t="shared" si="4"/>
        <v>81.44</v>
      </c>
      <c r="K12" s="1136">
        <f t="shared" si="4"/>
        <v>99.64</v>
      </c>
      <c r="L12" s="1136">
        <f t="shared" si="4"/>
        <v>680.3</v>
      </c>
      <c r="M12" s="1136"/>
      <c r="N12" s="1215"/>
      <c r="O12" s="578">
        <f t="shared" si="0"/>
        <v>1741.78</v>
      </c>
    </row>
    <row r="13" spans="1:15" ht="21.95" customHeight="1" x14ac:dyDescent="0.15">
      <c r="A13" s="2513"/>
      <c r="B13" s="2841"/>
      <c r="C13" s="2676"/>
      <c r="D13" s="542" t="s">
        <v>1276</v>
      </c>
      <c r="F13" s="1344"/>
      <c r="G13" s="1220">
        <f>Pav_Dados!G79</f>
        <v>15</v>
      </c>
      <c r="H13" s="1220">
        <f>Pav_Dados!H79</f>
        <v>15</v>
      </c>
      <c r="I13" s="1220">
        <f>Pav_Dados!I79</f>
        <v>15</v>
      </c>
      <c r="J13" s="1220">
        <f>Pav_Dados!J79</f>
        <v>15</v>
      </c>
      <c r="K13" s="1220">
        <f>Pav_Dados!K79</f>
        <v>15</v>
      </c>
      <c r="L13" s="1220">
        <f>Pav_Dados!L79</f>
        <v>15</v>
      </c>
      <c r="M13" s="1220"/>
      <c r="N13" s="1221"/>
      <c r="O13" s="578">
        <f t="shared" si="0"/>
        <v>90</v>
      </c>
    </row>
    <row r="14" spans="1:15" ht="21.95" customHeight="1" x14ac:dyDescent="0.15">
      <c r="A14" s="2513"/>
      <c r="B14" s="2841"/>
      <c r="C14" s="2676"/>
      <c r="D14" s="542" t="s">
        <v>58</v>
      </c>
      <c r="F14" s="1344"/>
      <c r="G14" s="1138">
        <f t="shared" ref="G14" si="5">IF(G13=0,0,G6+IF(G5="dupla",2*0.52,0.52)+IF(G5="simples",0.22,0))</f>
        <v>8.0399999999999991</v>
      </c>
      <c r="H14" s="1138">
        <f t="shared" ref="H14:L14" si="6">IF(H13=0,0,H6+IF(H5="dupla",2*0.52,0.52)+IF(H5="simples",0.22,0))</f>
        <v>8.0399999999999991</v>
      </c>
      <c r="I14" s="1138">
        <f t="shared" si="6"/>
        <v>10.039999999999999</v>
      </c>
      <c r="J14" s="1138">
        <f t="shared" si="6"/>
        <v>8.0399999999999991</v>
      </c>
      <c r="K14" s="1138">
        <f t="shared" si="6"/>
        <v>8.0399999999999991</v>
      </c>
      <c r="L14" s="1138">
        <f t="shared" si="6"/>
        <v>8.0399999999999991</v>
      </c>
      <c r="M14" s="1138"/>
      <c r="N14" s="1213"/>
      <c r="O14" s="578">
        <f t="shared" si="0"/>
        <v>50.239999999999995</v>
      </c>
    </row>
    <row r="15" spans="1:15" ht="21.95" hidden="1" customHeight="1" x14ac:dyDescent="0.15">
      <c r="A15" s="2513"/>
      <c r="B15" s="2841"/>
      <c r="C15" s="2676"/>
      <c r="D15" s="557" t="s">
        <v>1324</v>
      </c>
      <c r="F15" s="1344"/>
      <c r="G15" s="1138">
        <f>IF(G13=0,0,S_Complementares!I5*0.52+S_Complementares!I6*0.22+S_Complementares!I8*0.6)</f>
        <v>151.72559999999999</v>
      </c>
      <c r="H15" s="1138">
        <f>IF(H13=0,0,S_Complementares!J5*0.52+S_Complementares!J6*0.22+S_Complementares!J8*0.6)</f>
        <v>625.32600000000002</v>
      </c>
      <c r="I15" s="1138">
        <f>IF(I13=0,0,S_Complementares!K5*0.52+S_Complementares!K6*0.22+S_Complementares!K8*0.6)</f>
        <v>132.95359999999999</v>
      </c>
      <c r="J15" s="1138">
        <f>IF(J13=0,0,S_Complementares!L5*0.52+S_Complementares!L6*0.22+S_Complementares!L8*0.6)</f>
        <v>88.888800000000003</v>
      </c>
      <c r="K15" s="1138">
        <f>IF(K13=0,0,S_Complementares!M5*0.52+S_Complementares!M6*0.22+S_Complementares!M8*0.6)</f>
        <v>98.19680000000001</v>
      </c>
      <c r="L15" s="1138">
        <f>IF(L13=0,0,S_Complementares!N5*0.52+S_Complementares!N6*0.22+S_Complementares!N8*0.6)</f>
        <v>666.83240000000001</v>
      </c>
      <c r="M15" s="1138"/>
      <c r="N15" s="1213"/>
      <c r="O15" s="578"/>
    </row>
    <row r="16" spans="1:15" ht="21.95" customHeight="1" x14ac:dyDescent="0.15">
      <c r="A16" s="2513"/>
      <c r="B16" s="2841"/>
      <c r="C16" s="2676"/>
      <c r="D16" s="542" t="s">
        <v>1864</v>
      </c>
      <c r="F16" s="1344"/>
      <c r="G16" s="1138">
        <f>IF(G13=0,0,G15+Pav_Dados!G77)</f>
        <v>1172.4756</v>
      </c>
      <c r="H16" s="1138">
        <f>IF(H13=0,0,H15+Pav_Dados!H77)</f>
        <v>5088.2960000000003</v>
      </c>
      <c r="I16" s="1138">
        <f>IF(I13=0,0,I15+Pav_Dados!I77)</f>
        <v>1253.5436</v>
      </c>
      <c r="J16" s="1138">
        <f>IF(J13=0,0,J15+Pav_Dados!J77)</f>
        <v>687.30880000000002</v>
      </c>
      <c r="K16" s="1138">
        <f>IF(K13=0,0,K15+Pav_Dados!K77)</f>
        <v>807.70680000000004</v>
      </c>
      <c r="L16" s="1138">
        <f>IF(L13=0,0,L15+Pav_Dados!L77)</f>
        <v>5437.1624000000002</v>
      </c>
      <c r="M16" s="1138"/>
      <c r="N16" s="1216">
        <f>+ROUND(SUM(G16:M16),2)</f>
        <v>14446.49</v>
      </c>
      <c r="O16" s="578">
        <f t="shared" ref="O16:O40" si="7">SUM(G16:N16)</f>
        <v>28892.983200000002</v>
      </c>
    </row>
    <row r="17" spans="1:15" ht="21.95" customHeight="1" x14ac:dyDescent="0.15">
      <c r="A17" s="2513"/>
      <c r="B17" s="2841"/>
      <c r="C17" s="2676"/>
      <c r="D17" s="542" t="s">
        <v>300</v>
      </c>
      <c r="F17" s="1344"/>
      <c r="G17" s="1138">
        <f t="shared" ref="G17" si="8">G16*G13/100</f>
        <v>175.87133999999998</v>
      </c>
      <c r="H17" s="1138">
        <f t="shared" ref="H17:L17" si="9">H16*H13/100</f>
        <v>763.24440000000004</v>
      </c>
      <c r="I17" s="1138">
        <f t="shared" si="9"/>
        <v>188.03153999999998</v>
      </c>
      <c r="J17" s="1138">
        <f t="shared" si="9"/>
        <v>103.09631999999999</v>
      </c>
      <c r="K17" s="1138">
        <f t="shared" si="9"/>
        <v>121.15602000000001</v>
      </c>
      <c r="L17" s="1138">
        <f t="shared" si="9"/>
        <v>815.57436000000007</v>
      </c>
      <c r="M17" s="1138"/>
      <c r="N17" s="1216">
        <f>+ROUND(SUM(G17:M17),2)</f>
        <v>2166.9699999999998</v>
      </c>
      <c r="O17" s="578">
        <f t="shared" si="7"/>
        <v>4333.94398</v>
      </c>
    </row>
    <row r="18" spans="1:15" ht="21.95" customHeight="1" x14ac:dyDescent="0.15">
      <c r="A18" s="2513"/>
      <c r="B18" s="2841"/>
      <c r="C18" s="2676"/>
      <c r="D18" s="542" t="s">
        <v>1311</v>
      </c>
      <c r="F18" s="1344"/>
      <c r="G18" s="157">
        <f>Pav_Dados!G81</f>
        <v>1</v>
      </c>
      <c r="H18" s="157">
        <f>Pav_Dados!H81</f>
        <v>1</v>
      </c>
      <c r="I18" s="157">
        <f>Pav_Dados!I81</f>
        <v>1</v>
      </c>
      <c r="J18" s="157">
        <f>Pav_Dados!J81</f>
        <v>1</v>
      </c>
      <c r="K18" s="157">
        <f>Pav_Dados!K81</f>
        <v>1</v>
      </c>
      <c r="L18" s="157">
        <f>Pav_Dados!L81</f>
        <v>1</v>
      </c>
      <c r="M18" s="157"/>
      <c r="N18" s="1221"/>
      <c r="O18" s="578">
        <f t="shared" si="7"/>
        <v>6</v>
      </c>
    </row>
    <row r="19" spans="1:15" ht="21.95" hidden="1" customHeight="1" x14ac:dyDescent="0.15">
      <c r="A19" s="2513"/>
      <c r="B19" s="2841"/>
      <c r="C19" s="2676"/>
      <c r="D19" s="557" t="s">
        <v>1299</v>
      </c>
      <c r="F19" s="1344"/>
      <c r="G19" s="157">
        <f>Pav_Dados!G82</f>
        <v>0</v>
      </c>
      <c r="H19" s="157">
        <f>Pav_Dados!H82</f>
        <v>0</v>
      </c>
      <c r="I19" s="157">
        <f>Pav_Dados!I82</f>
        <v>0</v>
      </c>
      <c r="J19" s="157">
        <f>Pav_Dados!J82</f>
        <v>0</v>
      </c>
      <c r="K19" s="157">
        <f>Pav_Dados!K82</f>
        <v>0</v>
      </c>
      <c r="L19" s="157">
        <f>Pav_Dados!L82</f>
        <v>0</v>
      </c>
      <c r="M19" s="157"/>
      <c r="N19" s="1221"/>
      <c r="O19" s="578">
        <f t="shared" si="7"/>
        <v>0</v>
      </c>
    </row>
    <row r="20" spans="1:15" ht="21.95" hidden="1" customHeight="1" x14ac:dyDescent="0.15">
      <c r="A20" s="2513"/>
      <c r="B20" s="2841"/>
      <c r="C20" s="2676"/>
      <c r="D20" s="542" t="s">
        <v>1312</v>
      </c>
      <c r="F20" s="1344"/>
      <c r="G20" s="336">
        <f>Pav_Dados!G83</f>
        <v>0</v>
      </c>
      <c r="H20" s="336">
        <f>Pav_Dados!H83</f>
        <v>0</v>
      </c>
      <c r="I20" s="336">
        <f>Pav_Dados!I83</f>
        <v>0</v>
      </c>
      <c r="J20" s="336">
        <f>Pav_Dados!J83</f>
        <v>0</v>
      </c>
      <c r="K20" s="336">
        <f>Pav_Dados!K83</f>
        <v>0</v>
      </c>
      <c r="L20" s="336">
        <f>Pav_Dados!L83</f>
        <v>0</v>
      </c>
      <c r="M20" s="336"/>
      <c r="N20" s="2326"/>
      <c r="O20" s="578">
        <f t="shared" si="7"/>
        <v>0</v>
      </c>
    </row>
    <row r="21" spans="1:15" ht="21.95" hidden="1" customHeight="1" x14ac:dyDescent="0.15">
      <c r="A21" s="2513"/>
      <c r="B21" s="2841"/>
      <c r="C21" s="2676"/>
      <c r="D21" s="542" t="s">
        <v>1313</v>
      </c>
      <c r="F21" s="1344"/>
      <c r="G21" s="157">
        <f>Pav_Dados!G84</f>
        <v>0</v>
      </c>
      <c r="H21" s="157">
        <f>Pav_Dados!H84</f>
        <v>0</v>
      </c>
      <c r="I21" s="157">
        <f>Pav_Dados!I84</f>
        <v>0</v>
      </c>
      <c r="J21" s="157">
        <f>Pav_Dados!J84</f>
        <v>0</v>
      </c>
      <c r="K21" s="157">
        <f>Pav_Dados!K84</f>
        <v>0</v>
      </c>
      <c r="L21" s="157">
        <f>Pav_Dados!L84</f>
        <v>0</v>
      </c>
      <c r="M21" s="157"/>
      <c r="N21" s="1221"/>
      <c r="O21" s="578">
        <f t="shared" si="7"/>
        <v>0</v>
      </c>
    </row>
    <row r="22" spans="1:15" ht="21.95" hidden="1" customHeight="1" x14ac:dyDescent="0.15">
      <c r="A22" s="2513"/>
      <c r="B22" s="2841"/>
      <c r="C22" s="2676"/>
      <c r="D22" s="542" t="s">
        <v>1314</v>
      </c>
      <c r="F22" s="1344"/>
      <c r="G22" s="157">
        <f>Pav_Dados!G85</f>
        <v>0</v>
      </c>
      <c r="H22" s="157">
        <f>Pav_Dados!H85</f>
        <v>0</v>
      </c>
      <c r="I22" s="157">
        <f>Pav_Dados!I85</f>
        <v>0</v>
      </c>
      <c r="J22" s="157">
        <f>Pav_Dados!J85</f>
        <v>0</v>
      </c>
      <c r="K22" s="157">
        <f>Pav_Dados!K85</f>
        <v>0</v>
      </c>
      <c r="L22" s="157">
        <f>Pav_Dados!L85</f>
        <v>0</v>
      </c>
      <c r="M22" s="157"/>
      <c r="N22" s="1221"/>
      <c r="O22" s="578">
        <f t="shared" si="7"/>
        <v>0</v>
      </c>
    </row>
    <row r="23" spans="1:15" ht="21.95" hidden="1" customHeight="1" x14ac:dyDescent="0.15">
      <c r="A23" s="2513"/>
      <c r="B23" s="2841"/>
      <c r="C23" s="2676"/>
      <c r="D23" s="542" t="s">
        <v>1418</v>
      </c>
      <c r="E23" s="1377"/>
      <c r="F23" s="1361"/>
      <c r="G23" s="337">
        <f>Pav_Dados!G80</f>
        <v>0</v>
      </c>
      <c r="H23" s="337">
        <f>Pav_Dados!H80</f>
        <v>0</v>
      </c>
      <c r="I23" s="337">
        <f>Pav_Dados!I80</f>
        <v>0</v>
      </c>
      <c r="J23" s="337">
        <f>Pav_Dados!J80</f>
        <v>0</v>
      </c>
      <c r="K23" s="337">
        <f>Pav_Dados!K80</f>
        <v>0</v>
      </c>
      <c r="L23" s="337">
        <f>Pav_Dados!L80</f>
        <v>0</v>
      </c>
      <c r="M23" s="337"/>
      <c r="N23" s="1579"/>
      <c r="O23" s="578">
        <f t="shared" si="7"/>
        <v>0</v>
      </c>
    </row>
    <row r="24" spans="1:15" ht="21.95" hidden="1" customHeight="1" x14ac:dyDescent="0.15">
      <c r="A24" s="2513"/>
      <c r="B24" s="2841"/>
      <c r="C24" s="2676"/>
      <c r="D24" s="543" t="s">
        <v>1802</v>
      </c>
      <c r="F24" s="1344"/>
      <c r="G24" s="1138">
        <f t="shared" ref="G24" si="10">IF(G23=2%,G17,0)</f>
        <v>0</v>
      </c>
      <c r="H24" s="1138">
        <f t="shared" ref="H24:L24" si="11">IF(H23=2%,H17,0)</f>
        <v>0</v>
      </c>
      <c r="I24" s="1138">
        <f t="shared" si="11"/>
        <v>0</v>
      </c>
      <c r="J24" s="1138">
        <f t="shared" si="11"/>
        <v>0</v>
      </c>
      <c r="K24" s="1138">
        <f t="shared" si="11"/>
        <v>0</v>
      </c>
      <c r="L24" s="1138">
        <f t="shared" si="11"/>
        <v>0</v>
      </c>
      <c r="M24" s="1138"/>
      <c r="N24" s="1217">
        <f t="shared" ref="N24:N37" si="12">+ROUND(SUM(G24:M24),2)</f>
        <v>0</v>
      </c>
      <c r="O24" s="578">
        <f t="shared" si="7"/>
        <v>0</v>
      </c>
    </row>
    <row r="25" spans="1:15" ht="21.95" hidden="1" customHeight="1" x14ac:dyDescent="0.15">
      <c r="A25" s="2513"/>
      <c r="B25" s="2841"/>
      <c r="C25" s="2676"/>
      <c r="D25" s="542" t="s">
        <v>1803</v>
      </c>
      <c r="F25" s="1344"/>
      <c r="G25" s="1138">
        <f t="shared" ref="G25" si="13">IF(G23=4%,G17,0)</f>
        <v>0</v>
      </c>
      <c r="H25" s="1138">
        <f t="shared" ref="H25:L25" si="14">IF(H23=4%,H17,0)</f>
        <v>0</v>
      </c>
      <c r="I25" s="1138">
        <f t="shared" si="14"/>
        <v>0</v>
      </c>
      <c r="J25" s="1138">
        <f t="shared" si="14"/>
        <v>0</v>
      </c>
      <c r="K25" s="1138">
        <f t="shared" si="14"/>
        <v>0</v>
      </c>
      <c r="L25" s="1138">
        <f t="shared" si="14"/>
        <v>0</v>
      </c>
      <c r="M25" s="1138"/>
      <c r="N25" s="1217">
        <f t="shared" si="12"/>
        <v>0</v>
      </c>
      <c r="O25" s="578">
        <f t="shared" si="7"/>
        <v>0</v>
      </c>
    </row>
    <row r="26" spans="1:15" ht="21.95" hidden="1" customHeight="1" x14ac:dyDescent="0.15">
      <c r="A26" s="2513"/>
      <c r="B26" s="2841"/>
      <c r="C26" s="2676"/>
      <c r="D26" s="542" t="s">
        <v>1804</v>
      </c>
      <c r="F26" s="1344"/>
      <c r="G26" s="1138">
        <f t="shared" ref="G26" si="15">IF(G23=6%,G17,0)</f>
        <v>0</v>
      </c>
      <c r="H26" s="1138">
        <f t="shared" ref="H26:L26" si="16">IF(H23=6%,H17,0)</f>
        <v>0</v>
      </c>
      <c r="I26" s="1138">
        <f t="shared" si="16"/>
        <v>0</v>
      </c>
      <c r="J26" s="1138">
        <f t="shared" si="16"/>
        <v>0</v>
      </c>
      <c r="K26" s="1138">
        <f t="shared" si="16"/>
        <v>0</v>
      </c>
      <c r="L26" s="1138">
        <f t="shared" si="16"/>
        <v>0</v>
      </c>
      <c r="M26" s="1138"/>
      <c r="N26" s="1217">
        <f t="shared" si="12"/>
        <v>0</v>
      </c>
      <c r="O26" s="578">
        <f t="shared" si="7"/>
        <v>0</v>
      </c>
    </row>
    <row r="27" spans="1:15" ht="21.95" hidden="1" customHeight="1" x14ac:dyDescent="0.15">
      <c r="A27" s="2513"/>
      <c r="B27" s="2841"/>
      <c r="C27" s="2676"/>
      <c r="D27" s="542" t="s">
        <v>1806</v>
      </c>
      <c r="F27" s="1344"/>
      <c r="G27" s="1138">
        <f t="shared" ref="G27" si="17">IF(G23=8%,G17,0)</f>
        <v>0</v>
      </c>
      <c r="H27" s="1138">
        <f t="shared" ref="H27:L27" si="18">IF(H23=8%,H17,0)</f>
        <v>0</v>
      </c>
      <c r="I27" s="1138">
        <f t="shared" si="18"/>
        <v>0</v>
      </c>
      <c r="J27" s="1138">
        <f t="shared" si="18"/>
        <v>0</v>
      </c>
      <c r="K27" s="1138">
        <f t="shared" si="18"/>
        <v>0</v>
      </c>
      <c r="L27" s="1138">
        <f t="shared" si="18"/>
        <v>0</v>
      </c>
      <c r="M27" s="1138"/>
      <c r="N27" s="1217">
        <f t="shared" si="12"/>
        <v>0</v>
      </c>
      <c r="O27" s="578">
        <f t="shared" si="7"/>
        <v>0</v>
      </c>
    </row>
    <row r="28" spans="1:15" ht="21.95" customHeight="1" x14ac:dyDescent="0.15">
      <c r="A28" s="2513"/>
      <c r="B28" s="2841"/>
      <c r="C28" s="2676"/>
      <c r="D28" s="542" t="s">
        <v>2811</v>
      </c>
      <c r="F28" s="1344"/>
      <c r="G28" s="1138">
        <f t="shared" ref="G28" si="19">IF(SUM(G18:G19)&gt;0,G17,0)</f>
        <v>175.87133999999998</v>
      </c>
      <c r="H28" s="1138">
        <f t="shared" ref="H28:L28" si="20">IF(SUM(H18:H19)&gt;0,H17,0)</f>
        <v>763.24440000000004</v>
      </c>
      <c r="I28" s="1138">
        <f t="shared" si="20"/>
        <v>188.03153999999998</v>
      </c>
      <c r="J28" s="1138">
        <f t="shared" si="20"/>
        <v>103.09631999999999</v>
      </c>
      <c r="K28" s="1138">
        <f t="shared" si="20"/>
        <v>121.15602000000001</v>
      </c>
      <c r="L28" s="1138">
        <f t="shared" si="20"/>
        <v>815.57436000000007</v>
      </c>
      <c r="M28" s="1138"/>
      <c r="N28" s="1217">
        <f t="shared" si="12"/>
        <v>2166.9699999999998</v>
      </c>
      <c r="O28" s="578">
        <f t="shared" si="7"/>
        <v>4333.94398</v>
      </c>
    </row>
    <row r="29" spans="1:15" ht="21.95" hidden="1" customHeight="1" x14ac:dyDescent="0.15">
      <c r="A29" s="2513"/>
      <c r="B29" s="2841"/>
      <c r="C29" s="2676"/>
      <c r="D29" s="542" t="s">
        <v>1877</v>
      </c>
      <c r="F29" s="1344"/>
      <c r="G29" s="1138">
        <f t="shared" ref="G29" si="21">IF(G20=100%,G17,0)</f>
        <v>0</v>
      </c>
      <c r="H29" s="1138">
        <f t="shared" ref="H29:L29" si="22">IF(H20=100%,H17,0)</f>
        <v>0</v>
      </c>
      <c r="I29" s="1138">
        <f t="shared" si="22"/>
        <v>0</v>
      </c>
      <c r="J29" s="1138">
        <f t="shared" si="22"/>
        <v>0</v>
      </c>
      <c r="K29" s="1138">
        <f t="shared" si="22"/>
        <v>0</v>
      </c>
      <c r="L29" s="1138">
        <f t="shared" si="22"/>
        <v>0</v>
      </c>
      <c r="M29" s="1138"/>
      <c r="N29" s="1217">
        <f t="shared" si="12"/>
        <v>0</v>
      </c>
      <c r="O29" s="578">
        <f t="shared" si="7"/>
        <v>0</v>
      </c>
    </row>
    <row r="30" spans="1:15" ht="21.95" hidden="1" customHeight="1" x14ac:dyDescent="0.15">
      <c r="A30" s="2513"/>
      <c r="B30" s="2841"/>
      <c r="C30" s="2676"/>
      <c r="D30" s="542" t="s">
        <v>1878</v>
      </c>
      <c r="F30" s="1344"/>
      <c r="G30" s="1138">
        <f t="shared" ref="G30" si="23">IF(G21=100%,G17,0)</f>
        <v>0</v>
      </c>
      <c r="H30" s="1138">
        <f t="shared" ref="H30:L30" si="24">IF(H21=100%,H17,0)</f>
        <v>0</v>
      </c>
      <c r="I30" s="1138">
        <f t="shared" si="24"/>
        <v>0</v>
      </c>
      <c r="J30" s="1138">
        <f t="shared" si="24"/>
        <v>0</v>
      </c>
      <c r="K30" s="1138">
        <f t="shared" si="24"/>
        <v>0</v>
      </c>
      <c r="L30" s="1138">
        <f t="shared" si="24"/>
        <v>0</v>
      </c>
      <c r="M30" s="1138"/>
      <c r="N30" s="1217">
        <f t="shared" si="12"/>
        <v>0</v>
      </c>
      <c r="O30" s="578">
        <f t="shared" si="7"/>
        <v>0</v>
      </c>
    </row>
    <row r="31" spans="1:15" ht="21.95" hidden="1" customHeight="1" x14ac:dyDescent="0.15">
      <c r="A31" s="2513"/>
      <c r="B31" s="2841"/>
      <c r="C31" s="2676"/>
      <c r="D31" s="542" t="s">
        <v>1879</v>
      </c>
      <c r="E31" s="1377"/>
      <c r="F31" s="1361"/>
      <c r="G31" s="1206">
        <f t="shared" ref="G31" si="25">IF(G22=100%,G17,0)</f>
        <v>0</v>
      </c>
      <c r="H31" s="1206">
        <f t="shared" ref="H31:L31" si="26">IF(H22=100%,H17,0)</f>
        <v>0</v>
      </c>
      <c r="I31" s="1206">
        <f t="shared" si="26"/>
        <v>0</v>
      </c>
      <c r="J31" s="1206">
        <f t="shared" si="26"/>
        <v>0</v>
      </c>
      <c r="K31" s="1206">
        <f t="shared" si="26"/>
        <v>0</v>
      </c>
      <c r="L31" s="1206">
        <f t="shared" si="26"/>
        <v>0</v>
      </c>
      <c r="M31" s="1206"/>
      <c r="N31" s="1223">
        <f t="shared" si="12"/>
        <v>0</v>
      </c>
      <c r="O31" s="578">
        <f t="shared" si="7"/>
        <v>0</v>
      </c>
    </row>
    <row r="32" spans="1:15" ht="21.95" hidden="1" customHeight="1" x14ac:dyDescent="0.15">
      <c r="A32" s="2513"/>
      <c r="B32" s="2841"/>
      <c r="C32" s="2676"/>
      <c r="D32" s="543" t="s">
        <v>1203</v>
      </c>
      <c r="F32" s="1344"/>
      <c r="G32" s="1138">
        <f t="shared" ref="G32" si="27">(G24*48.1741+G25*93.0233+G26*136.6637+G27*188.2884)/1000</f>
        <v>0</v>
      </c>
      <c r="H32" s="1138">
        <f t="shared" ref="H32:L32" si="28">(H24*48.1741+H25*93.0233+H26*136.6637+H27*188.2884)/1000</f>
        <v>0</v>
      </c>
      <c r="I32" s="1138">
        <f t="shared" si="28"/>
        <v>0</v>
      </c>
      <c r="J32" s="1138">
        <f t="shared" si="28"/>
        <v>0</v>
      </c>
      <c r="K32" s="1138">
        <f t="shared" si="28"/>
        <v>0</v>
      </c>
      <c r="L32" s="1138">
        <f t="shared" si="28"/>
        <v>0</v>
      </c>
      <c r="M32" s="1138"/>
      <c r="N32" s="1216">
        <f t="shared" si="12"/>
        <v>0</v>
      </c>
      <c r="O32" s="578">
        <f t="shared" si="7"/>
        <v>0</v>
      </c>
    </row>
    <row r="33" spans="1:15" ht="21.95" customHeight="1" thickBot="1" x14ac:dyDescent="0.2">
      <c r="A33" s="2513"/>
      <c r="B33" s="2841"/>
      <c r="C33" s="2676"/>
      <c r="D33" s="542" t="s">
        <v>723</v>
      </c>
      <c r="F33" s="1344"/>
      <c r="G33" s="1138">
        <f t="shared" ref="G33" si="29">(G17*G18+SUM(G24:G27))*1.25</f>
        <v>219.83917499999995</v>
      </c>
      <c r="H33" s="1138">
        <f t="shared" ref="H33:L33" si="30">(H17*H18+SUM(H24:H27))*1.25</f>
        <v>954.05550000000005</v>
      </c>
      <c r="I33" s="1138">
        <f t="shared" si="30"/>
        <v>235.03942499999997</v>
      </c>
      <c r="J33" s="1138">
        <f t="shared" si="30"/>
        <v>128.87039999999999</v>
      </c>
      <c r="K33" s="1138">
        <f t="shared" si="30"/>
        <v>151.44502500000002</v>
      </c>
      <c r="L33" s="1138">
        <f t="shared" si="30"/>
        <v>1019.4679500000001</v>
      </c>
      <c r="M33" s="1138"/>
      <c r="N33" s="1217">
        <f t="shared" si="12"/>
        <v>2708.72</v>
      </c>
      <c r="O33" s="578">
        <f t="shared" si="7"/>
        <v>5417.4374749999997</v>
      </c>
    </row>
    <row r="34" spans="1:15" ht="32.1" hidden="1" customHeight="1" x14ac:dyDescent="0.15">
      <c r="A34" s="2513"/>
      <c r="B34" s="2841"/>
      <c r="C34" s="2676"/>
      <c r="D34" s="566" t="s">
        <v>2720</v>
      </c>
      <c r="F34" s="1344"/>
      <c r="G34" s="1138">
        <f t="shared" ref="G34" si="31">G17*G19*1.375</f>
        <v>0</v>
      </c>
      <c r="H34" s="1138">
        <f t="shared" ref="H34:L34" si="32">H17*H19*1.375</f>
        <v>0</v>
      </c>
      <c r="I34" s="1138">
        <f t="shared" si="32"/>
        <v>0</v>
      </c>
      <c r="J34" s="1138">
        <f t="shared" si="32"/>
        <v>0</v>
      </c>
      <c r="K34" s="1138">
        <f t="shared" si="32"/>
        <v>0</v>
      </c>
      <c r="L34" s="1138">
        <f t="shared" si="32"/>
        <v>0</v>
      </c>
      <c r="M34" s="1138"/>
      <c r="N34" s="1217">
        <f t="shared" si="12"/>
        <v>0</v>
      </c>
      <c r="O34" s="578">
        <f t="shared" si="7"/>
        <v>0</v>
      </c>
    </row>
    <row r="35" spans="1:15" ht="21.95" hidden="1" customHeight="1" x14ac:dyDescent="0.15">
      <c r="A35" s="2513"/>
      <c r="B35" s="2841"/>
      <c r="C35" s="2676"/>
      <c r="D35" s="542" t="s">
        <v>724</v>
      </c>
      <c r="F35" s="1344"/>
      <c r="G35" s="1138">
        <f t="shared" ref="G35" si="33">G17*G20*1.25</f>
        <v>0</v>
      </c>
      <c r="H35" s="1138">
        <f t="shared" ref="H35:L35" si="34">H17*H20*1.25</f>
        <v>0</v>
      </c>
      <c r="I35" s="1138">
        <f t="shared" si="34"/>
        <v>0</v>
      </c>
      <c r="J35" s="1138">
        <f t="shared" si="34"/>
        <v>0</v>
      </c>
      <c r="K35" s="1138">
        <f t="shared" si="34"/>
        <v>0</v>
      </c>
      <c r="L35" s="1138">
        <f t="shared" si="34"/>
        <v>0</v>
      </c>
      <c r="M35" s="1138"/>
      <c r="N35" s="1217">
        <f t="shared" si="12"/>
        <v>0</v>
      </c>
      <c r="O35" s="578">
        <f t="shared" si="7"/>
        <v>0</v>
      </c>
    </row>
    <row r="36" spans="1:15" ht="21.95" hidden="1" customHeight="1" x14ac:dyDescent="0.15">
      <c r="A36" s="2513"/>
      <c r="B36" s="2841"/>
      <c r="C36" s="2676"/>
      <c r="D36" s="542" t="s">
        <v>1301</v>
      </c>
      <c r="F36" s="1344"/>
      <c r="G36" s="1138">
        <f t="shared" ref="G36" si="35">G17*G21*1.375</f>
        <v>0</v>
      </c>
      <c r="H36" s="1138">
        <f t="shared" ref="H36:L36" si="36">H17*H21*1.375</f>
        <v>0</v>
      </c>
      <c r="I36" s="1138">
        <f t="shared" si="36"/>
        <v>0</v>
      </c>
      <c r="J36" s="1138">
        <f t="shared" si="36"/>
        <v>0</v>
      </c>
      <c r="K36" s="1138">
        <f t="shared" si="36"/>
        <v>0</v>
      </c>
      <c r="L36" s="1138">
        <f t="shared" si="36"/>
        <v>0</v>
      </c>
      <c r="M36" s="1138"/>
      <c r="N36" s="1217">
        <f t="shared" si="12"/>
        <v>0</v>
      </c>
      <c r="O36" s="578">
        <f t="shared" si="7"/>
        <v>0</v>
      </c>
    </row>
    <row r="37" spans="1:15" ht="21.95" hidden="1" customHeight="1" thickBot="1" x14ac:dyDescent="0.2">
      <c r="A37" s="2513"/>
      <c r="B37" s="2841"/>
      <c r="C37" s="2676"/>
      <c r="D37" s="542" t="s">
        <v>1056</v>
      </c>
      <c r="E37" s="982"/>
      <c r="F37" s="1269"/>
      <c r="G37" s="1138">
        <f t="shared" ref="G37" si="37">G17*G22*1.4667</f>
        <v>0</v>
      </c>
      <c r="H37" s="1138">
        <f t="shared" ref="H37:L37" si="38">H17*H22*1.4667</f>
        <v>0</v>
      </c>
      <c r="I37" s="1138">
        <f t="shared" si="38"/>
        <v>0</v>
      </c>
      <c r="J37" s="1138">
        <f t="shared" si="38"/>
        <v>0</v>
      </c>
      <c r="K37" s="1138">
        <f t="shared" si="38"/>
        <v>0</v>
      </c>
      <c r="L37" s="1138">
        <f t="shared" si="38"/>
        <v>0</v>
      </c>
      <c r="M37" s="1138"/>
      <c r="N37" s="1217">
        <f t="shared" si="12"/>
        <v>0</v>
      </c>
      <c r="O37" s="578">
        <f t="shared" si="7"/>
        <v>0</v>
      </c>
    </row>
    <row r="38" spans="1:15" ht="21.95" customHeight="1" x14ac:dyDescent="0.15">
      <c r="A38" s="2513"/>
      <c r="B38" s="2841"/>
      <c r="C38" s="2834" t="s">
        <v>24</v>
      </c>
      <c r="D38" s="541" t="s">
        <v>3</v>
      </c>
      <c r="F38" s="1344"/>
      <c r="G38" s="1136">
        <f t="shared" ref="G38" si="39">IF(G39=0,0,G2)</f>
        <v>142.16</v>
      </c>
      <c r="H38" s="1136">
        <f t="shared" ref="H38:L38" si="40">IF(H39=0,0,H2)</f>
        <v>632.84</v>
      </c>
      <c r="I38" s="1136">
        <f t="shared" si="40"/>
        <v>105.4</v>
      </c>
      <c r="J38" s="1136">
        <f t="shared" si="40"/>
        <v>81.44</v>
      </c>
      <c r="K38" s="1136">
        <f t="shared" si="40"/>
        <v>99.64</v>
      </c>
      <c r="L38" s="1136">
        <f t="shared" si="40"/>
        <v>680.3</v>
      </c>
      <c r="M38" s="1136"/>
      <c r="N38" s="1215"/>
      <c r="O38" s="578">
        <f t="shared" si="7"/>
        <v>1741.78</v>
      </c>
    </row>
    <row r="39" spans="1:15" ht="21.95" customHeight="1" x14ac:dyDescent="0.15">
      <c r="A39" s="2513"/>
      <c r="B39" s="2841"/>
      <c r="C39" s="2835"/>
      <c r="D39" s="542" t="s">
        <v>1276</v>
      </c>
      <c r="F39" s="1344"/>
      <c r="G39" s="1220">
        <f>Pav_Dados!G86</f>
        <v>15</v>
      </c>
      <c r="H39" s="1220">
        <f>Pav_Dados!H86</f>
        <v>15</v>
      </c>
      <c r="I39" s="1220">
        <f>Pav_Dados!I86</f>
        <v>20</v>
      </c>
      <c r="J39" s="1220">
        <f>Pav_Dados!J86</f>
        <v>15</v>
      </c>
      <c r="K39" s="1220">
        <f>Pav_Dados!K86</f>
        <v>15</v>
      </c>
      <c r="L39" s="1220">
        <f>Pav_Dados!L86</f>
        <v>20</v>
      </c>
      <c r="M39" s="1220"/>
      <c r="N39" s="1221"/>
      <c r="O39" s="578">
        <f t="shared" si="7"/>
        <v>100</v>
      </c>
    </row>
    <row r="40" spans="1:15" ht="21.95" customHeight="1" x14ac:dyDescent="0.15">
      <c r="A40" s="2513"/>
      <c r="B40" s="2841"/>
      <c r="C40" s="2836"/>
      <c r="D40" s="542" t="s">
        <v>58</v>
      </c>
      <c r="F40" s="1344"/>
      <c r="G40" s="1138">
        <f t="shared" ref="G40" si="41">IF(G39=0,0,G6+IF(G5="dupla",2*0.47,0.47)+IF(G5="simples",0.17,0))</f>
        <v>7.9399999999999995</v>
      </c>
      <c r="H40" s="1138">
        <f t="shared" ref="H40:L40" si="42">IF(H39=0,0,H6+IF(H5="dupla",2*0.47,0.47)+IF(H5="simples",0.17,0))</f>
        <v>7.9399999999999995</v>
      </c>
      <c r="I40" s="1138">
        <f t="shared" si="42"/>
        <v>9.94</v>
      </c>
      <c r="J40" s="1138">
        <f t="shared" si="42"/>
        <v>7.9399999999999995</v>
      </c>
      <c r="K40" s="1138">
        <f t="shared" si="42"/>
        <v>7.9399999999999995</v>
      </c>
      <c r="L40" s="1138">
        <f t="shared" si="42"/>
        <v>7.9399999999999995</v>
      </c>
      <c r="M40" s="1138"/>
      <c r="N40" s="1213"/>
      <c r="O40" s="578">
        <f t="shared" si="7"/>
        <v>49.639999999999993</v>
      </c>
    </row>
    <row r="41" spans="1:15" ht="21.95" hidden="1" customHeight="1" x14ac:dyDescent="0.15">
      <c r="A41" s="2513"/>
      <c r="B41" s="2841"/>
      <c r="C41" s="2835"/>
      <c r="D41" s="557" t="s">
        <v>1324</v>
      </c>
      <c r="F41" s="1344"/>
      <c r="G41" s="1138">
        <f>IF(G39=0,0,S_Complementares!I5*0.47+S_Complementares!I6*0.17+S_Complementares!I8*0.6)</f>
        <v>137.13659999999999</v>
      </c>
      <c r="H41" s="1138">
        <f>IF(H39=0,0,S_Complementares!J5*0.47+S_Complementares!J6*0.17+S_Complementares!J8*0.6)</f>
        <v>565.19849999999997</v>
      </c>
      <c r="I41" s="1138">
        <f>IF(I39=0,0,S_Complementares!K5*0.47+S_Complementares!K6*0.17+S_Complementares!K8*0.6)</f>
        <v>120.1696</v>
      </c>
      <c r="J41" s="1138">
        <f>IF(J39=0,0,S_Complementares!L5*0.47+S_Complementares!L6*0.17+S_Complementares!L8*0.6)</f>
        <v>80.341799999999992</v>
      </c>
      <c r="K41" s="1138">
        <f>IF(K39=0,0,S_Complementares!M5*0.47+S_Complementares!M6*0.17+S_Complementares!M8*0.6)</f>
        <v>88.754800000000003</v>
      </c>
      <c r="L41" s="1138">
        <f>IF(L39=0,0,S_Complementares!N5*0.47+S_Complementares!N6*0.17+S_Complementares!N8*0.6)</f>
        <v>602.71389999999997</v>
      </c>
      <c r="M41" s="1138"/>
      <c r="N41" s="1213"/>
      <c r="O41" s="578"/>
    </row>
    <row r="42" spans="1:15" ht="21.95" customHeight="1" x14ac:dyDescent="0.15">
      <c r="A42" s="2513"/>
      <c r="B42" s="2841"/>
      <c r="C42" s="2835"/>
      <c r="D42" s="542" t="s">
        <v>1865</v>
      </c>
      <c r="F42" s="1344"/>
      <c r="G42" s="1138">
        <f>IF(G39=0,0,G41+Pav_Dados!G77)</f>
        <v>1157.8866</v>
      </c>
      <c r="H42" s="1138">
        <f>IF(H39=0,0,H41+Pav_Dados!H77)</f>
        <v>5028.1684999999998</v>
      </c>
      <c r="I42" s="1138">
        <f>IF(I39=0,0,I41+Pav_Dados!I77)</f>
        <v>1240.7595999999999</v>
      </c>
      <c r="J42" s="1138">
        <f>IF(J39=0,0,J41+Pav_Dados!J77)</f>
        <v>678.76179999999999</v>
      </c>
      <c r="K42" s="1138">
        <f>IF(K39=0,0,K41+Pav_Dados!K77)</f>
        <v>798.26480000000004</v>
      </c>
      <c r="L42" s="1138">
        <f>IF(L39=0,0,L41+Pav_Dados!L77)</f>
        <v>5373.0438999999997</v>
      </c>
      <c r="M42" s="1138"/>
      <c r="N42" s="1216">
        <f>+ROUND(SUM(G42:M42),2)</f>
        <v>14276.89</v>
      </c>
      <c r="O42" s="578">
        <f t="shared" ref="O42:O73" si="43">SUM(G42:N42)</f>
        <v>28553.7752</v>
      </c>
    </row>
    <row r="43" spans="1:15" ht="21.95" customHeight="1" x14ac:dyDescent="0.15">
      <c r="A43" s="2513"/>
      <c r="B43" s="2841"/>
      <c r="C43" s="2836"/>
      <c r="D43" s="542" t="s">
        <v>300</v>
      </c>
      <c r="E43" s="1377"/>
      <c r="F43" s="1361"/>
      <c r="G43" s="1206">
        <f t="shared" ref="G43" si="44">G42*G39/100</f>
        <v>173.68298999999999</v>
      </c>
      <c r="H43" s="1206">
        <f t="shared" ref="H43:L43" si="45">H42*H39/100</f>
        <v>754.22527500000001</v>
      </c>
      <c r="I43" s="1206">
        <f t="shared" si="45"/>
        <v>248.15191999999996</v>
      </c>
      <c r="J43" s="1206">
        <f t="shared" si="45"/>
        <v>101.81426999999999</v>
      </c>
      <c r="K43" s="1206">
        <f t="shared" si="45"/>
        <v>119.73971999999999</v>
      </c>
      <c r="L43" s="1206">
        <f t="shared" si="45"/>
        <v>1074.60878</v>
      </c>
      <c r="M43" s="1206"/>
      <c r="N43" s="1578">
        <f>+ROUND(SUM(G43:M43),2)</f>
        <v>2472.2199999999998</v>
      </c>
      <c r="O43" s="578">
        <f t="shared" si="43"/>
        <v>4944.4429550000004</v>
      </c>
    </row>
    <row r="44" spans="1:15" ht="21.95" hidden="1" customHeight="1" x14ac:dyDescent="0.15">
      <c r="A44" s="2513"/>
      <c r="B44" s="2841"/>
      <c r="C44" s="2835"/>
      <c r="D44" s="543" t="s">
        <v>328</v>
      </c>
      <c r="F44" s="1344"/>
      <c r="G44" s="157">
        <f>Pav_Dados!G88</f>
        <v>0</v>
      </c>
      <c r="H44" s="157">
        <f>Pav_Dados!H88</f>
        <v>0</v>
      </c>
      <c r="I44" s="157">
        <f>Pav_Dados!I88</f>
        <v>0</v>
      </c>
      <c r="J44" s="157">
        <f>Pav_Dados!J88</f>
        <v>0</v>
      </c>
      <c r="K44" s="157">
        <f>Pav_Dados!K88</f>
        <v>0</v>
      </c>
      <c r="L44" s="157">
        <f>Pav_Dados!L88</f>
        <v>0</v>
      </c>
      <c r="M44" s="157"/>
      <c r="N44" s="1221"/>
      <c r="O44" s="578">
        <f t="shared" si="43"/>
        <v>0</v>
      </c>
    </row>
    <row r="45" spans="1:15" ht="21.95" hidden="1" customHeight="1" x14ac:dyDescent="0.15">
      <c r="A45" s="2513"/>
      <c r="B45" s="2841"/>
      <c r="C45" s="2835"/>
      <c r="D45" s="542" t="s">
        <v>1299</v>
      </c>
      <c r="F45" s="1344"/>
      <c r="G45" s="157">
        <f>Pav_Dados!G89</f>
        <v>0</v>
      </c>
      <c r="H45" s="157">
        <f>Pav_Dados!H89</f>
        <v>0</v>
      </c>
      <c r="I45" s="157">
        <f>Pav_Dados!I89</f>
        <v>0</v>
      </c>
      <c r="J45" s="157">
        <f>Pav_Dados!J89</f>
        <v>0</v>
      </c>
      <c r="K45" s="157">
        <f>Pav_Dados!K89</f>
        <v>0</v>
      </c>
      <c r="L45" s="157">
        <f>Pav_Dados!L89</f>
        <v>0</v>
      </c>
      <c r="M45" s="157"/>
      <c r="N45" s="1221"/>
      <c r="O45" s="578">
        <f t="shared" si="43"/>
        <v>0</v>
      </c>
    </row>
    <row r="46" spans="1:15" ht="21.95" hidden="1" customHeight="1" x14ac:dyDescent="0.15">
      <c r="A46" s="2513"/>
      <c r="B46" s="2841"/>
      <c r="C46" s="2835"/>
      <c r="D46" s="542" t="s">
        <v>329</v>
      </c>
      <c r="F46" s="1344"/>
      <c r="G46" s="157">
        <f>Pav_Dados!G90</f>
        <v>0</v>
      </c>
      <c r="H46" s="157">
        <f>Pav_Dados!H90</f>
        <v>0</v>
      </c>
      <c r="I46" s="157">
        <f>Pav_Dados!I90</f>
        <v>0</v>
      </c>
      <c r="J46" s="157">
        <f>Pav_Dados!J90</f>
        <v>0</v>
      </c>
      <c r="K46" s="157">
        <f>Pav_Dados!K90</f>
        <v>0</v>
      </c>
      <c r="L46" s="157">
        <f>Pav_Dados!L90</f>
        <v>0</v>
      </c>
      <c r="M46" s="157"/>
      <c r="N46" s="1221"/>
      <c r="O46" s="578">
        <f t="shared" si="43"/>
        <v>0</v>
      </c>
    </row>
    <row r="47" spans="1:15" ht="21.95" customHeight="1" x14ac:dyDescent="0.15">
      <c r="A47" s="2513"/>
      <c r="B47" s="2841"/>
      <c r="C47" s="2836"/>
      <c r="D47" s="542" t="s">
        <v>1298</v>
      </c>
      <c r="F47" s="1344"/>
      <c r="G47" s="157">
        <f>Pav_Dados!G91</f>
        <v>1</v>
      </c>
      <c r="H47" s="157">
        <f>Pav_Dados!H91</f>
        <v>1</v>
      </c>
      <c r="I47" s="157">
        <f>Pav_Dados!I91</f>
        <v>1</v>
      </c>
      <c r="J47" s="157">
        <f>Pav_Dados!J91</f>
        <v>1</v>
      </c>
      <c r="K47" s="157">
        <f>Pav_Dados!K91</f>
        <v>1</v>
      </c>
      <c r="L47" s="157">
        <f>Pav_Dados!L91</f>
        <v>1</v>
      </c>
      <c r="M47" s="157"/>
      <c r="N47" s="1221"/>
      <c r="O47" s="578">
        <f t="shared" si="43"/>
        <v>6</v>
      </c>
    </row>
    <row r="48" spans="1:15" ht="21.95" hidden="1" customHeight="1" x14ac:dyDescent="0.15">
      <c r="A48" s="2513"/>
      <c r="B48" s="2841"/>
      <c r="C48" s="2835"/>
      <c r="D48" s="542" t="s">
        <v>1055</v>
      </c>
      <c r="F48" s="1344"/>
      <c r="G48" s="157">
        <f>Pav_Dados!G92</f>
        <v>0</v>
      </c>
      <c r="H48" s="157">
        <f>Pav_Dados!H92</f>
        <v>0</v>
      </c>
      <c r="I48" s="157">
        <f>Pav_Dados!I92</f>
        <v>0</v>
      </c>
      <c r="J48" s="157">
        <f>Pav_Dados!J92</f>
        <v>0</v>
      </c>
      <c r="K48" s="157">
        <f>Pav_Dados!K92</f>
        <v>0</v>
      </c>
      <c r="L48" s="157">
        <f>Pav_Dados!L92</f>
        <v>0</v>
      </c>
      <c r="M48" s="157"/>
      <c r="N48" s="1221"/>
      <c r="O48" s="578">
        <f t="shared" si="43"/>
        <v>0</v>
      </c>
    </row>
    <row r="49" spans="1:15" ht="21.95" hidden="1" customHeight="1" x14ac:dyDescent="0.15">
      <c r="A49" s="2513"/>
      <c r="B49" s="2841"/>
      <c r="C49" s="2835"/>
      <c r="D49" s="542" t="s">
        <v>1418</v>
      </c>
      <c r="E49" s="1377"/>
      <c r="F49" s="1361"/>
      <c r="G49" s="337">
        <f>Pav_Dados!G87</f>
        <v>0</v>
      </c>
      <c r="H49" s="337">
        <f>Pav_Dados!H87</f>
        <v>0</v>
      </c>
      <c r="I49" s="337">
        <f>Pav_Dados!I87</f>
        <v>0</v>
      </c>
      <c r="J49" s="337">
        <f>Pav_Dados!J87</f>
        <v>0</v>
      </c>
      <c r="K49" s="337">
        <f>Pav_Dados!K87</f>
        <v>0</v>
      </c>
      <c r="L49" s="337">
        <f>Pav_Dados!L87</f>
        <v>0</v>
      </c>
      <c r="M49" s="337"/>
      <c r="N49" s="1579"/>
      <c r="O49" s="578">
        <f t="shared" si="43"/>
        <v>0</v>
      </c>
    </row>
    <row r="50" spans="1:15" ht="21.95" hidden="1" customHeight="1" x14ac:dyDescent="0.15">
      <c r="A50" s="2513"/>
      <c r="B50" s="2841"/>
      <c r="C50" s="2835"/>
      <c r="D50" s="543" t="s">
        <v>1880</v>
      </c>
      <c r="F50" s="1344"/>
      <c r="G50" s="1138">
        <f t="shared" ref="G50" si="46">IF(G49=2%,G43,0)</f>
        <v>0</v>
      </c>
      <c r="H50" s="1138">
        <f t="shared" ref="H50:L50" si="47">IF(H49=2%,H43,0)</f>
        <v>0</v>
      </c>
      <c r="I50" s="1138">
        <f t="shared" si="47"/>
        <v>0</v>
      </c>
      <c r="J50" s="1138">
        <f t="shared" si="47"/>
        <v>0</v>
      </c>
      <c r="K50" s="1138">
        <f t="shared" si="47"/>
        <v>0</v>
      </c>
      <c r="L50" s="1138">
        <f t="shared" si="47"/>
        <v>0</v>
      </c>
      <c r="M50" s="1138"/>
      <c r="N50" s="1217">
        <f t="shared" ref="N50:N80" si="48">+ROUND(SUM(G50:M50),2)</f>
        <v>0</v>
      </c>
      <c r="O50" s="578">
        <f t="shared" si="43"/>
        <v>0</v>
      </c>
    </row>
    <row r="51" spans="1:15" ht="21.95" hidden="1" customHeight="1" x14ac:dyDescent="0.15">
      <c r="A51" s="2513"/>
      <c r="B51" s="2841"/>
      <c r="C51" s="2835"/>
      <c r="D51" s="542" t="s">
        <v>1881</v>
      </c>
      <c r="F51" s="1344"/>
      <c r="G51" s="1138">
        <f t="shared" ref="G51" si="49">IF(G49=4%,G43,0)</f>
        <v>0</v>
      </c>
      <c r="H51" s="1138">
        <f t="shared" ref="H51:L51" si="50">IF(H49=4%,H43,0)</f>
        <v>0</v>
      </c>
      <c r="I51" s="1138">
        <f t="shared" si="50"/>
        <v>0</v>
      </c>
      <c r="J51" s="1138">
        <f t="shared" si="50"/>
        <v>0</v>
      </c>
      <c r="K51" s="1138">
        <f t="shared" si="50"/>
        <v>0</v>
      </c>
      <c r="L51" s="1138">
        <f t="shared" si="50"/>
        <v>0</v>
      </c>
      <c r="M51" s="1138"/>
      <c r="N51" s="1217">
        <f t="shared" si="48"/>
        <v>0</v>
      </c>
      <c r="O51" s="578">
        <f t="shared" si="43"/>
        <v>0</v>
      </c>
    </row>
    <row r="52" spans="1:15" ht="21.95" hidden="1" customHeight="1" x14ac:dyDescent="0.15">
      <c r="A52" s="2513"/>
      <c r="B52" s="2841"/>
      <c r="C52" s="2835"/>
      <c r="D52" s="542" t="s">
        <v>1882</v>
      </c>
      <c r="F52" s="1344"/>
      <c r="G52" s="1138">
        <f t="shared" ref="G52" si="51">IF(G49=6%,G43,0)</f>
        <v>0</v>
      </c>
      <c r="H52" s="1138">
        <f t="shared" ref="H52:L52" si="52">IF(H49=6%,H43,0)</f>
        <v>0</v>
      </c>
      <c r="I52" s="1138">
        <f t="shared" si="52"/>
        <v>0</v>
      </c>
      <c r="J52" s="1138">
        <f t="shared" si="52"/>
        <v>0</v>
      </c>
      <c r="K52" s="1138">
        <f t="shared" si="52"/>
        <v>0</v>
      </c>
      <c r="L52" s="1138">
        <f t="shared" si="52"/>
        <v>0</v>
      </c>
      <c r="M52" s="1138"/>
      <c r="N52" s="1217">
        <f t="shared" si="48"/>
        <v>0</v>
      </c>
      <c r="O52" s="578">
        <f t="shared" si="43"/>
        <v>0</v>
      </c>
    </row>
    <row r="53" spans="1:15" ht="21.95" hidden="1" customHeight="1" x14ac:dyDescent="0.15">
      <c r="A53" s="2513"/>
      <c r="B53" s="2841"/>
      <c r="C53" s="2835"/>
      <c r="D53" s="542" t="s">
        <v>1883</v>
      </c>
      <c r="F53" s="1344"/>
      <c r="G53" s="1138">
        <f t="shared" ref="G53" si="53">IF(G49=8%,G43,0)</f>
        <v>0</v>
      </c>
      <c r="H53" s="1138">
        <f t="shared" ref="H53:L53" si="54">IF(H49=8%,H43,0)</f>
        <v>0</v>
      </c>
      <c r="I53" s="1138">
        <f t="shared" si="54"/>
        <v>0</v>
      </c>
      <c r="J53" s="1138">
        <f t="shared" si="54"/>
        <v>0</v>
      </c>
      <c r="K53" s="1138">
        <f t="shared" si="54"/>
        <v>0</v>
      </c>
      <c r="L53" s="1138">
        <f t="shared" si="54"/>
        <v>0</v>
      </c>
      <c r="M53" s="1138"/>
      <c r="N53" s="1217">
        <f t="shared" si="48"/>
        <v>0</v>
      </c>
      <c r="O53" s="578">
        <f t="shared" si="43"/>
        <v>0</v>
      </c>
    </row>
    <row r="54" spans="1:15" ht="21.95" hidden="1" customHeight="1" x14ac:dyDescent="0.15">
      <c r="A54" s="2513"/>
      <c r="B54" s="2841"/>
      <c r="C54" s="2835"/>
      <c r="D54" s="542" t="s">
        <v>538</v>
      </c>
      <c r="F54" s="1344"/>
      <c r="G54" s="1138">
        <f t="shared" ref="G54" si="55">IF(SUM(G44:G45)&gt;0,G43,0)</f>
        <v>0</v>
      </c>
      <c r="H54" s="1138">
        <f t="shared" ref="H54:L54" si="56">IF(SUM(H44:H45)&gt;0,H43,0)</f>
        <v>0</v>
      </c>
      <c r="I54" s="1138">
        <f t="shared" si="56"/>
        <v>0</v>
      </c>
      <c r="J54" s="1138">
        <f t="shared" si="56"/>
        <v>0</v>
      </c>
      <c r="K54" s="1138">
        <f t="shared" si="56"/>
        <v>0</v>
      </c>
      <c r="L54" s="1138">
        <f t="shared" si="56"/>
        <v>0</v>
      </c>
      <c r="M54" s="1138"/>
      <c r="N54" s="1217">
        <f t="shared" si="48"/>
        <v>0</v>
      </c>
      <c r="O54" s="578">
        <f t="shared" si="43"/>
        <v>0</v>
      </c>
    </row>
    <row r="55" spans="1:15" ht="21.95" hidden="1" customHeight="1" x14ac:dyDescent="0.15">
      <c r="A55" s="2513"/>
      <c r="B55" s="2841"/>
      <c r="C55" s="2835"/>
      <c r="D55" s="542" t="s">
        <v>1884</v>
      </c>
      <c r="F55" s="1344"/>
      <c r="G55" s="1138">
        <f t="shared" ref="G55" si="57">IF(G46=100%,G43,0)</f>
        <v>0</v>
      </c>
      <c r="H55" s="1138">
        <f t="shared" ref="H55:L55" si="58">IF(H46=100%,H43,0)</f>
        <v>0</v>
      </c>
      <c r="I55" s="1138">
        <f t="shared" si="58"/>
        <v>0</v>
      </c>
      <c r="J55" s="1138">
        <f t="shared" si="58"/>
        <v>0</v>
      </c>
      <c r="K55" s="1138">
        <f t="shared" si="58"/>
        <v>0</v>
      </c>
      <c r="L55" s="1138">
        <f t="shared" si="58"/>
        <v>0</v>
      </c>
      <c r="M55" s="1138"/>
      <c r="N55" s="1217">
        <f t="shared" si="48"/>
        <v>0</v>
      </c>
      <c r="O55" s="578">
        <f t="shared" si="43"/>
        <v>0</v>
      </c>
    </row>
    <row r="56" spans="1:15" ht="21.95" customHeight="1" x14ac:dyDescent="0.15">
      <c r="A56" s="2513"/>
      <c r="B56" s="2841"/>
      <c r="C56" s="2836"/>
      <c r="D56" s="542" t="s">
        <v>1885</v>
      </c>
      <c r="F56" s="1344"/>
      <c r="G56" s="1138">
        <f t="shared" ref="G56" si="59">IF(G47=100%,G43,0)</f>
        <v>173.68298999999999</v>
      </c>
      <c r="H56" s="1138">
        <f t="shared" ref="H56:L56" si="60">IF(H47=100%,H43,0)</f>
        <v>754.22527500000001</v>
      </c>
      <c r="I56" s="1138">
        <f t="shared" si="60"/>
        <v>248.15191999999996</v>
      </c>
      <c r="J56" s="1138">
        <f t="shared" si="60"/>
        <v>101.81426999999999</v>
      </c>
      <c r="K56" s="1138">
        <f t="shared" si="60"/>
        <v>119.73971999999999</v>
      </c>
      <c r="L56" s="1138">
        <f t="shared" si="60"/>
        <v>1074.60878</v>
      </c>
      <c r="M56" s="1138"/>
      <c r="N56" s="1217">
        <f t="shared" si="48"/>
        <v>2472.2199999999998</v>
      </c>
      <c r="O56" s="578">
        <f t="shared" si="43"/>
        <v>4944.4429550000004</v>
      </c>
    </row>
    <row r="57" spans="1:15" ht="21.95" hidden="1" customHeight="1" x14ac:dyDescent="0.15">
      <c r="A57" s="2513"/>
      <c r="B57" s="2841"/>
      <c r="C57" s="2835"/>
      <c r="D57" s="542" t="s">
        <v>1886</v>
      </c>
      <c r="E57" s="1377"/>
      <c r="F57" s="1361"/>
      <c r="G57" s="1206">
        <f t="shared" ref="G57" si="61">IF(G48=100%,G43,0)</f>
        <v>0</v>
      </c>
      <c r="H57" s="1206">
        <f t="shared" ref="H57:L57" si="62">IF(H48=100%,H43,0)</f>
        <v>0</v>
      </c>
      <c r="I57" s="1206">
        <f t="shared" si="62"/>
        <v>0</v>
      </c>
      <c r="J57" s="1206">
        <f t="shared" si="62"/>
        <v>0</v>
      </c>
      <c r="K57" s="1206">
        <f t="shared" si="62"/>
        <v>0</v>
      </c>
      <c r="L57" s="1206">
        <f t="shared" si="62"/>
        <v>0</v>
      </c>
      <c r="M57" s="1206"/>
      <c r="N57" s="1223">
        <f t="shared" si="48"/>
        <v>0</v>
      </c>
      <c r="O57" s="578">
        <f t="shared" si="43"/>
        <v>0</v>
      </c>
    </row>
    <row r="58" spans="1:15" ht="21.95" hidden="1" customHeight="1" x14ac:dyDescent="0.15">
      <c r="A58" s="2513"/>
      <c r="B58" s="2841"/>
      <c r="C58" s="2835"/>
      <c r="D58" s="543" t="s">
        <v>1203</v>
      </c>
      <c r="F58" s="1344"/>
      <c r="G58" s="1138">
        <f t="shared" ref="G58" si="63">(G50*48.1741+G51*93.0233+G52*136.6637+G53*188.2884)/1000</f>
        <v>0</v>
      </c>
      <c r="H58" s="1138">
        <f t="shared" ref="H58:L58" si="64">(H50*48.1741+H51*93.0233+H52*136.6637+H53*188.2884)/1000</f>
        <v>0</v>
      </c>
      <c r="I58" s="1138">
        <f t="shared" si="64"/>
        <v>0</v>
      </c>
      <c r="J58" s="1138">
        <f t="shared" si="64"/>
        <v>0</v>
      </c>
      <c r="K58" s="1138">
        <f t="shared" si="64"/>
        <v>0</v>
      </c>
      <c r="L58" s="1138">
        <f t="shared" si="64"/>
        <v>0</v>
      </c>
      <c r="M58" s="1138"/>
      <c r="N58" s="1216">
        <f t="shared" si="48"/>
        <v>0</v>
      </c>
      <c r="O58" s="578">
        <f t="shared" si="43"/>
        <v>0</v>
      </c>
    </row>
    <row r="59" spans="1:15" ht="21.95" hidden="1" customHeight="1" x14ac:dyDescent="0.15">
      <c r="A59" s="2513"/>
      <c r="B59" s="2841"/>
      <c r="C59" s="2835"/>
      <c r="D59" s="542" t="s">
        <v>723</v>
      </c>
      <c r="F59" s="1344"/>
      <c r="G59" s="1138">
        <f t="shared" ref="G59" si="65">G43*G44*1.25</f>
        <v>0</v>
      </c>
      <c r="H59" s="1138">
        <f t="shared" ref="H59:L59" si="66">H43*H44*1.25</f>
        <v>0</v>
      </c>
      <c r="I59" s="1138">
        <f t="shared" si="66"/>
        <v>0</v>
      </c>
      <c r="J59" s="1138">
        <f t="shared" si="66"/>
        <v>0</v>
      </c>
      <c r="K59" s="1138">
        <f t="shared" si="66"/>
        <v>0</v>
      </c>
      <c r="L59" s="1138">
        <f t="shared" si="66"/>
        <v>0</v>
      </c>
      <c r="M59" s="1138"/>
      <c r="N59" s="1217">
        <f t="shared" si="48"/>
        <v>0</v>
      </c>
      <c r="O59" s="578">
        <f t="shared" si="43"/>
        <v>0</v>
      </c>
    </row>
    <row r="60" spans="1:15" ht="32.1" hidden="1" customHeight="1" x14ac:dyDescent="0.15">
      <c r="A60" s="2513"/>
      <c r="B60" s="2841"/>
      <c r="C60" s="2835"/>
      <c r="D60" s="566" t="s">
        <v>2720</v>
      </c>
      <c r="F60" s="1344"/>
      <c r="G60" s="1138">
        <f t="shared" ref="G60" si="67">G43*G45*1.375</f>
        <v>0</v>
      </c>
      <c r="H60" s="1138">
        <f t="shared" ref="H60:L60" si="68">H43*H45*1.375</f>
        <v>0</v>
      </c>
      <c r="I60" s="1138">
        <f t="shared" si="68"/>
        <v>0</v>
      </c>
      <c r="J60" s="1138">
        <f t="shared" si="68"/>
        <v>0</v>
      </c>
      <c r="K60" s="1138">
        <f t="shared" si="68"/>
        <v>0</v>
      </c>
      <c r="L60" s="1138">
        <f t="shared" si="68"/>
        <v>0</v>
      </c>
      <c r="M60" s="1138"/>
      <c r="N60" s="1217">
        <f t="shared" si="48"/>
        <v>0</v>
      </c>
      <c r="O60" s="578">
        <f t="shared" si="43"/>
        <v>0</v>
      </c>
    </row>
    <row r="61" spans="1:15" ht="21.95" hidden="1" customHeight="1" x14ac:dyDescent="0.15">
      <c r="A61" s="2513"/>
      <c r="B61" s="2841"/>
      <c r="C61" s="2835"/>
      <c r="D61" s="542" t="s">
        <v>724</v>
      </c>
      <c r="F61" s="1344"/>
      <c r="G61" s="1138">
        <f t="shared" ref="G61" si="69">G43*G46*1.25</f>
        <v>0</v>
      </c>
      <c r="H61" s="1138">
        <f t="shared" ref="H61:L61" si="70">H43*H46*1.25</f>
        <v>0</v>
      </c>
      <c r="I61" s="1138">
        <f t="shared" si="70"/>
        <v>0</v>
      </c>
      <c r="J61" s="1138">
        <f t="shared" si="70"/>
        <v>0</v>
      </c>
      <c r="K61" s="1138">
        <f t="shared" si="70"/>
        <v>0</v>
      </c>
      <c r="L61" s="1138">
        <f t="shared" si="70"/>
        <v>0</v>
      </c>
      <c r="M61" s="1138"/>
      <c r="N61" s="1217">
        <f t="shared" si="48"/>
        <v>0</v>
      </c>
      <c r="O61" s="578">
        <f t="shared" si="43"/>
        <v>0</v>
      </c>
    </row>
    <row r="62" spans="1:15" ht="21.95" customHeight="1" thickBot="1" x14ac:dyDescent="0.2">
      <c r="A62" s="2513"/>
      <c r="B62" s="2841"/>
      <c r="C62" s="2836"/>
      <c r="D62" s="542" t="s">
        <v>1301</v>
      </c>
      <c r="F62" s="1344"/>
      <c r="G62" s="1206">
        <f t="shared" ref="G62" si="71">G43*G47*1.375</f>
        <v>238.81411125</v>
      </c>
      <c r="H62" s="1206">
        <f t="shared" ref="H62:L62" si="72">H43*H47*1.375</f>
        <v>1037.059753125</v>
      </c>
      <c r="I62" s="1206">
        <f t="shared" si="72"/>
        <v>341.20888999999994</v>
      </c>
      <c r="J62" s="1206">
        <f t="shared" si="72"/>
        <v>139.99462124999999</v>
      </c>
      <c r="K62" s="1206">
        <f t="shared" si="72"/>
        <v>164.64211499999999</v>
      </c>
      <c r="L62" s="1206">
        <f t="shared" si="72"/>
        <v>1477.5870725</v>
      </c>
      <c r="M62" s="1206"/>
      <c r="N62" s="1207">
        <f t="shared" si="48"/>
        <v>3399.31</v>
      </c>
      <c r="O62" s="578">
        <f t="shared" si="43"/>
        <v>6798.6165631249996</v>
      </c>
    </row>
    <row r="63" spans="1:15" ht="21.95" hidden="1" customHeight="1" thickBot="1" x14ac:dyDescent="0.2">
      <c r="A63" s="2513"/>
      <c r="B63" s="2841"/>
      <c r="C63" s="2835"/>
      <c r="D63" s="1070" t="s">
        <v>1056</v>
      </c>
      <c r="E63" s="1376"/>
      <c r="F63" s="1269"/>
      <c r="G63" s="1134">
        <f t="shared" ref="G63" si="73">G43*G48*1.4667</f>
        <v>0</v>
      </c>
      <c r="H63" s="1134">
        <f t="shared" ref="H63:L63" si="74">H43*H48*1.4667</f>
        <v>0</v>
      </c>
      <c r="I63" s="1134">
        <f t="shared" si="74"/>
        <v>0</v>
      </c>
      <c r="J63" s="1134">
        <f t="shared" si="74"/>
        <v>0</v>
      </c>
      <c r="K63" s="1134">
        <f t="shared" si="74"/>
        <v>0</v>
      </c>
      <c r="L63" s="1134">
        <f t="shared" si="74"/>
        <v>0</v>
      </c>
      <c r="M63" s="1134"/>
      <c r="N63" s="1214">
        <f t="shared" si="48"/>
        <v>0</v>
      </c>
      <c r="O63" s="578">
        <f t="shared" si="43"/>
        <v>0</v>
      </c>
    </row>
    <row r="64" spans="1:15" ht="21.95" customHeight="1" x14ac:dyDescent="0.15">
      <c r="A64" s="2513"/>
      <c r="B64" s="2841"/>
      <c r="C64" s="2834" t="s">
        <v>301</v>
      </c>
      <c r="D64" s="541" t="s">
        <v>29</v>
      </c>
      <c r="F64" s="1344"/>
      <c r="G64" s="1136">
        <f>Pav_Dados!G77</f>
        <v>1020.75</v>
      </c>
      <c r="H64" s="1136">
        <f>Pav_Dados!H77</f>
        <v>4462.97</v>
      </c>
      <c r="I64" s="1136">
        <f>Pav_Dados!I77</f>
        <v>1120.5899999999999</v>
      </c>
      <c r="J64" s="1136">
        <f>Pav_Dados!J77</f>
        <v>598.41999999999996</v>
      </c>
      <c r="K64" s="1136">
        <f>Pav_Dados!K77</f>
        <v>709.51</v>
      </c>
      <c r="L64" s="1136">
        <f>Pav_Dados!L77</f>
        <v>4770.33</v>
      </c>
      <c r="M64" s="1136"/>
      <c r="N64" s="1203">
        <f t="shared" si="48"/>
        <v>12682.57</v>
      </c>
      <c r="O64" s="578">
        <f t="shared" si="43"/>
        <v>25365.14</v>
      </c>
    </row>
    <row r="65" spans="1:16" ht="21.95" customHeight="1" thickBot="1" x14ac:dyDescent="0.2">
      <c r="A65" s="2513"/>
      <c r="B65" s="2841"/>
      <c r="C65" s="2838"/>
      <c r="D65" s="565" t="s">
        <v>1398</v>
      </c>
      <c r="E65" s="1376"/>
      <c r="F65" s="1269"/>
      <c r="G65" s="1134">
        <f t="shared" ref="G65" si="75">G64*0.0012</f>
        <v>1.2248999999999999</v>
      </c>
      <c r="H65" s="1134">
        <f t="shared" ref="H65:L65" si="76">H64*0.0012</f>
        <v>5.3555640000000002</v>
      </c>
      <c r="I65" s="1134">
        <f t="shared" si="76"/>
        <v>1.3447079999999998</v>
      </c>
      <c r="J65" s="1134">
        <f t="shared" si="76"/>
        <v>0.71810399999999985</v>
      </c>
      <c r="K65" s="1134">
        <f t="shared" si="76"/>
        <v>0.85141199999999995</v>
      </c>
      <c r="L65" s="1134">
        <f t="shared" si="76"/>
        <v>5.7243959999999996</v>
      </c>
      <c r="M65" s="1134"/>
      <c r="N65" s="1214">
        <f t="shared" si="48"/>
        <v>15.22</v>
      </c>
      <c r="O65" s="578">
        <f t="shared" si="43"/>
        <v>30.439084000000001</v>
      </c>
    </row>
    <row r="66" spans="1:16" ht="21.95" customHeight="1" x14ac:dyDescent="0.15">
      <c r="A66" s="2513"/>
      <c r="B66" s="2841"/>
      <c r="C66" s="2835" t="s">
        <v>517</v>
      </c>
      <c r="D66" s="542" t="s">
        <v>29</v>
      </c>
      <c r="F66" s="1344"/>
      <c r="G66" s="1138">
        <f t="shared" ref="G66" si="77">G64-G68</f>
        <v>1020.75</v>
      </c>
      <c r="H66" s="1138">
        <f t="shared" ref="H66:L66" si="78">H64-H68</f>
        <v>4462.97</v>
      </c>
      <c r="I66" s="1138">
        <f t="shared" si="78"/>
        <v>1120.5899999999999</v>
      </c>
      <c r="J66" s="1138">
        <f t="shared" si="78"/>
        <v>598.41999999999996</v>
      </c>
      <c r="K66" s="1138">
        <f t="shared" si="78"/>
        <v>709.51</v>
      </c>
      <c r="L66" s="1138">
        <f t="shared" si="78"/>
        <v>4770.33</v>
      </c>
      <c r="M66" s="1138"/>
      <c r="N66" s="1217">
        <f t="shared" si="48"/>
        <v>12682.57</v>
      </c>
      <c r="O66" s="578">
        <f t="shared" si="43"/>
        <v>25365.14</v>
      </c>
    </row>
    <row r="67" spans="1:16" ht="21.95" customHeight="1" thickBot="1" x14ac:dyDescent="0.2">
      <c r="A67" s="2513"/>
      <c r="B67" s="2841"/>
      <c r="C67" s="2838"/>
      <c r="D67" s="545" t="s">
        <v>1399</v>
      </c>
      <c r="E67" s="1376"/>
      <c r="F67" s="1344"/>
      <c r="G67" s="1138">
        <f t="shared" ref="G67" si="79">G66*0.0005</f>
        <v>0.51037500000000002</v>
      </c>
      <c r="H67" s="1138">
        <f t="shared" ref="H67:L67" si="80">H66*0.0005</f>
        <v>2.2314850000000002</v>
      </c>
      <c r="I67" s="1138">
        <f t="shared" si="80"/>
        <v>0.56029499999999999</v>
      </c>
      <c r="J67" s="1138">
        <f t="shared" si="80"/>
        <v>0.29920999999999998</v>
      </c>
      <c r="K67" s="1138">
        <f t="shared" si="80"/>
        <v>0.35475499999999999</v>
      </c>
      <c r="L67" s="1138">
        <f t="shared" si="80"/>
        <v>2.3851650000000002</v>
      </c>
      <c r="M67" s="1138"/>
      <c r="N67" s="1214">
        <f t="shared" si="48"/>
        <v>6.34</v>
      </c>
      <c r="O67" s="578">
        <f t="shared" si="43"/>
        <v>12.681284999999999</v>
      </c>
    </row>
    <row r="68" spans="1:16" ht="21.95" hidden="1" customHeight="1" x14ac:dyDescent="0.15">
      <c r="A68" s="2513"/>
      <c r="B68" s="2842"/>
      <c r="C68" s="2834" t="s">
        <v>1422</v>
      </c>
      <c r="D68" s="549" t="s">
        <v>29</v>
      </c>
      <c r="E68" s="984"/>
      <c r="F68" s="1358"/>
      <c r="G68" s="1136">
        <f>IF(Pav_Dados!G94="SIM",G64,0)</f>
        <v>0</v>
      </c>
      <c r="H68" s="1136">
        <f>IF(Pav_Dados!H94="SIM",H64,0)</f>
        <v>0</v>
      </c>
      <c r="I68" s="1136">
        <f>IF(Pav_Dados!I94="SIM",I64,0)</f>
        <v>0</v>
      </c>
      <c r="J68" s="1136">
        <f>IF(Pav_Dados!J94="SIM",J64,0)</f>
        <v>0</v>
      </c>
      <c r="K68" s="1136">
        <f>IF(Pav_Dados!K94="SIM",K64,0)</f>
        <v>0</v>
      </c>
      <c r="L68" s="1136">
        <f>IF(Pav_Dados!L94="SIM",L64,0)</f>
        <v>0</v>
      </c>
      <c r="M68" s="1136"/>
      <c r="N68" s="1203">
        <f t="shared" si="48"/>
        <v>0</v>
      </c>
      <c r="O68" s="578">
        <f t="shared" si="43"/>
        <v>0</v>
      </c>
    </row>
    <row r="69" spans="1:16" ht="21.95" hidden="1" customHeight="1" x14ac:dyDescent="0.15">
      <c r="A69" s="2513"/>
      <c r="B69" s="2842"/>
      <c r="C69" s="2835"/>
      <c r="D69" s="558" t="s">
        <v>1273</v>
      </c>
      <c r="E69" s="985"/>
      <c r="F69" s="1357"/>
      <c r="G69" s="1222">
        <f t="shared" ref="G69" si="81">G68*0.006</f>
        <v>0</v>
      </c>
      <c r="H69" s="1222">
        <f t="shared" ref="H69:L69" si="82">H68*0.006</f>
        <v>0</v>
      </c>
      <c r="I69" s="1222">
        <f t="shared" si="82"/>
        <v>0</v>
      </c>
      <c r="J69" s="1222">
        <f t="shared" si="82"/>
        <v>0</v>
      </c>
      <c r="K69" s="1222">
        <f t="shared" si="82"/>
        <v>0</v>
      </c>
      <c r="L69" s="1222">
        <f t="shared" si="82"/>
        <v>0</v>
      </c>
      <c r="M69" s="1222"/>
      <c r="N69" s="1217">
        <f t="shared" si="48"/>
        <v>0</v>
      </c>
      <c r="O69" s="578">
        <f t="shared" si="43"/>
        <v>0</v>
      </c>
    </row>
    <row r="70" spans="1:16" ht="21.95" hidden="1" customHeight="1" x14ac:dyDescent="0.15">
      <c r="A70" s="2513"/>
      <c r="B70" s="2842"/>
      <c r="C70" s="2835"/>
      <c r="D70" s="566" t="s">
        <v>1274</v>
      </c>
      <c r="E70" s="1503"/>
      <c r="F70" s="1357"/>
      <c r="G70" s="1138">
        <f t="shared" ref="G70" si="83">G68*0.0223</f>
        <v>0</v>
      </c>
      <c r="H70" s="1138">
        <f t="shared" ref="H70:L70" si="84">H68*0.0223</f>
        <v>0</v>
      </c>
      <c r="I70" s="1138">
        <f t="shared" si="84"/>
        <v>0</v>
      </c>
      <c r="J70" s="1138">
        <f t="shared" si="84"/>
        <v>0</v>
      </c>
      <c r="K70" s="1138">
        <f t="shared" si="84"/>
        <v>0</v>
      </c>
      <c r="L70" s="1138">
        <f t="shared" si="84"/>
        <v>0</v>
      </c>
      <c r="M70" s="1138"/>
      <c r="N70" s="1217">
        <f t="shared" si="48"/>
        <v>0</v>
      </c>
      <c r="O70" s="578">
        <f t="shared" si="43"/>
        <v>0</v>
      </c>
    </row>
    <row r="71" spans="1:16" ht="21.95" hidden="1" customHeight="1" thickBot="1" x14ac:dyDescent="0.2">
      <c r="A71" s="2513"/>
      <c r="B71" s="2842"/>
      <c r="C71" s="2838"/>
      <c r="D71" s="565" t="s">
        <v>1407</v>
      </c>
      <c r="E71" s="1504"/>
      <c r="F71" s="563"/>
      <c r="G71" s="1134">
        <f t="shared" ref="G71" si="85">G68*0.0048</f>
        <v>0</v>
      </c>
      <c r="H71" s="1134">
        <f t="shared" ref="H71:L71" si="86">H68*0.0048</f>
        <v>0</v>
      </c>
      <c r="I71" s="1134">
        <f t="shared" si="86"/>
        <v>0</v>
      </c>
      <c r="J71" s="1134">
        <f t="shared" si="86"/>
        <v>0</v>
      </c>
      <c r="K71" s="1134">
        <f t="shared" si="86"/>
        <v>0</v>
      </c>
      <c r="L71" s="1134">
        <f t="shared" si="86"/>
        <v>0</v>
      </c>
      <c r="M71" s="1134"/>
      <c r="N71" s="1214">
        <f t="shared" si="48"/>
        <v>0</v>
      </c>
      <c r="O71" s="578">
        <f t="shared" si="43"/>
        <v>0</v>
      </c>
    </row>
    <row r="72" spans="1:16" ht="21.95" hidden="1" customHeight="1" x14ac:dyDescent="0.15">
      <c r="A72" s="2513"/>
      <c r="B72" s="2842"/>
      <c r="C72" s="2834" t="s">
        <v>1413</v>
      </c>
      <c r="D72" s="549" t="s">
        <v>29</v>
      </c>
      <c r="E72" s="1503"/>
      <c r="F72" s="1357"/>
      <c r="G72" s="1138">
        <f>IF(Pav_Dados!G93="SIM",G64,0)</f>
        <v>0</v>
      </c>
      <c r="H72" s="1138">
        <f>IF(Pav_Dados!H93="SIM",H64,0)</f>
        <v>0</v>
      </c>
      <c r="I72" s="1138">
        <f>IF(Pav_Dados!I93="SIM",I64,0)</f>
        <v>0</v>
      </c>
      <c r="J72" s="1138">
        <f>IF(Pav_Dados!J93="SIM",J64,0)</f>
        <v>0</v>
      </c>
      <c r="K72" s="1138">
        <f>IF(Pav_Dados!K93="SIM",K64,0)</f>
        <v>0</v>
      </c>
      <c r="L72" s="1138">
        <f>IF(Pav_Dados!L93="SIM",L64,0)</f>
        <v>0</v>
      </c>
      <c r="M72" s="1138"/>
      <c r="N72" s="1203">
        <f t="shared" si="48"/>
        <v>0</v>
      </c>
      <c r="O72" s="578">
        <f t="shared" si="43"/>
        <v>0</v>
      </c>
    </row>
    <row r="73" spans="1:16" ht="21.95" hidden="1" customHeight="1" x14ac:dyDescent="0.15">
      <c r="A73" s="2513"/>
      <c r="B73" s="2842"/>
      <c r="C73" s="2835"/>
      <c r="D73" s="566" t="s">
        <v>1414</v>
      </c>
      <c r="E73" s="1503"/>
      <c r="F73" s="1357"/>
      <c r="G73" s="1138">
        <f t="shared" ref="G73" si="87">G72*0.006</f>
        <v>0</v>
      </c>
      <c r="H73" s="1138">
        <f t="shared" ref="H73:L73" si="88">H72*0.006</f>
        <v>0</v>
      </c>
      <c r="I73" s="1138">
        <f t="shared" si="88"/>
        <v>0</v>
      </c>
      <c r="J73" s="1138">
        <f t="shared" si="88"/>
        <v>0</v>
      </c>
      <c r="K73" s="1138">
        <f t="shared" si="88"/>
        <v>0</v>
      </c>
      <c r="L73" s="1138">
        <f t="shared" si="88"/>
        <v>0</v>
      </c>
      <c r="M73" s="1138"/>
      <c r="N73" s="1217">
        <f t="shared" si="48"/>
        <v>0</v>
      </c>
      <c r="O73" s="578">
        <f t="shared" si="43"/>
        <v>0</v>
      </c>
    </row>
    <row r="74" spans="1:16" ht="21.95" hidden="1" customHeight="1" thickBot="1" x14ac:dyDescent="0.2">
      <c r="A74" s="2513"/>
      <c r="B74" s="2842"/>
      <c r="C74" s="2838"/>
      <c r="D74" s="565" t="s">
        <v>1415</v>
      </c>
      <c r="E74" s="1503"/>
      <c r="F74" s="1357"/>
      <c r="G74" s="1138">
        <f t="shared" ref="G74" si="89">G72*0.001</f>
        <v>0</v>
      </c>
      <c r="H74" s="1138">
        <f t="shared" ref="H74:L74" si="90">H72*0.001</f>
        <v>0</v>
      </c>
      <c r="I74" s="1138">
        <f t="shared" si="90"/>
        <v>0</v>
      </c>
      <c r="J74" s="1138">
        <f t="shared" si="90"/>
        <v>0</v>
      </c>
      <c r="K74" s="1138">
        <f t="shared" si="90"/>
        <v>0</v>
      </c>
      <c r="L74" s="1138">
        <f t="shared" si="90"/>
        <v>0</v>
      </c>
      <c r="M74" s="1138"/>
      <c r="N74" s="1214">
        <f t="shared" si="48"/>
        <v>0</v>
      </c>
      <c r="O74" s="578">
        <f t="shared" ref="O74:O105" si="91">SUM(G74:N74)</f>
        <v>0</v>
      </c>
    </row>
    <row r="75" spans="1:16" ht="21.95" hidden="1" customHeight="1" x14ac:dyDescent="0.15">
      <c r="A75" s="2513"/>
      <c r="B75" s="2841"/>
      <c r="C75" s="2674" t="s">
        <v>303</v>
      </c>
      <c r="D75" s="547" t="s">
        <v>539</v>
      </c>
      <c r="E75" s="1060"/>
      <c r="F75" s="1343"/>
      <c r="G75" s="1136">
        <f>IF(Pav_Dados!G95="SIM",G64,0)</f>
        <v>0</v>
      </c>
      <c r="H75" s="1136">
        <f>IF(Pav_Dados!H95="SIM",H64,0)</f>
        <v>0</v>
      </c>
      <c r="I75" s="1136">
        <f>IF(Pav_Dados!I95="SIM",I64,0)</f>
        <v>0</v>
      </c>
      <c r="J75" s="1136">
        <f>IF(Pav_Dados!J95="SIM",J64,0)</f>
        <v>0</v>
      </c>
      <c r="K75" s="1136">
        <f>IF(Pav_Dados!K95="SIM",K64,0)</f>
        <v>0</v>
      </c>
      <c r="L75" s="1136">
        <f>IF(Pav_Dados!L95="SIM",L64,0)</f>
        <v>0</v>
      </c>
      <c r="M75" s="1136"/>
      <c r="N75" s="1203">
        <f t="shared" si="48"/>
        <v>0</v>
      </c>
      <c r="O75" s="578">
        <f t="shared" si="91"/>
        <v>0</v>
      </c>
    </row>
    <row r="76" spans="1:16" ht="21.95" hidden="1" customHeight="1" x14ac:dyDescent="0.15">
      <c r="A76" s="2513"/>
      <c r="B76" s="2841"/>
      <c r="C76" s="2676"/>
      <c r="D76" s="542" t="s">
        <v>540</v>
      </c>
      <c r="E76" s="1062"/>
      <c r="F76" s="1361"/>
      <c r="G76" s="1206">
        <f>IF(Pav_Dados!G96="SIM",G64,0)</f>
        <v>0</v>
      </c>
      <c r="H76" s="1206">
        <f>IF(Pav_Dados!H96="SIM",H64,0)</f>
        <v>0</v>
      </c>
      <c r="I76" s="1206">
        <f>IF(Pav_Dados!I96="SIM",I64,0)</f>
        <v>0</v>
      </c>
      <c r="J76" s="1206">
        <f>IF(Pav_Dados!J96="SIM",J64,0)</f>
        <v>0</v>
      </c>
      <c r="K76" s="1206">
        <f>IF(Pav_Dados!K96="SIM",K64,0)</f>
        <v>0</v>
      </c>
      <c r="L76" s="1206">
        <f>IF(Pav_Dados!L96="SIM",L64,0)</f>
        <v>0</v>
      </c>
      <c r="M76" s="1206"/>
      <c r="N76" s="1223">
        <f t="shared" si="48"/>
        <v>0</v>
      </c>
      <c r="O76" s="578">
        <f t="shared" si="91"/>
        <v>0</v>
      </c>
    </row>
    <row r="77" spans="1:16" ht="21.95" hidden="1" customHeight="1" x14ac:dyDescent="0.15">
      <c r="A77" s="2513"/>
      <c r="B77" s="2841"/>
      <c r="C77" s="2676"/>
      <c r="D77" s="542" t="s">
        <v>541</v>
      </c>
      <c r="E77" s="1063"/>
      <c r="F77" s="1362"/>
      <c r="G77" s="1204">
        <f>IF(Pav_Dados!G97="SIM",G64,0)</f>
        <v>0</v>
      </c>
      <c r="H77" s="1204">
        <f>IF(Pav_Dados!H97="SIM",H64,0)</f>
        <v>0</v>
      </c>
      <c r="I77" s="1204">
        <f>IF(Pav_Dados!I97="SIM",I64,0)</f>
        <v>0</v>
      </c>
      <c r="J77" s="1204">
        <f>IF(Pav_Dados!J97="SIM",J64,0)</f>
        <v>0</v>
      </c>
      <c r="K77" s="1204">
        <f>IF(Pav_Dados!K97="SIM",K64,0)</f>
        <v>0</v>
      </c>
      <c r="L77" s="1204">
        <f>IF(Pav_Dados!L97="SIM",L64,0)</f>
        <v>0</v>
      </c>
      <c r="M77" s="1204"/>
      <c r="N77" s="1205">
        <f t="shared" si="48"/>
        <v>0</v>
      </c>
      <c r="O77" s="578">
        <f t="shared" si="91"/>
        <v>0</v>
      </c>
    </row>
    <row r="78" spans="1:16" ht="21.95" hidden="1" customHeight="1" x14ac:dyDescent="0.15">
      <c r="A78" s="2513"/>
      <c r="B78" s="2841"/>
      <c r="C78" s="2676"/>
      <c r="D78" s="542" t="s">
        <v>542</v>
      </c>
      <c r="E78" s="1062"/>
      <c r="F78" s="1361"/>
      <c r="G78" s="1206">
        <f>IF(Pav_Dados!G98="SIM",G64,0)</f>
        <v>0</v>
      </c>
      <c r="H78" s="1206">
        <f>IF(Pav_Dados!H98="SIM",H64,0)</f>
        <v>0</v>
      </c>
      <c r="I78" s="1206">
        <f>IF(Pav_Dados!I98="SIM",I64,0)</f>
        <v>0</v>
      </c>
      <c r="J78" s="1206">
        <f>IF(Pav_Dados!J98="SIM",J64,0)</f>
        <v>0</v>
      </c>
      <c r="K78" s="1206">
        <f>IF(Pav_Dados!K98="SIM",K64,0)</f>
        <v>0</v>
      </c>
      <c r="L78" s="1206">
        <f>IF(Pav_Dados!L98="SIM",L64,0)</f>
        <v>0</v>
      </c>
      <c r="M78" s="1206"/>
      <c r="N78" s="1223">
        <f t="shared" si="48"/>
        <v>0</v>
      </c>
      <c r="O78" s="578">
        <f t="shared" si="91"/>
        <v>0</v>
      </c>
    </row>
    <row r="79" spans="1:16" ht="21.95" hidden="1" customHeight="1" x14ac:dyDescent="0.15">
      <c r="A79" s="2513"/>
      <c r="B79" s="2841"/>
      <c r="C79" s="2676"/>
      <c r="D79" s="557" t="s">
        <v>586</v>
      </c>
      <c r="F79" s="1344"/>
      <c r="G79" s="1138">
        <f t="shared" ref="G79" si="92">(G78+G76)*0.23+(G77+G75)*0.18</f>
        <v>0</v>
      </c>
      <c r="H79" s="1138">
        <f t="shared" ref="H79:L79" si="93">(H78+H76)*0.23+(H77+H75)*0.18</f>
        <v>0</v>
      </c>
      <c r="I79" s="1138">
        <f t="shared" si="93"/>
        <v>0</v>
      </c>
      <c r="J79" s="1138">
        <f t="shared" si="93"/>
        <v>0</v>
      </c>
      <c r="K79" s="1138">
        <f t="shared" si="93"/>
        <v>0</v>
      </c>
      <c r="L79" s="1138">
        <f t="shared" si="93"/>
        <v>0</v>
      </c>
      <c r="M79" s="1138"/>
      <c r="N79" s="1217">
        <f t="shared" si="48"/>
        <v>0</v>
      </c>
      <c r="O79" s="578">
        <f t="shared" si="91"/>
        <v>0</v>
      </c>
      <c r="P79" s="544"/>
    </row>
    <row r="80" spans="1:16" ht="21.95" hidden="1" customHeight="1" thickBot="1" x14ac:dyDescent="0.2">
      <c r="A80" s="2513"/>
      <c r="B80" s="2841"/>
      <c r="C80" s="2676"/>
      <c r="D80" s="545" t="s">
        <v>1382</v>
      </c>
      <c r="E80" s="1376"/>
      <c r="F80" s="1269"/>
      <c r="G80" s="1134">
        <f t="shared" ref="G80" si="94">SUM(G75:G78)*0.065</f>
        <v>0</v>
      </c>
      <c r="H80" s="1134">
        <f t="shared" ref="H80:L80" si="95">SUM(H75:H78)*0.065</f>
        <v>0</v>
      </c>
      <c r="I80" s="1134">
        <f t="shared" si="95"/>
        <v>0</v>
      </c>
      <c r="J80" s="1134">
        <f t="shared" si="95"/>
        <v>0</v>
      </c>
      <c r="K80" s="1134">
        <f t="shared" si="95"/>
        <v>0</v>
      </c>
      <c r="L80" s="1134">
        <f t="shared" si="95"/>
        <v>0</v>
      </c>
      <c r="M80" s="1134"/>
      <c r="N80" s="1218">
        <f t="shared" si="48"/>
        <v>0</v>
      </c>
      <c r="O80" s="578">
        <f t="shared" si="91"/>
        <v>0</v>
      </c>
    </row>
    <row r="81" spans="1:15" ht="21.95" customHeight="1" x14ac:dyDescent="0.15">
      <c r="A81" s="2513"/>
      <c r="B81" s="2841"/>
      <c r="C81" s="2674" t="s">
        <v>1388</v>
      </c>
      <c r="D81" s="559" t="s">
        <v>1276</v>
      </c>
      <c r="E81" s="1505"/>
      <c r="F81" s="1228"/>
      <c r="G81" s="1229">
        <f>IF(COUNTA(Pav_Dados!G100:G102)=1,Pav_Dados!G103,0)</f>
        <v>3</v>
      </c>
      <c r="H81" s="1229">
        <f>IF(COUNTA(Pav_Dados!H100:H102)=1,Pav_Dados!H103,0)</f>
        <v>3</v>
      </c>
      <c r="I81" s="1229">
        <f>IF(COUNTA(Pav_Dados!I100:I102)=1,Pav_Dados!I103,0)</f>
        <v>4</v>
      </c>
      <c r="J81" s="1229">
        <f>IF(COUNTA(Pav_Dados!J100:J102)=1,Pav_Dados!J103,0)</f>
        <v>3</v>
      </c>
      <c r="K81" s="1229">
        <f>IF(COUNTA(Pav_Dados!K100:K102)=1,Pav_Dados!K103,0)</f>
        <v>3</v>
      </c>
      <c r="L81" s="1229">
        <f>IF(COUNTA(Pav_Dados!L100:L102)=1,Pav_Dados!L103,0)</f>
        <v>4</v>
      </c>
      <c r="M81" s="1229"/>
      <c r="N81" s="1230"/>
      <c r="O81" s="578">
        <f t="shared" si="91"/>
        <v>20</v>
      </c>
    </row>
    <row r="82" spans="1:15" ht="21.95" customHeight="1" x14ac:dyDescent="0.15">
      <c r="A82" s="2513"/>
      <c r="B82" s="2841"/>
      <c r="C82" s="2676"/>
      <c r="D82" s="663" t="s">
        <v>1384</v>
      </c>
      <c r="F82" s="1344"/>
      <c r="G82" s="1138">
        <f>IF(Pav_Dados!G100="sim",G64*G81/100,0)</f>
        <v>30.622499999999999</v>
      </c>
      <c r="H82" s="1138">
        <f>IF(Pav_Dados!H100="sim",H64*H81/100,0)</f>
        <v>133.88909999999998</v>
      </c>
      <c r="I82" s="1138">
        <f>IF(Pav_Dados!I100="sim",I64*I81/100,0)</f>
        <v>44.823599999999999</v>
      </c>
      <c r="J82" s="1138">
        <f>IF(Pav_Dados!J100="sim",J64*J81/100,0)</f>
        <v>17.952599999999997</v>
      </c>
      <c r="K82" s="1138">
        <f>IF(Pav_Dados!K100="sim",K64*K81/100,0)</f>
        <v>21.285299999999996</v>
      </c>
      <c r="L82" s="1138">
        <f>IF(Pav_Dados!L100="sim",L64*L81/100,0)</f>
        <v>190.81319999999999</v>
      </c>
      <c r="M82" s="1138"/>
      <c r="N82" s="1217">
        <f t="shared" ref="N82:N89" si="96">+ROUND(SUM(G82:M82),2)</f>
        <v>439.39</v>
      </c>
      <c r="O82" s="578">
        <f t="shared" si="91"/>
        <v>878.77629999999999</v>
      </c>
    </row>
    <row r="83" spans="1:15" ht="21.95" hidden="1" customHeight="1" x14ac:dyDescent="0.15">
      <c r="A83" s="2513"/>
      <c r="B83" s="2841"/>
      <c r="C83" s="2676"/>
      <c r="D83" s="663" t="s">
        <v>1385</v>
      </c>
      <c r="F83" s="1344"/>
      <c r="G83" s="1138">
        <f>IF(Pav_Dados!G101="sim",G64*G81/100,0)</f>
        <v>0</v>
      </c>
      <c r="H83" s="1138">
        <f>IF(Pav_Dados!H101="sim",H64*H81/100,0)</f>
        <v>0</v>
      </c>
      <c r="I83" s="1138">
        <f>IF(Pav_Dados!I101="sim",I64*I81/100,0)</f>
        <v>0</v>
      </c>
      <c r="J83" s="1138">
        <f>IF(Pav_Dados!J101="sim",J64*J81/100,0)</f>
        <v>0</v>
      </c>
      <c r="K83" s="1138">
        <f>IF(Pav_Dados!K101="sim",K64*K81/100,0)</f>
        <v>0</v>
      </c>
      <c r="L83" s="1138">
        <f>IF(Pav_Dados!L101="sim",L64*L81/100,0)</f>
        <v>0</v>
      </c>
      <c r="M83" s="1138"/>
      <c r="N83" s="1217">
        <f t="shared" si="96"/>
        <v>0</v>
      </c>
      <c r="O83" s="578">
        <f t="shared" si="91"/>
        <v>0</v>
      </c>
    </row>
    <row r="84" spans="1:15" ht="21.95" hidden="1" customHeight="1" x14ac:dyDescent="0.15">
      <c r="A84" s="2513"/>
      <c r="B84" s="2841"/>
      <c r="C84" s="2676"/>
      <c r="D84" s="542" t="s">
        <v>1386</v>
      </c>
      <c r="E84" s="1062"/>
      <c r="F84" s="1361"/>
      <c r="G84" s="1206">
        <f>IF(Pav_Dados!G102="sim",G64*G81/100,0)</f>
        <v>0</v>
      </c>
      <c r="H84" s="1206">
        <f>IF(Pav_Dados!H102="sim",H64*H81/100,0)</f>
        <v>0</v>
      </c>
      <c r="I84" s="1206">
        <f>IF(Pav_Dados!I102="sim",I64*I81/100,0)</f>
        <v>0</v>
      </c>
      <c r="J84" s="1206">
        <f>IF(Pav_Dados!J102="sim",J64*J81/100,0)</f>
        <v>0</v>
      </c>
      <c r="K84" s="1206">
        <f>IF(Pav_Dados!K102="sim",K64*K81/100,0)</f>
        <v>0</v>
      </c>
      <c r="L84" s="1206">
        <f>IF(Pav_Dados!L102="sim",L64*L81/100,0)</f>
        <v>0</v>
      </c>
      <c r="M84" s="1206"/>
      <c r="N84" s="1223">
        <f t="shared" si="96"/>
        <v>0</v>
      </c>
      <c r="O84" s="578">
        <f t="shared" si="91"/>
        <v>0</v>
      </c>
    </row>
    <row r="85" spans="1:15" ht="21.95" customHeight="1" x14ac:dyDescent="0.15">
      <c r="A85" s="2513"/>
      <c r="B85" s="2841"/>
      <c r="C85" s="2676"/>
      <c r="D85" s="542" t="s">
        <v>1383</v>
      </c>
      <c r="E85" s="1061"/>
      <c r="F85" s="1344"/>
      <c r="G85" s="1138">
        <f t="shared" ref="G85" si="97">SUM(G82:G84)*0.161</f>
        <v>4.9302225000000002</v>
      </c>
      <c r="H85" s="1138">
        <f t="shared" ref="H85:L85" si="98">SUM(H82:H84)*0.161</f>
        <v>21.556145099999998</v>
      </c>
      <c r="I85" s="1138">
        <f t="shared" si="98"/>
        <v>7.2165996000000003</v>
      </c>
      <c r="J85" s="1138">
        <f t="shared" si="98"/>
        <v>2.8903685999999995</v>
      </c>
      <c r="K85" s="1138">
        <f t="shared" si="98"/>
        <v>3.4269332999999995</v>
      </c>
      <c r="L85" s="1138">
        <f t="shared" si="98"/>
        <v>30.7209252</v>
      </c>
      <c r="M85" s="1138"/>
      <c r="N85" s="1139">
        <f t="shared" si="96"/>
        <v>70.739999999999995</v>
      </c>
      <c r="O85" s="578">
        <f t="shared" si="91"/>
        <v>141.4811943</v>
      </c>
    </row>
    <row r="86" spans="1:15" ht="21.95" customHeight="1" x14ac:dyDescent="0.15">
      <c r="A86" s="2513"/>
      <c r="B86" s="2841"/>
      <c r="C86" s="2676"/>
      <c r="D86" s="542" t="s">
        <v>695</v>
      </c>
      <c r="E86" s="1062"/>
      <c r="F86" s="1361"/>
      <c r="G86" s="1138">
        <f t="shared" ref="G86" si="99">SUM(G82:G84)*0.477</f>
        <v>14.606932499999999</v>
      </c>
      <c r="H86" s="1138">
        <f t="shared" ref="H86:L86" si="100">SUM(H82:H84)*0.477</f>
        <v>63.865100699999992</v>
      </c>
      <c r="I86" s="1138">
        <f t="shared" si="100"/>
        <v>21.380857199999998</v>
      </c>
      <c r="J86" s="1138">
        <f t="shared" si="100"/>
        <v>8.5633901999999988</v>
      </c>
      <c r="K86" s="1138">
        <f t="shared" si="100"/>
        <v>10.153088099999998</v>
      </c>
      <c r="L86" s="1138">
        <f t="shared" si="100"/>
        <v>91.017896399999998</v>
      </c>
      <c r="M86" s="1138"/>
      <c r="N86" s="1217">
        <f t="shared" si="96"/>
        <v>209.59</v>
      </c>
      <c r="O86" s="578">
        <f t="shared" si="91"/>
        <v>419.1772651</v>
      </c>
    </row>
    <row r="87" spans="1:15" ht="21.95" customHeight="1" thickBot="1" x14ac:dyDescent="0.2">
      <c r="A87" s="2513"/>
      <c r="B87" s="2841"/>
      <c r="C87" s="2676"/>
      <c r="D87" s="542" t="s">
        <v>1291</v>
      </c>
      <c r="E87" s="1061"/>
      <c r="F87" s="1344"/>
      <c r="G87" s="1138">
        <f t="shared" ref="G87" si="101">G82*2.5548*6%</f>
        <v>4.6940617800000002</v>
      </c>
      <c r="H87" s="1138">
        <f t="shared" ref="H87:L87" si="102">H82*2.5548*6%</f>
        <v>20.523592360799999</v>
      </c>
      <c r="I87" s="1138">
        <f t="shared" si="102"/>
        <v>6.8709199968000005</v>
      </c>
      <c r="J87" s="1138">
        <f t="shared" si="102"/>
        <v>2.7519181487999997</v>
      </c>
      <c r="K87" s="1138">
        <f t="shared" si="102"/>
        <v>3.2627810663999992</v>
      </c>
      <c r="L87" s="1138">
        <f t="shared" si="102"/>
        <v>29.249373801600001</v>
      </c>
      <c r="M87" s="1138"/>
      <c r="N87" s="1139">
        <f t="shared" si="96"/>
        <v>67.349999999999994</v>
      </c>
      <c r="O87" s="578">
        <f t="shared" si="91"/>
        <v>134.70264715439998</v>
      </c>
    </row>
    <row r="88" spans="1:15" ht="21.95" hidden="1" customHeight="1" x14ac:dyDescent="0.15">
      <c r="A88" s="2513"/>
      <c r="B88" s="2841"/>
      <c r="C88" s="2676"/>
      <c r="D88" s="542" t="s">
        <v>1292</v>
      </c>
      <c r="E88" s="1061"/>
      <c r="F88" s="1344"/>
      <c r="G88" s="1138">
        <f t="shared" ref="G88" si="103">G83*2.5548*6%</f>
        <v>0</v>
      </c>
      <c r="H88" s="1138">
        <f t="shared" ref="H88:L88" si="104">H83*2.5548*6%</f>
        <v>0</v>
      </c>
      <c r="I88" s="1138">
        <f t="shared" si="104"/>
        <v>0</v>
      </c>
      <c r="J88" s="1138">
        <f t="shared" si="104"/>
        <v>0</v>
      </c>
      <c r="K88" s="1138">
        <f t="shared" si="104"/>
        <v>0</v>
      </c>
      <c r="L88" s="1138">
        <f t="shared" si="104"/>
        <v>0</v>
      </c>
      <c r="M88" s="1138"/>
      <c r="N88" s="1217">
        <f t="shared" si="96"/>
        <v>0</v>
      </c>
      <c r="O88" s="578">
        <f t="shared" si="91"/>
        <v>0</v>
      </c>
    </row>
    <row r="89" spans="1:15" ht="21.95" hidden="1" customHeight="1" thickBot="1" x14ac:dyDescent="0.2">
      <c r="A89" s="2513"/>
      <c r="B89" s="2841"/>
      <c r="C89" s="2676"/>
      <c r="D89" s="545" t="s">
        <v>1293</v>
      </c>
      <c r="E89" s="982"/>
      <c r="F89" s="1269"/>
      <c r="G89" s="1134">
        <f t="shared" ref="G89" si="105">G84*2.5548*6%</f>
        <v>0</v>
      </c>
      <c r="H89" s="1134">
        <f t="shared" ref="H89:L89" si="106">H84*2.5548*6%</f>
        <v>0</v>
      </c>
      <c r="I89" s="1134">
        <f t="shared" si="106"/>
        <v>0</v>
      </c>
      <c r="J89" s="1134">
        <f t="shared" si="106"/>
        <v>0</v>
      </c>
      <c r="K89" s="1134">
        <f t="shared" si="106"/>
        <v>0</v>
      </c>
      <c r="L89" s="1134">
        <f t="shared" si="106"/>
        <v>0</v>
      </c>
      <c r="M89" s="1134"/>
      <c r="N89" s="1140">
        <f t="shared" si="96"/>
        <v>0</v>
      </c>
      <c r="O89" s="578">
        <f t="shared" si="91"/>
        <v>0</v>
      </c>
    </row>
    <row r="90" spans="1:15" ht="21.95" hidden="1" customHeight="1" x14ac:dyDescent="0.15">
      <c r="A90" s="2513"/>
      <c r="B90" s="2841"/>
      <c r="C90" s="2834" t="s">
        <v>1387</v>
      </c>
      <c r="D90" s="562" t="s">
        <v>1276</v>
      </c>
      <c r="F90" s="1344"/>
      <c r="G90" s="1220">
        <f>IF(Pav_Dados!G99="SIM",Pav_Dados!G103,0)</f>
        <v>0</v>
      </c>
      <c r="H90" s="1220">
        <f>IF(Pav_Dados!H99="SIM",Pav_Dados!H103,0)</f>
        <v>0</v>
      </c>
      <c r="I90" s="1220">
        <f>IF(Pav_Dados!I99="SIM",Pav_Dados!I103,0)</f>
        <v>0</v>
      </c>
      <c r="J90" s="1220">
        <f>IF(Pav_Dados!J99="SIM",Pav_Dados!J103,0)</f>
        <v>0</v>
      </c>
      <c r="K90" s="1220">
        <f>IF(Pav_Dados!K99="SIM",Pav_Dados!K103,0)</f>
        <v>0</v>
      </c>
      <c r="L90" s="1220">
        <f>IF(Pav_Dados!L99="SIM",Pav_Dados!L103,0)</f>
        <v>0</v>
      </c>
      <c r="M90" s="1220"/>
      <c r="N90" s="1227"/>
      <c r="O90" s="578">
        <f t="shared" si="91"/>
        <v>0</v>
      </c>
    </row>
    <row r="91" spans="1:15" ht="21.95" hidden="1" customHeight="1" x14ac:dyDescent="0.15">
      <c r="A91" s="2513"/>
      <c r="B91" s="2841"/>
      <c r="C91" s="2835"/>
      <c r="D91" s="663" t="s">
        <v>730</v>
      </c>
      <c r="F91" s="1344"/>
      <c r="G91" s="1138">
        <f t="shared" ref="G91" si="107">G90/100*G64</f>
        <v>0</v>
      </c>
      <c r="H91" s="1138">
        <f t="shared" ref="H91:L91" si="108">H90/100*H64</f>
        <v>0</v>
      </c>
      <c r="I91" s="1138">
        <f t="shared" si="108"/>
        <v>0</v>
      </c>
      <c r="J91" s="1138">
        <f t="shared" si="108"/>
        <v>0</v>
      </c>
      <c r="K91" s="1138">
        <f t="shared" si="108"/>
        <v>0</v>
      </c>
      <c r="L91" s="1138">
        <f t="shared" si="108"/>
        <v>0</v>
      </c>
      <c r="M91" s="1138"/>
      <c r="N91" s="1217">
        <f t="shared" ref="N91:N120" si="109">+ROUND(SUM(G91:M91),2)</f>
        <v>0</v>
      </c>
      <c r="O91" s="578">
        <f t="shared" si="91"/>
        <v>0</v>
      </c>
    </row>
    <row r="92" spans="1:15" ht="21.95" hidden="1" customHeight="1" x14ac:dyDescent="0.15">
      <c r="A92" s="2513"/>
      <c r="B92" s="2841"/>
      <c r="C92" s="2835"/>
      <c r="D92" s="562" t="s">
        <v>694</v>
      </c>
      <c r="F92" s="1344"/>
      <c r="G92" s="1138">
        <f t="shared" ref="G92" si="110">G91*0.411</f>
        <v>0</v>
      </c>
      <c r="H92" s="1138">
        <f t="shared" ref="H92:L92" si="111">H91*0.411</f>
        <v>0</v>
      </c>
      <c r="I92" s="1138">
        <f t="shared" si="111"/>
        <v>0</v>
      </c>
      <c r="J92" s="1138">
        <f t="shared" si="111"/>
        <v>0</v>
      </c>
      <c r="K92" s="1138">
        <f t="shared" si="111"/>
        <v>0</v>
      </c>
      <c r="L92" s="1138">
        <f t="shared" si="111"/>
        <v>0</v>
      </c>
      <c r="M92" s="1138"/>
      <c r="N92" s="1217">
        <f t="shared" si="109"/>
        <v>0</v>
      </c>
      <c r="O92" s="578">
        <f t="shared" si="91"/>
        <v>0</v>
      </c>
    </row>
    <row r="93" spans="1:15" ht="21.95" hidden="1" customHeight="1" x14ac:dyDescent="0.15">
      <c r="A93" s="2513"/>
      <c r="B93" s="2841"/>
      <c r="C93" s="2835"/>
      <c r="D93" s="562" t="s">
        <v>685</v>
      </c>
      <c r="F93" s="1344"/>
      <c r="G93" s="1138">
        <f t="shared" ref="G93" si="112">G91*0.968</f>
        <v>0</v>
      </c>
      <c r="H93" s="1138">
        <f t="shared" ref="H93:L93" si="113">H91*0.968</f>
        <v>0</v>
      </c>
      <c r="I93" s="1138">
        <f t="shared" si="113"/>
        <v>0</v>
      </c>
      <c r="J93" s="1138">
        <f t="shared" si="113"/>
        <v>0</v>
      </c>
      <c r="K93" s="1138">
        <f t="shared" si="113"/>
        <v>0</v>
      </c>
      <c r="L93" s="1138">
        <f t="shared" si="113"/>
        <v>0</v>
      </c>
      <c r="M93" s="1138"/>
      <c r="N93" s="1217">
        <f t="shared" si="109"/>
        <v>0</v>
      </c>
      <c r="O93" s="578">
        <f t="shared" si="91"/>
        <v>0</v>
      </c>
    </row>
    <row r="94" spans="1:15" ht="21.95" hidden="1" customHeight="1" thickBot="1" x14ac:dyDescent="0.2">
      <c r="A94" s="2513"/>
      <c r="B94" s="2841"/>
      <c r="C94" s="2838"/>
      <c r="D94" s="560" t="s">
        <v>949</v>
      </c>
      <c r="F94" s="1344"/>
      <c r="G94" s="1138">
        <f t="shared" ref="G94" si="114">G91*0.132</f>
        <v>0</v>
      </c>
      <c r="H94" s="1138">
        <f t="shared" ref="H94:L94" si="115">H91*0.132</f>
        <v>0</v>
      </c>
      <c r="I94" s="1138">
        <f t="shared" si="115"/>
        <v>0</v>
      </c>
      <c r="J94" s="1138">
        <f t="shared" si="115"/>
        <v>0</v>
      </c>
      <c r="K94" s="1138">
        <f t="shared" si="115"/>
        <v>0</v>
      </c>
      <c r="L94" s="1138">
        <f t="shared" si="115"/>
        <v>0</v>
      </c>
      <c r="M94" s="1138"/>
      <c r="N94" s="1217">
        <f t="shared" si="109"/>
        <v>0</v>
      </c>
      <c r="O94" s="578">
        <f t="shared" si="91"/>
        <v>0</v>
      </c>
    </row>
    <row r="95" spans="1:15" ht="21.95" hidden="1" customHeight="1" x14ac:dyDescent="0.15">
      <c r="A95" s="2513"/>
      <c r="B95" s="2570" t="s">
        <v>1351</v>
      </c>
      <c r="C95" s="2843"/>
      <c r="D95" s="549" t="s">
        <v>1401</v>
      </c>
      <c r="E95" s="1060"/>
      <c r="F95" s="1343"/>
      <c r="G95" s="1136"/>
      <c r="H95" s="1136"/>
      <c r="I95" s="1136"/>
      <c r="J95" s="1136"/>
      <c r="K95" s="1136"/>
      <c r="L95" s="1136"/>
      <c r="M95" s="1136"/>
      <c r="N95" s="1203">
        <f t="shared" si="109"/>
        <v>0</v>
      </c>
      <c r="O95" s="578">
        <f t="shared" si="91"/>
        <v>0</v>
      </c>
    </row>
    <row r="96" spans="1:15" ht="21.95" hidden="1" customHeight="1" thickBot="1" x14ac:dyDescent="0.2">
      <c r="A96" s="2513"/>
      <c r="B96" s="2572"/>
      <c r="C96" s="2844"/>
      <c r="D96" s="565" t="s">
        <v>1368</v>
      </c>
      <c r="E96" s="982"/>
      <c r="F96" s="1269"/>
      <c r="G96" s="1134">
        <f t="shared" ref="G96" si="116">G63</f>
        <v>0</v>
      </c>
      <c r="H96" s="1134">
        <f t="shared" ref="H96:L96" si="117">H63</f>
        <v>0</v>
      </c>
      <c r="I96" s="1134">
        <f t="shared" si="117"/>
        <v>0</v>
      </c>
      <c r="J96" s="1134">
        <f t="shared" si="117"/>
        <v>0</v>
      </c>
      <c r="K96" s="1134">
        <f t="shared" si="117"/>
        <v>0</v>
      </c>
      <c r="L96" s="1134">
        <f t="shared" si="117"/>
        <v>0</v>
      </c>
      <c r="M96" s="1134"/>
      <c r="N96" s="1140">
        <f t="shared" si="109"/>
        <v>0</v>
      </c>
      <c r="O96" s="578">
        <f t="shared" si="91"/>
        <v>0</v>
      </c>
    </row>
    <row r="97" spans="1:15" ht="21.95" customHeight="1" x14ac:dyDescent="0.15">
      <c r="A97" s="2513"/>
      <c r="B97" s="2727" t="s">
        <v>1376</v>
      </c>
      <c r="C97" s="2674"/>
      <c r="D97" s="549" t="s">
        <v>1807</v>
      </c>
      <c r="F97" s="1344"/>
      <c r="G97" s="1136">
        <f t="shared" ref="G97" si="118">G33+G59</f>
        <v>219.83917499999995</v>
      </c>
      <c r="H97" s="1136">
        <f t="shared" ref="H97:L97" si="119">H33+H59</f>
        <v>954.05550000000005</v>
      </c>
      <c r="I97" s="1136">
        <f t="shared" si="119"/>
        <v>235.03942499999997</v>
      </c>
      <c r="J97" s="1136">
        <f t="shared" si="119"/>
        <v>128.87039999999999</v>
      </c>
      <c r="K97" s="1136">
        <f t="shared" si="119"/>
        <v>151.44502500000002</v>
      </c>
      <c r="L97" s="1136">
        <f t="shared" si="119"/>
        <v>1019.4679500000001</v>
      </c>
      <c r="M97" s="1136"/>
      <c r="N97" s="1203">
        <f t="shared" si="109"/>
        <v>2708.72</v>
      </c>
      <c r="O97" s="578">
        <f t="shared" si="91"/>
        <v>5417.4374749999997</v>
      </c>
    </row>
    <row r="98" spans="1:15" ht="21.95" hidden="1" customHeight="1" x14ac:dyDescent="0.15">
      <c r="A98" s="2513"/>
      <c r="B98" s="2516"/>
      <c r="C98" s="2676"/>
      <c r="D98" s="566" t="s">
        <v>1203</v>
      </c>
      <c r="F98" s="1344"/>
      <c r="G98" s="1138">
        <f t="shared" ref="G98" si="120">G32+G58</f>
        <v>0</v>
      </c>
      <c r="H98" s="1138">
        <f t="shared" ref="H98:L98" si="121">H32+H58</f>
        <v>0</v>
      </c>
      <c r="I98" s="1138">
        <f t="shared" si="121"/>
        <v>0</v>
      </c>
      <c r="J98" s="1138">
        <f t="shared" si="121"/>
        <v>0</v>
      </c>
      <c r="K98" s="1138">
        <f t="shared" si="121"/>
        <v>0</v>
      </c>
      <c r="L98" s="1138">
        <f t="shared" si="121"/>
        <v>0</v>
      </c>
      <c r="M98" s="1138"/>
      <c r="N98" s="1217">
        <f t="shared" si="109"/>
        <v>0</v>
      </c>
      <c r="O98" s="578">
        <f t="shared" si="91"/>
        <v>0</v>
      </c>
    </row>
    <row r="99" spans="1:15" ht="21.95" hidden="1" customHeight="1" x14ac:dyDescent="0.15">
      <c r="A99" s="2513"/>
      <c r="B99" s="2516"/>
      <c r="C99" s="2676"/>
      <c r="D99" s="558" t="s">
        <v>1813</v>
      </c>
      <c r="F99" s="1344"/>
      <c r="G99" s="1138">
        <f t="shared" ref="G99" si="122">G80</f>
        <v>0</v>
      </c>
      <c r="H99" s="1138">
        <f t="shared" ref="H99:L99" si="123">H80</f>
        <v>0</v>
      </c>
      <c r="I99" s="1138">
        <f t="shared" si="123"/>
        <v>0</v>
      </c>
      <c r="J99" s="1138">
        <f t="shared" si="123"/>
        <v>0</v>
      </c>
      <c r="K99" s="1138">
        <f t="shared" si="123"/>
        <v>0</v>
      </c>
      <c r="L99" s="1138">
        <f t="shared" si="123"/>
        <v>0</v>
      </c>
      <c r="M99" s="1138"/>
      <c r="N99" s="1217">
        <f t="shared" si="109"/>
        <v>0</v>
      </c>
      <c r="O99" s="578">
        <f t="shared" si="91"/>
        <v>0</v>
      </c>
    </row>
    <row r="100" spans="1:15" ht="21.95" hidden="1" customHeight="1" x14ac:dyDescent="0.15">
      <c r="A100" s="2513"/>
      <c r="B100" s="2516"/>
      <c r="C100" s="2676"/>
      <c r="D100" s="974" t="s">
        <v>1416</v>
      </c>
      <c r="F100" s="1344"/>
      <c r="G100" s="1138">
        <f t="shared" ref="G100" si="124">G69</f>
        <v>0</v>
      </c>
      <c r="H100" s="1138">
        <f t="shared" ref="H100:L100" si="125">H69</f>
        <v>0</v>
      </c>
      <c r="I100" s="1138">
        <f t="shared" si="125"/>
        <v>0</v>
      </c>
      <c r="J100" s="1138">
        <f t="shared" si="125"/>
        <v>0</v>
      </c>
      <c r="K100" s="1138">
        <f t="shared" si="125"/>
        <v>0</v>
      </c>
      <c r="L100" s="1138">
        <f t="shared" si="125"/>
        <v>0</v>
      </c>
      <c r="M100" s="1138"/>
      <c r="N100" s="1217">
        <f t="shared" si="109"/>
        <v>0</v>
      </c>
      <c r="O100" s="578">
        <f t="shared" si="91"/>
        <v>0</v>
      </c>
    </row>
    <row r="101" spans="1:15" ht="21.95" customHeight="1" x14ac:dyDescent="0.15">
      <c r="A101" s="2513"/>
      <c r="B101" s="2516"/>
      <c r="C101" s="2676"/>
      <c r="D101" s="566" t="s">
        <v>1390</v>
      </c>
      <c r="F101" s="1344"/>
      <c r="G101" s="1138">
        <f t="shared" ref="G101" si="126">G85</f>
        <v>4.9302225000000002</v>
      </c>
      <c r="H101" s="1138">
        <f t="shared" ref="H101:L101" si="127">H85</f>
        <v>21.556145099999998</v>
      </c>
      <c r="I101" s="1138">
        <f t="shared" si="127"/>
        <v>7.2165996000000003</v>
      </c>
      <c r="J101" s="1138">
        <f t="shared" si="127"/>
        <v>2.8903685999999995</v>
      </c>
      <c r="K101" s="1138">
        <f t="shared" si="127"/>
        <v>3.4269332999999995</v>
      </c>
      <c r="L101" s="1138">
        <f t="shared" si="127"/>
        <v>30.7209252</v>
      </c>
      <c r="M101" s="1138"/>
      <c r="N101" s="1139">
        <f t="shared" si="109"/>
        <v>70.739999999999995</v>
      </c>
      <c r="O101" s="578">
        <f t="shared" si="91"/>
        <v>141.4811943</v>
      </c>
    </row>
    <row r="102" spans="1:15" ht="21.95" hidden="1" customHeight="1" x14ac:dyDescent="0.15">
      <c r="A102" s="2513"/>
      <c r="B102" s="2516"/>
      <c r="C102" s="2676"/>
      <c r="D102" s="558" t="s">
        <v>1391</v>
      </c>
      <c r="F102" s="1344"/>
      <c r="G102" s="1138">
        <f t="shared" ref="G102" si="128">G92</f>
        <v>0</v>
      </c>
      <c r="H102" s="1138">
        <f t="shared" ref="H102:L102" si="129">H92</f>
        <v>0</v>
      </c>
      <c r="I102" s="1138">
        <f t="shared" si="129"/>
        <v>0</v>
      </c>
      <c r="J102" s="1138">
        <f t="shared" si="129"/>
        <v>0</v>
      </c>
      <c r="K102" s="1138">
        <f t="shared" si="129"/>
        <v>0</v>
      </c>
      <c r="L102" s="1138">
        <f t="shared" si="129"/>
        <v>0</v>
      </c>
      <c r="M102" s="1138"/>
      <c r="N102" s="1217">
        <f t="shared" si="109"/>
        <v>0</v>
      </c>
      <c r="O102" s="578">
        <f t="shared" si="91"/>
        <v>0</v>
      </c>
    </row>
    <row r="103" spans="1:15" ht="21.95" hidden="1" customHeight="1" x14ac:dyDescent="0.15">
      <c r="A103" s="2513"/>
      <c r="B103" s="2516"/>
      <c r="C103" s="2676"/>
      <c r="D103" s="566" t="s">
        <v>1367</v>
      </c>
      <c r="F103" s="1344"/>
      <c r="G103" s="1138">
        <f t="shared" ref="G103" si="130">G35+G61</f>
        <v>0</v>
      </c>
      <c r="H103" s="1138">
        <f t="shared" ref="H103:L103" si="131">H35+H61</f>
        <v>0</v>
      </c>
      <c r="I103" s="1138">
        <f t="shared" si="131"/>
        <v>0</v>
      </c>
      <c r="J103" s="1138">
        <f t="shared" si="131"/>
        <v>0</v>
      </c>
      <c r="K103" s="1138">
        <f t="shared" si="131"/>
        <v>0</v>
      </c>
      <c r="L103" s="1138">
        <f t="shared" si="131"/>
        <v>0</v>
      </c>
      <c r="M103" s="1138"/>
      <c r="N103" s="1217">
        <f t="shared" si="109"/>
        <v>0</v>
      </c>
      <c r="O103" s="578">
        <f t="shared" si="91"/>
        <v>0</v>
      </c>
    </row>
    <row r="104" spans="1:15" ht="21.95" hidden="1" customHeight="1" x14ac:dyDescent="0.15">
      <c r="A104" s="2513"/>
      <c r="B104" s="2516"/>
      <c r="C104" s="2676"/>
      <c r="D104" s="566" t="s">
        <v>1762</v>
      </c>
      <c r="F104" s="1344"/>
      <c r="G104" s="1138">
        <f t="shared" ref="G104" si="132">G34+G60</f>
        <v>0</v>
      </c>
      <c r="H104" s="1138">
        <f t="shared" ref="H104:L104" si="133">H34+H60</f>
        <v>0</v>
      </c>
      <c r="I104" s="1138">
        <f t="shared" si="133"/>
        <v>0</v>
      </c>
      <c r="J104" s="1138">
        <f t="shared" si="133"/>
        <v>0</v>
      </c>
      <c r="K104" s="1138">
        <f t="shared" si="133"/>
        <v>0</v>
      </c>
      <c r="L104" s="1138">
        <f t="shared" si="133"/>
        <v>0</v>
      </c>
      <c r="M104" s="1138"/>
      <c r="N104" s="1217">
        <f t="shared" si="109"/>
        <v>0</v>
      </c>
      <c r="O104" s="578">
        <f t="shared" si="91"/>
        <v>0</v>
      </c>
    </row>
    <row r="105" spans="1:15" ht="21.95" customHeight="1" x14ac:dyDescent="0.15">
      <c r="A105" s="2513"/>
      <c r="B105" s="2516"/>
      <c r="C105" s="2676"/>
      <c r="D105" s="566" t="s">
        <v>1761</v>
      </c>
      <c r="F105" s="1344"/>
      <c r="G105" s="1138">
        <f t="shared" ref="G105" si="134">G36+G62</f>
        <v>238.81411125</v>
      </c>
      <c r="H105" s="1138">
        <f t="shared" ref="H105:L105" si="135">H36+H62</f>
        <v>1037.059753125</v>
      </c>
      <c r="I105" s="1138">
        <f t="shared" si="135"/>
        <v>341.20888999999994</v>
      </c>
      <c r="J105" s="1138">
        <f t="shared" si="135"/>
        <v>139.99462124999999</v>
      </c>
      <c r="K105" s="1138">
        <f t="shared" si="135"/>
        <v>164.64211499999999</v>
      </c>
      <c r="L105" s="1138">
        <f t="shared" si="135"/>
        <v>1477.5870725</v>
      </c>
      <c r="M105" s="1138"/>
      <c r="N105" s="1217">
        <f t="shared" si="109"/>
        <v>3399.31</v>
      </c>
      <c r="O105" s="578">
        <f t="shared" si="91"/>
        <v>6798.6165631249996</v>
      </c>
    </row>
    <row r="106" spans="1:15" ht="21.95" hidden="1" customHeight="1" x14ac:dyDescent="0.15">
      <c r="A106" s="2513"/>
      <c r="B106" s="2516"/>
      <c r="C106" s="2676"/>
      <c r="D106" s="566" t="s">
        <v>1368</v>
      </c>
      <c r="F106" s="1344"/>
      <c r="G106" s="1138">
        <f t="shared" ref="G106" si="136">G37+G63</f>
        <v>0</v>
      </c>
      <c r="H106" s="1138">
        <f t="shared" ref="H106:L106" si="137">H37+H63</f>
        <v>0</v>
      </c>
      <c r="I106" s="1138">
        <f t="shared" si="137"/>
        <v>0</v>
      </c>
      <c r="J106" s="1138">
        <f t="shared" si="137"/>
        <v>0</v>
      </c>
      <c r="K106" s="1138">
        <f t="shared" si="137"/>
        <v>0</v>
      </c>
      <c r="L106" s="1138">
        <f t="shared" si="137"/>
        <v>0</v>
      </c>
      <c r="M106" s="1138"/>
      <c r="N106" s="1217">
        <f t="shared" si="109"/>
        <v>0</v>
      </c>
      <c r="O106" s="578">
        <f t="shared" ref="O106:O120" si="138">SUM(G106:N106)</f>
        <v>0</v>
      </c>
    </row>
    <row r="107" spans="1:15" ht="21.95" hidden="1" customHeight="1" x14ac:dyDescent="0.15">
      <c r="A107" s="2513"/>
      <c r="B107" s="2516"/>
      <c r="C107" s="2676"/>
      <c r="D107" s="566" t="s">
        <v>1782</v>
      </c>
      <c r="F107" s="1344"/>
      <c r="G107" s="1138">
        <f t="shared" ref="G107" si="139">G70+G73</f>
        <v>0</v>
      </c>
      <c r="H107" s="1138">
        <f t="shared" ref="H107:L107" si="140">H70+H73</f>
        <v>0</v>
      </c>
      <c r="I107" s="1138">
        <f t="shared" si="140"/>
        <v>0</v>
      </c>
      <c r="J107" s="1138">
        <f t="shared" si="140"/>
        <v>0</v>
      </c>
      <c r="K107" s="1138">
        <f t="shared" si="140"/>
        <v>0</v>
      </c>
      <c r="L107" s="1138">
        <f t="shared" si="140"/>
        <v>0</v>
      </c>
      <c r="M107" s="1138"/>
      <c r="N107" s="1217">
        <f t="shared" si="109"/>
        <v>0</v>
      </c>
      <c r="O107" s="578">
        <f t="shared" si="138"/>
        <v>0</v>
      </c>
    </row>
    <row r="108" spans="1:15" ht="21.95" customHeight="1" x14ac:dyDescent="0.15">
      <c r="A108" s="2513"/>
      <c r="B108" s="2516"/>
      <c r="C108" s="2676"/>
      <c r="D108" s="566" t="s">
        <v>1392</v>
      </c>
      <c r="F108" s="1344"/>
      <c r="G108" s="1138">
        <f t="shared" ref="G108" si="141">G86</f>
        <v>14.606932499999999</v>
      </c>
      <c r="H108" s="1138">
        <f t="shared" ref="H108:L108" si="142">H86</f>
        <v>63.865100699999992</v>
      </c>
      <c r="I108" s="1138">
        <f t="shared" si="142"/>
        <v>21.380857199999998</v>
      </c>
      <c r="J108" s="1138">
        <f t="shared" si="142"/>
        <v>8.5633901999999988</v>
      </c>
      <c r="K108" s="1138">
        <f t="shared" si="142"/>
        <v>10.153088099999998</v>
      </c>
      <c r="L108" s="1138">
        <f t="shared" si="142"/>
        <v>91.017896399999998</v>
      </c>
      <c r="M108" s="1138"/>
      <c r="N108" s="1217">
        <f t="shared" si="109"/>
        <v>209.59</v>
      </c>
      <c r="O108" s="578">
        <f t="shared" si="138"/>
        <v>419.1772651</v>
      </c>
    </row>
    <row r="109" spans="1:15" ht="21.95" hidden="1" customHeight="1" x14ac:dyDescent="0.15">
      <c r="A109" s="2513"/>
      <c r="B109" s="2516"/>
      <c r="C109" s="2676"/>
      <c r="D109" s="566" t="s">
        <v>1393</v>
      </c>
      <c r="F109" s="1344"/>
      <c r="G109" s="1138">
        <f t="shared" ref="G109" si="143">G93</f>
        <v>0</v>
      </c>
      <c r="H109" s="1138">
        <f t="shared" ref="H109:L109" si="144">H93</f>
        <v>0</v>
      </c>
      <c r="I109" s="1138">
        <f t="shared" si="144"/>
        <v>0</v>
      </c>
      <c r="J109" s="1138">
        <f t="shared" si="144"/>
        <v>0</v>
      </c>
      <c r="K109" s="1138">
        <f t="shared" si="144"/>
        <v>0</v>
      </c>
      <c r="L109" s="1138">
        <f t="shared" si="144"/>
        <v>0</v>
      </c>
      <c r="M109" s="1138"/>
      <c r="N109" s="1217">
        <f t="shared" si="109"/>
        <v>0</v>
      </c>
      <c r="O109" s="578">
        <f t="shared" si="138"/>
        <v>0</v>
      </c>
    </row>
    <row r="110" spans="1:15" ht="21.95" hidden="1" customHeight="1" x14ac:dyDescent="0.15">
      <c r="A110" s="2513"/>
      <c r="B110" s="2516"/>
      <c r="C110" s="2676"/>
      <c r="D110" s="566" t="s">
        <v>538</v>
      </c>
      <c r="F110" s="1344"/>
      <c r="G110" s="1138"/>
      <c r="H110" s="1138"/>
      <c r="I110" s="1138"/>
      <c r="J110" s="1138"/>
      <c r="K110" s="1138"/>
      <c r="L110" s="1138"/>
      <c r="M110" s="1138"/>
      <c r="N110" s="1217">
        <f t="shared" si="109"/>
        <v>0</v>
      </c>
      <c r="O110" s="578">
        <f t="shared" si="138"/>
        <v>0</v>
      </c>
    </row>
    <row r="111" spans="1:15" ht="21.95" hidden="1" customHeight="1" x14ac:dyDescent="0.15">
      <c r="A111" s="2513"/>
      <c r="B111" s="2516"/>
      <c r="C111" s="2676"/>
      <c r="D111" s="557" t="s">
        <v>586</v>
      </c>
      <c r="F111" s="1344"/>
      <c r="G111" s="1138">
        <f t="shared" ref="G111" si="145">G79</f>
        <v>0</v>
      </c>
      <c r="H111" s="1138">
        <f t="shared" ref="H111:L111" si="146">H79</f>
        <v>0</v>
      </c>
      <c r="I111" s="1138">
        <f t="shared" si="146"/>
        <v>0</v>
      </c>
      <c r="J111" s="1138">
        <f t="shared" si="146"/>
        <v>0</v>
      </c>
      <c r="K111" s="1138">
        <f t="shared" si="146"/>
        <v>0</v>
      </c>
      <c r="L111" s="1138">
        <f t="shared" si="146"/>
        <v>0</v>
      </c>
      <c r="M111" s="1138"/>
      <c r="N111" s="1217">
        <f t="shared" si="109"/>
        <v>0</v>
      </c>
      <c r="O111" s="578">
        <f t="shared" si="138"/>
        <v>0</v>
      </c>
    </row>
    <row r="112" spans="1:15" ht="21.95" customHeight="1" x14ac:dyDescent="0.15">
      <c r="A112" s="2513"/>
      <c r="B112" s="2516"/>
      <c r="C112" s="2676"/>
      <c r="D112" s="566" t="s">
        <v>1397</v>
      </c>
      <c r="F112" s="1344"/>
      <c r="G112" s="1138">
        <f t="shared" ref="G112" si="147">G65</f>
        <v>1.2248999999999999</v>
      </c>
      <c r="H112" s="1138">
        <f t="shared" ref="H112:L112" si="148">H65</f>
        <v>5.3555640000000002</v>
      </c>
      <c r="I112" s="1138">
        <f t="shared" si="148"/>
        <v>1.3447079999999998</v>
      </c>
      <c r="J112" s="1138">
        <f t="shared" si="148"/>
        <v>0.71810399999999985</v>
      </c>
      <c r="K112" s="1138">
        <f t="shared" si="148"/>
        <v>0.85141199999999995</v>
      </c>
      <c r="L112" s="1138">
        <f t="shared" si="148"/>
        <v>5.7243959999999996</v>
      </c>
      <c r="M112" s="1138"/>
      <c r="N112" s="1217">
        <f t="shared" si="109"/>
        <v>15.22</v>
      </c>
      <c r="O112" s="578">
        <f t="shared" si="138"/>
        <v>30.439084000000001</v>
      </c>
    </row>
    <row r="113" spans="1:15" ht="21.95" customHeight="1" x14ac:dyDescent="0.15">
      <c r="A113" s="2513"/>
      <c r="B113" s="2516"/>
      <c r="C113" s="2676"/>
      <c r="D113" s="566" t="s">
        <v>1400</v>
      </c>
      <c r="F113" s="1344"/>
      <c r="G113" s="1138">
        <f t="shared" ref="G113" si="149">G67</f>
        <v>0.51037500000000002</v>
      </c>
      <c r="H113" s="1138">
        <f t="shared" ref="H113:L113" si="150">H67</f>
        <v>2.2314850000000002</v>
      </c>
      <c r="I113" s="1138">
        <f t="shared" si="150"/>
        <v>0.56029499999999999</v>
      </c>
      <c r="J113" s="1138">
        <f t="shared" si="150"/>
        <v>0.29920999999999998</v>
      </c>
      <c r="K113" s="1138">
        <f t="shared" si="150"/>
        <v>0.35475499999999999</v>
      </c>
      <c r="L113" s="1138">
        <f t="shared" si="150"/>
        <v>2.3851650000000002</v>
      </c>
      <c r="M113" s="1138"/>
      <c r="N113" s="1217">
        <f t="shared" si="109"/>
        <v>6.34</v>
      </c>
      <c r="O113" s="578">
        <f t="shared" si="138"/>
        <v>12.681284999999999</v>
      </c>
    </row>
    <row r="114" spans="1:15" ht="21.95" hidden="1" customHeight="1" x14ac:dyDescent="0.15">
      <c r="A114" s="2513"/>
      <c r="B114" s="2516"/>
      <c r="C114" s="2676"/>
      <c r="D114" s="566" t="s">
        <v>1406</v>
      </c>
      <c r="F114" s="1344"/>
      <c r="G114" s="1138">
        <f t="shared" ref="G114" si="151">G71+G74</f>
        <v>0</v>
      </c>
      <c r="H114" s="1138">
        <f t="shared" ref="H114:L114" si="152">H71+H74</f>
        <v>0</v>
      </c>
      <c r="I114" s="1138">
        <f t="shared" si="152"/>
        <v>0</v>
      </c>
      <c r="J114" s="1138">
        <f t="shared" si="152"/>
        <v>0</v>
      </c>
      <c r="K114" s="1138">
        <f t="shared" si="152"/>
        <v>0</v>
      </c>
      <c r="L114" s="1138">
        <f t="shared" si="152"/>
        <v>0</v>
      </c>
      <c r="M114" s="1138"/>
      <c r="N114" s="1217">
        <f t="shared" si="109"/>
        <v>0</v>
      </c>
      <c r="O114" s="578">
        <f t="shared" si="138"/>
        <v>0</v>
      </c>
    </row>
    <row r="115" spans="1:15" ht="21.95" hidden="1" customHeight="1" x14ac:dyDescent="0.15">
      <c r="A115" s="2513"/>
      <c r="B115" s="2516"/>
      <c r="C115" s="2676"/>
      <c r="D115" s="566" t="s">
        <v>1411</v>
      </c>
      <c r="F115" s="1344"/>
      <c r="G115" s="1138">
        <f t="shared" ref="G115" si="153">G94</f>
        <v>0</v>
      </c>
      <c r="H115" s="1138">
        <f t="shared" ref="H115:L115" si="154">H94</f>
        <v>0</v>
      </c>
      <c r="I115" s="1138">
        <f t="shared" si="154"/>
        <v>0</v>
      </c>
      <c r="J115" s="1138">
        <f t="shared" si="154"/>
        <v>0</v>
      </c>
      <c r="K115" s="1138">
        <f t="shared" si="154"/>
        <v>0</v>
      </c>
      <c r="L115" s="1138">
        <f t="shared" si="154"/>
        <v>0</v>
      </c>
      <c r="M115" s="1138"/>
      <c r="N115" s="1217">
        <f t="shared" si="109"/>
        <v>0</v>
      </c>
      <c r="O115" s="578">
        <f t="shared" si="138"/>
        <v>0</v>
      </c>
    </row>
    <row r="116" spans="1:15" ht="21.95" customHeight="1" x14ac:dyDescent="0.15">
      <c r="A116" s="2513"/>
      <c r="B116" s="2516"/>
      <c r="C116" s="2676"/>
      <c r="D116" s="566" t="s">
        <v>1408</v>
      </c>
      <c r="F116" s="1344"/>
      <c r="G116" s="1138">
        <f t="shared" ref="G116" si="155">G87</f>
        <v>4.6940617800000002</v>
      </c>
      <c r="H116" s="1138">
        <f t="shared" ref="H116:L116" si="156">H87</f>
        <v>20.523592360799999</v>
      </c>
      <c r="I116" s="1138">
        <f t="shared" si="156"/>
        <v>6.8709199968000005</v>
      </c>
      <c r="J116" s="1138">
        <f t="shared" si="156"/>
        <v>2.7519181487999997</v>
      </c>
      <c r="K116" s="1138">
        <f t="shared" si="156"/>
        <v>3.2627810663999992</v>
      </c>
      <c r="L116" s="1138">
        <f t="shared" si="156"/>
        <v>29.249373801600001</v>
      </c>
      <c r="M116" s="1138"/>
      <c r="N116" s="1217">
        <f t="shared" si="109"/>
        <v>67.349999999999994</v>
      </c>
      <c r="O116" s="578">
        <f t="shared" si="138"/>
        <v>134.70264715439998</v>
      </c>
    </row>
    <row r="117" spans="1:15" ht="21.95" hidden="1" customHeight="1" x14ac:dyDescent="0.15">
      <c r="A117" s="2513"/>
      <c r="B117" s="2516"/>
      <c r="C117" s="2676"/>
      <c r="D117" s="566" t="s">
        <v>1409</v>
      </c>
      <c r="F117" s="1344"/>
      <c r="G117" s="1138">
        <f t="shared" ref="G117" si="157">G88</f>
        <v>0</v>
      </c>
      <c r="H117" s="1138">
        <f t="shared" ref="H117:L117" si="158">H88</f>
        <v>0</v>
      </c>
      <c r="I117" s="1138">
        <f t="shared" si="158"/>
        <v>0</v>
      </c>
      <c r="J117" s="1138">
        <f t="shared" si="158"/>
        <v>0</v>
      </c>
      <c r="K117" s="1138">
        <f t="shared" si="158"/>
        <v>0</v>
      </c>
      <c r="L117" s="1138">
        <f t="shared" si="158"/>
        <v>0</v>
      </c>
      <c r="M117" s="1138"/>
      <c r="N117" s="1217">
        <f t="shared" si="109"/>
        <v>0</v>
      </c>
      <c r="O117" s="578">
        <f t="shared" si="138"/>
        <v>0</v>
      </c>
    </row>
    <row r="118" spans="1:15" ht="21.95" hidden="1" customHeight="1" x14ac:dyDescent="0.15">
      <c r="A118" s="2513"/>
      <c r="B118" s="2516"/>
      <c r="C118" s="2676"/>
      <c r="D118" s="566" t="s">
        <v>1410</v>
      </c>
      <c r="F118" s="1344"/>
      <c r="G118" s="1138">
        <f t="shared" ref="G118" si="159">G89</f>
        <v>0</v>
      </c>
      <c r="H118" s="1138">
        <f t="shared" ref="H118:L118" si="160">H89</f>
        <v>0</v>
      </c>
      <c r="I118" s="1138">
        <f t="shared" si="160"/>
        <v>0</v>
      </c>
      <c r="J118" s="1138">
        <f t="shared" si="160"/>
        <v>0</v>
      </c>
      <c r="K118" s="1138">
        <f t="shared" si="160"/>
        <v>0</v>
      </c>
      <c r="L118" s="1138">
        <f t="shared" si="160"/>
        <v>0</v>
      </c>
      <c r="M118" s="1138"/>
      <c r="N118" s="1217">
        <f t="shared" si="109"/>
        <v>0</v>
      </c>
      <c r="O118" s="578">
        <f t="shared" si="138"/>
        <v>0</v>
      </c>
    </row>
    <row r="119" spans="1:15" ht="21.95" customHeight="1" thickBot="1" x14ac:dyDescent="0.2">
      <c r="A119" s="2513"/>
      <c r="B119" s="2516"/>
      <c r="C119" s="2676"/>
      <c r="D119" s="566" t="s">
        <v>1372</v>
      </c>
      <c r="F119" s="1344"/>
      <c r="G119" s="1138">
        <f t="shared" ref="G119" si="161">SUM(G82:G84)*2.5548</f>
        <v>78.234363000000002</v>
      </c>
      <c r="H119" s="1138">
        <f t="shared" ref="H119:L119" si="162">SUM(H82:H84)*2.5548</f>
        <v>342.05987268000001</v>
      </c>
      <c r="I119" s="1138">
        <f t="shared" si="162"/>
        <v>114.51533328000001</v>
      </c>
      <c r="J119" s="1138">
        <f t="shared" si="162"/>
        <v>45.865302479999997</v>
      </c>
      <c r="K119" s="1138">
        <f t="shared" si="162"/>
        <v>54.379684439999991</v>
      </c>
      <c r="L119" s="1138">
        <f t="shared" si="162"/>
        <v>487.48956336000003</v>
      </c>
      <c r="M119" s="1138"/>
      <c r="N119" s="1217">
        <f t="shared" si="109"/>
        <v>1122.54</v>
      </c>
      <c r="O119" s="578">
        <f t="shared" si="138"/>
        <v>2245.0841192400003</v>
      </c>
    </row>
    <row r="120" spans="1:15" ht="21.95" hidden="1" customHeight="1" thickBot="1" x14ac:dyDescent="0.2">
      <c r="A120" s="2513"/>
      <c r="B120" s="2516"/>
      <c r="C120" s="2676"/>
      <c r="D120" s="567" t="s">
        <v>1373</v>
      </c>
      <c r="F120" s="1344"/>
      <c r="G120" s="1138">
        <f t="shared" ref="G120" si="163">G91*2.346</f>
        <v>0</v>
      </c>
      <c r="H120" s="1138">
        <f t="shared" ref="H120:L120" si="164">H91*2.346</f>
        <v>0</v>
      </c>
      <c r="I120" s="1138">
        <f t="shared" si="164"/>
        <v>0</v>
      </c>
      <c r="J120" s="1138">
        <f t="shared" si="164"/>
        <v>0</v>
      </c>
      <c r="K120" s="1138">
        <f t="shared" si="164"/>
        <v>0</v>
      </c>
      <c r="L120" s="1138">
        <f t="shared" si="164"/>
        <v>0</v>
      </c>
      <c r="M120" s="1138"/>
      <c r="N120" s="1140">
        <f t="shared" si="109"/>
        <v>0</v>
      </c>
      <c r="O120" s="578">
        <f t="shared" si="138"/>
        <v>0</v>
      </c>
    </row>
    <row r="121" spans="1:15" ht="21.95" hidden="1" customHeight="1" x14ac:dyDescent="0.15">
      <c r="A121" s="2513"/>
      <c r="B121" s="2727" t="s">
        <v>1362</v>
      </c>
      <c r="C121" s="2674"/>
      <c r="D121" s="549" t="s">
        <v>1353</v>
      </c>
      <c r="E121" s="1379"/>
      <c r="F121" s="1343"/>
      <c r="G121" s="1136">
        <f t="shared" ref="G121" si="165">G97</f>
        <v>219.83917499999995</v>
      </c>
      <c r="H121" s="1136">
        <f t="shared" ref="H121:L121" si="166">H97</f>
        <v>954.05550000000005</v>
      </c>
      <c r="I121" s="1136">
        <f t="shared" si="166"/>
        <v>235.03942499999997</v>
      </c>
      <c r="J121" s="1136">
        <f t="shared" si="166"/>
        <v>128.87039999999999</v>
      </c>
      <c r="K121" s="1136">
        <f t="shared" si="166"/>
        <v>151.44502500000002</v>
      </c>
      <c r="L121" s="1136">
        <f t="shared" si="166"/>
        <v>1019.4679500000001</v>
      </c>
      <c r="M121" s="1136"/>
      <c r="N121" s="1203"/>
      <c r="O121" s="578"/>
    </row>
    <row r="122" spans="1:15" ht="21.95" hidden="1" customHeight="1" x14ac:dyDescent="0.15">
      <c r="A122" s="2513"/>
      <c r="B122" s="2516"/>
      <c r="C122" s="2676"/>
      <c r="D122" s="566" t="s">
        <v>1203</v>
      </c>
      <c r="F122" s="1344"/>
      <c r="G122" s="1138">
        <f t="shared" ref="G122" si="167">G98</f>
        <v>0</v>
      </c>
      <c r="H122" s="1138">
        <f t="shared" ref="H122:L122" si="168">H98</f>
        <v>0</v>
      </c>
      <c r="I122" s="1138">
        <f t="shared" si="168"/>
        <v>0</v>
      </c>
      <c r="J122" s="1138">
        <f t="shared" si="168"/>
        <v>0</v>
      </c>
      <c r="K122" s="1138">
        <f t="shared" si="168"/>
        <v>0</v>
      </c>
      <c r="L122" s="1138">
        <f t="shared" si="168"/>
        <v>0</v>
      </c>
      <c r="M122" s="1138"/>
      <c r="N122" s="1217"/>
      <c r="O122" s="578"/>
    </row>
    <row r="123" spans="1:15" ht="21.95" hidden="1" customHeight="1" x14ac:dyDescent="0.15">
      <c r="A123" s="2513"/>
      <c r="B123" s="2516"/>
      <c r="C123" s="2676"/>
      <c r="D123" s="566" t="s">
        <v>1389</v>
      </c>
      <c r="F123" s="1344"/>
      <c r="G123" s="1138">
        <f t="shared" ref="G123" si="169">G80+G92</f>
        <v>0</v>
      </c>
      <c r="H123" s="1138">
        <f t="shared" ref="H123:L123" si="170">H80+H92</f>
        <v>0</v>
      </c>
      <c r="I123" s="1138">
        <f t="shared" si="170"/>
        <v>0</v>
      </c>
      <c r="J123" s="1138">
        <f t="shared" si="170"/>
        <v>0</v>
      </c>
      <c r="K123" s="1138">
        <f t="shared" si="170"/>
        <v>0</v>
      </c>
      <c r="L123" s="1138">
        <f t="shared" si="170"/>
        <v>0</v>
      </c>
      <c r="M123" s="1138"/>
      <c r="N123" s="1217"/>
      <c r="O123" s="578"/>
    </row>
    <row r="124" spans="1:15" ht="21.95" hidden="1" customHeight="1" x14ac:dyDescent="0.15">
      <c r="A124" s="2513"/>
      <c r="B124" s="2516"/>
      <c r="C124" s="2676"/>
      <c r="D124" s="566" t="s">
        <v>1416</v>
      </c>
      <c r="F124" s="1344"/>
      <c r="G124" s="1138">
        <f t="shared" ref="G124" si="171">G69</f>
        <v>0</v>
      </c>
      <c r="H124" s="1138">
        <f t="shared" ref="H124:L124" si="172">H69</f>
        <v>0</v>
      </c>
      <c r="I124" s="1138">
        <f t="shared" si="172"/>
        <v>0</v>
      </c>
      <c r="J124" s="1138">
        <f t="shared" si="172"/>
        <v>0</v>
      </c>
      <c r="K124" s="1138">
        <f t="shared" si="172"/>
        <v>0</v>
      </c>
      <c r="L124" s="1138">
        <f t="shared" si="172"/>
        <v>0</v>
      </c>
      <c r="M124" s="1138"/>
      <c r="N124" s="1217"/>
      <c r="O124" s="578"/>
    </row>
    <row r="125" spans="1:15" ht="21.95" hidden="1" customHeight="1" x14ac:dyDescent="0.15">
      <c r="A125" s="2513"/>
      <c r="B125" s="2516"/>
      <c r="C125" s="2676"/>
      <c r="D125" s="566" t="s">
        <v>1390</v>
      </c>
      <c r="F125" s="1344"/>
      <c r="G125" s="1138">
        <f t="shared" ref="G125" si="173">G85</f>
        <v>4.9302225000000002</v>
      </c>
      <c r="H125" s="1138">
        <f t="shared" ref="H125:L125" si="174">H85</f>
        <v>21.556145099999998</v>
      </c>
      <c r="I125" s="1138">
        <f t="shared" si="174"/>
        <v>7.2165996000000003</v>
      </c>
      <c r="J125" s="1138">
        <f t="shared" si="174"/>
        <v>2.8903685999999995</v>
      </c>
      <c r="K125" s="1138">
        <f t="shared" si="174"/>
        <v>3.4269332999999995</v>
      </c>
      <c r="L125" s="1138">
        <f t="shared" si="174"/>
        <v>30.7209252</v>
      </c>
      <c r="M125" s="1138"/>
      <c r="N125" s="1217"/>
      <c r="O125" s="578"/>
    </row>
    <row r="126" spans="1:15" ht="21.95" hidden="1" customHeight="1" x14ac:dyDescent="0.15">
      <c r="A126" s="2513"/>
      <c r="B126" s="2516"/>
      <c r="C126" s="2676"/>
      <c r="D126" s="566" t="s">
        <v>1367</v>
      </c>
      <c r="F126" s="1344"/>
      <c r="G126" s="1138">
        <f t="shared" ref="G126" si="175">G35+G61</f>
        <v>0</v>
      </c>
      <c r="H126" s="1138">
        <f t="shared" ref="H126:L126" si="176">H35+H61</f>
        <v>0</v>
      </c>
      <c r="I126" s="1138">
        <f t="shared" si="176"/>
        <v>0</v>
      </c>
      <c r="J126" s="1138">
        <f t="shared" si="176"/>
        <v>0</v>
      </c>
      <c r="K126" s="1138">
        <f t="shared" si="176"/>
        <v>0</v>
      </c>
      <c r="L126" s="1138">
        <f t="shared" si="176"/>
        <v>0</v>
      </c>
      <c r="M126" s="1138"/>
      <c r="N126" s="1217"/>
      <c r="O126" s="578"/>
    </row>
    <row r="127" spans="1:15" ht="21.95" hidden="1" customHeight="1" x14ac:dyDescent="0.15">
      <c r="A127" s="2513"/>
      <c r="B127" s="2516"/>
      <c r="C127" s="2676"/>
      <c r="D127" s="566" t="s">
        <v>1368</v>
      </c>
      <c r="F127" s="1344"/>
      <c r="G127" s="1138">
        <f t="shared" ref="G127" si="177">G37+G63</f>
        <v>0</v>
      </c>
      <c r="H127" s="1138">
        <f t="shared" ref="H127:L127" si="178">H37+H63</f>
        <v>0</v>
      </c>
      <c r="I127" s="1138">
        <f t="shared" si="178"/>
        <v>0</v>
      </c>
      <c r="J127" s="1138">
        <f t="shared" si="178"/>
        <v>0</v>
      </c>
      <c r="K127" s="1138">
        <f t="shared" si="178"/>
        <v>0</v>
      </c>
      <c r="L127" s="1138">
        <f t="shared" si="178"/>
        <v>0</v>
      </c>
      <c r="M127" s="1138"/>
      <c r="N127" s="1217"/>
      <c r="O127" s="578"/>
    </row>
    <row r="128" spans="1:15" ht="21.95" hidden="1" customHeight="1" x14ac:dyDescent="0.15">
      <c r="A128" s="2513"/>
      <c r="B128" s="2516"/>
      <c r="C128" s="2676"/>
      <c r="D128" s="566" t="s">
        <v>642</v>
      </c>
      <c r="F128" s="1344"/>
      <c r="G128" s="1138">
        <f t="shared" ref="G128" si="179">G34+G36+G60+G62+G93</f>
        <v>238.81411125</v>
      </c>
      <c r="H128" s="1138">
        <f t="shared" ref="H128:L128" si="180">H34+H36+H60+H62+H93</f>
        <v>1037.059753125</v>
      </c>
      <c r="I128" s="1138">
        <f t="shared" si="180"/>
        <v>341.20888999999994</v>
      </c>
      <c r="J128" s="1138">
        <f t="shared" si="180"/>
        <v>139.99462124999999</v>
      </c>
      <c r="K128" s="1138">
        <f t="shared" si="180"/>
        <v>164.64211499999999</v>
      </c>
      <c r="L128" s="1138">
        <f t="shared" si="180"/>
        <v>1477.5870725</v>
      </c>
      <c r="M128" s="1138"/>
      <c r="N128" s="1217"/>
      <c r="O128" s="578"/>
    </row>
    <row r="129" spans="1:15" ht="21.95" hidden="1" customHeight="1" x14ac:dyDescent="0.15">
      <c r="A129" s="2513"/>
      <c r="B129" s="2516"/>
      <c r="C129" s="2676"/>
      <c r="D129" s="566" t="s">
        <v>1394</v>
      </c>
      <c r="F129" s="1506"/>
      <c r="G129" s="1138">
        <f t="shared" ref="G129" si="181">G70+G73</f>
        <v>0</v>
      </c>
      <c r="H129" s="1138">
        <f t="shared" ref="H129:L129" si="182">H70+H73</f>
        <v>0</v>
      </c>
      <c r="I129" s="1138">
        <f t="shared" si="182"/>
        <v>0</v>
      </c>
      <c r="J129" s="1138">
        <f t="shared" si="182"/>
        <v>0</v>
      </c>
      <c r="K129" s="1138">
        <f t="shared" si="182"/>
        <v>0</v>
      </c>
      <c r="L129" s="1138">
        <f t="shared" si="182"/>
        <v>0</v>
      </c>
      <c r="M129" s="1138"/>
      <c r="N129" s="1217"/>
      <c r="O129" s="578"/>
    </row>
    <row r="130" spans="1:15" ht="21.95" hidden="1" customHeight="1" x14ac:dyDescent="0.15">
      <c r="A130" s="2513"/>
      <c r="B130" s="2516"/>
      <c r="C130" s="2676"/>
      <c r="D130" s="566" t="s">
        <v>1392</v>
      </c>
      <c r="F130" s="1506"/>
      <c r="G130" s="1138">
        <f t="shared" ref="G130" si="183">G86</f>
        <v>14.606932499999999</v>
      </c>
      <c r="H130" s="1138">
        <f t="shared" ref="H130:L130" si="184">H86</f>
        <v>63.865100699999992</v>
      </c>
      <c r="I130" s="1138">
        <f t="shared" si="184"/>
        <v>21.380857199999998</v>
      </c>
      <c r="J130" s="1138">
        <f t="shared" si="184"/>
        <v>8.5633901999999988</v>
      </c>
      <c r="K130" s="1138">
        <f t="shared" si="184"/>
        <v>10.153088099999998</v>
      </c>
      <c r="L130" s="1138">
        <f t="shared" si="184"/>
        <v>91.017896399999998</v>
      </c>
      <c r="M130" s="1138"/>
      <c r="N130" s="1217"/>
      <c r="O130" s="578"/>
    </row>
    <row r="131" spans="1:15" ht="21.95" hidden="1" customHeight="1" x14ac:dyDescent="0.15">
      <c r="A131" s="2513"/>
      <c r="B131" s="2516"/>
      <c r="C131" s="2676"/>
      <c r="D131" s="566" t="s">
        <v>538</v>
      </c>
      <c r="F131" s="1506"/>
      <c r="G131" s="1138">
        <f t="shared" ref="G131" si="185">G110</f>
        <v>0</v>
      </c>
      <c r="H131" s="1138">
        <f t="shared" ref="H131:L131" si="186">H110</f>
        <v>0</v>
      </c>
      <c r="I131" s="1138">
        <f t="shared" si="186"/>
        <v>0</v>
      </c>
      <c r="J131" s="1138">
        <f t="shared" si="186"/>
        <v>0</v>
      </c>
      <c r="K131" s="1138">
        <f t="shared" si="186"/>
        <v>0</v>
      </c>
      <c r="L131" s="1138">
        <f t="shared" si="186"/>
        <v>0</v>
      </c>
      <c r="M131" s="1138"/>
      <c r="N131" s="1217"/>
      <c r="O131" s="578"/>
    </row>
    <row r="132" spans="1:15" ht="21.95" hidden="1" customHeight="1" x14ac:dyDescent="0.15">
      <c r="A132" s="2513"/>
      <c r="B132" s="2516"/>
      <c r="C132" s="2676"/>
      <c r="D132" s="557" t="s">
        <v>586</v>
      </c>
      <c r="F132" s="1506"/>
      <c r="G132" s="1138">
        <f t="shared" ref="G132" si="187">G111</f>
        <v>0</v>
      </c>
      <c r="H132" s="1138">
        <f t="shared" ref="H132:L132" si="188">H111</f>
        <v>0</v>
      </c>
      <c r="I132" s="1138">
        <f t="shared" si="188"/>
        <v>0</v>
      </c>
      <c r="J132" s="1138">
        <f t="shared" si="188"/>
        <v>0</v>
      </c>
      <c r="K132" s="1138">
        <f t="shared" si="188"/>
        <v>0</v>
      </c>
      <c r="L132" s="1138">
        <f t="shared" si="188"/>
        <v>0</v>
      </c>
      <c r="M132" s="1138"/>
      <c r="N132" s="1217"/>
      <c r="O132" s="578"/>
    </row>
    <row r="133" spans="1:15" ht="21.95" hidden="1" customHeight="1" x14ac:dyDescent="0.15">
      <c r="A133" s="2513"/>
      <c r="B133" s="2516"/>
      <c r="C133" s="2676"/>
      <c r="D133" s="566" t="s">
        <v>1372</v>
      </c>
      <c r="F133" s="1506"/>
      <c r="G133" s="1138">
        <f t="shared" ref="G133" si="189">G119</f>
        <v>78.234363000000002</v>
      </c>
      <c r="H133" s="1138">
        <f t="shared" ref="H133:L133" si="190">H119</f>
        <v>342.05987268000001</v>
      </c>
      <c r="I133" s="1138">
        <f t="shared" si="190"/>
        <v>114.51533328000001</v>
      </c>
      <c r="J133" s="1138">
        <f t="shared" si="190"/>
        <v>45.865302479999997</v>
      </c>
      <c r="K133" s="1138">
        <f t="shared" si="190"/>
        <v>54.379684439999991</v>
      </c>
      <c r="L133" s="1138">
        <f t="shared" si="190"/>
        <v>487.48956336000003</v>
      </c>
      <c r="M133" s="1138"/>
      <c r="N133" s="1217"/>
      <c r="O133" s="578"/>
    </row>
    <row r="134" spans="1:15" ht="21.95" hidden="1" customHeight="1" thickBot="1" x14ac:dyDescent="0.2">
      <c r="A134" s="2513"/>
      <c r="B134" s="2728"/>
      <c r="C134" s="2675"/>
      <c r="D134" s="565" t="s">
        <v>1373</v>
      </c>
      <c r="E134" s="1376"/>
      <c r="F134" s="1507"/>
      <c r="G134" s="1134">
        <f t="shared" ref="G134" si="191">G120</f>
        <v>0</v>
      </c>
      <c r="H134" s="1134">
        <f t="shared" ref="H134:L134" si="192">H120</f>
        <v>0</v>
      </c>
      <c r="I134" s="1134">
        <f t="shared" si="192"/>
        <v>0</v>
      </c>
      <c r="J134" s="1134">
        <f t="shared" si="192"/>
        <v>0</v>
      </c>
      <c r="K134" s="1134">
        <f t="shared" si="192"/>
        <v>0</v>
      </c>
      <c r="L134" s="1134">
        <f t="shared" si="192"/>
        <v>0</v>
      </c>
      <c r="M134" s="1134"/>
      <c r="N134" s="1140"/>
      <c r="O134" s="578"/>
    </row>
    <row r="135" spans="1:15" s="9" customFormat="1" ht="50.1" customHeight="1" thickBot="1" x14ac:dyDescent="0.2">
      <c r="A135" s="2514"/>
      <c r="B135" s="2720" t="s">
        <v>12</v>
      </c>
      <c r="C135" s="2690"/>
      <c r="D135" s="2721"/>
      <c r="E135" s="1273"/>
      <c r="F135" s="1508"/>
      <c r="G135" s="2094"/>
      <c r="H135" s="2094"/>
      <c r="I135" s="2094"/>
      <c r="J135" s="2094"/>
      <c r="K135" s="2094"/>
      <c r="L135" s="2094"/>
      <c r="M135" s="2094"/>
      <c r="N135" s="2095"/>
      <c r="O135" s="667">
        <v>1</v>
      </c>
    </row>
    <row r="136" spans="1:15" ht="19.5" hidden="1" thickTop="1" x14ac:dyDescent="0.15">
      <c r="G136" s="9"/>
      <c r="H136" s="9"/>
      <c r="I136" s="9"/>
      <c r="J136" s="9"/>
      <c r="K136" s="9"/>
      <c r="L136" s="9"/>
      <c r="M136" s="9"/>
    </row>
    <row r="137" spans="1:15" hidden="1" x14ac:dyDescent="0.15"/>
    <row r="138" spans="1:15" hidden="1" x14ac:dyDescent="0.15"/>
    <row r="139" spans="1:15" ht="19.5" thickTop="1" x14ac:dyDescent="0.15"/>
  </sheetData>
  <autoFilter ref="O1:O138">
    <filterColumn colId="0">
      <customFilters>
        <customFilter operator="notEqual" val=" "/>
      </customFilters>
    </filterColumn>
  </autoFilter>
  <mergeCells count="21">
    <mergeCell ref="C66:C67"/>
    <mergeCell ref="C90:C94"/>
    <mergeCell ref="B95:C96"/>
    <mergeCell ref="C72:C74"/>
    <mergeCell ref="B6:C7"/>
    <mergeCell ref="A1:A135"/>
    <mergeCell ref="B135:D135"/>
    <mergeCell ref="B3:C4"/>
    <mergeCell ref="C38:C63"/>
    <mergeCell ref="C8:C11"/>
    <mergeCell ref="C64:C65"/>
    <mergeCell ref="C68:C71"/>
    <mergeCell ref="C75:C80"/>
    <mergeCell ref="B1:D1"/>
    <mergeCell ref="B2:D2"/>
    <mergeCell ref="C12:C37"/>
    <mergeCell ref="B97:C120"/>
    <mergeCell ref="C81:C89"/>
    <mergeCell ref="B8:B94"/>
    <mergeCell ref="B121:C134"/>
    <mergeCell ref="B5:D5"/>
  </mergeCells>
  <conditionalFormatting sqref="G8:M8">
    <cfRule type="expression" dxfId="22" priority="13">
      <formula>G$8&lt;0</formula>
    </cfRule>
  </conditionalFormatting>
  <hyperlinks>
    <hyperlink ref="B1:D1" location="PAINEL!A1" display="VIAS"/>
  </hyperlinks>
  <pageMargins left="0.39370078740157483" right="0.39370078740157483" top="0.39370078740157483" bottom="0.59055118110236227" header="0.31496062992125984" footer="0.23622047244094491"/>
  <pageSetup paperSize="9" scale="58" fitToWidth="5" orientation="landscape" r:id="rId1"/>
  <headerFooter>
    <oddFooter>&amp;L&amp;"Arial,Normal"&amp;8&amp;F&amp;C&amp;"Arial,Normal"&amp;8&amp;P / &amp;N&amp;R&amp;"Cambria,Regular"&amp;8Ricardo Schettini Figueiredo&amp;10
&amp;8Eng. Civil - CREA-RJ 52.656/D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36" filterMode="1">
    <tabColor theme="7" tint="-0.249977111117893"/>
  </sheetPr>
  <dimension ref="A1:Y77"/>
  <sheetViews>
    <sheetView showZeros="0" zoomScaleNormal="100" zoomScaleSheetLayoutView="100" workbookViewId="0">
      <pane xSplit="5" ySplit="1" topLeftCell="H2" activePane="bottomRight" state="frozenSplit"/>
      <selection activeCell="D18" sqref="B13:I28"/>
      <selection pane="topRight" activeCell="D18" sqref="B13:I28"/>
      <selection pane="bottomLeft" activeCell="D18" sqref="B13:I28"/>
      <selection pane="bottomRight" activeCell="H2" sqref="H2"/>
    </sheetView>
  </sheetViews>
  <sheetFormatPr defaultColWidth="9" defaultRowHeight="18.75" x14ac:dyDescent="0.15"/>
  <cols>
    <col min="1" max="1" width="14.5" style="5" customWidth="1"/>
    <col min="2" max="2" width="14.625" style="9" customWidth="1"/>
    <col min="3" max="3" width="35.625" style="9" customWidth="1"/>
    <col min="4" max="4" width="3.125" style="981" hidden="1" customWidth="1"/>
    <col min="5" max="5" width="7.5" style="9" hidden="1" customWidth="1"/>
    <col min="6" max="7" width="12.625" style="5" hidden="1" customWidth="1"/>
    <col min="8" max="14" width="12.625" style="5" customWidth="1"/>
    <col min="15" max="15" width="12.625" style="5" hidden="1" customWidth="1"/>
    <col min="16" max="16" width="12.625" style="513" customWidth="1"/>
    <col min="17" max="17" width="16.75" style="5" customWidth="1"/>
    <col min="18" max="18" width="11.125" style="5" bestFit="1" customWidth="1"/>
    <col min="19" max="19" width="9" style="5"/>
    <col min="20" max="20" width="10" style="5" bestFit="1" customWidth="1"/>
    <col min="21" max="21" width="9" style="5"/>
    <col min="22" max="22" width="10" style="5" bestFit="1" customWidth="1"/>
    <col min="23" max="16384" width="9" style="5"/>
  </cols>
  <sheetData>
    <row r="1" spans="1:25" s="10" customFormat="1" ht="60" customHeight="1" thickTop="1" thickBot="1" x14ac:dyDescent="0.2">
      <c r="A1" s="2512" t="s">
        <v>546</v>
      </c>
      <c r="B1" s="2765" t="s">
        <v>348</v>
      </c>
      <c r="C1" s="2832"/>
      <c r="D1" s="990"/>
      <c r="E1" s="1501" t="s">
        <v>588</v>
      </c>
      <c r="F1" s="212" t="s">
        <v>1347</v>
      </c>
      <c r="G1" s="212" t="s">
        <v>1348</v>
      </c>
      <c r="H1" s="212" t="s">
        <v>2772</v>
      </c>
      <c r="I1" s="212" t="str">
        <f>Pav_Dados!G1</f>
        <v>Rua Maria Anunciação Rodrigues</v>
      </c>
      <c r="J1" s="212" t="str">
        <f>Pav_Dados!H1</f>
        <v>Rua Olinda Garcia de Oliveira / Rua João Trivellato</v>
      </c>
      <c r="K1" s="212" t="str">
        <f>Pav_Dados!I1</f>
        <v>Rua Clelia Santos da Rosa</v>
      </c>
      <c r="L1" s="212" t="str">
        <f>Pav_Dados!J1</f>
        <v>Rua Escobar Nunes</v>
      </c>
      <c r="M1" s="212" t="str">
        <f>Pav_Dados!K1</f>
        <v>Rua Ronald de Carvalho</v>
      </c>
      <c r="N1" s="212" t="str">
        <f>Pav_Dados!L1</f>
        <v>Rua Paulo Soares Valentin / Rua Michel Calarge</v>
      </c>
      <c r="O1" s="212"/>
      <c r="P1" s="508" t="s">
        <v>0</v>
      </c>
      <c r="Q1" s="577" t="s">
        <v>1355</v>
      </c>
      <c r="R1" s="2633" t="s">
        <v>1192</v>
      </c>
      <c r="S1" s="2635"/>
      <c r="T1" s="2633" t="s">
        <v>1193</v>
      </c>
      <c r="U1" s="2635"/>
      <c r="V1" s="2633" t="s">
        <v>1194</v>
      </c>
      <c r="W1" s="2635"/>
      <c r="X1" s="2631" t="s">
        <v>1195</v>
      </c>
      <c r="Y1" s="1236" t="s">
        <v>1182</v>
      </c>
    </row>
    <row r="2" spans="1:25" ht="21.95" customHeight="1" thickTop="1" thickBot="1" x14ac:dyDescent="0.2">
      <c r="A2" s="2513"/>
      <c r="B2" s="2822" t="s">
        <v>44</v>
      </c>
      <c r="C2" s="2823"/>
      <c r="D2" s="1502"/>
      <c r="E2" s="1242"/>
      <c r="F2" s="1446"/>
      <c r="G2" s="1446"/>
      <c r="H2" s="2398"/>
      <c r="I2" s="1054">
        <f>Pav_Dados!G2</f>
        <v>142.16</v>
      </c>
      <c r="J2" s="1054">
        <f>Pav_Dados!H2</f>
        <v>632.84</v>
      </c>
      <c r="K2" s="1054">
        <f>Pav_Dados!I2</f>
        <v>105.4</v>
      </c>
      <c r="L2" s="1054">
        <f>Pav_Dados!J2</f>
        <v>81.44</v>
      </c>
      <c r="M2" s="1054">
        <f>Pav_Dados!K2</f>
        <v>99.64</v>
      </c>
      <c r="N2" s="1054">
        <f>Pav_Dados!L2</f>
        <v>680.3</v>
      </c>
      <c r="O2" s="7"/>
      <c r="P2" s="2341">
        <f>+ROUND(SUM(F2:O2),2)</f>
        <v>1741.78</v>
      </c>
      <c r="Q2" s="578">
        <f>SUM(F2:P2)</f>
        <v>3483.56</v>
      </c>
      <c r="R2" s="1023" t="s">
        <v>1178</v>
      </c>
      <c r="S2" s="1023" t="s">
        <v>1180</v>
      </c>
      <c r="T2" s="1023" t="s">
        <v>1178</v>
      </c>
      <c r="U2" s="1023" t="s">
        <v>1180</v>
      </c>
      <c r="V2" s="1023" t="s">
        <v>1178</v>
      </c>
      <c r="W2" s="1023" t="s">
        <v>1180</v>
      </c>
      <c r="X2" s="2632"/>
      <c r="Y2" s="1032" t="s">
        <v>1431</v>
      </c>
    </row>
    <row r="3" spans="1:25" ht="21.95" customHeight="1" x14ac:dyDescent="0.15">
      <c r="A3" s="2513"/>
      <c r="B3" s="2534" t="s">
        <v>163</v>
      </c>
      <c r="C3" s="543" t="s">
        <v>161</v>
      </c>
      <c r="F3" s="1447"/>
      <c r="G3" s="1447"/>
      <c r="H3" s="1447"/>
      <c r="I3" s="8">
        <f>Pav_Dados!G3</f>
        <v>0</v>
      </c>
      <c r="J3" s="8">
        <f>Pav_Dados!H3</f>
        <v>0</v>
      </c>
      <c r="K3" s="8">
        <f>Pav_Dados!I3</f>
        <v>0</v>
      </c>
      <c r="L3" s="8">
        <f>Pav_Dados!J3</f>
        <v>0</v>
      </c>
      <c r="M3" s="8">
        <f>Pav_Dados!K3</f>
        <v>0</v>
      </c>
      <c r="N3" s="8">
        <f>Pav_Dados!L3</f>
        <v>0</v>
      </c>
      <c r="O3" s="8"/>
      <c r="P3" s="1512">
        <f>+COUNTA(F3:O3)</f>
        <v>6</v>
      </c>
      <c r="Q3" s="1016">
        <f>COUNTA(F3:O3)</f>
        <v>6</v>
      </c>
      <c r="R3" s="1024">
        <v>94963</v>
      </c>
      <c r="S3" s="1024">
        <v>94965</v>
      </c>
      <c r="T3" s="1024">
        <v>94963</v>
      </c>
      <c r="U3" s="1024">
        <v>94965</v>
      </c>
      <c r="V3" s="1024">
        <v>94963</v>
      </c>
      <c r="W3" s="1024">
        <v>94965</v>
      </c>
      <c r="X3" s="2632"/>
      <c r="Y3" s="1024">
        <v>96542</v>
      </c>
    </row>
    <row r="4" spans="1:25" ht="21.95" customHeight="1" thickBot="1" x14ac:dyDescent="0.2">
      <c r="A4" s="2513"/>
      <c r="B4" s="2535"/>
      <c r="C4" s="545" t="s">
        <v>162</v>
      </c>
      <c r="D4" s="1376"/>
      <c r="E4" s="1509"/>
      <c r="F4" s="1448"/>
      <c r="G4" s="1448"/>
      <c r="H4" s="1448"/>
      <c r="I4" s="215">
        <f>Pav_Dados!G4</f>
        <v>0</v>
      </c>
      <c r="J4" s="215">
        <f>Pav_Dados!H4</f>
        <v>0</v>
      </c>
      <c r="K4" s="215">
        <f>Pav_Dados!I4</f>
        <v>0</v>
      </c>
      <c r="L4" s="215">
        <f>Pav_Dados!J4</f>
        <v>0</v>
      </c>
      <c r="M4" s="215">
        <f>Pav_Dados!K4</f>
        <v>0</v>
      </c>
      <c r="N4" s="215">
        <f>Pav_Dados!L4</f>
        <v>0</v>
      </c>
      <c r="O4" s="215"/>
      <c r="P4" s="1512">
        <f>+COUNTA(F4:O4)</f>
        <v>6</v>
      </c>
      <c r="Q4" s="1016">
        <f>COUNTA(F4:O4)</f>
        <v>6</v>
      </c>
      <c r="R4" s="1025">
        <v>273.06</v>
      </c>
      <c r="S4" s="1025">
        <v>362.66</v>
      </c>
      <c r="T4" s="1026">
        <v>0.80500000000000005</v>
      </c>
      <c r="U4" s="1026">
        <v>0.72299999999999998</v>
      </c>
      <c r="V4" s="1026">
        <v>0.57899999999999996</v>
      </c>
      <c r="W4" s="1026">
        <v>0.59299999999999997</v>
      </c>
      <c r="X4" s="2636"/>
      <c r="Y4" s="1035">
        <v>0.1356</v>
      </c>
    </row>
    <row r="5" spans="1:25" ht="21.95" customHeight="1" thickBot="1" x14ac:dyDescent="0.2">
      <c r="A5" s="2513"/>
      <c r="B5" s="2834" t="s">
        <v>166</v>
      </c>
      <c r="C5" s="541" t="s">
        <v>2694</v>
      </c>
      <c r="F5" s="1136">
        <f>Dre_Fecha_Vala!H53</f>
        <v>0</v>
      </c>
      <c r="G5" s="1136">
        <f>Recap_Final!K78</f>
        <v>0</v>
      </c>
      <c r="H5" s="1415"/>
      <c r="I5" s="1136">
        <f>IF(I2=0,0,IF(Pav_Dados!G78&gt;0,Pav_Dados!G78,IF(Pav_Dados!G5="dupla",2.1*I2,0))+IF(Pav_Dados!G78&gt;0,0,IF(Pav_Dados!G5="simples",1.05*I2,0)))</f>
        <v>291.77999999999997</v>
      </c>
      <c r="J5" s="1136">
        <f>IF(J2=0,0,IF(Pav_Dados!H78&gt;0,Pav_Dados!H78,IF(Pav_Dados!H5="dupla",2.1*J2,0))+IF(Pav_Dados!H78&gt;0,0,IF(Pav_Dados!H5="simples",1.05*J2,0)))</f>
        <v>1202.55</v>
      </c>
      <c r="K5" s="1136">
        <f>IF(K2=0,0,IF(Pav_Dados!I78&gt;0,Pav_Dados!I78,IF(Pav_Dados!I5="dupla",2.1*K2,0))+IF(Pav_Dados!I78&gt;0,0,IF(Pav_Dados!I5="simples",1.05*K2,0)))</f>
        <v>255.68</v>
      </c>
      <c r="L5" s="1136">
        <f>IF(L2=0,0,IF(Pav_Dados!J78&gt;0,Pav_Dados!J78,IF(Pav_Dados!J5="dupla",2.1*L2,0))+IF(Pav_Dados!J78&gt;0,0,IF(Pav_Dados!J5="simples",1.05*L2,0)))</f>
        <v>170.94</v>
      </c>
      <c r="M5" s="1136">
        <f>IF(M2=0,0,IF(Pav_Dados!K78&gt;0,Pav_Dados!K78,IF(Pav_Dados!K5="dupla",2.1*M2,0))+IF(Pav_Dados!K78&gt;0,0,IF(Pav_Dados!K5="simples",1.05*M2,0)))</f>
        <v>188.84</v>
      </c>
      <c r="N5" s="1136">
        <f>IF(N2=0,0,IF(Pav_Dados!L78&gt;0,Pav_Dados!L78,IF(Pav_Dados!L5="dupla",2.1*N2,0))+IF(Pav_Dados!L78&gt;0,0,IF(Pav_Dados!L5="simples",1.05*N2,0)))</f>
        <v>1282.3699999999999</v>
      </c>
      <c r="O5" s="1136"/>
      <c r="P5" s="1237">
        <f t="shared" ref="P5:P13" si="0">+ROUND(SUM(F5:O5),2)</f>
        <v>3392.16</v>
      </c>
      <c r="Q5" s="578">
        <f t="shared" ref="Q5:Q36" si="1">SUM(F5:P5)</f>
        <v>6784.32</v>
      </c>
      <c r="R5" s="1233">
        <v>6.1499999999999999E-2</v>
      </c>
      <c r="S5" s="1234"/>
      <c r="T5" s="1233">
        <v>6.1499999999999999E-2</v>
      </c>
      <c r="U5" s="1234"/>
      <c r="V5" s="1233">
        <v>6.1499999999999999E-2</v>
      </c>
      <c r="W5" s="1234"/>
      <c r="X5" s="1234"/>
      <c r="Y5" s="1049"/>
    </row>
    <row r="6" spans="1:25" ht="21.95" hidden="1" customHeight="1" x14ac:dyDescent="0.15">
      <c r="A6" s="2513"/>
      <c r="B6" s="2835"/>
      <c r="C6" s="543" t="s">
        <v>2695</v>
      </c>
      <c r="F6" s="1138">
        <f>Dre_Fecha_Vala!H55</f>
        <v>0</v>
      </c>
      <c r="G6" s="1138">
        <f>Recap_Final!K80</f>
        <v>0</v>
      </c>
      <c r="H6" s="1138">
        <f>Passeio!N143</f>
        <v>0</v>
      </c>
      <c r="I6" s="1138">
        <f>IF(I2=0,0,IF(Pav_Dados!G71&gt;0,Pav_Dados!G71,IF(Pav_Dados!G5="simples",1.05*I2,0)))+Passeio!N41+Passeio!N48+Passeio!N55+Passeio!N62+Passeio!N83+Passeio!N91</f>
        <v>0</v>
      </c>
      <c r="J6" s="1138">
        <f>IF(J2=0,0,IF(Pav_Dados!H71&gt;0,Pav_Dados!H71,IF(Pav_Dados!H5="simples",1.05*J2,0)))+Passeio!O41+Passeio!O48+Passeio!O55+Passeio!O62+Passeio!O83+Passeio!O91</f>
        <v>0</v>
      </c>
      <c r="K6" s="1138">
        <f>IF(K2=0,0,IF(Pav_Dados!I71&gt;0,Pav_Dados!I71,IF(Pav_Dados!I5="simples",1.05*K2,0)))+Passeio!P41+Passeio!P48+Passeio!P55+Passeio!P62+Passeio!P83+Passeio!P91</f>
        <v>0</v>
      </c>
      <c r="L6" s="1138">
        <f>IF(L2=0,0,IF(Pav_Dados!J71&gt;0,Pav_Dados!J71,IF(Pav_Dados!J5="simples",1.05*L2,0)))+Passeio!Q41+Passeio!Q48+Passeio!Q55+Passeio!Q62+Passeio!Q83+Passeio!Q91</f>
        <v>0</v>
      </c>
      <c r="M6" s="1138">
        <f>IF(M2=0,0,IF(Pav_Dados!K71&gt;0,Pav_Dados!K71,IF(Pav_Dados!K5="simples",1.05*M2,0)))+Passeio!R41+Passeio!R48+Passeio!R55+Passeio!R62+Passeio!R83+Passeio!R91</f>
        <v>0</v>
      </c>
      <c r="N6" s="1138">
        <f>IF(N2=0,0,IF(Pav_Dados!L71&gt;0,Pav_Dados!L71,IF(Pav_Dados!L5="simples",1.05*N2,0)))+Passeio!S41+Passeio!S48+Passeio!S55+Passeio!S62+Passeio!S83+Passeio!S91</f>
        <v>0</v>
      </c>
      <c r="O6" s="1138"/>
      <c r="P6" s="1217">
        <f t="shared" si="0"/>
        <v>0</v>
      </c>
      <c r="Q6" s="578">
        <f t="shared" si="1"/>
        <v>0</v>
      </c>
      <c r="R6" s="1233">
        <v>2.8500000000000001E-2</v>
      </c>
      <c r="S6" s="1235"/>
      <c r="T6" s="1233">
        <v>2.8500000000000001E-2</v>
      </c>
      <c r="U6" s="1235"/>
      <c r="V6" s="1233">
        <v>2.8500000000000001E-2</v>
      </c>
      <c r="W6" s="1235"/>
      <c r="X6" s="1235"/>
      <c r="Y6" s="1049"/>
    </row>
    <row r="7" spans="1:25" ht="21.95" hidden="1" customHeight="1" x14ac:dyDescent="0.15">
      <c r="A7" s="2513"/>
      <c r="B7" s="2835"/>
      <c r="C7" s="557" t="s">
        <v>544</v>
      </c>
      <c r="F7" s="1138"/>
      <c r="G7" s="1138"/>
      <c r="H7" s="1138"/>
      <c r="I7" s="1138">
        <f>Pav_Dados!G75</f>
        <v>0</v>
      </c>
      <c r="J7" s="1138">
        <f>Pav_Dados!H75</f>
        <v>0</v>
      </c>
      <c r="K7" s="1138">
        <f>Pav_Dados!I75</f>
        <v>0</v>
      </c>
      <c r="L7" s="1138">
        <f>Pav_Dados!J75</f>
        <v>0</v>
      </c>
      <c r="M7" s="1138">
        <f>Pav_Dados!K75</f>
        <v>0</v>
      </c>
      <c r="N7" s="1138">
        <f>Pav_Dados!L75</f>
        <v>0</v>
      </c>
      <c r="O7" s="1138"/>
      <c r="P7" s="1217">
        <f t="shared" si="0"/>
        <v>0</v>
      </c>
      <c r="Q7" s="578">
        <f t="shared" si="1"/>
        <v>0</v>
      </c>
      <c r="R7" s="1233">
        <v>1.4999999999999999E-2</v>
      </c>
      <c r="S7" s="1235"/>
      <c r="T7" s="1233">
        <v>1.4999999999999999E-2</v>
      </c>
      <c r="U7" s="1235"/>
      <c r="V7" s="1233">
        <v>1.4999999999999999E-2</v>
      </c>
      <c r="W7" s="1235"/>
      <c r="X7" s="1235"/>
      <c r="Y7" s="1049"/>
    </row>
    <row r="8" spans="1:25" ht="32.1" hidden="1" customHeight="1" thickBot="1" x14ac:dyDescent="0.2">
      <c r="A8" s="2513"/>
      <c r="B8" s="2838"/>
      <c r="C8" s="545" t="s">
        <v>2659</v>
      </c>
      <c r="D8" s="1376"/>
      <c r="E8" s="1509"/>
      <c r="F8" s="1134"/>
      <c r="G8" s="1134"/>
      <c r="H8" s="1134"/>
      <c r="I8" s="1134">
        <f>Pav_Dados!G76</f>
        <v>0</v>
      </c>
      <c r="J8" s="1134">
        <f>Pav_Dados!H76</f>
        <v>0</v>
      </c>
      <c r="K8" s="1134">
        <f>Pav_Dados!I76</f>
        <v>0</v>
      </c>
      <c r="L8" s="1134">
        <f>Pav_Dados!J76</f>
        <v>0</v>
      </c>
      <c r="M8" s="1134">
        <f>Pav_Dados!K76</f>
        <v>0</v>
      </c>
      <c r="N8" s="1134">
        <f>Pav_Dados!L76</f>
        <v>0</v>
      </c>
      <c r="O8" s="1134"/>
      <c r="P8" s="1214">
        <f t="shared" si="0"/>
        <v>0</v>
      </c>
      <c r="Q8" s="578">
        <f t="shared" si="1"/>
        <v>0</v>
      </c>
      <c r="R8" s="1233">
        <v>8.7499999999999994E-2</v>
      </c>
      <c r="S8" s="1235"/>
      <c r="T8" s="1233">
        <v>8.7499999999999994E-2</v>
      </c>
      <c r="U8" s="1235"/>
      <c r="V8" s="1233">
        <v>8.7499999999999994E-2</v>
      </c>
      <c r="W8" s="1235"/>
      <c r="X8" s="1235"/>
      <c r="Y8" s="1049"/>
    </row>
    <row r="9" spans="1:25" ht="21.95" hidden="1" customHeight="1" thickBot="1" x14ac:dyDescent="0.2">
      <c r="A9" s="2513"/>
      <c r="B9" s="2845" t="s">
        <v>46</v>
      </c>
      <c r="C9" s="2824"/>
      <c r="D9" s="1376"/>
      <c r="E9" s="1509"/>
      <c r="F9" s="1141"/>
      <c r="G9" s="1141"/>
      <c r="H9" s="1141"/>
      <c r="I9" s="1141">
        <f>Pav_Dados!G72</f>
        <v>0</v>
      </c>
      <c r="J9" s="1141">
        <f>Pav_Dados!H72</f>
        <v>0</v>
      </c>
      <c r="K9" s="1141">
        <f>Pav_Dados!I72</f>
        <v>0</v>
      </c>
      <c r="L9" s="1141">
        <f>Pav_Dados!J72</f>
        <v>0</v>
      </c>
      <c r="M9" s="1141">
        <f>Pav_Dados!K72</f>
        <v>0</v>
      </c>
      <c r="N9" s="1141">
        <f>Pav_Dados!L72</f>
        <v>0</v>
      </c>
      <c r="O9" s="1141"/>
      <c r="P9" s="1239">
        <f t="shared" si="0"/>
        <v>0</v>
      </c>
      <c r="Q9" s="578">
        <f t="shared" si="1"/>
        <v>0</v>
      </c>
      <c r="R9" s="1233">
        <v>3.3000000000000002E-2</v>
      </c>
      <c r="S9" s="1235"/>
      <c r="T9" s="1233">
        <v>3.3000000000000002E-2</v>
      </c>
      <c r="U9" s="1235"/>
      <c r="V9" s="1233">
        <v>3.3000000000000002E-2</v>
      </c>
      <c r="W9" s="1235"/>
      <c r="X9" s="1235"/>
      <c r="Y9" s="1049"/>
    </row>
    <row r="10" spans="1:25" ht="21.95" hidden="1" customHeight="1" x14ac:dyDescent="0.15">
      <c r="A10" s="2513"/>
      <c r="B10" s="2727" t="s">
        <v>1750</v>
      </c>
      <c r="C10" s="541" t="s">
        <v>1751</v>
      </c>
      <c r="D10" s="1060"/>
      <c r="E10" s="1510"/>
      <c r="F10" s="1136">
        <f>Dre_Fecha_Vala!H57</f>
        <v>0</v>
      </c>
      <c r="G10" s="1136">
        <f>Recap_Final!K82</f>
        <v>0</v>
      </c>
      <c r="H10" s="1136"/>
      <c r="I10" s="1136">
        <f>Pav_Dados!G73</f>
        <v>0</v>
      </c>
      <c r="J10" s="1136">
        <f>Pav_Dados!H73</f>
        <v>0</v>
      </c>
      <c r="K10" s="1136">
        <f>Pav_Dados!I73</f>
        <v>0</v>
      </c>
      <c r="L10" s="1136">
        <f>Pav_Dados!J73</f>
        <v>0</v>
      </c>
      <c r="M10" s="1136">
        <f>Pav_Dados!K73</f>
        <v>0</v>
      </c>
      <c r="N10" s="1136">
        <f>Pav_Dados!L73</f>
        <v>0</v>
      </c>
      <c r="O10" s="1136"/>
      <c r="P10" s="1237">
        <f t="shared" si="0"/>
        <v>0</v>
      </c>
      <c r="Q10" s="578">
        <f t="shared" si="1"/>
        <v>0</v>
      </c>
      <c r="R10" s="1233">
        <v>3.3000000000000002E-2</v>
      </c>
      <c r="S10" s="1235"/>
      <c r="T10" s="1233">
        <v>3.3000000000000002E-2</v>
      </c>
      <c r="U10" s="1235"/>
      <c r="V10" s="1233">
        <v>3.3000000000000002E-2</v>
      </c>
      <c r="W10" s="1235"/>
      <c r="X10" s="1235"/>
      <c r="Y10" s="1049"/>
    </row>
    <row r="11" spans="1:25" ht="21.95" hidden="1" customHeight="1" thickBot="1" x14ac:dyDescent="0.2">
      <c r="A11" s="2513"/>
      <c r="B11" s="2728"/>
      <c r="C11" s="542" t="s">
        <v>1752</v>
      </c>
      <c r="D11" s="982"/>
      <c r="E11" s="1509"/>
      <c r="F11" s="1134"/>
      <c r="G11" s="1134"/>
      <c r="H11" s="1134"/>
      <c r="I11" s="1134">
        <f>Pav_Dados!G74</f>
        <v>0</v>
      </c>
      <c r="J11" s="1134">
        <f>Pav_Dados!H74</f>
        <v>0</v>
      </c>
      <c r="K11" s="1134">
        <f>Pav_Dados!I74</f>
        <v>0</v>
      </c>
      <c r="L11" s="1134">
        <f>Pav_Dados!J74</f>
        <v>0</v>
      </c>
      <c r="M11" s="1134">
        <f>Pav_Dados!K74</f>
        <v>0</v>
      </c>
      <c r="N11" s="1134">
        <f>Pav_Dados!L74</f>
        <v>0</v>
      </c>
      <c r="O11" s="1134"/>
      <c r="P11" s="1214">
        <f t="shared" si="0"/>
        <v>0</v>
      </c>
      <c r="Q11" s="578">
        <f t="shared" si="1"/>
        <v>0</v>
      </c>
      <c r="R11" s="1233">
        <v>4.4499999999999998E-2</v>
      </c>
      <c r="S11" s="1233"/>
      <c r="T11" s="1233">
        <v>4.4499999999999998E-2</v>
      </c>
      <c r="U11" s="1233"/>
      <c r="V11" s="1233">
        <v>4.4499999999999998E-2</v>
      </c>
      <c r="W11" s="1233"/>
      <c r="X11" s="1233"/>
      <c r="Y11" s="1233"/>
    </row>
    <row r="12" spans="1:25" ht="21.95" hidden="1" customHeight="1" x14ac:dyDescent="0.15">
      <c r="A12" s="2513"/>
      <c r="B12" s="2834" t="s">
        <v>2610</v>
      </c>
      <c r="C12" s="541" t="s">
        <v>1423</v>
      </c>
      <c r="F12" s="1415"/>
      <c r="G12" s="1415"/>
      <c r="H12" s="1415"/>
      <c r="I12" s="1138">
        <f>Pav_Dados!G104</f>
        <v>0</v>
      </c>
      <c r="J12" s="1138">
        <f>Pav_Dados!H104</f>
        <v>0</v>
      </c>
      <c r="K12" s="1138">
        <f>Pav_Dados!I104</f>
        <v>0</v>
      </c>
      <c r="L12" s="1138">
        <f>Pav_Dados!J104</f>
        <v>0</v>
      </c>
      <c r="M12" s="1138">
        <f>Pav_Dados!K104</f>
        <v>0</v>
      </c>
      <c r="N12" s="1138">
        <f>Pav_Dados!L104</f>
        <v>0</v>
      </c>
      <c r="O12" s="1138"/>
      <c r="P12" s="1513">
        <f t="shared" si="0"/>
        <v>0</v>
      </c>
      <c r="Q12" s="578">
        <f t="shared" si="1"/>
        <v>0</v>
      </c>
      <c r="R12" s="539"/>
      <c r="S12" s="539"/>
      <c r="T12" s="539"/>
      <c r="U12" s="539"/>
      <c r="V12" s="539"/>
      <c r="W12" s="539"/>
      <c r="X12" s="539"/>
      <c r="Y12" s="539"/>
    </row>
    <row r="13" spans="1:25" ht="21.95" hidden="1" customHeight="1" x14ac:dyDescent="0.15">
      <c r="A13" s="2513"/>
      <c r="B13" s="2835"/>
      <c r="C13" s="542" t="s">
        <v>553</v>
      </c>
      <c r="F13" s="1562"/>
      <c r="G13" s="1562"/>
      <c r="H13" s="1562"/>
      <c r="I13" s="1138">
        <f>Pav_Dados!G105</f>
        <v>0</v>
      </c>
      <c r="J13" s="1138">
        <f>Pav_Dados!H105</f>
        <v>0</v>
      </c>
      <c r="K13" s="1138">
        <f>Pav_Dados!I105</f>
        <v>0</v>
      </c>
      <c r="L13" s="1138">
        <f>Pav_Dados!J105</f>
        <v>0</v>
      </c>
      <c r="M13" s="1138">
        <f>Pav_Dados!K105</f>
        <v>0</v>
      </c>
      <c r="N13" s="1138">
        <f>Pav_Dados!L105</f>
        <v>0</v>
      </c>
      <c r="O13" s="1138"/>
      <c r="P13" s="1513">
        <f t="shared" si="0"/>
        <v>0</v>
      </c>
      <c r="Q13" s="578">
        <f t="shared" si="1"/>
        <v>0</v>
      </c>
      <c r="R13" s="539"/>
      <c r="S13" s="539"/>
      <c r="T13" s="539"/>
      <c r="U13" s="539"/>
      <c r="V13" s="539"/>
      <c r="W13" s="539"/>
      <c r="X13" s="539"/>
      <c r="Y13" s="539"/>
    </row>
    <row r="14" spans="1:25" ht="21.95" hidden="1" customHeight="1" x14ac:dyDescent="0.15">
      <c r="A14" s="2513"/>
      <c r="B14" s="2835"/>
      <c r="C14" s="542" t="s">
        <v>554</v>
      </c>
      <c r="F14" s="1562"/>
      <c r="G14" s="1562"/>
      <c r="H14" s="1562"/>
      <c r="I14" s="1138">
        <f>Pav_Dados!G106</f>
        <v>0</v>
      </c>
      <c r="J14" s="1138">
        <f>Pav_Dados!H106</f>
        <v>0</v>
      </c>
      <c r="K14" s="1138">
        <f>Pav_Dados!I106</f>
        <v>0</v>
      </c>
      <c r="L14" s="1138">
        <f>Pav_Dados!J106</f>
        <v>0</v>
      </c>
      <c r="M14" s="1138">
        <f>Pav_Dados!K106</f>
        <v>0</v>
      </c>
      <c r="N14" s="1138">
        <f>Pav_Dados!L106</f>
        <v>0</v>
      </c>
      <c r="O14" s="1138"/>
      <c r="P14" s="1513"/>
      <c r="Q14" s="578">
        <f t="shared" si="1"/>
        <v>0</v>
      </c>
      <c r="R14" s="539"/>
      <c r="S14" s="539"/>
      <c r="T14" s="539"/>
      <c r="U14" s="539"/>
      <c r="V14" s="539"/>
      <c r="W14" s="539"/>
      <c r="X14" s="539"/>
      <c r="Y14" s="539"/>
    </row>
    <row r="15" spans="1:25" ht="21.95" hidden="1" customHeight="1" thickBot="1" x14ac:dyDescent="0.2">
      <c r="A15" s="2513"/>
      <c r="B15" s="2838"/>
      <c r="C15" s="545" t="s">
        <v>1243</v>
      </c>
      <c r="D15" s="1376"/>
      <c r="E15" s="1509"/>
      <c r="F15" s="1563"/>
      <c r="G15" s="1563"/>
      <c r="H15" s="1134"/>
      <c r="I15" s="1134">
        <f t="shared" ref="I15" si="2">I14*I13+I12</f>
        <v>0</v>
      </c>
      <c r="J15" s="1134">
        <f t="shared" ref="J15:N15" si="3">J14*J13+J12</f>
        <v>0</v>
      </c>
      <c r="K15" s="1134">
        <f t="shared" si="3"/>
        <v>0</v>
      </c>
      <c r="L15" s="1134">
        <f t="shared" si="3"/>
        <v>0</v>
      </c>
      <c r="M15" s="1134">
        <f t="shared" si="3"/>
        <v>0</v>
      </c>
      <c r="N15" s="1134">
        <f t="shared" si="3"/>
        <v>0</v>
      </c>
      <c r="O15" s="1134"/>
      <c r="P15" s="1214">
        <f>+ROUND(SUM(F15:O15),2)</f>
        <v>0</v>
      </c>
      <c r="Q15" s="578">
        <f t="shared" si="1"/>
        <v>0</v>
      </c>
      <c r="R15" s="539"/>
      <c r="S15" s="539"/>
      <c r="T15" s="539"/>
      <c r="U15" s="539"/>
      <c r="V15" s="539"/>
      <c r="W15" s="539"/>
      <c r="X15" s="539"/>
      <c r="Y15" s="539"/>
    </row>
    <row r="16" spans="1:25" ht="21.95" hidden="1" customHeight="1" x14ac:dyDescent="0.15">
      <c r="A16" s="2513"/>
      <c r="B16" s="2399"/>
      <c r="C16" s="541" t="s">
        <v>1423</v>
      </c>
      <c r="F16" s="1415"/>
      <c r="G16" s="1415"/>
      <c r="H16" s="1415"/>
      <c r="I16" s="1136">
        <f>Pav_Dados!G107</f>
        <v>0</v>
      </c>
      <c r="J16" s="1136">
        <f>Pav_Dados!H107</f>
        <v>0</v>
      </c>
      <c r="K16" s="1136">
        <f>Pav_Dados!I107</f>
        <v>0</v>
      </c>
      <c r="L16" s="1136">
        <f>Pav_Dados!J107</f>
        <v>0</v>
      </c>
      <c r="M16" s="1136">
        <f>Pav_Dados!K107</f>
        <v>0</v>
      </c>
      <c r="N16" s="1136">
        <f>Pav_Dados!L107</f>
        <v>0</v>
      </c>
      <c r="O16" s="1136"/>
      <c r="P16" s="1216">
        <f>+ROUND(SUM(F16:O16),2)</f>
        <v>0</v>
      </c>
      <c r="Q16" s="578">
        <f t="shared" si="1"/>
        <v>0</v>
      </c>
      <c r="R16" s="539"/>
      <c r="S16" s="539"/>
      <c r="T16" s="539"/>
      <c r="U16" s="539"/>
      <c r="V16" s="539"/>
      <c r="W16" s="539"/>
      <c r="X16" s="539"/>
      <c r="Y16" s="539"/>
    </row>
    <row r="17" spans="1:25" ht="21.95" hidden="1" customHeight="1" x14ac:dyDescent="0.15">
      <c r="A17" s="2513"/>
      <c r="B17" s="2400"/>
      <c r="C17" s="542" t="s">
        <v>553</v>
      </c>
      <c r="F17" s="1562"/>
      <c r="G17" s="1562"/>
      <c r="H17" s="1562"/>
      <c r="I17" s="1138">
        <f>Pav_Dados!G108</f>
        <v>0</v>
      </c>
      <c r="J17" s="1138">
        <f>Pav_Dados!H108</f>
        <v>0</v>
      </c>
      <c r="K17" s="1138">
        <f>Pav_Dados!I108</f>
        <v>0</v>
      </c>
      <c r="L17" s="1138">
        <f>Pav_Dados!J108</f>
        <v>0</v>
      </c>
      <c r="M17" s="1138">
        <f>Pav_Dados!K108</f>
        <v>0</v>
      </c>
      <c r="N17" s="1138">
        <f>Pav_Dados!L108</f>
        <v>0</v>
      </c>
      <c r="O17" s="1138"/>
      <c r="P17" s="1513">
        <f>+ROUND(SUM(F17:O17),2)</f>
        <v>0</v>
      </c>
      <c r="Q17" s="578">
        <f t="shared" si="1"/>
        <v>0</v>
      </c>
      <c r="R17" s="539"/>
      <c r="S17" s="539"/>
      <c r="T17" s="539"/>
      <c r="U17" s="539"/>
      <c r="V17" s="539"/>
      <c r="W17" s="539"/>
      <c r="X17" s="539"/>
      <c r="Y17" s="539"/>
    </row>
    <row r="18" spans="1:25" ht="21.95" hidden="1" customHeight="1" x14ac:dyDescent="0.15">
      <c r="A18" s="2513"/>
      <c r="B18" s="2400"/>
      <c r="C18" s="542" t="s">
        <v>554</v>
      </c>
      <c r="F18" s="1562"/>
      <c r="G18" s="1562"/>
      <c r="H18" s="1562"/>
      <c r="I18" s="1138">
        <f>Pav_Dados!G109</f>
        <v>0</v>
      </c>
      <c r="J18" s="1138">
        <f>Pav_Dados!H109</f>
        <v>0</v>
      </c>
      <c r="K18" s="1138">
        <f>Pav_Dados!I109</f>
        <v>0</v>
      </c>
      <c r="L18" s="1138">
        <f>Pav_Dados!J109</f>
        <v>0</v>
      </c>
      <c r="M18" s="1138">
        <f>Pav_Dados!K109</f>
        <v>0</v>
      </c>
      <c r="N18" s="1138">
        <f>Pav_Dados!L109</f>
        <v>0</v>
      </c>
      <c r="O18" s="1138"/>
      <c r="P18" s="1513"/>
      <c r="Q18" s="578">
        <f t="shared" si="1"/>
        <v>0</v>
      </c>
      <c r="R18" s="539"/>
      <c r="S18" s="539"/>
      <c r="T18" s="539"/>
      <c r="U18" s="539"/>
      <c r="V18" s="539"/>
      <c r="W18" s="539"/>
      <c r="X18" s="539"/>
      <c r="Y18" s="539"/>
    </row>
    <row r="19" spans="1:25" ht="21.95" hidden="1" customHeight="1" thickBot="1" x14ac:dyDescent="0.2">
      <c r="A19" s="2513"/>
      <c r="B19" s="2400"/>
      <c r="C19" s="557" t="s">
        <v>1870</v>
      </c>
      <c r="F19" s="1562"/>
      <c r="G19" s="1562"/>
      <c r="H19" s="1138">
        <f>H15/2</f>
        <v>0</v>
      </c>
      <c r="I19" s="1138">
        <f t="shared" ref="I19" si="4">I15/2</f>
        <v>0</v>
      </c>
      <c r="J19" s="1138">
        <f t="shared" ref="J19:N19" si="5">J15/2</f>
        <v>0</v>
      </c>
      <c r="K19" s="1138">
        <f t="shared" si="5"/>
        <v>0</v>
      </c>
      <c r="L19" s="1138">
        <f t="shared" si="5"/>
        <v>0</v>
      </c>
      <c r="M19" s="1138">
        <f t="shared" si="5"/>
        <v>0</v>
      </c>
      <c r="N19" s="1138">
        <f t="shared" si="5"/>
        <v>0</v>
      </c>
      <c r="O19" s="1138"/>
      <c r="P19" s="1216">
        <f t="shared" ref="P19:P24" si="6">+ROUND(SUM(F19:O19),2)</f>
        <v>0</v>
      </c>
      <c r="Q19" s="578">
        <f t="shared" si="1"/>
        <v>0</v>
      </c>
      <c r="R19" s="539"/>
      <c r="S19" s="539"/>
      <c r="T19" s="539"/>
      <c r="U19" s="539"/>
      <c r="V19" s="539"/>
      <c r="W19" s="539"/>
      <c r="X19" s="539"/>
      <c r="Y19" s="539"/>
    </row>
    <row r="20" spans="1:25" ht="21.95" customHeight="1" thickBot="1" x14ac:dyDescent="0.2">
      <c r="A20" s="2513"/>
      <c r="B20" s="2401" t="s">
        <v>25</v>
      </c>
      <c r="C20" s="2102" t="s">
        <v>1243</v>
      </c>
      <c r="D20" s="1376"/>
      <c r="E20" s="1509"/>
      <c r="F20" s="1563"/>
      <c r="G20" s="1134">
        <f>Recap_Final!K85</f>
        <v>0</v>
      </c>
      <c r="H20" s="1141">
        <f>Passeio!N35+H19</f>
        <v>1338.35</v>
      </c>
      <c r="I20" s="1141">
        <f t="shared" ref="I20" si="7">I18*I17+I16+I19</f>
        <v>0</v>
      </c>
      <c r="J20" s="1141">
        <f t="shared" ref="J20:N20" si="8">J18*J17+J16+J19</f>
        <v>0</v>
      </c>
      <c r="K20" s="1141">
        <f t="shared" si="8"/>
        <v>0</v>
      </c>
      <c r="L20" s="1141">
        <f t="shared" si="8"/>
        <v>0</v>
      </c>
      <c r="M20" s="1141">
        <f t="shared" si="8"/>
        <v>0</v>
      </c>
      <c r="N20" s="1141">
        <f t="shared" si="8"/>
        <v>0</v>
      </c>
      <c r="O20" s="1134"/>
      <c r="P20" s="1239">
        <f t="shared" si="6"/>
        <v>1338.35</v>
      </c>
      <c r="Q20" s="578">
        <f t="shared" si="1"/>
        <v>2676.7</v>
      </c>
      <c r="R20" s="539"/>
      <c r="S20" s="539"/>
      <c r="T20" s="539"/>
      <c r="U20" s="539"/>
      <c r="V20" s="539"/>
      <c r="W20" s="539"/>
      <c r="X20" s="539"/>
      <c r="Y20" s="539"/>
    </row>
    <row r="21" spans="1:25" ht="32.1" hidden="1" customHeight="1" thickBot="1" x14ac:dyDescent="0.2">
      <c r="A21" s="2513"/>
      <c r="B21" s="2739" t="s">
        <v>2721</v>
      </c>
      <c r="C21" s="2824"/>
      <c r="D21" s="1231"/>
      <c r="E21" s="1238"/>
      <c r="F21" s="1776"/>
      <c r="G21" s="1776"/>
      <c r="H21" s="1776"/>
      <c r="I21" s="1141">
        <f>Pav_Dados!G116</f>
        <v>0</v>
      </c>
      <c r="J21" s="1141">
        <f>Pav_Dados!H116</f>
        <v>0</v>
      </c>
      <c r="K21" s="1141">
        <f>Pav_Dados!I116</f>
        <v>0</v>
      </c>
      <c r="L21" s="1141">
        <f>Pav_Dados!J116</f>
        <v>0</v>
      </c>
      <c r="M21" s="1141">
        <f>Pav_Dados!K116</f>
        <v>0</v>
      </c>
      <c r="N21" s="1141">
        <f>Pav_Dados!L116</f>
        <v>0</v>
      </c>
      <c r="O21" s="1141"/>
      <c r="P21" s="1142">
        <f t="shared" si="6"/>
        <v>0</v>
      </c>
      <c r="Q21" s="578">
        <f t="shared" si="1"/>
        <v>0</v>
      </c>
      <c r="R21" s="539"/>
      <c r="S21" s="539"/>
      <c r="T21" s="539"/>
      <c r="U21" s="539"/>
      <c r="V21" s="539"/>
      <c r="W21" s="539"/>
      <c r="X21" s="539"/>
      <c r="Y21" s="539"/>
    </row>
    <row r="22" spans="1:25" ht="32.1" hidden="1" customHeight="1" thickBot="1" x14ac:dyDescent="0.2">
      <c r="A22" s="2513"/>
      <c r="B22" s="2739" t="s">
        <v>2722</v>
      </c>
      <c r="C22" s="2824"/>
      <c r="D22" s="1231"/>
      <c r="E22" s="1238"/>
      <c r="F22" s="1776"/>
      <c r="G22" s="1776"/>
      <c r="H22" s="1776"/>
      <c r="I22" s="1141">
        <f>Pav_Dados!G117</f>
        <v>0</v>
      </c>
      <c r="J22" s="1141">
        <f>Pav_Dados!H117</f>
        <v>0</v>
      </c>
      <c r="K22" s="1141">
        <f>Pav_Dados!I117</f>
        <v>0</v>
      </c>
      <c r="L22" s="1141">
        <f>Pav_Dados!J117</f>
        <v>0</v>
      </c>
      <c r="M22" s="1141">
        <f>Pav_Dados!K117</f>
        <v>0</v>
      </c>
      <c r="N22" s="1141">
        <f>Pav_Dados!L117</f>
        <v>0</v>
      </c>
      <c r="O22" s="1141"/>
      <c r="P22" s="1142">
        <f t="shared" si="6"/>
        <v>0</v>
      </c>
      <c r="Q22" s="578">
        <f t="shared" si="1"/>
        <v>0</v>
      </c>
      <c r="R22" s="539"/>
      <c r="S22" s="539"/>
      <c r="T22" s="539"/>
      <c r="U22" s="539"/>
      <c r="V22" s="539"/>
      <c r="W22" s="539"/>
      <c r="X22" s="539"/>
      <c r="Y22" s="539"/>
    </row>
    <row r="23" spans="1:25" ht="32.1" hidden="1" customHeight="1" thickBot="1" x14ac:dyDescent="0.2">
      <c r="A23" s="2513"/>
      <c r="B23" s="2739" t="s">
        <v>2723</v>
      </c>
      <c r="C23" s="2824"/>
      <c r="D23" s="1231"/>
      <c r="E23" s="1238"/>
      <c r="F23" s="1776"/>
      <c r="G23" s="1776"/>
      <c r="H23" s="1776"/>
      <c r="I23" s="1141">
        <f>Pav_Dados!G118</f>
        <v>0</v>
      </c>
      <c r="J23" s="1141">
        <f>Pav_Dados!H118</f>
        <v>0</v>
      </c>
      <c r="K23" s="1141">
        <f>Pav_Dados!I118</f>
        <v>0</v>
      </c>
      <c r="L23" s="1141">
        <f>Pav_Dados!J118</f>
        <v>0</v>
      </c>
      <c r="M23" s="1141">
        <f>Pav_Dados!K118</f>
        <v>0</v>
      </c>
      <c r="N23" s="1141">
        <f>Pav_Dados!L118</f>
        <v>0</v>
      </c>
      <c r="O23" s="1141"/>
      <c r="P23" s="1142">
        <f t="shared" si="6"/>
        <v>0</v>
      </c>
      <c r="Q23" s="578">
        <f t="shared" si="1"/>
        <v>0</v>
      </c>
      <c r="R23" s="539"/>
      <c r="S23" s="539"/>
      <c r="T23" s="539"/>
      <c r="U23" s="539"/>
      <c r="V23" s="539"/>
      <c r="W23" s="539"/>
      <c r="X23" s="539"/>
      <c r="Y23" s="539"/>
    </row>
    <row r="24" spans="1:25" ht="21.95" hidden="1" customHeight="1" x14ac:dyDescent="0.15">
      <c r="A24" s="2513"/>
      <c r="B24" s="2533" t="s">
        <v>2039</v>
      </c>
      <c r="C24" s="547" t="s">
        <v>60</v>
      </c>
      <c r="D24" s="1060"/>
      <c r="E24" s="1179"/>
      <c r="F24" s="1415"/>
      <c r="G24" s="1415"/>
      <c r="H24" s="1415"/>
      <c r="I24" s="1416">
        <f>Pav_Dados!G119</f>
        <v>0</v>
      </c>
      <c r="J24" s="1416">
        <f>Pav_Dados!H119</f>
        <v>0</v>
      </c>
      <c r="K24" s="1416">
        <f>Pav_Dados!I119</f>
        <v>0</v>
      </c>
      <c r="L24" s="1416">
        <f>Pav_Dados!J119</f>
        <v>0</v>
      </c>
      <c r="M24" s="1416">
        <f>Pav_Dados!K119</f>
        <v>0</v>
      </c>
      <c r="N24" s="1416">
        <f>Pav_Dados!L119</f>
        <v>0</v>
      </c>
      <c r="O24" s="1416"/>
      <c r="P24" s="1513">
        <f t="shared" si="6"/>
        <v>0</v>
      </c>
      <c r="Q24" s="578">
        <f t="shared" si="1"/>
        <v>0</v>
      </c>
      <c r="R24" s="539"/>
      <c r="S24" s="539"/>
      <c r="T24" s="539"/>
      <c r="U24" s="539"/>
      <c r="V24" s="539"/>
      <c r="W24" s="539"/>
      <c r="X24" s="539"/>
      <c r="Y24" s="539"/>
    </row>
    <row r="25" spans="1:25" ht="21.95" hidden="1" customHeight="1" x14ac:dyDescent="0.15">
      <c r="A25" s="2513"/>
      <c r="B25" s="2534"/>
      <c r="C25" s="557" t="s">
        <v>10</v>
      </c>
      <c r="D25" s="1061"/>
      <c r="E25" s="1143"/>
      <c r="F25" s="1562"/>
      <c r="G25" s="1562"/>
      <c r="H25" s="1562"/>
      <c r="I25" s="1138">
        <f>Pav_Dados!G120</f>
        <v>0</v>
      </c>
      <c r="J25" s="1138">
        <f>Pav_Dados!H120</f>
        <v>0</v>
      </c>
      <c r="K25" s="1138">
        <f>Pav_Dados!I120</f>
        <v>0</v>
      </c>
      <c r="L25" s="1138">
        <f>Pav_Dados!J120</f>
        <v>0</v>
      </c>
      <c r="M25" s="1138">
        <f>Pav_Dados!K120</f>
        <v>0</v>
      </c>
      <c r="N25" s="1138">
        <f>Pav_Dados!L120</f>
        <v>0</v>
      </c>
      <c r="O25" s="1138"/>
      <c r="P25" s="1513"/>
      <c r="Q25" s="578">
        <f t="shared" si="1"/>
        <v>0</v>
      </c>
      <c r="R25" s="539"/>
      <c r="S25" s="539"/>
      <c r="T25" s="539"/>
      <c r="U25" s="539"/>
      <c r="V25" s="539"/>
      <c r="W25" s="539"/>
      <c r="X25" s="539"/>
      <c r="Y25" s="539"/>
    </row>
    <row r="26" spans="1:25" ht="21.95" hidden="1" customHeight="1" x14ac:dyDescent="0.15">
      <c r="A26" s="2513"/>
      <c r="B26" s="2534"/>
      <c r="C26" s="557" t="s">
        <v>58</v>
      </c>
      <c r="D26" s="1061"/>
      <c r="E26" s="1143"/>
      <c r="F26" s="1562"/>
      <c r="G26" s="1562"/>
      <c r="H26" s="1562"/>
      <c r="I26" s="1138">
        <f>Pav_Dados!G121</f>
        <v>0</v>
      </c>
      <c r="J26" s="1138">
        <f>Pav_Dados!H121</f>
        <v>0</v>
      </c>
      <c r="K26" s="1138">
        <f>Pav_Dados!I121</f>
        <v>0</v>
      </c>
      <c r="L26" s="1138">
        <f>Pav_Dados!J121</f>
        <v>0</v>
      </c>
      <c r="M26" s="1138">
        <f>Pav_Dados!K121</f>
        <v>0</v>
      </c>
      <c r="N26" s="1138">
        <f>Pav_Dados!L121</f>
        <v>0</v>
      </c>
      <c r="O26" s="1138"/>
      <c r="P26" s="1513"/>
      <c r="Q26" s="578">
        <f t="shared" si="1"/>
        <v>0</v>
      </c>
      <c r="R26" s="539"/>
      <c r="S26" s="539"/>
      <c r="T26" s="539"/>
      <c r="U26" s="539"/>
      <c r="V26" s="539"/>
      <c r="W26" s="539"/>
      <c r="X26" s="539"/>
      <c r="Y26" s="539"/>
    </row>
    <row r="27" spans="1:25" ht="21.95" hidden="1" customHeight="1" thickBot="1" x14ac:dyDescent="0.2">
      <c r="A27" s="2513"/>
      <c r="B27" s="2535"/>
      <c r="C27" s="545" t="s">
        <v>29</v>
      </c>
      <c r="D27" s="982"/>
      <c r="E27" s="1173"/>
      <c r="F27" s="1563"/>
      <c r="G27" s="1563"/>
      <c r="H27" s="1563"/>
      <c r="I27" s="1134">
        <f t="shared" ref="I27" si="9">I26*I25*I24</f>
        <v>0</v>
      </c>
      <c r="J27" s="1134">
        <f t="shared" ref="J27:N27" si="10">J26*J25*J24</f>
        <v>0</v>
      </c>
      <c r="K27" s="1134">
        <f t="shared" si="10"/>
        <v>0</v>
      </c>
      <c r="L27" s="1134">
        <f t="shared" si="10"/>
        <v>0</v>
      </c>
      <c r="M27" s="1134">
        <f t="shared" si="10"/>
        <v>0</v>
      </c>
      <c r="N27" s="1134">
        <f t="shared" si="10"/>
        <v>0</v>
      </c>
      <c r="O27" s="1134"/>
      <c r="P27" s="1140">
        <f>+ROUND(SUM(F27:O27),2)</f>
        <v>0</v>
      </c>
      <c r="Q27" s="578">
        <f t="shared" si="1"/>
        <v>0</v>
      </c>
      <c r="R27" s="539"/>
      <c r="S27" s="539"/>
      <c r="T27" s="539"/>
      <c r="U27" s="539"/>
      <c r="V27" s="539"/>
      <c r="W27" s="539"/>
      <c r="X27" s="539"/>
      <c r="Y27" s="539"/>
    </row>
    <row r="28" spans="1:25" s="1561" customFormat="1" ht="21.95" hidden="1" customHeight="1" x14ac:dyDescent="0.15">
      <c r="A28" s="2513"/>
      <c r="B28" s="2534" t="s">
        <v>325</v>
      </c>
      <c r="C28" s="543" t="s">
        <v>1424</v>
      </c>
      <c r="D28" s="1533"/>
      <c r="E28" s="1774"/>
      <c r="F28" s="1560">
        <f>Dre_Terraplenagem!AE189</f>
        <v>0</v>
      </c>
      <c r="G28" s="1560">
        <f>Recap_Final!K86</f>
        <v>0</v>
      </c>
      <c r="H28" s="1564"/>
      <c r="I28" s="1560">
        <f>Pav_Dados!G138</f>
        <v>0</v>
      </c>
      <c r="J28" s="1560">
        <f>Pav_Dados!H138</f>
        <v>0</v>
      </c>
      <c r="K28" s="1560">
        <f>Pav_Dados!I138</f>
        <v>0</v>
      </c>
      <c r="L28" s="1560">
        <f>Pav_Dados!J138</f>
        <v>0</v>
      </c>
      <c r="M28" s="1560">
        <f>Pav_Dados!K138</f>
        <v>0</v>
      </c>
      <c r="N28" s="1560">
        <f>Pav_Dados!L138</f>
        <v>0</v>
      </c>
      <c r="O28" s="1560"/>
      <c r="P28" s="1217">
        <f>+ROUND(SUM(F28:O28),2)</f>
        <v>0</v>
      </c>
      <c r="Q28" s="578">
        <f t="shared" si="1"/>
        <v>0</v>
      </c>
    </row>
    <row r="29" spans="1:25" s="1561" customFormat="1" ht="21.95" hidden="1" customHeight="1" thickBot="1" x14ac:dyDescent="0.2">
      <c r="A29" s="2513"/>
      <c r="B29" s="2535"/>
      <c r="C29" s="545" t="s">
        <v>1425</v>
      </c>
      <c r="D29" s="1531"/>
      <c r="E29" s="1775"/>
      <c r="F29" s="1560">
        <f>Dre_Terraplenagem!AE190</f>
        <v>0</v>
      </c>
      <c r="G29" s="1560">
        <f>Recap_Final!K87</f>
        <v>0</v>
      </c>
      <c r="H29" s="1564"/>
      <c r="I29" s="1560">
        <f>Pav_Dados!G139</f>
        <v>0</v>
      </c>
      <c r="J29" s="1560">
        <f>Pav_Dados!H139</f>
        <v>0</v>
      </c>
      <c r="K29" s="1560">
        <f>Pav_Dados!I139</f>
        <v>0</v>
      </c>
      <c r="L29" s="1560">
        <f>Pav_Dados!J139</f>
        <v>0</v>
      </c>
      <c r="M29" s="1560">
        <f>Pav_Dados!K139</f>
        <v>0</v>
      </c>
      <c r="N29" s="1560">
        <f>Pav_Dados!L139</f>
        <v>0</v>
      </c>
      <c r="O29" s="1560"/>
      <c r="P29" s="1214">
        <f>+ROUND(SUM(F29:O29),2)</f>
        <v>0</v>
      </c>
      <c r="Q29" s="578">
        <f t="shared" si="1"/>
        <v>0</v>
      </c>
    </row>
    <row r="30" spans="1:25" ht="21.95" hidden="1" customHeight="1" x14ac:dyDescent="0.15">
      <c r="A30" s="2513"/>
      <c r="B30" s="2834" t="s">
        <v>333</v>
      </c>
      <c r="C30" s="541" t="s">
        <v>1423</v>
      </c>
      <c r="F30" s="1136"/>
      <c r="G30" s="1136"/>
      <c r="H30" s="1136"/>
      <c r="I30" s="1136">
        <f>Pav_Dados!G110</f>
        <v>0</v>
      </c>
      <c r="J30" s="1136">
        <f>Pav_Dados!H110</f>
        <v>0</v>
      </c>
      <c r="K30" s="1136">
        <f>Pav_Dados!I110</f>
        <v>0</v>
      </c>
      <c r="L30" s="1136">
        <f>Pav_Dados!J110</f>
        <v>0</v>
      </c>
      <c r="M30" s="1136">
        <f>Pav_Dados!K110</f>
        <v>0</v>
      </c>
      <c r="N30" s="1136">
        <f>Pav_Dados!L110</f>
        <v>0</v>
      </c>
      <c r="O30" s="1136"/>
      <c r="P30" s="1513">
        <f>+ROUND(SUM(F30:O30),2)</f>
        <v>0</v>
      </c>
      <c r="Q30" s="578">
        <f t="shared" si="1"/>
        <v>0</v>
      </c>
      <c r="R30" s="539"/>
      <c r="S30" s="539"/>
      <c r="T30" s="539"/>
      <c r="U30" s="539"/>
      <c r="V30" s="539"/>
      <c r="W30" s="539"/>
      <c r="X30" s="539"/>
      <c r="Y30" s="539"/>
    </row>
    <row r="31" spans="1:25" ht="21.95" hidden="1" customHeight="1" x14ac:dyDescent="0.15">
      <c r="A31" s="2513"/>
      <c r="B31" s="2835"/>
      <c r="C31" s="542" t="s">
        <v>553</v>
      </c>
      <c r="F31" s="1138"/>
      <c r="G31" s="1138"/>
      <c r="H31" s="1138"/>
      <c r="I31" s="1138">
        <f>Pav_Dados!G111</f>
        <v>0</v>
      </c>
      <c r="J31" s="1138">
        <f>Pav_Dados!H111</f>
        <v>0</v>
      </c>
      <c r="K31" s="1138">
        <f>Pav_Dados!I111</f>
        <v>0</v>
      </c>
      <c r="L31" s="1138">
        <f>Pav_Dados!J111</f>
        <v>0</v>
      </c>
      <c r="M31" s="1138">
        <f>Pav_Dados!K111</f>
        <v>0</v>
      </c>
      <c r="N31" s="1138">
        <f>Pav_Dados!L111</f>
        <v>0</v>
      </c>
      <c r="O31" s="1138"/>
      <c r="P31" s="1513">
        <f>+ROUND(SUM(F31:O31),2)</f>
        <v>0</v>
      </c>
      <c r="Q31" s="578">
        <f t="shared" si="1"/>
        <v>0</v>
      </c>
      <c r="R31" s="539"/>
      <c r="S31" s="539"/>
      <c r="T31" s="539"/>
      <c r="U31" s="539"/>
      <c r="V31" s="539"/>
      <c r="W31" s="539"/>
      <c r="X31" s="539"/>
      <c r="Y31" s="539"/>
    </row>
    <row r="32" spans="1:25" ht="21.95" hidden="1" customHeight="1" x14ac:dyDescent="0.15">
      <c r="A32" s="2513"/>
      <c r="B32" s="2835"/>
      <c r="C32" s="542" t="s">
        <v>554</v>
      </c>
      <c r="F32" s="1138"/>
      <c r="G32" s="1138"/>
      <c r="H32" s="1138"/>
      <c r="I32" s="1138">
        <f>Pav_Dados!G112</f>
        <v>0</v>
      </c>
      <c r="J32" s="1138">
        <f>Pav_Dados!H112</f>
        <v>0</v>
      </c>
      <c r="K32" s="1138">
        <f>Pav_Dados!I112</f>
        <v>0</v>
      </c>
      <c r="L32" s="1138">
        <f>Pav_Dados!J112</f>
        <v>0</v>
      </c>
      <c r="M32" s="1138">
        <f>Pav_Dados!K112</f>
        <v>0</v>
      </c>
      <c r="N32" s="1138">
        <f>Pav_Dados!L112</f>
        <v>0</v>
      </c>
      <c r="O32" s="1138"/>
      <c r="P32" s="1513"/>
      <c r="Q32" s="578">
        <f t="shared" si="1"/>
        <v>0</v>
      </c>
      <c r="R32" s="539"/>
      <c r="S32" s="539"/>
      <c r="T32" s="539"/>
      <c r="U32" s="539"/>
      <c r="V32" s="539"/>
      <c r="W32" s="539"/>
      <c r="X32" s="539"/>
      <c r="Y32" s="539"/>
    </row>
    <row r="33" spans="1:25" ht="21.95" hidden="1" customHeight="1" thickBot="1" x14ac:dyDescent="0.2">
      <c r="A33" s="2513"/>
      <c r="B33" s="2838"/>
      <c r="C33" s="545" t="s">
        <v>1243</v>
      </c>
      <c r="D33" s="1376"/>
      <c r="E33" s="1509"/>
      <c r="F33" s="1134"/>
      <c r="G33" s="1134"/>
      <c r="H33" s="1134"/>
      <c r="I33" s="1134">
        <f t="shared" ref="I33" si="11">I32*I31+I30</f>
        <v>0</v>
      </c>
      <c r="J33" s="1134">
        <f t="shared" ref="J33:N33" si="12">J32*J31+J30</f>
        <v>0</v>
      </c>
      <c r="K33" s="1134">
        <f t="shared" si="12"/>
        <v>0</v>
      </c>
      <c r="L33" s="1134">
        <f t="shared" si="12"/>
        <v>0</v>
      </c>
      <c r="M33" s="1134">
        <f t="shared" si="12"/>
        <v>0</v>
      </c>
      <c r="N33" s="1134">
        <f t="shared" si="12"/>
        <v>0</v>
      </c>
      <c r="O33" s="1134"/>
      <c r="P33" s="1214">
        <f>+ROUND(SUM(F33:O33),2)</f>
        <v>0</v>
      </c>
      <c r="Q33" s="578">
        <f t="shared" si="1"/>
        <v>0</v>
      </c>
      <c r="R33" s="539"/>
      <c r="S33" s="539"/>
      <c r="T33" s="539"/>
      <c r="U33" s="539"/>
      <c r="V33" s="539"/>
      <c r="W33" s="539"/>
      <c r="X33" s="539"/>
      <c r="Y33" s="539"/>
    </row>
    <row r="34" spans="1:25" ht="21.95" hidden="1" customHeight="1" x14ac:dyDescent="0.15">
      <c r="A34" s="2513"/>
      <c r="B34" s="2834" t="s">
        <v>543</v>
      </c>
      <c r="C34" s="541" t="s">
        <v>1423</v>
      </c>
      <c r="F34" s="1136"/>
      <c r="G34" s="1136"/>
      <c r="H34" s="1136"/>
      <c r="I34" s="1136">
        <f>Pav_Dados!G113</f>
        <v>0</v>
      </c>
      <c r="J34" s="1136">
        <f>Pav_Dados!H113</f>
        <v>0</v>
      </c>
      <c r="K34" s="1136">
        <f>Pav_Dados!I113</f>
        <v>0</v>
      </c>
      <c r="L34" s="1136">
        <f>Pav_Dados!J113</f>
        <v>0</v>
      </c>
      <c r="M34" s="1136">
        <f>Pav_Dados!K113</f>
        <v>0</v>
      </c>
      <c r="N34" s="1136">
        <f>Pav_Dados!L113</f>
        <v>0</v>
      </c>
      <c r="O34" s="1136"/>
      <c r="P34" s="1513">
        <f>+ROUND(SUM(F34:O34),2)</f>
        <v>0</v>
      </c>
      <c r="Q34" s="578">
        <f t="shared" si="1"/>
        <v>0</v>
      </c>
      <c r="R34" s="539"/>
      <c r="S34" s="539"/>
      <c r="T34" s="539"/>
      <c r="U34" s="539"/>
      <c r="V34" s="539"/>
      <c r="W34" s="539"/>
      <c r="X34" s="539"/>
      <c r="Y34" s="539"/>
    </row>
    <row r="35" spans="1:25" ht="21.95" hidden="1" customHeight="1" x14ac:dyDescent="0.15">
      <c r="A35" s="2513"/>
      <c r="B35" s="2835"/>
      <c r="C35" s="542" t="s">
        <v>553</v>
      </c>
      <c r="F35" s="1138"/>
      <c r="G35" s="1138"/>
      <c r="H35" s="1138"/>
      <c r="I35" s="1138">
        <f>Pav_Dados!G114</f>
        <v>0</v>
      </c>
      <c r="J35" s="1138">
        <f>Pav_Dados!H114</f>
        <v>0</v>
      </c>
      <c r="K35" s="1138">
        <f>Pav_Dados!I114</f>
        <v>0</v>
      </c>
      <c r="L35" s="1138">
        <f>Pav_Dados!J114</f>
        <v>0</v>
      </c>
      <c r="M35" s="1138">
        <f>Pav_Dados!K114</f>
        <v>0</v>
      </c>
      <c r="N35" s="1138">
        <f>Pav_Dados!L114</f>
        <v>0</v>
      </c>
      <c r="O35" s="1138"/>
      <c r="P35" s="1513">
        <f>+ROUND(SUM(F35:O35),2)</f>
        <v>0</v>
      </c>
      <c r="Q35" s="578">
        <f t="shared" si="1"/>
        <v>0</v>
      </c>
    </row>
    <row r="36" spans="1:25" ht="21.95" hidden="1" customHeight="1" x14ac:dyDescent="0.15">
      <c r="A36" s="2513"/>
      <c r="B36" s="2835"/>
      <c r="C36" s="542" t="s">
        <v>554</v>
      </c>
      <c r="F36" s="1138"/>
      <c r="G36" s="1138"/>
      <c r="H36" s="1138"/>
      <c r="I36" s="1138">
        <f>Pav_Dados!G115</f>
        <v>0</v>
      </c>
      <c r="J36" s="1138">
        <f>Pav_Dados!H115</f>
        <v>0</v>
      </c>
      <c r="K36" s="1138">
        <f>Pav_Dados!I115</f>
        <v>0</v>
      </c>
      <c r="L36" s="1138">
        <f>Pav_Dados!J115</f>
        <v>0</v>
      </c>
      <c r="M36" s="1138">
        <f>Pav_Dados!K115</f>
        <v>0</v>
      </c>
      <c r="N36" s="1138">
        <f>Pav_Dados!L115</f>
        <v>0</v>
      </c>
      <c r="O36" s="1138"/>
      <c r="P36" s="1513"/>
      <c r="Q36" s="578">
        <f t="shared" si="1"/>
        <v>0</v>
      </c>
    </row>
    <row r="37" spans="1:25" ht="21.95" hidden="1" customHeight="1" thickBot="1" x14ac:dyDescent="0.2">
      <c r="A37" s="2513"/>
      <c r="B37" s="2838"/>
      <c r="C37" s="545" t="s">
        <v>1243</v>
      </c>
      <c r="D37" s="1376"/>
      <c r="E37" s="1509"/>
      <c r="F37" s="1134"/>
      <c r="G37" s="1134"/>
      <c r="H37" s="1134"/>
      <c r="I37" s="1134">
        <f t="shared" ref="I37" si="13">I36*I35+I34</f>
        <v>0</v>
      </c>
      <c r="J37" s="1134">
        <f t="shared" ref="J37:N37" si="14">J36*J35+J34</f>
        <v>0</v>
      </c>
      <c r="K37" s="1134">
        <f t="shared" si="14"/>
        <v>0</v>
      </c>
      <c r="L37" s="1134">
        <f t="shared" si="14"/>
        <v>0</v>
      </c>
      <c r="M37" s="1134">
        <f t="shared" si="14"/>
        <v>0</v>
      </c>
      <c r="N37" s="1134">
        <f t="shared" si="14"/>
        <v>0</v>
      </c>
      <c r="O37" s="1134"/>
      <c r="P37" s="1214">
        <f>+ROUND(SUM(F37:O37),2)</f>
        <v>0</v>
      </c>
      <c r="Q37" s="578">
        <f t="shared" ref="Q37:Q61" si="15">SUM(F37:P37)</f>
        <v>0</v>
      </c>
    </row>
    <row r="38" spans="1:25" ht="21.95" hidden="1" customHeight="1" x14ac:dyDescent="0.15">
      <c r="A38" s="2513"/>
      <c r="B38" s="2834" t="s">
        <v>545</v>
      </c>
      <c r="C38" s="541" t="s">
        <v>3</v>
      </c>
      <c r="F38" s="1138"/>
      <c r="G38" s="1138"/>
      <c r="H38" s="1138"/>
      <c r="I38" s="1138">
        <f>Pav_Dados!G130</f>
        <v>0</v>
      </c>
      <c r="J38" s="1138">
        <f>Pav_Dados!H130</f>
        <v>0</v>
      </c>
      <c r="K38" s="1138">
        <f>Pav_Dados!I130</f>
        <v>0</v>
      </c>
      <c r="L38" s="1138">
        <f>Pav_Dados!J130</f>
        <v>0</v>
      </c>
      <c r="M38" s="1138">
        <f>Pav_Dados!K130</f>
        <v>0</v>
      </c>
      <c r="N38" s="1138">
        <f>Pav_Dados!L130</f>
        <v>0</v>
      </c>
      <c r="O38" s="1138"/>
      <c r="P38" s="1215"/>
      <c r="Q38" s="578">
        <f t="shared" si="15"/>
        <v>0</v>
      </c>
    </row>
    <row r="39" spans="1:25" ht="21.95" hidden="1" customHeight="1" x14ac:dyDescent="0.15">
      <c r="A39" s="2513"/>
      <c r="B39" s="2835"/>
      <c r="C39" s="542" t="s">
        <v>58</v>
      </c>
      <c r="F39" s="1138"/>
      <c r="G39" s="1138"/>
      <c r="H39" s="1138"/>
      <c r="I39" s="1138">
        <f>Pav_Dados!G131</f>
        <v>0</v>
      </c>
      <c r="J39" s="1138">
        <f>Pav_Dados!H131</f>
        <v>0</v>
      </c>
      <c r="K39" s="1138">
        <f>Pav_Dados!I131</f>
        <v>0</v>
      </c>
      <c r="L39" s="1138">
        <f>Pav_Dados!J131</f>
        <v>0</v>
      </c>
      <c r="M39" s="1138">
        <f>Pav_Dados!K131</f>
        <v>0</v>
      </c>
      <c r="N39" s="1138">
        <f>Pav_Dados!L131</f>
        <v>0</v>
      </c>
      <c r="O39" s="1138"/>
      <c r="P39" s="1513"/>
      <c r="Q39" s="578">
        <f t="shared" si="15"/>
        <v>0</v>
      </c>
    </row>
    <row r="40" spans="1:25" ht="21.95" hidden="1" customHeight="1" x14ac:dyDescent="0.15">
      <c r="A40" s="2513"/>
      <c r="B40" s="2835"/>
      <c r="C40" s="566" t="s">
        <v>16</v>
      </c>
      <c r="F40" s="1138"/>
      <c r="G40" s="1138"/>
      <c r="H40" s="1138"/>
      <c r="I40" s="1138">
        <f>Pav_Dados!G132</f>
        <v>0</v>
      </c>
      <c r="J40" s="1138">
        <f>Pav_Dados!H132</f>
        <v>0</v>
      </c>
      <c r="K40" s="1138">
        <f>Pav_Dados!I132</f>
        <v>0</v>
      </c>
      <c r="L40" s="1138">
        <f>Pav_Dados!J132</f>
        <v>0</v>
      </c>
      <c r="M40" s="1138">
        <f>Pav_Dados!K132</f>
        <v>0</v>
      </c>
      <c r="N40" s="1138">
        <f>Pav_Dados!L132</f>
        <v>0</v>
      </c>
      <c r="O40" s="1138"/>
      <c r="P40" s="1513"/>
      <c r="Q40" s="578">
        <f t="shared" si="15"/>
        <v>0</v>
      </c>
    </row>
    <row r="41" spans="1:25" ht="21.95" hidden="1" customHeight="1" thickBot="1" x14ac:dyDescent="0.2">
      <c r="A41" s="2513"/>
      <c r="B41" s="2838"/>
      <c r="C41" s="565" t="s">
        <v>11</v>
      </c>
      <c r="D41" s="1376"/>
      <c r="E41" s="1509"/>
      <c r="F41" s="1134"/>
      <c r="G41" s="1134"/>
      <c r="H41" s="1134"/>
      <c r="I41" s="1134">
        <f t="shared" ref="I41" si="16">I40*I39*I38</f>
        <v>0</v>
      </c>
      <c r="J41" s="1134">
        <f t="shared" ref="J41:N41" si="17">J40*J39*J38</f>
        <v>0</v>
      </c>
      <c r="K41" s="1134">
        <f t="shared" si="17"/>
        <v>0</v>
      </c>
      <c r="L41" s="1134">
        <f t="shared" si="17"/>
        <v>0</v>
      </c>
      <c r="M41" s="1134">
        <f t="shared" si="17"/>
        <v>0</v>
      </c>
      <c r="N41" s="1134">
        <f t="shared" si="17"/>
        <v>0</v>
      </c>
      <c r="O41" s="1134"/>
      <c r="P41" s="1217">
        <f>+ROUND(SUM(F41:O41),2)</f>
        <v>0</v>
      </c>
      <c r="Q41" s="578">
        <f t="shared" si="15"/>
        <v>0</v>
      </c>
      <c r="R41" s="1233">
        <v>1</v>
      </c>
      <c r="S41" s="1235"/>
      <c r="T41" s="1233">
        <v>1</v>
      </c>
      <c r="U41" s="1235"/>
      <c r="V41" s="1233">
        <v>1</v>
      </c>
      <c r="W41" s="1235"/>
      <c r="X41" s="1235"/>
      <c r="Y41" s="1049"/>
    </row>
    <row r="42" spans="1:25" ht="21.95" hidden="1" customHeight="1" x14ac:dyDescent="0.15">
      <c r="A42" s="2513"/>
      <c r="B42" s="2835" t="s">
        <v>562</v>
      </c>
      <c r="C42" s="541" t="s">
        <v>3</v>
      </c>
      <c r="F42" s="1138"/>
      <c r="G42" s="1138"/>
      <c r="H42" s="1138"/>
      <c r="I42" s="1138">
        <f>Pav_Dados!G125</f>
        <v>0</v>
      </c>
      <c r="J42" s="1138">
        <f>Pav_Dados!H125</f>
        <v>0</v>
      </c>
      <c r="K42" s="1138">
        <f>Pav_Dados!I125</f>
        <v>0</v>
      </c>
      <c r="L42" s="1138">
        <f>Pav_Dados!J125</f>
        <v>0</v>
      </c>
      <c r="M42" s="1138">
        <f>Pav_Dados!K125</f>
        <v>0</v>
      </c>
      <c r="N42" s="1138">
        <f>Pav_Dados!L125</f>
        <v>0</v>
      </c>
      <c r="O42" s="1138"/>
      <c r="P42" s="1215"/>
      <c r="Q42" s="578">
        <f t="shared" si="15"/>
        <v>0</v>
      </c>
      <c r="R42" s="1233"/>
      <c r="S42" s="1235"/>
      <c r="T42" s="1233"/>
      <c r="U42" s="1235"/>
      <c r="V42" s="1233"/>
      <c r="W42" s="1235"/>
      <c r="X42" s="1235"/>
      <c r="Y42" s="1049"/>
    </row>
    <row r="43" spans="1:25" ht="21.95" hidden="1" customHeight="1" x14ac:dyDescent="0.15">
      <c r="A43" s="2513"/>
      <c r="B43" s="2835"/>
      <c r="C43" s="542" t="s">
        <v>58</v>
      </c>
      <c r="F43" s="1138"/>
      <c r="G43" s="1138"/>
      <c r="H43" s="1138"/>
      <c r="I43" s="1138">
        <f>Pav_Dados!G126</f>
        <v>0</v>
      </c>
      <c r="J43" s="1138">
        <f>Pav_Dados!H126</f>
        <v>0</v>
      </c>
      <c r="K43" s="1138">
        <f>Pav_Dados!I126</f>
        <v>0</v>
      </c>
      <c r="L43" s="1138">
        <f>Pav_Dados!J126</f>
        <v>0</v>
      </c>
      <c r="M43" s="1138">
        <f>Pav_Dados!K126</f>
        <v>0</v>
      </c>
      <c r="N43" s="1138">
        <f>Pav_Dados!L126</f>
        <v>0</v>
      </c>
      <c r="O43" s="1138"/>
      <c r="P43" s="1513"/>
      <c r="Q43" s="578">
        <f t="shared" si="15"/>
        <v>0</v>
      </c>
      <c r="R43" s="1233"/>
      <c r="S43" s="1235"/>
      <c r="T43" s="1233"/>
      <c r="U43" s="1235"/>
      <c r="V43" s="1233"/>
      <c r="W43" s="1235"/>
      <c r="X43" s="1235"/>
      <c r="Y43" s="1049"/>
    </row>
    <row r="44" spans="1:25" ht="21.95" hidden="1" customHeight="1" x14ac:dyDescent="0.15">
      <c r="A44" s="2513"/>
      <c r="B44" s="2835"/>
      <c r="C44" s="566" t="s">
        <v>16</v>
      </c>
      <c r="F44" s="1138"/>
      <c r="G44" s="1138"/>
      <c r="H44" s="1138"/>
      <c r="I44" s="1138">
        <f>Pav_Dados!G127</f>
        <v>0</v>
      </c>
      <c r="J44" s="1138">
        <f>Pav_Dados!H127</f>
        <v>0</v>
      </c>
      <c r="K44" s="1138">
        <f>Pav_Dados!I127</f>
        <v>0</v>
      </c>
      <c r="L44" s="1138">
        <f>Pav_Dados!J127</f>
        <v>0</v>
      </c>
      <c r="M44" s="1138">
        <f>Pav_Dados!K127</f>
        <v>0</v>
      </c>
      <c r="N44" s="1138">
        <f>Pav_Dados!L127</f>
        <v>0</v>
      </c>
      <c r="O44" s="1138"/>
      <c r="P44" s="1513"/>
      <c r="Q44" s="578">
        <f t="shared" si="15"/>
        <v>0</v>
      </c>
      <c r="R44" s="1233"/>
      <c r="S44" s="1235"/>
      <c r="T44" s="1233"/>
      <c r="U44" s="1235"/>
      <c r="V44" s="1233"/>
      <c r="W44" s="1235"/>
      <c r="X44" s="1235"/>
      <c r="Y44" s="1049"/>
    </row>
    <row r="45" spans="1:25" ht="21.95" hidden="1" customHeight="1" thickBot="1" x14ac:dyDescent="0.2">
      <c r="A45" s="2513"/>
      <c r="B45" s="2838"/>
      <c r="C45" s="565" t="s">
        <v>11</v>
      </c>
      <c r="D45" s="1376"/>
      <c r="E45" s="1509"/>
      <c r="F45" s="1134"/>
      <c r="G45" s="1134"/>
      <c r="H45" s="1134"/>
      <c r="I45" s="1134">
        <f t="shared" ref="I45" si="18">I44*I43*I42</f>
        <v>0</v>
      </c>
      <c r="J45" s="1134">
        <f t="shared" ref="J45:N45" si="19">J44*J43*J42</f>
        <v>0</v>
      </c>
      <c r="K45" s="1134">
        <f t="shared" si="19"/>
        <v>0</v>
      </c>
      <c r="L45" s="1134">
        <f t="shared" si="19"/>
        <v>0</v>
      </c>
      <c r="M45" s="1134">
        <f t="shared" si="19"/>
        <v>0</v>
      </c>
      <c r="N45" s="1134">
        <f t="shared" si="19"/>
        <v>0</v>
      </c>
      <c r="O45" s="1134"/>
      <c r="P45" s="1217">
        <f>+ROUND(SUM(F45:O45),2)</f>
        <v>0</v>
      </c>
      <c r="Q45" s="578">
        <f t="shared" si="15"/>
        <v>0</v>
      </c>
      <c r="R45" s="1233"/>
      <c r="S45" s="1235">
        <v>1</v>
      </c>
      <c r="T45" s="1233"/>
      <c r="U45" s="1235">
        <v>1</v>
      </c>
      <c r="V45" s="1233"/>
      <c r="W45" s="1235">
        <v>1</v>
      </c>
      <c r="X45" s="1235"/>
      <c r="Y45" s="1049"/>
    </row>
    <row r="46" spans="1:25" ht="21.95" hidden="1" customHeight="1" x14ac:dyDescent="0.15">
      <c r="A46" s="2513"/>
      <c r="B46" s="2674" t="s">
        <v>547</v>
      </c>
      <c r="C46" s="541" t="s">
        <v>3</v>
      </c>
      <c r="F46" s="1136"/>
      <c r="G46" s="1136"/>
      <c r="H46" s="1136"/>
      <c r="I46" s="1136">
        <f>Pav_Dados!G128</f>
        <v>0</v>
      </c>
      <c r="J46" s="1136">
        <f>Pav_Dados!H128</f>
        <v>0</v>
      </c>
      <c r="K46" s="1136">
        <f>Pav_Dados!I128</f>
        <v>0</v>
      </c>
      <c r="L46" s="1136">
        <f>Pav_Dados!J128</f>
        <v>0</v>
      </c>
      <c r="M46" s="1136">
        <f>Pav_Dados!K128</f>
        <v>0</v>
      </c>
      <c r="N46" s="1136">
        <f>Pav_Dados!L128</f>
        <v>0</v>
      </c>
      <c r="O46" s="1136"/>
      <c r="P46" s="1215"/>
      <c r="Q46" s="578">
        <f t="shared" si="15"/>
        <v>0</v>
      </c>
      <c r="R46" s="1233"/>
      <c r="S46" s="1235"/>
      <c r="T46" s="1233"/>
      <c r="U46" s="1235"/>
      <c r="V46" s="1233"/>
      <c r="W46" s="1235"/>
      <c r="X46" s="1235"/>
      <c r="Y46" s="1049"/>
    </row>
    <row r="47" spans="1:25" ht="21.95" hidden="1" customHeight="1" x14ac:dyDescent="0.15">
      <c r="A47" s="2513"/>
      <c r="B47" s="2676"/>
      <c r="C47" s="542" t="s">
        <v>58</v>
      </c>
      <c r="F47" s="1138"/>
      <c r="G47" s="1138"/>
      <c r="H47" s="1138"/>
      <c r="I47" s="1138">
        <f>Pav_Dados!G129</f>
        <v>0</v>
      </c>
      <c r="J47" s="1138">
        <f>Pav_Dados!H129</f>
        <v>0</v>
      </c>
      <c r="K47" s="1138">
        <f>Pav_Dados!I129</f>
        <v>0</v>
      </c>
      <c r="L47" s="1138">
        <f>Pav_Dados!J129</f>
        <v>0</v>
      </c>
      <c r="M47" s="1138">
        <f>Pav_Dados!K129</f>
        <v>0</v>
      </c>
      <c r="N47" s="1138">
        <f>Pav_Dados!L129</f>
        <v>0</v>
      </c>
      <c r="O47" s="1138"/>
      <c r="P47" s="1513"/>
      <c r="Q47" s="578">
        <f t="shared" si="15"/>
        <v>0</v>
      </c>
      <c r="R47" s="1233"/>
      <c r="S47" s="1235"/>
      <c r="T47" s="1233"/>
      <c r="U47" s="1235"/>
      <c r="V47" s="1233"/>
      <c r="W47" s="1235"/>
      <c r="X47" s="1235"/>
      <c r="Y47" s="1049"/>
    </row>
    <row r="48" spans="1:25" ht="21.95" hidden="1" customHeight="1" thickBot="1" x14ac:dyDescent="0.2">
      <c r="A48" s="2513"/>
      <c r="B48" s="2675"/>
      <c r="C48" s="545" t="s">
        <v>29</v>
      </c>
      <c r="D48" s="1376"/>
      <c r="E48" s="1509"/>
      <c r="F48" s="1240"/>
      <c r="G48" s="1240"/>
      <c r="H48" s="1240"/>
      <c r="I48" s="1240">
        <f t="shared" ref="I48" si="20">I47*I46</f>
        <v>0</v>
      </c>
      <c r="J48" s="1240">
        <f t="shared" ref="J48:N48" si="21">J47*J46</f>
        <v>0</v>
      </c>
      <c r="K48" s="1240">
        <f t="shared" si="21"/>
        <v>0</v>
      </c>
      <c r="L48" s="1240">
        <f t="shared" si="21"/>
        <v>0</v>
      </c>
      <c r="M48" s="1240">
        <f t="shared" si="21"/>
        <v>0</v>
      </c>
      <c r="N48" s="1240">
        <f t="shared" si="21"/>
        <v>0</v>
      </c>
      <c r="O48" s="1240"/>
      <c r="P48" s="1214">
        <f t="shared" ref="P48:P65" si="22">+ROUND(SUM(F48:O48),2)</f>
        <v>0</v>
      </c>
      <c r="Q48" s="578">
        <f t="shared" si="15"/>
        <v>0</v>
      </c>
      <c r="R48" s="1233"/>
      <c r="S48" s="1235"/>
      <c r="T48" s="1233"/>
      <c r="U48" s="1235"/>
      <c r="V48" s="1233"/>
      <c r="W48" s="1235"/>
      <c r="X48" s="1235"/>
      <c r="Y48" s="1049">
        <v>1</v>
      </c>
    </row>
    <row r="49" spans="1:25" ht="21.95" hidden="1" customHeight="1" x14ac:dyDescent="0.15">
      <c r="A49" s="2513"/>
      <c r="B49" s="2674" t="s">
        <v>548</v>
      </c>
      <c r="C49" s="541" t="s">
        <v>558</v>
      </c>
      <c r="E49" s="1510"/>
      <c r="F49" s="1136"/>
      <c r="G49" s="1136"/>
      <c r="H49" s="1136"/>
      <c r="I49" s="1136">
        <f>Pav_Dados!G130</f>
        <v>0</v>
      </c>
      <c r="J49" s="1136">
        <f>Pav_Dados!H130</f>
        <v>0</v>
      </c>
      <c r="K49" s="1136">
        <f>Pav_Dados!I130</f>
        <v>0</v>
      </c>
      <c r="L49" s="1136">
        <f>Pav_Dados!J130</f>
        <v>0</v>
      </c>
      <c r="M49" s="1136">
        <f>Pav_Dados!K130</f>
        <v>0</v>
      </c>
      <c r="N49" s="1136">
        <f>Pav_Dados!L130</f>
        <v>0</v>
      </c>
      <c r="O49" s="1136"/>
      <c r="P49" s="1217">
        <f t="shared" si="22"/>
        <v>0</v>
      </c>
      <c r="Q49" s="578">
        <f t="shared" si="15"/>
        <v>0</v>
      </c>
      <c r="R49" s="1233"/>
      <c r="S49" s="1235"/>
      <c r="T49" s="1233"/>
      <c r="U49" s="1235"/>
      <c r="V49" s="1233"/>
      <c r="W49" s="1235"/>
      <c r="X49" s="1235">
        <v>1</v>
      </c>
      <c r="Y49" s="1049"/>
    </row>
    <row r="50" spans="1:25" ht="21.95" hidden="1" customHeight="1" x14ac:dyDescent="0.15">
      <c r="A50" s="2513"/>
      <c r="B50" s="2676"/>
      <c r="C50" s="542" t="s">
        <v>559</v>
      </c>
      <c r="F50" s="1138"/>
      <c r="G50" s="1138"/>
      <c r="H50" s="1138"/>
      <c r="I50" s="1138">
        <f>Pav_Dados!G131</f>
        <v>0</v>
      </c>
      <c r="J50" s="1138">
        <f>Pav_Dados!H131</f>
        <v>0</v>
      </c>
      <c r="K50" s="1138">
        <f>Pav_Dados!I131</f>
        <v>0</v>
      </c>
      <c r="L50" s="1138">
        <f>Pav_Dados!J131</f>
        <v>0</v>
      </c>
      <c r="M50" s="1138">
        <f>Pav_Dados!K131</f>
        <v>0</v>
      </c>
      <c r="N50" s="1138">
        <f>Pav_Dados!L131</f>
        <v>0</v>
      </c>
      <c r="O50" s="1138"/>
      <c r="P50" s="1217">
        <f t="shared" si="22"/>
        <v>0</v>
      </c>
      <c r="Q50" s="578">
        <f t="shared" si="15"/>
        <v>0</v>
      </c>
      <c r="R50" s="1233"/>
      <c r="S50" s="1235"/>
      <c r="T50" s="1233"/>
      <c r="U50" s="1235"/>
      <c r="V50" s="1233"/>
      <c r="W50" s="1235"/>
      <c r="X50" s="1235">
        <v>1</v>
      </c>
      <c r="Y50" s="1049"/>
    </row>
    <row r="51" spans="1:25" ht="21.95" hidden="1" customHeight="1" x14ac:dyDescent="0.15">
      <c r="A51" s="2513"/>
      <c r="B51" s="2676"/>
      <c r="C51" s="557" t="s">
        <v>560</v>
      </c>
      <c r="F51" s="1138"/>
      <c r="G51" s="1138"/>
      <c r="H51" s="1138"/>
      <c r="I51" s="1138">
        <f>Pav_Dados!G132</f>
        <v>0</v>
      </c>
      <c r="J51" s="1138">
        <f>Pav_Dados!H132</f>
        <v>0</v>
      </c>
      <c r="K51" s="1138">
        <f>Pav_Dados!I132</f>
        <v>0</v>
      </c>
      <c r="L51" s="1138">
        <f>Pav_Dados!J132</f>
        <v>0</v>
      </c>
      <c r="M51" s="1138">
        <f>Pav_Dados!K132</f>
        <v>0</v>
      </c>
      <c r="N51" s="1138">
        <f>Pav_Dados!L132</f>
        <v>0</v>
      </c>
      <c r="O51" s="1138"/>
      <c r="P51" s="1217">
        <f t="shared" si="22"/>
        <v>0</v>
      </c>
      <c r="Q51" s="578">
        <f t="shared" si="15"/>
        <v>0</v>
      </c>
      <c r="R51" s="1233"/>
      <c r="S51" s="1235"/>
      <c r="T51" s="1233"/>
      <c r="U51" s="1235"/>
      <c r="V51" s="1233"/>
      <c r="W51" s="1235"/>
      <c r="X51" s="1235">
        <v>1</v>
      </c>
      <c r="Y51" s="1049"/>
    </row>
    <row r="52" spans="1:25" ht="21.95" hidden="1" customHeight="1" thickBot="1" x14ac:dyDescent="0.2">
      <c r="A52" s="2513"/>
      <c r="B52" s="2675"/>
      <c r="C52" s="545" t="s">
        <v>561</v>
      </c>
      <c r="D52" s="1376"/>
      <c r="F52" s="1134"/>
      <c r="G52" s="1134"/>
      <c r="H52" s="1134"/>
      <c r="I52" s="1134">
        <f>Pav_Dados!G133</f>
        <v>0</v>
      </c>
      <c r="J52" s="1134">
        <f>Pav_Dados!H133</f>
        <v>0</v>
      </c>
      <c r="K52" s="1134">
        <f>Pav_Dados!I133</f>
        <v>0</v>
      </c>
      <c r="L52" s="1134">
        <f>Pav_Dados!J133</f>
        <v>0</v>
      </c>
      <c r="M52" s="1134">
        <f>Pav_Dados!K133</f>
        <v>0</v>
      </c>
      <c r="N52" s="1134">
        <f>Pav_Dados!L133</f>
        <v>0</v>
      </c>
      <c r="O52" s="1134"/>
      <c r="P52" s="1217">
        <f t="shared" si="22"/>
        <v>0</v>
      </c>
      <c r="Q52" s="578">
        <f t="shared" si="15"/>
        <v>0</v>
      </c>
      <c r="R52" s="1233"/>
      <c r="S52" s="1235"/>
      <c r="T52" s="1233"/>
      <c r="U52" s="1235"/>
      <c r="V52" s="1233"/>
      <c r="W52" s="1235"/>
      <c r="X52" s="1235">
        <v>1</v>
      </c>
      <c r="Y52" s="1049"/>
    </row>
    <row r="53" spans="1:25" ht="21.95" hidden="1" customHeight="1" x14ac:dyDescent="0.15">
      <c r="A53" s="2513"/>
      <c r="B53" s="2611" t="s">
        <v>1426</v>
      </c>
      <c r="C53" s="542" t="s">
        <v>1428</v>
      </c>
      <c r="D53" s="1379"/>
      <c r="E53" s="1510"/>
      <c r="F53" s="1136"/>
      <c r="G53" s="1136"/>
      <c r="H53" s="1136"/>
      <c r="I53" s="1136">
        <f>Pav_Dados!G134</f>
        <v>0</v>
      </c>
      <c r="J53" s="1136">
        <f>Pav_Dados!H134</f>
        <v>0</v>
      </c>
      <c r="K53" s="1136">
        <f>Pav_Dados!I134</f>
        <v>0</v>
      </c>
      <c r="L53" s="1136">
        <f>Pav_Dados!J134</f>
        <v>0</v>
      </c>
      <c r="M53" s="1136">
        <f>Pav_Dados!K134</f>
        <v>0</v>
      </c>
      <c r="N53" s="1136">
        <f>Pav_Dados!L134</f>
        <v>0</v>
      </c>
      <c r="O53" s="1136"/>
      <c r="P53" s="1237">
        <f t="shared" si="22"/>
        <v>0</v>
      </c>
      <c r="Q53" s="578">
        <f t="shared" si="15"/>
        <v>0</v>
      </c>
    </row>
    <row r="54" spans="1:25" ht="21.95" hidden="1" customHeight="1" thickBot="1" x14ac:dyDescent="0.2">
      <c r="A54" s="2513"/>
      <c r="B54" s="2535"/>
      <c r="C54" s="545" t="s">
        <v>1427</v>
      </c>
      <c r="D54" s="1376"/>
      <c r="E54" s="1509"/>
      <c r="F54" s="1134"/>
      <c r="G54" s="1134"/>
      <c r="H54" s="1134"/>
      <c r="I54" s="1134">
        <f>Pav_Dados!G135</f>
        <v>0</v>
      </c>
      <c r="J54" s="1134">
        <f>Pav_Dados!H135</f>
        <v>0</v>
      </c>
      <c r="K54" s="1134">
        <f>Pav_Dados!I135</f>
        <v>0</v>
      </c>
      <c r="L54" s="1134">
        <f>Pav_Dados!J135</f>
        <v>0</v>
      </c>
      <c r="M54" s="1134">
        <f>Pav_Dados!K135</f>
        <v>0</v>
      </c>
      <c r="N54" s="1134">
        <f>Pav_Dados!L135</f>
        <v>0</v>
      </c>
      <c r="O54" s="1134"/>
      <c r="P54" s="1214">
        <f t="shared" si="22"/>
        <v>0</v>
      </c>
      <c r="Q54" s="578">
        <f t="shared" si="15"/>
        <v>0</v>
      </c>
    </row>
    <row r="55" spans="1:25" ht="21.95" hidden="1" customHeight="1" x14ac:dyDescent="0.15">
      <c r="A55" s="2513"/>
      <c r="B55" s="2611" t="s">
        <v>1429</v>
      </c>
      <c r="C55" s="542" t="s">
        <v>1436</v>
      </c>
      <c r="D55" s="1379"/>
      <c r="E55" s="1510"/>
      <c r="F55" s="1136"/>
      <c r="G55" s="1136"/>
      <c r="H55" s="1136"/>
      <c r="I55" s="1136">
        <f>Pav_Dados!G136</f>
        <v>0</v>
      </c>
      <c r="J55" s="1136">
        <f>Pav_Dados!H136</f>
        <v>0</v>
      </c>
      <c r="K55" s="1136">
        <f>Pav_Dados!I136</f>
        <v>0</v>
      </c>
      <c r="L55" s="1136">
        <f>Pav_Dados!J136</f>
        <v>0</v>
      </c>
      <c r="M55" s="1136">
        <f>Pav_Dados!K136</f>
        <v>0</v>
      </c>
      <c r="N55" s="1136">
        <f>Pav_Dados!L136</f>
        <v>0</v>
      </c>
      <c r="O55" s="1136"/>
      <c r="P55" s="1237">
        <f t="shared" si="22"/>
        <v>0</v>
      </c>
      <c r="Q55" s="578">
        <f t="shared" si="15"/>
        <v>0</v>
      </c>
    </row>
    <row r="56" spans="1:25" ht="21.95" hidden="1" customHeight="1" thickBot="1" x14ac:dyDescent="0.2">
      <c r="A56" s="2513"/>
      <c r="B56" s="2535"/>
      <c r="C56" s="545" t="s">
        <v>1437</v>
      </c>
      <c r="D56" s="1376"/>
      <c r="E56" s="1509"/>
      <c r="F56" s="1134"/>
      <c r="G56" s="1134"/>
      <c r="H56" s="1134"/>
      <c r="I56" s="1134">
        <f>Pav_Dados!G137</f>
        <v>0</v>
      </c>
      <c r="J56" s="1134">
        <f>Pav_Dados!H137</f>
        <v>0</v>
      </c>
      <c r="K56" s="1134">
        <f>Pav_Dados!I137</f>
        <v>0</v>
      </c>
      <c r="L56" s="1134">
        <f>Pav_Dados!J137</f>
        <v>0</v>
      </c>
      <c r="M56" s="1134">
        <f>Pav_Dados!K137</f>
        <v>0</v>
      </c>
      <c r="N56" s="1134">
        <f>Pav_Dados!L137</f>
        <v>0</v>
      </c>
      <c r="O56" s="1134"/>
      <c r="P56" s="1214">
        <f t="shared" si="22"/>
        <v>0</v>
      </c>
      <c r="Q56" s="578">
        <f t="shared" si="15"/>
        <v>0</v>
      </c>
    </row>
    <row r="57" spans="1:25" ht="21.95" customHeight="1" x14ac:dyDescent="0.15">
      <c r="A57" s="2513"/>
      <c r="B57" s="2594" t="s">
        <v>1438</v>
      </c>
      <c r="C57" s="549" t="s">
        <v>1203</v>
      </c>
      <c r="D57" s="1060"/>
      <c r="E57" s="1510"/>
      <c r="F57" s="1136"/>
      <c r="G57" s="1136"/>
      <c r="H57" s="1136">
        <f>(SUMPRODUCT(H5:H11,$R5:$R11)*$R$4+H41*$R41*$R$4+H45*$S45*$S$4)/1000</f>
        <v>0</v>
      </c>
      <c r="I57" s="1136">
        <f>(SUMPRODUCT(I5:I11,$R5:$R11)*$R$4+I41*$R41*$R$4+I45*$S45*$S$4)/1000</f>
        <v>4.8999169782000003</v>
      </c>
      <c r="J57" s="1136">
        <f t="shared" ref="J57:N57" si="23">(SUMPRODUCT(J5:J11,$R5:$R11)*$R$4+J41*$R41*$R$4+J45*$S45*$S$4)/1000</f>
        <v>20.194650634499997</v>
      </c>
      <c r="K57" s="1136">
        <f t="shared" si="23"/>
        <v>4.2936828191999998</v>
      </c>
      <c r="L57" s="1136">
        <f t="shared" si="23"/>
        <v>2.8706278986</v>
      </c>
      <c r="M57" s="1136">
        <f t="shared" si="23"/>
        <v>3.1712259995999998</v>
      </c>
      <c r="N57" s="1136">
        <f t="shared" si="23"/>
        <v>21.5350830603</v>
      </c>
      <c r="O57" s="1136"/>
      <c r="P57" s="1237">
        <f t="shared" si="22"/>
        <v>56.97</v>
      </c>
      <c r="Q57" s="578">
        <f t="shared" si="15"/>
        <v>113.93518739039999</v>
      </c>
    </row>
    <row r="58" spans="1:25" ht="21.95" customHeight="1" x14ac:dyDescent="0.15">
      <c r="A58" s="2513"/>
      <c r="B58" s="2595"/>
      <c r="C58" s="558" t="s">
        <v>585</v>
      </c>
      <c r="D58" s="1061"/>
      <c r="F58" s="1138"/>
      <c r="G58" s="1138"/>
      <c r="H58" s="1138">
        <f>SUMPRODUCT(H5:H11,$T5:$T11)*$T$4+H41*$T41*$T$4+H45*$U45*$U$4</f>
        <v>0</v>
      </c>
      <c r="I58" s="1138">
        <f>SUMPRODUCT(I5:I11,$T5:$T11)*$T$4+I41*$T41*$T$4+I45*$U45*$U$4</f>
        <v>14.44529835</v>
      </c>
      <c r="J58" s="1138">
        <f t="shared" ref="J58:N58" si="24">SUMPRODUCT(J5:J11,$T5:$T11)*$T$4+J41*$T41*$T$4+J45*$U45*$U$4</f>
        <v>59.535244124999998</v>
      </c>
      <c r="K58" s="1138">
        <f t="shared" si="24"/>
        <v>12.6580776</v>
      </c>
      <c r="L58" s="1138">
        <f t="shared" si="24"/>
        <v>8.4628120500000001</v>
      </c>
      <c r="M58" s="1138">
        <f t="shared" si="24"/>
        <v>9.3489962999999996</v>
      </c>
      <c r="N58" s="1138">
        <f t="shared" si="24"/>
        <v>63.486932775</v>
      </c>
      <c r="O58" s="1138"/>
      <c r="P58" s="1217">
        <f t="shared" si="22"/>
        <v>167.94</v>
      </c>
      <c r="Q58" s="578">
        <f t="shared" si="15"/>
        <v>335.8773612</v>
      </c>
    </row>
    <row r="59" spans="1:25" ht="21.95" customHeight="1" x14ac:dyDescent="0.15">
      <c r="A59" s="2513"/>
      <c r="B59" s="2595"/>
      <c r="C59" s="558" t="s">
        <v>642</v>
      </c>
      <c r="D59" s="1061"/>
      <c r="F59" s="1138"/>
      <c r="G59" s="1138"/>
      <c r="H59" s="1138">
        <f>SUMPRODUCT(H5:H11,$V5:$V11)*$V$4+H41*$V41*$V$4+H45*$W45*$W$4</f>
        <v>0</v>
      </c>
      <c r="I59" s="1138">
        <f>SUMPRODUCT(I5:I11,$V5:$V11)*$V$4+I41*$V41*$V$4+I45*$W45*$W$4</f>
        <v>10.389848129999999</v>
      </c>
      <c r="J59" s="1138">
        <f t="shared" ref="J59:N59" si="25">SUMPRODUCT(J5:J11,$V5:$V11)*$V$4+J41*$V41*$V$4+J45*$W45*$W$4</f>
        <v>42.821001674999991</v>
      </c>
      <c r="K59" s="1138">
        <f t="shared" si="25"/>
        <v>9.1043812800000001</v>
      </c>
      <c r="L59" s="1138">
        <f t="shared" si="25"/>
        <v>6.0869169899999997</v>
      </c>
      <c r="M59" s="1138">
        <f t="shared" si="25"/>
        <v>6.724309139999999</v>
      </c>
      <c r="N59" s="1138">
        <f t="shared" si="25"/>
        <v>45.663272144999993</v>
      </c>
      <c r="O59" s="1138"/>
      <c r="P59" s="1217">
        <f t="shared" si="22"/>
        <v>120.79</v>
      </c>
      <c r="Q59" s="578">
        <f t="shared" si="15"/>
        <v>241.57972935999999</v>
      </c>
    </row>
    <row r="60" spans="1:25" ht="21.95" hidden="1" customHeight="1" x14ac:dyDescent="0.15">
      <c r="A60" s="2513"/>
      <c r="B60" s="2595"/>
      <c r="C60" s="558" t="s">
        <v>1204</v>
      </c>
      <c r="D60" s="1061"/>
      <c r="F60" s="1138"/>
      <c r="G60" s="1138"/>
      <c r="H60" s="1138">
        <f>SUMPRODUCT(H49:H52,$X49:$X52)/1000</f>
        <v>0</v>
      </c>
      <c r="I60" s="1138">
        <f>SUMPRODUCT(I49:I52,$X49:$X52)/1000</f>
        <v>0</v>
      </c>
      <c r="J60" s="1138">
        <f t="shared" ref="J60:N60" si="26">SUMPRODUCT(J49:J52,$X49:$X52)/1000</f>
        <v>0</v>
      </c>
      <c r="K60" s="1138">
        <f t="shared" si="26"/>
        <v>0</v>
      </c>
      <c r="L60" s="1138">
        <f t="shared" si="26"/>
        <v>0</v>
      </c>
      <c r="M60" s="1138">
        <f t="shared" si="26"/>
        <v>0</v>
      </c>
      <c r="N60" s="1138">
        <f t="shared" si="26"/>
        <v>0</v>
      </c>
      <c r="O60" s="1138"/>
      <c r="P60" s="1217">
        <f t="shared" si="22"/>
        <v>0</v>
      </c>
      <c r="Q60" s="578">
        <f t="shared" si="15"/>
        <v>0</v>
      </c>
    </row>
    <row r="61" spans="1:25" ht="21.95" hidden="1" customHeight="1" x14ac:dyDescent="0.15">
      <c r="A61" s="2513"/>
      <c r="B61" s="2595"/>
      <c r="C61" s="558" t="s">
        <v>1205</v>
      </c>
      <c r="D61" s="1061"/>
      <c r="F61" s="1138"/>
      <c r="G61" s="1138"/>
      <c r="H61" s="1138">
        <f>H48*$Y48*$Y$4</f>
        <v>0</v>
      </c>
      <c r="I61" s="1138">
        <f>I48*$Y48*$Y$4</f>
        <v>0</v>
      </c>
      <c r="J61" s="1138">
        <f t="shared" ref="J61:N61" si="27">J48*$Y48*$Y$4</f>
        <v>0</v>
      </c>
      <c r="K61" s="1138">
        <f t="shared" si="27"/>
        <v>0</v>
      </c>
      <c r="L61" s="1138">
        <f t="shared" si="27"/>
        <v>0</v>
      </c>
      <c r="M61" s="1138">
        <f t="shared" si="27"/>
        <v>0</v>
      </c>
      <c r="N61" s="1138">
        <f t="shared" si="27"/>
        <v>0</v>
      </c>
      <c r="O61" s="1138"/>
      <c r="P61" s="1217">
        <f t="shared" si="22"/>
        <v>0</v>
      </c>
      <c r="Q61" s="578">
        <f t="shared" si="15"/>
        <v>0</v>
      </c>
    </row>
    <row r="62" spans="1:25" ht="21.95" hidden="1" customHeight="1" x14ac:dyDescent="0.15">
      <c r="A62" s="2513"/>
      <c r="B62" s="2595"/>
      <c r="C62" s="558" t="s">
        <v>1826</v>
      </c>
      <c r="D62" s="1061"/>
      <c r="F62" s="1138"/>
      <c r="G62" s="1138"/>
      <c r="H62" s="1138">
        <f t="shared" ref="H62:I62" si="28">H15*50%*2.4</f>
        <v>0</v>
      </c>
      <c r="I62" s="1138">
        <f t="shared" si="28"/>
        <v>0</v>
      </c>
      <c r="J62" s="1138">
        <f t="shared" ref="J62:N62" si="29">J15*50%*2.4</f>
        <v>0</v>
      </c>
      <c r="K62" s="1138">
        <f t="shared" si="29"/>
        <v>0</v>
      </c>
      <c r="L62" s="1138">
        <f t="shared" si="29"/>
        <v>0</v>
      </c>
      <c r="M62" s="1138">
        <f t="shared" si="29"/>
        <v>0</v>
      </c>
      <c r="N62" s="1138">
        <f t="shared" si="29"/>
        <v>0</v>
      </c>
      <c r="O62" s="1138"/>
      <c r="P62" s="1217">
        <f t="shared" si="22"/>
        <v>0</v>
      </c>
      <c r="Q62" s="578"/>
    </row>
    <row r="63" spans="1:25" ht="21.95" customHeight="1" thickBot="1" x14ac:dyDescent="0.2">
      <c r="A63" s="2513"/>
      <c r="B63" s="2595"/>
      <c r="C63" s="566" t="s">
        <v>1207</v>
      </c>
      <c r="D63" s="1061"/>
      <c r="F63" s="1138"/>
      <c r="G63" s="1138"/>
      <c r="H63" s="1138">
        <f t="shared" ref="H63:I63" si="30">(H19+H20)*0.02</f>
        <v>26.766999999999999</v>
      </c>
      <c r="I63" s="1138">
        <f t="shared" si="30"/>
        <v>0</v>
      </c>
      <c r="J63" s="1138">
        <f t="shared" ref="J63:N63" si="31">(J19+J20)*0.02</f>
        <v>0</v>
      </c>
      <c r="K63" s="1138">
        <f t="shared" si="31"/>
        <v>0</v>
      </c>
      <c r="L63" s="1138">
        <f t="shared" si="31"/>
        <v>0</v>
      </c>
      <c r="M63" s="1138">
        <f t="shared" si="31"/>
        <v>0</v>
      </c>
      <c r="N63" s="1138">
        <f t="shared" si="31"/>
        <v>0</v>
      </c>
      <c r="O63" s="1138"/>
      <c r="P63" s="1217">
        <f t="shared" si="22"/>
        <v>26.77</v>
      </c>
      <c r="Q63" s="578">
        <f>SUM(F63:P63)</f>
        <v>53.536999999999999</v>
      </c>
    </row>
    <row r="64" spans="1:25" ht="21.95" hidden="1" customHeight="1" x14ac:dyDescent="0.15">
      <c r="A64" s="2513"/>
      <c r="B64" s="2595"/>
      <c r="C64" s="567" t="s">
        <v>1432</v>
      </c>
      <c r="D64" s="1061"/>
      <c r="F64" s="1138"/>
      <c r="G64" s="1138"/>
      <c r="H64" s="1138">
        <f t="shared" ref="H64:I64" si="32">(H53*3.48+H54*4.4)/1000</f>
        <v>0</v>
      </c>
      <c r="I64" s="1138">
        <f t="shared" si="32"/>
        <v>0</v>
      </c>
      <c r="J64" s="1138">
        <f t="shared" ref="J64:N64" si="33">(J53*3.48+J54*4.4)/1000</f>
        <v>0</v>
      </c>
      <c r="K64" s="1138">
        <f t="shared" si="33"/>
        <v>0</v>
      </c>
      <c r="L64" s="1138">
        <f t="shared" si="33"/>
        <v>0</v>
      </c>
      <c r="M64" s="1138">
        <f t="shared" si="33"/>
        <v>0</v>
      </c>
      <c r="N64" s="1138">
        <f t="shared" si="33"/>
        <v>0</v>
      </c>
      <c r="O64" s="1138"/>
      <c r="P64" s="1217">
        <f t="shared" si="22"/>
        <v>0</v>
      </c>
      <c r="Q64" s="578">
        <f>SUM(F64:P64)</f>
        <v>0</v>
      </c>
    </row>
    <row r="65" spans="1:17" ht="21.95" hidden="1" customHeight="1" thickBot="1" x14ac:dyDescent="0.2">
      <c r="A65" s="2513"/>
      <c r="B65" s="2595"/>
      <c r="C65" s="567" t="s">
        <v>1433</v>
      </c>
      <c r="D65" s="1061"/>
      <c r="F65" s="1138"/>
      <c r="G65" s="1138"/>
      <c r="H65" s="1138">
        <f t="shared" ref="H65:I65" si="34">(H55*19.36+H56*33.18)/1000</f>
        <v>0</v>
      </c>
      <c r="I65" s="1138">
        <f t="shared" si="34"/>
        <v>0</v>
      </c>
      <c r="J65" s="1138">
        <f t="shared" ref="J65:N65" si="35">(J55*19.36+J56*33.18)/1000</f>
        <v>0</v>
      </c>
      <c r="K65" s="1138">
        <f t="shared" si="35"/>
        <v>0</v>
      </c>
      <c r="L65" s="1138">
        <f t="shared" si="35"/>
        <v>0</v>
      </c>
      <c r="M65" s="1138">
        <f t="shared" si="35"/>
        <v>0</v>
      </c>
      <c r="N65" s="1138">
        <f t="shared" si="35"/>
        <v>0</v>
      </c>
      <c r="O65" s="1138"/>
      <c r="P65" s="1217">
        <f t="shared" si="22"/>
        <v>0</v>
      </c>
      <c r="Q65" s="578">
        <f>SUM(F65:P65)</f>
        <v>0</v>
      </c>
    </row>
    <row r="66" spans="1:17" ht="21.95" hidden="1" customHeight="1" x14ac:dyDescent="0.15">
      <c r="A66" s="2513"/>
      <c r="B66" s="2566" t="s">
        <v>1366</v>
      </c>
      <c r="C66" s="549" t="s">
        <v>1203</v>
      </c>
      <c r="D66" s="1060"/>
      <c r="E66" s="1510"/>
      <c r="F66" s="1136"/>
      <c r="G66" s="1136"/>
      <c r="H66" s="1136">
        <f t="shared" ref="H66:I66" si="36">H57</f>
        <v>0</v>
      </c>
      <c r="I66" s="1136">
        <f t="shared" si="36"/>
        <v>4.8999169782000003</v>
      </c>
      <c r="J66" s="1136">
        <f t="shared" ref="J66:N66" si="37">J57</f>
        <v>20.194650634499997</v>
      </c>
      <c r="K66" s="1136">
        <f t="shared" si="37"/>
        <v>4.2936828191999998</v>
      </c>
      <c r="L66" s="1136">
        <f t="shared" si="37"/>
        <v>2.8706278986</v>
      </c>
      <c r="M66" s="1136">
        <f t="shared" si="37"/>
        <v>3.1712259995999998</v>
      </c>
      <c r="N66" s="1136">
        <f t="shared" si="37"/>
        <v>21.5350830603</v>
      </c>
      <c r="O66" s="1136"/>
      <c r="P66" s="1237"/>
      <c r="Q66" s="578"/>
    </row>
    <row r="67" spans="1:17" ht="21.95" hidden="1" customHeight="1" x14ac:dyDescent="0.15">
      <c r="A67" s="2513"/>
      <c r="B67" s="2523"/>
      <c r="C67" s="558" t="s">
        <v>585</v>
      </c>
      <c r="D67" s="1061"/>
      <c r="F67" s="1138"/>
      <c r="G67" s="1138"/>
      <c r="H67" s="1138">
        <f t="shared" ref="H67:I67" si="38">H58</f>
        <v>0</v>
      </c>
      <c r="I67" s="1138">
        <f t="shared" si="38"/>
        <v>14.44529835</v>
      </c>
      <c r="J67" s="1138">
        <f t="shared" ref="J67:N67" si="39">J58</f>
        <v>59.535244124999998</v>
      </c>
      <c r="K67" s="1138">
        <f t="shared" si="39"/>
        <v>12.6580776</v>
      </c>
      <c r="L67" s="1138">
        <f t="shared" si="39"/>
        <v>8.4628120500000001</v>
      </c>
      <c r="M67" s="1138">
        <f t="shared" si="39"/>
        <v>9.3489962999999996</v>
      </c>
      <c r="N67" s="1138">
        <f t="shared" si="39"/>
        <v>63.486932775</v>
      </c>
      <c r="O67" s="1138"/>
      <c r="P67" s="1217"/>
      <c r="Q67" s="578"/>
    </row>
    <row r="68" spans="1:17" ht="21.95" hidden="1" customHeight="1" x14ac:dyDescent="0.15">
      <c r="A68" s="2513"/>
      <c r="B68" s="2523"/>
      <c r="C68" s="558" t="s">
        <v>642</v>
      </c>
      <c r="D68" s="1061"/>
      <c r="F68" s="1138"/>
      <c r="G68" s="1138"/>
      <c r="H68" s="1138">
        <f t="shared" ref="H68:I68" si="40">H59</f>
        <v>0</v>
      </c>
      <c r="I68" s="1138">
        <f t="shared" si="40"/>
        <v>10.389848129999999</v>
      </c>
      <c r="J68" s="1138">
        <f t="shared" ref="J68:N68" si="41">J59</f>
        <v>42.821001674999991</v>
      </c>
      <c r="K68" s="1138">
        <f t="shared" si="41"/>
        <v>9.1043812800000001</v>
      </c>
      <c r="L68" s="1138">
        <f t="shared" si="41"/>
        <v>6.0869169899999997</v>
      </c>
      <c r="M68" s="1138">
        <f t="shared" si="41"/>
        <v>6.724309139999999</v>
      </c>
      <c r="N68" s="1138">
        <f t="shared" si="41"/>
        <v>45.663272144999993</v>
      </c>
      <c r="O68" s="1138"/>
      <c r="P68" s="1217"/>
      <c r="Q68" s="578"/>
    </row>
    <row r="69" spans="1:17" ht="21.95" hidden="1" customHeight="1" x14ac:dyDescent="0.15">
      <c r="A69" s="2513"/>
      <c r="B69" s="2523"/>
      <c r="C69" s="558" t="s">
        <v>1204</v>
      </c>
      <c r="D69" s="1061"/>
      <c r="F69" s="1138"/>
      <c r="G69" s="1138"/>
      <c r="H69" s="1138">
        <f t="shared" ref="H69:I69" si="42">H60</f>
        <v>0</v>
      </c>
      <c r="I69" s="1138">
        <f t="shared" si="42"/>
        <v>0</v>
      </c>
      <c r="J69" s="1138">
        <f t="shared" ref="J69:N69" si="43">J60</f>
        <v>0</v>
      </c>
      <c r="K69" s="1138">
        <f t="shared" si="43"/>
        <v>0</v>
      </c>
      <c r="L69" s="1138">
        <f t="shared" si="43"/>
        <v>0</v>
      </c>
      <c r="M69" s="1138">
        <f t="shared" si="43"/>
        <v>0</v>
      </c>
      <c r="N69" s="1138">
        <f t="shared" si="43"/>
        <v>0</v>
      </c>
      <c r="O69" s="1138"/>
      <c r="P69" s="1217"/>
      <c r="Q69" s="578"/>
    </row>
    <row r="70" spans="1:17" ht="21.95" hidden="1" customHeight="1" x14ac:dyDescent="0.15">
      <c r="A70" s="2513"/>
      <c r="B70" s="2523"/>
      <c r="C70" s="558" t="s">
        <v>1205</v>
      </c>
      <c r="D70" s="1061"/>
      <c r="F70" s="1138"/>
      <c r="G70" s="1138"/>
      <c r="H70" s="1138">
        <f t="shared" ref="H70:I70" si="44">H61</f>
        <v>0</v>
      </c>
      <c r="I70" s="1138">
        <f t="shared" si="44"/>
        <v>0</v>
      </c>
      <c r="J70" s="1138">
        <f t="shared" ref="J70:N70" si="45">J61</f>
        <v>0</v>
      </c>
      <c r="K70" s="1138">
        <f t="shared" si="45"/>
        <v>0</v>
      </c>
      <c r="L70" s="1138">
        <f t="shared" si="45"/>
        <v>0</v>
      </c>
      <c r="M70" s="1138">
        <f t="shared" si="45"/>
        <v>0</v>
      </c>
      <c r="N70" s="1138">
        <f t="shared" si="45"/>
        <v>0</v>
      </c>
      <c r="O70" s="1138"/>
      <c r="P70" s="1217"/>
      <c r="Q70" s="578"/>
    </row>
    <row r="71" spans="1:17" ht="21.95" hidden="1" customHeight="1" x14ac:dyDescent="0.15">
      <c r="A71" s="2513"/>
      <c r="B71" s="2523"/>
      <c r="C71" s="558" t="s">
        <v>1435</v>
      </c>
      <c r="D71" s="1061"/>
      <c r="F71" s="1138"/>
      <c r="G71" s="1138"/>
      <c r="H71" s="1138">
        <f t="shared" ref="H71:I71" si="46">H62</f>
        <v>0</v>
      </c>
      <c r="I71" s="1138">
        <f t="shared" si="46"/>
        <v>0</v>
      </c>
      <c r="J71" s="1138">
        <f t="shared" ref="J71:N71" si="47">J62</f>
        <v>0</v>
      </c>
      <c r="K71" s="1138">
        <f t="shared" si="47"/>
        <v>0</v>
      </c>
      <c r="L71" s="1138">
        <f t="shared" si="47"/>
        <v>0</v>
      </c>
      <c r="M71" s="1138">
        <f t="shared" si="47"/>
        <v>0</v>
      </c>
      <c r="N71" s="1138">
        <f t="shared" si="47"/>
        <v>0</v>
      </c>
      <c r="O71" s="1138"/>
      <c r="P71" s="1217"/>
      <c r="Q71" s="578"/>
    </row>
    <row r="72" spans="1:17" ht="21.95" hidden="1" customHeight="1" x14ac:dyDescent="0.15">
      <c r="A72" s="2513"/>
      <c r="B72" s="2523"/>
      <c r="C72" s="566" t="s">
        <v>1207</v>
      </c>
      <c r="D72" s="1061"/>
      <c r="F72" s="1138"/>
      <c r="G72" s="1138"/>
      <c r="H72" s="1138">
        <f t="shared" ref="H72:I72" si="48">H63</f>
        <v>26.766999999999999</v>
      </c>
      <c r="I72" s="1138">
        <f t="shared" si="48"/>
        <v>0</v>
      </c>
      <c r="J72" s="1138">
        <f t="shared" ref="J72:N72" si="49">J63</f>
        <v>0</v>
      </c>
      <c r="K72" s="1138">
        <f t="shared" si="49"/>
        <v>0</v>
      </c>
      <c r="L72" s="1138">
        <f t="shared" si="49"/>
        <v>0</v>
      </c>
      <c r="M72" s="1138">
        <f t="shared" si="49"/>
        <v>0</v>
      </c>
      <c r="N72" s="1138">
        <f t="shared" si="49"/>
        <v>0</v>
      </c>
      <c r="O72" s="1138"/>
      <c r="P72" s="1217"/>
      <c r="Q72" s="578"/>
    </row>
    <row r="73" spans="1:17" ht="21.95" hidden="1" customHeight="1" x14ac:dyDescent="0.15">
      <c r="A73" s="2513"/>
      <c r="B73" s="2523"/>
      <c r="C73" s="567" t="s">
        <v>1432</v>
      </c>
      <c r="D73" s="1061"/>
      <c r="F73" s="1138"/>
      <c r="G73" s="1138"/>
      <c r="H73" s="1138">
        <f t="shared" ref="H73:I73" si="50">H64</f>
        <v>0</v>
      </c>
      <c r="I73" s="1138">
        <f t="shared" si="50"/>
        <v>0</v>
      </c>
      <c r="J73" s="1138">
        <f t="shared" ref="J73:N73" si="51">J64</f>
        <v>0</v>
      </c>
      <c r="K73" s="1138">
        <f t="shared" si="51"/>
        <v>0</v>
      </c>
      <c r="L73" s="1138">
        <f t="shared" si="51"/>
        <v>0</v>
      </c>
      <c r="M73" s="1138">
        <f t="shared" si="51"/>
        <v>0</v>
      </c>
      <c r="N73" s="1138">
        <f t="shared" si="51"/>
        <v>0</v>
      </c>
      <c r="O73" s="1138"/>
      <c r="P73" s="1217"/>
      <c r="Q73" s="578"/>
    </row>
    <row r="74" spans="1:17" ht="21.95" hidden="1" customHeight="1" thickBot="1" x14ac:dyDescent="0.2">
      <c r="A74" s="2513"/>
      <c r="B74" s="2524"/>
      <c r="C74" s="565" t="s">
        <v>1433</v>
      </c>
      <c r="D74" s="982"/>
      <c r="E74" s="1509"/>
      <c r="F74" s="1134"/>
      <c r="G74" s="1134"/>
      <c r="H74" s="1134">
        <f t="shared" ref="H74:I74" si="52">H65</f>
        <v>0</v>
      </c>
      <c r="I74" s="1134">
        <f t="shared" si="52"/>
        <v>0</v>
      </c>
      <c r="J74" s="1134">
        <f t="shared" ref="J74:N74" si="53">J65</f>
        <v>0</v>
      </c>
      <c r="K74" s="1134">
        <f t="shared" si="53"/>
        <v>0</v>
      </c>
      <c r="L74" s="1134">
        <f t="shared" si="53"/>
        <v>0</v>
      </c>
      <c r="M74" s="1134">
        <f t="shared" si="53"/>
        <v>0</v>
      </c>
      <c r="N74" s="1134">
        <f t="shared" si="53"/>
        <v>0</v>
      </c>
      <c r="O74" s="1134"/>
      <c r="P74" s="1214"/>
      <c r="Q74" s="578"/>
    </row>
    <row r="75" spans="1:17" s="9" customFormat="1" ht="50.1" customHeight="1" thickBot="1" x14ac:dyDescent="0.2">
      <c r="A75" s="2514"/>
      <c r="B75" s="2830" t="s">
        <v>12</v>
      </c>
      <c r="C75" s="2831"/>
      <c r="D75" s="1273"/>
      <c r="E75" s="1511"/>
      <c r="F75" s="1241"/>
      <c r="G75" s="1241"/>
      <c r="H75" s="2096"/>
      <c r="I75" s="2096"/>
      <c r="J75" s="2096"/>
      <c r="K75" s="2096"/>
      <c r="L75" s="2096"/>
      <c r="M75" s="2096"/>
      <c r="N75" s="2096"/>
      <c r="O75" s="2096"/>
      <c r="P75" s="2097"/>
      <c r="Q75" s="667">
        <v>1</v>
      </c>
    </row>
    <row r="76" spans="1:17" ht="19.5" hidden="1" thickTop="1" x14ac:dyDescent="0.15">
      <c r="F76" s="1242"/>
      <c r="G76" s="1242"/>
      <c r="H76" s="1242"/>
      <c r="I76" s="1242"/>
      <c r="J76" s="1242"/>
      <c r="K76" s="1242"/>
      <c r="L76" s="1242"/>
      <c r="M76" s="1242"/>
      <c r="N76" s="1242"/>
      <c r="O76" s="1242"/>
      <c r="P76" s="1243"/>
    </row>
    <row r="77" spans="1:17" ht="19.5" thickTop="1" x14ac:dyDescent="0.15"/>
  </sheetData>
  <autoFilter ref="Q1:Q76">
    <filterColumn colId="0">
      <customFilters>
        <customFilter operator="notEqual" val=" "/>
      </customFilters>
    </filterColumn>
  </autoFilter>
  <mergeCells count="28">
    <mergeCell ref="B46:B48"/>
    <mergeCell ref="X1:X4"/>
    <mergeCell ref="R1:S1"/>
    <mergeCell ref="T1:U1"/>
    <mergeCell ref="V1:W1"/>
    <mergeCell ref="B38:B41"/>
    <mergeCell ref="B10:B11"/>
    <mergeCell ref="B28:B29"/>
    <mergeCell ref="B21:C21"/>
    <mergeCell ref="B23:C23"/>
    <mergeCell ref="B24:B27"/>
    <mergeCell ref="B22:C22"/>
    <mergeCell ref="A1:A75"/>
    <mergeCell ref="B1:C1"/>
    <mergeCell ref="B5:B8"/>
    <mergeCell ref="B34:B37"/>
    <mergeCell ref="B2:C2"/>
    <mergeCell ref="B3:B4"/>
    <mergeCell ref="B75:C75"/>
    <mergeCell ref="B9:C9"/>
    <mergeCell ref="B30:B33"/>
    <mergeCell ref="B12:B15"/>
    <mergeCell ref="B66:B74"/>
    <mergeCell ref="B49:B52"/>
    <mergeCell ref="B53:B54"/>
    <mergeCell ref="B55:B56"/>
    <mergeCell ref="B57:B65"/>
    <mergeCell ref="B42:B45"/>
  </mergeCells>
  <hyperlinks>
    <hyperlink ref="B1:C1" location="PAINEL!A1" display="VIAS"/>
  </hyperlinks>
  <pageMargins left="0.59055118110236227" right="0.59055118110236227" top="0.78740157480314965" bottom="0.78740157480314965" header="0.23622047244094491" footer="0.23622047244094491"/>
  <pageSetup paperSize="9" scale="90" fitToWidth="7" orientation="landscape" r:id="rId1"/>
  <headerFooter>
    <oddFooter>&amp;L&amp;"Arial,Normal"&amp;8&amp;F&amp;C&amp;"Arial,Normal"&amp;8&amp;P/&amp;N&amp;R&amp;"+,Regular"&amp;8Ricardo Schettini Figueiredo
Eng. Civil - CREA-RJ 52.656/D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37" filterMode="1">
    <tabColor rgb="FFFFFF99"/>
  </sheetPr>
  <dimension ref="A1:AQ270"/>
  <sheetViews>
    <sheetView showZeros="0" zoomScaleNormal="100" zoomScaleSheetLayoutView="100" workbookViewId="0">
      <pane xSplit="6" ySplit="1" topLeftCell="G20" activePane="bottomRight" state="frozenSplit"/>
      <selection activeCell="D18" sqref="B13:I28"/>
      <selection pane="topRight" activeCell="D18" sqref="B13:I28"/>
      <selection pane="bottomLeft" activeCell="D18" sqref="B13:I28"/>
      <selection pane="bottomRight" activeCell="G20" sqref="G20"/>
    </sheetView>
  </sheetViews>
  <sheetFormatPr defaultColWidth="9" defaultRowHeight="18.75" x14ac:dyDescent="0.15"/>
  <cols>
    <col min="1" max="1" width="9.75" style="5" customWidth="1"/>
    <col min="2" max="2" width="12.625" style="5" customWidth="1"/>
    <col min="3" max="3" width="14.625" style="5" customWidth="1"/>
    <col min="4" max="4" width="30.625" style="5" customWidth="1"/>
    <col min="5" max="5" width="3.125" style="981" hidden="1" customWidth="1"/>
    <col min="6" max="6" width="8.625" style="9" hidden="1" customWidth="1"/>
    <col min="7" max="12" width="12.625" style="5" customWidth="1"/>
    <col min="13" max="13" width="12.625" style="5" hidden="1" customWidth="1"/>
    <col min="14" max="14" width="12.625" style="417" customWidth="1"/>
    <col min="15" max="15" width="15.875" style="5" customWidth="1"/>
    <col min="16" max="24" width="9" style="5" customWidth="1"/>
    <col min="25" max="27" width="9.25" style="5" customWidth="1"/>
    <col min="28" max="36" width="9" style="5" customWidth="1"/>
    <col min="37" max="42" width="9" style="5"/>
    <col min="43" max="43" width="9.375" style="5" bestFit="1" customWidth="1"/>
    <col min="44" max="16384" width="9" style="5"/>
  </cols>
  <sheetData>
    <row r="1" spans="1:15" s="10" customFormat="1" ht="60" customHeight="1" thickTop="1" thickBot="1" x14ac:dyDescent="0.2">
      <c r="A1" s="2512" t="s">
        <v>1822</v>
      </c>
      <c r="B1" s="2765" t="s">
        <v>348</v>
      </c>
      <c r="C1" s="2765"/>
      <c r="D1" s="2832"/>
      <c r="E1" s="990"/>
      <c r="F1" s="973" t="s">
        <v>588</v>
      </c>
      <c r="G1" s="660" t="str">
        <f>Pav_Dados!G1</f>
        <v>Rua Maria Anunciação Rodrigues</v>
      </c>
      <c r="H1" s="660" t="str">
        <f>Pav_Dados!H1</f>
        <v>Rua Olinda Garcia de Oliveira / Rua João Trivellato</v>
      </c>
      <c r="I1" s="660" t="str">
        <f>Pav_Dados!I1</f>
        <v>Rua Clelia Santos da Rosa</v>
      </c>
      <c r="J1" s="660" t="str">
        <f>Pav_Dados!J1</f>
        <v>Rua Escobar Nunes</v>
      </c>
      <c r="K1" s="660" t="str">
        <f>Pav_Dados!K1</f>
        <v>Rua Ronald de Carvalho</v>
      </c>
      <c r="L1" s="660" t="str">
        <f>Pav_Dados!L1</f>
        <v>Rua Paulo Soares Valentin / Rua Michel Calarge</v>
      </c>
      <c r="M1" s="660"/>
      <c r="N1" s="427" t="s">
        <v>0</v>
      </c>
      <c r="O1" s="577" t="s">
        <v>1355</v>
      </c>
    </row>
    <row r="2" spans="1:15" s="10" customFormat="1" ht="21.95" hidden="1" customHeight="1" thickTop="1" thickBot="1" x14ac:dyDescent="0.2">
      <c r="A2" s="2627"/>
      <c r="B2" s="2868" t="s">
        <v>1479</v>
      </c>
      <c r="C2" s="2869"/>
      <c r="D2" s="2870"/>
      <c r="E2" s="1270"/>
      <c r="F2" s="1271"/>
      <c r="G2" s="1987">
        <f>Pav_Dados!G2</f>
        <v>142.16</v>
      </c>
      <c r="H2" s="1987">
        <f>Pav_Dados!H2</f>
        <v>632.84</v>
      </c>
      <c r="I2" s="1987">
        <f>Pav_Dados!I2</f>
        <v>105.4</v>
      </c>
      <c r="J2" s="1987">
        <f>Pav_Dados!J2</f>
        <v>81.44</v>
      </c>
      <c r="K2" s="1987">
        <f>Pav_Dados!K2</f>
        <v>99.64</v>
      </c>
      <c r="L2" s="1987">
        <f>Pav_Dados!L2</f>
        <v>680.3</v>
      </c>
      <c r="M2" s="1987"/>
      <c r="N2" s="1272">
        <f>TRUNC(SUM(G2:M2),2)</f>
        <v>1741.78</v>
      </c>
      <c r="O2" s="1016"/>
    </row>
    <row r="3" spans="1:15" s="10" customFormat="1" ht="21.95" hidden="1" customHeight="1" thickBot="1" x14ac:dyDescent="0.2">
      <c r="A3" s="2627"/>
      <c r="B3" s="2714" t="s">
        <v>1588</v>
      </c>
      <c r="C3" s="2715"/>
      <c r="D3" s="2716"/>
      <c r="E3" s="1061"/>
      <c r="F3" s="1344"/>
      <c r="G3" s="8">
        <f t="shared" ref="G3:L3" si="0">G7+G10+G12*G14+G16*G18+G36*G38+G43*G45+G50*G52+G57*G59+G64*G66+G71*G73+G78*G80+G85*G87+G93*G95+G100*G102+G107*G109+G114*G116+G121*G123+G128*G130+G136*G138</f>
        <v>0</v>
      </c>
      <c r="H3" s="8">
        <f t="shared" si="0"/>
        <v>0</v>
      </c>
      <c r="I3" s="8">
        <f t="shared" si="0"/>
        <v>0</v>
      </c>
      <c r="J3" s="8">
        <f t="shared" si="0"/>
        <v>0</v>
      </c>
      <c r="K3" s="8">
        <f t="shared" si="0"/>
        <v>0</v>
      </c>
      <c r="L3" s="8">
        <f t="shared" si="0"/>
        <v>0</v>
      </c>
      <c r="M3" s="8"/>
      <c r="N3" s="416">
        <f>TRUNC(SUM(G3:M3),2)</f>
        <v>0</v>
      </c>
      <c r="O3" s="578">
        <f t="shared" ref="O3:O34" si="1">SUM(G3:N3)</f>
        <v>0</v>
      </c>
    </row>
    <row r="4" spans="1:15" s="10" customFormat="1" ht="21.95" hidden="1" customHeight="1" x14ac:dyDescent="0.15">
      <c r="A4" s="2627"/>
      <c r="B4" s="2727" t="s">
        <v>470</v>
      </c>
      <c r="C4" s="2674"/>
      <c r="D4" s="1246" t="s">
        <v>475</v>
      </c>
      <c r="E4" s="1060"/>
      <c r="F4" s="1410"/>
      <c r="G4" s="1409"/>
      <c r="H4" s="1409"/>
      <c r="I4" s="1409"/>
      <c r="J4" s="1409"/>
      <c r="K4" s="1409"/>
      <c r="L4" s="1409"/>
      <c r="M4" s="1409"/>
      <c r="N4" s="430"/>
      <c r="O4" s="578">
        <f t="shared" si="1"/>
        <v>0</v>
      </c>
    </row>
    <row r="5" spans="1:15" s="10" customFormat="1" ht="21.95" hidden="1" customHeight="1" thickBot="1" x14ac:dyDescent="0.2">
      <c r="A5" s="2627"/>
      <c r="B5" s="2728"/>
      <c r="C5" s="2675"/>
      <c r="D5" s="1245" t="s">
        <v>471</v>
      </c>
      <c r="E5" s="982"/>
      <c r="F5" s="563"/>
      <c r="G5" s="1173">
        <f t="shared" ref="G5:L5" si="2">G4*G3</f>
        <v>0</v>
      </c>
      <c r="H5" s="1173">
        <f t="shared" si="2"/>
        <v>0</v>
      </c>
      <c r="I5" s="1173">
        <f t="shared" si="2"/>
        <v>0</v>
      </c>
      <c r="J5" s="1173">
        <f t="shared" si="2"/>
        <v>0</v>
      </c>
      <c r="K5" s="1173">
        <f t="shared" si="2"/>
        <v>0</v>
      </c>
      <c r="L5" s="1173">
        <f t="shared" si="2"/>
        <v>0</v>
      </c>
      <c r="M5" s="1173"/>
      <c r="N5" s="416">
        <f>TRUNC(SUM(G5:M5),2)</f>
        <v>0</v>
      </c>
      <c r="O5" s="578">
        <f t="shared" si="1"/>
        <v>0</v>
      </c>
    </row>
    <row r="6" spans="1:15" ht="21.95" hidden="1" customHeight="1" x14ac:dyDescent="0.15">
      <c r="A6" s="2627"/>
      <c r="B6" s="2533" t="s">
        <v>1485</v>
      </c>
      <c r="C6" s="2674" t="s">
        <v>1571</v>
      </c>
      <c r="D6" s="541" t="s">
        <v>58</v>
      </c>
      <c r="E6" s="1060"/>
      <c r="F6" s="1343"/>
      <c r="G6" s="218"/>
      <c r="H6" s="218"/>
      <c r="I6" s="218"/>
      <c r="J6" s="218"/>
      <c r="K6" s="218"/>
      <c r="L6" s="218"/>
      <c r="M6" s="218"/>
      <c r="N6" s="1275"/>
      <c r="O6" s="578">
        <f t="shared" si="1"/>
        <v>0</v>
      </c>
    </row>
    <row r="7" spans="1:15" ht="21.95" hidden="1" customHeight="1" x14ac:dyDescent="0.15">
      <c r="A7" s="2627"/>
      <c r="B7" s="2534"/>
      <c r="C7" s="2676"/>
      <c r="D7" s="542" t="s">
        <v>3</v>
      </c>
      <c r="E7" s="1061"/>
      <c r="F7" s="1344"/>
      <c r="G7" s="162"/>
      <c r="H7" s="162"/>
      <c r="I7" s="162"/>
      <c r="J7" s="162"/>
      <c r="K7" s="162"/>
      <c r="L7" s="162"/>
      <c r="M7" s="162"/>
      <c r="N7" s="12">
        <f>TRUNC(SUM(G7:M7),2)</f>
        <v>0</v>
      </c>
      <c r="O7" s="578">
        <f t="shared" si="1"/>
        <v>0</v>
      </c>
    </row>
    <row r="8" spans="1:15" ht="21.95" hidden="1" customHeight="1" x14ac:dyDescent="0.15">
      <c r="A8" s="2627"/>
      <c r="B8" s="2534"/>
      <c r="C8" s="2676"/>
      <c r="D8" s="546" t="s">
        <v>1493</v>
      </c>
      <c r="E8" s="1061"/>
      <c r="F8" s="1344"/>
      <c r="G8" s="162"/>
      <c r="H8" s="162"/>
      <c r="I8" s="162"/>
      <c r="J8" s="162"/>
      <c r="K8" s="162"/>
      <c r="L8" s="162"/>
      <c r="M8" s="162"/>
      <c r="N8" s="12">
        <f>TRUNC(SUM(G8:M8),2)</f>
        <v>0</v>
      </c>
      <c r="O8" s="578">
        <f t="shared" si="1"/>
        <v>0</v>
      </c>
    </row>
    <row r="9" spans="1:15" ht="21.95" hidden="1" customHeight="1" x14ac:dyDescent="0.15">
      <c r="A9" s="2627"/>
      <c r="B9" s="2534"/>
      <c r="C9" s="2865" t="s">
        <v>1572</v>
      </c>
      <c r="D9" s="542" t="s">
        <v>58</v>
      </c>
      <c r="E9" s="1063"/>
      <c r="F9" s="1362"/>
      <c r="G9" s="1601"/>
      <c r="H9" s="1601"/>
      <c r="I9" s="1601"/>
      <c r="J9" s="1601"/>
      <c r="K9" s="1601"/>
      <c r="L9" s="1601"/>
      <c r="M9" s="1601"/>
      <c r="N9" s="2346"/>
      <c r="O9" s="578">
        <f t="shared" si="1"/>
        <v>0</v>
      </c>
    </row>
    <row r="10" spans="1:15" ht="21.95" hidden="1" customHeight="1" x14ac:dyDescent="0.15">
      <c r="A10" s="2627"/>
      <c r="B10" s="2534"/>
      <c r="C10" s="2724"/>
      <c r="D10" s="542" t="s">
        <v>3</v>
      </c>
      <c r="E10" s="1061"/>
      <c r="F10" s="1344"/>
      <c r="G10" s="162"/>
      <c r="H10" s="162"/>
      <c r="I10" s="162"/>
      <c r="J10" s="162"/>
      <c r="K10" s="162"/>
      <c r="L10" s="162"/>
      <c r="M10" s="162"/>
      <c r="N10" s="12">
        <f>TRUNC(SUM(G10:M10),2)</f>
        <v>0</v>
      </c>
      <c r="O10" s="578">
        <f t="shared" si="1"/>
        <v>0</v>
      </c>
    </row>
    <row r="11" spans="1:15" ht="21.95" hidden="1" customHeight="1" thickBot="1" x14ac:dyDescent="0.2">
      <c r="A11" s="2627"/>
      <c r="B11" s="2535"/>
      <c r="C11" s="2723"/>
      <c r="D11" s="545" t="s">
        <v>1493</v>
      </c>
      <c r="E11" s="982"/>
      <c r="F11" s="1269"/>
      <c r="G11" s="1302"/>
      <c r="H11" s="1302"/>
      <c r="I11" s="1302"/>
      <c r="J11" s="1302"/>
      <c r="K11" s="1302"/>
      <c r="L11" s="1302"/>
      <c r="M11" s="1302"/>
      <c r="N11" s="429">
        <f>TRUNC(SUM(G11:M11),2)</f>
        <v>0</v>
      </c>
      <c r="O11" s="578">
        <f t="shared" si="1"/>
        <v>0</v>
      </c>
    </row>
    <row r="12" spans="1:15" ht="21.95" hidden="1" customHeight="1" x14ac:dyDescent="0.15">
      <c r="A12" s="2627"/>
      <c r="B12" s="2828" t="s">
        <v>1573</v>
      </c>
      <c r="C12" s="2825" t="s">
        <v>1571</v>
      </c>
      <c r="D12" s="541" t="s">
        <v>60</v>
      </c>
      <c r="E12" s="1060"/>
      <c r="F12" s="1343"/>
      <c r="G12" s="218"/>
      <c r="H12" s="218"/>
      <c r="I12" s="218"/>
      <c r="J12" s="218"/>
      <c r="K12" s="218"/>
      <c r="L12" s="218"/>
      <c r="M12" s="218"/>
      <c r="N12" s="12">
        <f>TRUNC(SUM(G12:M12),2)</f>
        <v>0</v>
      </c>
      <c r="O12" s="578">
        <f t="shared" si="1"/>
        <v>0</v>
      </c>
    </row>
    <row r="13" spans="1:15" ht="21.95" hidden="1" customHeight="1" x14ac:dyDescent="0.15">
      <c r="A13" s="2627"/>
      <c r="B13" s="2829"/>
      <c r="C13" s="2826"/>
      <c r="D13" s="542" t="s">
        <v>1576</v>
      </c>
      <c r="E13" s="1061"/>
      <c r="F13" s="1344"/>
      <c r="G13" s="162"/>
      <c r="H13" s="162"/>
      <c r="I13" s="162"/>
      <c r="J13" s="162"/>
      <c r="K13" s="162"/>
      <c r="L13" s="162"/>
      <c r="M13" s="162"/>
      <c r="N13" s="12"/>
      <c r="O13" s="578">
        <f t="shared" si="1"/>
        <v>0</v>
      </c>
    </row>
    <row r="14" spans="1:15" ht="21.95" hidden="1" customHeight="1" x14ac:dyDescent="0.15">
      <c r="A14" s="2627"/>
      <c r="B14" s="2829"/>
      <c r="C14" s="2826"/>
      <c r="D14" s="542" t="s">
        <v>1577</v>
      </c>
      <c r="E14" s="1061"/>
      <c r="F14" s="1344"/>
      <c r="G14" s="162"/>
      <c r="H14" s="162"/>
      <c r="I14" s="162"/>
      <c r="J14" s="162"/>
      <c r="K14" s="162"/>
      <c r="L14" s="162"/>
      <c r="M14" s="162"/>
      <c r="N14" s="12">
        <f>TRUNC(SUM(G14:M14),2)</f>
        <v>0</v>
      </c>
      <c r="O14" s="578">
        <f t="shared" si="1"/>
        <v>0</v>
      </c>
    </row>
    <row r="15" spans="1:15" ht="21.95" hidden="1" customHeight="1" x14ac:dyDescent="0.15">
      <c r="A15" s="2627"/>
      <c r="B15" s="2829"/>
      <c r="C15" s="2826"/>
      <c r="D15" s="543" t="s">
        <v>1578</v>
      </c>
      <c r="E15" s="1062"/>
      <c r="F15" s="1361"/>
      <c r="G15" s="423"/>
      <c r="H15" s="423"/>
      <c r="I15" s="423"/>
      <c r="J15" s="423"/>
      <c r="K15" s="423"/>
      <c r="L15" s="423"/>
      <c r="M15" s="423"/>
      <c r="N15" s="1276">
        <f>TRUNC(SUM(G15:M15),2)</f>
        <v>0</v>
      </c>
      <c r="O15" s="578">
        <f t="shared" si="1"/>
        <v>0</v>
      </c>
    </row>
    <row r="16" spans="1:15" ht="21.95" hidden="1" customHeight="1" x14ac:dyDescent="0.15">
      <c r="A16" s="2627"/>
      <c r="B16" s="2829"/>
      <c r="C16" s="2826" t="s">
        <v>1572</v>
      </c>
      <c r="D16" s="543" t="s">
        <v>60</v>
      </c>
      <c r="E16" s="1061"/>
      <c r="F16" s="1344"/>
      <c r="G16" s="162"/>
      <c r="H16" s="162"/>
      <c r="I16" s="162"/>
      <c r="J16" s="162"/>
      <c r="K16" s="162"/>
      <c r="L16" s="162"/>
      <c r="M16" s="162"/>
      <c r="N16" s="12">
        <f>TRUNC(SUM(G16:M16),2)</f>
        <v>0</v>
      </c>
      <c r="O16" s="578">
        <f t="shared" si="1"/>
        <v>0</v>
      </c>
    </row>
    <row r="17" spans="1:15" ht="21.95" hidden="1" customHeight="1" x14ac:dyDescent="0.15">
      <c r="A17" s="2627"/>
      <c r="B17" s="2829"/>
      <c r="C17" s="2826"/>
      <c r="D17" s="542" t="s">
        <v>1576</v>
      </c>
      <c r="E17" s="1061"/>
      <c r="F17" s="1344"/>
      <c r="G17" s="1279"/>
      <c r="H17" s="1279"/>
      <c r="I17" s="1279"/>
      <c r="J17" s="1279"/>
      <c r="K17" s="1279"/>
      <c r="L17" s="1279"/>
      <c r="M17" s="1279"/>
      <c r="N17" s="12"/>
      <c r="O17" s="578">
        <f t="shared" si="1"/>
        <v>0</v>
      </c>
    </row>
    <row r="18" spans="1:15" ht="21.95" hidden="1" customHeight="1" x14ac:dyDescent="0.15">
      <c r="A18" s="2627"/>
      <c r="B18" s="2611"/>
      <c r="C18" s="2729"/>
      <c r="D18" s="542" t="s">
        <v>1577</v>
      </c>
      <c r="E18" s="1061"/>
      <c r="F18" s="1344"/>
      <c r="G18" s="1279"/>
      <c r="H18" s="1279"/>
      <c r="I18" s="1279"/>
      <c r="J18" s="1279"/>
      <c r="K18" s="1279"/>
      <c r="L18" s="1279"/>
      <c r="M18" s="1279"/>
      <c r="N18" s="12">
        <f>TRUNC(SUM(G18:M18),2)</f>
        <v>0</v>
      </c>
      <c r="O18" s="578">
        <f t="shared" si="1"/>
        <v>0</v>
      </c>
    </row>
    <row r="19" spans="1:15" ht="21.95" hidden="1" customHeight="1" thickBot="1" x14ac:dyDescent="0.2">
      <c r="A19" s="2627"/>
      <c r="B19" s="2866"/>
      <c r="C19" s="2827"/>
      <c r="D19" s="545" t="s">
        <v>1578</v>
      </c>
      <c r="E19" s="982"/>
      <c r="F19" s="1269"/>
      <c r="G19" s="1302"/>
      <c r="H19" s="1302"/>
      <c r="I19" s="1302"/>
      <c r="J19" s="1302"/>
      <c r="K19" s="1302"/>
      <c r="L19" s="1302"/>
      <c r="M19" s="1302"/>
      <c r="N19" s="429">
        <f>TRUNC(SUM(G19:M19),2)</f>
        <v>0</v>
      </c>
      <c r="O19" s="578">
        <f t="shared" si="1"/>
        <v>0</v>
      </c>
    </row>
    <row r="20" spans="1:15" ht="21.95" customHeight="1" thickTop="1" thickBot="1" x14ac:dyDescent="0.2">
      <c r="A20" s="2627"/>
      <c r="B20" s="2739" t="s">
        <v>1574</v>
      </c>
      <c r="C20" s="2740"/>
      <c r="D20" s="2102" t="s">
        <v>1855</v>
      </c>
      <c r="E20" s="982"/>
      <c r="F20" s="1269"/>
      <c r="G20" s="2106">
        <f>206.09+229.39</f>
        <v>435.48</v>
      </c>
      <c r="H20" s="2106">
        <f>986.14+940.21</f>
        <v>1926.35</v>
      </c>
      <c r="I20" s="2106">
        <f>201.88+189.08</f>
        <v>390.96000000000004</v>
      </c>
      <c r="J20" s="2106">
        <f>130.92+130.37</f>
        <v>261.28999999999996</v>
      </c>
      <c r="K20" s="2106">
        <f>150.1+158.46</f>
        <v>308.56</v>
      </c>
      <c r="L20" s="2106">
        <f>1048.67+968.56</f>
        <v>2017.23</v>
      </c>
      <c r="M20" s="2106"/>
      <c r="N20" s="1325">
        <f>TRUNC(SUM(G20:M20),2)</f>
        <v>5339.87</v>
      </c>
      <c r="O20" s="578">
        <f t="shared" si="1"/>
        <v>10679.74</v>
      </c>
    </row>
    <row r="21" spans="1:15" ht="21.95" hidden="1" customHeight="1" x14ac:dyDescent="0.15">
      <c r="A21" s="2627"/>
      <c r="B21" s="2533" t="s">
        <v>2428</v>
      </c>
      <c r="C21" s="2872" t="s">
        <v>3</v>
      </c>
      <c r="D21" s="2855"/>
      <c r="E21" s="1061"/>
      <c r="F21" s="1344"/>
      <c r="G21" s="2079"/>
      <c r="H21" s="2079"/>
      <c r="I21" s="2079"/>
      <c r="J21" s="2079"/>
      <c r="K21" s="2079"/>
      <c r="L21" s="2079"/>
      <c r="M21" s="2079"/>
      <c r="N21" s="430"/>
      <c r="O21" s="578">
        <f t="shared" si="1"/>
        <v>0</v>
      </c>
    </row>
    <row r="22" spans="1:15" ht="21.95" hidden="1" customHeight="1" x14ac:dyDescent="0.15">
      <c r="A22" s="2627"/>
      <c r="B22" s="2534"/>
      <c r="C22" s="2872" t="s">
        <v>54</v>
      </c>
      <c r="D22" s="2855"/>
      <c r="E22" s="1061"/>
      <c r="F22" s="1344"/>
      <c r="G22" s="1201"/>
      <c r="H22" s="1201"/>
      <c r="I22" s="1201"/>
      <c r="J22" s="1201"/>
      <c r="K22" s="1201"/>
      <c r="L22" s="1201"/>
      <c r="M22" s="1201"/>
      <c r="N22" s="12"/>
      <c r="O22" s="578">
        <f t="shared" si="1"/>
        <v>0</v>
      </c>
    </row>
    <row r="23" spans="1:15" ht="21.95" hidden="1" customHeight="1" x14ac:dyDescent="0.15">
      <c r="A23" s="2627"/>
      <c r="B23" s="2534"/>
      <c r="C23" s="2872" t="s">
        <v>625</v>
      </c>
      <c r="D23" s="2855"/>
      <c r="E23" s="1061"/>
      <c r="F23" s="1344"/>
      <c r="G23" s="1201"/>
      <c r="H23" s="1201"/>
      <c r="I23" s="1201"/>
      <c r="J23" s="1201"/>
      <c r="K23" s="1201"/>
      <c r="L23" s="1201"/>
      <c r="M23" s="1201"/>
      <c r="N23" s="12"/>
      <c r="O23" s="578">
        <f t="shared" si="1"/>
        <v>0</v>
      </c>
    </row>
    <row r="24" spans="1:15" ht="21.95" hidden="1" customHeight="1" x14ac:dyDescent="0.15">
      <c r="A24" s="2627"/>
      <c r="B24" s="2534"/>
      <c r="C24" s="2872" t="s">
        <v>29</v>
      </c>
      <c r="D24" s="2855"/>
      <c r="E24" s="1061"/>
      <c r="F24" s="1344"/>
      <c r="G24" s="8">
        <f t="shared" ref="G24:L24" si="3">G21*G22</f>
        <v>0</v>
      </c>
      <c r="H24" s="8">
        <f t="shared" si="3"/>
        <v>0</v>
      </c>
      <c r="I24" s="8">
        <f t="shared" si="3"/>
        <v>0</v>
      </c>
      <c r="J24" s="8">
        <f t="shared" si="3"/>
        <v>0</v>
      </c>
      <c r="K24" s="8">
        <f t="shared" si="3"/>
        <v>0</v>
      </c>
      <c r="L24" s="8">
        <f t="shared" si="3"/>
        <v>0</v>
      </c>
      <c r="M24" s="8"/>
      <c r="N24" s="425">
        <f>TRUNC(SUM(G24:M24),2)</f>
        <v>0</v>
      </c>
      <c r="O24" s="578">
        <f t="shared" si="1"/>
        <v>0</v>
      </c>
    </row>
    <row r="25" spans="1:15" ht="21.95" hidden="1" customHeight="1" thickBot="1" x14ac:dyDescent="0.2">
      <c r="A25" s="2627"/>
      <c r="B25" s="2535"/>
      <c r="C25" s="2872" t="s">
        <v>7</v>
      </c>
      <c r="D25" s="2855"/>
      <c r="E25" s="1061"/>
      <c r="F25" s="1344"/>
      <c r="G25" s="8">
        <f t="shared" ref="G25:L25" si="4">G24*G23</f>
        <v>0</v>
      </c>
      <c r="H25" s="8">
        <f t="shared" si="4"/>
        <v>0</v>
      </c>
      <c r="I25" s="8">
        <f t="shared" si="4"/>
        <v>0</v>
      </c>
      <c r="J25" s="8">
        <f t="shared" si="4"/>
        <v>0</v>
      </c>
      <c r="K25" s="8">
        <f t="shared" si="4"/>
        <v>0</v>
      </c>
      <c r="L25" s="8">
        <f t="shared" si="4"/>
        <v>0</v>
      </c>
      <c r="M25" s="8"/>
      <c r="N25" s="416">
        <f>TRUNC(SUM(G25:M25),2)</f>
        <v>0</v>
      </c>
      <c r="O25" s="578">
        <f t="shared" si="1"/>
        <v>0</v>
      </c>
    </row>
    <row r="26" spans="1:15" ht="21.95" hidden="1" customHeight="1" x14ac:dyDescent="0.15">
      <c r="A26" s="2627"/>
      <c r="B26" s="2533" t="s">
        <v>2046</v>
      </c>
      <c r="C26" s="2337" t="s">
        <v>1571</v>
      </c>
      <c r="D26" s="541" t="s">
        <v>29</v>
      </c>
      <c r="E26" s="1067"/>
      <c r="F26" s="1387"/>
      <c r="G26" s="1598"/>
      <c r="H26" s="1598"/>
      <c r="I26" s="1598"/>
      <c r="J26" s="1598"/>
      <c r="K26" s="1598"/>
      <c r="L26" s="1598"/>
      <c r="M26" s="1598"/>
      <c r="N26" s="1282">
        <f>TRUNC(SUM(G26:M26),2)</f>
        <v>0</v>
      </c>
      <c r="O26" s="578">
        <f t="shared" si="1"/>
        <v>0</v>
      </c>
    </row>
    <row r="27" spans="1:15" ht="21.95" hidden="1" customHeight="1" x14ac:dyDescent="0.15">
      <c r="A27" s="2627"/>
      <c r="B27" s="2534"/>
      <c r="C27" s="2729" t="s">
        <v>1572</v>
      </c>
      <c r="D27" s="542" t="s">
        <v>58</v>
      </c>
      <c r="E27" s="1061"/>
      <c r="F27" s="1344"/>
      <c r="G27" s="162"/>
      <c r="H27" s="162"/>
      <c r="I27" s="162"/>
      <c r="J27" s="162"/>
      <c r="K27" s="162"/>
      <c r="L27" s="162"/>
      <c r="M27" s="162"/>
      <c r="N27" s="12"/>
      <c r="O27" s="578">
        <f t="shared" si="1"/>
        <v>0</v>
      </c>
    </row>
    <row r="28" spans="1:15" ht="21.95" hidden="1" customHeight="1" x14ac:dyDescent="0.15">
      <c r="A28" s="2627"/>
      <c r="B28" s="2534"/>
      <c r="C28" s="2676"/>
      <c r="D28" s="542" t="s">
        <v>3</v>
      </c>
      <c r="E28" s="1061"/>
      <c r="F28" s="1344"/>
      <c r="G28" s="162"/>
      <c r="H28" s="162"/>
      <c r="I28" s="162"/>
      <c r="J28" s="162"/>
      <c r="K28" s="162"/>
      <c r="L28" s="162"/>
      <c r="M28" s="162"/>
      <c r="N28" s="12">
        <f>TRUNC(SUM(G28:M28),2)</f>
        <v>0</v>
      </c>
      <c r="O28" s="578">
        <f t="shared" si="1"/>
        <v>0</v>
      </c>
    </row>
    <row r="29" spans="1:15" ht="21.95" hidden="1" customHeight="1" x14ac:dyDescent="0.15">
      <c r="A29" s="2627"/>
      <c r="B29" s="2534"/>
      <c r="C29" s="2730"/>
      <c r="D29" s="542" t="s">
        <v>29</v>
      </c>
      <c r="E29" s="1062"/>
      <c r="F29" s="1361"/>
      <c r="G29" s="1072">
        <f t="shared" ref="G29:L29" si="5">G28+G27</f>
        <v>0</v>
      </c>
      <c r="H29" s="1072">
        <f t="shared" si="5"/>
        <v>0</v>
      </c>
      <c r="I29" s="1072">
        <f t="shared" si="5"/>
        <v>0</v>
      </c>
      <c r="J29" s="1072">
        <f t="shared" si="5"/>
        <v>0</v>
      </c>
      <c r="K29" s="1072">
        <f t="shared" si="5"/>
        <v>0</v>
      </c>
      <c r="L29" s="1072">
        <f t="shared" si="5"/>
        <v>0</v>
      </c>
      <c r="M29" s="1072"/>
      <c r="N29" s="1276">
        <f>TRUNC(SUM(G29:M29),2)</f>
        <v>0</v>
      </c>
      <c r="O29" s="578">
        <f t="shared" si="1"/>
        <v>0</v>
      </c>
    </row>
    <row r="30" spans="1:15" ht="21.95" hidden="1" customHeight="1" thickBot="1" x14ac:dyDescent="0.2">
      <c r="A30" s="2627"/>
      <c r="B30" s="2535"/>
      <c r="C30" s="2837" t="s">
        <v>1243</v>
      </c>
      <c r="D30" s="2871"/>
      <c r="E30" s="982"/>
      <c r="F30" s="1269"/>
      <c r="G30" s="215">
        <f t="shared" ref="G30:L30" si="6">G29+G26</f>
        <v>0</v>
      </c>
      <c r="H30" s="215">
        <f t="shared" si="6"/>
        <v>0</v>
      </c>
      <c r="I30" s="215">
        <f t="shared" si="6"/>
        <v>0</v>
      </c>
      <c r="J30" s="215">
        <f t="shared" si="6"/>
        <v>0</v>
      </c>
      <c r="K30" s="215">
        <f t="shared" si="6"/>
        <v>0</v>
      </c>
      <c r="L30" s="215">
        <f t="shared" si="6"/>
        <v>0</v>
      </c>
      <c r="M30" s="215"/>
      <c r="N30" s="416">
        <f>TRUNC(SUM(G30:M30),2)</f>
        <v>0</v>
      </c>
      <c r="O30" s="578">
        <f t="shared" si="1"/>
        <v>0</v>
      </c>
    </row>
    <row r="31" spans="1:15" ht="21.95" hidden="1" customHeight="1" x14ac:dyDescent="0.15">
      <c r="A31" s="2627"/>
      <c r="B31" s="2533" t="s">
        <v>25</v>
      </c>
      <c r="C31" s="2674" t="s">
        <v>1571</v>
      </c>
      <c r="D31" s="976" t="s">
        <v>3</v>
      </c>
      <c r="E31" s="1061"/>
      <c r="F31" s="1344"/>
      <c r="G31" s="8">
        <f t="shared" ref="G31:L31" si="7">G7</f>
        <v>0</v>
      </c>
      <c r="H31" s="8">
        <f t="shared" si="7"/>
        <v>0</v>
      </c>
      <c r="I31" s="8">
        <f t="shared" si="7"/>
        <v>0</v>
      </c>
      <c r="J31" s="8">
        <f t="shared" si="7"/>
        <v>0</v>
      </c>
      <c r="K31" s="8">
        <f t="shared" si="7"/>
        <v>0</v>
      </c>
      <c r="L31" s="8">
        <f t="shared" si="7"/>
        <v>0</v>
      </c>
      <c r="M31" s="8"/>
      <c r="N31" s="12">
        <f>TRUNC(SUM(G31:M31),2)</f>
        <v>0</v>
      </c>
      <c r="O31" s="578">
        <f t="shared" si="1"/>
        <v>0</v>
      </c>
    </row>
    <row r="32" spans="1:15" ht="21.95" hidden="1" customHeight="1" x14ac:dyDescent="0.15">
      <c r="A32" s="2627"/>
      <c r="B32" s="2534"/>
      <c r="C32" s="2676"/>
      <c r="D32" s="542" t="s">
        <v>54</v>
      </c>
      <c r="E32" s="1062"/>
      <c r="F32" s="1361"/>
      <c r="G32" s="1072"/>
      <c r="H32" s="1072"/>
      <c r="I32" s="1072"/>
      <c r="J32" s="1072"/>
      <c r="K32" s="1072"/>
      <c r="L32" s="1072"/>
      <c r="M32" s="1072"/>
      <c r="N32" s="1276"/>
      <c r="O32" s="578">
        <f t="shared" si="1"/>
        <v>0</v>
      </c>
    </row>
    <row r="33" spans="1:15" ht="21.95" hidden="1" customHeight="1" x14ac:dyDescent="0.15">
      <c r="A33" s="2627"/>
      <c r="B33" s="2534"/>
      <c r="C33" s="2729" t="s">
        <v>1572</v>
      </c>
      <c r="D33" s="586" t="s">
        <v>3</v>
      </c>
      <c r="E33" s="1061"/>
      <c r="F33" s="1344"/>
      <c r="G33" s="8">
        <f t="shared" ref="G33:L33" si="8">G10</f>
        <v>0</v>
      </c>
      <c r="H33" s="8">
        <f t="shared" si="8"/>
        <v>0</v>
      </c>
      <c r="I33" s="8">
        <f t="shared" si="8"/>
        <v>0</v>
      </c>
      <c r="J33" s="8">
        <f t="shared" si="8"/>
        <v>0</v>
      </c>
      <c r="K33" s="8">
        <f t="shared" si="8"/>
        <v>0</v>
      </c>
      <c r="L33" s="8">
        <f t="shared" si="8"/>
        <v>0</v>
      </c>
      <c r="M33" s="8"/>
      <c r="N33" s="12">
        <f>TRUNC(SUM(G33:M33),2)</f>
        <v>0</v>
      </c>
      <c r="O33" s="578">
        <f t="shared" si="1"/>
        <v>0</v>
      </c>
    </row>
    <row r="34" spans="1:15" ht="21.95" hidden="1" customHeight="1" x14ac:dyDescent="0.15">
      <c r="A34" s="2627"/>
      <c r="B34" s="2534"/>
      <c r="C34" s="2676"/>
      <c r="D34" s="2076" t="s">
        <v>54</v>
      </c>
      <c r="E34" s="1061"/>
      <c r="F34" s="1344"/>
      <c r="G34" s="8"/>
      <c r="H34" s="8"/>
      <c r="I34" s="8"/>
      <c r="J34" s="8"/>
      <c r="K34" s="8"/>
      <c r="L34" s="8"/>
      <c r="M34" s="8"/>
      <c r="N34" s="12"/>
      <c r="O34" s="578">
        <f t="shared" si="1"/>
        <v>0</v>
      </c>
    </row>
    <row r="35" spans="1:15" ht="21.95" customHeight="1" thickBot="1" x14ac:dyDescent="0.2">
      <c r="A35" s="2627"/>
      <c r="B35" s="2535"/>
      <c r="C35" s="2744" t="s">
        <v>1243</v>
      </c>
      <c r="D35" s="2745"/>
      <c r="E35" s="2347"/>
      <c r="F35" s="2348"/>
      <c r="G35" s="2349">
        <f>56.91+56.4</f>
        <v>113.31</v>
      </c>
      <c r="H35" s="2349">
        <f>254.72+270.53</f>
        <v>525.25</v>
      </c>
      <c r="I35" s="2349">
        <f>11.66+36.05</f>
        <v>47.709999999999994</v>
      </c>
      <c r="J35" s="2349">
        <f>15.16+23.43</f>
        <v>38.590000000000003</v>
      </c>
      <c r="K35" s="2349">
        <f>10.1+39.22</f>
        <v>49.32</v>
      </c>
      <c r="L35" s="2349">
        <f>311.54+252.63</f>
        <v>564.17000000000007</v>
      </c>
      <c r="M35" s="2349"/>
      <c r="N35" s="2350">
        <f t="shared" ref="N35:N66" si="9">TRUNC(SUM(G35:M35),2)</f>
        <v>1338.35</v>
      </c>
      <c r="O35" s="578">
        <f t="shared" ref="O35:O66" si="10">SUM(G35:N35)</f>
        <v>2676.7</v>
      </c>
    </row>
    <row r="36" spans="1:15" ht="21.95" hidden="1" customHeight="1" x14ac:dyDescent="0.15">
      <c r="A36" s="2627"/>
      <c r="B36" s="2533" t="s">
        <v>2782</v>
      </c>
      <c r="C36" s="2674" t="s">
        <v>1546</v>
      </c>
      <c r="D36" s="541" t="s">
        <v>60</v>
      </c>
      <c r="E36" s="1060"/>
      <c r="F36" s="1343"/>
      <c r="G36" s="672"/>
      <c r="H36" s="672"/>
      <c r="I36" s="672"/>
      <c r="J36" s="672"/>
      <c r="K36" s="672"/>
      <c r="L36" s="672"/>
      <c r="M36" s="672"/>
      <c r="N36" s="12">
        <f t="shared" si="9"/>
        <v>0</v>
      </c>
      <c r="O36" s="578">
        <f t="shared" si="10"/>
        <v>0</v>
      </c>
    </row>
    <row r="37" spans="1:15" ht="21.95" hidden="1" customHeight="1" x14ac:dyDescent="0.15">
      <c r="A37" s="2627"/>
      <c r="B37" s="2534"/>
      <c r="C37" s="2676"/>
      <c r="D37" s="543" t="s">
        <v>29</v>
      </c>
      <c r="E37" s="1061"/>
      <c r="F37" s="1558">
        <v>9.01</v>
      </c>
      <c r="G37" s="1138"/>
      <c r="H37" s="1138"/>
      <c r="I37" s="1138"/>
      <c r="J37" s="1138"/>
      <c r="K37" s="1138"/>
      <c r="L37" s="1138"/>
      <c r="M37" s="1138"/>
      <c r="N37" s="12">
        <f t="shared" si="9"/>
        <v>0</v>
      </c>
      <c r="O37" s="578">
        <f t="shared" si="10"/>
        <v>0</v>
      </c>
    </row>
    <row r="38" spans="1:15" ht="21.95" hidden="1" customHeight="1" x14ac:dyDescent="0.15">
      <c r="A38" s="2627"/>
      <c r="B38" s="2534"/>
      <c r="C38" s="2676"/>
      <c r="D38" s="543" t="s">
        <v>3</v>
      </c>
      <c r="E38" s="1061"/>
      <c r="F38" s="1558">
        <v>5.6</v>
      </c>
      <c r="G38" s="1138">
        <f t="shared" ref="G38:L38" si="11">IF(G36=0,0,5.6)</f>
        <v>0</v>
      </c>
      <c r="H38" s="1138">
        <f t="shared" si="11"/>
        <v>0</v>
      </c>
      <c r="I38" s="1138">
        <f t="shared" si="11"/>
        <v>0</v>
      </c>
      <c r="J38" s="1138">
        <f t="shared" si="11"/>
        <v>0</v>
      </c>
      <c r="K38" s="1138">
        <f t="shared" si="11"/>
        <v>0</v>
      </c>
      <c r="L38" s="1138">
        <f t="shared" si="11"/>
        <v>0</v>
      </c>
      <c r="M38" s="1138"/>
      <c r="N38" s="12">
        <f t="shared" si="9"/>
        <v>0</v>
      </c>
      <c r="O38" s="578">
        <f t="shared" si="10"/>
        <v>0</v>
      </c>
    </row>
    <row r="39" spans="1:15" ht="21.95" hidden="1" customHeight="1" x14ac:dyDescent="0.15">
      <c r="A39" s="2627"/>
      <c r="B39" s="2534"/>
      <c r="C39" s="2676"/>
      <c r="D39" s="543" t="s">
        <v>1494</v>
      </c>
      <c r="E39" s="1061"/>
      <c r="F39" s="1558">
        <v>4.5</v>
      </c>
      <c r="G39" s="1138">
        <f t="shared" ref="G39:L39" si="12">IF(G36=0,0,4.5)</f>
        <v>0</v>
      </c>
      <c r="H39" s="1138">
        <f t="shared" si="12"/>
        <v>0</v>
      </c>
      <c r="I39" s="1138">
        <f t="shared" si="12"/>
        <v>0</v>
      </c>
      <c r="J39" s="1138">
        <f t="shared" si="12"/>
        <v>0</v>
      </c>
      <c r="K39" s="1138">
        <f t="shared" si="12"/>
        <v>0</v>
      </c>
      <c r="L39" s="1138">
        <f t="shared" si="12"/>
        <v>0</v>
      </c>
      <c r="M39" s="1138"/>
      <c r="N39" s="12">
        <f t="shared" si="9"/>
        <v>0</v>
      </c>
      <c r="O39" s="578">
        <f t="shared" si="10"/>
        <v>0</v>
      </c>
    </row>
    <row r="40" spans="1:15" ht="21.95" hidden="1" customHeight="1" x14ac:dyDescent="0.15">
      <c r="A40" s="2627"/>
      <c r="B40" s="2534"/>
      <c r="C40" s="2676"/>
      <c r="D40" s="543" t="s">
        <v>1502</v>
      </c>
      <c r="E40" s="1061"/>
      <c r="F40" s="1558">
        <f>5.6+1.62*2</f>
        <v>8.84</v>
      </c>
      <c r="G40" s="1138">
        <f t="shared" ref="G40:L40" si="13">IF(G36=0,0,8.84)</f>
        <v>0</v>
      </c>
      <c r="H40" s="1138">
        <f t="shared" si="13"/>
        <v>0</v>
      </c>
      <c r="I40" s="1138">
        <f t="shared" si="13"/>
        <v>0</v>
      </c>
      <c r="J40" s="1138">
        <f t="shared" si="13"/>
        <v>0</v>
      </c>
      <c r="K40" s="1138">
        <f t="shared" si="13"/>
        <v>0</v>
      </c>
      <c r="L40" s="1138">
        <f t="shared" si="13"/>
        <v>0</v>
      </c>
      <c r="M40" s="1138"/>
      <c r="N40" s="12">
        <f t="shared" si="9"/>
        <v>0</v>
      </c>
      <c r="O40" s="578">
        <f t="shared" si="10"/>
        <v>0</v>
      </c>
    </row>
    <row r="41" spans="1:15" ht="21.95" hidden="1" customHeight="1" x14ac:dyDescent="0.15">
      <c r="A41" s="2627"/>
      <c r="B41" s="2534"/>
      <c r="C41" s="2676"/>
      <c r="D41" s="543" t="s">
        <v>1549</v>
      </c>
      <c r="E41" s="1061"/>
      <c r="F41" s="1558">
        <v>5.6</v>
      </c>
      <c r="G41" s="1138">
        <f t="shared" ref="G41:L41" si="14">IF(G36=0,0,5.6)</f>
        <v>0</v>
      </c>
      <c r="H41" s="1138">
        <f t="shared" si="14"/>
        <v>0</v>
      </c>
      <c r="I41" s="1138">
        <f t="shared" si="14"/>
        <v>0</v>
      </c>
      <c r="J41" s="1138">
        <f t="shared" si="14"/>
        <v>0</v>
      </c>
      <c r="K41" s="1138">
        <f t="shared" si="14"/>
        <v>0</v>
      </c>
      <c r="L41" s="1138">
        <f t="shared" si="14"/>
        <v>0</v>
      </c>
      <c r="M41" s="1138"/>
      <c r="N41" s="12">
        <f t="shared" si="9"/>
        <v>0</v>
      </c>
      <c r="O41" s="578">
        <f t="shared" si="10"/>
        <v>0</v>
      </c>
    </row>
    <row r="42" spans="1:15" ht="21.95" hidden="1" customHeight="1" x14ac:dyDescent="0.15">
      <c r="A42" s="2627"/>
      <c r="B42" s="2534"/>
      <c r="C42" s="2730"/>
      <c r="D42" s="543" t="s">
        <v>1484</v>
      </c>
      <c r="E42" s="1062"/>
      <c r="F42" s="1361"/>
      <c r="G42" s="1277"/>
      <c r="H42" s="1277"/>
      <c r="I42" s="1277"/>
      <c r="J42" s="1277"/>
      <c r="K42" s="1277"/>
      <c r="L42" s="1277"/>
      <c r="M42" s="1277"/>
      <c r="N42" s="1276">
        <f t="shared" si="9"/>
        <v>0</v>
      </c>
      <c r="O42" s="578">
        <f t="shared" si="10"/>
        <v>0</v>
      </c>
    </row>
    <row r="43" spans="1:15" ht="21.95" hidden="1" customHeight="1" x14ac:dyDescent="0.15">
      <c r="A43" s="2627"/>
      <c r="B43" s="2534"/>
      <c r="C43" s="2676" t="s">
        <v>1547</v>
      </c>
      <c r="D43" s="543" t="s">
        <v>60</v>
      </c>
      <c r="E43" s="1061"/>
      <c r="F43" s="1344"/>
      <c r="G43" s="426"/>
      <c r="H43" s="426"/>
      <c r="I43" s="426"/>
      <c r="J43" s="426"/>
      <c r="K43" s="426"/>
      <c r="L43" s="426"/>
      <c r="M43" s="426"/>
      <c r="N43" s="12">
        <f t="shared" si="9"/>
        <v>0</v>
      </c>
      <c r="O43" s="578">
        <f t="shared" si="10"/>
        <v>0</v>
      </c>
    </row>
    <row r="44" spans="1:15" ht="21.95" hidden="1" customHeight="1" x14ac:dyDescent="0.15">
      <c r="A44" s="2627"/>
      <c r="B44" s="2534"/>
      <c r="C44" s="2676"/>
      <c r="D44" s="543" t="s">
        <v>29</v>
      </c>
      <c r="E44" s="1061"/>
      <c r="F44" s="1558">
        <v>15.61</v>
      </c>
      <c r="G44" s="1138">
        <f t="shared" ref="G44:L44" si="15">IF(G43=0,0,15.61)</f>
        <v>0</v>
      </c>
      <c r="H44" s="1138">
        <f t="shared" si="15"/>
        <v>0</v>
      </c>
      <c r="I44" s="1138">
        <f t="shared" si="15"/>
        <v>0</v>
      </c>
      <c r="J44" s="1138">
        <f t="shared" si="15"/>
        <v>0</v>
      </c>
      <c r="K44" s="1138">
        <f t="shared" si="15"/>
        <v>0</v>
      </c>
      <c r="L44" s="1138">
        <f t="shared" si="15"/>
        <v>0</v>
      </c>
      <c r="M44" s="1138"/>
      <c r="N44" s="12">
        <f t="shared" si="9"/>
        <v>0</v>
      </c>
      <c r="O44" s="578">
        <f t="shared" si="10"/>
        <v>0</v>
      </c>
    </row>
    <row r="45" spans="1:15" ht="21.95" hidden="1" customHeight="1" x14ac:dyDescent="0.15">
      <c r="A45" s="2627"/>
      <c r="B45" s="2534"/>
      <c r="C45" s="2676"/>
      <c r="D45" s="543" t="s">
        <v>3</v>
      </c>
      <c r="E45" s="1061"/>
      <c r="F45" s="1558">
        <v>7.5</v>
      </c>
      <c r="G45" s="1138">
        <f t="shared" ref="G45:L45" si="16">IF(G43=0,0,7.5)</f>
        <v>0</v>
      </c>
      <c r="H45" s="1138">
        <f t="shared" si="16"/>
        <v>0</v>
      </c>
      <c r="I45" s="1138">
        <f t="shared" si="16"/>
        <v>0</v>
      </c>
      <c r="J45" s="1138">
        <f t="shared" si="16"/>
        <v>0</v>
      </c>
      <c r="K45" s="1138">
        <f t="shared" si="16"/>
        <v>0</v>
      </c>
      <c r="L45" s="1138">
        <f t="shared" si="16"/>
        <v>0</v>
      </c>
      <c r="M45" s="1138"/>
      <c r="N45" s="12">
        <f t="shared" si="9"/>
        <v>0</v>
      </c>
      <c r="O45" s="578">
        <f t="shared" si="10"/>
        <v>0</v>
      </c>
    </row>
    <row r="46" spans="1:15" ht="21.95" hidden="1" customHeight="1" x14ac:dyDescent="0.15">
      <c r="A46" s="2627"/>
      <c r="B46" s="2534"/>
      <c r="C46" s="2676"/>
      <c r="D46" s="543" t="s">
        <v>1494</v>
      </c>
      <c r="E46" s="1061"/>
      <c r="F46" s="1558">
        <v>5.5</v>
      </c>
      <c r="G46" s="1138">
        <f t="shared" ref="G46:L46" si="17">IF(G43=0,0,5.5)</f>
        <v>0</v>
      </c>
      <c r="H46" s="1138">
        <f t="shared" si="17"/>
        <v>0</v>
      </c>
      <c r="I46" s="1138">
        <f t="shared" si="17"/>
        <v>0</v>
      </c>
      <c r="J46" s="1138">
        <f t="shared" si="17"/>
        <v>0</v>
      </c>
      <c r="K46" s="1138">
        <f t="shared" si="17"/>
        <v>0</v>
      </c>
      <c r="L46" s="1138">
        <f t="shared" si="17"/>
        <v>0</v>
      </c>
      <c r="M46" s="1138"/>
      <c r="N46" s="12">
        <f t="shared" si="9"/>
        <v>0</v>
      </c>
      <c r="O46" s="578">
        <f t="shared" si="10"/>
        <v>0</v>
      </c>
    </row>
    <row r="47" spans="1:15" ht="21.95" hidden="1" customHeight="1" x14ac:dyDescent="0.15">
      <c r="A47" s="2627"/>
      <c r="B47" s="2534"/>
      <c r="C47" s="2676"/>
      <c r="D47" s="543" t="s">
        <v>1502</v>
      </c>
      <c r="E47" s="1061"/>
      <c r="F47" s="1558">
        <f>7.5+2.12*2</f>
        <v>11.74</v>
      </c>
      <c r="G47" s="1138">
        <f t="shared" ref="G47:L47" si="18">IF(G43=0,0,11.74)</f>
        <v>0</v>
      </c>
      <c r="H47" s="1138">
        <f t="shared" si="18"/>
        <v>0</v>
      </c>
      <c r="I47" s="1138">
        <f t="shared" si="18"/>
        <v>0</v>
      </c>
      <c r="J47" s="1138">
        <f t="shared" si="18"/>
        <v>0</v>
      </c>
      <c r="K47" s="1138">
        <f t="shared" si="18"/>
        <v>0</v>
      </c>
      <c r="L47" s="1138">
        <f t="shared" si="18"/>
        <v>0</v>
      </c>
      <c r="M47" s="1138"/>
      <c r="N47" s="12">
        <f t="shared" si="9"/>
        <v>0</v>
      </c>
      <c r="O47" s="578">
        <f t="shared" si="10"/>
        <v>0</v>
      </c>
    </row>
    <row r="48" spans="1:15" ht="21.95" hidden="1" customHeight="1" x14ac:dyDescent="0.15">
      <c r="A48" s="2627"/>
      <c r="B48" s="2534"/>
      <c r="C48" s="2676"/>
      <c r="D48" s="543" t="s">
        <v>1549</v>
      </c>
      <c r="E48" s="1061"/>
      <c r="F48" s="1558">
        <v>5.6</v>
      </c>
      <c r="G48" s="1138">
        <f t="shared" ref="G48:L48" si="19">IF(G43=0,0,5.6)</f>
        <v>0</v>
      </c>
      <c r="H48" s="1138">
        <f t="shared" si="19"/>
        <v>0</v>
      </c>
      <c r="I48" s="1138">
        <f t="shared" si="19"/>
        <v>0</v>
      </c>
      <c r="J48" s="1138">
        <f t="shared" si="19"/>
        <v>0</v>
      </c>
      <c r="K48" s="1138">
        <f t="shared" si="19"/>
        <v>0</v>
      </c>
      <c r="L48" s="1138">
        <f t="shared" si="19"/>
        <v>0</v>
      </c>
      <c r="M48" s="1138"/>
      <c r="N48" s="12">
        <f t="shared" si="9"/>
        <v>0</v>
      </c>
      <c r="O48" s="578">
        <f t="shared" si="10"/>
        <v>0</v>
      </c>
    </row>
    <row r="49" spans="1:15" ht="21.95" hidden="1" customHeight="1" x14ac:dyDescent="0.15">
      <c r="A49" s="2627"/>
      <c r="B49" s="2534"/>
      <c r="C49" s="2730"/>
      <c r="D49" s="543" t="s">
        <v>1484</v>
      </c>
      <c r="E49" s="1062"/>
      <c r="F49" s="1361"/>
      <c r="G49" s="1277"/>
      <c r="H49" s="1277"/>
      <c r="I49" s="1277"/>
      <c r="J49" s="1277"/>
      <c r="K49" s="1277"/>
      <c r="L49" s="1277"/>
      <c r="M49" s="1277"/>
      <c r="N49" s="1276">
        <f t="shared" si="9"/>
        <v>0</v>
      </c>
      <c r="O49" s="578">
        <f t="shared" si="10"/>
        <v>0</v>
      </c>
    </row>
    <row r="50" spans="1:15" ht="21.95" hidden="1" customHeight="1" x14ac:dyDescent="0.15">
      <c r="A50" s="2627"/>
      <c r="B50" s="2534"/>
      <c r="C50" s="2729" t="s">
        <v>1548</v>
      </c>
      <c r="D50" s="542" t="s">
        <v>60</v>
      </c>
      <c r="E50" s="1063"/>
      <c r="F50" s="1362"/>
      <c r="G50" s="1278"/>
      <c r="H50" s="1278"/>
      <c r="I50" s="1278"/>
      <c r="J50" s="1278"/>
      <c r="K50" s="1278"/>
      <c r="L50" s="1278"/>
      <c r="M50" s="1278"/>
      <c r="N50" s="12">
        <f t="shared" si="9"/>
        <v>0</v>
      </c>
      <c r="O50" s="578">
        <f t="shared" si="10"/>
        <v>0</v>
      </c>
    </row>
    <row r="51" spans="1:15" ht="21.95" hidden="1" customHeight="1" x14ac:dyDescent="0.15">
      <c r="A51" s="2627"/>
      <c r="B51" s="2534"/>
      <c r="C51" s="2676"/>
      <c r="D51" s="543" t="s">
        <v>29</v>
      </c>
      <c r="E51" s="1061"/>
      <c r="F51" s="1558">
        <v>7.33</v>
      </c>
      <c r="G51" s="1138">
        <f t="shared" ref="G51:L51" si="20">IF(G50=0,0,7.33)</f>
        <v>0</v>
      </c>
      <c r="H51" s="1138">
        <f t="shared" si="20"/>
        <v>0</v>
      </c>
      <c r="I51" s="1138">
        <f t="shared" si="20"/>
        <v>0</v>
      </c>
      <c r="J51" s="1138">
        <f t="shared" si="20"/>
        <v>0</v>
      </c>
      <c r="K51" s="1138">
        <f t="shared" si="20"/>
        <v>0</v>
      </c>
      <c r="L51" s="1138">
        <f t="shared" si="20"/>
        <v>0</v>
      </c>
      <c r="M51" s="1138"/>
      <c r="N51" s="12">
        <f t="shared" si="9"/>
        <v>0</v>
      </c>
      <c r="O51" s="578">
        <f t="shared" si="10"/>
        <v>0</v>
      </c>
    </row>
    <row r="52" spans="1:15" ht="21.95" hidden="1" customHeight="1" x14ac:dyDescent="0.15">
      <c r="A52" s="2627"/>
      <c r="B52" s="2534"/>
      <c r="C52" s="2676"/>
      <c r="D52" s="543" t="s">
        <v>3</v>
      </c>
      <c r="E52" s="1061"/>
      <c r="F52" s="1558">
        <v>5.6</v>
      </c>
      <c r="G52" s="1138">
        <f t="shared" ref="G52:L52" si="21">IF(G50=0,0,5.6)</f>
        <v>0</v>
      </c>
      <c r="H52" s="1138">
        <f t="shared" si="21"/>
        <v>0</v>
      </c>
      <c r="I52" s="1138">
        <f t="shared" si="21"/>
        <v>0</v>
      </c>
      <c r="J52" s="1138">
        <f t="shared" si="21"/>
        <v>0</v>
      </c>
      <c r="K52" s="1138">
        <f t="shared" si="21"/>
        <v>0</v>
      </c>
      <c r="L52" s="1138">
        <f t="shared" si="21"/>
        <v>0</v>
      </c>
      <c r="M52" s="1138"/>
      <c r="N52" s="12">
        <f t="shared" si="9"/>
        <v>0</v>
      </c>
      <c r="O52" s="578">
        <f t="shared" si="10"/>
        <v>0</v>
      </c>
    </row>
    <row r="53" spans="1:15" ht="21.95" hidden="1" customHeight="1" x14ac:dyDescent="0.15">
      <c r="A53" s="2627"/>
      <c r="B53" s="2534"/>
      <c r="C53" s="2676"/>
      <c r="D53" s="543" t="s">
        <v>1494</v>
      </c>
      <c r="E53" s="1061"/>
      <c r="F53" s="1558">
        <f>1.25*2+1.5</f>
        <v>4</v>
      </c>
      <c r="G53" s="1138">
        <f t="shared" ref="G53:L53" si="22">IF(G50=0,0,4)</f>
        <v>0</v>
      </c>
      <c r="H53" s="1138">
        <f t="shared" si="22"/>
        <v>0</v>
      </c>
      <c r="I53" s="1138">
        <f t="shared" si="22"/>
        <v>0</v>
      </c>
      <c r="J53" s="1138">
        <f t="shared" si="22"/>
        <v>0</v>
      </c>
      <c r="K53" s="1138">
        <f t="shared" si="22"/>
        <v>0</v>
      </c>
      <c r="L53" s="1138">
        <f t="shared" si="22"/>
        <v>0</v>
      </c>
      <c r="M53" s="1138"/>
      <c r="N53" s="12">
        <f t="shared" si="9"/>
        <v>0</v>
      </c>
      <c r="O53" s="578">
        <f t="shared" si="10"/>
        <v>0</v>
      </c>
    </row>
    <row r="54" spans="1:15" ht="21.95" hidden="1" customHeight="1" x14ac:dyDescent="0.15">
      <c r="A54" s="2627"/>
      <c r="B54" s="2534"/>
      <c r="C54" s="2676"/>
      <c r="D54" s="543" t="s">
        <v>1502</v>
      </c>
      <c r="E54" s="1061"/>
      <c r="F54" s="1558">
        <v>8.24</v>
      </c>
      <c r="G54" s="1138">
        <f t="shared" ref="G54:L54" si="23">IF(G50=0,0,8.24)</f>
        <v>0</v>
      </c>
      <c r="H54" s="1138">
        <f t="shared" si="23"/>
        <v>0</v>
      </c>
      <c r="I54" s="1138">
        <f t="shared" si="23"/>
        <v>0</v>
      </c>
      <c r="J54" s="1138">
        <f t="shared" si="23"/>
        <v>0</v>
      </c>
      <c r="K54" s="1138">
        <f t="shared" si="23"/>
        <v>0</v>
      </c>
      <c r="L54" s="1138">
        <f t="shared" si="23"/>
        <v>0</v>
      </c>
      <c r="M54" s="1138"/>
      <c r="N54" s="12">
        <f t="shared" si="9"/>
        <v>0</v>
      </c>
      <c r="O54" s="578">
        <f t="shared" si="10"/>
        <v>0</v>
      </c>
    </row>
    <row r="55" spans="1:15" ht="21.95" hidden="1" customHeight="1" x14ac:dyDescent="0.15">
      <c r="A55" s="2627"/>
      <c r="B55" s="2534"/>
      <c r="C55" s="2676"/>
      <c r="D55" s="543" t="s">
        <v>1549</v>
      </c>
      <c r="E55" s="1061"/>
      <c r="F55" s="1558">
        <v>5.6</v>
      </c>
      <c r="G55" s="1138">
        <f t="shared" ref="G55:L55" si="24">IF(G50=0,0,5.6)</f>
        <v>0</v>
      </c>
      <c r="H55" s="1138">
        <f t="shared" si="24"/>
        <v>0</v>
      </c>
      <c r="I55" s="1138">
        <f t="shared" si="24"/>
        <v>0</v>
      </c>
      <c r="J55" s="1138">
        <f t="shared" si="24"/>
        <v>0</v>
      </c>
      <c r="K55" s="1138">
        <f t="shared" si="24"/>
        <v>0</v>
      </c>
      <c r="L55" s="1138">
        <f t="shared" si="24"/>
        <v>0</v>
      </c>
      <c r="M55" s="1138"/>
      <c r="N55" s="12">
        <f t="shared" si="9"/>
        <v>0</v>
      </c>
      <c r="O55" s="578">
        <f t="shared" si="10"/>
        <v>0</v>
      </c>
    </row>
    <row r="56" spans="1:15" ht="21.95" hidden="1" customHeight="1" x14ac:dyDescent="0.15">
      <c r="A56" s="2627"/>
      <c r="B56" s="2534"/>
      <c r="C56" s="2730"/>
      <c r="D56" s="543" t="s">
        <v>1484</v>
      </c>
      <c r="E56" s="1062"/>
      <c r="F56" s="1361"/>
      <c r="G56" s="1277"/>
      <c r="H56" s="1277"/>
      <c r="I56" s="1277"/>
      <c r="J56" s="1277"/>
      <c r="K56" s="1277"/>
      <c r="L56" s="1277"/>
      <c r="M56" s="1277"/>
      <c r="N56" s="1276">
        <f t="shared" si="9"/>
        <v>0</v>
      </c>
      <c r="O56" s="578">
        <f t="shared" si="10"/>
        <v>0</v>
      </c>
    </row>
    <row r="57" spans="1:15" ht="21.95" hidden="1" customHeight="1" x14ac:dyDescent="0.15">
      <c r="A57" s="2627"/>
      <c r="B57" s="2534"/>
      <c r="C57" s="2729" t="s">
        <v>1550</v>
      </c>
      <c r="D57" s="542" t="s">
        <v>60</v>
      </c>
      <c r="E57" s="1063"/>
      <c r="F57" s="1362"/>
      <c r="G57" s="1278"/>
      <c r="H57" s="1278"/>
      <c r="I57" s="1278"/>
      <c r="J57" s="1278"/>
      <c r="K57" s="1278"/>
      <c r="L57" s="1278"/>
      <c r="M57" s="1278"/>
      <c r="N57" s="12">
        <f t="shared" si="9"/>
        <v>0</v>
      </c>
      <c r="O57" s="578">
        <f t="shared" si="10"/>
        <v>0</v>
      </c>
    </row>
    <row r="58" spans="1:15" ht="21.95" hidden="1" customHeight="1" x14ac:dyDescent="0.15">
      <c r="A58" s="2627"/>
      <c r="B58" s="2534"/>
      <c r="C58" s="2676"/>
      <c r="D58" s="543" t="s">
        <v>29</v>
      </c>
      <c r="E58" s="1061"/>
      <c r="F58" s="1558">
        <v>13.36</v>
      </c>
      <c r="G58" s="1138">
        <f t="shared" ref="G58:L58" si="25">IF(G57=0,0,13.36)</f>
        <v>0</v>
      </c>
      <c r="H58" s="1138">
        <f t="shared" si="25"/>
        <v>0</v>
      </c>
      <c r="I58" s="1138">
        <f t="shared" si="25"/>
        <v>0</v>
      </c>
      <c r="J58" s="1138">
        <f t="shared" si="25"/>
        <v>0</v>
      </c>
      <c r="K58" s="1138">
        <f t="shared" si="25"/>
        <v>0</v>
      </c>
      <c r="L58" s="1138">
        <f t="shared" si="25"/>
        <v>0</v>
      </c>
      <c r="M58" s="1138"/>
      <c r="N58" s="12">
        <f t="shared" si="9"/>
        <v>0</v>
      </c>
      <c r="O58" s="578">
        <f t="shared" si="10"/>
        <v>0</v>
      </c>
    </row>
    <row r="59" spans="1:15" ht="21.95" hidden="1" customHeight="1" x14ac:dyDescent="0.15">
      <c r="A59" s="2627"/>
      <c r="B59" s="2534"/>
      <c r="C59" s="2676"/>
      <c r="D59" s="543" t="s">
        <v>3</v>
      </c>
      <c r="E59" s="1061"/>
      <c r="F59" s="1558">
        <v>7.5</v>
      </c>
      <c r="G59" s="1138">
        <f t="shared" ref="G59:L59" si="26">IF(G57=0,0,7.5)</f>
        <v>0</v>
      </c>
      <c r="H59" s="1138">
        <f t="shared" si="26"/>
        <v>0</v>
      </c>
      <c r="I59" s="1138">
        <f t="shared" si="26"/>
        <v>0</v>
      </c>
      <c r="J59" s="1138">
        <f t="shared" si="26"/>
        <v>0</v>
      </c>
      <c r="K59" s="1138">
        <f t="shared" si="26"/>
        <v>0</v>
      </c>
      <c r="L59" s="1138">
        <f t="shared" si="26"/>
        <v>0</v>
      </c>
      <c r="M59" s="1138"/>
      <c r="N59" s="12">
        <f t="shared" si="9"/>
        <v>0</v>
      </c>
      <c r="O59" s="578">
        <f t="shared" si="10"/>
        <v>0</v>
      </c>
    </row>
    <row r="60" spans="1:15" ht="21.95" hidden="1" customHeight="1" x14ac:dyDescent="0.15">
      <c r="A60" s="2627"/>
      <c r="B60" s="2534"/>
      <c r="C60" s="2676"/>
      <c r="D60" s="543" t="s">
        <v>1494</v>
      </c>
      <c r="E60" s="1061"/>
      <c r="F60" s="1558">
        <v>5</v>
      </c>
      <c r="G60" s="1138">
        <f t="shared" ref="G60:L60" si="27">IF(G57=0,0,5)</f>
        <v>0</v>
      </c>
      <c r="H60" s="1138">
        <f t="shared" si="27"/>
        <v>0</v>
      </c>
      <c r="I60" s="1138">
        <f t="shared" si="27"/>
        <v>0</v>
      </c>
      <c r="J60" s="1138">
        <f t="shared" si="27"/>
        <v>0</v>
      </c>
      <c r="K60" s="1138">
        <f t="shared" si="27"/>
        <v>0</v>
      </c>
      <c r="L60" s="1138">
        <f t="shared" si="27"/>
        <v>0</v>
      </c>
      <c r="M60" s="1138"/>
      <c r="N60" s="12">
        <f t="shared" si="9"/>
        <v>0</v>
      </c>
      <c r="O60" s="578">
        <f t="shared" si="10"/>
        <v>0</v>
      </c>
    </row>
    <row r="61" spans="1:15" ht="21.95" hidden="1" customHeight="1" x14ac:dyDescent="0.15">
      <c r="A61" s="2627"/>
      <c r="B61" s="2534"/>
      <c r="C61" s="2676"/>
      <c r="D61" s="543" t="s">
        <v>1502</v>
      </c>
      <c r="E61" s="1061"/>
      <c r="F61" s="1558">
        <f>7.5+1.82*2</f>
        <v>11.14</v>
      </c>
      <c r="G61" s="1138">
        <f t="shared" ref="G61:L61" si="28">IF(G57=0,0,11.14)</f>
        <v>0</v>
      </c>
      <c r="H61" s="1138">
        <f t="shared" si="28"/>
        <v>0</v>
      </c>
      <c r="I61" s="1138">
        <f t="shared" si="28"/>
        <v>0</v>
      </c>
      <c r="J61" s="1138">
        <f t="shared" si="28"/>
        <v>0</v>
      </c>
      <c r="K61" s="1138">
        <f t="shared" si="28"/>
        <v>0</v>
      </c>
      <c r="L61" s="1138">
        <f t="shared" si="28"/>
        <v>0</v>
      </c>
      <c r="M61" s="1138"/>
      <c r="N61" s="12">
        <f t="shared" si="9"/>
        <v>0</v>
      </c>
      <c r="O61" s="578">
        <f t="shared" si="10"/>
        <v>0</v>
      </c>
    </row>
    <row r="62" spans="1:15" ht="21.95" hidden="1" customHeight="1" x14ac:dyDescent="0.15">
      <c r="A62" s="2627"/>
      <c r="B62" s="2534"/>
      <c r="C62" s="2676"/>
      <c r="D62" s="543" t="s">
        <v>1549</v>
      </c>
      <c r="E62" s="1061"/>
      <c r="F62" s="1558">
        <v>5.6</v>
      </c>
      <c r="G62" s="1138">
        <f t="shared" ref="G62:L62" si="29">IF(G57=0,0,5.6)</f>
        <v>0</v>
      </c>
      <c r="H62" s="1138">
        <f t="shared" si="29"/>
        <v>0</v>
      </c>
      <c r="I62" s="1138">
        <f t="shared" si="29"/>
        <v>0</v>
      </c>
      <c r="J62" s="1138">
        <f t="shared" si="29"/>
        <v>0</v>
      </c>
      <c r="K62" s="1138">
        <f t="shared" si="29"/>
        <v>0</v>
      </c>
      <c r="L62" s="1138">
        <f t="shared" si="29"/>
        <v>0</v>
      </c>
      <c r="M62" s="1138"/>
      <c r="N62" s="12">
        <f t="shared" si="9"/>
        <v>0</v>
      </c>
      <c r="O62" s="578">
        <f t="shared" si="10"/>
        <v>0</v>
      </c>
    </row>
    <row r="63" spans="1:15" ht="21.95" hidden="1" customHeight="1" x14ac:dyDescent="0.15">
      <c r="A63" s="2627"/>
      <c r="B63" s="2534"/>
      <c r="C63" s="2676"/>
      <c r="D63" s="546" t="s">
        <v>1484</v>
      </c>
      <c r="E63" s="1061"/>
      <c r="F63" s="1344"/>
      <c r="G63" s="426"/>
      <c r="H63" s="426"/>
      <c r="I63" s="426"/>
      <c r="J63" s="426"/>
      <c r="K63" s="426"/>
      <c r="L63" s="426"/>
      <c r="M63" s="426"/>
      <c r="N63" s="12">
        <f t="shared" si="9"/>
        <v>0</v>
      </c>
      <c r="O63" s="578">
        <f t="shared" si="10"/>
        <v>0</v>
      </c>
    </row>
    <row r="64" spans="1:15" ht="21.95" hidden="1" customHeight="1" x14ac:dyDescent="0.15">
      <c r="A64" s="2627"/>
      <c r="B64" s="2534"/>
      <c r="C64" s="2865" t="s">
        <v>1551</v>
      </c>
      <c r="D64" s="542" t="s">
        <v>60</v>
      </c>
      <c r="E64" s="1063"/>
      <c r="F64" s="1362"/>
      <c r="G64" s="1278"/>
      <c r="H64" s="1278"/>
      <c r="I64" s="1278"/>
      <c r="J64" s="1278"/>
      <c r="K64" s="1278"/>
      <c r="L64" s="1278"/>
      <c r="M64" s="1278"/>
      <c r="N64" s="2346">
        <f t="shared" si="9"/>
        <v>0</v>
      </c>
      <c r="O64" s="578">
        <f t="shared" si="10"/>
        <v>0</v>
      </c>
    </row>
    <row r="65" spans="1:15" ht="21.95" hidden="1" customHeight="1" x14ac:dyDescent="0.15">
      <c r="A65" s="2627"/>
      <c r="B65" s="2534"/>
      <c r="C65" s="2724"/>
      <c r="D65" s="543" t="s">
        <v>29</v>
      </c>
      <c r="E65" s="1061"/>
      <c r="F65" s="1558" t="s">
        <v>1553</v>
      </c>
      <c r="G65" s="1138">
        <f t="shared" ref="G65:L65" si="30">IF(G64=0,0,42.21)</f>
        <v>0</v>
      </c>
      <c r="H65" s="1138">
        <f t="shared" si="30"/>
        <v>0</v>
      </c>
      <c r="I65" s="1138">
        <f t="shared" si="30"/>
        <v>0</v>
      </c>
      <c r="J65" s="1138">
        <f t="shared" si="30"/>
        <v>0</v>
      </c>
      <c r="K65" s="1138">
        <f t="shared" si="30"/>
        <v>0</v>
      </c>
      <c r="L65" s="1138">
        <f t="shared" si="30"/>
        <v>0</v>
      </c>
      <c r="M65" s="1138"/>
      <c r="N65" s="12">
        <f t="shared" si="9"/>
        <v>0</v>
      </c>
      <c r="O65" s="578">
        <f t="shared" si="10"/>
        <v>0</v>
      </c>
    </row>
    <row r="66" spans="1:15" ht="21.95" hidden="1" customHeight="1" x14ac:dyDescent="0.15">
      <c r="A66" s="2627"/>
      <c r="B66" s="2534"/>
      <c r="C66" s="2724"/>
      <c r="D66" s="543" t="s">
        <v>3</v>
      </c>
      <c r="E66" s="1061"/>
      <c r="F66" s="1558">
        <v>16.850000000000001</v>
      </c>
      <c r="G66" s="1138">
        <f t="shared" ref="G66:L66" si="31">IF(G64=0,0,16.85)</f>
        <v>0</v>
      </c>
      <c r="H66" s="1138">
        <f t="shared" si="31"/>
        <v>0</v>
      </c>
      <c r="I66" s="1138">
        <f t="shared" si="31"/>
        <v>0</v>
      </c>
      <c r="J66" s="1138">
        <f t="shared" si="31"/>
        <v>0</v>
      </c>
      <c r="K66" s="1138">
        <f t="shared" si="31"/>
        <v>0</v>
      </c>
      <c r="L66" s="1138">
        <f t="shared" si="31"/>
        <v>0</v>
      </c>
      <c r="M66" s="1138"/>
      <c r="N66" s="12">
        <f t="shared" si="9"/>
        <v>0</v>
      </c>
      <c r="O66" s="578">
        <f t="shared" si="10"/>
        <v>0</v>
      </c>
    </row>
    <row r="67" spans="1:15" ht="21.95" hidden="1" customHeight="1" x14ac:dyDescent="0.15">
      <c r="A67" s="2627"/>
      <c r="B67" s="2534"/>
      <c r="C67" s="2724"/>
      <c r="D67" s="543" t="s">
        <v>1493</v>
      </c>
      <c r="E67" s="1061"/>
      <c r="F67" s="1558">
        <f>18*0.25</f>
        <v>4.5</v>
      </c>
      <c r="G67" s="1138">
        <f t="shared" ref="G67:L67" si="32">IF(G64=0,0,4.5)</f>
        <v>0</v>
      </c>
      <c r="H67" s="1138">
        <f t="shared" si="32"/>
        <v>0</v>
      </c>
      <c r="I67" s="1138">
        <f t="shared" si="32"/>
        <v>0</v>
      </c>
      <c r="J67" s="1138">
        <f t="shared" si="32"/>
        <v>0</v>
      </c>
      <c r="K67" s="1138">
        <f t="shared" si="32"/>
        <v>0</v>
      </c>
      <c r="L67" s="1138">
        <f t="shared" si="32"/>
        <v>0</v>
      </c>
      <c r="M67" s="1138"/>
      <c r="N67" s="12">
        <f t="shared" ref="N67:N98" si="33">TRUNC(SUM(G67:M67),2)</f>
        <v>0</v>
      </c>
      <c r="O67" s="578">
        <f t="shared" ref="O67:O98" si="34">SUM(G67:N67)</f>
        <v>0</v>
      </c>
    </row>
    <row r="68" spans="1:15" ht="21.95" hidden="1" customHeight="1" x14ac:dyDescent="0.15">
      <c r="A68" s="2627"/>
      <c r="B68" s="2534"/>
      <c r="C68" s="2724"/>
      <c r="D68" s="543" t="s">
        <v>1494</v>
      </c>
      <c r="E68" s="1061"/>
      <c r="F68" s="1558">
        <v>3</v>
      </c>
      <c r="G68" s="1138">
        <f t="shared" ref="G68:L68" si="35">IF(G64=0,0,3)</f>
        <v>0</v>
      </c>
      <c r="H68" s="1138">
        <f t="shared" si="35"/>
        <v>0</v>
      </c>
      <c r="I68" s="1138">
        <f t="shared" si="35"/>
        <v>0</v>
      </c>
      <c r="J68" s="1138">
        <f t="shared" si="35"/>
        <v>0</v>
      </c>
      <c r="K68" s="1138">
        <f t="shared" si="35"/>
        <v>0</v>
      </c>
      <c r="L68" s="1138">
        <f t="shared" si="35"/>
        <v>0</v>
      </c>
      <c r="M68" s="1138"/>
      <c r="N68" s="12">
        <f t="shared" si="33"/>
        <v>0</v>
      </c>
      <c r="O68" s="578">
        <f t="shared" si="34"/>
        <v>0</v>
      </c>
    </row>
    <row r="69" spans="1:15" ht="21.95" hidden="1" customHeight="1" x14ac:dyDescent="0.15">
      <c r="A69" s="2627"/>
      <c r="B69" s="2534"/>
      <c r="C69" s="2724"/>
      <c r="D69" s="543" t="s">
        <v>1502</v>
      </c>
      <c r="E69" s="1061"/>
      <c r="F69" s="1558">
        <v>17.13</v>
      </c>
      <c r="G69" s="1138">
        <f t="shared" ref="G69:L69" si="36">IF(G64=0,0,17.13)</f>
        <v>0</v>
      </c>
      <c r="H69" s="1138">
        <f t="shared" si="36"/>
        <v>0</v>
      </c>
      <c r="I69" s="1138">
        <f t="shared" si="36"/>
        <v>0</v>
      </c>
      <c r="J69" s="1138">
        <f t="shared" si="36"/>
        <v>0</v>
      </c>
      <c r="K69" s="1138">
        <f t="shared" si="36"/>
        <v>0</v>
      </c>
      <c r="L69" s="1138">
        <f t="shared" si="36"/>
        <v>0</v>
      </c>
      <c r="M69" s="1138"/>
      <c r="N69" s="12">
        <f t="shared" si="33"/>
        <v>0</v>
      </c>
      <c r="O69" s="578">
        <f t="shared" si="34"/>
        <v>0</v>
      </c>
    </row>
    <row r="70" spans="1:15" ht="21.95" hidden="1" customHeight="1" x14ac:dyDescent="0.15">
      <c r="A70" s="2627"/>
      <c r="B70" s="2534"/>
      <c r="C70" s="2863"/>
      <c r="D70" s="543" t="s">
        <v>1484</v>
      </c>
      <c r="E70" s="1062"/>
      <c r="F70" s="1361"/>
      <c r="G70" s="1277"/>
      <c r="H70" s="1277"/>
      <c r="I70" s="1277"/>
      <c r="J70" s="1277"/>
      <c r="K70" s="1277"/>
      <c r="L70" s="1277"/>
      <c r="M70" s="1277"/>
      <c r="N70" s="1276">
        <f t="shared" si="33"/>
        <v>0</v>
      </c>
      <c r="O70" s="578">
        <f t="shared" si="34"/>
        <v>0</v>
      </c>
    </row>
    <row r="71" spans="1:15" ht="21.95" hidden="1" customHeight="1" x14ac:dyDescent="0.15">
      <c r="A71" s="2627"/>
      <c r="B71" s="2534"/>
      <c r="C71" s="2729" t="s">
        <v>1552</v>
      </c>
      <c r="D71" s="542" t="s">
        <v>60</v>
      </c>
      <c r="E71" s="1063"/>
      <c r="F71" s="1362"/>
      <c r="G71" s="1278"/>
      <c r="H71" s="1278"/>
      <c r="I71" s="1278"/>
      <c r="J71" s="1278"/>
      <c r="K71" s="1278"/>
      <c r="L71" s="1278"/>
      <c r="M71" s="1278"/>
      <c r="N71" s="12">
        <f t="shared" si="33"/>
        <v>0</v>
      </c>
      <c r="O71" s="578">
        <f t="shared" si="34"/>
        <v>0</v>
      </c>
    </row>
    <row r="72" spans="1:15" ht="21.95" hidden="1" customHeight="1" x14ac:dyDescent="0.15">
      <c r="A72" s="2627"/>
      <c r="B72" s="2534"/>
      <c r="C72" s="2676"/>
      <c r="D72" s="543" t="s">
        <v>29</v>
      </c>
      <c r="E72" s="1061"/>
      <c r="F72" s="1558">
        <v>42.21</v>
      </c>
      <c r="G72" s="1138">
        <f t="shared" ref="G72:L72" si="37">IF(G71=0,0,42.21)</f>
        <v>0</v>
      </c>
      <c r="H72" s="1138">
        <f t="shared" si="37"/>
        <v>0</v>
      </c>
      <c r="I72" s="1138">
        <f t="shared" si="37"/>
        <v>0</v>
      </c>
      <c r="J72" s="1138">
        <f t="shared" si="37"/>
        <v>0</v>
      </c>
      <c r="K72" s="1138">
        <f t="shared" si="37"/>
        <v>0</v>
      </c>
      <c r="L72" s="1138">
        <f t="shared" si="37"/>
        <v>0</v>
      </c>
      <c r="M72" s="1138"/>
      <c r="N72" s="12">
        <f t="shared" si="33"/>
        <v>0</v>
      </c>
      <c r="O72" s="578">
        <f t="shared" si="34"/>
        <v>0</v>
      </c>
    </row>
    <row r="73" spans="1:15" ht="21.95" hidden="1" customHeight="1" x14ac:dyDescent="0.15">
      <c r="A73" s="2627"/>
      <c r="B73" s="2534"/>
      <c r="C73" s="2676"/>
      <c r="D73" s="543" t="s">
        <v>3</v>
      </c>
      <c r="E73" s="1061"/>
      <c r="F73" s="1558">
        <v>16.850000000000001</v>
      </c>
      <c r="G73" s="1138">
        <f t="shared" ref="G73:L73" si="38">IF(G71=0,0,16.85)</f>
        <v>0</v>
      </c>
      <c r="H73" s="1138">
        <f t="shared" si="38"/>
        <v>0</v>
      </c>
      <c r="I73" s="1138">
        <f t="shared" si="38"/>
        <v>0</v>
      </c>
      <c r="J73" s="1138">
        <f t="shared" si="38"/>
        <v>0</v>
      </c>
      <c r="K73" s="1138">
        <f t="shared" si="38"/>
        <v>0</v>
      </c>
      <c r="L73" s="1138">
        <f t="shared" si="38"/>
        <v>0</v>
      </c>
      <c r="M73" s="1138"/>
      <c r="N73" s="12">
        <f t="shared" si="33"/>
        <v>0</v>
      </c>
      <c r="O73" s="578">
        <f t="shared" si="34"/>
        <v>0</v>
      </c>
    </row>
    <row r="74" spans="1:15" ht="21.95" hidden="1" customHeight="1" x14ac:dyDescent="0.15">
      <c r="A74" s="2627"/>
      <c r="B74" s="2534"/>
      <c r="C74" s="2676"/>
      <c r="D74" s="543" t="s">
        <v>1493</v>
      </c>
      <c r="E74" s="1061"/>
      <c r="F74" s="1558">
        <f>50*0.25</f>
        <v>12.5</v>
      </c>
      <c r="G74" s="1138">
        <f t="shared" ref="G74:L74" si="39">IF(G71=0,0,12.5)</f>
        <v>0</v>
      </c>
      <c r="H74" s="1138">
        <f t="shared" si="39"/>
        <v>0</v>
      </c>
      <c r="I74" s="1138">
        <f t="shared" si="39"/>
        <v>0</v>
      </c>
      <c r="J74" s="1138">
        <f t="shared" si="39"/>
        <v>0</v>
      </c>
      <c r="K74" s="1138">
        <f t="shared" si="39"/>
        <v>0</v>
      </c>
      <c r="L74" s="1138">
        <f t="shared" si="39"/>
        <v>0</v>
      </c>
      <c r="M74" s="1138"/>
      <c r="N74" s="12">
        <f t="shared" si="33"/>
        <v>0</v>
      </c>
      <c r="O74" s="578">
        <f t="shared" si="34"/>
        <v>0</v>
      </c>
    </row>
    <row r="75" spans="1:15" ht="21.95" hidden="1" customHeight="1" x14ac:dyDescent="0.15">
      <c r="A75" s="2627"/>
      <c r="B75" s="2534"/>
      <c r="C75" s="2676"/>
      <c r="D75" s="543" t="s">
        <v>1494</v>
      </c>
      <c r="E75" s="1061"/>
      <c r="F75" s="1558">
        <f>44*0.25</f>
        <v>11</v>
      </c>
      <c r="G75" s="1138">
        <f t="shared" ref="G75:L75" si="40">IF(G71=0,0,11)</f>
        <v>0</v>
      </c>
      <c r="H75" s="1138">
        <f t="shared" si="40"/>
        <v>0</v>
      </c>
      <c r="I75" s="1138">
        <f t="shared" si="40"/>
        <v>0</v>
      </c>
      <c r="J75" s="1138">
        <f t="shared" si="40"/>
        <v>0</v>
      </c>
      <c r="K75" s="1138">
        <f t="shared" si="40"/>
        <v>0</v>
      </c>
      <c r="L75" s="1138">
        <f t="shared" si="40"/>
        <v>0</v>
      </c>
      <c r="M75" s="1138"/>
      <c r="N75" s="12">
        <f t="shared" si="33"/>
        <v>0</v>
      </c>
      <c r="O75" s="578">
        <f t="shared" si="34"/>
        <v>0</v>
      </c>
    </row>
    <row r="76" spans="1:15" ht="21.95" hidden="1" customHeight="1" x14ac:dyDescent="0.15">
      <c r="A76" s="2627"/>
      <c r="B76" s="2534"/>
      <c r="C76" s="2676"/>
      <c r="D76" s="543" t="s">
        <v>1502</v>
      </c>
      <c r="E76" s="1061"/>
      <c r="F76" s="1558">
        <v>17.13</v>
      </c>
      <c r="G76" s="1138">
        <f t="shared" ref="G76:L76" si="41">IF(G71=0,0,17.13)</f>
        <v>0</v>
      </c>
      <c r="H76" s="1138">
        <f t="shared" si="41"/>
        <v>0</v>
      </c>
      <c r="I76" s="1138">
        <f t="shared" si="41"/>
        <v>0</v>
      </c>
      <c r="J76" s="1138">
        <f t="shared" si="41"/>
        <v>0</v>
      </c>
      <c r="K76" s="1138">
        <f t="shared" si="41"/>
        <v>0</v>
      </c>
      <c r="L76" s="1138">
        <f t="shared" si="41"/>
        <v>0</v>
      </c>
      <c r="M76" s="1138"/>
      <c r="N76" s="12">
        <f t="shared" si="33"/>
        <v>0</v>
      </c>
      <c r="O76" s="578">
        <f t="shared" si="34"/>
        <v>0</v>
      </c>
    </row>
    <row r="77" spans="1:15" ht="21.95" hidden="1" customHeight="1" x14ac:dyDescent="0.15">
      <c r="A77" s="2627"/>
      <c r="B77" s="2534"/>
      <c r="C77" s="2730"/>
      <c r="D77" s="543" t="s">
        <v>1484</v>
      </c>
      <c r="E77" s="1062"/>
      <c r="F77" s="1361"/>
      <c r="G77" s="1277"/>
      <c r="H77" s="1277"/>
      <c r="I77" s="1277"/>
      <c r="J77" s="1277"/>
      <c r="K77" s="1277"/>
      <c r="L77" s="1277"/>
      <c r="M77" s="1277"/>
      <c r="N77" s="1276">
        <f t="shared" si="33"/>
        <v>0</v>
      </c>
      <c r="O77" s="578">
        <f t="shared" si="34"/>
        <v>0</v>
      </c>
    </row>
    <row r="78" spans="1:15" ht="21.95" hidden="1" customHeight="1" x14ac:dyDescent="0.15">
      <c r="A78" s="2627"/>
      <c r="B78" s="2534"/>
      <c r="C78" s="2729" t="s">
        <v>1554</v>
      </c>
      <c r="D78" s="542" t="s">
        <v>60</v>
      </c>
      <c r="E78" s="1063"/>
      <c r="F78" s="1362"/>
      <c r="G78" s="1278"/>
      <c r="H78" s="1278"/>
      <c r="I78" s="1278"/>
      <c r="J78" s="1278"/>
      <c r="K78" s="1278"/>
      <c r="L78" s="1278"/>
      <c r="M78" s="1278"/>
      <c r="N78" s="12">
        <f t="shared" si="33"/>
        <v>0</v>
      </c>
      <c r="O78" s="578">
        <f t="shared" si="34"/>
        <v>0</v>
      </c>
    </row>
    <row r="79" spans="1:15" ht="21.95" hidden="1" customHeight="1" x14ac:dyDescent="0.15">
      <c r="A79" s="2627"/>
      <c r="B79" s="2534"/>
      <c r="C79" s="2676"/>
      <c r="D79" s="543" t="s">
        <v>29</v>
      </c>
      <c r="E79" s="1061"/>
      <c r="F79" s="1558">
        <v>30.6</v>
      </c>
      <c r="G79" s="1138">
        <f t="shared" ref="G79:L79" si="42">IF(G78=0,0,30.6)</f>
        <v>0</v>
      </c>
      <c r="H79" s="1138">
        <f t="shared" si="42"/>
        <v>0</v>
      </c>
      <c r="I79" s="1138">
        <f t="shared" si="42"/>
        <v>0</v>
      </c>
      <c r="J79" s="1138">
        <f t="shared" si="42"/>
        <v>0</v>
      </c>
      <c r="K79" s="1138">
        <f t="shared" si="42"/>
        <v>0</v>
      </c>
      <c r="L79" s="1138">
        <f t="shared" si="42"/>
        <v>0</v>
      </c>
      <c r="M79" s="1138"/>
      <c r="N79" s="12">
        <f t="shared" si="33"/>
        <v>0</v>
      </c>
      <c r="O79" s="578">
        <f t="shared" si="34"/>
        <v>0</v>
      </c>
    </row>
    <row r="80" spans="1:15" ht="21.95" hidden="1" customHeight="1" x14ac:dyDescent="0.15">
      <c r="A80" s="2627"/>
      <c r="B80" s="2534"/>
      <c r="C80" s="2676"/>
      <c r="D80" s="543" t="s">
        <v>3</v>
      </c>
      <c r="E80" s="1061"/>
      <c r="F80" s="1558">
        <v>16.850000000000001</v>
      </c>
      <c r="G80" s="1138">
        <f t="shared" ref="G80:L80" si="43">IF(G78=0,0,16.85)</f>
        <v>0</v>
      </c>
      <c r="H80" s="1138">
        <f t="shared" si="43"/>
        <v>0</v>
      </c>
      <c r="I80" s="1138">
        <f t="shared" si="43"/>
        <v>0</v>
      </c>
      <c r="J80" s="1138">
        <f t="shared" si="43"/>
        <v>0</v>
      </c>
      <c r="K80" s="1138">
        <f t="shared" si="43"/>
        <v>0</v>
      </c>
      <c r="L80" s="1138">
        <f t="shared" si="43"/>
        <v>0</v>
      </c>
      <c r="M80" s="1138"/>
      <c r="N80" s="12">
        <f t="shared" si="33"/>
        <v>0</v>
      </c>
      <c r="O80" s="578">
        <f t="shared" si="34"/>
        <v>0</v>
      </c>
    </row>
    <row r="81" spans="1:15" ht="21.95" hidden="1" customHeight="1" x14ac:dyDescent="0.15">
      <c r="A81" s="2627"/>
      <c r="B81" s="2534"/>
      <c r="C81" s="2676"/>
      <c r="D81" s="543" t="s">
        <v>1494</v>
      </c>
      <c r="E81" s="1061"/>
      <c r="F81" s="1558">
        <f>44*0.25</f>
        <v>11</v>
      </c>
      <c r="G81" s="1138">
        <f t="shared" ref="G81:L81" si="44">IF(G78=0,0,11)</f>
        <v>0</v>
      </c>
      <c r="H81" s="1138">
        <f t="shared" si="44"/>
        <v>0</v>
      </c>
      <c r="I81" s="1138">
        <f t="shared" si="44"/>
        <v>0</v>
      </c>
      <c r="J81" s="1138">
        <f t="shared" si="44"/>
        <v>0</v>
      </c>
      <c r="K81" s="1138">
        <f t="shared" si="44"/>
        <v>0</v>
      </c>
      <c r="L81" s="1138">
        <f t="shared" si="44"/>
        <v>0</v>
      </c>
      <c r="M81" s="1138"/>
      <c r="N81" s="12">
        <f t="shared" si="33"/>
        <v>0</v>
      </c>
      <c r="O81" s="578">
        <f t="shared" si="34"/>
        <v>0</v>
      </c>
    </row>
    <row r="82" spans="1:15" ht="21.95" hidden="1" customHeight="1" x14ac:dyDescent="0.15">
      <c r="A82" s="2627"/>
      <c r="B82" s="2534"/>
      <c r="C82" s="2676"/>
      <c r="D82" s="543" t="s">
        <v>1502</v>
      </c>
      <c r="E82" s="1061"/>
      <c r="F82" s="1558">
        <v>17.05</v>
      </c>
      <c r="G82" s="1138">
        <f t="shared" ref="G82:L82" si="45">IF(G78=0,0,17.05)</f>
        <v>0</v>
      </c>
      <c r="H82" s="1138">
        <f t="shared" si="45"/>
        <v>0</v>
      </c>
      <c r="I82" s="1138">
        <f t="shared" si="45"/>
        <v>0</v>
      </c>
      <c r="J82" s="1138">
        <f t="shared" si="45"/>
        <v>0</v>
      </c>
      <c r="K82" s="1138">
        <f t="shared" si="45"/>
        <v>0</v>
      </c>
      <c r="L82" s="1138">
        <f t="shared" si="45"/>
        <v>0</v>
      </c>
      <c r="M82" s="1138"/>
      <c r="N82" s="12">
        <f t="shared" si="33"/>
        <v>0</v>
      </c>
      <c r="O82" s="578">
        <f t="shared" si="34"/>
        <v>0</v>
      </c>
    </row>
    <row r="83" spans="1:15" ht="21.95" hidden="1" customHeight="1" x14ac:dyDescent="0.15">
      <c r="A83" s="2627"/>
      <c r="B83" s="2534"/>
      <c r="C83" s="2676"/>
      <c r="D83" s="543" t="s">
        <v>1549</v>
      </c>
      <c r="E83" s="1061"/>
      <c r="F83" s="1558">
        <v>10.1</v>
      </c>
      <c r="G83" s="1138">
        <f t="shared" ref="G83:L83" si="46">IF(G78=0,0,10.1)</f>
        <v>0</v>
      </c>
      <c r="H83" s="1138">
        <f t="shared" si="46"/>
        <v>0</v>
      </c>
      <c r="I83" s="1138">
        <f t="shared" si="46"/>
        <v>0</v>
      </c>
      <c r="J83" s="1138">
        <f t="shared" si="46"/>
        <v>0</v>
      </c>
      <c r="K83" s="1138">
        <f t="shared" si="46"/>
        <v>0</v>
      </c>
      <c r="L83" s="1138">
        <f t="shared" si="46"/>
        <v>0</v>
      </c>
      <c r="M83" s="1138"/>
      <c r="N83" s="12">
        <f t="shared" si="33"/>
        <v>0</v>
      </c>
      <c r="O83" s="578">
        <f t="shared" si="34"/>
        <v>0</v>
      </c>
    </row>
    <row r="84" spans="1:15" ht="21.95" hidden="1" customHeight="1" x14ac:dyDescent="0.15">
      <c r="A84" s="2627"/>
      <c r="B84" s="2534"/>
      <c r="C84" s="2730"/>
      <c r="D84" s="543" t="s">
        <v>1484</v>
      </c>
      <c r="E84" s="1062"/>
      <c r="F84" s="1361"/>
      <c r="G84" s="1277"/>
      <c r="H84" s="1277"/>
      <c r="I84" s="1277"/>
      <c r="J84" s="1277"/>
      <c r="K84" s="1277"/>
      <c r="L84" s="1277"/>
      <c r="M84" s="1277"/>
      <c r="N84" s="1276">
        <f t="shared" si="33"/>
        <v>0</v>
      </c>
      <c r="O84" s="578">
        <f t="shared" si="34"/>
        <v>0</v>
      </c>
    </row>
    <row r="85" spans="1:15" ht="21.95" hidden="1" customHeight="1" x14ac:dyDescent="0.15">
      <c r="A85" s="2627"/>
      <c r="B85" s="2534"/>
      <c r="C85" s="2729" t="s">
        <v>1555</v>
      </c>
      <c r="D85" s="542" t="s">
        <v>60</v>
      </c>
      <c r="E85" s="1063"/>
      <c r="F85" s="1362"/>
      <c r="G85" s="1278"/>
      <c r="H85" s="1278"/>
      <c r="I85" s="1278"/>
      <c r="J85" s="1278"/>
      <c r="K85" s="1278"/>
      <c r="L85" s="1278"/>
      <c r="M85" s="1278"/>
      <c r="N85" s="12">
        <f t="shared" si="33"/>
        <v>0</v>
      </c>
      <c r="O85" s="578">
        <f t="shared" si="34"/>
        <v>0</v>
      </c>
    </row>
    <row r="86" spans="1:15" ht="21.95" hidden="1" customHeight="1" x14ac:dyDescent="0.15">
      <c r="A86" s="2627"/>
      <c r="B86" s="2534"/>
      <c r="C86" s="2676"/>
      <c r="D86" s="543" t="s">
        <v>29</v>
      </c>
      <c r="E86" s="1061"/>
      <c r="F86" s="1558">
        <v>35.799999999999997</v>
      </c>
      <c r="G86" s="1138">
        <f t="shared" ref="G86:L86" si="47">IF(G85=0,0,35.8)</f>
        <v>0</v>
      </c>
      <c r="H86" s="1138">
        <f t="shared" si="47"/>
        <v>0</v>
      </c>
      <c r="I86" s="1138">
        <f t="shared" si="47"/>
        <v>0</v>
      </c>
      <c r="J86" s="1138">
        <f t="shared" si="47"/>
        <v>0</v>
      </c>
      <c r="K86" s="1138">
        <f t="shared" si="47"/>
        <v>0</v>
      </c>
      <c r="L86" s="1138">
        <f t="shared" si="47"/>
        <v>0</v>
      </c>
      <c r="M86" s="1138"/>
      <c r="N86" s="12">
        <f t="shared" si="33"/>
        <v>0</v>
      </c>
      <c r="O86" s="578">
        <f t="shared" si="34"/>
        <v>0</v>
      </c>
    </row>
    <row r="87" spans="1:15" ht="21.95" hidden="1" customHeight="1" x14ac:dyDescent="0.15">
      <c r="A87" s="2627"/>
      <c r="B87" s="2534"/>
      <c r="C87" s="2676"/>
      <c r="D87" s="543" t="s">
        <v>3</v>
      </c>
      <c r="E87" s="1061"/>
      <c r="F87" s="1558">
        <v>16.850000000000001</v>
      </c>
      <c r="G87" s="1138">
        <f t="shared" ref="G87:L87" si="48">IF(G85=0,0,16.85)</f>
        <v>0</v>
      </c>
      <c r="H87" s="1138">
        <f t="shared" si="48"/>
        <v>0</v>
      </c>
      <c r="I87" s="1138">
        <f t="shared" si="48"/>
        <v>0</v>
      </c>
      <c r="J87" s="1138">
        <f t="shared" si="48"/>
        <v>0</v>
      </c>
      <c r="K87" s="1138">
        <f t="shared" si="48"/>
        <v>0</v>
      </c>
      <c r="L87" s="1138">
        <f t="shared" si="48"/>
        <v>0</v>
      </c>
      <c r="M87" s="1138"/>
      <c r="N87" s="12">
        <f t="shared" si="33"/>
        <v>0</v>
      </c>
      <c r="O87" s="578">
        <f t="shared" si="34"/>
        <v>0</v>
      </c>
    </row>
    <row r="88" spans="1:15" ht="21.95" hidden="1" customHeight="1" x14ac:dyDescent="0.15">
      <c r="A88" s="2627"/>
      <c r="B88" s="2534"/>
      <c r="C88" s="2676"/>
      <c r="D88" s="543" t="s">
        <v>1493</v>
      </c>
      <c r="E88" s="1061"/>
      <c r="F88" s="1558">
        <f>29*0.25</f>
        <v>7.25</v>
      </c>
      <c r="G88" s="1138">
        <f t="shared" ref="G88:L88" si="49">IF(G85=0,0,7.25)</f>
        <v>0</v>
      </c>
      <c r="H88" s="1138">
        <f t="shared" si="49"/>
        <v>0</v>
      </c>
      <c r="I88" s="1138">
        <f t="shared" si="49"/>
        <v>0</v>
      </c>
      <c r="J88" s="1138">
        <f t="shared" si="49"/>
        <v>0</v>
      </c>
      <c r="K88" s="1138">
        <f t="shared" si="49"/>
        <v>0</v>
      </c>
      <c r="L88" s="1138">
        <f t="shared" si="49"/>
        <v>0</v>
      </c>
      <c r="M88" s="1138"/>
      <c r="N88" s="12">
        <f t="shared" si="33"/>
        <v>0</v>
      </c>
      <c r="O88" s="578">
        <f t="shared" si="34"/>
        <v>0</v>
      </c>
    </row>
    <row r="89" spans="1:15" ht="21.95" hidden="1" customHeight="1" x14ac:dyDescent="0.15">
      <c r="A89" s="2627"/>
      <c r="B89" s="2534"/>
      <c r="C89" s="2676"/>
      <c r="D89" s="543" t="s">
        <v>1494</v>
      </c>
      <c r="E89" s="1061"/>
      <c r="F89" s="1558">
        <f>46*0.25</f>
        <v>11.5</v>
      </c>
      <c r="G89" s="1138">
        <f t="shared" ref="G89:L89" si="50">11.5*G91</f>
        <v>0</v>
      </c>
      <c r="H89" s="1138">
        <f t="shared" si="50"/>
        <v>0</v>
      </c>
      <c r="I89" s="1138">
        <f t="shared" si="50"/>
        <v>0</v>
      </c>
      <c r="J89" s="1138">
        <f t="shared" si="50"/>
        <v>0</v>
      </c>
      <c r="K89" s="1138">
        <f t="shared" si="50"/>
        <v>0</v>
      </c>
      <c r="L89" s="1138">
        <f t="shared" si="50"/>
        <v>0</v>
      </c>
      <c r="M89" s="1138"/>
      <c r="N89" s="12">
        <f t="shared" si="33"/>
        <v>0</v>
      </c>
      <c r="O89" s="578">
        <f t="shared" si="34"/>
        <v>0</v>
      </c>
    </row>
    <row r="90" spans="1:15" ht="21.95" hidden="1" customHeight="1" x14ac:dyDescent="0.15">
      <c r="A90" s="2627"/>
      <c r="B90" s="2534"/>
      <c r="C90" s="2676"/>
      <c r="D90" s="543" t="s">
        <v>1502</v>
      </c>
      <c r="E90" s="1061"/>
      <c r="F90" s="1558">
        <v>17.64</v>
      </c>
      <c r="G90" s="1138">
        <f t="shared" ref="G90:L90" si="51">IF(G85=0,0,5.8)</f>
        <v>0</v>
      </c>
      <c r="H90" s="1138">
        <f t="shared" si="51"/>
        <v>0</v>
      </c>
      <c r="I90" s="1138">
        <f t="shared" si="51"/>
        <v>0</v>
      </c>
      <c r="J90" s="1138">
        <f t="shared" si="51"/>
        <v>0</v>
      </c>
      <c r="K90" s="1138">
        <f t="shared" si="51"/>
        <v>0</v>
      </c>
      <c r="L90" s="1138">
        <f t="shared" si="51"/>
        <v>0</v>
      </c>
      <c r="M90" s="1138"/>
      <c r="N90" s="12">
        <f t="shared" si="33"/>
        <v>0</v>
      </c>
      <c r="O90" s="578">
        <f t="shared" si="34"/>
        <v>0</v>
      </c>
    </row>
    <row r="91" spans="1:15" ht="21.95" hidden="1" customHeight="1" x14ac:dyDescent="0.15">
      <c r="A91" s="2627"/>
      <c r="B91" s="2534"/>
      <c r="C91" s="2676"/>
      <c r="D91" s="543" t="s">
        <v>1549</v>
      </c>
      <c r="E91" s="1061"/>
      <c r="F91" s="1558">
        <v>5.05</v>
      </c>
      <c r="G91" s="1138">
        <f t="shared" ref="G91:L91" si="52">IF(G85=0,0,)</f>
        <v>0</v>
      </c>
      <c r="H91" s="1138">
        <f t="shared" si="52"/>
        <v>0</v>
      </c>
      <c r="I91" s="1138">
        <f t="shared" si="52"/>
        <v>0</v>
      </c>
      <c r="J91" s="1138">
        <f t="shared" si="52"/>
        <v>0</v>
      </c>
      <c r="K91" s="1138">
        <f t="shared" si="52"/>
        <v>0</v>
      </c>
      <c r="L91" s="1138">
        <f t="shared" si="52"/>
        <v>0</v>
      </c>
      <c r="M91" s="1138"/>
      <c r="N91" s="12">
        <f t="shared" si="33"/>
        <v>0</v>
      </c>
      <c r="O91" s="578">
        <f t="shared" si="34"/>
        <v>0</v>
      </c>
    </row>
    <row r="92" spans="1:15" ht="21.95" hidden="1" customHeight="1" x14ac:dyDescent="0.15">
      <c r="A92" s="2627"/>
      <c r="B92" s="2534"/>
      <c r="C92" s="2730"/>
      <c r="D92" s="543" t="s">
        <v>1484</v>
      </c>
      <c r="E92" s="1062"/>
      <c r="F92" s="1361"/>
      <c r="G92" s="1277"/>
      <c r="H92" s="1277"/>
      <c r="I92" s="1277"/>
      <c r="J92" s="1277"/>
      <c r="K92" s="1277"/>
      <c r="L92" s="1277"/>
      <c r="M92" s="1277"/>
      <c r="N92" s="1276">
        <f t="shared" si="33"/>
        <v>0</v>
      </c>
      <c r="O92" s="578">
        <f t="shared" si="34"/>
        <v>0</v>
      </c>
    </row>
    <row r="93" spans="1:15" ht="21.95" hidden="1" customHeight="1" x14ac:dyDescent="0.15">
      <c r="A93" s="2627"/>
      <c r="B93" s="2534"/>
      <c r="C93" s="2729" t="s">
        <v>1568</v>
      </c>
      <c r="D93" s="542" t="s">
        <v>60</v>
      </c>
      <c r="E93" s="1063"/>
      <c r="F93" s="1362"/>
      <c r="G93" s="1278"/>
      <c r="H93" s="1278"/>
      <c r="I93" s="1278"/>
      <c r="J93" s="1278"/>
      <c r="K93" s="1278"/>
      <c r="L93" s="1278"/>
      <c r="M93" s="1278"/>
      <c r="N93" s="12">
        <f t="shared" si="33"/>
        <v>0</v>
      </c>
      <c r="O93" s="578">
        <f t="shared" si="34"/>
        <v>0</v>
      </c>
    </row>
    <row r="94" spans="1:15" ht="21.95" hidden="1" customHeight="1" x14ac:dyDescent="0.15">
      <c r="A94" s="2627"/>
      <c r="B94" s="2534"/>
      <c r="C94" s="2676"/>
      <c r="D94" s="543" t="s">
        <v>29</v>
      </c>
      <c r="E94" s="1061"/>
      <c r="F94" s="1558">
        <v>37.82</v>
      </c>
      <c r="G94" s="1138">
        <f t="shared" ref="G94:L94" si="53">IF(G93=0,0,37.82)</f>
        <v>0</v>
      </c>
      <c r="H94" s="1138">
        <f t="shared" si="53"/>
        <v>0</v>
      </c>
      <c r="I94" s="1138">
        <f t="shared" si="53"/>
        <v>0</v>
      </c>
      <c r="J94" s="1138">
        <f t="shared" si="53"/>
        <v>0</v>
      </c>
      <c r="K94" s="1138">
        <f t="shared" si="53"/>
        <v>0</v>
      </c>
      <c r="L94" s="1138">
        <f t="shared" si="53"/>
        <v>0</v>
      </c>
      <c r="M94" s="1138"/>
      <c r="N94" s="12">
        <f t="shared" si="33"/>
        <v>0</v>
      </c>
      <c r="O94" s="578">
        <f t="shared" si="34"/>
        <v>0</v>
      </c>
    </row>
    <row r="95" spans="1:15" ht="21.95" hidden="1" customHeight="1" x14ac:dyDescent="0.15">
      <c r="A95" s="2627"/>
      <c r="B95" s="2534"/>
      <c r="C95" s="2676"/>
      <c r="D95" s="543" t="s">
        <v>3</v>
      </c>
      <c r="E95" s="1061"/>
      <c r="F95" s="1558">
        <v>15.45</v>
      </c>
      <c r="G95" s="1138">
        <f t="shared" ref="G95:L95" si="54">IF(G93=0,0,15.45)</f>
        <v>0</v>
      </c>
      <c r="H95" s="1138">
        <f t="shared" si="54"/>
        <v>0</v>
      </c>
      <c r="I95" s="1138">
        <f t="shared" si="54"/>
        <v>0</v>
      </c>
      <c r="J95" s="1138">
        <f t="shared" si="54"/>
        <v>0</v>
      </c>
      <c r="K95" s="1138">
        <f t="shared" si="54"/>
        <v>0</v>
      </c>
      <c r="L95" s="1138">
        <f t="shared" si="54"/>
        <v>0</v>
      </c>
      <c r="M95" s="1138"/>
      <c r="N95" s="12">
        <f t="shared" si="33"/>
        <v>0</v>
      </c>
      <c r="O95" s="578">
        <f t="shared" si="34"/>
        <v>0</v>
      </c>
    </row>
    <row r="96" spans="1:15" ht="21.95" hidden="1" customHeight="1" x14ac:dyDescent="0.15">
      <c r="A96" s="2627"/>
      <c r="B96" s="2534"/>
      <c r="C96" s="2676"/>
      <c r="D96" s="543" t="s">
        <v>1493</v>
      </c>
      <c r="E96" s="1061"/>
      <c r="F96" s="1558">
        <f>11*0.25</f>
        <v>2.75</v>
      </c>
      <c r="G96" s="1138">
        <f t="shared" ref="G96:L96" si="55">IF(G93=0,0,2.75)</f>
        <v>0</v>
      </c>
      <c r="H96" s="1138">
        <f t="shared" si="55"/>
        <v>0</v>
      </c>
      <c r="I96" s="1138">
        <f t="shared" si="55"/>
        <v>0</v>
      </c>
      <c r="J96" s="1138">
        <f t="shared" si="55"/>
        <v>0</v>
      </c>
      <c r="K96" s="1138">
        <f t="shared" si="55"/>
        <v>0</v>
      </c>
      <c r="L96" s="1138">
        <f t="shared" si="55"/>
        <v>0</v>
      </c>
      <c r="M96" s="1138"/>
      <c r="N96" s="12">
        <f t="shared" si="33"/>
        <v>0</v>
      </c>
      <c r="O96" s="578">
        <f t="shared" si="34"/>
        <v>0</v>
      </c>
    </row>
    <row r="97" spans="1:15" ht="21.95" hidden="1" customHeight="1" x14ac:dyDescent="0.15">
      <c r="A97" s="2627"/>
      <c r="B97" s="2534"/>
      <c r="C97" s="2676"/>
      <c r="D97" s="543" t="s">
        <v>1494</v>
      </c>
      <c r="E97" s="1061"/>
      <c r="F97" s="1558">
        <f>25*0.25</f>
        <v>6.25</v>
      </c>
      <c r="G97" s="1138">
        <f t="shared" ref="G97:L97" si="56">IF(G93=0,0,6.25)</f>
        <v>0</v>
      </c>
      <c r="H97" s="1138">
        <f t="shared" si="56"/>
        <v>0</v>
      </c>
      <c r="I97" s="1138">
        <f t="shared" si="56"/>
        <v>0</v>
      </c>
      <c r="J97" s="1138">
        <f t="shared" si="56"/>
        <v>0</v>
      </c>
      <c r="K97" s="1138">
        <f t="shared" si="56"/>
        <v>0</v>
      </c>
      <c r="L97" s="1138">
        <f t="shared" si="56"/>
        <v>0</v>
      </c>
      <c r="M97" s="1138"/>
      <c r="N97" s="12">
        <f t="shared" si="33"/>
        <v>0</v>
      </c>
      <c r="O97" s="578">
        <f t="shared" si="34"/>
        <v>0</v>
      </c>
    </row>
    <row r="98" spans="1:15" ht="21.95" hidden="1" customHeight="1" x14ac:dyDescent="0.15">
      <c r="A98" s="2627"/>
      <c r="B98" s="2534"/>
      <c r="C98" s="2676"/>
      <c r="D98" s="543" t="s">
        <v>1502</v>
      </c>
      <c r="E98" s="1061"/>
      <c r="F98" s="1558">
        <v>15.73</v>
      </c>
      <c r="G98" s="1138">
        <f t="shared" ref="G98:L98" si="57">IF(G93=0,0,15.73)</f>
        <v>0</v>
      </c>
      <c r="H98" s="1138">
        <f t="shared" si="57"/>
        <v>0</v>
      </c>
      <c r="I98" s="1138">
        <f t="shared" si="57"/>
        <v>0</v>
      </c>
      <c r="J98" s="1138">
        <f t="shared" si="57"/>
        <v>0</v>
      </c>
      <c r="K98" s="1138">
        <f t="shared" si="57"/>
        <v>0</v>
      </c>
      <c r="L98" s="1138">
        <f t="shared" si="57"/>
        <v>0</v>
      </c>
      <c r="M98" s="1138"/>
      <c r="N98" s="12">
        <f t="shared" si="33"/>
        <v>0</v>
      </c>
      <c r="O98" s="578">
        <f t="shared" si="34"/>
        <v>0</v>
      </c>
    </row>
    <row r="99" spans="1:15" ht="21.95" hidden="1" customHeight="1" x14ac:dyDescent="0.15">
      <c r="A99" s="2627"/>
      <c r="B99" s="2534"/>
      <c r="C99" s="2730"/>
      <c r="D99" s="543" t="s">
        <v>1484</v>
      </c>
      <c r="E99" s="1062"/>
      <c r="F99" s="1361"/>
      <c r="G99" s="1277"/>
      <c r="H99" s="1277"/>
      <c r="I99" s="1277"/>
      <c r="J99" s="1277"/>
      <c r="K99" s="1277"/>
      <c r="L99" s="1277"/>
      <c r="M99" s="1277"/>
      <c r="N99" s="1276">
        <f t="shared" ref="N99:N128" si="58">TRUNC(SUM(G99:M99),2)</f>
        <v>0</v>
      </c>
      <c r="O99" s="578">
        <f t="shared" ref="O99:O130" si="59">SUM(G99:N99)</f>
        <v>0</v>
      </c>
    </row>
    <row r="100" spans="1:15" ht="21.95" hidden="1" customHeight="1" x14ac:dyDescent="0.15">
      <c r="A100" s="2627"/>
      <c r="B100" s="2534"/>
      <c r="C100" s="2729" t="s">
        <v>1570</v>
      </c>
      <c r="D100" s="542" t="s">
        <v>60</v>
      </c>
      <c r="E100" s="1063"/>
      <c r="F100" s="1362"/>
      <c r="G100" s="1278"/>
      <c r="H100" s="1278"/>
      <c r="I100" s="1278"/>
      <c r="J100" s="1278"/>
      <c r="K100" s="1278"/>
      <c r="L100" s="1278"/>
      <c r="M100" s="1278"/>
      <c r="N100" s="12">
        <f t="shared" si="58"/>
        <v>0</v>
      </c>
      <c r="O100" s="578">
        <f t="shared" si="59"/>
        <v>0</v>
      </c>
    </row>
    <row r="101" spans="1:15" ht="21.95" hidden="1" customHeight="1" x14ac:dyDescent="0.15">
      <c r="A101" s="2627"/>
      <c r="B101" s="2534"/>
      <c r="C101" s="2676"/>
      <c r="D101" s="543" t="s">
        <v>29</v>
      </c>
      <c r="E101" s="1061"/>
      <c r="F101" s="1558">
        <v>37.82</v>
      </c>
      <c r="G101" s="1138">
        <f t="shared" ref="G101:L101" si="60">IF(G100=0,0,37.82)</f>
        <v>0</v>
      </c>
      <c r="H101" s="1138">
        <f t="shared" si="60"/>
        <v>0</v>
      </c>
      <c r="I101" s="1138">
        <f t="shared" si="60"/>
        <v>0</v>
      </c>
      <c r="J101" s="1138">
        <f t="shared" si="60"/>
        <v>0</v>
      </c>
      <c r="K101" s="1138">
        <f t="shared" si="60"/>
        <v>0</v>
      </c>
      <c r="L101" s="1138">
        <f t="shared" si="60"/>
        <v>0</v>
      </c>
      <c r="M101" s="1138"/>
      <c r="N101" s="12">
        <f t="shared" si="58"/>
        <v>0</v>
      </c>
      <c r="O101" s="578">
        <f t="shared" si="59"/>
        <v>0</v>
      </c>
    </row>
    <row r="102" spans="1:15" ht="21.95" hidden="1" customHeight="1" x14ac:dyDescent="0.15">
      <c r="A102" s="2627"/>
      <c r="B102" s="2534"/>
      <c r="C102" s="2676"/>
      <c r="D102" s="543" t="s">
        <v>3</v>
      </c>
      <c r="E102" s="1061"/>
      <c r="F102" s="1558">
        <v>15.45</v>
      </c>
      <c r="G102" s="1138">
        <f t="shared" ref="G102:L102" si="61">IF(G100=0,0,15.45)</f>
        <v>0</v>
      </c>
      <c r="H102" s="1138">
        <f t="shared" si="61"/>
        <v>0</v>
      </c>
      <c r="I102" s="1138">
        <f t="shared" si="61"/>
        <v>0</v>
      </c>
      <c r="J102" s="1138">
        <f t="shared" si="61"/>
        <v>0</v>
      </c>
      <c r="K102" s="1138">
        <f t="shared" si="61"/>
        <v>0</v>
      </c>
      <c r="L102" s="1138">
        <f t="shared" si="61"/>
        <v>0</v>
      </c>
      <c r="M102" s="1138"/>
      <c r="N102" s="12">
        <f t="shared" si="58"/>
        <v>0</v>
      </c>
      <c r="O102" s="578">
        <f t="shared" si="59"/>
        <v>0</v>
      </c>
    </row>
    <row r="103" spans="1:15" ht="21.95" hidden="1" customHeight="1" x14ac:dyDescent="0.15">
      <c r="A103" s="2627"/>
      <c r="B103" s="2534"/>
      <c r="C103" s="2676"/>
      <c r="D103" s="543" t="s">
        <v>1493</v>
      </c>
      <c r="E103" s="1061"/>
      <c r="F103" s="1558">
        <f>45*0.25</f>
        <v>11.25</v>
      </c>
      <c r="G103" s="1138">
        <f t="shared" ref="G103:L103" si="62">IF(G100=0,0,11.25)</f>
        <v>0</v>
      </c>
      <c r="H103" s="1138">
        <f t="shared" si="62"/>
        <v>0</v>
      </c>
      <c r="I103" s="1138">
        <f t="shared" si="62"/>
        <v>0</v>
      </c>
      <c r="J103" s="1138">
        <f t="shared" si="62"/>
        <v>0</v>
      </c>
      <c r="K103" s="1138">
        <f t="shared" si="62"/>
        <v>0</v>
      </c>
      <c r="L103" s="1138">
        <f t="shared" si="62"/>
        <v>0</v>
      </c>
      <c r="M103" s="1138"/>
      <c r="N103" s="12">
        <f t="shared" si="58"/>
        <v>0</v>
      </c>
      <c r="O103" s="578">
        <f t="shared" si="59"/>
        <v>0</v>
      </c>
    </row>
    <row r="104" spans="1:15" ht="21.95" hidden="1" customHeight="1" x14ac:dyDescent="0.15">
      <c r="A104" s="2627"/>
      <c r="B104" s="2534"/>
      <c r="C104" s="2676"/>
      <c r="D104" s="543" t="s">
        <v>1494</v>
      </c>
      <c r="E104" s="1061"/>
      <c r="F104" s="1558">
        <f>53*0.25</f>
        <v>13.25</v>
      </c>
      <c r="G104" s="1138">
        <f t="shared" ref="G104:L104" si="63">IF(G100=0,0,13.25)</f>
        <v>0</v>
      </c>
      <c r="H104" s="1138">
        <f t="shared" si="63"/>
        <v>0</v>
      </c>
      <c r="I104" s="1138">
        <f t="shared" si="63"/>
        <v>0</v>
      </c>
      <c r="J104" s="1138">
        <f t="shared" si="63"/>
        <v>0</v>
      </c>
      <c r="K104" s="1138">
        <f t="shared" si="63"/>
        <v>0</v>
      </c>
      <c r="L104" s="1138">
        <f t="shared" si="63"/>
        <v>0</v>
      </c>
      <c r="M104" s="1138"/>
      <c r="N104" s="12">
        <f t="shared" si="58"/>
        <v>0</v>
      </c>
      <c r="O104" s="578">
        <f t="shared" si="59"/>
        <v>0</v>
      </c>
    </row>
    <row r="105" spans="1:15" ht="21.95" hidden="1" customHeight="1" x14ac:dyDescent="0.15">
      <c r="A105" s="2627"/>
      <c r="B105" s="2534"/>
      <c r="C105" s="2676"/>
      <c r="D105" s="543" t="s">
        <v>1502</v>
      </c>
      <c r="E105" s="1061"/>
      <c r="F105" s="1558">
        <v>15.73</v>
      </c>
      <c r="G105" s="1138">
        <f t="shared" ref="G105:L105" si="64">IF(G100=0,0,15.73)</f>
        <v>0</v>
      </c>
      <c r="H105" s="1138">
        <f t="shared" si="64"/>
        <v>0</v>
      </c>
      <c r="I105" s="1138">
        <f t="shared" si="64"/>
        <v>0</v>
      </c>
      <c r="J105" s="1138">
        <f t="shared" si="64"/>
        <v>0</v>
      </c>
      <c r="K105" s="1138">
        <f t="shared" si="64"/>
        <v>0</v>
      </c>
      <c r="L105" s="1138">
        <f t="shared" si="64"/>
        <v>0</v>
      </c>
      <c r="M105" s="1138"/>
      <c r="N105" s="12">
        <f t="shared" si="58"/>
        <v>0</v>
      </c>
      <c r="O105" s="578">
        <f t="shared" si="59"/>
        <v>0</v>
      </c>
    </row>
    <row r="106" spans="1:15" ht="21.95" hidden="1" customHeight="1" x14ac:dyDescent="0.15">
      <c r="A106" s="2627"/>
      <c r="B106" s="2534"/>
      <c r="C106" s="2676"/>
      <c r="D106" s="546" t="s">
        <v>1484</v>
      </c>
      <c r="E106" s="1061"/>
      <c r="F106" s="1344"/>
      <c r="G106" s="426"/>
      <c r="H106" s="426"/>
      <c r="I106" s="426"/>
      <c r="J106" s="426"/>
      <c r="K106" s="426"/>
      <c r="L106" s="426"/>
      <c r="M106" s="426"/>
      <c r="N106" s="12">
        <f t="shared" si="58"/>
        <v>0</v>
      </c>
      <c r="O106" s="578">
        <f t="shared" si="59"/>
        <v>0</v>
      </c>
    </row>
    <row r="107" spans="1:15" ht="21.95" hidden="1" customHeight="1" x14ac:dyDescent="0.15">
      <c r="A107" s="2627"/>
      <c r="B107" s="2534"/>
      <c r="C107" s="2865" t="s">
        <v>1556</v>
      </c>
      <c r="D107" s="542" t="s">
        <v>60</v>
      </c>
      <c r="E107" s="1063"/>
      <c r="F107" s="1362"/>
      <c r="G107" s="1278"/>
      <c r="H107" s="1278"/>
      <c r="I107" s="1278"/>
      <c r="J107" s="1278"/>
      <c r="K107" s="1278"/>
      <c r="L107" s="1278"/>
      <c r="M107" s="1278"/>
      <c r="N107" s="2346">
        <f t="shared" si="58"/>
        <v>0</v>
      </c>
      <c r="O107" s="578">
        <f t="shared" si="59"/>
        <v>0</v>
      </c>
    </row>
    <row r="108" spans="1:15" ht="21.95" hidden="1" customHeight="1" x14ac:dyDescent="0.15">
      <c r="A108" s="2627"/>
      <c r="B108" s="2534"/>
      <c r="C108" s="2724"/>
      <c r="D108" s="543" t="s">
        <v>29</v>
      </c>
      <c r="E108" s="1061"/>
      <c r="F108" s="1558">
        <v>22.2</v>
      </c>
      <c r="G108" s="1138">
        <f t="shared" ref="G108:L108" si="65">IF(G107=0,0,22.2)</f>
        <v>0</v>
      </c>
      <c r="H108" s="1138">
        <f t="shared" si="65"/>
        <v>0</v>
      </c>
      <c r="I108" s="1138">
        <f t="shared" si="65"/>
        <v>0</v>
      </c>
      <c r="J108" s="1138">
        <f t="shared" si="65"/>
        <v>0</v>
      </c>
      <c r="K108" s="1138">
        <f t="shared" si="65"/>
        <v>0</v>
      </c>
      <c r="L108" s="1138">
        <f t="shared" si="65"/>
        <v>0</v>
      </c>
      <c r="M108" s="1138"/>
      <c r="N108" s="12">
        <f t="shared" si="58"/>
        <v>0</v>
      </c>
      <c r="O108" s="578">
        <f t="shared" si="59"/>
        <v>0</v>
      </c>
    </row>
    <row r="109" spans="1:15" ht="21.95" hidden="1" customHeight="1" x14ac:dyDescent="0.15">
      <c r="A109" s="2627"/>
      <c r="B109" s="2534"/>
      <c r="C109" s="2724"/>
      <c r="D109" s="543" t="s">
        <v>3</v>
      </c>
      <c r="E109" s="1061"/>
      <c r="F109" s="1558">
        <v>7.5</v>
      </c>
      <c r="G109" s="1138">
        <f t="shared" ref="G109:L109" si="66">IF(G107=0,0,7.5)</f>
        <v>0</v>
      </c>
      <c r="H109" s="1138">
        <f t="shared" si="66"/>
        <v>0</v>
      </c>
      <c r="I109" s="1138">
        <f t="shared" si="66"/>
        <v>0</v>
      </c>
      <c r="J109" s="1138">
        <f t="shared" si="66"/>
        <v>0</v>
      </c>
      <c r="K109" s="1138">
        <f t="shared" si="66"/>
        <v>0</v>
      </c>
      <c r="L109" s="1138">
        <f t="shared" si="66"/>
        <v>0</v>
      </c>
      <c r="M109" s="1138"/>
      <c r="N109" s="12">
        <f t="shared" si="58"/>
        <v>0</v>
      </c>
      <c r="O109" s="578">
        <f t="shared" si="59"/>
        <v>0</v>
      </c>
    </row>
    <row r="110" spans="1:15" ht="21.95" hidden="1" customHeight="1" x14ac:dyDescent="0.15">
      <c r="A110" s="2627"/>
      <c r="B110" s="2534"/>
      <c r="C110" s="2724"/>
      <c r="D110" s="543" t="s">
        <v>1493</v>
      </c>
      <c r="E110" s="1061"/>
      <c r="F110" s="1558">
        <f>28*0.25</f>
        <v>7</v>
      </c>
      <c r="G110" s="1138">
        <f t="shared" ref="G110:L110" si="67">IF(G107=0,0,7)</f>
        <v>0</v>
      </c>
      <c r="H110" s="1138">
        <f t="shared" si="67"/>
        <v>0</v>
      </c>
      <c r="I110" s="1138">
        <f t="shared" si="67"/>
        <v>0</v>
      </c>
      <c r="J110" s="1138">
        <f t="shared" si="67"/>
        <v>0</v>
      </c>
      <c r="K110" s="1138">
        <f t="shared" si="67"/>
        <v>0</v>
      </c>
      <c r="L110" s="1138">
        <f t="shared" si="67"/>
        <v>0</v>
      </c>
      <c r="M110" s="1138"/>
      <c r="N110" s="12">
        <f t="shared" si="58"/>
        <v>0</v>
      </c>
      <c r="O110" s="578">
        <f t="shared" si="59"/>
        <v>0</v>
      </c>
    </row>
    <row r="111" spans="1:15" ht="21.95" hidden="1" customHeight="1" x14ac:dyDescent="0.15">
      <c r="A111" s="2627"/>
      <c r="B111" s="2534"/>
      <c r="C111" s="2724"/>
      <c r="D111" s="543" t="s">
        <v>1494</v>
      </c>
      <c r="E111" s="1061"/>
      <c r="F111" s="1558">
        <f>26*0.25</f>
        <v>6.5</v>
      </c>
      <c r="G111" s="1138">
        <f t="shared" ref="G111:L111" si="68">IF(G107=0,0,6.5)</f>
        <v>0</v>
      </c>
      <c r="H111" s="1138">
        <f t="shared" si="68"/>
        <v>0</v>
      </c>
      <c r="I111" s="1138">
        <f t="shared" si="68"/>
        <v>0</v>
      </c>
      <c r="J111" s="1138">
        <f t="shared" si="68"/>
        <v>0</v>
      </c>
      <c r="K111" s="1138">
        <f t="shared" si="68"/>
        <v>0</v>
      </c>
      <c r="L111" s="1138">
        <f t="shared" si="68"/>
        <v>0</v>
      </c>
      <c r="M111" s="1138"/>
      <c r="N111" s="12">
        <f t="shared" si="58"/>
        <v>0</v>
      </c>
      <c r="O111" s="578">
        <f t="shared" si="59"/>
        <v>0</v>
      </c>
    </row>
    <row r="112" spans="1:15" ht="21.95" hidden="1" customHeight="1" x14ac:dyDescent="0.15">
      <c r="A112" s="2627"/>
      <c r="B112" s="2534"/>
      <c r="C112" s="2724"/>
      <c r="D112" s="543" t="s">
        <v>1502</v>
      </c>
      <c r="E112" s="1061"/>
      <c r="F112" s="1558">
        <v>13.26</v>
      </c>
      <c r="G112" s="1138">
        <f t="shared" ref="G112:L112" si="69">IF(G107=0,0,13.26)</f>
        <v>0</v>
      </c>
      <c r="H112" s="1138">
        <f t="shared" si="69"/>
        <v>0</v>
      </c>
      <c r="I112" s="1138">
        <f t="shared" si="69"/>
        <v>0</v>
      </c>
      <c r="J112" s="1138">
        <f t="shared" si="69"/>
        <v>0</v>
      </c>
      <c r="K112" s="1138">
        <f t="shared" si="69"/>
        <v>0</v>
      </c>
      <c r="L112" s="1138">
        <f t="shared" si="69"/>
        <v>0</v>
      </c>
      <c r="M112" s="1138"/>
      <c r="N112" s="12">
        <f t="shared" si="58"/>
        <v>0</v>
      </c>
      <c r="O112" s="578">
        <f t="shared" si="59"/>
        <v>0</v>
      </c>
    </row>
    <row r="113" spans="1:15" ht="21.95" hidden="1" customHeight="1" x14ac:dyDescent="0.15">
      <c r="A113" s="2627"/>
      <c r="B113" s="2534"/>
      <c r="C113" s="2863"/>
      <c r="D113" s="543" t="s">
        <v>1484</v>
      </c>
      <c r="E113" s="1062"/>
      <c r="F113" s="1361"/>
      <c r="G113" s="1277"/>
      <c r="H113" s="1277"/>
      <c r="I113" s="1277"/>
      <c r="J113" s="1277"/>
      <c r="K113" s="1277"/>
      <c r="L113" s="1277"/>
      <c r="M113" s="1277"/>
      <c r="N113" s="1276">
        <f t="shared" si="58"/>
        <v>0</v>
      </c>
      <c r="O113" s="578">
        <f t="shared" si="59"/>
        <v>0</v>
      </c>
    </row>
    <row r="114" spans="1:15" ht="21.95" hidden="1" customHeight="1" x14ac:dyDescent="0.15">
      <c r="A114" s="2627"/>
      <c r="B114" s="2534"/>
      <c r="C114" s="2729" t="s">
        <v>1557</v>
      </c>
      <c r="D114" s="542" t="s">
        <v>60</v>
      </c>
      <c r="E114" s="1063"/>
      <c r="F114" s="1362"/>
      <c r="G114" s="1278"/>
      <c r="H114" s="1278"/>
      <c r="I114" s="1278"/>
      <c r="J114" s="1278"/>
      <c r="K114" s="1278"/>
      <c r="L114" s="1278"/>
      <c r="M114" s="1278"/>
      <c r="N114" s="12">
        <f t="shared" si="58"/>
        <v>0</v>
      </c>
      <c r="O114" s="578">
        <f t="shared" si="59"/>
        <v>0</v>
      </c>
    </row>
    <row r="115" spans="1:15" ht="21.95" hidden="1" customHeight="1" x14ac:dyDescent="0.15">
      <c r="A115" s="2627"/>
      <c r="B115" s="2534"/>
      <c r="C115" s="2676"/>
      <c r="D115" s="543" t="s">
        <v>29</v>
      </c>
      <c r="E115" s="1061"/>
      <c r="F115" s="1558">
        <v>6.26</v>
      </c>
      <c r="G115" s="1138"/>
      <c r="H115" s="1138"/>
      <c r="I115" s="1138"/>
      <c r="J115" s="1138"/>
      <c r="K115" s="1138"/>
      <c r="L115" s="1138"/>
      <c r="M115" s="1138"/>
      <c r="N115" s="12">
        <f t="shared" si="58"/>
        <v>0</v>
      </c>
      <c r="O115" s="578">
        <f t="shared" si="59"/>
        <v>0</v>
      </c>
    </row>
    <row r="116" spans="1:15" ht="21.95" hidden="1" customHeight="1" x14ac:dyDescent="0.15">
      <c r="A116" s="2627"/>
      <c r="B116" s="2534"/>
      <c r="C116" s="2676"/>
      <c r="D116" s="543" t="s">
        <v>3</v>
      </c>
      <c r="E116" s="1061"/>
      <c r="F116" s="1558">
        <v>7.5</v>
      </c>
      <c r="G116" s="1138">
        <f t="shared" ref="G116:L116" si="70">IF(G114=0,0,7.5)</f>
        <v>0</v>
      </c>
      <c r="H116" s="1138">
        <f t="shared" si="70"/>
        <v>0</v>
      </c>
      <c r="I116" s="1138">
        <f t="shared" si="70"/>
        <v>0</v>
      </c>
      <c r="J116" s="1138">
        <f t="shared" si="70"/>
        <v>0</v>
      </c>
      <c r="K116" s="1138">
        <f t="shared" si="70"/>
        <v>0</v>
      </c>
      <c r="L116" s="1138">
        <f t="shared" si="70"/>
        <v>0</v>
      </c>
      <c r="M116" s="1138"/>
      <c r="N116" s="12">
        <f t="shared" si="58"/>
        <v>0</v>
      </c>
      <c r="O116" s="578">
        <f t="shared" si="59"/>
        <v>0</v>
      </c>
    </row>
    <row r="117" spans="1:15" ht="21.95" hidden="1" customHeight="1" x14ac:dyDescent="0.15">
      <c r="A117" s="2627"/>
      <c r="B117" s="2534"/>
      <c r="C117" s="2676"/>
      <c r="D117" s="543" t="s">
        <v>1493</v>
      </c>
      <c r="E117" s="1061"/>
      <c r="F117" s="1558">
        <f>9*0.25</f>
        <v>2.25</v>
      </c>
      <c r="G117" s="1138">
        <f t="shared" ref="G117:L117" si="71">IF(G114=0,0,2.25)</f>
        <v>0</v>
      </c>
      <c r="H117" s="1138">
        <f t="shared" si="71"/>
        <v>0</v>
      </c>
      <c r="I117" s="1138">
        <f t="shared" si="71"/>
        <v>0</v>
      </c>
      <c r="J117" s="1138">
        <f t="shared" si="71"/>
        <v>0</v>
      </c>
      <c r="K117" s="1138">
        <f t="shared" si="71"/>
        <v>0</v>
      </c>
      <c r="L117" s="1138">
        <f t="shared" si="71"/>
        <v>0</v>
      </c>
      <c r="M117" s="1138"/>
      <c r="N117" s="12">
        <f t="shared" si="58"/>
        <v>0</v>
      </c>
      <c r="O117" s="578">
        <f t="shared" si="59"/>
        <v>0</v>
      </c>
    </row>
    <row r="118" spans="1:15" ht="21.95" hidden="1" customHeight="1" x14ac:dyDescent="0.15">
      <c r="A118" s="2627"/>
      <c r="B118" s="2534"/>
      <c r="C118" s="2676"/>
      <c r="D118" s="543" t="s">
        <v>1494</v>
      </c>
      <c r="E118" s="1061"/>
      <c r="F118" s="1558">
        <f>6*0.25</f>
        <v>1.5</v>
      </c>
      <c r="G118" s="1138">
        <f t="shared" ref="G118:L118" si="72">IF(G114=0,0,1.5)</f>
        <v>0</v>
      </c>
      <c r="H118" s="1138">
        <f t="shared" si="72"/>
        <v>0</v>
      </c>
      <c r="I118" s="1138">
        <f t="shared" si="72"/>
        <v>0</v>
      </c>
      <c r="J118" s="1138">
        <f t="shared" si="72"/>
        <v>0</v>
      </c>
      <c r="K118" s="1138">
        <f t="shared" si="72"/>
        <v>0</v>
      </c>
      <c r="L118" s="1138">
        <f t="shared" si="72"/>
        <v>0</v>
      </c>
      <c r="M118" s="1138"/>
      <c r="N118" s="12">
        <f t="shared" si="58"/>
        <v>0</v>
      </c>
      <c r="O118" s="578">
        <f t="shared" si="59"/>
        <v>0</v>
      </c>
    </row>
    <row r="119" spans="1:15" ht="21.95" hidden="1" customHeight="1" x14ac:dyDescent="0.15">
      <c r="A119" s="2627"/>
      <c r="B119" s="2534"/>
      <c r="C119" s="2676"/>
      <c r="D119" s="543" t="s">
        <v>1502</v>
      </c>
      <c r="E119" s="1061"/>
      <c r="F119" s="1558">
        <v>9</v>
      </c>
      <c r="G119" s="1138">
        <f t="shared" ref="G119:L119" si="73">IF(G114=0,0,9)</f>
        <v>0</v>
      </c>
      <c r="H119" s="1138">
        <f t="shared" si="73"/>
        <v>0</v>
      </c>
      <c r="I119" s="1138">
        <f t="shared" si="73"/>
        <v>0</v>
      </c>
      <c r="J119" s="1138">
        <f t="shared" si="73"/>
        <v>0</v>
      </c>
      <c r="K119" s="1138">
        <f t="shared" si="73"/>
        <v>0</v>
      </c>
      <c r="L119" s="1138">
        <f t="shared" si="73"/>
        <v>0</v>
      </c>
      <c r="M119" s="1138"/>
      <c r="N119" s="12">
        <f t="shared" si="58"/>
        <v>0</v>
      </c>
      <c r="O119" s="578">
        <f t="shared" si="59"/>
        <v>0</v>
      </c>
    </row>
    <row r="120" spans="1:15" ht="21.95" hidden="1" customHeight="1" x14ac:dyDescent="0.15">
      <c r="A120" s="2627"/>
      <c r="B120" s="2534"/>
      <c r="C120" s="2730"/>
      <c r="D120" s="543" t="s">
        <v>1484</v>
      </c>
      <c r="E120" s="1062"/>
      <c r="F120" s="1361"/>
      <c r="G120" s="1277"/>
      <c r="H120" s="1277"/>
      <c r="I120" s="1277"/>
      <c r="J120" s="1277"/>
      <c r="K120" s="1277"/>
      <c r="L120" s="1277"/>
      <c r="M120" s="1277"/>
      <c r="N120" s="1276">
        <f t="shared" si="58"/>
        <v>0</v>
      </c>
      <c r="O120" s="578">
        <f t="shared" si="59"/>
        <v>0</v>
      </c>
    </row>
    <row r="121" spans="1:15" ht="21.95" hidden="1" customHeight="1" x14ac:dyDescent="0.15">
      <c r="A121" s="2627"/>
      <c r="B121" s="2534"/>
      <c r="C121" s="2729" t="s">
        <v>1558</v>
      </c>
      <c r="D121" s="542" t="s">
        <v>60</v>
      </c>
      <c r="E121" s="1063"/>
      <c r="F121" s="1362"/>
      <c r="G121" s="1278"/>
      <c r="H121" s="1278"/>
      <c r="I121" s="1278"/>
      <c r="J121" s="1278"/>
      <c r="K121" s="1278"/>
      <c r="L121" s="1278"/>
      <c r="M121" s="1278"/>
      <c r="N121" s="12">
        <f t="shared" si="58"/>
        <v>0</v>
      </c>
      <c r="O121" s="578">
        <f t="shared" si="59"/>
        <v>0</v>
      </c>
    </row>
    <row r="122" spans="1:15" ht="21.95" hidden="1" customHeight="1" x14ac:dyDescent="0.15">
      <c r="A122" s="2627"/>
      <c r="B122" s="2534"/>
      <c r="C122" s="2676"/>
      <c r="D122" s="543" t="s">
        <v>29</v>
      </c>
      <c r="E122" s="1061"/>
      <c r="F122" s="1558">
        <v>3.57</v>
      </c>
      <c r="G122" s="1138">
        <f t="shared" ref="G122:L122" si="74">IF(G121=0,0,3.57)</f>
        <v>0</v>
      </c>
      <c r="H122" s="1138">
        <f t="shared" si="74"/>
        <v>0</v>
      </c>
      <c r="I122" s="1138">
        <f t="shared" si="74"/>
        <v>0</v>
      </c>
      <c r="J122" s="1138">
        <f t="shared" si="74"/>
        <v>0</v>
      </c>
      <c r="K122" s="1138">
        <f t="shared" si="74"/>
        <v>0</v>
      </c>
      <c r="L122" s="1138">
        <f t="shared" si="74"/>
        <v>0</v>
      </c>
      <c r="M122" s="1138"/>
      <c r="N122" s="12">
        <f t="shared" si="58"/>
        <v>0</v>
      </c>
      <c r="O122" s="578">
        <f t="shared" si="59"/>
        <v>0</v>
      </c>
    </row>
    <row r="123" spans="1:15" ht="21.95" hidden="1" customHeight="1" x14ac:dyDescent="0.15">
      <c r="A123" s="2627"/>
      <c r="B123" s="2534"/>
      <c r="C123" s="2676"/>
      <c r="D123" s="543" t="s">
        <v>3</v>
      </c>
      <c r="E123" s="1061"/>
      <c r="F123" s="1558">
        <v>3.25</v>
      </c>
      <c r="G123" s="1138">
        <f t="shared" ref="G123:L123" si="75">IF(G121=0,0,3.25)</f>
        <v>0</v>
      </c>
      <c r="H123" s="1138">
        <f t="shared" si="75"/>
        <v>0</v>
      </c>
      <c r="I123" s="1138">
        <f t="shared" si="75"/>
        <v>0</v>
      </c>
      <c r="J123" s="1138">
        <f t="shared" si="75"/>
        <v>0</v>
      </c>
      <c r="K123" s="1138">
        <f t="shared" si="75"/>
        <v>0</v>
      </c>
      <c r="L123" s="1138">
        <f t="shared" si="75"/>
        <v>0</v>
      </c>
      <c r="M123" s="1138"/>
      <c r="N123" s="12">
        <f t="shared" si="58"/>
        <v>0</v>
      </c>
      <c r="O123" s="578">
        <f t="shared" si="59"/>
        <v>0</v>
      </c>
    </row>
    <row r="124" spans="1:15" ht="21.95" hidden="1" customHeight="1" x14ac:dyDescent="0.15">
      <c r="A124" s="2627"/>
      <c r="B124" s="2534"/>
      <c r="C124" s="2676"/>
      <c r="D124" s="543" t="s">
        <v>1493</v>
      </c>
      <c r="E124" s="1061"/>
      <c r="F124" s="1558">
        <f>6*0.25</f>
        <v>1.5</v>
      </c>
      <c r="G124" s="1138">
        <f t="shared" ref="G124:L124" si="76">IF(G121=0,0,1.5)</f>
        <v>0</v>
      </c>
      <c r="H124" s="1138">
        <f t="shared" si="76"/>
        <v>0</v>
      </c>
      <c r="I124" s="1138">
        <f t="shared" si="76"/>
        <v>0</v>
      </c>
      <c r="J124" s="1138">
        <f t="shared" si="76"/>
        <v>0</v>
      </c>
      <c r="K124" s="1138">
        <f t="shared" si="76"/>
        <v>0</v>
      </c>
      <c r="L124" s="1138">
        <f t="shared" si="76"/>
        <v>0</v>
      </c>
      <c r="M124" s="1138"/>
      <c r="N124" s="12">
        <f t="shared" si="58"/>
        <v>0</v>
      </c>
      <c r="O124" s="578">
        <f t="shared" si="59"/>
        <v>0</v>
      </c>
    </row>
    <row r="125" spans="1:15" ht="21.95" hidden="1" customHeight="1" x14ac:dyDescent="0.15">
      <c r="A125" s="2627"/>
      <c r="B125" s="2534"/>
      <c r="C125" s="2676"/>
      <c r="D125" s="543" t="s">
        <v>1494</v>
      </c>
      <c r="E125" s="1061"/>
      <c r="F125" s="1558">
        <f>5*0.25</f>
        <v>1.25</v>
      </c>
      <c r="G125" s="1138">
        <f t="shared" ref="G125:L125" si="77">IF(G121=0,0,1.25)</f>
        <v>0</v>
      </c>
      <c r="H125" s="1138">
        <f t="shared" si="77"/>
        <v>0</v>
      </c>
      <c r="I125" s="1138">
        <f t="shared" si="77"/>
        <v>0</v>
      </c>
      <c r="J125" s="1138">
        <f t="shared" si="77"/>
        <v>0</v>
      </c>
      <c r="K125" s="1138">
        <f t="shared" si="77"/>
        <v>0</v>
      </c>
      <c r="L125" s="1138">
        <f t="shared" si="77"/>
        <v>0</v>
      </c>
      <c r="M125" s="1138"/>
      <c r="N125" s="12">
        <f t="shared" si="58"/>
        <v>0</v>
      </c>
      <c r="O125" s="578">
        <f t="shared" si="59"/>
        <v>0</v>
      </c>
    </row>
    <row r="126" spans="1:15" ht="21.95" hidden="1" customHeight="1" x14ac:dyDescent="0.15">
      <c r="A126" s="2627"/>
      <c r="B126" s="2534"/>
      <c r="C126" s="2676"/>
      <c r="D126" s="543" t="s">
        <v>1502</v>
      </c>
      <c r="E126" s="1061"/>
      <c r="F126" s="1558">
        <v>6.37</v>
      </c>
      <c r="G126" s="1138">
        <f t="shared" ref="G126:L126" si="78">IF(G121=0,0,6.37)</f>
        <v>0</v>
      </c>
      <c r="H126" s="1138">
        <f t="shared" si="78"/>
        <v>0</v>
      </c>
      <c r="I126" s="1138">
        <f t="shared" si="78"/>
        <v>0</v>
      </c>
      <c r="J126" s="1138">
        <f t="shared" si="78"/>
        <v>0</v>
      </c>
      <c r="K126" s="1138">
        <f t="shared" si="78"/>
        <v>0</v>
      </c>
      <c r="L126" s="1138">
        <f t="shared" si="78"/>
        <v>0</v>
      </c>
      <c r="M126" s="1138"/>
      <c r="N126" s="12">
        <f t="shared" si="58"/>
        <v>0</v>
      </c>
      <c r="O126" s="578">
        <f t="shared" si="59"/>
        <v>0</v>
      </c>
    </row>
    <row r="127" spans="1:15" ht="21.95" hidden="1" customHeight="1" x14ac:dyDescent="0.15">
      <c r="A127" s="2627"/>
      <c r="B127" s="2534"/>
      <c r="C127" s="2730"/>
      <c r="D127" s="543" t="s">
        <v>1484</v>
      </c>
      <c r="E127" s="1062"/>
      <c r="F127" s="1361"/>
      <c r="G127" s="1277"/>
      <c r="H127" s="1277"/>
      <c r="I127" s="1277"/>
      <c r="J127" s="1277"/>
      <c r="K127" s="1277"/>
      <c r="L127" s="1277"/>
      <c r="M127" s="1277"/>
      <c r="N127" s="1276">
        <f t="shared" si="58"/>
        <v>0</v>
      </c>
      <c r="O127" s="578">
        <f t="shared" si="59"/>
        <v>0</v>
      </c>
    </row>
    <row r="128" spans="1:15" ht="21.95" hidden="1" customHeight="1" x14ac:dyDescent="0.15">
      <c r="A128" s="2627"/>
      <c r="B128" s="2534"/>
      <c r="C128" s="2729" t="s">
        <v>1569</v>
      </c>
      <c r="D128" s="542" t="s">
        <v>60</v>
      </c>
      <c r="E128" s="1063"/>
      <c r="F128" s="1362"/>
      <c r="G128" s="1278"/>
      <c r="H128" s="1278"/>
      <c r="I128" s="1278"/>
      <c r="J128" s="1278"/>
      <c r="K128" s="1278"/>
      <c r="L128" s="1278"/>
      <c r="M128" s="1278"/>
      <c r="N128" s="12">
        <f t="shared" si="58"/>
        <v>0</v>
      </c>
      <c r="O128" s="578">
        <f t="shared" si="59"/>
        <v>0</v>
      </c>
    </row>
    <row r="129" spans="1:42" ht="21.95" hidden="1" customHeight="1" x14ac:dyDescent="0.15">
      <c r="A129" s="2627"/>
      <c r="B129" s="2534"/>
      <c r="C129" s="2676"/>
      <c r="D129" s="543" t="s">
        <v>58</v>
      </c>
      <c r="E129" s="1061"/>
      <c r="F129" s="1344"/>
      <c r="G129" s="1201"/>
      <c r="H129" s="1201"/>
      <c r="I129" s="1201"/>
      <c r="J129" s="1201"/>
      <c r="K129" s="1201"/>
      <c r="L129" s="1201"/>
      <c r="M129" s="1201"/>
      <c r="N129" s="12"/>
      <c r="O129" s="578">
        <f t="shared" si="59"/>
        <v>0</v>
      </c>
    </row>
    <row r="130" spans="1:42" ht="21.95" hidden="1" customHeight="1" x14ac:dyDescent="0.15">
      <c r="A130" s="2627"/>
      <c r="B130" s="2534"/>
      <c r="C130" s="2676"/>
      <c r="D130" s="543" t="s">
        <v>3</v>
      </c>
      <c r="E130" s="1061"/>
      <c r="F130" s="1344"/>
      <c r="G130" s="1201"/>
      <c r="H130" s="1201"/>
      <c r="I130" s="1201"/>
      <c r="J130" s="1201"/>
      <c r="K130" s="1201"/>
      <c r="L130" s="1201"/>
      <c r="M130" s="1201"/>
      <c r="N130" s="12">
        <f t="shared" ref="N130:N136" si="79">TRUNC(SUM(G130:M130),2)</f>
        <v>0</v>
      </c>
      <c r="O130" s="578">
        <f t="shared" si="59"/>
        <v>0</v>
      </c>
    </row>
    <row r="131" spans="1:42" ht="21.95" hidden="1" customHeight="1" x14ac:dyDescent="0.15">
      <c r="A131" s="2627"/>
      <c r="B131" s="2534"/>
      <c r="C131" s="2676"/>
      <c r="D131" s="543" t="s">
        <v>29</v>
      </c>
      <c r="E131" s="1061"/>
      <c r="F131" s="1344"/>
      <c r="G131" s="1138">
        <f t="shared" ref="G131:L131" si="80">G130*G129*G128</f>
        <v>0</v>
      </c>
      <c r="H131" s="1138">
        <f t="shared" si="80"/>
        <v>0</v>
      </c>
      <c r="I131" s="1138">
        <f t="shared" si="80"/>
        <v>0</v>
      </c>
      <c r="J131" s="1138">
        <f t="shared" si="80"/>
        <v>0</v>
      </c>
      <c r="K131" s="1138">
        <f t="shared" si="80"/>
        <v>0</v>
      </c>
      <c r="L131" s="1138">
        <f t="shared" si="80"/>
        <v>0</v>
      </c>
      <c r="M131" s="1138"/>
      <c r="N131" s="12">
        <f t="shared" si="79"/>
        <v>0</v>
      </c>
      <c r="O131" s="578">
        <f t="shared" ref="O131:O143" si="81">SUM(G131:N131)</f>
        <v>0</v>
      </c>
    </row>
    <row r="132" spans="1:42" ht="21.95" hidden="1" customHeight="1" x14ac:dyDescent="0.15">
      <c r="A132" s="2627"/>
      <c r="B132" s="2534"/>
      <c r="C132" s="2676"/>
      <c r="D132" s="543" t="s">
        <v>1493</v>
      </c>
      <c r="E132" s="1061"/>
      <c r="F132" s="1344"/>
      <c r="G132" s="1201"/>
      <c r="H132" s="1201"/>
      <c r="I132" s="1201"/>
      <c r="J132" s="1201"/>
      <c r="K132" s="1201"/>
      <c r="L132" s="1201"/>
      <c r="M132" s="1201"/>
      <c r="N132" s="12">
        <f t="shared" si="79"/>
        <v>0</v>
      </c>
      <c r="O132" s="578">
        <f t="shared" si="81"/>
        <v>0</v>
      </c>
    </row>
    <row r="133" spans="1:42" ht="21.95" hidden="1" customHeight="1" x14ac:dyDescent="0.15">
      <c r="A133" s="2627"/>
      <c r="B133" s="2534"/>
      <c r="C133" s="2676"/>
      <c r="D133" s="543" t="s">
        <v>1494</v>
      </c>
      <c r="E133" s="1061"/>
      <c r="F133" s="1344"/>
      <c r="G133" s="1201"/>
      <c r="H133" s="1201"/>
      <c r="I133" s="1201"/>
      <c r="J133" s="1201"/>
      <c r="K133" s="1201"/>
      <c r="L133" s="1201"/>
      <c r="M133" s="1201"/>
      <c r="N133" s="12">
        <f t="shared" si="79"/>
        <v>0</v>
      </c>
      <c r="O133" s="578">
        <f t="shared" si="81"/>
        <v>0</v>
      </c>
    </row>
    <row r="134" spans="1:42" ht="21.95" hidden="1" customHeight="1" x14ac:dyDescent="0.15">
      <c r="A134" s="2627"/>
      <c r="B134" s="2534"/>
      <c r="C134" s="2676"/>
      <c r="D134" s="543" t="s">
        <v>1502</v>
      </c>
      <c r="E134" s="1061"/>
      <c r="F134" s="1344"/>
      <c r="G134" s="1201"/>
      <c r="H134" s="1201"/>
      <c r="I134" s="1201"/>
      <c r="J134" s="1201"/>
      <c r="K134" s="1201"/>
      <c r="L134" s="1201"/>
      <c r="M134" s="1201"/>
      <c r="N134" s="12">
        <f t="shared" si="79"/>
        <v>0</v>
      </c>
      <c r="O134" s="578">
        <f t="shared" si="81"/>
        <v>0</v>
      </c>
      <c r="W134" s="47"/>
      <c r="X134" s="47"/>
      <c r="Y134" s="47"/>
      <c r="Z134" s="47"/>
      <c r="AA134" s="47"/>
      <c r="AB134" s="47"/>
      <c r="AC134" s="47"/>
      <c r="AD134" s="47"/>
      <c r="AE134" s="47"/>
      <c r="AF134" s="47"/>
      <c r="AG134" s="47"/>
      <c r="AH134" s="47"/>
      <c r="AI134" s="47"/>
      <c r="AJ134" s="47"/>
      <c r="AK134" s="47"/>
      <c r="AL134" s="47"/>
      <c r="AM134" s="47"/>
      <c r="AN134" s="47"/>
      <c r="AO134" s="47"/>
      <c r="AP134" s="47"/>
    </row>
    <row r="135" spans="1:42" ht="21.95" hidden="1" customHeight="1" x14ac:dyDescent="0.15">
      <c r="A135" s="2627"/>
      <c r="B135" s="2534"/>
      <c r="C135" s="2730"/>
      <c r="D135" s="543" t="s">
        <v>1484</v>
      </c>
      <c r="E135" s="1062"/>
      <c r="F135" s="1361"/>
      <c r="G135" s="1277"/>
      <c r="H135" s="1277"/>
      <c r="I135" s="1277"/>
      <c r="J135" s="1277"/>
      <c r="K135" s="1277"/>
      <c r="L135" s="1277"/>
      <c r="M135" s="1277"/>
      <c r="N135" s="1276">
        <f t="shared" si="79"/>
        <v>0</v>
      </c>
      <c r="O135" s="578">
        <f t="shared" si="81"/>
        <v>0</v>
      </c>
      <c r="W135" s="47"/>
      <c r="X135" s="47"/>
      <c r="Y135" s="47"/>
      <c r="Z135" s="47"/>
      <c r="AA135" s="47"/>
      <c r="AB135" s="47"/>
      <c r="AC135" s="47"/>
      <c r="AD135" s="47"/>
      <c r="AE135" s="47"/>
      <c r="AF135" s="47"/>
      <c r="AG135" s="47"/>
      <c r="AH135" s="47"/>
      <c r="AI135" s="47"/>
      <c r="AJ135" s="47"/>
      <c r="AK135" s="47"/>
      <c r="AL135" s="47"/>
      <c r="AM135" s="47"/>
      <c r="AN135" s="47"/>
      <c r="AO135" s="47"/>
      <c r="AP135" s="47"/>
    </row>
    <row r="136" spans="1:42" ht="21.95" hidden="1" customHeight="1" x14ac:dyDescent="0.15">
      <c r="A136" s="2627"/>
      <c r="B136" s="2534"/>
      <c r="C136" s="2676" t="s">
        <v>1487</v>
      </c>
      <c r="D136" s="543" t="s">
        <v>60</v>
      </c>
      <c r="E136" s="1061"/>
      <c r="F136" s="1344"/>
      <c r="G136" s="426"/>
      <c r="H136" s="426"/>
      <c r="I136" s="426"/>
      <c r="J136" s="426"/>
      <c r="K136" s="426"/>
      <c r="L136" s="426"/>
      <c r="M136" s="426"/>
      <c r="N136" s="12">
        <f t="shared" si="79"/>
        <v>0</v>
      </c>
      <c r="O136" s="578">
        <f t="shared" si="81"/>
        <v>0</v>
      </c>
      <c r="W136" s="47"/>
      <c r="X136" s="47"/>
      <c r="Y136" s="47"/>
      <c r="Z136" s="47"/>
      <c r="AA136" s="47"/>
      <c r="AB136" s="47"/>
      <c r="AC136" s="47"/>
      <c r="AD136" s="47"/>
      <c r="AE136" s="47"/>
      <c r="AF136" s="47"/>
      <c r="AG136" s="47"/>
      <c r="AH136" s="47"/>
      <c r="AI136" s="47"/>
      <c r="AJ136" s="47"/>
      <c r="AK136" s="47"/>
      <c r="AL136" s="47"/>
      <c r="AM136" s="47"/>
      <c r="AN136" s="47"/>
      <c r="AO136" s="47"/>
      <c r="AP136" s="47"/>
    </row>
    <row r="137" spans="1:42" ht="21.95" hidden="1" customHeight="1" x14ac:dyDescent="0.15">
      <c r="A137" s="2627"/>
      <c r="B137" s="2534"/>
      <c r="C137" s="2676"/>
      <c r="D137" s="543" t="s">
        <v>58</v>
      </c>
      <c r="E137" s="1061"/>
      <c r="F137" s="1344"/>
      <c r="G137" s="1201"/>
      <c r="H137" s="1201"/>
      <c r="I137" s="1201"/>
      <c r="J137" s="1201"/>
      <c r="K137" s="1201"/>
      <c r="L137" s="1201"/>
      <c r="M137" s="1201"/>
      <c r="N137" s="12"/>
      <c r="O137" s="578">
        <f t="shared" si="81"/>
        <v>0</v>
      </c>
      <c r="W137" s="47"/>
      <c r="X137" s="47"/>
      <c r="Y137" s="47"/>
      <c r="Z137" s="47"/>
      <c r="AA137" s="47"/>
      <c r="AB137" s="47"/>
      <c r="AC137" s="47"/>
      <c r="AD137" s="47"/>
      <c r="AE137" s="47"/>
      <c r="AF137" s="47"/>
      <c r="AG137" s="47"/>
      <c r="AH137" s="47"/>
      <c r="AI137" s="47"/>
      <c r="AJ137" s="47"/>
      <c r="AK137" s="47"/>
      <c r="AL137" s="47"/>
      <c r="AM137" s="47"/>
      <c r="AN137" s="47"/>
      <c r="AO137" s="47"/>
      <c r="AP137" s="47"/>
    </row>
    <row r="138" spans="1:42" ht="21.95" hidden="1" customHeight="1" x14ac:dyDescent="0.15">
      <c r="A138" s="2627"/>
      <c r="B138" s="2534"/>
      <c r="C138" s="2676"/>
      <c r="D138" s="543" t="s">
        <v>3</v>
      </c>
      <c r="E138" s="1061"/>
      <c r="F138" s="1344"/>
      <c r="G138" s="1201"/>
      <c r="H138" s="1201"/>
      <c r="I138" s="1201"/>
      <c r="J138" s="1201"/>
      <c r="K138" s="1201"/>
      <c r="L138" s="1201"/>
      <c r="M138" s="1201"/>
      <c r="N138" s="12">
        <f t="shared" ref="N138:N153" si="82">TRUNC(SUM(G138:M138),2)</f>
        <v>0</v>
      </c>
      <c r="O138" s="578">
        <f t="shared" si="81"/>
        <v>0</v>
      </c>
      <c r="W138" s="47"/>
      <c r="X138" s="47"/>
      <c r="Y138" s="47"/>
      <c r="Z138" s="47"/>
      <c r="AA138" s="47"/>
      <c r="AB138" s="47"/>
      <c r="AC138" s="47"/>
      <c r="AD138" s="47"/>
      <c r="AE138" s="47"/>
      <c r="AF138" s="47"/>
      <c r="AG138" s="47"/>
      <c r="AH138" s="47"/>
      <c r="AI138" s="47"/>
      <c r="AJ138" s="47"/>
      <c r="AK138" s="47"/>
      <c r="AL138" s="47"/>
      <c r="AM138" s="47"/>
      <c r="AN138" s="47"/>
      <c r="AO138" s="47"/>
      <c r="AP138" s="47"/>
    </row>
    <row r="139" spans="1:42" ht="21.95" hidden="1" customHeight="1" x14ac:dyDescent="0.15">
      <c r="A139" s="2627"/>
      <c r="B139" s="2534"/>
      <c r="C139" s="2676"/>
      <c r="D139" s="543" t="s">
        <v>29</v>
      </c>
      <c r="E139" s="1061"/>
      <c r="F139" s="1344"/>
      <c r="G139" s="1138">
        <f t="shared" ref="G139:L139" si="83">G138*G137*G136</f>
        <v>0</v>
      </c>
      <c r="H139" s="1138">
        <f t="shared" si="83"/>
        <v>0</v>
      </c>
      <c r="I139" s="1138">
        <f t="shared" si="83"/>
        <v>0</v>
      </c>
      <c r="J139" s="1138">
        <f t="shared" si="83"/>
        <v>0</v>
      </c>
      <c r="K139" s="1138">
        <f t="shared" si="83"/>
        <v>0</v>
      </c>
      <c r="L139" s="1138">
        <f t="shared" si="83"/>
        <v>0</v>
      </c>
      <c r="M139" s="1138"/>
      <c r="N139" s="12">
        <f t="shared" si="82"/>
        <v>0</v>
      </c>
      <c r="O139" s="578">
        <f t="shared" si="81"/>
        <v>0</v>
      </c>
      <c r="W139" s="47"/>
      <c r="X139" s="47"/>
      <c r="Y139" s="47"/>
      <c r="Z139" s="47"/>
      <c r="AA139" s="47"/>
      <c r="AB139" s="47"/>
      <c r="AC139" s="47"/>
      <c r="AD139" s="47"/>
      <c r="AE139" s="47"/>
      <c r="AF139" s="47"/>
      <c r="AG139" s="47"/>
      <c r="AH139" s="47"/>
      <c r="AI139" s="47"/>
      <c r="AJ139" s="47"/>
      <c r="AK139" s="47"/>
      <c r="AL139" s="47"/>
      <c r="AM139" s="47"/>
      <c r="AN139" s="47"/>
      <c r="AO139" s="47"/>
      <c r="AP139" s="47"/>
    </row>
    <row r="140" spans="1:42" ht="21.95" hidden="1" customHeight="1" x14ac:dyDescent="0.15">
      <c r="A140" s="2627"/>
      <c r="B140" s="2534"/>
      <c r="C140" s="2676"/>
      <c r="D140" s="543" t="s">
        <v>1493</v>
      </c>
      <c r="E140" s="1061"/>
      <c r="F140" s="1344"/>
      <c r="G140" s="1138">
        <f t="shared" ref="G140:L140" si="84">G138</f>
        <v>0</v>
      </c>
      <c r="H140" s="1138">
        <f t="shared" si="84"/>
        <v>0</v>
      </c>
      <c r="I140" s="1138">
        <f t="shared" si="84"/>
        <v>0</v>
      </c>
      <c r="J140" s="1138">
        <f t="shared" si="84"/>
        <v>0</v>
      </c>
      <c r="K140" s="1138">
        <f t="shared" si="84"/>
        <v>0</v>
      </c>
      <c r="L140" s="1138">
        <f t="shared" si="84"/>
        <v>0</v>
      </c>
      <c r="M140" s="1138"/>
      <c r="N140" s="12">
        <f t="shared" si="82"/>
        <v>0</v>
      </c>
      <c r="O140" s="578">
        <f t="shared" si="81"/>
        <v>0</v>
      </c>
      <c r="W140" s="47"/>
      <c r="X140" s="47"/>
      <c r="Y140" s="47"/>
      <c r="Z140" s="47"/>
      <c r="AA140" s="47"/>
      <c r="AB140" s="47"/>
      <c r="AC140" s="47"/>
      <c r="AD140" s="47"/>
      <c r="AE140" s="47"/>
      <c r="AF140" s="47"/>
      <c r="AG140" s="47"/>
      <c r="AH140" s="47"/>
      <c r="AI140" s="47"/>
      <c r="AJ140" s="47"/>
      <c r="AK140" s="47"/>
      <c r="AL140" s="47"/>
      <c r="AM140" s="47"/>
      <c r="AN140" s="47"/>
      <c r="AO140" s="47"/>
      <c r="AP140" s="47"/>
    </row>
    <row r="141" spans="1:42" ht="21.95" hidden="1" customHeight="1" x14ac:dyDescent="0.15">
      <c r="A141" s="2627"/>
      <c r="B141" s="2534"/>
      <c r="C141" s="2676"/>
      <c r="D141" s="543" t="s">
        <v>1502</v>
      </c>
      <c r="E141" s="1061"/>
      <c r="F141" s="1344"/>
      <c r="G141" s="1138">
        <f t="shared" ref="G141:L141" si="85">G142*G137*2</f>
        <v>0</v>
      </c>
      <c r="H141" s="1138">
        <f t="shared" si="85"/>
        <v>0</v>
      </c>
      <c r="I141" s="1138">
        <f t="shared" si="85"/>
        <v>0</v>
      </c>
      <c r="J141" s="1138">
        <f t="shared" si="85"/>
        <v>0</v>
      </c>
      <c r="K141" s="1138">
        <f t="shared" si="85"/>
        <v>0</v>
      </c>
      <c r="L141" s="1138">
        <f t="shared" si="85"/>
        <v>0</v>
      </c>
      <c r="M141" s="1138"/>
      <c r="N141" s="12">
        <f t="shared" si="82"/>
        <v>0</v>
      </c>
      <c r="O141" s="578">
        <f t="shared" si="81"/>
        <v>0</v>
      </c>
      <c r="W141" s="47"/>
      <c r="X141" s="47"/>
      <c r="Y141" s="47"/>
      <c r="Z141" s="47"/>
      <c r="AA141" s="47"/>
      <c r="AB141" s="47"/>
      <c r="AC141" s="47"/>
      <c r="AD141" s="47"/>
      <c r="AE141" s="47"/>
      <c r="AF141" s="47"/>
      <c r="AG141" s="47"/>
      <c r="AH141" s="47"/>
      <c r="AI141" s="47"/>
      <c r="AJ141" s="47"/>
      <c r="AK141" s="47"/>
      <c r="AL141" s="47"/>
      <c r="AM141" s="47"/>
      <c r="AN141" s="47"/>
      <c r="AO141" s="47"/>
      <c r="AP141" s="47"/>
    </row>
    <row r="142" spans="1:42" ht="21.95" hidden="1" customHeight="1" thickBot="1" x14ac:dyDescent="0.2">
      <c r="A142" s="2627"/>
      <c r="B142" s="2535"/>
      <c r="C142" s="2675"/>
      <c r="D142" s="1070" t="s">
        <v>1484</v>
      </c>
      <c r="E142" s="982"/>
      <c r="F142" s="1269"/>
      <c r="G142" s="673"/>
      <c r="H142" s="673"/>
      <c r="I142" s="673"/>
      <c r="J142" s="673"/>
      <c r="K142" s="673"/>
      <c r="L142" s="673"/>
      <c r="M142" s="673"/>
      <c r="N142" s="429">
        <f t="shared" si="82"/>
        <v>0</v>
      </c>
      <c r="O142" s="578">
        <f t="shared" si="81"/>
        <v>0</v>
      </c>
      <c r="W142" s="47"/>
      <c r="X142" s="47"/>
      <c r="Y142" s="47"/>
      <c r="Z142" s="47"/>
      <c r="AA142" s="47"/>
      <c r="AB142" s="47"/>
      <c r="AC142" s="47"/>
      <c r="AD142" s="47"/>
      <c r="AE142" s="47"/>
      <c r="AF142" s="47"/>
      <c r="AG142" s="47"/>
      <c r="AH142" s="47"/>
      <c r="AI142" s="47"/>
      <c r="AJ142" s="47"/>
      <c r="AK142" s="47"/>
      <c r="AL142" s="47"/>
      <c r="AM142" s="47"/>
      <c r="AN142" s="47"/>
      <c r="AO142" s="47"/>
      <c r="AP142" s="47"/>
    </row>
    <row r="143" spans="1:42" ht="21.95" hidden="1" customHeight="1" thickBot="1" x14ac:dyDescent="0.2">
      <c r="A143" s="2627"/>
      <c r="B143" s="2739" t="s">
        <v>1549</v>
      </c>
      <c r="C143" s="2862"/>
      <c r="D143" s="2824"/>
      <c r="E143" s="1231"/>
      <c r="F143" s="552"/>
      <c r="G143" s="243">
        <f t="shared" ref="G143:L143" si="86">G41+G48+G55+G62+G83+G91</f>
        <v>0</v>
      </c>
      <c r="H143" s="243">
        <f t="shared" si="86"/>
        <v>0</v>
      </c>
      <c r="I143" s="243">
        <f t="shared" si="86"/>
        <v>0</v>
      </c>
      <c r="J143" s="243">
        <f t="shared" si="86"/>
        <v>0</v>
      </c>
      <c r="K143" s="243">
        <f t="shared" si="86"/>
        <v>0</v>
      </c>
      <c r="L143" s="243">
        <f t="shared" si="86"/>
        <v>0</v>
      </c>
      <c r="M143" s="243"/>
      <c r="N143" s="1284">
        <f t="shared" si="82"/>
        <v>0</v>
      </c>
      <c r="O143" s="578">
        <f t="shared" si="81"/>
        <v>0</v>
      </c>
      <c r="W143" s="1305"/>
      <c r="X143" s="1315"/>
      <c r="AE143" s="1305"/>
      <c r="AF143" s="1315"/>
      <c r="AJ143" s="1305"/>
    </row>
    <row r="144" spans="1:42" ht="21.95" customHeight="1" x14ac:dyDescent="0.15">
      <c r="A144" s="2627"/>
      <c r="B144" s="2533" t="s">
        <v>1507</v>
      </c>
      <c r="C144" s="2867" t="s">
        <v>1492</v>
      </c>
      <c r="D144" s="2853"/>
      <c r="E144" s="1061"/>
      <c r="F144" s="1344"/>
      <c r="G144" s="2078"/>
      <c r="H144" s="2078"/>
      <c r="I144" s="2078"/>
      <c r="J144" s="2078"/>
      <c r="K144" s="2078"/>
      <c r="L144" s="2078"/>
      <c r="M144" s="2078"/>
      <c r="N144" s="430">
        <f t="shared" si="82"/>
        <v>0</v>
      </c>
      <c r="O144" s="1016">
        <f>SUM(G144:N144)+N145</f>
        <v>83.59</v>
      </c>
      <c r="W144" s="47"/>
      <c r="X144" s="1289"/>
      <c r="Y144" s="47"/>
      <c r="Z144" s="47"/>
      <c r="AA144" s="47"/>
      <c r="AB144" s="47"/>
      <c r="AC144" s="47"/>
      <c r="AD144" s="47"/>
      <c r="AE144" s="47"/>
      <c r="AF144" s="47"/>
      <c r="AG144" s="47"/>
      <c r="AH144" s="47"/>
      <c r="AI144" s="47"/>
      <c r="AJ144" s="47"/>
      <c r="AK144" s="47"/>
      <c r="AL144" s="47"/>
      <c r="AM144" s="47"/>
      <c r="AN144" s="47"/>
      <c r="AO144" s="47"/>
      <c r="AP144" s="47"/>
    </row>
    <row r="145" spans="1:42" ht="21.95" customHeight="1" thickBot="1" x14ac:dyDescent="0.2">
      <c r="A145" s="2627"/>
      <c r="B145" s="2535"/>
      <c r="C145" s="2744" t="s">
        <v>1495</v>
      </c>
      <c r="D145" s="2745"/>
      <c r="E145" s="982"/>
      <c r="F145" s="1269"/>
      <c r="G145" s="2077">
        <f>2.42+2.42</f>
        <v>4.84</v>
      </c>
      <c r="H145" s="2077">
        <f>14.15+14.52</f>
        <v>28.67</v>
      </c>
      <c r="I145" s="2077">
        <f>6.89+7.26</f>
        <v>14.149999999999999</v>
      </c>
      <c r="J145" s="2077">
        <f>4.84+4.84</f>
        <v>9.68</v>
      </c>
      <c r="K145" s="2077">
        <f>4.47+2.42</f>
        <v>6.89</v>
      </c>
      <c r="L145" s="2077">
        <f>9.68+9.68</f>
        <v>19.36</v>
      </c>
      <c r="M145" s="2077"/>
      <c r="N145" s="429">
        <f t="shared" si="82"/>
        <v>83.59</v>
      </c>
      <c r="O145" s="1016">
        <f>SUM(G145:N145)+N146</f>
        <v>167.18</v>
      </c>
      <c r="P145" s="5">
        <v>23.4</v>
      </c>
      <c r="Q145" s="5">
        <v>23.4</v>
      </c>
      <c r="R145" s="5">
        <v>23.4</v>
      </c>
      <c r="S145" s="5">
        <v>23.4</v>
      </c>
      <c r="T145" s="5">
        <v>23.4</v>
      </c>
      <c r="U145" s="5">
        <v>23.4</v>
      </c>
      <c r="V145" s="5">
        <v>23.4</v>
      </c>
      <c r="W145" s="47">
        <v>23.4</v>
      </c>
      <c r="X145" s="47">
        <v>23.4</v>
      </c>
      <c r="Y145" s="47">
        <v>23.4</v>
      </c>
      <c r="Z145" s="47"/>
      <c r="AA145" s="47"/>
      <c r="AB145" s="47"/>
      <c r="AC145" s="47"/>
      <c r="AD145" s="47"/>
      <c r="AE145" s="47"/>
      <c r="AF145" s="47"/>
      <c r="AG145" s="47"/>
      <c r="AH145" s="47"/>
      <c r="AI145" s="47"/>
      <c r="AJ145" s="47"/>
      <c r="AK145" s="47"/>
      <c r="AL145" s="47"/>
      <c r="AM145" s="47"/>
      <c r="AN145" s="47"/>
      <c r="AO145" s="47"/>
      <c r="AP145" s="47"/>
    </row>
    <row r="146" spans="1:42" ht="21.95" hidden="1" customHeight="1" x14ac:dyDescent="0.15">
      <c r="A146" s="2627"/>
      <c r="B146" s="2533" t="s">
        <v>2432</v>
      </c>
      <c r="C146" s="1347" t="s">
        <v>1575</v>
      </c>
      <c r="D146" s="543" t="s">
        <v>1492</v>
      </c>
      <c r="E146" s="1363"/>
      <c r="F146" s="1364"/>
      <c r="G146" s="1219">
        <f t="shared" ref="G146:L146" si="87">G8+G11</f>
        <v>0</v>
      </c>
      <c r="H146" s="1219">
        <f t="shared" si="87"/>
        <v>0</v>
      </c>
      <c r="I146" s="1219">
        <f t="shared" si="87"/>
        <v>0</v>
      </c>
      <c r="J146" s="1219">
        <f t="shared" si="87"/>
        <v>0</v>
      </c>
      <c r="K146" s="1219">
        <f t="shared" si="87"/>
        <v>0</v>
      </c>
      <c r="L146" s="1219">
        <f t="shared" si="87"/>
        <v>0</v>
      </c>
      <c r="M146" s="1219"/>
      <c r="N146" s="1282">
        <f t="shared" si="82"/>
        <v>0</v>
      </c>
      <c r="O146" s="578">
        <f t="shared" ref="O146:O177" si="88">SUM(G146:N146)</f>
        <v>0</v>
      </c>
      <c r="W146" s="47"/>
      <c r="X146" s="47"/>
      <c r="Y146" s="47"/>
      <c r="Z146" s="47"/>
      <c r="AA146" s="47"/>
      <c r="AB146" s="47"/>
      <c r="AC146" s="47"/>
      <c r="AD146" s="47"/>
      <c r="AE146" s="47"/>
      <c r="AF146" s="47"/>
      <c r="AG146" s="47"/>
      <c r="AH146" s="47"/>
      <c r="AI146" s="47"/>
      <c r="AJ146" s="47"/>
      <c r="AK146" s="47"/>
      <c r="AL146" s="47"/>
      <c r="AM146" s="47"/>
      <c r="AN146" s="47"/>
      <c r="AO146" s="47"/>
      <c r="AP146" s="47"/>
    </row>
    <row r="147" spans="1:42" ht="21.95" hidden="1" customHeight="1" x14ac:dyDescent="0.15">
      <c r="A147" s="2627"/>
      <c r="B147" s="2534"/>
      <c r="C147" s="1348" t="s">
        <v>1480</v>
      </c>
      <c r="D147" s="542" t="s">
        <v>1495</v>
      </c>
      <c r="E147" s="1365"/>
      <c r="F147" s="1366"/>
      <c r="G147" s="1138">
        <f t="shared" ref="G147:L147" si="89">G12*G15+G16*G19</f>
        <v>0</v>
      </c>
      <c r="H147" s="1138">
        <f t="shared" si="89"/>
        <v>0</v>
      </c>
      <c r="I147" s="1138">
        <f t="shared" si="89"/>
        <v>0</v>
      </c>
      <c r="J147" s="1138">
        <f t="shared" si="89"/>
        <v>0</v>
      </c>
      <c r="K147" s="1138">
        <f t="shared" si="89"/>
        <v>0</v>
      </c>
      <c r="L147" s="1138">
        <f t="shared" si="89"/>
        <v>0</v>
      </c>
      <c r="M147" s="1138"/>
      <c r="N147" s="12">
        <f t="shared" si="82"/>
        <v>0</v>
      </c>
      <c r="O147" s="578">
        <f t="shared" si="88"/>
        <v>0</v>
      </c>
      <c r="W147" s="47"/>
      <c r="X147" s="47"/>
      <c r="Y147" s="47"/>
      <c r="Z147" s="47"/>
      <c r="AA147" s="47"/>
      <c r="AB147" s="47"/>
      <c r="AC147" s="47"/>
      <c r="AD147" s="47"/>
      <c r="AE147" s="47"/>
      <c r="AF147" s="47"/>
      <c r="AG147" s="47"/>
      <c r="AH147" s="47"/>
      <c r="AI147" s="47"/>
      <c r="AJ147" s="47"/>
      <c r="AK147" s="47"/>
      <c r="AL147" s="47"/>
      <c r="AM147" s="47"/>
      <c r="AN147" s="47"/>
      <c r="AO147" s="47"/>
      <c r="AP147" s="47"/>
    </row>
    <row r="148" spans="1:42" ht="21.95" hidden="1" customHeight="1" x14ac:dyDescent="0.15">
      <c r="A148" s="2627"/>
      <c r="B148" s="2534"/>
      <c r="C148" s="2729" t="s">
        <v>1486</v>
      </c>
      <c r="D148" s="542" t="s">
        <v>1492</v>
      </c>
      <c r="E148" s="1365"/>
      <c r="F148" s="1366"/>
      <c r="G148" s="1138">
        <f t="shared" ref="G148:L148" si="90">G64*G67+G71*G74+G85*G88+G93*G96+G100*G103+G107*G110+G114*G117+G121*G124+G128*G132+G136*G140</f>
        <v>0</v>
      </c>
      <c r="H148" s="1138">
        <f t="shared" si="90"/>
        <v>0</v>
      </c>
      <c r="I148" s="1138">
        <f t="shared" si="90"/>
        <v>0</v>
      </c>
      <c r="J148" s="1138">
        <f t="shared" si="90"/>
        <v>0</v>
      </c>
      <c r="K148" s="1138">
        <f t="shared" si="90"/>
        <v>0</v>
      </c>
      <c r="L148" s="1138">
        <f t="shared" si="90"/>
        <v>0</v>
      </c>
      <c r="M148" s="1138"/>
      <c r="N148" s="12">
        <f t="shared" si="82"/>
        <v>0</v>
      </c>
      <c r="O148" s="578">
        <f t="shared" si="88"/>
        <v>0</v>
      </c>
    </row>
    <row r="149" spans="1:42" ht="21.95" hidden="1" customHeight="1" x14ac:dyDescent="0.15">
      <c r="A149" s="2627"/>
      <c r="B149" s="2534"/>
      <c r="C149" s="2730"/>
      <c r="D149" s="542" t="s">
        <v>1495</v>
      </c>
      <c r="E149" s="1367"/>
      <c r="F149" s="1368"/>
      <c r="G149" s="1206">
        <f t="shared" ref="G149:L149" si="91">G36*G39+G43*G46+G50*G53+G57*G60+G64*G68+G71*G75+G78*G81+G85*G89+G93*G97+G100*G104+G107*G111+G114*G118+G121*G125+G128*G133</f>
        <v>0</v>
      </c>
      <c r="H149" s="1206">
        <f t="shared" si="91"/>
        <v>0</v>
      </c>
      <c r="I149" s="1206">
        <f t="shared" si="91"/>
        <v>0</v>
      </c>
      <c r="J149" s="1206">
        <f t="shared" si="91"/>
        <v>0</v>
      </c>
      <c r="K149" s="1206">
        <f t="shared" si="91"/>
        <v>0</v>
      </c>
      <c r="L149" s="1206">
        <f t="shared" si="91"/>
        <v>0</v>
      </c>
      <c r="M149" s="1206"/>
      <c r="N149" s="1276">
        <f t="shared" si="82"/>
        <v>0</v>
      </c>
      <c r="O149" s="578">
        <f t="shared" si="88"/>
        <v>0</v>
      </c>
      <c r="P149" s="2633" t="s">
        <v>1192</v>
      </c>
      <c r="Q149" s="2634"/>
      <c r="R149" s="2634"/>
      <c r="S149" s="2634"/>
      <c r="T149" s="2634"/>
      <c r="U149" s="2634"/>
      <c r="V149" s="2634"/>
      <c r="W149" s="2878"/>
      <c r="X149" s="2879" t="s">
        <v>1193</v>
      </c>
      <c r="Y149" s="2634"/>
      <c r="Z149" s="2634"/>
      <c r="AA149" s="2634"/>
      <c r="AB149" s="2634"/>
      <c r="AC149" s="2634"/>
      <c r="AD149" s="2634"/>
      <c r="AE149" s="2878"/>
      <c r="AF149" s="2879" t="s">
        <v>1194</v>
      </c>
      <c r="AG149" s="2634"/>
      <c r="AH149" s="2634"/>
      <c r="AI149" s="2634"/>
      <c r="AJ149" s="2878"/>
      <c r="AK149" s="2874" t="s">
        <v>1195</v>
      </c>
      <c r="AL149" s="2875"/>
      <c r="AM149" s="2631" t="s">
        <v>1196</v>
      </c>
      <c r="AN149" s="2633" t="s">
        <v>1182</v>
      </c>
      <c r="AO149" s="2635"/>
      <c r="AP149" s="2876" t="s">
        <v>1545</v>
      </c>
    </row>
    <row r="150" spans="1:42" ht="21.95" hidden="1" customHeight="1" x14ac:dyDescent="0.15">
      <c r="A150" s="2627"/>
      <c r="B150" s="2534"/>
      <c r="C150" s="1348" t="s">
        <v>1497</v>
      </c>
      <c r="D150" s="542" t="s">
        <v>1492</v>
      </c>
      <c r="E150" s="1369"/>
      <c r="F150" s="1370"/>
      <c r="G150" s="1988">
        <f t="shared" ref="G150:L150" si="92">G136*G140</f>
        <v>0</v>
      </c>
      <c r="H150" s="1988">
        <f t="shared" si="92"/>
        <v>0</v>
      </c>
      <c r="I150" s="1988">
        <f t="shared" si="92"/>
        <v>0</v>
      </c>
      <c r="J150" s="1988">
        <f t="shared" si="92"/>
        <v>0</v>
      </c>
      <c r="K150" s="1988">
        <f t="shared" si="92"/>
        <v>0</v>
      </c>
      <c r="L150" s="1988">
        <f t="shared" si="92"/>
        <v>0</v>
      </c>
      <c r="M150" s="1988"/>
      <c r="N150" s="1283">
        <f t="shared" si="82"/>
        <v>0</v>
      </c>
      <c r="O150" s="578">
        <f t="shared" si="88"/>
        <v>0</v>
      </c>
      <c r="P150" s="1023" t="s">
        <v>1178</v>
      </c>
      <c r="Q150" s="1023" t="s">
        <v>1179</v>
      </c>
      <c r="R150" s="1023" t="s">
        <v>1862</v>
      </c>
      <c r="S150" s="1023" t="s">
        <v>902</v>
      </c>
      <c r="T150" s="1023" t="s">
        <v>1186</v>
      </c>
      <c r="U150" s="1023" t="s">
        <v>1185</v>
      </c>
      <c r="V150" s="1023" t="s">
        <v>1544</v>
      </c>
      <c r="W150" s="1308" t="s">
        <v>1183</v>
      </c>
      <c r="X150" s="1311" t="s">
        <v>1178</v>
      </c>
      <c r="Y150" s="1023" t="s">
        <v>1179</v>
      </c>
      <c r="Z150" s="1023" t="s">
        <v>1862</v>
      </c>
      <c r="AA150" s="1023" t="s">
        <v>1539</v>
      </c>
      <c r="AB150" s="1023" t="s">
        <v>1186</v>
      </c>
      <c r="AC150" s="1023" t="s">
        <v>1185</v>
      </c>
      <c r="AD150" s="1023" t="s">
        <v>1544</v>
      </c>
      <c r="AE150" s="1308" t="s">
        <v>1183</v>
      </c>
      <c r="AF150" s="1311" t="s">
        <v>1178</v>
      </c>
      <c r="AG150" s="1023" t="s">
        <v>1179</v>
      </c>
      <c r="AH150" s="1023" t="s">
        <v>1862</v>
      </c>
      <c r="AI150" s="1023" t="s">
        <v>1540</v>
      </c>
      <c r="AJ150" s="1308" t="s">
        <v>641</v>
      </c>
      <c r="AK150" s="1320" t="s">
        <v>1477</v>
      </c>
      <c r="AL150" s="1290" t="s">
        <v>1541</v>
      </c>
      <c r="AM150" s="2632"/>
      <c r="AN150" s="1032" t="s">
        <v>1533</v>
      </c>
      <c r="AO150" s="1032" t="s">
        <v>1197</v>
      </c>
      <c r="AP150" s="2877"/>
    </row>
    <row r="151" spans="1:42" ht="21.95" hidden="1" customHeight="1" x14ac:dyDescent="0.15">
      <c r="A151" s="2627"/>
      <c r="B151" s="2534"/>
      <c r="C151" s="2729" t="s">
        <v>1506</v>
      </c>
      <c r="D151" s="542" t="s">
        <v>1492</v>
      </c>
      <c r="E151" s="1365"/>
      <c r="F151" s="1366"/>
      <c r="G151" s="1138">
        <f t="shared" ref="G151:L151" si="93">G144</f>
        <v>0</v>
      </c>
      <c r="H151" s="1138">
        <f t="shared" si="93"/>
        <v>0</v>
      </c>
      <c r="I151" s="1138">
        <f t="shared" si="93"/>
        <v>0</v>
      </c>
      <c r="J151" s="1138">
        <f t="shared" si="93"/>
        <v>0</v>
      </c>
      <c r="K151" s="1138">
        <f t="shared" si="93"/>
        <v>0</v>
      </c>
      <c r="L151" s="1138">
        <f t="shared" si="93"/>
        <v>0</v>
      </c>
      <c r="M151" s="1138"/>
      <c r="N151" s="12">
        <f t="shared" si="82"/>
        <v>0</v>
      </c>
      <c r="O151" s="578">
        <f t="shared" si="88"/>
        <v>0</v>
      </c>
      <c r="P151" s="1024">
        <v>94963</v>
      </c>
      <c r="Q151" s="1024">
        <v>94964</v>
      </c>
      <c r="R151" s="1024">
        <v>34495</v>
      </c>
      <c r="S151" s="1024"/>
      <c r="T151" s="1024">
        <v>87298</v>
      </c>
      <c r="U151" s="1024">
        <v>88631</v>
      </c>
      <c r="V151" s="1024">
        <v>87335</v>
      </c>
      <c r="W151" s="1309">
        <v>87878</v>
      </c>
      <c r="X151" s="1312">
        <v>94963</v>
      </c>
      <c r="Y151" s="1024">
        <v>94964</v>
      </c>
      <c r="Z151" s="1024">
        <v>34495</v>
      </c>
      <c r="AA151" s="1024"/>
      <c r="AB151" s="1024">
        <v>87298</v>
      </c>
      <c r="AC151" s="1024">
        <v>88631</v>
      </c>
      <c r="AD151" s="1024">
        <v>87335</v>
      </c>
      <c r="AE151" s="1309">
        <v>87878</v>
      </c>
      <c r="AF151" s="1312">
        <v>94963</v>
      </c>
      <c r="AG151" s="1024">
        <v>94964</v>
      </c>
      <c r="AH151" s="1024">
        <v>34495</v>
      </c>
      <c r="AI151" s="1024"/>
      <c r="AJ151" s="1309">
        <v>100324</v>
      </c>
      <c r="AK151" s="1307">
        <v>7156</v>
      </c>
      <c r="AL151" s="1290">
        <v>43059</v>
      </c>
      <c r="AM151" s="2632"/>
      <c r="AN151" s="1024"/>
      <c r="AO151" s="1024">
        <v>92411</v>
      </c>
      <c r="AP151" s="1024">
        <v>1106</v>
      </c>
    </row>
    <row r="152" spans="1:42" ht="21.95" customHeight="1" x14ac:dyDescent="0.15">
      <c r="A152" s="2627"/>
      <c r="B152" s="2534"/>
      <c r="C152" s="2730"/>
      <c r="D152" s="542" t="s">
        <v>1495</v>
      </c>
      <c r="E152" s="1367"/>
      <c r="F152" s="1368"/>
      <c r="G152" s="1206">
        <f t="shared" ref="G152:L152" si="94">G145</f>
        <v>4.84</v>
      </c>
      <c r="H152" s="1206">
        <f t="shared" si="94"/>
        <v>28.67</v>
      </c>
      <c r="I152" s="1206">
        <f t="shared" si="94"/>
        <v>14.149999999999999</v>
      </c>
      <c r="J152" s="1206">
        <f t="shared" si="94"/>
        <v>9.68</v>
      </c>
      <c r="K152" s="1206">
        <f t="shared" si="94"/>
        <v>6.89</v>
      </c>
      <c r="L152" s="1206">
        <f t="shared" si="94"/>
        <v>19.36</v>
      </c>
      <c r="M152" s="1206"/>
      <c r="N152" s="1276">
        <f t="shared" si="82"/>
        <v>83.59</v>
      </c>
      <c r="O152" s="578">
        <f t="shared" si="88"/>
        <v>167.18</v>
      </c>
      <c r="P152" s="1025">
        <v>273.06</v>
      </c>
      <c r="Q152" s="1025">
        <v>322.98</v>
      </c>
      <c r="R152" s="1025">
        <v>425.84</v>
      </c>
      <c r="S152" s="1025">
        <v>1</v>
      </c>
      <c r="T152" s="1025">
        <v>573.61</v>
      </c>
      <c r="U152" s="1025">
        <v>362.66</v>
      </c>
      <c r="V152" s="1025">
        <v>362.66</v>
      </c>
      <c r="W152" s="1310">
        <v>422.63</v>
      </c>
      <c r="X152" s="1313">
        <v>0.80500000000000005</v>
      </c>
      <c r="Y152" s="1026">
        <v>0.75580000000000003</v>
      </c>
      <c r="Z152" s="1025">
        <v>0.58099999999999996</v>
      </c>
      <c r="AA152" s="1026">
        <v>1</v>
      </c>
      <c r="AB152" s="1025">
        <v>1.27</v>
      </c>
      <c r="AC152" s="1025">
        <v>1.1499999999999999</v>
      </c>
      <c r="AD152" s="1025">
        <v>362.66</v>
      </c>
      <c r="AE152" s="1310">
        <v>0.94</v>
      </c>
      <c r="AF152" s="1313">
        <v>0.57899999999999996</v>
      </c>
      <c r="AG152" s="1026">
        <v>0.58699999999999997</v>
      </c>
      <c r="AH152" s="1025">
        <v>0.66800000000000004</v>
      </c>
      <c r="AI152" s="1026">
        <v>1</v>
      </c>
      <c r="AJ152" s="1324">
        <v>1.1299999999999999</v>
      </c>
      <c r="AK152" s="1318">
        <v>3.11</v>
      </c>
      <c r="AL152" s="1025">
        <v>1</v>
      </c>
      <c r="AM152" s="1036">
        <f>2.5/1000</f>
        <v>2.5000000000000001E-3</v>
      </c>
      <c r="AN152" s="1288">
        <v>1</v>
      </c>
      <c r="AO152" s="1035">
        <v>7.1000000000000004E-3</v>
      </c>
      <c r="AP152" s="1288">
        <v>1</v>
      </c>
    </row>
    <row r="153" spans="1:42" ht="21.95" customHeight="1" x14ac:dyDescent="0.15">
      <c r="A153" s="2627"/>
      <c r="B153" s="2534"/>
      <c r="C153" s="2729" t="s">
        <v>2047</v>
      </c>
      <c r="D153" s="543" t="s">
        <v>3</v>
      </c>
      <c r="E153" s="1365"/>
      <c r="F153" s="1366"/>
      <c r="G153" s="1138">
        <f t="shared" ref="G153:L153" si="95">SUM(G156:G157)</f>
        <v>4.84</v>
      </c>
      <c r="H153" s="1138">
        <f t="shared" si="95"/>
        <v>28.67</v>
      </c>
      <c r="I153" s="1138">
        <f t="shared" si="95"/>
        <v>14.149999999999999</v>
      </c>
      <c r="J153" s="1138">
        <f t="shared" si="95"/>
        <v>9.68</v>
      </c>
      <c r="K153" s="1138">
        <f t="shared" si="95"/>
        <v>6.89</v>
      </c>
      <c r="L153" s="1138">
        <f t="shared" si="95"/>
        <v>19.36</v>
      </c>
      <c r="M153" s="1138"/>
      <c r="N153" s="12">
        <f t="shared" si="82"/>
        <v>83.59</v>
      </c>
      <c r="O153" s="578">
        <f t="shared" si="88"/>
        <v>167.18</v>
      </c>
      <c r="P153" s="1779"/>
      <c r="Q153" s="1779"/>
      <c r="R153" s="1779"/>
      <c r="S153" s="1779"/>
      <c r="T153" s="1779"/>
      <c r="U153" s="1779"/>
      <c r="V153" s="1779"/>
      <c r="W153" s="1780"/>
      <c r="X153" s="1781"/>
      <c r="Y153" s="1782"/>
      <c r="Z153" s="1779"/>
      <c r="AA153" s="1782"/>
      <c r="AB153" s="1779"/>
      <c r="AC153" s="1779"/>
      <c r="AD153" s="1779"/>
      <c r="AE153" s="1780"/>
      <c r="AF153" s="1781"/>
      <c r="AG153" s="1782"/>
      <c r="AH153" s="1779"/>
      <c r="AI153" s="1782"/>
      <c r="AJ153" s="1783"/>
      <c r="AK153" s="1784"/>
      <c r="AL153" s="1779"/>
      <c r="AM153" s="1785"/>
      <c r="AN153" s="1786"/>
      <c r="AO153" s="1787"/>
      <c r="AP153" s="1786"/>
    </row>
    <row r="154" spans="1:42" ht="21.95" customHeight="1" x14ac:dyDescent="0.15">
      <c r="A154" s="2627"/>
      <c r="B154" s="2534"/>
      <c r="C154" s="2676"/>
      <c r="D154" s="542" t="s">
        <v>1276</v>
      </c>
      <c r="E154" s="1365"/>
      <c r="F154" s="1366"/>
      <c r="G154" s="1280">
        <v>3</v>
      </c>
      <c r="H154" s="1280">
        <v>3</v>
      </c>
      <c r="I154" s="1280">
        <v>3</v>
      </c>
      <c r="J154" s="1280">
        <v>3</v>
      </c>
      <c r="K154" s="1280">
        <v>3</v>
      </c>
      <c r="L154" s="1280">
        <v>3</v>
      </c>
      <c r="M154" s="1280"/>
      <c r="N154" s="12"/>
      <c r="O154" s="578">
        <f t="shared" si="88"/>
        <v>18</v>
      </c>
      <c r="P154" s="1779"/>
      <c r="Q154" s="1779"/>
      <c r="R154" s="1779"/>
      <c r="S154" s="1779"/>
      <c r="T154" s="1779"/>
      <c r="U154" s="1779"/>
      <c r="V154" s="1779"/>
      <c r="W154" s="1780"/>
      <c r="X154" s="1781"/>
      <c r="Y154" s="1782"/>
      <c r="Z154" s="1779"/>
      <c r="AA154" s="1782"/>
      <c r="AB154" s="1779"/>
      <c r="AC154" s="1779"/>
      <c r="AD154" s="1779"/>
      <c r="AE154" s="1780"/>
      <c r="AF154" s="1781"/>
      <c r="AG154" s="1782"/>
      <c r="AH154" s="1779"/>
      <c r="AI154" s="1782"/>
      <c r="AJ154" s="1783"/>
      <c r="AK154" s="1784"/>
      <c r="AL154" s="1779"/>
      <c r="AM154" s="1785"/>
      <c r="AN154" s="1786"/>
      <c r="AO154" s="1787"/>
      <c r="AP154" s="1786"/>
    </row>
    <row r="155" spans="1:42" ht="21.95" customHeight="1" x14ac:dyDescent="0.15">
      <c r="A155" s="2627"/>
      <c r="B155" s="2534"/>
      <c r="C155" s="2730"/>
      <c r="D155" s="542" t="s">
        <v>11</v>
      </c>
      <c r="E155" s="1367"/>
      <c r="F155" s="1368"/>
      <c r="G155" s="1206">
        <f t="shared" ref="G155:L155" si="96">G154*G153*0.4/100</f>
        <v>5.808E-2</v>
      </c>
      <c r="H155" s="1206">
        <f t="shared" si="96"/>
        <v>0.34404000000000001</v>
      </c>
      <c r="I155" s="1206">
        <f t="shared" si="96"/>
        <v>0.16980000000000001</v>
      </c>
      <c r="J155" s="1206">
        <f t="shared" si="96"/>
        <v>0.11616</v>
      </c>
      <c r="K155" s="1206">
        <f t="shared" si="96"/>
        <v>8.267999999999999E-2</v>
      </c>
      <c r="L155" s="1206">
        <f t="shared" si="96"/>
        <v>0.23232</v>
      </c>
      <c r="M155" s="1206"/>
      <c r="N155" s="1281">
        <f t="shared" ref="N155:N160" si="97">TRUNC(SUM(G155:M155),2)</f>
        <v>1</v>
      </c>
      <c r="O155" s="578">
        <f t="shared" si="88"/>
        <v>2.0030799999999997</v>
      </c>
      <c r="P155" s="1779"/>
      <c r="Q155" s="1779"/>
      <c r="R155" s="1779"/>
      <c r="S155" s="1779"/>
      <c r="T155" s="1779"/>
      <c r="U155" s="1779"/>
      <c r="V155" s="1779"/>
      <c r="W155" s="1780"/>
      <c r="X155" s="1781"/>
      <c r="Y155" s="1782"/>
      <c r="Z155" s="1779"/>
      <c r="AA155" s="1782"/>
      <c r="AB155" s="1779"/>
      <c r="AC155" s="1779"/>
      <c r="AD155" s="1779"/>
      <c r="AE155" s="1780"/>
      <c r="AF155" s="1781"/>
      <c r="AG155" s="1782"/>
      <c r="AH155" s="1779"/>
      <c r="AI155" s="1782"/>
      <c r="AJ155" s="1783"/>
      <c r="AK155" s="1784"/>
      <c r="AL155" s="1779"/>
      <c r="AM155" s="1785"/>
      <c r="AN155" s="1786"/>
      <c r="AO155" s="1787"/>
      <c r="AP155" s="1786"/>
    </row>
    <row r="156" spans="1:42" ht="21.95" hidden="1" customHeight="1" x14ac:dyDescent="0.15">
      <c r="A156" s="2627"/>
      <c r="B156" s="2534"/>
      <c r="C156" s="2826" t="s">
        <v>38</v>
      </c>
      <c r="D156" s="543" t="s">
        <v>1492</v>
      </c>
      <c r="E156" s="1365"/>
      <c r="F156" s="1366"/>
      <c r="G156" s="1138">
        <f t="shared" ref="G156:L156" si="98">G146+G148+G150+G151</f>
        <v>0</v>
      </c>
      <c r="H156" s="1138">
        <f t="shared" si="98"/>
        <v>0</v>
      </c>
      <c r="I156" s="1138">
        <f t="shared" si="98"/>
        <v>0</v>
      </c>
      <c r="J156" s="1138">
        <f t="shared" si="98"/>
        <v>0</v>
      </c>
      <c r="K156" s="1138">
        <f t="shared" si="98"/>
        <v>0</v>
      </c>
      <c r="L156" s="1138">
        <f t="shared" si="98"/>
        <v>0</v>
      </c>
      <c r="M156" s="1138"/>
      <c r="N156" s="425">
        <f t="shared" si="97"/>
        <v>0</v>
      </c>
      <c r="O156" s="578">
        <f t="shared" si="88"/>
        <v>0</v>
      </c>
      <c r="P156" s="1037"/>
      <c r="Q156" s="1037"/>
      <c r="R156" s="1037"/>
      <c r="S156" s="1037"/>
      <c r="T156" s="1037">
        <v>0.06</v>
      </c>
      <c r="U156" s="1037"/>
      <c r="V156" s="1037"/>
      <c r="W156" s="1303"/>
      <c r="X156" s="1314"/>
      <c r="Y156" s="1037"/>
      <c r="Z156" s="1037"/>
      <c r="AA156" s="1037"/>
      <c r="AB156" s="1037">
        <v>0.06</v>
      </c>
      <c r="AC156" s="1037"/>
      <c r="AD156" s="1037"/>
      <c r="AE156" s="1304"/>
      <c r="AF156" s="1314"/>
      <c r="AG156" s="1037"/>
      <c r="AH156" s="1037"/>
      <c r="AI156" s="1037"/>
      <c r="AJ156" s="1304"/>
      <c r="AK156" s="1037"/>
      <c r="AL156" s="1037"/>
      <c r="AM156" s="1037"/>
    </row>
    <row r="157" spans="1:42" ht="21.95" customHeight="1" thickBot="1" x14ac:dyDescent="0.2">
      <c r="A157" s="2627"/>
      <c r="B157" s="2535"/>
      <c r="C157" s="2729"/>
      <c r="D157" s="545" t="s">
        <v>1495</v>
      </c>
      <c r="E157" s="1371"/>
      <c r="F157" s="1372"/>
      <c r="G157" s="1134">
        <f t="shared" ref="G157:L157" si="99">G147+G149+G152</f>
        <v>4.84</v>
      </c>
      <c r="H157" s="1134">
        <f t="shared" si="99"/>
        <v>28.67</v>
      </c>
      <c r="I157" s="1134">
        <f t="shared" si="99"/>
        <v>14.149999999999999</v>
      </c>
      <c r="J157" s="1134">
        <f t="shared" si="99"/>
        <v>9.68</v>
      </c>
      <c r="K157" s="1134">
        <f t="shared" si="99"/>
        <v>6.89</v>
      </c>
      <c r="L157" s="1134">
        <f t="shared" si="99"/>
        <v>19.36</v>
      </c>
      <c r="M157" s="1134"/>
      <c r="N157" s="416">
        <f t="shared" si="97"/>
        <v>83.59</v>
      </c>
      <c r="O157" s="578">
        <f t="shared" si="88"/>
        <v>167.18</v>
      </c>
      <c r="P157" s="1037"/>
      <c r="Q157" s="1037"/>
      <c r="R157" s="1037"/>
      <c r="S157" s="1037"/>
      <c r="T157" s="1037">
        <v>0.06</v>
      </c>
      <c r="U157" s="1037"/>
      <c r="V157" s="1037"/>
      <c r="W157" s="1304"/>
      <c r="X157" s="1314"/>
      <c r="Y157" s="1037"/>
      <c r="Z157" s="1037"/>
      <c r="AA157" s="1037"/>
      <c r="AB157" s="1037">
        <v>0.06</v>
      </c>
      <c r="AC157" s="1037"/>
      <c r="AD157" s="1037"/>
      <c r="AE157" s="1304"/>
      <c r="AF157" s="1314"/>
      <c r="AG157" s="1037"/>
      <c r="AH157" s="1037"/>
      <c r="AI157" s="1037"/>
      <c r="AJ157" s="1304"/>
      <c r="AK157" s="1037"/>
      <c r="AL157" s="1037"/>
      <c r="AM157" s="1037"/>
    </row>
    <row r="158" spans="1:42" ht="21.95" customHeight="1" x14ac:dyDescent="0.15">
      <c r="A158" s="2627"/>
      <c r="B158" s="2828" t="s">
        <v>1496</v>
      </c>
      <c r="C158" s="2825" t="s">
        <v>464</v>
      </c>
      <c r="D158" s="543" t="s">
        <v>1579</v>
      </c>
      <c r="E158" s="1061"/>
      <c r="F158" s="1344"/>
      <c r="G158" s="1138">
        <f t="shared" ref="G158:L158" si="100">G20</f>
        <v>435.48</v>
      </c>
      <c r="H158" s="1138">
        <f t="shared" si="100"/>
        <v>1926.35</v>
      </c>
      <c r="I158" s="1138">
        <f t="shared" si="100"/>
        <v>390.96000000000004</v>
      </c>
      <c r="J158" s="1138">
        <f t="shared" si="100"/>
        <v>261.28999999999996</v>
      </c>
      <c r="K158" s="1138">
        <f t="shared" si="100"/>
        <v>308.56</v>
      </c>
      <c r="L158" s="1138">
        <f t="shared" si="100"/>
        <v>2017.23</v>
      </c>
      <c r="M158" s="1138"/>
      <c r="N158" s="12">
        <f t="shared" si="97"/>
        <v>5339.87</v>
      </c>
      <c r="O158" s="578">
        <f t="shared" si="88"/>
        <v>10679.74</v>
      </c>
      <c r="W158" s="1305"/>
      <c r="X158" s="1315"/>
      <c r="AE158" s="1305"/>
      <c r="AF158" s="1315"/>
      <c r="AJ158" s="1305"/>
    </row>
    <row r="159" spans="1:42" ht="21.95" hidden="1" customHeight="1" x14ac:dyDescent="0.15">
      <c r="A159" s="2627"/>
      <c r="B159" s="2829"/>
      <c r="C159" s="2826"/>
      <c r="D159" s="542" t="s">
        <v>1488</v>
      </c>
      <c r="E159" s="1061"/>
      <c r="F159" s="1344"/>
      <c r="G159" s="1138">
        <f t="shared" ref="G159:L159" si="101">G36*G37+G43*G44+G50*G51+G57*G58+G64*G65+G71*G72+G78*G79+G85*G86+G93*G94+G100*G101+G107*G108+G114*G115+G121*G122+G128*G131-G160</f>
        <v>0</v>
      </c>
      <c r="H159" s="1138">
        <f t="shared" si="101"/>
        <v>0</v>
      </c>
      <c r="I159" s="1138">
        <f t="shared" si="101"/>
        <v>0</v>
      </c>
      <c r="J159" s="1138">
        <f t="shared" si="101"/>
        <v>0</v>
      </c>
      <c r="K159" s="1138">
        <f t="shared" si="101"/>
        <v>0</v>
      </c>
      <c r="L159" s="1138">
        <f t="shared" si="101"/>
        <v>0</v>
      </c>
      <c r="M159" s="1138"/>
      <c r="N159" s="12">
        <f t="shared" si="97"/>
        <v>0</v>
      </c>
      <c r="O159" s="578">
        <f t="shared" si="88"/>
        <v>0</v>
      </c>
      <c r="W159" s="1305"/>
      <c r="X159" s="1315"/>
      <c r="AE159" s="1305"/>
      <c r="AF159" s="1315"/>
      <c r="AJ159" s="1305"/>
    </row>
    <row r="160" spans="1:42" ht="21.95" hidden="1" customHeight="1" x14ac:dyDescent="0.15">
      <c r="A160" s="2627"/>
      <c r="B160" s="2829"/>
      <c r="C160" s="2826"/>
      <c r="D160" s="542" t="s">
        <v>1489</v>
      </c>
      <c r="E160" s="1061"/>
      <c r="F160" s="1344"/>
      <c r="G160" s="1138">
        <f t="shared" ref="G160:L160" si="102">G42*G37+G49*G44+G56*G51+G63*G58+G70*G65+G77*G72+G84*G79+G92*G86+G99*G94+G106*G101+G113*G108+G120*G114+G127*G121+G135*G131</f>
        <v>0</v>
      </c>
      <c r="H160" s="1138">
        <f t="shared" si="102"/>
        <v>0</v>
      </c>
      <c r="I160" s="1138">
        <f t="shared" si="102"/>
        <v>0</v>
      </c>
      <c r="J160" s="1138">
        <f t="shared" si="102"/>
        <v>0</v>
      </c>
      <c r="K160" s="1138">
        <f t="shared" si="102"/>
        <v>0</v>
      </c>
      <c r="L160" s="1138">
        <f t="shared" si="102"/>
        <v>0</v>
      </c>
      <c r="M160" s="1138"/>
      <c r="N160" s="12">
        <f t="shared" si="97"/>
        <v>0</v>
      </c>
      <c r="O160" s="578">
        <f t="shared" si="88"/>
        <v>0</v>
      </c>
      <c r="W160" s="1305"/>
      <c r="X160" s="1315"/>
      <c r="AE160" s="1305"/>
      <c r="AF160" s="1315"/>
      <c r="AJ160" s="1305"/>
    </row>
    <row r="161" spans="1:42" ht="21.95" customHeight="1" x14ac:dyDescent="0.15">
      <c r="A161" s="2627"/>
      <c r="B161" s="2829"/>
      <c r="C161" s="2826"/>
      <c r="D161" s="542" t="s">
        <v>1498</v>
      </c>
      <c r="E161" s="1061"/>
      <c r="F161" s="1344"/>
      <c r="G161" s="1138">
        <f t="shared" ref="G161:L161" si="103">(G156+G157-G136*G140)*0.4</f>
        <v>1.9359999999999999</v>
      </c>
      <c r="H161" s="1138">
        <f t="shared" si="103"/>
        <v>11.468000000000002</v>
      </c>
      <c r="I161" s="1138">
        <f t="shared" si="103"/>
        <v>5.66</v>
      </c>
      <c r="J161" s="1138">
        <f t="shared" si="103"/>
        <v>3.8719999999999999</v>
      </c>
      <c r="K161" s="1138">
        <f t="shared" si="103"/>
        <v>2.7560000000000002</v>
      </c>
      <c r="L161" s="1138">
        <f t="shared" si="103"/>
        <v>7.7439999999999998</v>
      </c>
      <c r="M161" s="1138"/>
      <c r="N161" s="12"/>
      <c r="O161" s="578">
        <f t="shared" si="88"/>
        <v>33.436</v>
      </c>
      <c r="Q161" s="5">
        <f>+N145/2.2</f>
        <v>37.995454545454542</v>
      </c>
      <c r="W161" s="1305"/>
      <c r="X161" s="1315"/>
      <c r="AE161" s="1305"/>
      <c r="AF161" s="1315"/>
      <c r="AJ161" s="1305"/>
    </row>
    <row r="162" spans="1:42" ht="21.95" customHeight="1" x14ac:dyDescent="0.15">
      <c r="A162" s="2627"/>
      <c r="B162" s="2829"/>
      <c r="C162" s="2826"/>
      <c r="D162" s="542" t="s">
        <v>1243</v>
      </c>
      <c r="E162" s="1365"/>
      <c r="F162" s="1366"/>
      <c r="G162" s="1138">
        <f t="shared" ref="G162:L162" si="104">IF(G158=0,G159+G160-G161,G158+G160-G159-G161)</f>
        <v>433.54400000000004</v>
      </c>
      <c r="H162" s="1138">
        <f t="shared" si="104"/>
        <v>1914.8819999999998</v>
      </c>
      <c r="I162" s="1138">
        <f t="shared" si="104"/>
        <v>385.3</v>
      </c>
      <c r="J162" s="1138">
        <f t="shared" si="104"/>
        <v>257.41799999999995</v>
      </c>
      <c r="K162" s="1138">
        <f t="shared" si="104"/>
        <v>305.80399999999997</v>
      </c>
      <c r="L162" s="1138">
        <f t="shared" si="104"/>
        <v>2009.4860000000001</v>
      </c>
      <c r="M162" s="1138"/>
      <c r="N162" s="12">
        <f>TRUNC(SUM(G162:M162),2)</f>
        <v>5306.43</v>
      </c>
      <c r="O162" s="578">
        <f t="shared" si="88"/>
        <v>10612.864000000001</v>
      </c>
      <c r="W162" s="1305"/>
      <c r="X162" s="1315"/>
      <c r="AE162" s="1305"/>
      <c r="AF162" s="1315"/>
      <c r="AJ162" s="1305"/>
    </row>
    <row r="163" spans="1:42" ht="21.95" customHeight="1" x14ac:dyDescent="0.15">
      <c r="A163" s="2627"/>
      <c r="B163" s="2829"/>
      <c r="C163" s="2826"/>
      <c r="D163" s="542" t="s">
        <v>1276</v>
      </c>
      <c r="E163" s="1365"/>
      <c r="F163" s="1366"/>
      <c r="G163" s="1280">
        <v>7</v>
      </c>
      <c r="H163" s="1280">
        <v>7</v>
      </c>
      <c r="I163" s="1280">
        <v>7</v>
      </c>
      <c r="J163" s="1280">
        <v>7</v>
      </c>
      <c r="K163" s="1280">
        <v>7</v>
      </c>
      <c r="L163" s="1280">
        <v>7</v>
      </c>
      <c r="M163" s="1280"/>
      <c r="N163" s="425">
        <f>TRUNC(SUM(G163:M163),2)</f>
        <v>42</v>
      </c>
      <c r="O163" s="578">
        <f t="shared" si="88"/>
        <v>84</v>
      </c>
      <c r="W163" s="1305"/>
      <c r="X163" s="1315"/>
      <c r="AE163" s="1305"/>
      <c r="AF163" s="1315"/>
      <c r="AJ163" s="1305"/>
    </row>
    <row r="164" spans="1:42" ht="21.95" customHeight="1" thickBot="1" x14ac:dyDescent="0.2">
      <c r="A164" s="2627"/>
      <c r="B164" s="2829"/>
      <c r="C164" s="2826"/>
      <c r="D164" s="542" t="s">
        <v>634</v>
      </c>
      <c r="E164" s="1367"/>
      <c r="F164" s="1368"/>
      <c r="G164" s="1206">
        <f t="shared" ref="G164:L164" si="105">G162*G163/100</f>
        <v>30.348080000000003</v>
      </c>
      <c r="H164" s="1206">
        <f t="shared" si="105"/>
        <v>134.04174</v>
      </c>
      <c r="I164" s="1206">
        <f t="shared" si="105"/>
        <v>26.971</v>
      </c>
      <c r="J164" s="1206">
        <f t="shared" si="105"/>
        <v>18.019259999999996</v>
      </c>
      <c r="K164" s="1206">
        <f t="shared" si="105"/>
        <v>21.406279999999995</v>
      </c>
      <c r="L164" s="1206">
        <f t="shared" si="105"/>
        <v>140.66401999999999</v>
      </c>
      <c r="M164" s="1206"/>
      <c r="N164" s="1281">
        <f>TRUNC(SUM(G164:M164),2)</f>
        <v>371.45</v>
      </c>
      <c r="O164" s="578">
        <f t="shared" si="88"/>
        <v>742.90038000000004</v>
      </c>
      <c r="P164" s="1037"/>
      <c r="Q164" s="1037">
        <v>1.2130000000000001</v>
      </c>
      <c r="R164" s="1037"/>
      <c r="S164" s="1037"/>
      <c r="T164" s="1037"/>
      <c r="U164" s="1037"/>
      <c r="V164" s="1037"/>
      <c r="W164" s="1304"/>
      <c r="X164" s="1314"/>
      <c r="Y164" s="1037">
        <v>1.2130000000000001</v>
      </c>
      <c r="Z164" s="1037"/>
      <c r="AA164" s="1037"/>
      <c r="AB164" s="1037"/>
      <c r="AC164" s="1037"/>
      <c r="AD164" s="1037"/>
      <c r="AE164" s="1304"/>
      <c r="AF164" s="1314"/>
      <c r="AG164" s="1037">
        <v>1.2130000000000001</v>
      </c>
      <c r="AH164" s="1037"/>
      <c r="AI164" s="1037"/>
      <c r="AJ164" s="1304"/>
      <c r="AK164" s="1037"/>
      <c r="AL164" s="1037"/>
      <c r="AM164" s="1037"/>
      <c r="AN164" s="1037">
        <v>0.01</v>
      </c>
      <c r="AO164" s="1037"/>
      <c r="AP164" s="1037"/>
    </row>
    <row r="165" spans="1:42" ht="21.95" hidden="1" customHeight="1" x14ac:dyDescent="0.15">
      <c r="A165" s="2627"/>
      <c r="B165" s="2829"/>
      <c r="C165" s="2826" t="s">
        <v>1490</v>
      </c>
      <c r="D165" s="543" t="s">
        <v>1499</v>
      </c>
      <c r="E165" s="1365"/>
      <c r="F165" s="1366"/>
      <c r="G165" s="1138">
        <f t="shared" ref="G165:L165" si="106">G136*G137*G138</f>
        <v>0</v>
      </c>
      <c r="H165" s="1138">
        <f t="shared" si="106"/>
        <v>0</v>
      </c>
      <c r="I165" s="1138">
        <f t="shared" si="106"/>
        <v>0</v>
      </c>
      <c r="J165" s="1138">
        <f t="shared" si="106"/>
        <v>0</v>
      </c>
      <c r="K165" s="1138">
        <f t="shared" si="106"/>
        <v>0</v>
      </c>
      <c r="L165" s="1138">
        <f t="shared" si="106"/>
        <v>0</v>
      </c>
      <c r="M165" s="1138"/>
      <c r="N165" s="12">
        <f>TRUNC(SUM(G165:M165),2)</f>
        <v>0</v>
      </c>
      <c r="O165" s="578">
        <f t="shared" si="88"/>
        <v>0</v>
      </c>
      <c r="W165" s="1305"/>
      <c r="X165" s="1315"/>
      <c r="AE165" s="1305"/>
      <c r="AF165" s="1315"/>
      <c r="AJ165" s="1305"/>
    </row>
    <row r="166" spans="1:42" ht="21.95" hidden="1" customHeight="1" x14ac:dyDescent="0.15">
      <c r="A166" s="2627"/>
      <c r="B166" s="2829"/>
      <c r="C166" s="2826"/>
      <c r="D166" s="543" t="s">
        <v>1581</v>
      </c>
      <c r="E166" s="1365"/>
      <c r="F166" s="1366"/>
      <c r="G166" s="1138">
        <f t="shared" ref="G166:L166" si="107">G165*0.05</f>
        <v>0</v>
      </c>
      <c r="H166" s="1138">
        <f t="shared" si="107"/>
        <v>0</v>
      </c>
      <c r="I166" s="1138">
        <f t="shared" si="107"/>
        <v>0</v>
      </c>
      <c r="J166" s="1138">
        <f t="shared" si="107"/>
        <v>0</v>
      </c>
      <c r="K166" s="1138">
        <f t="shared" si="107"/>
        <v>0</v>
      </c>
      <c r="L166" s="1138">
        <f t="shared" si="107"/>
        <v>0</v>
      </c>
      <c r="M166" s="1138"/>
      <c r="N166" s="425">
        <f>TRUNC(SUM(G166:M166),2)</f>
        <v>0</v>
      </c>
      <c r="O166" s="578">
        <f t="shared" si="88"/>
        <v>0</v>
      </c>
      <c r="P166" s="1321"/>
      <c r="Q166" s="1321"/>
      <c r="R166" s="1321"/>
      <c r="S166" s="1321"/>
      <c r="T166" s="1321"/>
      <c r="U166" s="1321"/>
      <c r="V166" s="1321"/>
      <c r="W166" s="1322"/>
      <c r="X166" s="1323"/>
      <c r="Y166" s="1321"/>
      <c r="Z166" s="1321"/>
      <c r="AA166" s="1321"/>
      <c r="AB166" s="1321"/>
      <c r="AC166" s="1321"/>
      <c r="AD166" s="1321"/>
      <c r="AE166" s="1322"/>
      <c r="AF166" s="1323"/>
      <c r="AG166" s="1321"/>
      <c r="AH166" s="1321"/>
      <c r="AI166" s="1321"/>
      <c r="AJ166" s="1322">
        <v>1</v>
      </c>
      <c r="AK166" s="1321"/>
      <c r="AL166" s="1321"/>
      <c r="AM166" s="1321"/>
      <c r="AN166" s="1321"/>
      <c r="AO166" s="1321"/>
      <c r="AP166" s="1321"/>
    </row>
    <row r="167" spans="1:42" ht="21.95" hidden="1" customHeight="1" x14ac:dyDescent="0.15">
      <c r="A167" s="2627"/>
      <c r="B167" s="2829"/>
      <c r="C167" s="2826"/>
      <c r="D167" s="542" t="s">
        <v>1498</v>
      </c>
      <c r="E167" s="1365"/>
      <c r="F167" s="1366"/>
      <c r="G167" s="1138">
        <f t="shared" ref="G167:L167" si="108">G136*G140*0.25</f>
        <v>0</v>
      </c>
      <c r="H167" s="1138">
        <f t="shared" si="108"/>
        <v>0</v>
      </c>
      <c r="I167" s="1138">
        <f t="shared" si="108"/>
        <v>0</v>
      </c>
      <c r="J167" s="1138">
        <f t="shared" si="108"/>
        <v>0</v>
      </c>
      <c r="K167" s="1138">
        <f t="shared" si="108"/>
        <v>0</v>
      </c>
      <c r="L167" s="1138">
        <f t="shared" si="108"/>
        <v>0</v>
      </c>
      <c r="M167" s="1138"/>
      <c r="N167" s="12"/>
      <c r="O167" s="578">
        <f t="shared" si="88"/>
        <v>0</v>
      </c>
      <c r="W167" s="1305"/>
      <c r="X167" s="1315"/>
      <c r="AE167" s="1305"/>
      <c r="AF167" s="1315"/>
      <c r="AJ167" s="1305"/>
    </row>
    <row r="168" spans="1:42" ht="21.95" hidden="1" customHeight="1" x14ac:dyDescent="0.15">
      <c r="A168" s="2627"/>
      <c r="B168" s="2829"/>
      <c r="C168" s="2826"/>
      <c r="D168" s="542" t="s">
        <v>1524</v>
      </c>
      <c r="E168" s="1365"/>
      <c r="F168" s="1366"/>
      <c r="G168" s="1138">
        <f t="shared" ref="G168:L168" si="109">(G165-G167)*0.08</f>
        <v>0</v>
      </c>
      <c r="H168" s="1138">
        <f t="shared" si="109"/>
        <v>0</v>
      </c>
      <c r="I168" s="1138">
        <f t="shared" si="109"/>
        <v>0</v>
      </c>
      <c r="J168" s="1138">
        <f t="shared" si="109"/>
        <v>0</v>
      </c>
      <c r="K168" s="1138">
        <f t="shared" si="109"/>
        <v>0</v>
      </c>
      <c r="L168" s="1138">
        <f t="shared" si="109"/>
        <v>0</v>
      </c>
      <c r="M168" s="1138"/>
      <c r="N168" s="425">
        <f>TRUNC(SUM(G168:M168),2)</f>
        <v>0</v>
      </c>
      <c r="O168" s="578">
        <f t="shared" si="88"/>
        <v>0</v>
      </c>
      <c r="P168" s="1037"/>
      <c r="Q168" s="1037">
        <v>9.7000000000000003E-2</v>
      </c>
      <c r="R168" s="1037"/>
      <c r="S168" s="1037"/>
      <c r="T168" s="1037"/>
      <c r="U168" s="1037"/>
      <c r="V168" s="1037"/>
      <c r="W168" s="1304"/>
      <c r="X168" s="1314"/>
      <c r="Y168" s="1037">
        <v>9.7000000000000003E-2</v>
      </c>
      <c r="Z168" s="1037"/>
      <c r="AA168" s="1037"/>
      <c r="AB168" s="1037"/>
      <c r="AC168" s="1037"/>
      <c r="AD168" s="1037"/>
      <c r="AE168" s="1304"/>
      <c r="AF168" s="1314"/>
      <c r="AG168" s="1037">
        <v>9.7000000000000003E-2</v>
      </c>
      <c r="AH168" s="1037"/>
      <c r="AI168" s="1037"/>
      <c r="AJ168" s="1304"/>
      <c r="AK168" s="1037"/>
      <c r="AL168" s="1037"/>
      <c r="AM168" s="1037"/>
      <c r="AN168" s="1037">
        <v>1E-3</v>
      </c>
      <c r="AO168" s="1037"/>
      <c r="AP168" s="1037">
        <v>1E-3</v>
      </c>
    </row>
    <row r="169" spans="1:42" ht="21.95" hidden="1" customHeight="1" thickBot="1" x14ac:dyDescent="0.2">
      <c r="A169" s="2627"/>
      <c r="B169" s="2866"/>
      <c r="C169" s="2827"/>
      <c r="D169" s="545" t="s">
        <v>1491</v>
      </c>
      <c r="E169" s="1371"/>
      <c r="F169" s="1372"/>
      <c r="G169" s="1134">
        <f t="shared" ref="G169:L169" si="110">G165*3.11*1.1224</f>
        <v>0</v>
      </c>
      <c r="H169" s="1134">
        <f t="shared" si="110"/>
        <v>0</v>
      </c>
      <c r="I169" s="1134">
        <f t="shared" si="110"/>
        <v>0</v>
      </c>
      <c r="J169" s="1134">
        <f t="shared" si="110"/>
        <v>0</v>
      </c>
      <c r="K169" s="1134">
        <f t="shared" si="110"/>
        <v>0</v>
      </c>
      <c r="L169" s="1134">
        <f t="shared" si="110"/>
        <v>0</v>
      </c>
      <c r="M169" s="1134"/>
      <c r="N169" s="429">
        <f>TRUNC(SUM(G169:M169),2)</f>
        <v>0</v>
      </c>
      <c r="O169" s="578">
        <f t="shared" si="88"/>
        <v>0</v>
      </c>
      <c r="P169" s="1037"/>
      <c r="Q169" s="1037"/>
      <c r="R169" s="1037"/>
      <c r="S169" s="1037"/>
      <c r="T169" s="1037"/>
      <c r="U169" s="1037"/>
      <c r="V169" s="1037"/>
      <c r="W169" s="1304"/>
      <c r="X169" s="1314"/>
      <c r="Y169" s="1037"/>
      <c r="Z169" s="1037"/>
      <c r="AA169" s="1037"/>
      <c r="AB169" s="1037"/>
      <c r="AC169" s="1037"/>
      <c r="AD169" s="1037"/>
      <c r="AE169" s="1304"/>
      <c r="AF169" s="1314"/>
      <c r="AG169" s="1037"/>
      <c r="AH169" s="1037"/>
      <c r="AI169" s="1037"/>
      <c r="AJ169" s="1304"/>
      <c r="AK169" s="1037">
        <v>1</v>
      </c>
      <c r="AL169" s="1037"/>
      <c r="AM169" s="1037"/>
      <c r="AN169" s="1037"/>
      <c r="AO169" s="1037"/>
      <c r="AP169" s="1037"/>
    </row>
    <row r="170" spans="1:42" ht="21.95" customHeight="1" thickBot="1" x14ac:dyDescent="0.2">
      <c r="A170" s="2627"/>
      <c r="B170" s="2739" t="s">
        <v>1871</v>
      </c>
      <c r="C170" s="2862"/>
      <c r="D170" s="2824"/>
      <c r="E170" s="1231"/>
      <c r="F170" s="552"/>
      <c r="G170" s="243">
        <f t="shared" ref="G170:L170" si="111">G162+G161+G165</f>
        <v>435.48</v>
      </c>
      <c r="H170" s="243">
        <f t="shared" si="111"/>
        <v>1926.35</v>
      </c>
      <c r="I170" s="243">
        <f t="shared" si="111"/>
        <v>390.96000000000004</v>
      </c>
      <c r="J170" s="243">
        <f t="shared" si="111"/>
        <v>261.28999999999996</v>
      </c>
      <c r="K170" s="243">
        <f t="shared" si="111"/>
        <v>308.55999999999995</v>
      </c>
      <c r="L170" s="243">
        <f t="shared" si="111"/>
        <v>2017.23</v>
      </c>
      <c r="M170" s="243"/>
      <c r="N170" s="1284">
        <f>TRUNC(SUM(G170:M170),2)</f>
        <v>5339.87</v>
      </c>
      <c r="O170" s="578">
        <f t="shared" si="88"/>
        <v>10679.74</v>
      </c>
      <c r="W170" s="1305"/>
      <c r="X170" s="1315"/>
      <c r="AE170" s="1305"/>
      <c r="AF170" s="1315"/>
      <c r="AJ170" s="1305"/>
    </row>
    <row r="171" spans="1:42" ht="21.95" hidden="1" customHeight="1" x14ac:dyDescent="0.15">
      <c r="A171" s="2627"/>
      <c r="B171" s="2727" t="s">
        <v>1501</v>
      </c>
      <c r="C171" s="2854" t="s">
        <v>3</v>
      </c>
      <c r="D171" s="2855"/>
      <c r="E171" s="1061"/>
      <c r="F171" s="1344"/>
      <c r="G171" s="162"/>
      <c r="H171" s="162"/>
      <c r="I171" s="162"/>
      <c r="J171" s="162"/>
      <c r="K171" s="162"/>
      <c r="L171" s="162"/>
      <c r="M171" s="162"/>
      <c r="N171" s="12">
        <f>TRUNC(SUM(G171:M171),2)</f>
        <v>0</v>
      </c>
      <c r="O171" s="578">
        <f t="shared" si="88"/>
        <v>0</v>
      </c>
      <c r="W171" s="1305"/>
      <c r="X171" s="1315"/>
      <c r="AE171" s="1305"/>
      <c r="AF171" s="1315"/>
      <c r="AJ171" s="1305"/>
    </row>
    <row r="172" spans="1:42" ht="21.95" hidden="1" customHeight="1" x14ac:dyDescent="0.15">
      <c r="A172" s="2627"/>
      <c r="B172" s="2516"/>
      <c r="C172" s="2854" t="s">
        <v>54</v>
      </c>
      <c r="D172" s="2855"/>
      <c r="E172" s="1061"/>
      <c r="F172" s="1344"/>
      <c r="G172" s="162"/>
      <c r="H172" s="162"/>
      <c r="I172" s="162"/>
      <c r="J172" s="162"/>
      <c r="K172" s="162"/>
      <c r="L172" s="162"/>
      <c r="M172" s="162"/>
      <c r="N172" s="428"/>
      <c r="O172" s="578">
        <f t="shared" si="88"/>
        <v>0</v>
      </c>
      <c r="W172" s="1305"/>
      <c r="X172" s="1315"/>
      <c r="AE172" s="1305"/>
      <c r="AF172" s="1315"/>
      <c r="AJ172" s="1305"/>
    </row>
    <row r="173" spans="1:42" ht="21.95" hidden="1" customHeight="1" x14ac:dyDescent="0.15">
      <c r="A173" s="2627"/>
      <c r="B173" s="2516"/>
      <c r="C173" s="2854" t="s">
        <v>1276</v>
      </c>
      <c r="D173" s="2855"/>
      <c r="E173" s="1061"/>
      <c r="F173" s="1344"/>
      <c r="G173" s="1280"/>
      <c r="H173" s="1280"/>
      <c r="I173" s="1280"/>
      <c r="J173" s="1280"/>
      <c r="K173" s="1280"/>
      <c r="L173" s="1280"/>
      <c r="M173" s="1280"/>
      <c r="N173" s="428"/>
      <c r="O173" s="578">
        <f t="shared" si="88"/>
        <v>0</v>
      </c>
      <c r="W173" s="1305"/>
      <c r="X173" s="1315"/>
      <c r="AE173" s="1305"/>
      <c r="AF173" s="1315"/>
      <c r="AJ173" s="1305"/>
    </row>
    <row r="174" spans="1:42" ht="21.95" hidden="1" customHeight="1" x14ac:dyDescent="0.15">
      <c r="A174" s="2627"/>
      <c r="B174" s="2516"/>
      <c r="C174" s="2854" t="s">
        <v>29</v>
      </c>
      <c r="D174" s="2855"/>
      <c r="E174" s="1061"/>
      <c r="F174" s="1344"/>
      <c r="G174" s="8">
        <f t="shared" ref="G174:L174" si="112">G172*G171</f>
        <v>0</v>
      </c>
      <c r="H174" s="8">
        <f t="shared" si="112"/>
        <v>0</v>
      </c>
      <c r="I174" s="8">
        <f t="shared" si="112"/>
        <v>0</v>
      </c>
      <c r="J174" s="8">
        <f t="shared" si="112"/>
        <v>0</v>
      </c>
      <c r="K174" s="8">
        <f t="shared" si="112"/>
        <v>0</v>
      </c>
      <c r="L174" s="8">
        <f t="shared" si="112"/>
        <v>0</v>
      </c>
      <c r="M174" s="8"/>
      <c r="N174" s="425">
        <f>TRUNC(SUM(G174:M174),2)</f>
        <v>0</v>
      </c>
      <c r="O174" s="578">
        <f t="shared" si="88"/>
        <v>0</v>
      </c>
      <c r="W174" s="1305"/>
      <c r="X174" s="1315"/>
      <c r="AE174" s="1305"/>
      <c r="AF174" s="1315"/>
      <c r="AJ174" s="1305"/>
    </row>
    <row r="175" spans="1:42" ht="21.95" hidden="1" customHeight="1" x14ac:dyDescent="0.15">
      <c r="A175" s="2627"/>
      <c r="B175" s="2516"/>
      <c r="C175" s="2854" t="s">
        <v>11</v>
      </c>
      <c r="D175" s="2855"/>
      <c r="E175" s="1061"/>
      <c r="F175" s="1344"/>
      <c r="G175" s="8">
        <f t="shared" ref="G175:L175" si="113">G173*G174/100</f>
        <v>0</v>
      </c>
      <c r="H175" s="8">
        <f t="shared" si="113"/>
        <v>0</v>
      </c>
      <c r="I175" s="8">
        <f t="shared" si="113"/>
        <v>0</v>
      </c>
      <c r="J175" s="8">
        <f t="shared" si="113"/>
        <v>0</v>
      </c>
      <c r="K175" s="8">
        <f t="shared" si="113"/>
        <v>0</v>
      </c>
      <c r="L175" s="8">
        <f t="shared" si="113"/>
        <v>0</v>
      </c>
      <c r="M175" s="8"/>
      <c r="N175" s="425">
        <f>TRUNC(SUM(G175:M175),2)</f>
        <v>0</v>
      </c>
      <c r="O175" s="578">
        <f t="shared" si="88"/>
        <v>0</v>
      </c>
      <c r="W175" s="1305"/>
      <c r="X175" s="1315"/>
      <c r="AE175" s="1305"/>
      <c r="AF175" s="1315"/>
      <c r="AJ175" s="1305"/>
    </row>
    <row r="176" spans="1:42" ht="21.95" hidden="1" customHeight="1" thickBot="1" x14ac:dyDescent="0.2">
      <c r="A176" s="2627"/>
      <c r="B176" s="2728"/>
      <c r="C176" s="2854" t="s">
        <v>1500</v>
      </c>
      <c r="D176" s="2855"/>
      <c r="E176" s="982"/>
      <c r="F176" s="1269"/>
      <c r="G176" s="215">
        <f t="shared" ref="G176:L176" si="114">G175*1.25</f>
        <v>0</v>
      </c>
      <c r="H176" s="215">
        <f t="shared" si="114"/>
        <v>0</v>
      </c>
      <c r="I176" s="215">
        <f t="shared" si="114"/>
        <v>0</v>
      </c>
      <c r="J176" s="215">
        <f t="shared" si="114"/>
        <v>0</v>
      </c>
      <c r="K176" s="215">
        <f t="shared" si="114"/>
        <v>0</v>
      </c>
      <c r="L176" s="215">
        <f t="shared" si="114"/>
        <v>0</v>
      </c>
      <c r="M176" s="215"/>
      <c r="N176" s="416">
        <f>TRUNC(SUM(G176:M176),2)</f>
        <v>0</v>
      </c>
      <c r="O176" s="578">
        <f t="shared" si="88"/>
        <v>0</v>
      </c>
      <c r="W176" s="1305"/>
      <c r="X176" s="1315"/>
      <c r="AE176" s="1305"/>
      <c r="AF176" s="1315"/>
      <c r="AJ176" s="1305"/>
    </row>
    <row r="177" spans="1:36" ht="21.95" customHeight="1" x14ac:dyDescent="0.15">
      <c r="A177" s="2627"/>
      <c r="B177" s="2533" t="s">
        <v>1863</v>
      </c>
      <c r="C177" s="2852" t="s">
        <v>1504</v>
      </c>
      <c r="D177" s="2853"/>
      <c r="E177" s="1061"/>
      <c r="F177" s="1344"/>
      <c r="G177" s="8">
        <f>93.56+70.23</f>
        <v>163.79000000000002</v>
      </c>
      <c r="H177" s="8">
        <f>119.93+152.93</f>
        <v>272.86</v>
      </c>
      <c r="I177" s="8">
        <f>39.75+32.58</f>
        <v>72.33</v>
      </c>
      <c r="J177" s="8">
        <f>21.58</f>
        <v>21.58</v>
      </c>
      <c r="K177" s="8">
        <f>41.6</f>
        <v>41.6</v>
      </c>
      <c r="L177" s="8">
        <f>20.08+98.77</f>
        <v>118.85</v>
      </c>
      <c r="M177" s="8"/>
      <c r="N177" s="12">
        <f>TRUNC(SUM(G177:M177),2)</f>
        <v>691.01</v>
      </c>
      <c r="O177" s="578">
        <f t="shared" si="88"/>
        <v>1382.02</v>
      </c>
      <c r="W177" s="1305"/>
      <c r="X177" s="1315"/>
      <c r="AE177" s="1305"/>
      <c r="AF177" s="1315"/>
      <c r="AJ177" s="1305"/>
    </row>
    <row r="178" spans="1:36" ht="21.95" hidden="1" customHeight="1" x14ac:dyDescent="0.15">
      <c r="A178" s="2627"/>
      <c r="B178" s="2534"/>
      <c r="C178" s="2854" t="s">
        <v>753</v>
      </c>
      <c r="D178" s="2855"/>
      <c r="E178" s="1061"/>
      <c r="F178" s="1344"/>
      <c r="G178" s="8">
        <f t="shared" ref="G178:L178" si="115">(G223*2+G224*3)*G222</f>
        <v>0</v>
      </c>
      <c r="H178" s="8">
        <f t="shared" si="115"/>
        <v>0</v>
      </c>
      <c r="I178" s="8">
        <f t="shared" si="115"/>
        <v>0</v>
      </c>
      <c r="J178" s="8">
        <f t="shared" si="115"/>
        <v>0</v>
      </c>
      <c r="K178" s="8">
        <f t="shared" si="115"/>
        <v>0</v>
      </c>
      <c r="L178" s="8">
        <f t="shared" si="115"/>
        <v>0</v>
      </c>
      <c r="M178" s="8"/>
      <c r="N178" s="12"/>
      <c r="O178" s="578"/>
      <c r="W178" s="1305"/>
      <c r="X178" s="1315"/>
      <c r="AE178" s="1305"/>
      <c r="AF178" s="1315"/>
      <c r="AJ178" s="1305"/>
    </row>
    <row r="179" spans="1:36" ht="21.95" customHeight="1" x14ac:dyDescent="0.15">
      <c r="A179" s="2627"/>
      <c r="B179" s="2534"/>
      <c r="C179" s="2854" t="s">
        <v>1503</v>
      </c>
      <c r="D179" s="2855"/>
      <c r="E179" s="1061"/>
      <c r="F179" s="1344"/>
      <c r="G179" s="8">
        <f t="shared" ref="G179:L179" si="116">(G144+G145)*2</f>
        <v>9.68</v>
      </c>
      <c r="H179" s="8">
        <f t="shared" si="116"/>
        <v>57.34</v>
      </c>
      <c r="I179" s="8">
        <f t="shared" si="116"/>
        <v>28.299999999999997</v>
      </c>
      <c r="J179" s="8">
        <f t="shared" si="116"/>
        <v>19.36</v>
      </c>
      <c r="K179" s="8">
        <f t="shared" si="116"/>
        <v>13.78</v>
      </c>
      <c r="L179" s="8">
        <f t="shared" si="116"/>
        <v>38.72</v>
      </c>
      <c r="M179" s="8"/>
      <c r="N179" s="12">
        <f>TRUNC(SUM(G179:M179),2)</f>
        <v>167.18</v>
      </c>
      <c r="O179" s="578">
        <f t="shared" ref="O179:O211" si="117">SUM(G179:N179)</f>
        <v>334.36</v>
      </c>
      <c r="W179" s="1305"/>
      <c r="X179" s="1315"/>
      <c r="AE179" s="1305"/>
      <c r="AF179" s="1315"/>
      <c r="AJ179" s="1305"/>
    </row>
    <row r="180" spans="1:36" ht="21.95" customHeight="1" thickBot="1" x14ac:dyDescent="0.2">
      <c r="A180" s="2627"/>
      <c r="B180" s="2535"/>
      <c r="C180" s="2858" t="s">
        <v>0</v>
      </c>
      <c r="D180" s="2745"/>
      <c r="E180" s="982"/>
      <c r="F180" s="1269"/>
      <c r="G180" s="215">
        <f>G179+G177+G178</f>
        <v>173.47000000000003</v>
      </c>
      <c r="H180" s="215">
        <f t="shared" ref="H180:L180" si="118">H179+H177+H178</f>
        <v>330.20000000000005</v>
      </c>
      <c r="I180" s="215">
        <f t="shared" si="118"/>
        <v>100.63</v>
      </c>
      <c r="J180" s="215">
        <f t="shared" si="118"/>
        <v>40.94</v>
      </c>
      <c r="K180" s="215">
        <f t="shared" si="118"/>
        <v>55.38</v>
      </c>
      <c r="L180" s="215">
        <f t="shared" si="118"/>
        <v>157.57</v>
      </c>
      <c r="M180" s="215"/>
      <c r="N180" s="416">
        <f>TRUNC(SUM(G180:M180),2)</f>
        <v>858.19</v>
      </c>
      <c r="O180" s="578">
        <f t="shared" si="117"/>
        <v>1716.38</v>
      </c>
      <c r="W180" s="1305"/>
      <c r="X180" s="1315"/>
      <c r="AE180" s="1305"/>
      <c r="AF180" s="1315"/>
      <c r="AJ180" s="1305"/>
    </row>
    <row r="181" spans="1:36" ht="21.95" hidden="1" customHeight="1" x14ac:dyDescent="0.15">
      <c r="A181" s="2627"/>
      <c r="B181" s="2533" t="s">
        <v>1505</v>
      </c>
      <c r="C181" s="2722" t="s">
        <v>1504</v>
      </c>
      <c r="D181" s="541" t="s">
        <v>1276</v>
      </c>
      <c r="E181" s="1060"/>
      <c r="F181" s="1343"/>
      <c r="G181" s="1285"/>
      <c r="H181" s="1285"/>
      <c r="I181" s="1285"/>
      <c r="J181" s="1285"/>
      <c r="K181" s="1285"/>
      <c r="L181" s="1285"/>
      <c r="M181" s="1285"/>
      <c r="N181" s="430"/>
      <c r="O181" s="578">
        <f t="shared" si="117"/>
        <v>0</v>
      </c>
      <c r="W181" s="1305"/>
      <c r="X181" s="1315"/>
      <c r="AE181" s="1305"/>
      <c r="AF181" s="1315"/>
      <c r="AJ181" s="1305"/>
    </row>
    <row r="182" spans="1:36" ht="21.95" hidden="1" customHeight="1" x14ac:dyDescent="0.15">
      <c r="A182" s="2627"/>
      <c r="B182" s="2534"/>
      <c r="C182" s="2724"/>
      <c r="D182" s="542" t="s">
        <v>29</v>
      </c>
      <c r="E182" s="1061"/>
      <c r="F182" s="1344"/>
      <c r="G182" s="8">
        <f t="shared" ref="G182:L182" si="119">G160+G142*G137*G138</f>
        <v>0</v>
      </c>
      <c r="H182" s="8">
        <f t="shared" si="119"/>
        <v>0</v>
      </c>
      <c r="I182" s="8">
        <f t="shared" si="119"/>
        <v>0</v>
      </c>
      <c r="J182" s="8">
        <f t="shared" si="119"/>
        <v>0</v>
      </c>
      <c r="K182" s="8">
        <f t="shared" si="119"/>
        <v>0</v>
      </c>
      <c r="L182" s="8">
        <f t="shared" si="119"/>
        <v>0</v>
      </c>
      <c r="M182" s="8"/>
      <c r="N182" s="12">
        <f>TRUNC(SUM(G182:M182),2)</f>
        <v>0</v>
      </c>
      <c r="O182" s="578">
        <f t="shared" si="117"/>
        <v>0</v>
      </c>
      <c r="W182" s="1305"/>
      <c r="X182" s="1315"/>
      <c r="AE182" s="1305"/>
      <c r="AF182" s="1315"/>
      <c r="AJ182" s="1305"/>
    </row>
    <row r="183" spans="1:36" ht="21.95" hidden="1" customHeight="1" x14ac:dyDescent="0.15">
      <c r="A183" s="2627"/>
      <c r="B183" s="2534"/>
      <c r="C183" s="2863"/>
      <c r="D183" s="542" t="s">
        <v>206</v>
      </c>
      <c r="E183" s="1062"/>
      <c r="F183" s="1361"/>
      <c r="G183" s="1072">
        <f t="shared" ref="G183:L183" si="120">G182*G181/100</f>
        <v>0</v>
      </c>
      <c r="H183" s="1072">
        <f t="shared" si="120"/>
        <v>0</v>
      </c>
      <c r="I183" s="1072">
        <f t="shared" si="120"/>
        <v>0</v>
      </c>
      <c r="J183" s="1072">
        <f t="shared" si="120"/>
        <v>0</v>
      </c>
      <c r="K183" s="1072">
        <f t="shared" si="120"/>
        <v>0</v>
      </c>
      <c r="L183" s="1072">
        <f t="shared" si="120"/>
        <v>0</v>
      </c>
      <c r="M183" s="1072"/>
      <c r="N183" s="1276">
        <f>TRUNC(SUM(G183:M183),2)</f>
        <v>0</v>
      </c>
      <c r="O183" s="578">
        <f t="shared" si="117"/>
        <v>0</v>
      </c>
      <c r="Q183" s="46"/>
      <c r="R183" s="46"/>
      <c r="S183" s="46"/>
      <c r="W183" s="1305"/>
      <c r="X183" s="1315"/>
      <c r="AE183" s="1305"/>
      <c r="AF183" s="1315"/>
      <c r="AJ183" s="1305"/>
    </row>
    <row r="184" spans="1:36" ht="21.95" hidden="1" customHeight="1" x14ac:dyDescent="0.15">
      <c r="A184" s="2627"/>
      <c r="B184" s="2534"/>
      <c r="C184" s="2851" t="s">
        <v>1506</v>
      </c>
      <c r="D184" s="542" t="s">
        <v>3</v>
      </c>
      <c r="E184" s="1061"/>
      <c r="F184" s="1344"/>
      <c r="G184" s="162"/>
      <c r="H184" s="162"/>
      <c r="I184" s="162"/>
      <c r="J184" s="162"/>
      <c r="K184" s="162"/>
      <c r="L184" s="162"/>
      <c r="M184" s="162"/>
      <c r="N184" s="12"/>
      <c r="O184" s="578">
        <f t="shared" si="117"/>
        <v>0</v>
      </c>
      <c r="Q184" s="46"/>
      <c r="R184" s="46"/>
      <c r="S184" s="46"/>
      <c r="W184" s="1305"/>
      <c r="X184" s="1315"/>
      <c r="AE184" s="1305"/>
      <c r="AF184" s="1315"/>
      <c r="AJ184" s="1305"/>
    </row>
    <row r="185" spans="1:36" ht="21.95" hidden="1" customHeight="1" x14ac:dyDescent="0.15">
      <c r="A185" s="2627"/>
      <c r="B185" s="2534"/>
      <c r="C185" s="2851"/>
      <c r="D185" s="542" t="s">
        <v>58</v>
      </c>
      <c r="E185" s="1061"/>
      <c r="F185" s="1344"/>
      <c r="G185" s="162"/>
      <c r="H185" s="162"/>
      <c r="I185" s="162"/>
      <c r="J185" s="162"/>
      <c r="K185" s="162"/>
      <c r="L185" s="162"/>
      <c r="M185" s="162"/>
      <c r="N185" s="12"/>
      <c r="O185" s="578">
        <f t="shared" si="117"/>
        <v>0</v>
      </c>
      <c r="Q185" s="46"/>
      <c r="R185" s="46"/>
      <c r="S185" s="46"/>
      <c r="W185" s="1305"/>
      <c r="X185" s="1315"/>
      <c r="AE185" s="1305"/>
      <c r="AF185" s="1315"/>
      <c r="AJ185" s="1305"/>
    </row>
    <row r="186" spans="1:36" ht="21.95" hidden="1" customHeight="1" x14ac:dyDescent="0.15">
      <c r="A186" s="2627"/>
      <c r="B186" s="2534"/>
      <c r="C186" s="2851"/>
      <c r="D186" s="542" t="s">
        <v>1276</v>
      </c>
      <c r="E186" s="1061"/>
      <c r="F186" s="1344"/>
      <c r="G186" s="1280"/>
      <c r="H186" s="1280"/>
      <c r="I186" s="1280"/>
      <c r="J186" s="1280"/>
      <c r="K186" s="1280"/>
      <c r="L186" s="1280"/>
      <c r="M186" s="1280"/>
      <c r="N186" s="12"/>
      <c r="O186" s="578">
        <f t="shared" si="117"/>
        <v>0</v>
      </c>
      <c r="Q186" s="46"/>
      <c r="R186" s="46"/>
      <c r="S186" s="46"/>
      <c r="W186" s="1305"/>
      <c r="X186" s="1315"/>
      <c r="AE186" s="1305"/>
      <c r="AF186" s="1315"/>
      <c r="AJ186" s="1305"/>
    </row>
    <row r="187" spans="1:36" ht="21.95" customHeight="1" x14ac:dyDescent="0.15">
      <c r="A187" s="2627"/>
      <c r="B187" s="2534"/>
      <c r="C187" s="2851"/>
      <c r="D187" s="542" t="s">
        <v>206</v>
      </c>
      <c r="E187" s="1062"/>
      <c r="F187" s="1361"/>
      <c r="G187" s="1072">
        <f>6.49+10.09</f>
        <v>16.579999999999998</v>
      </c>
      <c r="H187" s="1072">
        <f>16+14.54</f>
        <v>30.54</v>
      </c>
      <c r="I187" s="1072">
        <f>7.06+4.6</f>
        <v>11.66</v>
      </c>
      <c r="J187" s="1072">
        <f>1.23</f>
        <v>1.23</v>
      </c>
      <c r="K187" s="1072">
        <f>6.34</f>
        <v>6.34</v>
      </c>
      <c r="L187" s="1072">
        <f>1.84+6.41</f>
        <v>8.25</v>
      </c>
      <c r="M187" s="1072"/>
      <c r="N187" s="1276">
        <f>TRUNC(SUM(G187:M187),2)</f>
        <v>74.599999999999994</v>
      </c>
      <c r="O187" s="578">
        <f t="shared" si="117"/>
        <v>149.19999999999999</v>
      </c>
      <c r="Q187" s="46"/>
      <c r="R187" s="46"/>
      <c r="S187" s="46"/>
      <c r="W187" s="1305"/>
      <c r="X187" s="1315"/>
      <c r="AE187" s="1305"/>
      <c r="AF187" s="1315"/>
      <c r="AJ187" s="1305"/>
    </row>
    <row r="188" spans="1:36" ht="21.95" customHeight="1" thickBot="1" x14ac:dyDescent="0.2">
      <c r="A188" s="2627"/>
      <c r="B188" s="2535"/>
      <c r="C188" s="2858" t="s">
        <v>1508</v>
      </c>
      <c r="D188" s="2745"/>
      <c r="E188" s="982"/>
      <c r="F188" s="1269"/>
      <c r="G188" s="215">
        <f t="shared" ref="G188:L188" si="121">G187+G183</f>
        <v>16.579999999999998</v>
      </c>
      <c r="H188" s="215">
        <f t="shared" si="121"/>
        <v>30.54</v>
      </c>
      <c r="I188" s="215">
        <f t="shared" si="121"/>
        <v>11.66</v>
      </c>
      <c r="J188" s="215">
        <f t="shared" si="121"/>
        <v>1.23</v>
      </c>
      <c r="K188" s="215">
        <f t="shared" si="121"/>
        <v>6.34</v>
      </c>
      <c r="L188" s="215">
        <f t="shared" si="121"/>
        <v>8.25</v>
      </c>
      <c r="M188" s="215"/>
      <c r="N188" s="416">
        <f>TRUNC(SUM(G188:M188),2)</f>
        <v>74.599999999999994</v>
      </c>
      <c r="O188" s="578">
        <f t="shared" si="117"/>
        <v>149.19999999999999</v>
      </c>
      <c r="W188" s="1305"/>
      <c r="X188" s="1315"/>
      <c r="AE188" s="1305"/>
      <c r="AF188" s="1315"/>
      <c r="AJ188" s="1305"/>
    </row>
    <row r="189" spans="1:36" ht="21.95" hidden="1" customHeight="1" x14ac:dyDescent="0.15">
      <c r="A189" s="2627"/>
      <c r="B189" s="2533" t="s">
        <v>1509</v>
      </c>
      <c r="C189" s="2854" t="s">
        <v>3</v>
      </c>
      <c r="D189" s="2855"/>
      <c r="E189" s="1060"/>
      <c r="F189" s="1343"/>
      <c r="G189" s="218"/>
      <c r="H189" s="218"/>
      <c r="I189" s="218"/>
      <c r="J189" s="218"/>
      <c r="K189" s="218"/>
      <c r="L189" s="218"/>
      <c r="M189" s="218"/>
      <c r="N189" s="430"/>
      <c r="O189" s="578">
        <f t="shared" si="117"/>
        <v>0</v>
      </c>
      <c r="Q189" s="46"/>
      <c r="R189" s="46"/>
      <c r="S189" s="46"/>
      <c r="W189" s="1305"/>
      <c r="X189" s="1315"/>
      <c r="AE189" s="1305"/>
      <c r="AF189" s="1315"/>
      <c r="AJ189" s="1305"/>
    </row>
    <row r="190" spans="1:36" ht="21.95" hidden="1" customHeight="1" x14ac:dyDescent="0.15">
      <c r="A190" s="2627"/>
      <c r="B190" s="2534"/>
      <c r="C190" s="2854" t="s">
        <v>58</v>
      </c>
      <c r="D190" s="2855"/>
      <c r="E190" s="1061"/>
      <c r="F190" s="1344"/>
      <c r="G190" s="162"/>
      <c r="H190" s="162"/>
      <c r="I190" s="162"/>
      <c r="J190" s="162"/>
      <c r="K190" s="162"/>
      <c r="L190" s="162"/>
      <c r="M190" s="162"/>
      <c r="N190" s="428"/>
      <c r="O190" s="578">
        <f t="shared" si="117"/>
        <v>0</v>
      </c>
      <c r="Q190" s="46"/>
      <c r="R190" s="46"/>
      <c r="S190" s="46"/>
      <c r="W190" s="1305"/>
      <c r="X190" s="1315"/>
      <c r="AE190" s="1305"/>
      <c r="AF190" s="1315"/>
      <c r="AJ190" s="1305"/>
    </row>
    <row r="191" spans="1:36" ht="21.95" hidden="1" customHeight="1" x14ac:dyDescent="0.15">
      <c r="A191" s="2627"/>
      <c r="B191" s="2534"/>
      <c r="C191" s="2854" t="s">
        <v>1276</v>
      </c>
      <c r="D191" s="2855"/>
      <c r="E191" s="1061"/>
      <c r="F191" s="1344"/>
      <c r="G191" s="426"/>
      <c r="H191" s="426"/>
      <c r="I191" s="426"/>
      <c r="J191" s="426"/>
      <c r="K191" s="426"/>
      <c r="L191" s="426"/>
      <c r="M191" s="426"/>
      <c r="N191" s="428"/>
      <c r="O191" s="578">
        <f t="shared" si="117"/>
        <v>0</v>
      </c>
      <c r="Q191" s="46"/>
      <c r="R191" s="46"/>
      <c r="S191" s="46"/>
      <c r="W191" s="1305"/>
      <c r="X191" s="1315"/>
      <c r="AE191" s="1305"/>
      <c r="AF191" s="1315"/>
      <c r="AJ191" s="1305"/>
    </row>
    <row r="192" spans="1:36" ht="21.95" hidden="1" customHeight="1" thickBot="1" x14ac:dyDescent="0.2">
      <c r="A192" s="2627"/>
      <c r="B192" s="2535"/>
      <c r="C192" s="2858" t="s">
        <v>206</v>
      </c>
      <c r="D192" s="2745"/>
      <c r="E192" s="982"/>
      <c r="F192" s="1269"/>
      <c r="G192" s="215">
        <f t="shared" ref="G192:L192" si="122">G191*G190*G189/100</f>
        <v>0</v>
      </c>
      <c r="H192" s="215">
        <f t="shared" si="122"/>
        <v>0</v>
      </c>
      <c r="I192" s="215">
        <f t="shared" si="122"/>
        <v>0</v>
      </c>
      <c r="J192" s="215">
        <f t="shared" si="122"/>
        <v>0</v>
      </c>
      <c r="K192" s="215">
        <f t="shared" si="122"/>
        <v>0</v>
      </c>
      <c r="L192" s="215">
        <f t="shared" si="122"/>
        <v>0</v>
      </c>
      <c r="M192" s="215"/>
      <c r="N192" s="416">
        <f>TRUNC(SUM(G192:M192),2)</f>
        <v>0</v>
      </c>
      <c r="O192" s="578">
        <f t="shared" si="117"/>
        <v>0</v>
      </c>
      <c r="Q192" s="46"/>
      <c r="R192" s="46"/>
      <c r="S192" s="46"/>
      <c r="W192" s="1305"/>
      <c r="X192" s="1315"/>
      <c r="AE192" s="1305"/>
      <c r="AF192" s="1315"/>
      <c r="AJ192" s="1305"/>
    </row>
    <row r="193" spans="1:43" ht="21.95" hidden="1" customHeight="1" x14ac:dyDescent="0.15">
      <c r="A193" s="2627"/>
      <c r="B193" s="2533" t="s">
        <v>1510</v>
      </c>
      <c r="C193" s="2860" t="s">
        <v>3</v>
      </c>
      <c r="D193" s="2861"/>
      <c r="E193" s="1060"/>
      <c r="F193" s="1343"/>
      <c r="G193" s="218"/>
      <c r="H193" s="218"/>
      <c r="I193" s="218"/>
      <c r="J193" s="218"/>
      <c r="K193" s="218"/>
      <c r="L193" s="218"/>
      <c r="M193" s="218"/>
      <c r="N193" s="430"/>
      <c r="O193" s="578">
        <f t="shared" si="117"/>
        <v>0</v>
      </c>
      <c r="Q193" s="46"/>
      <c r="R193" s="46"/>
      <c r="S193" s="46"/>
      <c r="W193" s="1305"/>
      <c r="X193" s="1315"/>
      <c r="AE193" s="1305"/>
      <c r="AF193" s="1315"/>
      <c r="AJ193" s="1305"/>
    </row>
    <row r="194" spans="1:43" ht="21.95" hidden="1" customHeight="1" x14ac:dyDescent="0.15">
      <c r="A194" s="2627"/>
      <c r="B194" s="2534"/>
      <c r="C194" s="2854" t="s">
        <v>58</v>
      </c>
      <c r="D194" s="2855"/>
      <c r="E194" s="1061"/>
      <c r="F194" s="1344"/>
      <c r="G194" s="162"/>
      <c r="H194" s="162"/>
      <c r="I194" s="162"/>
      <c r="J194" s="162"/>
      <c r="K194" s="162"/>
      <c r="L194" s="162"/>
      <c r="M194" s="162"/>
      <c r="N194" s="428"/>
      <c r="O194" s="578">
        <f t="shared" si="117"/>
        <v>0</v>
      </c>
      <c r="Q194" s="46"/>
      <c r="R194" s="46"/>
      <c r="S194" s="46"/>
      <c r="W194" s="1305"/>
      <c r="X194" s="1315"/>
      <c r="AE194" s="1305"/>
      <c r="AF194" s="1315"/>
      <c r="AJ194" s="1305"/>
    </row>
    <row r="195" spans="1:43" ht="21.95" hidden="1" customHeight="1" x14ac:dyDescent="0.15">
      <c r="A195" s="2627"/>
      <c r="B195" s="2534"/>
      <c r="C195" s="2854" t="s">
        <v>1276</v>
      </c>
      <c r="D195" s="2855"/>
      <c r="E195" s="1061"/>
      <c r="F195" s="1344"/>
      <c r="G195" s="426"/>
      <c r="H195" s="426"/>
      <c r="I195" s="426"/>
      <c r="J195" s="426"/>
      <c r="K195" s="426"/>
      <c r="L195" s="426"/>
      <c r="M195" s="426"/>
      <c r="N195" s="428"/>
      <c r="O195" s="578">
        <f t="shared" si="117"/>
        <v>0</v>
      </c>
      <c r="Q195" s="46"/>
      <c r="R195" s="46"/>
      <c r="S195" s="46"/>
      <c r="W195" s="1305"/>
      <c r="X195" s="1315"/>
      <c r="AE195" s="1305"/>
      <c r="AF195" s="1315"/>
      <c r="AJ195" s="1305"/>
    </row>
    <row r="196" spans="1:43" ht="21.95" hidden="1" customHeight="1" x14ac:dyDescent="0.15">
      <c r="A196" s="2627"/>
      <c r="B196" s="2534"/>
      <c r="C196" s="2854" t="s">
        <v>29</v>
      </c>
      <c r="D196" s="2855"/>
      <c r="E196" s="1061"/>
      <c r="F196" s="1344"/>
      <c r="G196" s="426"/>
      <c r="H196" s="426"/>
      <c r="I196" s="426"/>
      <c r="J196" s="426"/>
      <c r="K196" s="426"/>
      <c r="L196" s="426"/>
      <c r="M196" s="426"/>
      <c r="N196" s="12">
        <f t="shared" ref="N196:N223" si="123">TRUNC(SUM(G196:M196),2)</f>
        <v>0</v>
      </c>
      <c r="O196" s="578">
        <f t="shared" si="117"/>
        <v>0</v>
      </c>
      <c r="Q196" s="46"/>
      <c r="R196" s="46"/>
      <c r="S196" s="46"/>
      <c r="W196" s="1305"/>
      <c r="X196" s="1315"/>
      <c r="AE196" s="1305"/>
      <c r="AF196" s="1315"/>
      <c r="AJ196" s="1305"/>
    </row>
    <row r="197" spans="1:43" ht="21.95" hidden="1" customHeight="1" thickBot="1" x14ac:dyDescent="0.2">
      <c r="A197" s="2627"/>
      <c r="B197" s="2535"/>
      <c r="C197" s="2854" t="s">
        <v>206</v>
      </c>
      <c r="D197" s="2855"/>
      <c r="E197" s="982"/>
      <c r="F197" s="1269"/>
      <c r="G197" s="215">
        <f t="shared" ref="G197:L197" si="124">G195*G194*G193/100</f>
        <v>0</v>
      </c>
      <c r="H197" s="215">
        <f t="shared" si="124"/>
        <v>0</v>
      </c>
      <c r="I197" s="215">
        <f t="shared" si="124"/>
        <v>0</v>
      </c>
      <c r="J197" s="215">
        <f t="shared" si="124"/>
        <v>0</v>
      </c>
      <c r="K197" s="215">
        <f t="shared" si="124"/>
        <v>0</v>
      </c>
      <c r="L197" s="215">
        <f t="shared" si="124"/>
        <v>0</v>
      </c>
      <c r="M197" s="215"/>
      <c r="N197" s="416">
        <f t="shared" si="123"/>
        <v>0</v>
      </c>
      <c r="O197" s="578">
        <f t="shared" si="117"/>
        <v>0</v>
      </c>
      <c r="Q197" s="46"/>
      <c r="R197" s="46"/>
      <c r="S197" s="46"/>
      <c r="W197" s="1305"/>
      <c r="X197" s="1315"/>
      <c r="AE197" s="1305"/>
      <c r="AF197" s="1315"/>
      <c r="AJ197" s="1305"/>
    </row>
    <row r="198" spans="1:43" ht="21.95" hidden="1" customHeight="1" x14ac:dyDescent="0.15">
      <c r="A198" s="2627"/>
      <c r="B198" s="2828" t="s">
        <v>1523</v>
      </c>
      <c r="C198" s="2852" t="s">
        <v>1511</v>
      </c>
      <c r="D198" s="2853"/>
      <c r="E198" s="1061"/>
      <c r="F198" s="1344"/>
      <c r="G198" s="426"/>
      <c r="H198" s="426"/>
      <c r="I198" s="426"/>
      <c r="J198" s="426"/>
      <c r="K198" s="426"/>
      <c r="L198" s="426"/>
      <c r="M198" s="426"/>
      <c r="N198" s="425">
        <f t="shared" si="123"/>
        <v>0</v>
      </c>
      <c r="O198" s="578">
        <f t="shared" si="117"/>
        <v>0</v>
      </c>
      <c r="Q198" s="46"/>
      <c r="R198" s="46"/>
      <c r="S198" s="46"/>
      <c r="W198" s="1305"/>
      <c r="X198" s="1315"/>
      <c r="AE198" s="1305"/>
      <c r="AF198" s="1315"/>
      <c r="AJ198" s="1305"/>
    </row>
    <row r="199" spans="1:43" ht="21.95" hidden="1" customHeight="1" x14ac:dyDescent="0.15">
      <c r="A199" s="2627"/>
      <c r="B199" s="2829"/>
      <c r="C199" s="2854" t="s">
        <v>1532</v>
      </c>
      <c r="D199" s="2855"/>
      <c r="E199" s="1061"/>
      <c r="F199" s="1344"/>
      <c r="G199" s="426"/>
      <c r="H199" s="426"/>
      <c r="I199" s="426"/>
      <c r="J199" s="426"/>
      <c r="K199" s="426"/>
      <c r="L199" s="426"/>
      <c r="M199" s="426"/>
      <c r="N199" s="425">
        <f t="shared" si="123"/>
        <v>0</v>
      </c>
      <c r="O199" s="578">
        <f t="shared" si="117"/>
        <v>0</v>
      </c>
      <c r="P199" s="1037"/>
      <c r="Q199" s="1037">
        <v>0.05</v>
      </c>
      <c r="R199" s="1037"/>
      <c r="S199" s="1037">
        <v>307.77999999999997</v>
      </c>
      <c r="T199" s="1037"/>
      <c r="U199" s="1037"/>
      <c r="V199" s="1037"/>
      <c r="W199" s="1304"/>
      <c r="X199" s="1314"/>
      <c r="Y199" s="1037">
        <v>0.05</v>
      </c>
      <c r="Z199" s="1037"/>
      <c r="AA199" s="1037">
        <v>0.89</v>
      </c>
      <c r="AB199" s="1037"/>
      <c r="AC199" s="1037"/>
      <c r="AD199" s="1037"/>
      <c r="AE199" s="1304"/>
      <c r="AF199" s="1314"/>
      <c r="AG199" s="1037">
        <v>0.05</v>
      </c>
      <c r="AH199" s="1037"/>
      <c r="AI199" s="1037"/>
      <c r="AJ199" s="1304"/>
      <c r="AK199" s="1037">
        <v>2</v>
      </c>
      <c r="AL199" s="1037"/>
      <c r="AM199" s="1037"/>
      <c r="AN199" s="1037"/>
      <c r="AO199" s="1037">
        <v>0.2</v>
      </c>
      <c r="AP199" s="1037"/>
      <c r="AQ199" s="1289">
        <v>6171</v>
      </c>
    </row>
    <row r="200" spans="1:43" ht="21.95" hidden="1" customHeight="1" x14ac:dyDescent="0.15">
      <c r="A200" s="2627"/>
      <c r="B200" s="2829"/>
      <c r="C200" s="2854" t="s">
        <v>1512</v>
      </c>
      <c r="D200" s="2855"/>
      <c r="E200" s="1061"/>
      <c r="F200" s="1559">
        <v>3.5</v>
      </c>
      <c r="G200" s="426"/>
      <c r="H200" s="426"/>
      <c r="I200" s="426"/>
      <c r="J200" s="426"/>
      <c r="K200" s="426"/>
      <c r="L200" s="426"/>
      <c r="M200" s="426"/>
      <c r="N200" s="425">
        <f t="shared" si="123"/>
        <v>0</v>
      </c>
      <c r="O200" s="578">
        <f t="shared" si="117"/>
        <v>0</v>
      </c>
      <c r="P200" s="1037"/>
      <c r="Q200" s="1037"/>
      <c r="R200" s="1037"/>
      <c r="S200" s="1037"/>
      <c r="T200" s="1037"/>
      <c r="U200" s="1037">
        <v>1.8E-3</v>
      </c>
      <c r="V200" s="1037"/>
      <c r="W200" s="1304"/>
      <c r="X200" s="1314"/>
      <c r="Y200" s="1037"/>
      <c r="Z200" s="1037"/>
      <c r="AA200" s="1037"/>
      <c r="AB200" s="1037"/>
      <c r="AC200" s="1037">
        <v>1.8E-3</v>
      </c>
      <c r="AD200" s="1037"/>
      <c r="AE200" s="1304"/>
      <c r="AF200" s="1314"/>
      <c r="AG200" s="1037"/>
      <c r="AH200" s="1037"/>
      <c r="AI200" s="1037"/>
      <c r="AJ200" s="1304"/>
      <c r="AK200" s="1037"/>
      <c r="AL200" s="1037"/>
      <c r="AM200" s="1037"/>
      <c r="AN200" s="1037"/>
      <c r="AO200" s="1037"/>
      <c r="AP200" s="1037"/>
      <c r="AQ200" s="1289" t="s">
        <v>1534</v>
      </c>
    </row>
    <row r="201" spans="1:43" ht="21.95" hidden="1" customHeight="1" x14ac:dyDescent="0.15">
      <c r="A201" s="2627"/>
      <c r="B201" s="2829"/>
      <c r="C201" s="2854" t="s">
        <v>1513</v>
      </c>
      <c r="D201" s="2855"/>
      <c r="E201" s="1061"/>
      <c r="F201" s="1559">
        <v>5.8</v>
      </c>
      <c r="G201" s="426"/>
      <c r="H201" s="426"/>
      <c r="I201" s="426"/>
      <c r="J201" s="426"/>
      <c r="K201" s="426"/>
      <c r="L201" s="426"/>
      <c r="M201" s="426"/>
      <c r="N201" s="425">
        <f t="shared" si="123"/>
        <v>0</v>
      </c>
      <c r="O201" s="578">
        <f t="shared" si="117"/>
        <v>0</v>
      </c>
      <c r="P201" s="1037"/>
      <c r="Q201" s="1037"/>
      <c r="R201" s="1037"/>
      <c r="S201" s="1037"/>
      <c r="T201" s="1037"/>
      <c r="U201" s="1037">
        <v>2.7000000000000001E-3</v>
      </c>
      <c r="V201" s="1037"/>
      <c r="W201" s="1304"/>
      <c r="X201" s="1314"/>
      <c r="Y201" s="1037"/>
      <c r="Z201" s="1037"/>
      <c r="AA201" s="1037"/>
      <c r="AB201" s="1037"/>
      <c r="AC201" s="1037">
        <v>2.7000000000000001E-3</v>
      </c>
      <c r="AD201" s="1037"/>
      <c r="AE201" s="1304"/>
      <c r="AF201" s="1314"/>
      <c r="AG201" s="1037"/>
      <c r="AH201" s="1037"/>
      <c r="AI201" s="1037"/>
      <c r="AJ201" s="1304"/>
      <c r="AK201" s="1037"/>
      <c r="AL201" s="1037"/>
      <c r="AM201" s="1037"/>
      <c r="AN201" s="1037"/>
      <c r="AO201" s="1037"/>
      <c r="AP201" s="1037"/>
      <c r="AQ201" s="1289" t="s">
        <v>1535</v>
      </c>
    </row>
    <row r="202" spans="1:43" ht="21.95" hidden="1" customHeight="1" x14ac:dyDescent="0.15">
      <c r="A202" s="2627"/>
      <c r="B202" s="2829"/>
      <c r="C202" s="2854" t="s">
        <v>1514</v>
      </c>
      <c r="D202" s="2855"/>
      <c r="E202" s="1061"/>
      <c r="F202" s="1559">
        <f>75*0.3*0.4</f>
        <v>9</v>
      </c>
      <c r="G202" s="426"/>
      <c r="H202" s="426"/>
      <c r="I202" s="426"/>
      <c r="J202" s="426"/>
      <c r="K202" s="426"/>
      <c r="L202" s="426"/>
      <c r="M202" s="426"/>
      <c r="N202" s="425">
        <f t="shared" si="123"/>
        <v>0</v>
      </c>
      <c r="O202" s="578">
        <f t="shared" si="117"/>
        <v>0</v>
      </c>
      <c r="P202" s="1037"/>
      <c r="Q202" s="1037"/>
      <c r="R202" s="1037"/>
      <c r="S202" s="1037"/>
      <c r="T202" s="1037"/>
      <c r="U202" s="1037">
        <v>3.15E-3</v>
      </c>
      <c r="V202" s="1037"/>
      <c r="W202" s="1304"/>
      <c r="X202" s="1314"/>
      <c r="Y202" s="1037"/>
      <c r="Z202" s="1037"/>
      <c r="AA202" s="1037"/>
      <c r="AB202" s="1037"/>
      <c r="AC202" s="1037">
        <v>3.15E-3</v>
      </c>
      <c r="AD202" s="1037"/>
      <c r="AE202" s="1304"/>
      <c r="AF202" s="1314"/>
      <c r="AG202" s="1037"/>
      <c r="AH202" s="1037"/>
      <c r="AI202" s="1037"/>
      <c r="AJ202" s="1304"/>
      <c r="AK202" s="1037"/>
      <c r="AL202" s="1037"/>
      <c r="AM202" s="1037"/>
      <c r="AN202" s="1037"/>
      <c r="AO202" s="1037"/>
      <c r="AP202" s="1037"/>
      <c r="AQ202" s="1289" t="s">
        <v>1536</v>
      </c>
    </row>
    <row r="203" spans="1:43" ht="21.95" hidden="1" customHeight="1" x14ac:dyDescent="0.15">
      <c r="A203" s="2627"/>
      <c r="B203" s="2829"/>
      <c r="C203" s="2854" t="s">
        <v>1515</v>
      </c>
      <c r="D203" s="2855"/>
      <c r="E203" s="1061"/>
      <c r="F203" s="1559">
        <v>12</v>
      </c>
      <c r="G203" s="426"/>
      <c r="H203" s="426"/>
      <c r="I203" s="426"/>
      <c r="J203" s="426"/>
      <c r="K203" s="426"/>
      <c r="L203" s="426"/>
      <c r="M203" s="426"/>
      <c r="N203" s="425">
        <f t="shared" si="123"/>
        <v>0</v>
      </c>
      <c r="O203" s="578">
        <f t="shared" si="117"/>
        <v>0</v>
      </c>
      <c r="P203" s="1037"/>
      <c r="Q203" s="1037"/>
      <c r="R203" s="1037"/>
      <c r="S203" s="1037"/>
      <c r="T203" s="1037"/>
      <c r="U203" s="1037">
        <v>3.5999999999999999E-3</v>
      </c>
      <c r="V203" s="1037"/>
      <c r="W203" s="1304"/>
      <c r="X203" s="1314"/>
      <c r="Y203" s="1037"/>
      <c r="Z203" s="1037"/>
      <c r="AA203" s="1037"/>
      <c r="AB203" s="1037"/>
      <c r="AC203" s="1037">
        <v>3.5999999999999999E-3</v>
      </c>
      <c r="AD203" s="1037"/>
      <c r="AE203" s="1304"/>
      <c r="AF203" s="1314"/>
      <c r="AG203" s="1037"/>
      <c r="AH203" s="1037"/>
      <c r="AI203" s="1037"/>
      <c r="AJ203" s="1304"/>
      <c r="AK203" s="1037"/>
      <c r="AL203" s="1037"/>
      <c r="AM203" s="1037"/>
      <c r="AN203" s="1037"/>
      <c r="AO203" s="1037"/>
      <c r="AP203" s="1037"/>
      <c r="AQ203" s="1289" t="s">
        <v>1537</v>
      </c>
    </row>
    <row r="204" spans="1:43" ht="21.95" hidden="1" customHeight="1" x14ac:dyDescent="0.15">
      <c r="A204" s="2627"/>
      <c r="B204" s="2829"/>
      <c r="C204" s="2854" t="s">
        <v>1516</v>
      </c>
      <c r="D204" s="2855"/>
      <c r="E204" s="1061"/>
      <c r="F204" s="1559">
        <f>75*0.4*0.5</f>
        <v>15</v>
      </c>
      <c r="G204" s="426"/>
      <c r="H204" s="426"/>
      <c r="I204" s="426"/>
      <c r="J204" s="426"/>
      <c r="K204" s="426"/>
      <c r="L204" s="426"/>
      <c r="M204" s="426"/>
      <c r="N204" s="425">
        <f t="shared" si="123"/>
        <v>0</v>
      </c>
      <c r="O204" s="578">
        <f t="shared" si="117"/>
        <v>0</v>
      </c>
      <c r="P204" s="1037"/>
      <c r="Q204" s="1037"/>
      <c r="R204" s="1037"/>
      <c r="S204" s="1037"/>
      <c r="T204" s="1037"/>
      <c r="U204" s="1037">
        <v>4.0499999999999998E-3</v>
      </c>
      <c r="V204" s="1037"/>
      <c r="W204" s="1304"/>
      <c r="X204" s="1314"/>
      <c r="Y204" s="1037"/>
      <c r="Z204" s="1037"/>
      <c r="AA204" s="1037"/>
      <c r="AB204" s="1037"/>
      <c r="AC204" s="1037">
        <v>4.0499999999999998E-3</v>
      </c>
      <c r="AD204" s="1037"/>
      <c r="AE204" s="1304"/>
      <c r="AF204" s="1314"/>
      <c r="AG204" s="1037"/>
      <c r="AH204" s="1037"/>
      <c r="AI204" s="1037"/>
      <c r="AJ204" s="1304"/>
      <c r="AK204" s="1037"/>
      <c r="AL204" s="1037"/>
      <c r="AM204" s="1037"/>
      <c r="AN204" s="1037"/>
      <c r="AO204" s="1037"/>
      <c r="AP204" s="1037"/>
      <c r="AQ204" s="1289" t="s">
        <v>1538</v>
      </c>
    </row>
    <row r="205" spans="1:43" ht="21.95" hidden="1" customHeight="1" x14ac:dyDescent="0.15">
      <c r="A205" s="2627"/>
      <c r="B205" s="2829"/>
      <c r="C205" s="2854" t="s">
        <v>1517</v>
      </c>
      <c r="D205" s="2855"/>
      <c r="E205" s="1061"/>
      <c r="F205" s="1559">
        <f>75*0.4*0.6</f>
        <v>18</v>
      </c>
      <c r="G205" s="426"/>
      <c r="H205" s="426"/>
      <c r="I205" s="426"/>
      <c r="J205" s="426"/>
      <c r="K205" s="426"/>
      <c r="L205" s="426"/>
      <c r="M205" s="426"/>
      <c r="N205" s="425">
        <f t="shared" si="123"/>
        <v>0</v>
      </c>
      <c r="O205" s="578">
        <f t="shared" si="117"/>
        <v>0</v>
      </c>
      <c r="P205" s="1037"/>
      <c r="Q205" s="1037"/>
      <c r="R205" s="1037"/>
      <c r="S205" s="1037"/>
      <c r="T205" s="1037"/>
      <c r="U205" s="1037">
        <v>4.4999999999999997E-3</v>
      </c>
      <c r="V205" s="1037"/>
      <c r="W205" s="1304"/>
      <c r="X205" s="1314"/>
      <c r="Y205" s="1037"/>
      <c r="Z205" s="1037"/>
      <c r="AA205" s="1037"/>
      <c r="AB205" s="1037"/>
      <c r="AC205" s="1037">
        <v>4.4999999999999997E-3</v>
      </c>
      <c r="AD205" s="1037"/>
      <c r="AE205" s="1304"/>
      <c r="AF205" s="1314"/>
      <c r="AG205" s="1037"/>
      <c r="AH205" s="1037"/>
      <c r="AI205" s="1037"/>
      <c r="AJ205" s="1304"/>
      <c r="AK205" s="1037"/>
      <c r="AL205" s="1037"/>
      <c r="AM205" s="1037"/>
      <c r="AN205" s="1037"/>
      <c r="AO205" s="1037"/>
      <c r="AP205" s="1037"/>
      <c r="AQ205" s="1289">
        <v>84798</v>
      </c>
    </row>
    <row r="206" spans="1:43" ht="21.95" hidden="1" customHeight="1" x14ac:dyDescent="0.15">
      <c r="A206" s="2627"/>
      <c r="B206" s="2829"/>
      <c r="C206" s="2854" t="s">
        <v>1518</v>
      </c>
      <c r="D206" s="2855"/>
      <c r="E206" s="1061"/>
      <c r="F206" s="1559">
        <f>75*0.55*1.1</f>
        <v>45.375000000000007</v>
      </c>
      <c r="G206" s="426"/>
      <c r="H206" s="426"/>
      <c r="I206" s="426"/>
      <c r="J206" s="426"/>
      <c r="K206" s="426"/>
      <c r="L206" s="426"/>
      <c r="M206" s="426"/>
      <c r="N206" s="425">
        <f t="shared" si="123"/>
        <v>0</v>
      </c>
      <c r="O206" s="578">
        <f t="shared" si="117"/>
        <v>0</v>
      </c>
      <c r="P206" s="1037"/>
      <c r="Q206" s="1037"/>
      <c r="R206" s="1037"/>
      <c r="S206" s="1037"/>
      <c r="T206" s="1037"/>
      <c r="U206" s="1037">
        <v>7.0000000000000001E-3</v>
      </c>
      <c r="V206" s="1037"/>
      <c r="W206" s="1304"/>
      <c r="X206" s="1314"/>
      <c r="Y206" s="1037"/>
      <c r="Z206" s="1037"/>
      <c r="AA206" s="1037"/>
      <c r="AB206" s="1037"/>
      <c r="AC206" s="1037">
        <v>7.0000000000000001E-3</v>
      </c>
      <c r="AD206" s="1037"/>
      <c r="AE206" s="1304"/>
      <c r="AF206" s="1314"/>
      <c r="AG206" s="1037"/>
      <c r="AH206" s="1037"/>
      <c r="AI206" s="1037"/>
      <c r="AJ206" s="1304"/>
      <c r="AK206" s="1037"/>
      <c r="AL206" s="1037"/>
      <c r="AM206" s="1037"/>
      <c r="AN206" s="1037"/>
      <c r="AO206" s="1037"/>
      <c r="AP206" s="1037"/>
      <c r="AQ206" s="1289">
        <v>84796</v>
      </c>
    </row>
    <row r="207" spans="1:43" ht="21.95" hidden="1" customHeight="1" x14ac:dyDescent="0.15">
      <c r="A207" s="2627"/>
      <c r="B207" s="2829"/>
      <c r="C207" s="2854" t="s">
        <v>1522</v>
      </c>
      <c r="D207" s="2855"/>
      <c r="E207" s="1061"/>
      <c r="F207" s="1344"/>
      <c r="G207" s="426"/>
      <c r="H207" s="426"/>
      <c r="I207" s="426"/>
      <c r="J207" s="426"/>
      <c r="K207" s="426"/>
      <c r="L207" s="426"/>
      <c r="M207" s="426"/>
      <c r="N207" s="425">
        <f t="shared" si="123"/>
        <v>0</v>
      </c>
      <c r="O207" s="578">
        <f t="shared" si="117"/>
        <v>0</v>
      </c>
      <c r="Q207" s="46"/>
      <c r="R207" s="46"/>
      <c r="S207" s="46"/>
      <c r="W207" s="1305"/>
      <c r="X207" s="1315"/>
      <c r="AE207" s="1305"/>
      <c r="AF207" s="1315"/>
      <c r="AJ207" s="1305"/>
      <c r="AQ207" s="1289"/>
    </row>
    <row r="208" spans="1:43" ht="21.95" hidden="1" customHeight="1" x14ac:dyDescent="0.15">
      <c r="A208" s="2627"/>
      <c r="B208" s="2829"/>
      <c r="C208" s="2637" t="s">
        <v>1542</v>
      </c>
      <c r="D208" s="2638"/>
      <c r="E208" s="1061"/>
      <c r="F208" s="1344"/>
      <c r="G208" s="162"/>
      <c r="H208" s="162"/>
      <c r="I208" s="162"/>
      <c r="J208" s="162"/>
      <c r="K208" s="162"/>
      <c r="L208" s="162"/>
      <c r="M208" s="162"/>
      <c r="N208" s="425">
        <f t="shared" si="123"/>
        <v>0</v>
      </c>
      <c r="O208" s="578">
        <f t="shared" si="117"/>
        <v>0</v>
      </c>
      <c r="P208" s="1037">
        <v>1</v>
      </c>
      <c r="Q208" s="1037"/>
      <c r="R208" s="1037"/>
      <c r="S208" s="1037"/>
      <c r="T208" s="1037"/>
      <c r="U208" s="1037"/>
      <c r="V208" s="1037"/>
      <c r="W208" s="1304"/>
      <c r="X208" s="1314">
        <v>1</v>
      </c>
      <c r="Y208" s="1037"/>
      <c r="Z208" s="1037"/>
      <c r="AA208" s="1037"/>
      <c r="AB208" s="1037"/>
      <c r="AC208" s="1037"/>
      <c r="AD208" s="1037"/>
      <c r="AE208" s="1304"/>
      <c r="AF208" s="1314">
        <v>1</v>
      </c>
      <c r="AG208" s="1037"/>
      <c r="AH208" s="1037"/>
      <c r="AI208" s="1037"/>
      <c r="AJ208" s="1304"/>
      <c r="AK208" s="1037"/>
      <c r="AL208" s="1037"/>
      <c r="AM208" s="1037"/>
      <c r="AN208" s="1037"/>
      <c r="AO208" s="1037"/>
      <c r="AP208" s="1037"/>
      <c r="AQ208" s="1289"/>
    </row>
    <row r="209" spans="1:43" ht="21.95" hidden="1" customHeight="1" x14ac:dyDescent="0.15">
      <c r="A209" s="2627"/>
      <c r="B209" s="2829"/>
      <c r="C209" s="2637" t="s">
        <v>1543</v>
      </c>
      <c r="D209" s="2638"/>
      <c r="E209" s="1061"/>
      <c r="F209" s="1344"/>
      <c r="G209" s="162"/>
      <c r="H209" s="162"/>
      <c r="I209" s="162"/>
      <c r="J209" s="162"/>
      <c r="K209" s="162"/>
      <c r="L209" s="162"/>
      <c r="M209" s="162"/>
      <c r="N209" s="425">
        <f t="shared" si="123"/>
        <v>0</v>
      </c>
      <c r="O209" s="578">
        <f t="shared" si="117"/>
        <v>0</v>
      </c>
      <c r="P209" s="1037"/>
      <c r="Q209" s="1037"/>
      <c r="R209" s="1037"/>
      <c r="S209" s="1037"/>
      <c r="T209" s="1037"/>
      <c r="U209" s="1037"/>
      <c r="V209" s="1037">
        <f>0.285*206.42</f>
        <v>58.829699999999988</v>
      </c>
      <c r="W209" s="1304"/>
      <c r="X209" s="1314"/>
      <c r="Y209" s="1037"/>
      <c r="Z209" s="1037"/>
      <c r="AA209" s="1037"/>
      <c r="AB209" s="1037"/>
      <c r="AC209" s="1037"/>
      <c r="AD209" s="1037">
        <f>0.285*1.15</f>
        <v>0.32774999999999993</v>
      </c>
      <c r="AE209" s="1304"/>
      <c r="AF209" s="1314"/>
      <c r="AG209" s="1037"/>
      <c r="AH209" s="1037"/>
      <c r="AI209" s="1037"/>
      <c r="AJ209" s="1304"/>
      <c r="AK209" s="1037"/>
      <c r="AL209" s="1037"/>
      <c r="AM209" s="1037">
        <v>795</v>
      </c>
      <c r="AN209" s="1037"/>
      <c r="AO209" s="1037"/>
      <c r="AP209" s="1037">
        <f>0.285*0.13761</f>
        <v>3.921885E-2</v>
      </c>
      <c r="AQ209" s="1289">
        <v>95474</v>
      </c>
    </row>
    <row r="210" spans="1:43" ht="21.95" hidden="1" customHeight="1" x14ac:dyDescent="0.15">
      <c r="A210" s="2627"/>
      <c r="B210" s="2829"/>
      <c r="C210" s="2637" t="s">
        <v>1520</v>
      </c>
      <c r="D210" s="2638"/>
      <c r="E210" s="1061"/>
      <c r="F210" s="1344"/>
      <c r="G210" s="162"/>
      <c r="H210" s="162"/>
      <c r="I210" s="162"/>
      <c r="J210" s="162"/>
      <c r="K210" s="162"/>
      <c r="L210" s="162"/>
      <c r="M210" s="162"/>
      <c r="N210" s="425">
        <f t="shared" si="123"/>
        <v>0</v>
      </c>
      <c r="O210" s="578">
        <f t="shared" si="117"/>
        <v>0</v>
      </c>
      <c r="P210" s="1037"/>
      <c r="Q210" s="1037"/>
      <c r="R210" s="1037"/>
      <c r="S210" s="1037"/>
      <c r="T210" s="1037"/>
      <c r="U210" s="1037"/>
      <c r="V210" s="1037"/>
      <c r="W210" s="1304">
        <v>1</v>
      </c>
      <c r="X210" s="1314"/>
      <c r="Y210" s="1037"/>
      <c r="Z210" s="1037"/>
      <c r="AA210" s="1037"/>
      <c r="AB210" s="1037"/>
      <c r="AC210" s="1037"/>
      <c r="AD210" s="1037"/>
      <c r="AE210" s="1304">
        <v>1</v>
      </c>
      <c r="AF210" s="1314"/>
      <c r="AG210" s="1037"/>
      <c r="AH210" s="1037"/>
      <c r="AI210" s="1037"/>
      <c r="AJ210" s="1304"/>
      <c r="AK210" s="1037"/>
      <c r="AL210" s="1037"/>
      <c r="AM210" s="1037"/>
      <c r="AN210" s="1037"/>
      <c r="AO210" s="1037"/>
      <c r="AP210" s="1037"/>
    </row>
    <row r="211" spans="1:43" ht="21.95" hidden="1" customHeight="1" thickBot="1" x14ac:dyDescent="0.2">
      <c r="A211" s="2627"/>
      <c r="B211" s="2866"/>
      <c r="C211" s="2639" t="s">
        <v>1521</v>
      </c>
      <c r="D211" s="2640"/>
      <c r="E211" s="982"/>
      <c r="F211" s="1269"/>
      <c r="G211" s="215">
        <f t="shared" ref="G211:L211" si="125">G210*0.02</f>
        <v>0</v>
      </c>
      <c r="H211" s="215">
        <f t="shared" si="125"/>
        <v>0</v>
      </c>
      <c r="I211" s="215">
        <f t="shared" si="125"/>
        <v>0</v>
      </c>
      <c r="J211" s="215">
        <f t="shared" si="125"/>
        <v>0</v>
      </c>
      <c r="K211" s="215">
        <f t="shared" si="125"/>
        <v>0</v>
      </c>
      <c r="L211" s="215">
        <f t="shared" si="125"/>
        <v>0</v>
      </c>
      <c r="M211" s="215"/>
      <c r="N211" s="416">
        <f t="shared" si="123"/>
        <v>0</v>
      </c>
      <c r="O211" s="578">
        <f t="shared" si="117"/>
        <v>0</v>
      </c>
      <c r="P211" s="1037"/>
      <c r="Q211" s="1037"/>
      <c r="R211" s="1037"/>
      <c r="S211" s="1037"/>
      <c r="T211" s="1037">
        <v>1</v>
      </c>
      <c r="U211" s="1037"/>
      <c r="V211" s="1037"/>
      <c r="W211" s="1304"/>
      <c r="X211" s="1314"/>
      <c r="Y211" s="1037"/>
      <c r="Z211" s="1037"/>
      <c r="AA211" s="1037"/>
      <c r="AB211" s="1037">
        <v>1</v>
      </c>
      <c r="AC211" s="1037"/>
      <c r="AD211" s="1037"/>
      <c r="AE211" s="1304"/>
      <c r="AF211" s="1314"/>
      <c r="AG211" s="1037"/>
      <c r="AH211" s="1037"/>
      <c r="AI211" s="1037"/>
      <c r="AJ211" s="1304"/>
      <c r="AK211" s="1037"/>
      <c r="AL211" s="1037"/>
      <c r="AM211" s="1037"/>
      <c r="AN211" s="1037"/>
      <c r="AO211" s="1037"/>
      <c r="AP211" s="1037"/>
    </row>
    <row r="212" spans="1:43" ht="21.95" customHeight="1" x14ac:dyDescent="0.15">
      <c r="A212" s="2627"/>
      <c r="B212" s="2741" t="s">
        <v>1621</v>
      </c>
      <c r="C212" s="2850" t="s">
        <v>1230</v>
      </c>
      <c r="D212" s="976" t="s">
        <v>1618</v>
      </c>
      <c r="E212" s="1061"/>
      <c r="F212" s="1357"/>
      <c r="G212" s="1391">
        <f>Pav_Dados!G11</f>
        <v>0</v>
      </c>
      <c r="H212" s="1391">
        <f>Pav_Dados!H11</f>
        <v>3</v>
      </c>
      <c r="I212" s="1391">
        <f>Pav_Dados!I11</f>
        <v>3</v>
      </c>
      <c r="J212" s="1391">
        <f>Pav_Dados!J11</f>
        <v>0</v>
      </c>
      <c r="K212" s="1391">
        <f>Pav_Dados!K11</f>
        <v>3</v>
      </c>
      <c r="L212" s="1391">
        <f>Pav_Dados!L11</f>
        <v>0</v>
      </c>
      <c r="M212" s="1391"/>
      <c r="N212" s="425">
        <f t="shared" si="123"/>
        <v>9</v>
      </c>
      <c r="O212" s="578">
        <v>1</v>
      </c>
      <c r="Q212" s="46"/>
      <c r="R212" s="46"/>
      <c r="S212" s="46"/>
      <c r="W212" s="1305"/>
      <c r="X212" s="1315"/>
      <c r="AE212" s="1305"/>
      <c r="AF212" s="1315"/>
      <c r="AJ212" s="1305"/>
    </row>
    <row r="213" spans="1:43" ht="21.95" customHeight="1" x14ac:dyDescent="0.15">
      <c r="A213" s="2627"/>
      <c r="B213" s="2804"/>
      <c r="C213" s="2851"/>
      <c r="D213" s="1069" t="s">
        <v>1619</v>
      </c>
      <c r="E213" s="1061"/>
      <c r="F213" s="1357"/>
      <c r="G213" s="1391">
        <f>Pav_Dados!G12</f>
        <v>0</v>
      </c>
      <c r="H213" s="1391">
        <f>Pav_Dados!H12</f>
        <v>0</v>
      </c>
      <c r="I213" s="1391">
        <f>Pav_Dados!I12</f>
        <v>1</v>
      </c>
      <c r="J213" s="1391">
        <f>Pav_Dados!J12</f>
        <v>0</v>
      </c>
      <c r="K213" s="1391">
        <f>Pav_Dados!K12</f>
        <v>0</v>
      </c>
      <c r="L213" s="1391">
        <f>Pav_Dados!L12</f>
        <v>0</v>
      </c>
      <c r="M213" s="1391"/>
      <c r="N213" s="425">
        <f t="shared" si="123"/>
        <v>1</v>
      </c>
      <c r="O213" s="578">
        <v>1</v>
      </c>
      <c r="Q213" s="46"/>
      <c r="R213" s="46"/>
      <c r="S213" s="46"/>
      <c r="W213" s="1305"/>
      <c r="X213" s="1315"/>
      <c r="AE213" s="1305"/>
      <c r="AF213" s="1315"/>
      <c r="AJ213" s="1305"/>
    </row>
    <row r="214" spans="1:43" ht="21.95" customHeight="1" x14ac:dyDescent="0.15">
      <c r="A214" s="2627"/>
      <c r="B214" s="2804"/>
      <c r="C214" s="2851"/>
      <c r="D214" s="542" t="s">
        <v>1620</v>
      </c>
      <c r="E214" s="1062"/>
      <c r="F214" s="1392"/>
      <c r="G214" s="1393">
        <f>Pav_Dados!G13</f>
        <v>0</v>
      </c>
      <c r="H214" s="1393">
        <f>Pav_Dados!H13</f>
        <v>0</v>
      </c>
      <c r="I214" s="1393">
        <f>Pav_Dados!I13</f>
        <v>0</v>
      </c>
      <c r="J214" s="1393">
        <f>Pav_Dados!J13</f>
        <v>0</v>
      </c>
      <c r="K214" s="1393">
        <f>Pav_Dados!K13</f>
        <v>0</v>
      </c>
      <c r="L214" s="1393">
        <f>Pav_Dados!L13</f>
        <v>0</v>
      </c>
      <c r="M214" s="1393"/>
      <c r="N214" s="1281">
        <f t="shared" si="123"/>
        <v>0</v>
      </c>
      <c r="O214" s="578">
        <v>1</v>
      </c>
      <c r="Q214" s="46"/>
      <c r="R214" s="46"/>
      <c r="S214" s="46"/>
      <c r="W214" s="1305"/>
      <c r="X214" s="1315"/>
      <c r="AE214" s="1305"/>
      <c r="AF214" s="1315"/>
      <c r="AJ214" s="1305"/>
    </row>
    <row r="215" spans="1:43" ht="21.95" customHeight="1" x14ac:dyDescent="0.15">
      <c r="A215" s="2627"/>
      <c r="B215" s="2804"/>
      <c r="C215" s="2851" t="s">
        <v>1224</v>
      </c>
      <c r="D215" s="542" t="s">
        <v>1618</v>
      </c>
      <c r="E215" s="1061"/>
      <c r="F215" s="1357"/>
      <c r="G215" s="2332">
        <f>Pav_Dados!G14</f>
        <v>0</v>
      </c>
      <c r="H215" s="2333">
        <f>Pav_Dados!H14</f>
        <v>3</v>
      </c>
      <c r="I215" s="2333">
        <f>Pav_Dados!I14</f>
        <v>3</v>
      </c>
      <c r="J215" s="2333">
        <f>Pav_Dados!J14</f>
        <v>0</v>
      </c>
      <c r="K215" s="1391">
        <f>Pav_Dados!K14</f>
        <v>3</v>
      </c>
      <c r="L215" s="1391">
        <f>Pav_Dados!L14</f>
        <v>0</v>
      </c>
      <c r="M215" s="1391"/>
      <c r="N215" s="2334">
        <f t="shared" si="123"/>
        <v>9</v>
      </c>
      <c r="O215" s="578">
        <v>1</v>
      </c>
      <c r="Q215" s="46"/>
      <c r="R215" s="46"/>
      <c r="S215" s="46"/>
      <c r="W215" s="1305"/>
      <c r="X215" s="1315"/>
      <c r="AE215" s="1305"/>
      <c r="AF215" s="1315"/>
      <c r="AJ215" s="1305"/>
    </row>
    <row r="216" spans="1:43" ht="21.95" customHeight="1" x14ac:dyDescent="0.15">
      <c r="A216" s="2627"/>
      <c r="B216" s="2804"/>
      <c r="C216" s="2851"/>
      <c r="D216" s="1069" t="s">
        <v>1619</v>
      </c>
      <c r="E216" s="1061"/>
      <c r="F216" s="1357"/>
      <c r="G216" s="1391">
        <f>Pav_Dados!G15</f>
        <v>0</v>
      </c>
      <c r="H216" s="1391">
        <f>Pav_Dados!H15</f>
        <v>0</v>
      </c>
      <c r="I216" s="1391">
        <f>Pav_Dados!I15</f>
        <v>1</v>
      </c>
      <c r="J216" s="1391">
        <f>Pav_Dados!J15</f>
        <v>0</v>
      </c>
      <c r="K216" s="1391">
        <f>Pav_Dados!K15</f>
        <v>0</v>
      </c>
      <c r="L216" s="1391">
        <f>Pav_Dados!L15</f>
        <v>0</v>
      </c>
      <c r="M216" s="1391"/>
      <c r="N216" s="425">
        <f t="shared" si="123"/>
        <v>1</v>
      </c>
      <c r="O216" s="578">
        <v>1</v>
      </c>
      <c r="Q216" s="46"/>
      <c r="R216" s="46"/>
      <c r="S216" s="46"/>
      <c r="W216" s="1305"/>
      <c r="X216" s="1315"/>
      <c r="AE216" s="1305"/>
      <c r="AF216" s="1315"/>
      <c r="AJ216" s="1305"/>
    </row>
    <row r="217" spans="1:43" ht="21.95" customHeight="1" x14ac:dyDescent="0.15">
      <c r="A217" s="2627"/>
      <c r="B217" s="2804"/>
      <c r="C217" s="2851"/>
      <c r="D217" s="542" t="s">
        <v>1620</v>
      </c>
      <c r="E217" s="1062"/>
      <c r="F217" s="1392"/>
      <c r="G217" s="1393">
        <f>Pav_Dados!G16</f>
        <v>0</v>
      </c>
      <c r="H217" s="1393">
        <f>Pav_Dados!H16</f>
        <v>0</v>
      </c>
      <c r="I217" s="1393">
        <f>Pav_Dados!I16</f>
        <v>0</v>
      </c>
      <c r="J217" s="1393">
        <f>Pav_Dados!J16</f>
        <v>0</v>
      </c>
      <c r="K217" s="1393">
        <f>Pav_Dados!K16</f>
        <v>0</v>
      </c>
      <c r="L217" s="1393">
        <f>Pav_Dados!L16</f>
        <v>0</v>
      </c>
      <c r="M217" s="1393"/>
      <c r="N217" s="1281">
        <f t="shared" si="123"/>
        <v>0</v>
      </c>
      <c r="O217" s="578">
        <v>1</v>
      </c>
      <c r="Q217" s="46"/>
      <c r="R217" s="46"/>
      <c r="S217" s="46"/>
      <c r="W217" s="1305"/>
      <c r="X217" s="1315"/>
      <c r="AE217" s="1305"/>
      <c r="AF217" s="1315"/>
      <c r="AJ217" s="1305"/>
    </row>
    <row r="218" spans="1:43" ht="21.95" customHeight="1" x14ac:dyDescent="0.15">
      <c r="A218" s="2627"/>
      <c r="B218" s="2804"/>
      <c r="C218" s="2851" t="s">
        <v>1226</v>
      </c>
      <c r="D218" s="542" t="s">
        <v>1225</v>
      </c>
      <c r="E218" s="1061"/>
      <c r="F218" s="1357"/>
      <c r="G218" s="2332">
        <f>Pav_Dados!G17</f>
        <v>0</v>
      </c>
      <c r="H218" s="2333">
        <f>Pav_Dados!H17</f>
        <v>0</v>
      </c>
      <c r="I218" s="2333">
        <f>Pav_Dados!I17</f>
        <v>0</v>
      </c>
      <c r="J218" s="2333">
        <f>Pav_Dados!J17</f>
        <v>0</v>
      </c>
      <c r="K218" s="1391">
        <f>Pav_Dados!K17</f>
        <v>0</v>
      </c>
      <c r="L218" s="1391">
        <f>Pav_Dados!L17</f>
        <v>0</v>
      </c>
      <c r="M218" s="1391"/>
      <c r="N218" s="2334">
        <f t="shared" si="123"/>
        <v>0</v>
      </c>
      <c r="O218" s="578">
        <v>1</v>
      </c>
      <c r="Q218" s="46"/>
      <c r="R218" s="46"/>
      <c r="S218" s="46"/>
      <c r="W218" s="1305"/>
      <c r="X218" s="1315"/>
      <c r="AE218" s="1305"/>
      <c r="AF218" s="1315"/>
      <c r="AJ218" s="1305"/>
    </row>
    <row r="219" spans="1:43" ht="21.95" customHeight="1" x14ac:dyDescent="0.15">
      <c r="A219" s="2627"/>
      <c r="B219" s="2804"/>
      <c r="C219" s="2851"/>
      <c r="D219" s="1069" t="s">
        <v>1618</v>
      </c>
      <c r="E219" s="1061"/>
      <c r="F219" s="1357"/>
      <c r="G219" s="1391">
        <f>Pav_Dados!G18</f>
        <v>0</v>
      </c>
      <c r="H219" s="1391">
        <f>Pav_Dados!H18</f>
        <v>3</v>
      </c>
      <c r="I219" s="1391">
        <f>Pav_Dados!I18</f>
        <v>3</v>
      </c>
      <c r="J219" s="1391">
        <f>Pav_Dados!J18</f>
        <v>0</v>
      </c>
      <c r="K219" s="1391">
        <f>Pav_Dados!K18</f>
        <v>3</v>
      </c>
      <c r="L219" s="1391">
        <f>Pav_Dados!L18</f>
        <v>0</v>
      </c>
      <c r="M219" s="1391"/>
      <c r="N219" s="425">
        <f t="shared" si="123"/>
        <v>9</v>
      </c>
      <c r="O219" s="578">
        <v>1</v>
      </c>
      <c r="Q219" s="46"/>
      <c r="R219" s="46"/>
      <c r="S219" s="46"/>
      <c r="W219" s="1305"/>
      <c r="X219" s="1315"/>
      <c r="AE219" s="1305"/>
      <c r="AF219" s="1315"/>
      <c r="AJ219" s="1305"/>
    </row>
    <row r="220" spans="1:43" ht="21.95" customHeight="1" x14ac:dyDescent="0.15">
      <c r="A220" s="2627"/>
      <c r="B220" s="2804"/>
      <c r="C220" s="2851"/>
      <c r="D220" s="1069" t="s">
        <v>1619</v>
      </c>
      <c r="E220" s="1061"/>
      <c r="F220" s="1357"/>
      <c r="G220" s="1391">
        <f>Pav_Dados!G19</f>
        <v>0</v>
      </c>
      <c r="H220" s="1391">
        <f>Pav_Dados!H19</f>
        <v>0</v>
      </c>
      <c r="I220" s="1391">
        <f>Pav_Dados!I19</f>
        <v>1</v>
      </c>
      <c r="J220" s="1391">
        <f>Pav_Dados!J19</f>
        <v>0</v>
      </c>
      <c r="K220" s="1391">
        <f>Pav_Dados!K19</f>
        <v>0</v>
      </c>
      <c r="L220" s="1391">
        <f>Pav_Dados!L19</f>
        <v>0</v>
      </c>
      <c r="M220" s="1391"/>
      <c r="N220" s="425">
        <f t="shared" si="123"/>
        <v>1</v>
      </c>
      <c r="O220" s="578">
        <v>1</v>
      </c>
      <c r="Q220" s="46"/>
      <c r="R220" s="46"/>
      <c r="S220" s="46"/>
      <c r="W220" s="1305"/>
      <c r="X220" s="1315"/>
      <c r="AE220" s="1305"/>
      <c r="AF220" s="1315"/>
      <c r="AJ220" s="1305"/>
    </row>
    <row r="221" spans="1:43" ht="21.95" customHeight="1" thickBot="1" x14ac:dyDescent="0.2">
      <c r="A221" s="2627"/>
      <c r="B221" s="2805"/>
      <c r="C221" s="2873"/>
      <c r="D221" s="1342" t="s">
        <v>1620</v>
      </c>
      <c r="E221" s="1061"/>
      <c r="F221" s="1357"/>
      <c r="G221" s="1101">
        <f>Pav_Dados!G20</f>
        <v>0</v>
      </c>
      <c r="H221" s="1101">
        <f>Pav_Dados!H20</f>
        <v>0</v>
      </c>
      <c r="I221" s="1101">
        <f>Pav_Dados!I20</f>
        <v>0</v>
      </c>
      <c r="J221" s="1101">
        <f>Pav_Dados!J20</f>
        <v>0</v>
      </c>
      <c r="K221" s="1391">
        <f>Pav_Dados!K20</f>
        <v>0</v>
      </c>
      <c r="L221" s="1101">
        <f>Pav_Dados!L20</f>
        <v>0</v>
      </c>
      <c r="M221" s="1391"/>
      <c r="N221" s="416">
        <f t="shared" si="123"/>
        <v>0</v>
      </c>
      <c r="O221" s="578">
        <v>1</v>
      </c>
      <c r="Q221" s="46"/>
      <c r="R221" s="46"/>
      <c r="S221" s="46"/>
      <c r="W221" s="1305"/>
      <c r="X221" s="1315"/>
      <c r="AE221" s="1305"/>
      <c r="AF221" s="1315"/>
      <c r="AJ221" s="1305"/>
    </row>
    <row r="222" spans="1:43" s="68" customFormat="1" ht="21.95" hidden="1" customHeight="1" x14ac:dyDescent="0.15">
      <c r="A222" s="2627"/>
      <c r="B222" s="2533" t="s">
        <v>753</v>
      </c>
      <c r="C222" s="2644" t="s">
        <v>60</v>
      </c>
      <c r="D222" s="2645"/>
      <c r="E222" s="1060"/>
      <c r="F222" s="1343"/>
      <c r="G222" s="672"/>
      <c r="H222" s="672"/>
      <c r="I222" s="672"/>
      <c r="J222" s="672"/>
      <c r="K222" s="672"/>
      <c r="L222" s="672"/>
      <c r="M222" s="672"/>
      <c r="N222" s="800">
        <f t="shared" si="123"/>
        <v>0</v>
      </c>
      <c r="O222" s="578">
        <f t="shared" ref="O222:O247" si="126">SUM(G222:N222)</f>
        <v>0</v>
      </c>
      <c r="W222" s="1306"/>
      <c r="X222" s="1316"/>
      <c r="AE222" s="1306"/>
      <c r="AF222" s="1316"/>
      <c r="AJ222" s="1306"/>
    </row>
    <row r="223" spans="1:43" s="68" customFormat="1" ht="21.95" hidden="1" customHeight="1" x14ac:dyDescent="0.15">
      <c r="A223" s="2627"/>
      <c r="B223" s="2534"/>
      <c r="C223" s="2637" t="s">
        <v>758</v>
      </c>
      <c r="D223" s="2638"/>
      <c r="E223" s="1061"/>
      <c r="F223" s="1344"/>
      <c r="G223" s="8">
        <f>IF(G222=0,0,Pav_Dados!G6+IF(Pav_Dados!G5="dupla",2*0.3,0.3))</f>
        <v>0</v>
      </c>
      <c r="H223" s="8">
        <f>IF(H222=0,0,Pav_Dados!H6+IF(Pav_Dados!H5="dupla",2*0.3,0.3))</f>
        <v>0</v>
      </c>
      <c r="I223" s="8">
        <f>IF(I222=0,0,Pav_Dados!I6+IF(Pav_Dados!I5="dupla",2*0.3,0.3))</f>
        <v>0</v>
      </c>
      <c r="J223" s="8">
        <f>IF(J222=0,0,Pav_Dados!J6+IF(Pav_Dados!J5="dupla",2*0.3,0.3))</f>
        <v>0</v>
      </c>
      <c r="K223" s="8">
        <f>IF(K222=0,0,Pav_Dados!K6+IF(Pav_Dados!K5="dupla",2*0.3,0.3))</f>
        <v>0</v>
      </c>
      <c r="L223" s="8">
        <f>IF(L222=0,0,Pav_Dados!L6+IF(Pav_Dados!L5="dupla",2*0.3,0.3))</f>
        <v>0</v>
      </c>
      <c r="M223" s="8"/>
      <c r="N223" s="12">
        <f t="shared" si="123"/>
        <v>0</v>
      </c>
      <c r="O223" s="578">
        <f t="shared" si="126"/>
        <v>0</v>
      </c>
      <c r="W223" s="1306"/>
      <c r="X223" s="1316"/>
      <c r="AE223" s="1306"/>
      <c r="AF223" s="1316"/>
      <c r="AJ223" s="1306"/>
    </row>
    <row r="224" spans="1:43" s="68" customFormat="1" ht="21.95" hidden="1" customHeight="1" x14ac:dyDescent="0.15">
      <c r="A224" s="2627"/>
      <c r="B224" s="2534"/>
      <c r="C224" s="2637" t="s">
        <v>754</v>
      </c>
      <c r="D224" s="2638"/>
      <c r="E224" s="1061"/>
      <c r="F224" s="1344"/>
      <c r="G224" s="8">
        <f>IF(G222&gt;0,8,0)</f>
        <v>0</v>
      </c>
      <c r="H224" s="8">
        <f t="shared" ref="H224:L224" si="127">IF(H222&gt;0,8,0)</f>
        <v>0</v>
      </c>
      <c r="I224" s="8">
        <f t="shared" si="127"/>
        <v>0</v>
      </c>
      <c r="J224" s="8">
        <f t="shared" si="127"/>
        <v>0</v>
      </c>
      <c r="K224" s="8">
        <f t="shared" si="127"/>
        <v>0</v>
      </c>
      <c r="L224" s="8">
        <f t="shared" si="127"/>
        <v>0</v>
      </c>
      <c r="M224" s="8"/>
      <c r="N224" s="12"/>
      <c r="O224" s="578">
        <f t="shared" si="126"/>
        <v>0</v>
      </c>
      <c r="W224" s="1306"/>
      <c r="X224" s="1316"/>
      <c r="AE224" s="1306"/>
      <c r="AF224" s="1316"/>
      <c r="AJ224" s="1306"/>
    </row>
    <row r="225" spans="1:42" s="68" customFormat="1" ht="21.95" hidden="1" customHeight="1" x14ac:dyDescent="0.15">
      <c r="A225" s="2627"/>
      <c r="B225" s="2534"/>
      <c r="C225" s="2637" t="s">
        <v>755</v>
      </c>
      <c r="D225" s="2638"/>
      <c r="E225" s="1061"/>
      <c r="F225" s="1344"/>
      <c r="G225" s="8">
        <f t="shared" ref="G225:L225" si="128">IF(G222&gt;0,4,0)</f>
        <v>0</v>
      </c>
      <c r="H225" s="8">
        <f t="shared" si="128"/>
        <v>0</v>
      </c>
      <c r="I225" s="8">
        <f t="shared" si="128"/>
        <v>0</v>
      </c>
      <c r="J225" s="8">
        <f t="shared" si="128"/>
        <v>0</v>
      </c>
      <c r="K225" s="8">
        <f t="shared" si="128"/>
        <v>0</v>
      </c>
      <c r="L225" s="8">
        <f t="shared" si="128"/>
        <v>0</v>
      </c>
      <c r="M225" s="8"/>
      <c r="N225" s="12"/>
      <c r="O225" s="578">
        <f t="shared" si="126"/>
        <v>0</v>
      </c>
      <c r="W225" s="1306"/>
      <c r="X225" s="1316"/>
      <c r="AE225" s="1306"/>
      <c r="AF225" s="1316"/>
      <c r="AJ225" s="1306"/>
    </row>
    <row r="226" spans="1:42" s="68" customFormat="1" ht="21.95" hidden="1" customHeight="1" x14ac:dyDescent="0.15">
      <c r="A226" s="2627"/>
      <c r="B226" s="2534"/>
      <c r="C226" s="2637" t="s">
        <v>756</v>
      </c>
      <c r="D226" s="2638"/>
      <c r="E226" s="1061"/>
      <c r="F226" s="1344"/>
      <c r="G226" s="799">
        <f t="shared" ref="G226:L226" si="129">IF(G222&gt;0,10,0)</f>
        <v>0</v>
      </c>
      <c r="H226" s="799">
        <f t="shared" si="129"/>
        <v>0</v>
      </c>
      <c r="I226" s="799">
        <f t="shared" si="129"/>
        <v>0</v>
      </c>
      <c r="J226" s="799">
        <f t="shared" si="129"/>
        <v>0</v>
      </c>
      <c r="K226" s="799">
        <f t="shared" si="129"/>
        <v>0</v>
      </c>
      <c r="L226" s="799">
        <f t="shared" si="129"/>
        <v>0</v>
      </c>
      <c r="M226" s="799"/>
      <c r="N226" s="12"/>
      <c r="O226" s="578">
        <f t="shared" si="126"/>
        <v>0</v>
      </c>
      <c r="T226" s="6"/>
      <c r="U226" s="6"/>
      <c r="V226" s="6"/>
      <c r="W226" s="1305"/>
      <c r="X226" s="1315"/>
      <c r="Y226" s="5"/>
      <c r="Z226" s="5"/>
      <c r="AA226" s="5"/>
      <c r="AB226" s="5"/>
      <c r="AC226" s="5"/>
      <c r="AD226" s="5"/>
      <c r="AE226" s="1317"/>
      <c r="AF226" s="1319"/>
      <c r="AJ226" s="1306"/>
    </row>
    <row r="227" spans="1:42" s="68" customFormat="1" ht="21.95" hidden="1" customHeight="1" x14ac:dyDescent="0.15">
      <c r="A227" s="2627"/>
      <c r="B227" s="2534"/>
      <c r="C227" s="2637" t="s">
        <v>1582</v>
      </c>
      <c r="D227" s="2638"/>
      <c r="E227" s="1061"/>
      <c r="F227" s="1344"/>
      <c r="G227" s="799">
        <f t="shared" ref="G227:L227" si="130">IF(G222&gt;0,5,0)</f>
        <v>0</v>
      </c>
      <c r="H227" s="799">
        <f t="shared" si="130"/>
        <v>0</v>
      </c>
      <c r="I227" s="799">
        <f t="shared" si="130"/>
        <v>0</v>
      </c>
      <c r="J227" s="799">
        <f t="shared" si="130"/>
        <v>0</v>
      </c>
      <c r="K227" s="799">
        <f t="shared" si="130"/>
        <v>0</v>
      </c>
      <c r="L227" s="799">
        <f t="shared" si="130"/>
        <v>0</v>
      </c>
      <c r="M227" s="799"/>
      <c r="N227" s="12"/>
      <c r="O227" s="578">
        <f t="shared" si="126"/>
        <v>0</v>
      </c>
      <c r="T227" s="6"/>
      <c r="U227" s="6"/>
      <c r="V227" s="6"/>
      <c r="W227" s="1305"/>
      <c r="X227" s="1315"/>
      <c r="Y227" s="5"/>
      <c r="Z227" s="5"/>
      <c r="AA227" s="5"/>
      <c r="AB227" s="5"/>
      <c r="AC227" s="5"/>
      <c r="AD227" s="5"/>
      <c r="AE227" s="1317"/>
      <c r="AF227" s="1319"/>
      <c r="AJ227" s="1306"/>
    </row>
    <row r="228" spans="1:42" s="68" customFormat="1" ht="21.95" hidden="1" customHeight="1" x14ac:dyDescent="0.15">
      <c r="A228" s="2627"/>
      <c r="B228" s="2534"/>
      <c r="C228" s="2637" t="s">
        <v>757</v>
      </c>
      <c r="D228" s="2638"/>
      <c r="E228" s="1061"/>
      <c r="F228" s="1344"/>
      <c r="G228" s="799">
        <f t="shared" ref="G228:L228" si="131">IF(G222&gt;0,15,0)</f>
        <v>0</v>
      </c>
      <c r="H228" s="799">
        <f t="shared" si="131"/>
        <v>0</v>
      </c>
      <c r="I228" s="799">
        <f t="shared" si="131"/>
        <v>0</v>
      </c>
      <c r="J228" s="799">
        <f t="shared" si="131"/>
        <v>0</v>
      </c>
      <c r="K228" s="799">
        <f t="shared" si="131"/>
        <v>0</v>
      </c>
      <c r="L228" s="799">
        <f t="shared" si="131"/>
        <v>0</v>
      </c>
      <c r="M228" s="799"/>
      <c r="N228" s="12"/>
      <c r="O228" s="578">
        <f t="shared" si="126"/>
        <v>0</v>
      </c>
      <c r="T228" s="6"/>
      <c r="U228" s="6"/>
      <c r="V228" s="6"/>
      <c r="W228" s="1305"/>
      <c r="X228" s="1315"/>
      <c r="Y228" s="5"/>
      <c r="Z228" s="5"/>
      <c r="AA228" s="5"/>
      <c r="AB228" s="5"/>
      <c r="AC228" s="5"/>
      <c r="AD228" s="5"/>
      <c r="AE228" s="1317"/>
      <c r="AF228" s="1319"/>
      <c r="AJ228" s="1306"/>
    </row>
    <row r="229" spans="1:42" s="68" customFormat="1" ht="21.95" hidden="1" customHeight="1" x14ac:dyDescent="0.15">
      <c r="A229" s="2627"/>
      <c r="B229" s="2534"/>
      <c r="C229" s="2637" t="s">
        <v>29</v>
      </c>
      <c r="D229" s="2638"/>
      <c r="E229" s="1061"/>
      <c r="F229" s="1344"/>
      <c r="G229" s="8">
        <f t="shared" ref="G229:L229" si="132">G223*G224*G222</f>
        <v>0</v>
      </c>
      <c r="H229" s="8">
        <f t="shared" si="132"/>
        <v>0</v>
      </c>
      <c r="I229" s="8">
        <f t="shared" si="132"/>
        <v>0</v>
      </c>
      <c r="J229" s="8">
        <f t="shared" si="132"/>
        <v>0</v>
      </c>
      <c r="K229" s="8">
        <f t="shared" si="132"/>
        <v>0</v>
      </c>
      <c r="L229" s="8">
        <f t="shared" si="132"/>
        <v>0</v>
      </c>
      <c r="M229" s="8"/>
      <c r="N229" s="12">
        <f t="shared" ref="N229:N247" si="133">TRUNC(SUM(G229:M229),2)</f>
        <v>0</v>
      </c>
      <c r="O229" s="578">
        <f t="shared" si="126"/>
        <v>0</v>
      </c>
      <c r="T229" s="6"/>
      <c r="U229" s="6"/>
      <c r="V229" s="6"/>
      <c r="W229" s="1305"/>
      <c r="X229" s="1315"/>
      <c r="Y229" s="5"/>
      <c r="Z229" s="5"/>
      <c r="AA229" s="5"/>
      <c r="AB229" s="5"/>
      <c r="AC229" s="5"/>
      <c r="AD229" s="5"/>
      <c r="AE229" s="1317"/>
      <c r="AF229" s="1319"/>
      <c r="AJ229" s="1306"/>
    </row>
    <row r="230" spans="1:42" s="68" customFormat="1" ht="21.95" hidden="1" customHeight="1" x14ac:dyDescent="0.15">
      <c r="A230" s="2627"/>
      <c r="B230" s="2534"/>
      <c r="C230" s="2637" t="s">
        <v>6</v>
      </c>
      <c r="D230" s="2638"/>
      <c r="E230" s="1061"/>
      <c r="F230" s="1344"/>
      <c r="G230" s="8">
        <f t="shared" ref="G230:L230" si="134">G222*G223*G224*(G226+G227)/100</f>
        <v>0</v>
      </c>
      <c r="H230" s="8">
        <f t="shared" si="134"/>
        <v>0</v>
      </c>
      <c r="I230" s="8">
        <f t="shared" si="134"/>
        <v>0</v>
      </c>
      <c r="J230" s="8">
        <f t="shared" si="134"/>
        <v>0</v>
      </c>
      <c r="K230" s="8">
        <f t="shared" si="134"/>
        <v>0</v>
      </c>
      <c r="L230" s="8">
        <f t="shared" si="134"/>
        <v>0</v>
      </c>
      <c r="M230" s="8"/>
      <c r="N230" s="425">
        <f t="shared" si="133"/>
        <v>0</v>
      </c>
      <c r="O230" s="578">
        <f t="shared" si="126"/>
        <v>0</v>
      </c>
      <c r="T230" s="6"/>
      <c r="U230" s="6"/>
      <c r="V230" s="6"/>
      <c r="W230" s="1305"/>
      <c r="X230" s="1315"/>
      <c r="Y230" s="5"/>
      <c r="Z230" s="5"/>
      <c r="AA230" s="5"/>
      <c r="AB230" s="5"/>
      <c r="AC230" s="5"/>
      <c r="AD230" s="5"/>
      <c r="AE230" s="1317"/>
      <c r="AF230" s="1319"/>
      <c r="AJ230" s="1306"/>
    </row>
    <row r="231" spans="1:42" s="68" customFormat="1" ht="21.95" hidden="1" customHeight="1" x14ac:dyDescent="0.15">
      <c r="A231" s="2627"/>
      <c r="B231" s="2534"/>
      <c r="C231" s="2637" t="s">
        <v>1871</v>
      </c>
      <c r="D231" s="2638"/>
      <c r="E231" s="1061"/>
      <c r="F231" s="1344"/>
      <c r="G231" s="8">
        <f>G229</f>
        <v>0</v>
      </c>
      <c r="H231" s="8">
        <f t="shared" ref="H231:L231" si="135">H229</f>
        <v>0</v>
      </c>
      <c r="I231" s="8">
        <f t="shared" si="135"/>
        <v>0</v>
      </c>
      <c r="J231" s="8">
        <f t="shared" si="135"/>
        <v>0</v>
      </c>
      <c r="K231" s="8">
        <f t="shared" si="135"/>
        <v>0</v>
      </c>
      <c r="L231" s="8">
        <f t="shared" si="135"/>
        <v>0</v>
      </c>
      <c r="M231" s="8"/>
      <c r="N231" s="425">
        <f t="shared" si="133"/>
        <v>0</v>
      </c>
      <c r="O231" s="578">
        <f t="shared" si="126"/>
        <v>0</v>
      </c>
      <c r="T231" s="6"/>
      <c r="U231" s="6"/>
      <c r="V231" s="6"/>
      <c r="W231" s="1305"/>
      <c r="X231" s="1315"/>
      <c r="Y231" s="5"/>
      <c r="Z231" s="5"/>
      <c r="AA231" s="5"/>
      <c r="AB231" s="5"/>
      <c r="AC231" s="5"/>
      <c r="AD231" s="5"/>
      <c r="AE231" s="1317"/>
      <c r="AF231" s="1319"/>
      <c r="AJ231" s="1306"/>
    </row>
    <row r="232" spans="1:42" s="68" customFormat="1" ht="21.95" hidden="1" customHeight="1" x14ac:dyDescent="0.15">
      <c r="A232" s="2627"/>
      <c r="B232" s="2534"/>
      <c r="C232" s="2637" t="s">
        <v>1580</v>
      </c>
      <c r="D232" s="2638"/>
      <c r="E232" s="1061"/>
      <c r="F232" s="1344"/>
      <c r="G232" s="8">
        <f>G229*G227/100</f>
        <v>0</v>
      </c>
      <c r="H232" s="8">
        <f t="shared" ref="H232:L232" si="136">H229*H227/100</f>
        <v>0</v>
      </c>
      <c r="I232" s="8">
        <f t="shared" si="136"/>
        <v>0</v>
      </c>
      <c r="J232" s="8">
        <f t="shared" si="136"/>
        <v>0</v>
      </c>
      <c r="K232" s="8">
        <f t="shared" si="136"/>
        <v>0</v>
      </c>
      <c r="L232" s="8">
        <f t="shared" si="136"/>
        <v>0</v>
      </c>
      <c r="M232" s="8"/>
      <c r="N232" s="425">
        <f t="shared" si="133"/>
        <v>0</v>
      </c>
      <c r="O232" s="578">
        <f t="shared" si="126"/>
        <v>0</v>
      </c>
      <c r="P232" s="1037"/>
      <c r="Q232" s="1037"/>
      <c r="R232" s="1037"/>
      <c r="S232" s="1037"/>
      <c r="T232" s="1037"/>
      <c r="U232" s="1037"/>
      <c r="V232" s="1037"/>
      <c r="W232" s="1304"/>
      <c r="X232" s="1314"/>
      <c r="Y232" s="1037"/>
      <c r="Z232" s="1037"/>
      <c r="AA232" s="1037"/>
      <c r="AB232" s="1037"/>
      <c r="AC232" s="1037"/>
      <c r="AD232" s="1037"/>
      <c r="AE232" s="1304"/>
      <c r="AF232" s="1314"/>
      <c r="AG232" s="1037"/>
      <c r="AH232" s="1037"/>
      <c r="AI232" s="1037"/>
      <c r="AJ232" s="1304">
        <v>1</v>
      </c>
      <c r="AK232" s="1037"/>
      <c r="AL232" s="1037"/>
      <c r="AM232" s="1037"/>
      <c r="AN232" s="1037"/>
      <c r="AO232" s="1037"/>
      <c r="AP232" s="1037"/>
    </row>
    <row r="233" spans="1:42" s="68" customFormat="1" ht="21.95" hidden="1" customHeight="1" x14ac:dyDescent="0.15">
      <c r="A233" s="2627"/>
      <c r="B233" s="2534"/>
      <c r="C233" s="2637" t="s">
        <v>1583</v>
      </c>
      <c r="D233" s="2638"/>
      <c r="E233" s="1061"/>
      <c r="F233" s="1344"/>
      <c r="G233" s="8">
        <f>((G224+G225)/2*G228/100+(G224*G226/100))*2*G222</f>
        <v>0</v>
      </c>
      <c r="H233" s="8">
        <f t="shared" ref="H233:L233" si="137">((H224+H225)/2*H228/100+(H224*H226/100))*2*H222</f>
        <v>0</v>
      </c>
      <c r="I233" s="8">
        <f t="shared" si="137"/>
        <v>0</v>
      </c>
      <c r="J233" s="8">
        <f t="shared" si="137"/>
        <v>0</v>
      </c>
      <c r="K233" s="8">
        <f t="shared" si="137"/>
        <v>0</v>
      </c>
      <c r="L233" s="8">
        <f t="shared" si="137"/>
        <v>0</v>
      </c>
      <c r="M233" s="8"/>
      <c r="N233" s="425">
        <f t="shared" si="133"/>
        <v>0</v>
      </c>
      <c r="O233" s="578">
        <f t="shared" si="126"/>
        <v>0</v>
      </c>
      <c r="P233" s="1037"/>
      <c r="Q233" s="1037"/>
      <c r="R233" s="1037"/>
      <c r="S233" s="1037"/>
      <c r="T233" s="1037"/>
      <c r="U233" s="1037"/>
      <c r="V233" s="1037"/>
      <c r="W233" s="1304"/>
      <c r="X233" s="1314"/>
      <c r="Y233" s="1037"/>
      <c r="Z233" s="1037"/>
      <c r="AA233" s="1037"/>
      <c r="AB233" s="1037"/>
      <c r="AC233" s="1037"/>
      <c r="AD233" s="1037"/>
      <c r="AE233" s="1304"/>
      <c r="AF233" s="1314"/>
      <c r="AG233" s="1037"/>
      <c r="AH233" s="1037"/>
      <c r="AI233" s="1037"/>
      <c r="AJ233" s="1304"/>
      <c r="AK233" s="1037"/>
      <c r="AL233" s="1037"/>
      <c r="AM233" s="1037"/>
      <c r="AN233" s="1037"/>
      <c r="AO233" s="1037">
        <v>1</v>
      </c>
      <c r="AP233" s="1037"/>
    </row>
    <row r="234" spans="1:42" s="68" customFormat="1" ht="21.95" hidden="1" customHeight="1" x14ac:dyDescent="0.15">
      <c r="A234" s="2627"/>
      <c r="B234" s="2534"/>
      <c r="C234" s="2637" t="s">
        <v>1861</v>
      </c>
      <c r="D234" s="2638"/>
      <c r="E234" s="1061"/>
      <c r="F234" s="1344"/>
      <c r="G234" s="8">
        <f t="shared" ref="G234:L234" si="138">((G224+G225)/2*G228/100+(G224*G226/100))*G223*G222</f>
        <v>0</v>
      </c>
      <c r="H234" s="8">
        <f t="shared" si="138"/>
        <v>0</v>
      </c>
      <c r="I234" s="8">
        <f t="shared" si="138"/>
        <v>0</v>
      </c>
      <c r="J234" s="8">
        <f t="shared" si="138"/>
        <v>0</v>
      </c>
      <c r="K234" s="8">
        <f t="shared" si="138"/>
        <v>0</v>
      </c>
      <c r="L234" s="8">
        <f t="shared" si="138"/>
        <v>0</v>
      </c>
      <c r="M234" s="8"/>
      <c r="N234" s="425">
        <f t="shared" si="133"/>
        <v>0</v>
      </c>
      <c r="O234" s="578">
        <f t="shared" si="126"/>
        <v>0</v>
      </c>
      <c r="P234" s="1037"/>
      <c r="Q234" s="1037"/>
      <c r="R234" s="1037"/>
      <c r="S234" s="1037">
        <v>1</v>
      </c>
      <c r="T234" s="1037"/>
      <c r="U234" s="1037"/>
      <c r="V234" s="1037"/>
      <c r="W234" s="1304"/>
      <c r="X234" s="1314"/>
      <c r="Y234" s="1037"/>
      <c r="Z234" s="1037">
        <v>1</v>
      </c>
      <c r="AA234" s="1037"/>
      <c r="AB234" s="1037"/>
      <c r="AC234" s="1037"/>
      <c r="AD234" s="1037"/>
      <c r="AE234" s="1304"/>
      <c r="AF234" s="1314"/>
      <c r="AG234" s="1037"/>
      <c r="AH234" s="1037">
        <v>1</v>
      </c>
      <c r="AI234" s="1037"/>
      <c r="AJ234" s="1304"/>
      <c r="AK234" s="1037"/>
      <c r="AL234" s="1037"/>
      <c r="AM234" s="1037"/>
      <c r="AN234" s="1037"/>
      <c r="AO234" s="1037"/>
      <c r="AP234" s="1037"/>
    </row>
    <row r="235" spans="1:42" s="68" customFormat="1" ht="21.95" hidden="1" customHeight="1" x14ac:dyDescent="0.15">
      <c r="A235" s="2627"/>
      <c r="B235" s="2534"/>
      <c r="C235" s="2637" t="s">
        <v>1866</v>
      </c>
      <c r="D235" s="2638"/>
      <c r="E235" s="1061"/>
      <c r="F235" s="1344"/>
      <c r="G235" s="8">
        <f t="shared" ref="G235:L235" si="139">G222*G223*G224*2.2</f>
        <v>0</v>
      </c>
      <c r="H235" s="8">
        <f t="shared" si="139"/>
        <v>0</v>
      </c>
      <c r="I235" s="8">
        <f t="shared" si="139"/>
        <v>0</v>
      </c>
      <c r="J235" s="8">
        <f t="shared" si="139"/>
        <v>0</v>
      </c>
      <c r="K235" s="8">
        <f t="shared" si="139"/>
        <v>0</v>
      </c>
      <c r="L235" s="8">
        <f t="shared" si="139"/>
        <v>0</v>
      </c>
      <c r="M235" s="8"/>
      <c r="N235" s="425">
        <f t="shared" si="133"/>
        <v>0</v>
      </c>
      <c r="O235" s="578">
        <f t="shared" si="126"/>
        <v>0</v>
      </c>
      <c r="P235" s="1037"/>
      <c r="Q235" s="1037"/>
      <c r="R235" s="1037"/>
      <c r="S235" s="1037"/>
      <c r="T235" s="1037"/>
      <c r="U235" s="1037"/>
      <c r="V235" s="1037"/>
      <c r="W235" s="1304"/>
      <c r="X235" s="1314"/>
      <c r="Y235" s="1037"/>
      <c r="Z235" s="1037"/>
      <c r="AA235" s="1037"/>
      <c r="AB235" s="1037"/>
      <c r="AC235" s="1037"/>
      <c r="AD235" s="1037"/>
      <c r="AE235" s="1304"/>
      <c r="AF235" s="1314"/>
      <c r="AG235" s="1037"/>
      <c r="AH235" s="1037"/>
      <c r="AI235" s="1037"/>
      <c r="AJ235" s="1304"/>
      <c r="AK235" s="1037">
        <v>1</v>
      </c>
      <c r="AL235" s="1037"/>
      <c r="AM235" s="1037"/>
      <c r="AN235" s="1037"/>
      <c r="AO235" s="1037"/>
      <c r="AP235" s="1037"/>
    </row>
    <row r="236" spans="1:42" s="68" customFormat="1" ht="21.95" hidden="1" customHeight="1" thickBot="1" x14ac:dyDescent="0.2">
      <c r="A236" s="2627"/>
      <c r="B236" s="2534"/>
      <c r="C236" s="2859" t="s">
        <v>1527</v>
      </c>
      <c r="D236" s="2647"/>
      <c r="E236" s="1061"/>
      <c r="F236" s="1357"/>
      <c r="G236" s="8">
        <f t="shared" ref="G236:L236" si="140">4*G222</f>
        <v>0</v>
      </c>
      <c r="H236" s="8">
        <f t="shared" si="140"/>
        <v>0</v>
      </c>
      <c r="I236" s="8">
        <f t="shared" si="140"/>
        <v>0</v>
      </c>
      <c r="J236" s="8">
        <f t="shared" si="140"/>
        <v>0</v>
      </c>
      <c r="K236" s="8">
        <f t="shared" si="140"/>
        <v>0</v>
      </c>
      <c r="L236" s="8">
        <f t="shared" si="140"/>
        <v>0</v>
      </c>
      <c r="M236" s="8"/>
      <c r="N236" s="425">
        <f t="shared" si="133"/>
        <v>0</v>
      </c>
      <c r="O236" s="578">
        <f t="shared" si="126"/>
        <v>0</v>
      </c>
      <c r="T236" s="6"/>
      <c r="U236" s="6"/>
      <c r="V236" s="6"/>
      <c r="W236" s="5"/>
      <c r="X236" s="5"/>
      <c r="Y236" s="5"/>
      <c r="Z236" s="5"/>
      <c r="AA236" s="5"/>
      <c r="AB236" s="5"/>
      <c r="AC236" s="5"/>
      <c r="AD236" s="5"/>
    </row>
    <row r="237" spans="1:42" s="68" customFormat="1" ht="21.95" hidden="1" customHeight="1" x14ac:dyDescent="0.15">
      <c r="A237" s="2627"/>
      <c r="B237" s="2594" t="s">
        <v>1525</v>
      </c>
      <c r="C237" s="2880" t="s">
        <v>1356</v>
      </c>
      <c r="D237" s="2881"/>
      <c r="E237" s="1060"/>
      <c r="F237" s="1358"/>
      <c r="G237" s="1179">
        <f t="shared" ref="G237:L237" si="141">G230*1.25</f>
        <v>0</v>
      </c>
      <c r="H237" s="1179">
        <f t="shared" si="141"/>
        <v>0</v>
      </c>
      <c r="I237" s="1179">
        <f t="shared" si="141"/>
        <v>0</v>
      </c>
      <c r="J237" s="1179">
        <f t="shared" si="141"/>
        <v>0</v>
      </c>
      <c r="K237" s="1179">
        <f t="shared" si="141"/>
        <v>0</v>
      </c>
      <c r="L237" s="1179">
        <f t="shared" si="141"/>
        <v>0</v>
      </c>
      <c r="M237" s="1179"/>
      <c r="N237" s="415">
        <f t="shared" si="133"/>
        <v>0</v>
      </c>
      <c r="O237" s="578">
        <f t="shared" si="126"/>
        <v>0</v>
      </c>
      <c r="T237" s="6"/>
      <c r="U237" s="6"/>
      <c r="V237" s="6"/>
      <c r="W237" s="5"/>
      <c r="X237" s="5"/>
      <c r="Y237" s="5"/>
      <c r="Z237" s="5"/>
      <c r="AA237" s="5"/>
      <c r="AB237" s="5"/>
      <c r="AC237" s="5"/>
      <c r="AD237" s="5"/>
    </row>
    <row r="238" spans="1:42" s="68" customFormat="1" ht="21.95" hidden="1" customHeight="1" x14ac:dyDescent="0.15">
      <c r="A238" s="2627"/>
      <c r="B238" s="2595"/>
      <c r="C238" s="2846" t="s">
        <v>2001</v>
      </c>
      <c r="D238" s="2847"/>
      <c r="E238" s="1061"/>
      <c r="F238" s="1357"/>
      <c r="G238" s="1143">
        <f t="shared" ref="G238:L238" si="142">G176</f>
        <v>0</v>
      </c>
      <c r="H238" s="1143">
        <f t="shared" si="142"/>
        <v>0</v>
      </c>
      <c r="I238" s="1143">
        <f t="shared" si="142"/>
        <v>0</v>
      </c>
      <c r="J238" s="1143">
        <f t="shared" si="142"/>
        <v>0</v>
      </c>
      <c r="K238" s="1143">
        <f t="shared" si="142"/>
        <v>0</v>
      </c>
      <c r="L238" s="1143">
        <f t="shared" si="142"/>
        <v>0</v>
      </c>
      <c r="M238" s="1143"/>
      <c r="N238" s="425">
        <f t="shared" si="133"/>
        <v>0</v>
      </c>
      <c r="O238" s="578">
        <f t="shared" si="126"/>
        <v>0</v>
      </c>
      <c r="T238" s="6"/>
      <c r="U238" s="6"/>
      <c r="V238" s="6"/>
      <c r="W238" s="5"/>
      <c r="X238" s="5"/>
      <c r="Y238" s="5"/>
      <c r="Z238" s="5"/>
      <c r="AA238" s="5"/>
      <c r="AB238" s="5"/>
      <c r="AC238" s="5"/>
      <c r="AD238" s="5"/>
    </row>
    <row r="239" spans="1:42" s="68" customFormat="1" ht="21.95" customHeight="1" x14ac:dyDescent="0.15">
      <c r="A239" s="2627"/>
      <c r="B239" s="2595"/>
      <c r="C239" s="2848" t="s">
        <v>1526</v>
      </c>
      <c r="D239" s="2849"/>
      <c r="E239" s="1061"/>
      <c r="F239" s="1357"/>
      <c r="G239" s="1138">
        <f t="shared" ref="G239:L239" si="143">(G157+G156)*0.4*0.02*2.4</f>
        <v>9.2927999999999997E-2</v>
      </c>
      <c r="H239" s="1138">
        <f t="shared" si="143"/>
        <v>0.55046400000000006</v>
      </c>
      <c r="I239" s="1138">
        <f t="shared" si="143"/>
        <v>0.27168000000000003</v>
      </c>
      <c r="J239" s="1138">
        <f t="shared" si="143"/>
        <v>0.18585599999999999</v>
      </c>
      <c r="K239" s="1136">
        <f t="shared" si="143"/>
        <v>0.13228799999999999</v>
      </c>
      <c r="L239" s="1138">
        <f t="shared" si="143"/>
        <v>0.37171199999999999</v>
      </c>
      <c r="M239" s="1138"/>
      <c r="N239" s="425">
        <f t="shared" si="133"/>
        <v>1.6</v>
      </c>
      <c r="O239" s="578">
        <f t="shared" si="126"/>
        <v>3.2049280000000002</v>
      </c>
      <c r="T239" s="6"/>
      <c r="U239" s="6"/>
      <c r="V239" s="6"/>
      <c r="W239" s="5"/>
      <c r="X239" s="5"/>
      <c r="Y239" s="5"/>
      <c r="Z239" s="5"/>
      <c r="AA239" s="5"/>
      <c r="AB239" s="5"/>
      <c r="AC239" s="5"/>
      <c r="AD239" s="5"/>
    </row>
    <row r="240" spans="1:42" s="68" customFormat="1" ht="21.95" hidden="1" customHeight="1" x14ac:dyDescent="0.15">
      <c r="A240" s="2627"/>
      <c r="B240" s="2595"/>
      <c r="C240" s="2848" t="s">
        <v>1528</v>
      </c>
      <c r="D240" s="2849"/>
      <c r="E240" s="1061"/>
      <c r="F240" s="1357"/>
      <c r="G240" s="1143">
        <f t="shared" ref="G240:L240" si="144">(G200*3.5+G201*5.8+G202*9+G203*12+G204*15+G205*18+G206*45.4)/1000</f>
        <v>0</v>
      </c>
      <c r="H240" s="1143">
        <f t="shared" si="144"/>
        <v>0</v>
      </c>
      <c r="I240" s="1143">
        <f t="shared" si="144"/>
        <v>0</v>
      </c>
      <c r="J240" s="1143">
        <f t="shared" si="144"/>
        <v>0</v>
      </c>
      <c r="K240" s="1143">
        <f t="shared" si="144"/>
        <v>0</v>
      </c>
      <c r="L240" s="1143">
        <f t="shared" si="144"/>
        <v>0</v>
      </c>
      <c r="M240" s="1143"/>
      <c r="N240" s="425">
        <f t="shared" si="133"/>
        <v>0</v>
      </c>
      <c r="O240" s="578">
        <f t="shared" si="126"/>
        <v>0</v>
      </c>
      <c r="T240" s="6"/>
      <c r="U240" s="6"/>
      <c r="V240" s="6"/>
      <c r="W240" s="5"/>
      <c r="X240" s="5"/>
      <c r="Y240" s="5"/>
      <c r="Z240" s="5"/>
      <c r="AA240" s="5"/>
      <c r="AB240" s="5"/>
      <c r="AC240" s="5"/>
      <c r="AD240" s="5"/>
    </row>
    <row r="241" spans="1:30" s="68" customFormat="1" ht="21.95" customHeight="1" x14ac:dyDescent="0.15">
      <c r="A241" s="2627"/>
      <c r="B241" s="2595"/>
      <c r="C241" s="2848" t="s">
        <v>1203</v>
      </c>
      <c r="D241" s="2849"/>
      <c r="E241" s="1061"/>
      <c r="F241" s="1357"/>
      <c r="G241" s="1143">
        <f>($P$152*(G208*$P$208)+$Q$152*(G164*$Q$164+G168*$Q$168)+$R$152*G234*$Q$234+$S$152*G199*$S$199+$T$152*(G156*$T$156+G157*$T$157+G211*$T$211)+$U$152*SUMPRODUCT(G200:G206,$U$200:$U$206)+$V$152*G209*$V$209+$W$152*G210*$W$210)/1000</f>
        <v>12.056187495499202</v>
      </c>
      <c r="H241" s="1143">
        <f t="shared" ref="H241:L241" si="145">($P$152*(H208*$P$208)+$Q$152*(H164*$Q$164+H168*$Q$168)+$R$152*H234*$Q$234+$S$152*H199*$S$199+$T$152*(H156*$T$156+H157*$T$157+H211*$T$211)+$U$152*SUMPRODUCT(H200:H206,$U$200:$U$206)+$V$152*H209*$V$209+$W$152*H210*$W$210)/1000</f>
        <v>53.500891759647608</v>
      </c>
      <c r="I241" s="1143">
        <f t="shared" si="145"/>
        <v>11.05355140254</v>
      </c>
      <c r="J241" s="1143">
        <f t="shared" si="145"/>
        <v>7.3926435894923985</v>
      </c>
      <c r="K241" s="1143">
        <f t="shared" si="145"/>
        <v>8.6235701553672008</v>
      </c>
      <c r="L241" s="1143">
        <f t="shared" si="145"/>
        <v>55.774915238854796</v>
      </c>
      <c r="M241" s="1143"/>
      <c r="N241" s="425">
        <f t="shared" si="133"/>
        <v>148.4</v>
      </c>
      <c r="O241" s="578">
        <f t="shared" si="126"/>
        <v>296.80175964140119</v>
      </c>
      <c r="T241" s="6"/>
      <c r="U241" s="6"/>
      <c r="V241" s="6"/>
      <c r="W241" s="5"/>
      <c r="X241" s="5"/>
      <c r="Y241" s="5"/>
      <c r="Z241" s="5"/>
      <c r="AA241" s="5"/>
      <c r="AB241" s="5"/>
      <c r="AC241" s="5"/>
      <c r="AD241" s="5"/>
    </row>
    <row r="242" spans="1:30" s="68" customFormat="1" ht="21.95" customHeight="1" x14ac:dyDescent="0.15">
      <c r="A242" s="2627"/>
      <c r="B242" s="2595"/>
      <c r="C242" s="2848" t="s">
        <v>585</v>
      </c>
      <c r="D242" s="2849"/>
      <c r="E242" s="1061"/>
      <c r="F242" s="1357"/>
      <c r="G242" s="1143">
        <f>$X$152*G208*$X208+$Y$152*(G164*$Y164+G168*$Y168)+$AA$152*G199*$AA199+$AB$152*(G156*$AB156+G157*$AB157+G211*$AB211)+$AC$152*SUMPRODUCT(G200:G206,$AC200:$AC206)+$AD$152*G209*$AD209+$AE$152*G210*AK$210+G234*AF$234*$Z$152</f>
        <v>28.191484662032007</v>
      </c>
      <c r="H242" s="1143">
        <f t="shared" ref="H242:L242" si="146">$X$152*H208*$X208+$Y$152*(H164*$Y164+H168*$Y168)+$AA$152*H199*$AA199+$AB$152*(H156*$AB156+H157*$AB157+H211*$AB211)+$AC$152*SUMPRODUCT(H200:H206,$AC200:$AC206)+$AD$152*H209*$AD209+$AE$152*H210*AL$210+H234*AG$234*$Z$152</f>
        <v>125.07216422259602</v>
      </c>
      <c r="I242" s="1143">
        <f t="shared" si="146"/>
        <v>25.804849023400003</v>
      </c>
      <c r="J242" s="1143">
        <f t="shared" si="146"/>
        <v>17.257410486803995</v>
      </c>
      <c r="K242" s="1143">
        <f t="shared" si="146"/>
        <v>20.149982972311999</v>
      </c>
      <c r="L242" s="1143">
        <f t="shared" si="146"/>
        <v>130.43395184130802</v>
      </c>
      <c r="M242" s="1143"/>
      <c r="N242" s="425">
        <f t="shared" si="133"/>
        <v>346.9</v>
      </c>
      <c r="O242" s="578">
        <f t="shared" si="126"/>
        <v>693.80984320845198</v>
      </c>
      <c r="T242" s="6"/>
      <c r="U242" s="6"/>
      <c r="V242" s="6"/>
      <c r="W242" s="5"/>
      <c r="X242" s="5"/>
      <c r="Y242" s="5"/>
      <c r="Z242" s="5"/>
      <c r="AA242" s="5"/>
      <c r="AB242" s="5"/>
      <c r="AC242" s="5"/>
      <c r="AD242" s="5"/>
    </row>
    <row r="243" spans="1:30" s="68" customFormat="1" ht="21.95" customHeight="1" x14ac:dyDescent="0.15">
      <c r="A243" s="2627"/>
      <c r="B243" s="2595"/>
      <c r="C243" s="2848" t="s">
        <v>642</v>
      </c>
      <c r="D243" s="2849"/>
      <c r="E243" s="1061"/>
      <c r="F243" s="1357"/>
      <c r="G243" s="1143">
        <f>$AF$152*G208*$AF208+$AG$152*(G164*$AG164+G168*$AG168)+$AH$152*G234*$AH234+$AI$152*G199*$AI199+$AJ$152*(G166*$AJ166+G232*$AJ232)</f>
        <v>21.608773750480001</v>
      </c>
      <c r="H243" s="1143">
        <f t="shared" ref="H243:L243" si="147">$AF$152*H208*$AF208+$AG$152*(H164*$AG164+H168*$AG168)+$AH$152*H234*$AH234+$AI$152*H199*$AI199+$AJ$152*(H166*$AJ166+H232*$AJ232)</f>
        <v>95.441874173940008</v>
      </c>
      <c r="I243" s="1143">
        <f t="shared" si="147"/>
        <v>19.204188101</v>
      </c>
      <c r="J243" s="1143">
        <f t="shared" si="147"/>
        <v>12.830271717059995</v>
      </c>
      <c r="K243" s="1143">
        <f t="shared" si="147"/>
        <v>15.241934954679998</v>
      </c>
      <c r="L243" s="1143">
        <f t="shared" si="147"/>
        <v>100.15714282462</v>
      </c>
      <c r="M243" s="1143"/>
      <c r="N243" s="425">
        <f t="shared" si="133"/>
        <v>264.48</v>
      </c>
      <c r="O243" s="578">
        <f t="shared" si="126"/>
        <v>528.96418552178</v>
      </c>
      <c r="T243" s="6"/>
      <c r="U243" s="6"/>
      <c r="V243" s="6"/>
      <c r="W243" s="5"/>
      <c r="X243" s="5"/>
      <c r="Y243" s="5"/>
      <c r="Z243" s="5"/>
      <c r="AA243" s="5"/>
      <c r="AB243" s="5"/>
      <c r="AC243" s="5"/>
      <c r="AD243" s="5"/>
    </row>
    <row r="244" spans="1:30" s="68" customFormat="1" ht="21.95" hidden="1" customHeight="1" x14ac:dyDescent="0.15">
      <c r="A244" s="2627"/>
      <c r="B244" s="2595"/>
      <c r="C244" s="2848" t="s">
        <v>1204</v>
      </c>
      <c r="D244" s="2849"/>
      <c r="E244" s="1061"/>
      <c r="F244" s="1357"/>
      <c r="G244" s="1143">
        <f>($AK$152*(G169*$AK169+G235*$AK235)+$AL$152*G199*$AL199)/1000</f>
        <v>0</v>
      </c>
      <c r="H244" s="1143">
        <f t="shared" ref="H244:L244" si="148">($AK$152*(H169*$AK169+H235*$AK235)+$AL$152*H199*$AL199)/1000</f>
        <v>0</v>
      </c>
      <c r="I244" s="1143">
        <f t="shared" si="148"/>
        <v>0</v>
      </c>
      <c r="J244" s="1143">
        <f t="shared" si="148"/>
        <v>0</v>
      </c>
      <c r="K244" s="1143">
        <f t="shared" si="148"/>
        <v>0</v>
      </c>
      <c r="L244" s="1143">
        <f t="shared" si="148"/>
        <v>0</v>
      </c>
      <c r="M244" s="1143"/>
      <c r="N244" s="425">
        <f t="shared" si="133"/>
        <v>0</v>
      </c>
      <c r="O244" s="578">
        <f t="shared" si="126"/>
        <v>0</v>
      </c>
      <c r="T244" s="6"/>
      <c r="U244" s="6"/>
      <c r="V244" s="6"/>
      <c r="W244" s="5"/>
      <c r="X244" s="5"/>
      <c r="Y244" s="5"/>
      <c r="Z244" s="5"/>
      <c r="AA244" s="5"/>
      <c r="AB244" s="5"/>
      <c r="AC244" s="5"/>
      <c r="AD244" s="5"/>
    </row>
    <row r="245" spans="1:30" s="68" customFormat="1" ht="21.95" hidden="1" customHeight="1" x14ac:dyDescent="0.15">
      <c r="A245" s="2627"/>
      <c r="B245" s="2595"/>
      <c r="C245" s="2848" t="s">
        <v>1209</v>
      </c>
      <c r="D245" s="2849"/>
      <c r="E245" s="1061"/>
      <c r="F245" s="1357"/>
      <c r="G245" s="1143">
        <f>$AM$152*G209*$AM209</f>
        <v>0</v>
      </c>
      <c r="H245" s="1143">
        <f t="shared" ref="H245:L245" si="149">$AM$152*H209*$AM209</f>
        <v>0</v>
      </c>
      <c r="I245" s="1143">
        <f t="shared" si="149"/>
        <v>0</v>
      </c>
      <c r="J245" s="1143">
        <f t="shared" si="149"/>
        <v>0</v>
      </c>
      <c r="K245" s="1143">
        <f t="shared" si="149"/>
        <v>0</v>
      </c>
      <c r="L245" s="1143">
        <f t="shared" si="149"/>
        <v>0</v>
      </c>
      <c r="M245" s="1143"/>
      <c r="N245" s="425">
        <f t="shared" si="133"/>
        <v>0</v>
      </c>
      <c r="O245" s="578">
        <f t="shared" si="126"/>
        <v>0</v>
      </c>
      <c r="T245" s="6"/>
      <c r="U245" s="6"/>
      <c r="V245" s="6"/>
      <c r="W245" s="5"/>
      <c r="X245" s="5"/>
      <c r="Y245" s="5"/>
      <c r="Z245" s="5"/>
      <c r="AA245" s="5"/>
      <c r="AB245" s="5"/>
      <c r="AC245" s="5"/>
      <c r="AD245" s="5"/>
    </row>
    <row r="246" spans="1:30" s="68" customFormat="1" ht="21.95" customHeight="1" thickBot="1" x14ac:dyDescent="0.2">
      <c r="A246" s="2627"/>
      <c r="B246" s="2595"/>
      <c r="C246" s="2848" t="s">
        <v>1584</v>
      </c>
      <c r="D246" s="2849"/>
      <c r="E246" s="1061"/>
      <c r="F246" s="1357"/>
      <c r="G246" s="1143">
        <f>$AN$152*(G164*$AN164+G168*$AN168+G199*$AN199)+$AO$152*G233*$AO233</f>
        <v>0.30348080000000005</v>
      </c>
      <c r="H246" s="1143">
        <f t="shared" ref="H246:L246" si="150">$AN$152*(H164*$AN164+H168*$AN168+H199*$AN199)+$AO$152*H233*$AO233</f>
        <v>1.3404174</v>
      </c>
      <c r="I246" s="1143">
        <f t="shared" si="150"/>
        <v>0.26971000000000001</v>
      </c>
      <c r="J246" s="1143">
        <f t="shared" si="150"/>
        <v>0.18019259999999995</v>
      </c>
      <c r="K246" s="1143">
        <f t="shared" si="150"/>
        <v>0.21406279999999997</v>
      </c>
      <c r="L246" s="1143">
        <f t="shared" si="150"/>
        <v>1.4066402</v>
      </c>
      <c r="M246" s="1143"/>
      <c r="N246" s="425">
        <f t="shared" si="133"/>
        <v>3.71</v>
      </c>
      <c r="O246" s="578">
        <f t="shared" si="126"/>
        <v>7.4245038000000001</v>
      </c>
      <c r="T246" s="6"/>
      <c r="U246" s="6"/>
      <c r="V246" s="6"/>
      <c r="W246" s="5"/>
      <c r="X246" s="5"/>
      <c r="Y246" s="5"/>
      <c r="Z246" s="5"/>
      <c r="AA246" s="5"/>
      <c r="AB246" s="5"/>
      <c r="AC246" s="5"/>
      <c r="AD246" s="5"/>
    </row>
    <row r="247" spans="1:30" s="68" customFormat="1" ht="21.95" hidden="1" customHeight="1" thickBot="1" x14ac:dyDescent="0.2">
      <c r="A247" s="2627"/>
      <c r="B247" s="2587"/>
      <c r="C247" s="2856" t="s">
        <v>1585</v>
      </c>
      <c r="D247" s="2857"/>
      <c r="E247" s="982"/>
      <c r="F247" s="563"/>
      <c r="G247" s="1173">
        <f>($AP$152*(G168*$AP168+G209*$AP209))/1000</f>
        <v>0</v>
      </c>
      <c r="H247" s="1173">
        <f t="shared" ref="H247:L247" si="151">($AP$152*(H168*$AP168+H209*$AP209))/1000</f>
        <v>0</v>
      </c>
      <c r="I247" s="1173">
        <f t="shared" si="151"/>
        <v>0</v>
      </c>
      <c r="J247" s="1173">
        <f t="shared" si="151"/>
        <v>0</v>
      </c>
      <c r="K247" s="1173">
        <f t="shared" si="151"/>
        <v>0</v>
      </c>
      <c r="L247" s="1173">
        <f t="shared" si="151"/>
        <v>0</v>
      </c>
      <c r="M247" s="1173"/>
      <c r="N247" s="416">
        <f t="shared" si="133"/>
        <v>0</v>
      </c>
      <c r="O247" s="578">
        <f t="shared" si="126"/>
        <v>0</v>
      </c>
      <c r="T247" s="6"/>
      <c r="U247" s="6"/>
      <c r="V247" s="6"/>
      <c r="W247" s="5"/>
      <c r="X247" s="5"/>
      <c r="Y247" s="5"/>
      <c r="Z247" s="5"/>
      <c r="AA247" s="5"/>
      <c r="AB247" s="5"/>
      <c r="AC247" s="5"/>
      <c r="AD247" s="5"/>
    </row>
    <row r="248" spans="1:30" s="68" customFormat="1" ht="21.95" hidden="1" customHeight="1" x14ac:dyDescent="0.15">
      <c r="A248" s="2627"/>
      <c r="B248" s="2594" t="s">
        <v>1529</v>
      </c>
      <c r="C248" s="2848" t="s">
        <v>1356</v>
      </c>
      <c r="D248" s="2849"/>
      <c r="E248" s="1061"/>
      <c r="F248" s="1357"/>
      <c r="G248" s="1143">
        <f t="shared" ref="G248:L248" si="152">G237</f>
        <v>0</v>
      </c>
      <c r="H248" s="1143">
        <f t="shared" si="152"/>
        <v>0</v>
      </c>
      <c r="I248" s="1143">
        <f t="shared" si="152"/>
        <v>0</v>
      </c>
      <c r="J248" s="1143">
        <f t="shared" si="152"/>
        <v>0</v>
      </c>
      <c r="K248" s="1143">
        <f t="shared" si="152"/>
        <v>0</v>
      </c>
      <c r="L248" s="1143">
        <f t="shared" si="152"/>
        <v>0</v>
      </c>
      <c r="M248" s="1143"/>
      <c r="N248" s="425"/>
      <c r="O248" s="578"/>
      <c r="T248" s="6"/>
      <c r="U248" s="6"/>
      <c r="V248" s="6"/>
      <c r="W248" s="5"/>
      <c r="X248" s="5"/>
      <c r="Y248" s="5"/>
      <c r="Z248" s="5"/>
      <c r="AA248" s="5"/>
      <c r="AB248" s="5"/>
      <c r="AC248" s="5"/>
      <c r="AD248" s="5"/>
    </row>
    <row r="249" spans="1:30" s="68" customFormat="1" ht="21.95" hidden="1" customHeight="1" x14ac:dyDescent="0.15">
      <c r="A249" s="2627"/>
      <c r="B249" s="2595"/>
      <c r="C249" s="2848" t="s">
        <v>2001</v>
      </c>
      <c r="D249" s="2849"/>
      <c r="E249" s="1061"/>
      <c r="F249" s="1357"/>
      <c r="G249" s="1143">
        <f t="shared" ref="G249:L249" si="153">G238</f>
        <v>0</v>
      </c>
      <c r="H249" s="1143">
        <f t="shared" si="153"/>
        <v>0</v>
      </c>
      <c r="I249" s="1143">
        <f t="shared" si="153"/>
        <v>0</v>
      </c>
      <c r="J249" s="1143">
        <f t="shared" si="153"/>
        <v>0</v>
      </c>
      <c r="K249" s="1143">
        <f t="shared" si="153"/>
        <v>0</v>
      </c>
      <c r="L249" s="1143">
        <f t="shared" si="153"/>
        <v>0</v>
      </c>
      <c r="M249" s="1143"/>
      <c r="N249" s="425"/>
      <c r="O249" s="578"/>
      <c r="T249" s="6"/>
      <c r="U249" s="6"/>
      <c r="V249" s="6"/>
      <c r="W249" s="5"/>
      <c r="X249" s="5"/>
      <c r="Y249" s="5"/>
      <c r="Z249" s="5"/>
      <c r="AA249" s="5"/>
      <c r="AB249" s="5"/>
      <c r="AC249" s="5"/>
      <c r="AD249" s="5"/>
    </row>
    <row r="250" spans="1:30" s="68" customFormat="1" ht="21.95" hidden="1" customHeight="1" x14ac:dyDescent="0.15">
      <c r="A250" s="2627"/>
      <c r="B250" s="2595"/>
      <c r="C250" s="2848" t="s">
        <v>1526</v>
      </c>
      <c r="D250" s="2849"/>
      <c r="E250" s="1061"/>
      <c r="F250" s="1357"/>
      <c r="G250" s="1143">
        <f t="shared" ref="G250:L250" si="154">G239</f>
        <v>9.2927999999999997E-2</v>
      </c>
      <c r="H250" s="1143">
        <f t="shared" si="154"/>
        <v>0.55046400000000006</v>
      </c>
      <c r="I250" s="1143">
        <f t="shared" si="154"/>
        <v>0.27168000000000003</v>
      </c>
      <c r="J250" s="1143">
        <f t="shared" si="154"/>
        <v>0.18585599999999999</v>
      </c>
      <c r="K250" s="1143">
        <f t="shared" si="154"/>
        <v>0.13228799999999999</v>
      </c>
      <c r="L250" s="1143">
        <f t="shared" si="154"/>
        <v>0.37171199999999999</v>
      </c>
      <c r="M250" s="1143"/>
      <c r="N250" s="425"/>
      <c r="O250" s="578"/>
      <c r="T250" s="6"/>
      <c r="U250" s="6"/>
      <c r="V250" s="6"/>
      <c r="W250" s="5"/>
      <c r="X250" s="5"/>
      <c r="Y250" s="5"/>
      <c r="Z250" s="5"/>
      <c r="AA250" s="5"/>
      <c r="AB250" s="5"/>
      <c r="AC250" s="5"/>
      <c r="AD250" s="5"/>
    </row>
    <row r="251" spans="1:30" s="68" customFormat="1" ht="21.95" hidden="1" customHeight="1" x14ac:dyDescent="0.15">
      <c r="A251" s="2627"/>
      <c r="B251" s="2595"/>
      <c r="C251" s="2848" t="s">
        <v>1528</v>
      </c>
      <c r="D251" s="2849"/>
      <c r="E251" s="1061"/>
      <c r="F251" s="1357"/>
      <c r="G251" s="1143">
        <f t="shared" ref="G251:L251" si="155">G240</f>
        <v>0</v>
      </c>
      <c r="H251" s="1143">
        <f t="shared" si="155"/>
        <v>0</v>
      </c>
      <c r="I251" s="1143">
        <f t="shared" si="155"/>
        <v>0</v>
      </c>
      <c r="J251" s="1143">
        <f t="shared" si="155"/>
        <v>0</v>
      </c>
      <c r="K251" s="1143">
        <f t="shared" si="155"/>
        <v>0</v>
      </c>
      <c r="L251" s="1143">
        <f t="shared" si="155"/>
        <v>0</v>
      </c>
      <c r="M251" s="1143"/>
      <c r="N251" s="425"/>
      <c r="O251" s="578"/>
      <c r="T251" s="6"/>
      <c r="U251" s="6"/>
      <c r="V251" s="6"/>
      <c r="W251" s="5"/>
      <c r="X251" s="5"/>
      <c r="Y251" s="5"/>
      <c r="Z251" s="5"/>
      <c r="AA251" s="5"/>
      <c r="AB251" s="5"/>
      <c r="AC251" s="5"/>
      <c r="AD251" s="5"/>
    </row>
    <row r="252" spans="1:30" s="68" customFormat="1" ht="21.95" hidden="1" customHeight="1" x14ac:dyDescent="0.15">
      <c r="A252" s="2627"/>
      <c r="B252" s="2595"/>
      <c r="C252" s="2848" t="s">
        <v>1203</v>
      </c>
      <c r="D252" s="2849"/>
      <c r="E252" s="1061"/>
      <c r="F252" s="1357"/>
      <c r="G252" s="1143">
        <f t="shared" ref="G252:L252" si="156">G241</f>
        <v>12.056187495499202</v>
      </c>
      <c r="H252" s="1143">
        <f t="shared" si="156"/>
        <v>53.500891759647608</v>
      </c>
      <c r="I252" s="1143">
        <f t="shared" si="156"/>
        <v>11.05355140254</v>
      </c>
      <c r="J252" s="1143">
        <f t="shared" si="156"/>
        <v>7.3926435894923985</v>
      </c>
      <c r="K252" s="1143">
        <f t="shared" si="156"/>
        <v>8.6235701553672008</v>
      </c>
      <c r="L252" s="1143">
        <f t="shared" si="156"/>
        <v>55.774915238854796</v>
      </c>
      <c r="M252" s="1143"/>
      <c r="N252" s="425"/>
      <c r="O252" s="578"/>
      <c r="T252" s="6"/>
      <c r="U252" s="6"/>
      <c r="V252" s="6"/>
      <c r="W252" s="5"/>
      <c r="X252" s="5"/>
      <c r="Y252" s="5"/>
      <c r="Z252" s="5"/>
      <c r="AA252" s="5"/>
      <c r="AB252" s="5"/>
      <c r="AC252" s="5"/>
      <c r="AD252" s="5"/>
    </row>
    <row r="253" spans="1:30" s="68" customFormat="1" ht="21.95" hidden="1" customHeight="1" x14ac:dyDescent="0.15">
      <c r="A253" s="2627"/>
      <c r="B253" s="2595"/>
      <c r="C253" s="2848" t="s">
        <v>585</v>
      </c>
      <c r="D253" s="2849"/>
      <c r="E253" s="1061"/>
      <c r="F253" s="1357"/>
      <c r="G253" s="1143">
        <f t="shared" ref="G253:L253" si="157">G242</f>
        <v>28.191484662032007</v>
      </c>
      <c r="H253" s="1143">
        <f t="shared" si="157"/>
        <v>125.07216422259602</v>
      </c>
      <c r="I253" s="1143">
        <f t="shared" si="157"/>
        <v>25.804849023400003</v>
      </c>
      <c r="J253" s="1143">
        <f t="shared" si="157"/>
        <v>17.257410486803995</v>
      </c>
      <c r="K253" s="1143">
        <f t="shared" si="157"/>
        <v>20.149982972311999</v>
      </c>
      <c r="L253" s="1143">
        <f t="shared" si="157"/>
        <v>130.43395184130802</v>
      </c>
      <c r="M253" s="1143"/>
      <c r="N253" s="425"/>
      <c r="O253" s="578"/>
      <c r="T253" s="6"/>
      <c r="U253" s="6"/>
      <c r="V253" s="6"/>
      <c r="W253" s="5"/>
      <c r="X253" s="5"/>
      <c r="Y253" s="5"/>
      <c r="Z253" s="5"/>
      <c r="AA253" s="5"/>
      <c r="AB253" s="5"/>
      <c r="AC253" s="5"/>
      <c r="AD253" s="5"/>
    </row>
    <row r="254" spans="1:30" s="68" customFormat="1" ht="21.95" hidden="1" customHeight="1" x14ac:dyDescent="0.15">
      <c r="A254" s="2627"/>
      <c r="B254" s="2595"/>
      <c r="C254" s="2848" t="s">
        <v>642</v>
      </c>
      <c r="D254" s="2849"/>
      <c r="E254" s="1061"/>
      <c r="F254" s="1357"/>
      <c r="G254" s="1143">
        <f t="shared" ref="G254:L254" si="158">G243</f>
        <v>21.608773750480001</v>
      </c>
      <c r="H254" s="1143">
        <f t="shared" si="158"/>
        <v>95.441874173940008</v>
      </c>
      <c r="I254" s="1143">
        <f t="shared" si="158"/>
        <v>19.204188101</v>
      </c>
      <c r="J254" s="1143">
        <f t="shared" si="158"/>
        <v>12.830271717059995</v>
      </c>
      <c r="K254" s="1143">
        <f t="shared" si="158"/>
        <v>15.241934954679998</v>
      </c>
      <c r="L254" s="1143">
        <f t="shared" si="158"/>
        <v>100.15714282462</v>
      </c>
      <c r="M254" s="1143"/>
      <c r="N254" s="425"/>
      <c r="O254" s="578"/>
      <c r="T254" s="6"/>
      <c r="U254" s="6"/>
      <c r="V254" s="6"/>
      <c r="W254" s="5"/>
      <c r="X254" s="5"/>
      <c r="Y254" s="5"/>
      <c r="Z254" s="5"/>
      <c r="AA254" s="5"/>
      <c r="AB254" s="5"/>
      <c r="AC254" s="5"/>
      <c r="AD254" s="5"/>
    </row>
    <row r="255" spans="1:30" s="68" customFormat="1" ht="21.95" hidden="1" customHeight="1" x14ac:dyDescent="0.15">
      <c r="A255" s="2627"/>
      <c r="B255" s="2595"/>
      <c r="C255" s="2848" t="s">
        <v>1204</v>
      </c>
      <c r="D255" s="2849"/>
      <c r="E255" s="1061"/>
      <c r="F255" s="1357"/>
      <c r="G255" s="1143">
        <f t="shared" ref="G255:L255" si="159">G244</f>
        <v>0</v>
      </c>
      <c r="H255" s="1143">
        <f t="shared" si="159"/>
        <v>0</v>
      </c>
      <c r="I255" s="1143">
        <f t="shared" si="159"/>
        <v>0</v>
      </c>
      <c r="J255" s="1143">
        <f t="shared" si="159"/>
        <v>0</v>
      </c>
      <c r="K255" s="1143">
        <f t="shared" si="159"/>
        <v>0</v>
      </c>
      <c r="L255" s="1143">
        <f t="shared" si="159"/>
        <v>0</v>
      </c>
      <c r="M255" s="1143"/>
      <c r="N255" s="425"/>
      <c r="O255" s="578"/>
      <c r="T255" s="6"/>
      <c r="U255" s="6"/>
      <c r="V255" s="6"/>
      <c r="W255" s="5"/>
      <c r="X255" s="5"/>
      <c r="Y255" s="5"/>
      <c r="Z255" s="5"/>
      <c r="AA255" s="5"/>
      <c r="AB255" s="5"/>
      <c r="AC255" s="5"/>
      <c r="AD255" s="5"/>
    </row>
    <row r="256" spans="1:30" s="68" customFormat="1" ht="21.95" hidden="1" customHeight="1" x14ac:dyDescent="0.15">
      <c r="A256" s="2627"/>
      <c r="B256" s="2595"/>
      <c r="C256" s="2848" t="s">
        <v>1209</v>
      </c>
      <c r="D256" s="2849"/>
      <c r="E256" s="1061"/>
      <c r="F256" s="1357"/>
      <c r="G256" s="1143">
        <f t="shared" ref="G256:L256" si="160">G245</f>
        <v>0</v>
      </c>
      <c r="H256" s="1143">
        <f t="shared" si="160"/>
        <v>0</v>
      </c>
      <c r="I256" s="1143">
        <f t="shared" si="160"/>
        <v>0</v>
      </c>
      <c r="J256" s="1143">
        <f t="shared" si="160"/>
        <v>0</v>
      </c>
      <c r="K256" s="1143">
        <f t="shared" si="160"/>
        <v>0</v>
      </c>
      <c r="L256" s="1143">
        <f t="shared" si="160"/>
        <v>0</v>
      </c>
      <c r="M256" s="1143"/>
      <c r="N256" s="425"/>
      <c r="O256" s="578"/>
      <c r="T256" s="6"/>
      <c r="U256" s="6"/>
      <c r="V256" s="6"/>
      <c r="W256" s="5"/>
      <c r="X256" s="5"/>
      <c r="Y256" s="5"/>
      <c r="Z256" s="5"/>
      <c r="AA256" s="5"/>
      <c r="AB256" s="5"/>
      <c r="AC256" s="5"/>
      <c r="AD256" s="5"/>
    </row>
    <row r="257" spans="1:30" s="68" customFormat="1" ht="21.95" hidden="1" customHeight="1" x14ac:dyDescent="0.15">
      <c r="A257" s="2627"/>
      <c r="B257" s="2595"/>
      <c r="C257" s="2848" t="s">
        <v>1584</v>
      </c>
      <c r="D257" s="2849"/>
      <c r="E257" s="1061"/>
      <c r="F257" s="1357"/>
      <c r="G257" s="1143">
        <f t="shared" ref="G257:L257" si="161">G246</f>
        <v>0.30348080000000005</v>
      </c>
      <c r="H257" s="1143">
        <f t="shared" si="161"/>
        <v>1.3404174</v>
      </c>
      <c r="I257" s="1143">
        <f t="shared" si="161"/>
        <v>0.26971000000000001</v>
      </c>
      <c r="J257" s="1143">
        <f t="shared" si="161"/>
        <v>0.18019259999999995</v>
      </c>
      <c r="K257" s="1143">
        <f t="shared" si="161"/>
        <v>0.21406279999999997</v>
      </c>
      <c r="L257" s="1143">
        <f t="shared" si="161"/>
        <v>1.4066402</v>
      </c>
      <c r="M257" s="1143"/>
      <c r="N257" s="425"/>
      <c r="O257" s="578"/>
      <c r="T257" s="6"/>
      <c r="U257" s="6"/>
      <c r="V257" s="6"/>
      <c r="W257" s="5"/>
      <c r="X257" s="5"/>
      <c r="Y257" s="5"/>
      <c r="Z257" s="5"/>
      <c r="AA257" s="5"/>
      <c r="AB257" s="5"/>
      <c r="AC257" s="5"/>
      <c r="AD257" s="5"/>
    </row>
    <row r="258" spans="1:30" s="68" customFormat="1" ht="21.95" hidden="1" customHeight="1" thickBot="1" x14ac:dyDescent="0.2">
      <c r="A258" s="2627"/>
      <c r="B258" s="2595"/>
      <c r="C258" s="2846" t="s">
        <v>1585</v>
      </c>
      <c r="D258" s="2847"/>
      <c r="E258" s="1061"/>
      <c r="F258" s="1357"/>
      <c r="G258" s="1143">
        <f t="shared" ref="G258:L258" si="162">G247</f>
        <v>0</v>
      </c>
      <c r="H258" s="1143">
        <f t="shared" si="162"/>
        <v>0</v>
      </c>
      <c r="I258" s="1143">
        <f t="shared" si="162"/>
        <v>0</v>
      </c>
      <c r="J258" s="1143">
        <f t="shared" si="162"/>
        <v>0</v>
      </c>
      <c r="K258" s="1143">
        <f t="shared" si="162"/>
        <v>0</v>
      </c>
      <c r="L258" s="1143">
        <f t="shared" si="162"/>
        <v>0</v>
      </c>
      <c r="M258" s="1143"/>
      <c r="N258" s="425"/>
      <c r="O258" s="578"/>
      <c r="T258" s="6"/>
      <c r="U258" s="6"/>
      <c r="V258" s="6"/>
      <c r="W258" s="5"/>
      <c r="X258" s="5"/>
      <c r="Y258" s="5"/>
      <c r="Z258" s="5"/>
      <c r="AA258" s="5"/>
      <c r="AB258" s="5"/>
      <c r="AC258" s="5"/>
      <c r="AD258" s="5"/>
    </row>
    <row r="259" spans="1:30" s="9" customFormat="1" ht="60" customHeight="1" thickBot="1" x14ac:dyDescent="0.2">
      <c r="A259" s="2628"/>
      <c r="B259" s="2830" t="s">
        <v>12</v>
      </c>
      <c r="C259" s="2864"/>
      <c r="D259" s="2831"/>
      <c r="E259" s="1397"/>
      <c r="F259" s="456"/>
      <c r="G259" s="1877"/>
      <c r="H259" s="1877"/>
      <c r="I259" s="1877"/>
      <c r="J259" s="1877"/>
      <c r="K259" s="1877"/>
      <c r="L259" s="1877"/>
      <c r="M259" s="1877"/>
      <c r="N259" s="2056"/>
      <c r="O259" s="667">
        <v>1</v>
      </c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</row>
    <row r="260" spans="1:30" ht="19.5" hidden="1" thickTop="1" x14ac:dyDescent="0.15"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</row>
    <row r="261" spans="1:30" hidden="1" x14ac:dyDescent="0.15"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</row>
    <row r="262" spans="1:30" hidden="1" x14ac:dyDescent="0.15"/>
    <row r="263" spans="1:30" hidden="1" x14ac:dyDescent="0.15"/>
    <row r="264" spans="1:30" hidden="1" x14ac:dyDescent="0.15"/>
    <row r="265" spans="1:30" hidden="1" x14ac:dyDescent="0.15"/>
    <row r="266" spans="1:30" hidden="1" x14ac:dyDescent="0.15"/>
    <row r="267" spans="1:30" hidden="1" x14ac:dyDescent="0.15"/>
    <row r="268" spans="1:30" hidden="1" x14ac:dyDescent="0.15"/>
    <row r="269" spans="1:30" hidden="1" x14ac:dyDescent="0.15"/>
    <row r="270" spans="1:30" ht="19.5" thickTop="1" x14ac:dyDescent="0.15"/>
  </sheetData>
  <autoFilter ref="O1:O269">
    <filterColumn colId="0">
      <customFilters>
        <customFilter operator="notEqual" val=" "/>
      </customFilters>
    </filterColumn>
  </autoFilter>
  <mergeCells count="148">
    <mergeCell ref="B212:B221"/>
    <mergeCell ref="B248:B258"/>
    <mergeCell ref="C215:C217"/>
    <mergeCell ref="C218:C221"/>
    <mergeCell ref="C107:C113"/>
    <mergeCell ref="C114:C120"/>
    <mergeCell ref="C121:C127"/>
    <mergeCell ref="AK149:AL149"/>
    <mergeCell ref="AP149:AP150"/>
    <mergeCell ref="P149:W149"/>
    <mergeCell ref="X149:AE149"/>
    <mergeCell ref="AF149:AJ149"/>
    <mergeCell ref="AM149:AM151"/>
    <mergeCell ref="C254:D254"/>
    <mergeCell ref="C255:D255"/>
    <mergeCell ref="C256:D256"/>
    <mergeCell ref="C249:D249"/>
    <mergeCell ref="C250:D250"/>
    <mergeCell ref="C251:D251"/>
    <mergeCell ref="C252:D252"/>
    <mergeCell ref="C253:D253"/>
    <mergeCell ref="C248:D248"/>
    <mergeCell ref="C237:D237"/>
    <mergeCell ref="C238:D238"/>
    <mergeCell ref="B198:B211"/>
    <mergeCell ref="C231:D231"/>
    <mergeCell ref="B193:B197"/>
    <mergeCell ref="C239:D239"/>
    <mergeCell ref="C240:D240"/>
    <mergeCell ref="C241:D241"/>
    <mergeCell ref="C230:D230"/>
    <mergeCell ref="C223:D223"/>
    <mergeCell ref="C233:D233"/>
    <mergeCell ref="C224:D224"/>
    <mergeCell ref="C207:D207"/>
    <mergeCell ref="C234:D234"/>
    <mergeCell ref="C235:D235"/>
    <mergeCell ref="C209:D209"/>
    <mergeCell ref="C210:D210"/>
    <mergeCell ref="C211:D211"/>
    <mergeCell ref="C202:D202"/>
    <mergeCell ref="C203:D203"/>
    <mergeCell ref="C204:D204"/>
    <mergeCell ref="C205:D205"/>
    <mergeCell ref="C206:D206"/>
    <mergeCell ref="B237:B247"/>
    <mergeCell ref="C232:D232"/>
    <mergeCell ref="C227:D227"/>
    <mergeCell ref="B6:B11"/>
    <mergeCell ref="C35:D35"/>
    <mergeCell ref="C31:C32"/>
    <mergeCell ref="C33:C34"/>
    <mergeCell ref="B31:B35"/>
    <mergeCell ref="B3:D3"/>
    <mergeCell ref="B4:C5"/>
    <mergeCell ref="C12:C15"/>
    <mergeCell ref="C16:C19"/>
    <mergeCell ref="B12:B19"/>
    <mergeCell ref="C6:C8"/>
    <mergeCell ref="C9:C11"/>
    <mergeCell ref="B26:B30"/>
    <mergeCell ref="C27:C29"/>
    <mergeCell ref="C30:D30"/>
    <mergeCell ref="B21:B25"/>
    <mergeCell ref="C21:D21"/>
    <mergeCell ref="B20:C20"/>
    <mergeCell ref="C22:D22"/>
    <mergeCell ref="C23:D23"/>
    <mergeCell ref="C24:D24"/>
    <mergeCell ref="C25:D25"/>
    <mergeCell ref="A1:A259"/>
    <mergeCell ref="B259:D259"/>
    <mergeCell ref="B189:B192"/>
    <mergeCell ref="B222:B236"/>
    <mergeCell ref="C64:C70"/>
    <mergeCell ref="C71:C77"/>
    <mergeCell ref="C156:C157"/>
    <mergeCell ref="B146:B157"/>
    <mergeCell ref="C136:C142"/>
    <mergeCell ref="B36:B142"/>
    <mergeCell ref="B158:B169"/>
    <mergeCell ref="C158:C164"/>
    <mergeCell ref="C165:C169"/>
    <mergeCell ref="C148:C149"/>
    <mergeCell ref="C151:C152"/>
    <mergeCell ref="C144:D144"/>
    <mergeCell ref="C145:D145"/>
    <mergeCell ref="C177:D177"/>
    <mergeCell ref="B177:B180"/>
    <mergeCell ref="C178:D178"/>
    <mergeCell ref="B2:D2"/>
    <mergeCell ref="B1:D1"/>
    <mergeCell ref="C36:C42"/>
    <mergeCell ref="C43:C49"/>
    <mergeCell ref="B181:B188"/>
    <mergeCell ref="C93:C99"/>
    <mergeCell ref="C100:C106"/>
    <mergeCell ref="B170:D170"/>
    <mergeCell ref="C173:D173"/>
    <mergeCell ref="C174:D174"/>
    <mergeCell ref="C175:D175"/>
    <mergeCell ref="C176:D176"/>
    <mergeCell ref="B143:D143"/>
    <mergeCell ref="C181:C183"/>
    <mergeCell ref="C179:D179"/>
    <mergeCell ref="C180:D180"/>
    <mergeCell ref="C153:C155"/>
    <mergeCell ref="B171:B176"/>
    <mergeCell ref="C171:D171"/>
    <mergeCell ref="C172:D172"/>
    <mergeCell ref="B144:B145"/>
    <mergeCell ref="AN149:AO149"/>
    <mergeCell ref="C246:D246"/>
    <mergeCell ref="C257:D257"/>
    <mergeCell ref="C247:D247"/>
    <mergeCell ref="C57:C63"/>
    <mergeCell ref="C78:C84"/>
    <mergeCell ref="C85:C92"/>
    <mergeCell ref="C188:D188"/>
    <mergeCell ref="C184:C187"/>
    <mergeCell ref="C236:D236"/>
    <mergeCell ref="C189:D189"/>
    <mergeCell ref="C190:D190"/>
    <mergeCell ref="C191:D191"/>
    <mergeCell ref="C192:D192"/>
    <mergeCell ref="C193:D193"/>
    <mergeCell ref="C194:D194"/>
    <mergeCell ref="C195:D195"/>
    <mergeCell ref="C196:D196"/>
    <mergeCell ref="C197:D197"/>
    <mergeCell ref="C225:D225"/>
    <mergeCell ref="C258:D258"/>
    <mergeCell ref="C50:C56"/>
    <mergeCell ref="C128:C135"/>
    <mergeCell ref="C242:D242"/>
    <mergeCell ref="C243:D243"/>
    <mergeCell ref="C244:D244"/>
    <mergeCell ref="C245:D245"/>
    <mergeCell ref="C208:D208"/>
    <mergeCell ref="C212:C214"/>
    <mergeCell ref="C226:D226"/>
    <mergeCell ref="C228:D228"/>
    <mergeCell ref="C229:D229"/>
    <mergeCell ref="C198:D198"/>
    <mergeCell ref="C199:D199"/>
    <mergeCell ref="C200:D200"/>
    <mergeCell ref="C201:D201"/>
    <mergeCell ref="C222:D222"/>
  </mergeCells>
  <conditionalFormatting sqref="G6:M6 G26:M26">
    <cfRule type="expression" dxfId="21" priority="286">
      <formula>G$6&gt;0</formula>
    </cfRule>
    <cfRule type="expression" dxfId="20" priority="287">
      <formula>#REF!="SIM"</formula>
    </cfRule>
  </conditionalFormatting>
  <conditionalFormatting sqref="G7:M8 G19:M19">
    <cfRule type="expression" dxfId="19" priority="280">
      <formula>G$19&gt;0</formula>
    </cfRule>
    <cfRule type="expression" dxfId="18" priority="281">
      <formula>G$17="SIM"</formula>
    </cfRule>
  </conditionalFormatting>
  <conditionalFormatting sqref="G42:M42">
    <cfRule type="expression" dxfId="17" priority="285">
      <formula>G$42&gt;G$36</formula>
    </cfRule>
  </conditionalFormatting>
  <conditionalFormatting sqref="G49:M49">
    <cfRule type="expression" dxfId="16" priority="284">
      <formula>G$49&gt;G$43</formula>
    </cfRule>
  </conditionalFormatting>
  <conditionalFormatting sqref="G56:M56">
    <cfRule type="expression" dxfId="15" priority="283">
      <formula>G$56&gt;G$50</formula>
    </cfRule>
  </conditionalFormatting>
  <conditionalFormatting sqref="G63:M63">
    <cfRule type="expression" dxfId="14" priority="282">
      <formula>G$63&gt;G$57</formula>
    </cfRule>
  </conditionalFormatting>
  <conditionalFormatting sqref="G70:M70 G77:M77 G84:M84">
    <cfRule type="expression" dxfId="13" priority="275">
      <formula>G70&gt;G64</formula>
    </cfRule>
  </conditionalFormatting>
  <conditionalFormatting sqref="G92:M92">
    <cfRule type="expression" dxfId="12" priority="272">
      <formula>G92&gt;G85</formula>
    </cfRule>
  </conditionalFormatting>
  <conditionalFormatting sqref="G99:M99">
    <cfRule type="expression" dxfId="11" priority="271">
      <formula>G$99&gt;G$93</formula>
    </cfRule>
  </conditionalFormatting>
  <conditionalFormatting sqref="G106:M106">
    <cfRule type="expression" dxfId="10" priority="270">
      <formula>G$106&gt;G$100</formula>
    </cfRule>
  </conditionalFormatting>
  <conditionalFormatting sqref="G113:M113">
    <cfRule type="expression" dxfId="9" priority="269">
      <formula>G$113&gt;G$107</formula>
    </cfRule>
  </conditionalFormatting>
  <conditionalFormatting sqref="G120:M120">
    <cfRule type="expression" dxfId="8" priority="268">
      <formula>G$120&gt;G$114</formula>
    </cfRule>
  </conditionalFormatting>
  <conditionalFormatting sqref="G127:M127">
    <cfRule type="expression" dxfId="7" priority="267">
      <formula>G$127&gt;G$121</formula>
    </cfRule>
  </conditionalFormatting>
  <conditionalFormatting sqref="G135:M135">
    <cfRule type="expression" dxfId="6" priority="266">
      <formula>G$135&gt;G$128</formula>
    </cfRule>
  </conditionalFormatting>
  <conditionalFormatting sqref="G142:M142">
    <cfRule type="expression" dxfId="5" priority="265">
      <formula>G$142&gt;G$136</formula>
    </cfRule>
  </conditionalFormatting>
  <conditionalFormatting sqref="G159:M159">
    <cfRule type="expression" dxfId="4" priority="276">
      <formula>G$160&gt;G$159</formula>
    </cfRule>
    <cfRule type="expression" dxfId="3" priority="279">
      <formula>G$159&lt;0</formula>
    </cfRule>
  </conditionalFormatting>
  <pageMargins left="0.59055118110236227" right="0.59055118110236227" top="0.59055118110236227" bottom="0.59055118110236227" header="0.31496062992125984" footer="0.23622047244094491"/>
  <pageSetup paperSize="9" scale="60" fitToWidth="10" orientation="landscape" r:id="rId1"/>
  <headerFooter>
    <oddFooter>&amp;L&amp;"Arial,Normal"&amp;8&amp;F&amp;C&amp;"Arial,Normal"&amp;8&amp;P / &amp;N&amp;R&amp;"Cambria,Regular"&amp;8Ricardo Schettini Figueiredo&amp;10
&amp;8Eng. Civil - CREA-RJ 52.656/D</oddFooter>
  </headerFooter>
  <ignoredErrors>
    <ignoredError sqref="N200:N203 N37" formulaRange="1"/>
  </ignoredErrors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38"/>
  <dimension ref="A1:R179"/>
  <sheetViews>
    <sheetView showZeros="0" view="pageBreakPreview" zoomScale="115" zoomScaleNormal="100" zoomScaleSheetLayoutView="115" workbookViewId="0">
      <pane xSplit="6" ySplit="1" topLeftCell="G197" activePane="bottomRight" state="frozenSplit"/>
      <selection activeCell="D18" sqref="B13:I28"/>
      <selection pane="topRight" activeCell="D18" sqref="B13:I28"/>
      <selection pane="bottomLeft" activeCell="D18" sqref="B13:I28"/>
      <selection pane="bottomRight" activeCell="G7" sqref="G7"/>
    </sheetView>
  </sheetViews>
  <sheetFormatPr defaultColWidth="9" defaultRowHeight="18.75" x14ac:dyDescent="0.15"/>
  <cols>
    <col min="1" max="1" width="9.75" style="5" customWidth="1"/>
    <col min="2" max="2" width="6.875" style="5" customWidth="1"/>
    <col min="3" max="3" width="6.75" style="5" customWidth="1"/>
    <col min="4" max="4" width="29.75" style="5" customWidth="1"/>
    <col min="5" max="5" width="4.125" style="981" customWidth="1"/>
    <col min="6" max="6" width="17.125" style="5" customWidth="1"/>
    <col min="7" max="9" width="12.625" style="492" customWidth="1"/>
    <col min="10" max="10" width="12.625" style="5" customWidth="1"/>
    <col min="11" max="11" width="17.875" style="5" customWidth="1"/>
    <col min="12" max="16384" width="9" style="5"/>
  </cols>
  <sheetData>
    <row r="1" spans="1:11" s="10" customFormat="1" ht="47.25" customHeight="1" thickTop="1" thickBot="1" x14ac:dyDescent="0.2">
      <c r="A1" s="2512" t="s">
        <v>657</v>
      </c>
      <c r="B1" s="2882" t="s">
        <v>1</v>
      </c>
      <c r="C1" s="2883"/>
      <c r="D1" s="2884"/>
      <c r="E1" s="990"/>
      <c r="F1" s="973" t="s">
        <v>587</v>
      </c>
      <c r="G1" s="523" t="s">
        <v>2434</v>
      </c>
      <c r="H1" s="523"/>
      <c r="I1" s="523"/>
      <c r="J1" s="214" t="s">
        <v>0</v>
      </c>
      <c r="K1" s="577" t="s">
        <v>693</v>
      </c>
    </row>
    <row r="2" spans="1:11" s="10" customFormat="1" ht="19.5" thickTop="1" x14ac:dyDescent="0.15">
      <c r="A2" s="2627"/>
      <c r="B2" s="2885" t="s">
        <v>1588</v>
      </c>
      <c r="C2" s="2886"/>
      <c r="D2" s="2887"/>
      <c r="E2" s="1374"/>
      <c r="F2" s="1375"/>
      <c r="G2" s="1333"/>
      <c r="H2" s="1333"/>
      <c r="I2" s="1333"/>
      <c r="J2" s="415">
        <f>ROUND(SUM(G2:I2),2)</f>
        <v>0</v>
      </c>
      <c r="K2" s="578">
        <f t="shared" ref="K2:K33" si="0">SUM(G2:J2)</f>
        <v>0</v>
      </c>
    </row>
    <row r="3" spans="1:11" s="10" customFormat="1" x14ac:dyDescent="0.15">
      <c r="A3" s="2627"/>
      <c r="B3" s="2515" t="s">
        <v>1587</v>
      </c>
      <c r="C3" s="2898"/>
      <c r="D3" s="2899"/>
      <c r="E3" s="1061"/>
      <c r="F3" s="1344"/>
      <c r="G3" s="162"/>
      <c r="H3" s="162"/>
      <c r="I3" s="162"/>
      <c r="J3" s="12">
        <f>ROUND(SUM(G3:I3),2)</f>
        <v>0</v>
      </c>
      <c r="K3" s="578">
        <f t="shared" si="0"/>
        <v>0</v>
      </c>
    </row>
    <row r="4" spans="1:11" s="10" customFormat="1" x14ac:dyDescent="0.15">
      <c r="A4" s="2627"/>
      <c r="B4" s="2900" t="s">
        <v>1586</v>
      </c>
      <c r="C4" s="2872"/>
      <c r="D4" s="2855"/>
      <c r="E4" s="1061"/>
      <c r="F4" s="1344"/>
      <c r="G4" s="8">
        <f>G2-G3</f>
        <v>0</v>
      </c>
      <c r="H4" s="8"/>
      <c r="I4" s="8"/>
      <c r="J4" s="12">
        <f>ROUND(SUM(G4:I4),2)</f>
        <v>0</v>
      </c>
      <c r="K4" s="578">
        <f t="shared" si="0"/>
        <v>0</v>
      </c>
    </row>
    <row r="5" spans="1:11" s="10" customFormat="1" x14ac:dyDescent="0.15">
      <c r="A5" s="2513"/>
      <c r="B5" s="2516" t="s">
        <v>163</v>
      </c>
      <c r="C5" s="2676"/>
      <c r="D5" s="798" t="s">
        <v>161</v>
      </c>
      <c r="E5" s="1061"/>
      <c r="F5" s="1344"/>
      <c r="G5" s="162"/>
      <c r="H5" s="162"/>
      <c r="I5" s="162"/>
      <c r="J5" s="1334">
        <f>COUNTA(G5:I5)</f>
        <v>0</v>
      </c>
      <c r="K5" s="578">
        <f t="shared" si="0"/>
        <v>0</v>
      </c>
    </row>
    <row r="6" spans="1:11" s="10" customFormat="1" ht="19.5" thickBot="1" x14ac:dyDescent="0.2">
      <c r="A6" s="2513"/>
      <c r="B6" s="2728"/>
      <c r="C6" s="2675"/>
      <c r="D6" s="553" t="s">
        <v>162</v>
      </c>
      <c r="E6" s="1376"/>
      <c r="F6" s="1269"/>
      <c r="G6" s="1302"/>
      <c r="H6" s="1302"/>
      <c r="I6" s="1302"/>
      <c r="J6" s="1335">
        <f>COUNTA(G6:I6)</f>
        <v>0</v>
      </c>
      <c r="K6" s="578">
        <f t="shared" si="0"/>
        <v>0</v>
      </c>
    </row>
    <row r="7" spans="1:11" ht="19.5" thickBot="1" x14ac:dyDescent="0.2">
      <c r="A7" s="2513"/>
      <c r="B7" s="2535" t="s">
        <v>658</v>
      </c>
      <c r="C7" s="2723"/>
      <c r="D7" s="2888"/>
      <c r="E7" s="1376"/>
      <c r="F7" s="1269"/>
      <c r="G7" s="1302"/>
      <c r="H7" s="1302"/>
      <c r="I7" s="1302"/>
      <c r="J7" s="1336"/>
      <c r="K7" s="578">
        <f t="shared" si="0"/>
        <v>0</v>
      </c>
    </row>
    <row r="8" spans="1:11" x14ac:dyDescent="0.15">
      <c r="A8" s="2513"/>
      <c r="B8" s="2727" t="s">
        <v>470</v>
      </c>
      <c r="C8" s="2674"/>
      <c r="D8" s="549" t="s">
        <v>475</v>
      </c>
      <c r="E8" s="1060"/>
      <c r="F8" s="1410"/>
      <c r="G8" s="1409"/>
      <c r="H8" s="1409"/>
      <c r="I8" s="1409"/>
      <c r="J8" s="428"/>
      <c r="K8" s="578">
        <f t="shared" si="0"/>
        <v>0</v>
      </c>
    </row>
    <row r="9" spans="1:11" ht="19.5" thickBot="1" x14ac:dyDescent="0.2">
      <c r="A9" s="2513"/>
      <c r="B9" s="2728"/>
      <c r="C9" s="2675"/>
      <c r="D9" s="565" t="s">
        <v>471</v>
      </c>
      <c r="E9" s="982"/>
      <c r="F9" s="563"/>
      <c r="G9" s="1173">
        <f>G8*G4</f>
        <v>0</v>
      </c>
      <c r="H9" s="1173"/>
      <c r="I9" s="1173"/>
      <c r="J9" s="416">
        <f>ROUND(SUM(G9:I9),2)</f>
        <v>0</v>
      </c>
      <c r="K9" s="578">
        <f t="shared" si="0"/>
        <v>0</v>
      </c>
    </row>
    <row r="10" spans="1:11" x14ac:dyDescent="0.15">
      <c r="A10" s="2513"/>
      <c r="B10" s="2727" t="s">
        <v>55</v>
      </c>
      <c r="C10" s="2674"/>
      <c r="D10" s="541" t="s">
        <v>3</v>
      </c>
      <c r="F10" s="1344"/>
      <c r="G10" s="162"/>
      <c r="H10" s="162"/>
      <c r="I10" s="162"/>
      <c r="J10" s="12">
        <f>ROUND(SUM(G10:I10),2)</f>
        <v>0</v>
      </c>
      <c r="K10" s="578">
        <f t="shared" si="0"/>
        <v>0</v>
      </c>
    </row>
    <row r="11" spans="1:11" x14ac:dyDescent="0.15">
      <c r="A11" s="2513"/>
      <c r="B11" s="2516"/>
      <c r="C11" s="2676"/>
      <c r="D11" s="542" t="s">
        <v>951</v>
      </c>
      <c r="F11" s="1344"/>
      <c r="G11" s="162"/>
      <c r="H11" s="162"/>
      <c r="I11" s="162"/>
      <c r="J11" s="12"/>
      <c r="K11" s="578">
        <f t="shared" si="0"/>
        <v>0</v>
      </c>
    </row>
    <row r="12" spans="1:11" x14ac:dyDescent="0.15">
      <c r="A12" s="2513"/>
      <c r="B12" s="2516"/>
      <c r="C12" s="2676"/>
      <c r="D12" s="542" t="s">
        <v>54</v>
      </c>
      <c r="F12" s="1344"/>
      <c r="G12" s="162"/>
      <c r="H12" s="162"/>
      <c r="I12" s="162"/>
      <c r="J12" s="12"/>
      <c r="K12" s="578">
        <f t="shared" si="0"/>
        <v>0</v>
      </c>
    </row>
    <row r="13" spans="1:11" x14ac:dyDescent="0.15">
      <c r="A13" s="2513"/>
      <c r="B13" s="2516"/>
      <c r="C13" s="2676"/>
      <c r="D13" s="542" t="s">
        <v>29</v>
      </c>
      <c r="F13" s="1344"/>
      <c r="G13" s="8">
        <f>G10*G12</f>
        <v>0</v>
      </c>
      <c r="H13" s="8"/>
      <c r="I13" s="8"/>
      <c r="J13" s="425">
        <f>ROUND(SUM(G13:I13),2)</f>
        <v>0</v>
      </c>
      <c r="K13" s="578">
        <f t="shared" si="0"/>
        <v>0</v>
      </c>
    </row>
    <row r="14" spans="1:11" x14ac:dyDescent="0.15">
      <c r="A14" s="2513"/>
      <c r="B14" s="2516"/>
      <c r="C14" s="2676"/>
      <c r="D14" s="542" t="s">
        <v>7</v>
      </c>
      <c r="F14" s="1344"/>
      <c r="G14" s="8">
        <f>G13*G11</f>
        <v>0</v>
      </c>
      <c r="H14" s="8"/>
      <c r="I14" s="8"/>
      <c r="J14" s="12">
        <f>ROUND(SUM(G14:I14),2)</f>
        <v>0</v>
      </c>
      <c r="K14" s="578">
        <f t="shared" si="0"/>
        <v>0</v>
      </c>
    </row>
    <row r="15" spans="1:11" ht="19.5" thickBot="1" x14ac:dyDescent="0.2">
      <c r="A15" s="2513"/>
      <c r="B15" s="2728"/>
      <c r="C15" s="2675"/>
      <c r="D15" s="545" t="s">
        <v>26</v>
      </c>
      <c r="E15" s="1376"/>
      <c r="F15" s="1344"/>
      <c r="G15" s="1302"/>
      <c r="H15" s="1302"/>
      <c r="I15" s="1302"/>
      <c r="J15" s="1335"/>
      <c r="K15" s="578">
        <f t="shared" si="0"/>
        <v>0</v>
      </c>
    </row>
    <row r="16" spans="1:11" ht="19.5" thickBot="1" x14ac:dyDescent="0.2">
      <c r="A16" s="2513"/>
      <c r="B16" s="2739" t="s">
        <v>1230</v>
      </c>
      <c r="C16" s="2740"/>
      <c r="D16" s="549" t="s">
        <v>1253</v>
      </c>
      <c r="E16" s="985"/>
      <c r="F16" s="1360"/>
      <c r="G16" s="426"/>
      <c r="H16" s="426"/>
      <c r="I16" s="426"/>
      <c r="J16" s="1399">
        <f t="shared" ref="J16:J26" si="1">ROUND(SUM(G16:I16),2)</f>
        <v>0</v>
      </c>
      <c r="K16" s="578">
        <f t="shared" si="0"/>
        <v>0</v>
      </c>
    </row>
    <row r="17" spans="1:11" ht="19.5" thickBot="1" x14ac:dyDescent="0.2">
      <c r="A17" s="2513"/>
      <c r="B17" s="2739"/>
      <c r="C17" s="2740"/>
      <c r="D17" s="566" t="s">
        <v>1254</v>
      </c>
      <c r="E17" s="985"/>
      <c r="F17" s="344"/>
      <c r="G17" s="426"/>
      <c r="H17" s="426"/>
      <c r="I17" s="426"/>
      <c r="J17" s="1399">
        <f t="shared" si="1"/>
        <v>0</v>
      </c>
      <c r="K17" s="578">
        <f t="shared" si="0"/>
        <v>0</v>
      </c>
    </row>
    <row r="18" spans="1:11" ht="19.5" thickBot="1" x14ac:dyDescent="0.2">
      <c r="A18" s="2513"/>
      <c r="B18" s="2739"/>
      <c r="C18" s="2740"/>
      <c r="D18" s="565" t="s">
        <v>1255</v>
      </c>
      <c r="E18" s="986"/>
      <c r="F18" s="414"/>
      <c r="G18" s="673"/>
      <c r="H18" s="673"/>
      <c r="I18" s="673"/>
      <c r="J18" s="1400">
        <f t="shared" si="1"/>
        <v>0</v>
      </c>
      <c r="K18" s="578">
        <f t="shared" si="0"/>
        <v>0</v>
      </c>
    </row>
    <row r="19" spans="1:11" ht="19.5" thickBot="1" x14ac:dyDescent="0.2">
      <c r="A19" s="2513"/>
      <c r="B19" s="2739" t="s">
        <v>1224</v>
      </c>
      <c r="C19" s="2740"/>
      <c r="D19" s="549" t="s">
        <v>1253</v>
      </c>
      <c r="E19" s="985"/>
      <c r="F19" s="1357"/>
      <c r="G19" s="426"/>
      <c r="H19" s="426"/>
      <c r="I19" s="426"/>
      <c r="J19" s="1399">
        <f t="shared" si="1"/>
        <v>0</v>
      </c>
      <c r="K19" s="578">
        <f t="shared" si="0"/>
        <v>0</v>
      </c>
    </row>
    <row r="20" spans="1:11" ht="19.5" thickBot="1" x14ac:dyDescent="0.2">
      <c r="A20" s="2513"/>
      <c r="B20" s="2739"/>
      <c r="C20" s="2740"/>
      <c r="D20" s="566" t="s">
        <v>1254</v>
      </c>
      <c r="E20" s="985"/>
      <c r="F20" s="1357"/>
      <c r="G20" s="426"/>
      <c r="H20" s="426"/>
      <c r="I20" s="426"/>
      <c r="J20" s="1399">
        <f t="shared" si="1"/>
        <v>0</v>
      </c>
      <c r="K20" s="578">
        <f t="shared" si="0"/>
        <v>0</v>
      </c>
    </row>
    <row r="21" spans="1:11" ht="19.5" thickBot="1" x14ac:dyDescent="0.2">
      <c r="A21" s="2513"/>
      <c r="B21" s="2739"/>
      <c r="C21" s="2740"/>
      <c r="D21" s="565" t="s">
        <v>1255</v>
      </c>
      <c r="E21" s="986"/>
      <c r="F21" s="563"/>
      <c r="G21" s="673"/>
      <c r="H21" s="673"/>
      <c r="I21" s="673"/>
      <c r="J21" s="1400">
        <f t="shared" si="1"/>
        <v>0</v>
      </c>
      <c r="K21" s="578">
        <f t="shared" si="0"/>
        <v>0</v>
      </c>
    </row>
    <row r="22" spans="1:11" x14ac:dyDescent="0.15">
      <c r="A22" s="2513"/>
      <c r="B22" s="2531" t="s">
        <v>1226</v>
      </c>
      <c r="C22" s="2573"/>
      <c r="D22" s="549" t="s">
        <v>1225</v>
      </c>
      <c r="E22" s="984"/>
      <c r="F22" s="1358"/>
      <c r="G22" s="426"/>
      <c r="H22" s="426"/>
      <c r="I22" s="426"/>
      <c r="J22" s="1399">
        <f t="shared" si="1"/>
        <v>0</v>
      </c>
      <c r="K22" s="578">
        <f t="shared" si="0"/>
        <v>0</v>
      </c>
    </row>
    <row r="23" spans="1:11" x14ac:dyDescent="0.15">
      <c r="A23" s="2513"/>
      <c r="B23" s="2531"/>
      <c r="C23" s="2573"/>
      <c r="D23" s="566" t="s">
        <v>1253</v>
      </c>
      <c r="E23" s="985"/>
      <c r="F23" s="1357"/>
      <c r="G23" s="426"/>
      <c r="H23" s="426"/>
      <c r="I23" s="426"/>
      <c r="J23" s="1399">
        <f t="shared" si="1"/>
        <v>0</v>
      </c>
      <c r="K23" s="578">
        <f t="shared" si="0"/>
        <v>0</v>
      </c>
    </row>
    <row r="24" spans="1:11" x14ac:dyDescent="0.15">
      <c r="A24" s="2513"/>
      <c r="B24" s="2531"/>
      <c r="C24" s="2573"/>
      <c r="D24" s="566" t="s">
        <v>1254</v>
      </c>
      <c r="E24" s="985"/>
      <c r="F24" s="344"/>
      <c r="G24" s="426"/>
      <c r="H24" s="426"/>
      <c r="I24" s="426"/>
      <c r="J24" s="1399">
        <f t="shared" si="1"/>
        <v>0</v>
      </c>
      <c r="K24" s="578">
        <f t="shared" si="0"/>
        <v>0</v>
      </c>
    </row>
    <row r="25" spans="1:11" ht="19.5" thickBot="1" x14ac:dyDescent="0.2">
      <c r="A25" s="2513"/>
      <c r="B25" s="2532"/>
      <c r="C25" s="2664"/>
      <c r="D25" s="565" t="s">
        <v>1255</v>
      </c>
      <c r="E25" s="986"/>
      <c r="F25" s="414"/>
      <c r="G25" s="673"/>
      <c r="H25" s="673"/>
      <c r="I25" s="673"/>
      <c r="J25" s="1400">
        <f t="shared" si="1"/>
        <v>0</v>
      </c>
      <c r="K25" s="578">
        <f t="shared" si="0"/>
        <v>0</v>
      </c>
    </row>
    <row r="26" spans="1:11" x14ac:dyDescent="0.15">
      <c r="A26" s="2513"/>
      <c r="B26" s="2741" t="s">
        <v>1592</v>
      </c>
      <c r="C26" s="2889" t="s">
        <v>23</v>
      </c>
      <c r="D26" s="541" t="s">
        <v>3</v>
      </c>
      <c r="E26" s="1379"/>
      <c r="F26" s="1343"/>
      <c r="G26" s="162"/>
      <c r="H26" s="162"/>
      <c r="I26" s="162"/>
      <c r="J26" s="12">
        <f t="shared" si="1"/>
        <v>0</v>
      </c>
      <c r="K26" s="578">
        <f t="shared" si="0"/>
        <v>0</v>
      </c>
    </row>
    <row r="27" spans="1:11" x14ac:dyDescent="0.15">
      <c r="A27" s="2513"/>
      <c r="B27" s="2804"/>
      <c r="C27" s="2890"/>
      <c r="D27" s="542" t="s">
        <v>951</v>
      </c>
      <c r="F27" s="1344"/>
      <c r="G27" s="162"/>
      <c r="H27" s="162"/>
      <c r="I27" s="162"/>
      <c r="J27" s="12"/>
      <c r="K27" s="578">
        <f t="shared" si="0"/>
        <v>0</v>
      </c>
    </row>
    <row r="28" spans="1:11" x14ac:dyDescent="0.15">
      <c r="A28" s="2513"/>
      <c r="B28" s="2804"/>
      <c r="C28" s="2890"/>
      <c r="D28" s="542" t="s">
        <v>164</v>
      </c>
      <c r="F28" s="1344"/>
      <c r="G28" s="162"/>
      <c r="H28" s="162"/>
      <c r="I28" s="162"/>
      <c r="J28" s="12"/>
      <c r="K28" s="578">
        <f t="shared" si="0"/>
        <v>0</v>
      </c>
    </row>
    <row r="29" spans="1:11" x14ac:dyDescent="0.15">
      <c r="A29" s="2513"/>
      <c r="B29" s="2804"/>
      <c r="C29" s="2890"/>
      <c r="D29" s="542" t="s">
        <v>29</v>
      </c>
      <c r="F29" s="1344"/>
      <c r="G29" s="8">
        <f>G26*G28</f>
        <v>0</v>
      </c>
      <c r="H29" s="8"/>
      <c r="I29" s="8"/>
      <c r="J29" s="12">
        <f>ROUND(SUM(G29:I29),2)</f>
        <v>0</v>
      </c>
      <c r="K29" s="578">
        <f t="shared" si="0"/>
        <v>0</v>
      </c>
    </row>
    <row r="30" spans="1:11" x14ac:dyDescent="0.15">
      <c r="A30" s="2513"/>
      <c r="B30" s="2804"/>
      <c r="C30" s="2890"/>
      <c r="D30" s="542" t="s">
        <v>1903</v>
      </c>
      <c r="F30" s="1344"/>
      <c r="G30" s="8">
        <f>G29*G27</f>
        <v>0</v>
      </c>
      <c r="H30" s="8"/>
      <c r="I30" s="8"/>
      <c r="J30" s="425">
        <f>ROUND(SUM(G30:I30),2)</f>
        <v>0</v>
      </c>
      <c r="K30" s="578">
        <f t="shared" si="0"/>
        <v>0</v>
      </c>
    </row>
    <row r="31" spans="1:11" ht="22.5" x14ac:dyDescent="0.15">
      <c r="A31" s="2513"/>
      <c r="B31" s="2804"/>
      <c r="C31" s="2890"/>
      <c r="D31" s="542" t="s">
        <v>1322</v>
      </c>
      <c r="F31" s="1344"/>
      <c r="G31" s="8">
        <f>G30*0.1</f>
        <v>0</v>
      </c>
      <c r="H31" s="8"/>
      <c r="I31" s="8"/>
      <c r="J31" s="12">
        <f>ROUND(SUM(G31:I31),2)</f>
        <v>0</v>
      </c>
      <c r="K31" s="578">
        <f t="shared" si="0"/>
        <v>0</v>
      </c>
    </row>
    <row r="32" spans="1:11" ht="19.5" thickBot="1" x14ac:dyDescent="0.2">
      <c r="A32" s="2513"/>
      <c r="B32" s="2804"/>
      <c r="C32" s="2890"/>
      <c r="D32" s="1070" t="s">
        <v>731</v>
      </c>
      <c r="E32" s="982"/>
      <c r="F32" s="1269"/>
      <c r="G32" s="215">
        <f>G30*1.3</f>
        <v>0</v>
      </c>
      <c r="H32" s="215"/>
      <c r="I32" s="215"/>
      <c r="J32" s="429">
        <f>ROUND(SUM(G32:I32),2)</f>
        <v>0</v>
      </c>
      <c r="K32" s="578">
        <f t="shared" si="0"/>
        <v>0</v>
      </c>
    </row>
    <row r="33" spans="1:11" x14ac:dyDescent="0.15">
      <c r="A33" s="2513"/>
      <c r="B33" s="2804"/>
      <c r="C33" s="2902" t="s">
        <v>53</v>
      </c>
      <c r="D33" s="541" t="s">
        <v>3</v>
      </c>
      <c r="E33" s="1379"/>
      <c r="F33" s="1343"/>
      <c r="G33" s="218"/>
      <c r="H33" s="218"/>
      <c r="I33" s="218"/>
      <c r="J33" s="12">
        <f>ROUND(SUM(G33:I33),2)</f>
        <v>0</v>
      </c>
      <c r="K33" s="578">
        <f t="shared" si="0"/>
        <v>0</v>
      </c>
    </row>
    <row r="34" spans="1:11" x14ac:dyDescent="0.15">
      <c r="A34" s="2513"/>
      <c r="B34" s="2804"/>
      <c r="C34" s="2903"/>
      <c r="D34" s="542" t="s">
        <v>951</v>
      </c>
      <c r="F34" s="1344"/>
      <c r="G34" s="162"/>
      <c r="H34" s="162"/>
      <c r="I34" s="162"/>
      <c r="J34" s="12"/>
      <c r="K34" s="578">
        <f t="shared" ref="K34:K62" si="2">SUM(G34:J34)</f>
        <v>0</v>
      </c>
    </row>
    <row r="35" spans="1:11" x14ac:dyDescent="0.15">
      <c r="A35" s="2513"/>
      <c r="B35" s="2804"/>
      <c r="C35" s="2903"/>
      <c r="D35" s="542" t="s">
        <v>164</v>
      </c>
      <c r="F35" s="1344"/>
      <c r="G35" s="162"/>
      <c r="H35" s="162"/>
      <c r="I35" s="162"/>
      <c r="J35" s="12"/>
      <c r="K35" s="578">
        <f t="shared" si="2"/>
        <v>0</v>
      </c>
    </row>
    <row r="36" spans="1:11" x14ac:dyDescent="0.15">
      <c r="A36" s="2513"/>
      <c r="B36" s="2804"/>
      <c r="C36" s="2903"/>
      <c r="D36" s="542" t="s">
        <v>29</v>
      </c>
      <c r="F36" s="1344"/>
      <c r="G36" s="8">
        <f>G33*G35</f>
        <v>0</v>
      </c>
      <c r="H36" s="8"/>
      <c r="I36" s="8"/>
      <c r="J36" s="12">
        <f>ROUND(SUM(G36:I36),2)</f>
        <v>0</v>
      </c>
      <c r="K36" s="578">
        <f t="shared" si="2"/>
        <v>0</v>
      </c>
    </row>
    <row r="37" spans="1:11" x14ac:dyDescent="0.15">
      <c r="A37" s="2513"/>
      <c r="B37" s="2804"/>
      <c r="C37" s="2903"/>
      <c r="D37" s="542" t="s">
        <v>1903</v>
      </c>
      <c r="F37" s="1344"/>
      <c r="G37" s="8">
        <f>G36*G34</f>
        <v>0</v>
      </c>
      <c r="H37" s="8"/>
      <c r="I37" s="8"/>
      <c r="J37" s="425">
        <f>ROUND(SUM(G37:I37),2)</f>
        <v>0</v>
      </c>
      <c r="K37" s="578">
        <f t="shared" si="2"/>
        <v>0</v>
      </c>
    </row>
    <row r="38" spans="1:11" ht="19.5" thickBot="1" x14ac:dyDescent="0.2">
      <c r="A38" s="2513"/>
      <c r="B38" s="2804"/>
      <c r="C38" s="2904"/>
      <c r="D38" s="545" t="s">
        <v>26</v>
      </c>
      <c r="E38" s="1376"/>
      <c r="F38" s="1269"/>
      <c r="G38" s="1302"/>
      <c r="H38" s="1302"/>
      <c r="I38" s="1302"/>
      <c r="J38" s="429"/>
      <c r="K38" s="578">
        <f t="shared" si="2"/>
        <v>0</v>
      </c>
    </row>
    <row r="39" spans="1:11" x14ac:dyDescent="0.15">
      <c r="A39" s="2513"/>
      <c r="B39" s="2804"/>
      <c r="C39" s="2902" t="s">
        <v>293</v>
      </c>
      <c r="D39" s="541" t="s">
        <v>3</v>
      </c>
      <c r="E39" s="1379"/>
      <c r="F39" s="1343"/>
      <c r="G39" s="218"/>
      <c r="H39" s="218"/>
      <c r="I39" s="218"/>
      <c r="J39" s="12">
        <f>ROUND(SUM(G39:I39),2)</f>
        <v>0</v>
      </c>
      <c r="K39" s="578">
        <f t="shared" si="2"/>
        <v>0</v>
      </c>
    </row>
    <row r="40" spans="1:11" x14ac:dyDescent="0.15">
      <c r="A40" s="2513"/>
      <c r="B40" s="2804"/>
      <c r="C40" s="2903"/>
      <c r="D40" s="542" t="s">
        <v>66</v>
      </c>
      <c r="F40" s="1344"/>
      <c r="G40" s="162"/>
      <c r="H40" s="162"/>
      <c r="I40" s="162"/>
      <c r="J40" s="12"/>
      <c r="K40" s="578">
        <f t="shared" si="2"/>
        <v>0</v>
      </c>
    </row>
    <row r="41" spans="1:11" x14ac:dyDescent="0.15">
      <c r="A41" s="2513"/>
      <c r="B41" s="2804"/>
      <c r="C41" s="2903"/>
      <c r="D41" s="542" t="s">
        <v>164</v>
      </c>
      <c r="F41" s="1344"/>
      <c r="G41" s="162"/>
      <c r="H41" s="162"/>
      <c r="I41" s="162"/>
      <c r="J41" s="12"/>
      <c r="K41" s="578">
        <f t="shared" si="2"/>
        <v>0</v>
      </c>
    </row>
    <row r="42" spans="1:11" x14ac:dyDescent="0.15">
      <c r="A42" s="2513"/>
      <c r="B42" s="2804"/>
      <c r="C42" s="2903"/>
      <c r="D42" s="542" t="s">
        <v>29</v>
      </c>
      <c r="F42" s="1344"/>
      <c r="G42" s="8">
        <f>G39*G41</f>
        <v>0</v>
      </c>
      <c r="H42" s="8"/>
      <c r="I42" s="8"/>
      <c r="J42" s="12">
        <f>ROUND(SUM(G42:I42),2)</f>
        <v>0</v>
      </c>
      <c r="K42" s="578">
        <f t="shared" si="2"/>
        <v>0</v>
      </c>
    </row>
    <row r="43" spans="1:11" x14ac:dyDescent="0.15">
      <c r="A43" s="2513"/>
      <c r="B43" s="2804"/>
      <c r="C43" s="2903"/>
      <c r="D43" s="542" t="s">
        <v>1903</v>
      </c>
      <c r="F43" s="1344"/>
      <c r="G43" s="8">
        <f>G42*G40</f>
        <v>0</v>
      </c>
      <c r="H43" s="8"/>
      <c r="I43" s="8"/>
      <c r="J43" s="425">
        <f>ROUND(SUM(G43:I43),2)</f>
        <v>0</v>
      </c>
      <c r="K43" s="578">
        <f t="shared" si="2"/>
        <v>0</v>
      </c>
    </row>
    <row r="44" spans="1:11" ht="19.5" thickBot="1" x14ac:dyDescent="0.2">
      <c r="A44" s="2513"/>
      <c r="B44" s="2804"/>
      <c r="C44" s="2904"/>
      <c r="D44" s="545" t="s">
        <v>26</v>
      </c>
      <c r="E44" s="1376"/>
      <c r="F44" s="1269"/>
      <c r="G44" s="1302"/>
      <c r="H44" s="1302"/>
      <c r="I44" s="1302"/>
      <c r="J44" s="429"/>
      <c r="K44" s="578">
        <f t="shared" si="2"/>
        <v>0</v>
      </c>
    </row>
    <row r="45" spans="1:11" x14ac:dyDescent="0.15">
      <c r="A45" s="2513"/>
      <c r="B45" s="2804"/>
      <c r="C45" s="2902" t="s">
        <v>28</v>
      </c>
      <c r="D45" s="541" t="s">
        <v>3</v>
      </c>
      <c r="F45" s="1344"/>
      <c r="G45" s="218"/>
      <c r="H45" s="218"/>
      <c r="I45" s="218"/>
      <c r="J45" s="12">
        <f>ROUND(SUM(G45:I45),2)</f>
        <v>0</v>
      </c>
      <c r="K45" s="578">
        <f t="shared" si="2"/>
        <v>0</v>
      </c>
    </row>
    <row r="46" spans="1:11" x14ac:dyDescent="0.15">
      <c r="A46" s="2513"/>
      <c r="B46" s="2804"/>
      <c r="C46" s="2903"/>
      <c r="D46" s="542" t="s">
        <v>66</v>
      </c>
      <c r="F46" s="1344"/>
      <c r="G46" s="162"/>
      <c r="H46" s="162"/>
      <c r="I46" s="162"/>
      <c r="J46" s="12"/>
      <c r="K46" s="578">
        <f t="shared" si="2"/>
        <v>0</v>
      </c>
    </row>
    <row r="47" spans="1:11" x14ac:dyDescent="0.15">
      <c r="A47" s="2513"/>
      <c r="B47" s="2804"/>
      <c r="C47" s="2903"/>
      <c r="D47" s="542" t="s">
        <v>1593</v>
      </c>
      <c r="F47" s="1344"/>
      <c r="G47" s="162"/>
      <c r="H47" s="162"/>
      <c r="I47" s="162"/>
      <c r="J47" s="12"/>
      <c r="K47" s="578">
        <f t="shared" si="2"/>
        <v>0</v>
      </c>
    </row>
    <row r="48" spans="1:11" x14ac:dyDescent="0.15">
      <c r="A48" s="2513"/>
      <c r="B48" s="2804"/>
      <c r="C48" s="2903"/>
      <c r="D48" s="542" t="s">
        <v>1333</v>
      </c>
      <c r="F48" s="1344"/>
      <c r="G48" s="8">
        <f>G47*G45</f>
        <v>0</v>
      </c>
      <c r="H48" s="8"/>
      <c r="I48" s="8"/>
      <c r="J48" s="12">
        <f t="shared" ref="J48:J53" si="3">ROUND(SUM(G48:I48),2)</f>
        <v>0</v>
      </c>
      <c r="K48" s="578">
        <f t="shared" si="2"/>
        <v>0</v>
      </c>
    </row>
    <row r="49" spans="1:11" x14ac:dyDescent="0.15">
      <c r="A49" s="2513"/>
      <c r="B49" s="2804"/>
      <c r="C49" s="2903"/>
      <c r="D49" s="542" t="s">
        <v>1334</v>
      </c>
      <c r="F49" s="1344"/>
      <c r="G49" s="8">
        <f>(G46*3+G47)*G45</f>
        <v>0</v>
      </c>
      <c r="H49" s="8"/>
      <c r="I49" s="8"/>
      <c r="J49" s="12">
        <f t="shared" si="3"/>
        <v>0</v>
      </c>
      <c r="K49" s="578">
        <f t="shared" si="2"/>
        <v>0</v>
      </c>
    </row>
    <row r="50" spans="1:11" x14ac:dyDescent="0.15">
      <c r="A50" s="2513"/>
      <c r="B50" s="2804"/>
      <c r="C50" s="2903"/>
      <c r="D50" s="542" t="s">
        <v>11</v>
      </c>
      <c r="F50" s="1344"/>
      <c r="G50" s="8">
        <f>(G49+G48)/2*G46</f>
        <v>0</v>
      </c>
      <c r="H50" s="8"/>
      <c r="I50" s="8"/>
      <c r="J50" s="425">
        <f t="shared" si="3"/>
        <v>0</v>
      </c>
      <c r="K50" s="578">
        <f t="shared" si="2"/>
        <v>0</v>
      </c>
    </row>
    <row r="51" spans="1:11" ht="19.5" thickBot="1" x14ac:dyDescent="0.2">
      <c r="A51" s="2513"/>
      <c r="B51" s="2804"/>
      <c r="C51" s="2904"/>
      <c r="D51" s="545" t="s">
        <v>741</v>
      </c>
      <c r="G51" s="8">
        <f>G50*1.25</f>
        <v>0</v>
      </c>
      <c r="H51" s="8"/>
      <c r="I51" s="8"/>
      <c r="J51" s="416">
        <f t="shared" si="3"/>
        <v>0</v>
      </c>
      <c r="K51" s="578">
        <f t="shared" si="2"/>
        <v>0</v>
      </c>
    </row>
    <row r="52" spans="1:11" ht="19.5" thickBot="1" x14ac:dyDescent="0.2">
      <c r="A52" s="2513"/>
      <c r="B52" s="2714" t="s">
        <v>1594</v>
      </c>
      <c r="C52" s="2715"/>
      <c r="D52" s="2716"/>
      <c r="E52" s="1287"/>
      <c r="F52" s="552"/>
      <c r="G52" s="243">
        <f>G75+G93+G98</f>
        <v>0</v>
      </c>
      <c r="H52" s="243"/>
      <c r="I52" s="243"/>
      <c r="J52" s="1284">
        <f t="shared" si="3"/>
        <v>0</v>
      </c>
      <c r="K52" s="578">
        <f t="shared" si="2"/>
        <v>0</v>
      </c>
    </row>
    <row r="53" spans="1:11" x14ac:dyDescent="0.15">
      <c r="A53" s="2513"/>
      <c r="B53" s="2828" t="s">
        <v>24</v>
      </c>
      <c r="C53" s="2850"/>
      <c r="D53" s="541" t="s">
        <v>3</v>
      </c>
      <c r="E53" s="1379"/>
      <c r="F53" s="450"/>
      <c r="G53" s="218">
        <f>G4</f>
        <v>0</v>
      </c>
      <c r="H53" s="218"/>
      <c r="I53" s="218"/>
      <c r="J53" s="12">
        <f t="shared" si="3"/>
        <v>0</v>
      </c>
      <c r="K53" s="578">
        <f t="shared" si="2"/>
        <v>0</v>
      </c>
    </row>
    <row r="54" spans="1:11" x14ac:dyDescent="0.15">
      <c r="A54" s="2513"/>
      <c r="B54" s="2833"/>
      <c r="C54" s="2863"/>
      <c r="D54" s="542" t="s">
        <v>164</v>
      </c>
      <c r="E54" s="1061"/>
      <c r="F54" s="1344"/>
      <c r="G54" s="162">
        <f>G7</f>
        <v>0</v>
      </c>
      <c r="H54" s="162"/>
      <c r="I54" s="162"/>
      <c r="J54" s="12"/>
      <c r="K54" s="578">
        <f t="shared" si="2"/>
        <v>0</v>
      </c>
    </row>
    <row r="55" spans="1:11" x14ac:dyDescent="0.15">
      <c r="A55" s="2513"/>
      <c r="B55" s="2833"/>
      <c r="C55" s="2863"/>
      <c r="D55" s="556" t="s">
        <v>1276</v>
      </c>
      <c r="E55" s="1061"/>
      <c r="F55" s="1344"/>
      <c r="G55" s="1327">
        <v>10</v>
      </c>
      <c r="H55" s="1327"/>
      <c r="I55" s="1327"/>
      <c r="J55" s="12"/>
      <c r="K55" s="578">
        <f t="shared" si="2"/>
        <v>10</v>
      </c>
    </row>
    <row r="56" spans="1:11" x14ac:dyDescent="0.15">
      <c r="A56" s="2513"/>
      <c r="B56" s="2829"/>
      <c r="C56" s="2851"/>
      <c r="D56" s="554" t="s">
        <v>29</v>
      </c>
      <c r="F56" s="1344"/>
      <c r="G56" s="8">
        <f>G53*G54</f>
        <v>0</v>
      </c>
      <c r="H56" s="8"/>
      <c r="I56" s="8"/>
      <c r="J56" s="12">
        <f>ROUND(SUM(G56:I56),2)</f>
        <v>0</v>
      </c>
      <c r="K56" s="578">
        <f t="shared" si="2"/>
        <v>0</v>
      </c>
    </row>
    <row r="57" spans="1:11" x14ac:dyDescent="0.15">
      <c r="A57" s="2513"/>
      <c r="B57" s="2829"/>
      <c r="C57" s="2851"/>
      <c r="D57" s="556" t="s">
        <v>300</v>
      </c>
      <c r="E57" s="1377"/>
      <c r="F57" s="1361"/>
      <c r="G57" s="1072">
        <f>G56*G55/100</f>
        <v>0</v>
      </c>
      <c r="H57" s="1072"/>
      <c r="I57" s="1072"/>
      <c r="J57" s="1276">
        <f>ROUND(SUM(G57:I57),2)</f>
        <v>0</v>
      </c>
      <c r="K57" s="578">
        <f t="shared" si="2"/>
        <v>0</v>
      </c>
    </row>
    <row r="58" spans="1:11" x14ac:dyDescent="0.15">
      <c r="A58" s="2513"/>
      <c r="B58" s="2829"/>
      <c r="C58" s="2851"/>
      <c r="D58" s="798" t="s">
        <v>1311</v>
      </c>
      <c r="F58" s="1344"/>
      <c r="G58" s="368"/>
      <c r="H58" s="368"/>
      <c r="I58" s="368"/>
      <c r="J58" s="348"/>
      <c r="K58" s="578">
        <f t="shared" si="2"/>
        <v>0</v>
      </c>
    </row>
    <row r="59" spans="1:11" x14ac:dyDescent="0.15">
      <c r="A59" s="2513"/>
      <c r="B59" s="2829"/>
      <c r="C59" s="2851"/>
      <c r="D59" s="554" t="s">
        <v>1299</v>
      </c>
      <c r="F59" s="1344"/>
      <c r="G59" s="368"/>
      <c r="H59" s="368"/>
      <c r="I59" s="368"/>
      <c r="J59" s="348"/>
      <c r="K59" s="578">
        <f t="shared" si="2"/>
        <v>0</v>
      </c>
    </row>
    <row r="60" spans="1:11" x14ac:dyDescent="0.15">
      <c r="A60" s="2513"/>
      <c r="B60" s="2829"/>
      <c r="C60" s="2851"/>
      <c r="D60" s="554" t="s">
        <v>1312</v>
      </c>
      <c r="F60" s="1344"/>
      <c r="G60" s="368"/>
      <c r="H60" s="368"/>
      <c r="I60" s="368"/>
      <c r="J60" s="348"/>
      <c r="K60" s="578">
        <f t="shared" si="2"/>
        <v>0</v>
      </c>
    </row>
    <row r="61" spans="1:11" x14ac:dyDescent="0.15">
      <c r="A61" s="2513"/>
      <c r="B61" s="2829"/>
      <c r="C61" s="2851"/>
      <c r="D61" s="554" t="s">
        <v>1298</v>
      </c>
      <c r="F61" s="1344"/>
      <c r="G61" s="368">
        <v>1</v>
      </c>
      <c r="H61" s="368"/>
      <c r="I61" s="368"/>
      <c r="J61" s="348"/>
      <c r="K61" s="578">
        <f t="shared" si="2"/>
        <v>1</v>
      </c>
    </row>
    <row r="62" spans="1:11" x14ac:dyDescent="0.15">
      <c r="A62" s="2513"/>
      <c r="B62" s="2829"/>
      <c r="C62" s="2851"/>
      <c r="D62" s="556" t="s">
        <v>1418</v>
      </c>
      <c r="E62" s="1377"/>
      <c r="F62" s="1361" t="s">
        <v>1598</v>
      </c>
      <c r="G62" s="1572"/>
      <c r="H62" s="1572"/>
      <c r="I62" s="1572"/>
      <c r="J62" s="1573"/>
      <c r="K62" s="578">
        <f t="shared" si="2"/>
        <v>0</v>
      </c>
    </row>
    <row r="63" spans="1:11" x14ac:dyDescent="0.15">
      <c r="A63" s="2513"/>
      <c r="B63" s="2829"/>
      <c r="C63" s="2851"/>
      <c r="D63" s="543" t="s">
        <v>1880</v>
      </c>
      <c r="F63" s="1344"/>
      <c r="G63" s="368"/>
      <c r="H63" s="368"/>
      <c r="I63" s="368"/>
      <c r="J63" s="425">
        <f t="shared" ref="J63:J75" si="4">ROUND(SUM(G63:I63),2)</f>
        <v>0</v>
      </c>
      <c r="K63" s="578"/>
    </row>
    <row r="64" spans="1:11" x14ac:dyDescent="0.15">
      <c r="A64" s="2513"/>
      <c r="B64" s="2829"/>
      <c r="C64" s="2851"/>
      <c r="D64" s="542" t="s">
        <v>1881</v>
      </c>
      <c r="F64" s="1344"/>
      <c r="G64" s="368"/>
      <c r="H64" s="368"/>
      <c r="I64" s="368"/>
      <c r="J64" s="425">
        <f t="shared" si="4"/>
        <v>0</v>
      </c>
      <c r="K64" s="578"/>
    </row>
    <row r="65" spans="1:11" x14ac:dyDescent="0.15">
      <c r="A65" s="2513"/>
      <c r="B65" s="2829"/>
      <c r="C65" s="2851"/>
      <c r="D65" s="542" t="s">
        <v>1882</v>
      </c>
      <c r="F65" s="1344"/>
      <c r="G65" s="368"/>
      <c r="H65" s="368"/>
      <c r="I65" s="368"/>
      <c r="J65" s="425">
        <f t="shared" si="4"/>
        <v>0</v>
      </c>
      <c r="K65" s="578"/>
    </row>
    <row r="66" spans="1:11" x14ac:dyDescent="0.15">
      <c r="A66" s="2513"/>
      <c r="B66" s="2829"/>
      <c r="C66" s="2851"/>
      <c r="D66" s="542" t="s">
        <v>1883</v>
      </c>
      <c r="F66" s="1344"/>
      <c r="G66" s="368"/>
      <c r="H66" s="368"/>
      <c r="I66" s="368"/>
      <c r="J66" s="425">
        <f t="shared" si="4"/>
        <v>0</v>
      </c>
      <c r="K66" s="578"/>
    </row>
    <row r="67" spans="1:11" x14ac:dyDescent="0.15">
      <c r="A67" s="2513"/>
      <c r="B67" s="2829"/>
      <c r="C67" s="2851"/>
      <c r="D67" s="542" t="s">
        <v>538</v>
      </c>
      <c r="F67" s="1344"/>
      <c r="G67" s="8">
        <f>IF(COUNTA(G58:G61)&gt;1,G57,0)</f>
        <v>0</v>
      </c>
      <c r="H67" s="8"/>
      <c r="I67" s="8"/>
      <c r="J67" s="425">
        <f t="shared" si="4"/>
        <v>0</v>
      </c>
      <c r="K67" s="578">
        <f>SUM(G67:J67)</f>
        <v>0</v>
      </c>
    </row>
    <row r="68" spans="1:11" x14ac:dyDescent="0.15">
      <c r="A68" s="2513"/>
      <c r="B68" s="2829"/>
      <c r="C68" s="2851"/>
      <c r="D68" s="542" t="s">
        <v>1884</v>
      </c>
      <c r="F68" s="1344"/>
      <c r="G68" s="8">
        <f>IF(G60=100%,G57,0)</f>
        <v>0</v>
      </c>
      <c r="H68" s="8"/>
      <c r="I68" s="8"/>
      <c r="J68" s="425">
        <f t="shared" si="4"/>
        <v>0</v>
      </c>
      <c r="K68" s="578"/>
    </row>
    <row r="69" spans="1:11" x14ac:dyDescent="0.15">
      <c r="A69" s="2513"/>
      <c r="B69" s="2829"/>
      <c r="C69" s="2851"/>
      <c r="D69" s="542" t="s">
        <v>1885</v>
      </c>
      <c r="E69" s="1377"/>
      <c r="F69" s="1361"/>
      <c r="G69" s="1072">
        <f>IF(G61=100%,G57,0)</f>
        <v>0</v>
      </c>
      <c r="H69" s="1072"/>
      <c r="I69" s="1072"/>
      <c r="J69" s="1281">
        <f t="shared" si="4"/>
        <v>0</v>
      </c>
      <c r="K69" s="578"/>
    </row>
    <row r="70" spans="1:11" x14ac:dyDescent="0.15">
      <c r="A70" s="2513"/>
      <c r="B70" s="2829"/>
      <c r="C70" s="2851"/>
      <c r="D70" s="798" t="s">
        <v>1203</v>
      </c>
      <c r="F70" s="1344"/>
      <c r="G70" s="8">
        <f>G62*G57*1.4</f>
        <v>0</v>
      </c>
      <c r="H70" s="8"/>
      <c r="I70" s="8"/>
      <c r="J70" s="425">
        <f t="shared" si="4"/>
        <v>0</v>
      </c>
      <c r="K70" s="578">
        <f t="shared" ref="K70:K101" si="5">SUM(G70:J70)</f>
        <v>0</v>
      </c>
    </row>
    <row r="71" spans="1:11" x14ac:dyDescent="0.15">
      <c r="A71" s="2513"/>
      <c r="B71" s="2829"/>
      <c r="C71" s="2851"/>
      <c r="D71" s="554" t="s">
        <v>723</v>
      </c>
      <c r="F71" s="1344"/>
      <c r="G71" s="8">
        <f>G57*G58*1.25</f>
        <v>0</v>
      </c>
      <c r="H71" s="8"/>
      <c r="I71" s="8"/>
      <c r="J71" s="425">
        <f t="shared" si="4"/>
        <v>0</v>
      </c>
      <c r="K71" s="578">
        <f t="shared" si="5"/>
        <v>0</v>
      </c>
    </row>
    <row r="72" spans="1:11" ht="22.5" x14ac:dyDescent="0.15">
      <c r="A72" s="2513"/>
      <c r="B72" s="2829"/>
      <c r="C72" s="2851"/>
      <c r="D72" s="554" t="s">
        <v>1300</v>
      </c>
      <c r="F72" s="1344"/>
      <c r="G72" s="8">
        <f>G57*G59*1.375</f>
        <v>0</v>
      </c>
      <c r="H72" s="8"/>
      <c r="I72" s="8"/>
      <c r="J72" s="425">
        <f t="shared" si="4"/>
        <v>0</v>
      </c>
      <c r="K72" s="578">
        <f t="shared" si="5"/>
        <v>0</v>
      </c>
    </row>
    <row r="73" spans="1:11" x14ac:dyDescent="0.15">
      <c r="A73" s="2513"/>
      <c r="B73" s="2829"/>
      <c r="C73" s="2851"/>
      <c r="D73" s="554" t="s">
        <v>724</v>
      </c>
      <c r="F73" s="1344"/>
      <c r="G73" s="8">
        <f>G57*G60*1.25</f>
        <v>0</v>
      </c>
      <c r="H73" s="8"/>
      <c r="I73" s="8"/>
      <c r="J73" s="425">
        <f t="shared" si="4"/>
        <v>0</v>
      </c>
      <c r="K73" s="578">
        <f t="shared" si="5"/>
        <v>0</v>
      </c>
    </row>
    <row r="74" spans="1:11" ht="19.5" thickBot="1" x14ac:dyDescent="0.2">
      <c r="A74" s="2513"/>
      <c r="B74" s="2866"/>
      <c r="C74" s="2873"/>
      <c r="D74" s="545" t="s">
        <v>1301</v>
      </c>
      <c r="E74" s="1376"/>
      <c r="F74" s="1269"/>
      <c r="G74" s="215">
        <f>G57*G61*1.375</f>
        <v>0</v>
      </c>
      <c r="H74" s="215"/>
      <c r="I74" s="215"/>
      <c r="J74" s="416">
        <f t="shared" si="4"/>
        <v>0</v>
      </c>
      <c r="K74" s="578">
        <f t="shared" si="5"/>
        <v>0</v>
      </c>
    </row>
    <row r="75" spans="1:11" x14ac:dyDescent="0.15">
      <c r="A75" s="2513"/>
      <c r="B75" s="2516" t="s">
        <v>301</v>
      </c>
      <c r="C75" s="2676"/>
      <c r="D75" s="543" t="s">
        <v>3</v>
      </c>
      <c r="E75" s="1060"/>
      <c r="F75" s="1568" t="s">
        <v>1887</v>
      </c>
      <c r="G75" s="218">
        <f>G4</f>
        <v>0</v>
      </c>
      <c r="H75" s="218"/>
      <c r="I75" s="218"/>
      <c r="J75" s="12">
        <f t="shared" si="4"/>
        <v>0</v>
      </c>
      <c r="K75" s="578">
        <f t="shared" si="5"/>
        <v>0</v>
      </c>
    </row>
    <row r="76" spans="1:11" x14ac:dyDescent="0.15">
      <c r="A76" s="2513"/>
      <c r="B76" s="2516"/>
      <c r="C76" s="2676"/>
      <c r="D76" s="542" t="s">
        <v>1596</v>
      </c>
      <c r="E76" s="1061"/>
      <c r="F76" s="1344"/>
      <c r="G76" s="8">
        <f>IF(G75=0,0,G7)</f>
        <v>0</v>
      </c>
      <c r="H76" s="8"/>
      <c r="I76" s="8"/>
      <c r="J76" s="12"/>
      <c r="K76" s="578">
        <f t="shared" si="5"/>
        <v>0</v>
      </c>
    </row>
    <row r="77" spans="1:11" x14ac:dyDescent="0.15">
      <c r="A77" s="2513"/>
      <c r="B77" s="2516"/>
      <c r="C77" s="2676"/>
      <c r="D77" s="546" t="s">
        <v>29</v>
      </c>
      <c r="E77" s="1061"/>
      <c r="F77" s="1344"/>
      <c r="G77" s="8">
        <f>G76*G75</f>
        <v>0</v>
      </c>
      <c r="H77" s="8"/>
      <c r="I77" s="8"/>
      <c r="J77" s="425">
        <f>ROUND(SUM(G77:I77),2)</f>
        <v>0</v>
      </c>
      <c r="K77" s="578">
        <f t="shared" si="5"/>
        <v>0</v>
      </c>
    </row>
    <row r="78" spans="1:11" ht="19.5" thickBot="1" x14ac:dyDescent="0.2">
      <c r="A78" s="2513"/>
      <c r="B78" s="2728"/>
      <c r="C78" s="2675"/>
      <c r="D78" s="545" t="s">
        <v>687</v>
      </c>
      <c r="E78" s="982"/>
      <c r="F78" s="1269"/>
      <c r="G78" s="215">
        <f>G77*0.0013</f>
        <v>0</v>
      </c>
      <c r="H78" s="215"/>
      <c r="I78" s="215"/>
      <c r="J78" s="416">
        <f>ROUND(SUM(G78:I78),2)</f>
        <v>0</v>
      </c>
      <c r="K78" s="578">
        <f t="shared" si="5"/>
        <v>0</v>
      </c>
    </row>
    <row r="79" spans="1:11" x14ac:dyDescent="0.15">
      <c r="A79" s="2513"/>
      <c r="B79" s="2727" t="s">
        <v>517</v>
      </c>
      <c r="C79" s="2674"/>
      <c r="D79" s="554" t="s">
        <v>3</v>
      </c>
      <c r="F79" s="1344"/>
      <c r="G79" s="162"/>
      <c r="H79" s="162"/>
      <c r="I79" s="162"/>
      <c r="J79" s="12">
        <f>ROUND(SUM(G79:I79),2)</f>
        <v>0</v>
      </c>
      <c r="K79" s="578">
        <f t="shared" si="5"/>
        <v>0</v>
      </c>
    </row>
    <row r="80" spans="1:11" x14ac:dyDescent="0.15">
      <c r="A80" s="2513"/>
      <c r="B80" s="2516"/>
      <c r="C80" s="2676"/>
      <c r="D80" s="542" t="s">
        <v>164</v>
      </c>
      <c r="F80" s="1344"/>
      <c r="G80" s="162"/>
      <c r="H80" s="162"/>
      <c r="I80" s="162"/>
      <c r="J80" s="12"/>
      <c r="K80" s="578">
        <f t="shared" si="5"/>
        <v>0</v>
      </c>
    </row>
    <row r="81" spans="1:18" x14ac:dyDescent="0.15">
      <c r="A81" s="2513"/>
      <c r="B81" s="2516"/>
      <c r="C81" s="2676"/>
      <c r="D81" s="1326" t="s">
        <v>29</v>
      </c>
      <c r="F81" s="1344"/>
      <c r="G81" s="8">
        <f>G80*G79</f>
        <v>0</v>
      </c>
      <c r="H81" s="8"/>
      <c r="I81" s="8"/>
      <c r="J81" s="425">
        <f>ROUND(SUM(G81:I81),2)</f>
        <v>0</v>
      </c>
      <c r="K81" s="578">
        <f t="shared" si="5"/>
        <v>0</v>
      </c>
    </row>
    <row r="82" spans="1:18" ht="19.5" thickBot="1" x14ac:dyDescent="0.2">
      <c r="A82" s="2513"/>
      <c r="B82" s="2728"/>
      <c r="C82" s="2675"/>
      <c r="D82" s="545" t="s">
        <v>518</v>
      </c>
      <c r="E82" s="1376"/>
      <c r="F82" s="1269"/>
      <c r="G82" s="215">
        <f>G81*0.0005</f>
        <v>0</v>
      </c>
      <c r="H82" s="215"/>
      <c r="I82" s="215"/>
      <c r="J82" s="416">
        <f>ROUND(SUM(G82:I82),2)</f>
        <v>0</v>
      </c>
      <c r="K82" s="578">
        <f t="shared" si="5"/>
        <v>0</v>
      </c>
    </row>
    <row r="83" spans="1:18" x14ac:dyDescent="0.15">
      <c r="A83" s="2513"/>
      <c r="B83" s="2741" t="s">
        <v>244</v>
      </c>
      <c r="C83" s="2889" t="s">
        <v>302</v>
      </c>
      <c r="D83" s="555" t="s">
        <v>1276</v>
      </c>
      <c r="F83" s="1344"/>
      <c r="G83" s="1340">
        <v>2</v>
      </c>
      <c r="H83" s="1340"/>
      <c r="I83" s="1340"/>
      <c r="J83" s="428"/>
      <c r="K83" s="578">
        <f t="shared" si="5"/>
        <v>2</v>
      </c>
    </row>
    <row r="84" spans="1:18" x14ac:dyDescent="0.15">
      <c r="A84" s="2513"/>
      <c r="B84" s="2742"/>
      <c r="C84" s="2890"/>
      <c r="D84" s="542" t="s">
        <v>29</v>
      </c>
      <c r="F84" s="1344"/>
      <c r="G84" s="8">
        <f>IF(G83=0,0,G77+G81)</f>
        <v>0</v>
      </c>
      <c r="H84" s="8"/>
      <c r="I84" s="8"/>
      <c r="J84" s="12">
        <f t="shared" ref="J84:J90" si="6">ROUND(SUM(G84:I84),2)</f>
        <v>0</v>
      </c>
      <c r="K84" s="578">
        <f t="shared" si="5"/>
        <v>0</v>
      </c>
    </row>
    <row r="85" spans="1:18" x14ac:dyDescent="0.15">
      <c r="A85" s="2513"/>
      <c r="B85" s="2742"/>
      <c r="C85" s="2890"/>
      <c r="D85" s="542" t="s">
        <v>1888</v>
      </c>
      <c r="F85" s="1344"/>
      <c r="G85" s="8">
        <f>G84*G83/100</f>
        <v>0</v>
      </c>
      <c r="H85" s="8"/>
      <c r="I85" s="8"/>
      <c r="J85" s="425">
        <f t="shared" si="6"/>
        <v>0</v>
      </c>
      <c r="K85" s="578">
        <f t="shared" si="5"/>
        <v>0</v>
      </c>
    </row>
    <row r="86" spans="1:18" x14ac:dyDescent="0.15">
      <c r="A86" s="2513"/>
      <c r="B86" s="2742"/>
      <c r="C86" s="2890"/>
      <c r="D86" s="542" t="s">
        <v>1889</v>
      </c>
      <c r="F86" s="1344"/>
      <c r="G86" s="8">
        <f>G85*2.5548</f>
        <v>0</v>
      </c>
      <c r="H86" s="8"/>
      <c r="I86" s="8"/>
      <c r="J86" s="12">
        <f t="shared" si="6"/>
        <v>0</v>
      </c>
      <c r="K86" s="578">
        <f t="shared" si="5"/>
        <v>0</v>
      </c>
    </row>
    <row r="87" spans="1:18" x14ac:dyDescent="0.15">
      <c r="A87" s="2513"/>
      <c r="B87" s="2742"/>
      <c r="C87" s="2890"/>
      <c r="D87" s="548" t="s">
        <v>688</v>
      </c>
      <c r="F87" s="1344"/>
      <c r="G87" s="8">
        <f>G86*0.06</f>
        <v>0</v>
      </c>
      <c r="H87" s="8"/>
      <c r="I87" s="8"/>
      <c r="J87" s="425">
        <f t="shared" si="6"/>
        <v>0</v>
      </c>
      <c r="K87" s="578">
        <f t="shared" si="5"/>
        <v>0</v>
      </c>
    </row>
    <row r="88" spans="1:18" x14ac:dyDescent="0.15">
      <c r="A88" s="2513"/>
      <c r="B88" s="2742"/>
      <c r="C88" s="2890"/>
      <c r="D88" s="562" t="s">
        <v>696</v>
      </c>
      <c r="F88" s="1344"/>
      <c r="G88" s="8">
        <f>G86*0.161</f>
        <v>0</v>
      </c>
      <c r="H88" s="8"/>
      <c r="I88" s="8"/>
      <c r="J88" s="425">
        <f t="shared" si="6"/>
        <v>0</v>
      </c>
      <c r="K88" s="578">
        <f t="shared" si="5"/>
        <v>0</v>
      </c>
    </row>
    <row r="89" spans="1:18" ht="19.5" thickBot="1" x14ac:dyDescent="0.2">
      <c r="A89" s="2513"/>
      <c r="B89" s="2742"/>
      <c r="C89" s="2891"/>
      <c r="D89" s="561" t="s">
        <v>695</v>
      </c>
      <c r="E89" s="1376"/>
      <c r="F89" s="1269"/>
      <c r="G89" s="215">
        <f>G86*0.447</f>
        <v>0</v>
      </c>
      <c r="H89" s="215"/>
      <c r="I89" s="215"/>
      <c r="J89" s="416">
        <f t="shared" si="6"/>
        <v>0</v>
      </c>
      <c r="K89" s="578">
        <f t="shared" si="5"/>
        <v>0</v>
      </c>
    </row>
    <row r="90" spans="1:18" x14ac:dyDescent="0.15">
      <c r="A90" s="2513"/>
      <c r="B90" s="2742"/>
      <c r="C90" s="2889" t="s">
        <v>1595</v>
      </c>
      <c r="D90" s="541" t="s">
        <v>3</v>
      </c>
      <c r="F90" s="450"/>
      <c r="G90" s="162"/>
      <c r="H90" s="162"/>
      <c r="I90" s="162"/>
      <c r="J90" s="12">
        <f t="shared" si="6"/>
        <v>0</v>
      </c>
      <c r="K90" s="578">
        <f t="shared" si="5"/>
        <v>0</v>
      </c>
      <c r="L90" s="2633" t="s">
        <v>1192</v>
      </c>
      <c r="M90" s="2634"/>
      <c r="N90" s="2879" t="s">
        <v>1193</v>
      </c>
      <c r="O90" s="2634"/>
      <c r="P90" s="2879" t="s">
        <v>1194</v>
      </c>
      <c r="Q90" s="2878"/>
      <c r="R90" s="1328" t="s">
        <v>1182</v>
      </c>
    </row>
    <row r="91" spans="1:18" x14ac:dyDescent="0.15">
      <c r="A91" s="2513"/>
      <c r="B91" s="2742"/>
      <c r="C91" s="2890"/>
      <c r="D91" s="542" t="s">
        <v>1596</v>
      </c>
      <c r="E91" s="1061"/>
      <c r="F91" s="1344"/>
      <c r="G91" s="8">
        <f>IF(G90=0,0,G7)</f>
        <v>0</v>
      </c>
      <c r="H91" s="8"/>
      <c r="I91" s="8"/>
      <c r="J91" s="12"/>
      <c r="K91" s="578">
        <f t="shared" si="5"/>
        <v>0</v>
      </c>
      <c r="L91" s="1023" t="s">
        <v>1178</v>
      </c>
      <c r="M91" s="1023" t="s">
        <v>1179</v>
      </c>
      <c r="N91" s="1311" t="s">
        <v>1178</v>
      </c>
      <c r="O91" s="1023" t="s">
        <v>1179</v>
      </c>
      <c r="P91" s="1311" t="s">
        <v>1178</v>
      </c>
      <c r="Q91" s="1308" t="s">
        <v>1179</v>
      </c>
      <c r="R91" s="1329" t="s">
        <v>1533</v>
      </c>
    </row>
    <row r="92" spans="1:18" x14ac:dyDescent="0.15">
      <c r="A92" s="2513"/>
      <c r="B92" s="2742"/>
      <c r="C92" s="2890"/>
      <c r="D92" s="556" t="s">
        <v>1276</v>
      </c>
      <c r="E92" s="1061"/>
      <c r="F92" s="1344"/>
      <c r="G92" s="1327"/>
      <c r="H92" s="1327"/>
      <c r="I92" s="1327"/>
      <c r="J92" s="12"/>
      <c r="K92" s="578">
        <f t="shared" si="5"/>
        <v>0</v>
      </c>
      <c r="L92" s="1024">
        <v>94963</v>
      </c>
      <c r="M92" s="1024">
        <v>94964</v>
      </c>
      <c r="N92" s="1312">
        <v>94963</v>
      </c>
      <c r="O92" s="1024">
        <v>94964</v>
      </c>
      <c r="P92" s="1312">
        <v>94963</v>
      </c>
      <c r="Q92" s="1309">
        <v>94964</v>
      </c>
      <c r="R92" s="1330"/>
    </row>
    <row r="93" spans="1:18" x14ac:dyDescent="0.15">
      <c r="A93" s="2513"/>
      <c r="B93" s="2742"/>
      <c r="C93" s="2890"/>
      <c r="D93" s="668" t="s">
        <v>29</v>
      </c>
      <c r="F93" s="1344"/>
      <c r="G93" s="8">
        <f>IF(G90=0,0,G91*G90)</f>
        <v>0</v>
      </c>
      <c r="H93" s="8"/>
      <c r="I93" s="8"/>
      <c r="J93" s="425">
        <f>ROUND(SUM(G93:I93),2)</f>
        <v>0</v>
      </c>
      <c r="K93" s="578">
        <f t="shared" si="5"/>
        <v>0</v>
      </c>
      <c r="L93" s="1025">
        <v>273.06</v>
      </c>
      <c r="M93" s="1025">
        <v>322.98</v>
      </c>
      <c r="N93" s="1313">
        <v>0.80500000000000005</v>
      </c>
      <c r="O93" s="1026">
        <v>0.75580000000000003</v>
      </c>
      <c r="P93" s="1313">
        <v>0.57899999999999996</v>
      </c>
      <c r="Q93" s="1324">
        <v>0.58699999999999997</v>
      </c>
      <c r="R93" s="1331">
        <v>1</v>
      </c>
    </row>
    <row r="94" spans="1:18" ht="19.5" thickBot="1" x14ac:dyDescent="0.2">
      <c r="A94" s="2513"/>
      <c r="B94" s="2742"/>
      <c r="C94" s="2891"/>
      <c r="D94" s="545" t="s">
        <v>11</v>
      </c>
      <c r="E94" s="1376"/>
      <c r="F94" s="1269"/>
      <c r="G94" s="215">
        <f>G93*G92/100</f>
        <v>0</v>
      </c>
      <c r="H94" s="215"/>
      <c r="I94" s="215"/>
      <c r="J94" s="416">
        <f>ROUND(SUM(G94:I94),2)</f>
        <v>0</v>
      </c>
      <c r="K94" s="578">
        <f t="shared" si="5"/>
        <v>0</v>
      </c>
      <c r="L94" s="1037"/>
      <c r="M94" s="1037">
        <v>1.2130000000000001</v>
      </c>
      <c r="N94" s="1314"/>
      <c r="O94" s="1037">
        <v>1.2130000000000001</v>
      </c>
      <c r="P94" s="1314"/>
      <c r="Q94" s="1037">
        <v>1.2130000000000001</v>
      </c>
      <c r="R94" s="1332">
        <v>0.01</v>
      </c>
    </row>
    <row r="95" spans="1:18" x14ac:dyDescent="0.15">
      <c r="A95" s="2513"/>
      <c r="B95" s="2742"/>
      <c r="C95" s="2889" t="s">
        <v>1590</v>
      </c>
      <c r="D95" s="555" t="s">
        <v>1589</v>
      </c>
      <c r="E95" s="1060"/>
      <c r="F95" s="1343"/>
      <c r="G95" s="1337"/>
      <c r="H95" s="1337"/>
      <c r="I95" s="1337"/>
      <c r="J95" s="1275"/>
      <c r="K95" s="578">
        <f t="shared" si="5"/>
        <v>0</v>
      </c>
    </row>
    <row r="96" spans="1:18" x14ac:dyDescent="0.15">
      <c r="A96" s="2513"/>
      <c r="B96" s="2742"/>
      <c r="C96" s="2890"/>
      <c r="D96" s="542" t="s">
        <v>3</v>
      </c>
      <c r="F96" s="1344"/>
      <c r="G96" s="162"/>
      <c r="H96" s="162"/>
      <c r="I96" s="162"/>
      <c r="J96" s="12">
        <f>ROUND(SUM(G96:I96),2)</f>
        <v>0</v>
      </c>
      <c r="K96" s="578">
        <f t="shared" si="5"/>
        <v>0</v>
      </c>
    </row>
    <row r="97" spans="1:18" x14ac:dyDescent="0.15">
      <c r="A97" s="2513"/>
      <c r="B97" s="2742"/>
      <c r="C97" s="2890"/>
      <c r="D97" s="542" t="s">
        <v>1596</v>
      </c>
      <c r="F97" s="1344"/>
      <c r="G97" s="8">
        <f>IF(G96=0,0,G7)</f>
        <v>0</v>
      </c>
      <c r="H97" s="8"/>
      <c r="I97" s="8"/>
      <c r="J97" s="428"/>
      <c r="K97" s="578">
        <f t="shared" si="5"/>
        <v>0</v>
      </c>
    </row>
    <row r="98" spans="1:18" x14ac:dyDescent="0.15">
      <c r="A98" s="2513"/>
      <c r="B98" s="2742"/>
      <c r="C98" s="2890"/>
      <c r="D98" s="542" t="s">
        <v>1601</v>
      </c>
      <c r="F98" s="1344"/>
      <c r="G98" s="8">
        <f>G97*G96</f>
        <v>0</v>
      </c>
      <c r="H98" s="8"/>
      <c r="I98" s="8"/>
      <c r="J98" s="425">
        <f t="shared" ref="J98:J130" si="7">ROUND(SUM(G98:I98),2)</f>
        <v>0</v>
      </c>
      <c r="K98" s="578">
        <f t="shared" si="5"/>
        <v>0</v>
      </c>
    </row>
    <row r="99" spans="1:18" ht="19.5" thickBot="1" x14ac:dyDescent="0.2">
      <c r="A99" s="2513"/>
      <c r="B99" s="2743"/>
      <c r="C99" s="2891"/>
      <c r="D99" s="545" t="s">
        <v>1591</v>
      </c>
      <c r="E99" s="1376"/>
      <c r="F99" s="1269"/>
      <c r="G99" s="215">
        <f>G98*0.0633</f>
        <v>0</v>
      </c>
      <c r="H99" s="215"/>
      <c r="I99" s="215"/>
      <c r="J99" s="416">
        <f t="shared" si="7"/>
        <v>0</v>
      </c>
      <c r="K99" s="578">
        <f t="shared" si="5"/>
        <v>0</v>
      </c>
    </row>
    <row r="100" spans="1:18" ht="39.75" customHeight="1" thickBot="1" x14ac:dyDescent="0.2">
      <c r="A100" s="2513"/>
      <c r="B100" s="2901" t="s">
        <v>1597</v>
      </c>
      <c r="C100" s="2825"/>
      <c r="D100" s="2102" t="s">
        <v>660</v>
      </c>
      <c r="F100" s="1344"/>
      <c r="G100" s="2111">
        <f>2*G4</f>
        <v>0</v>
      </c>
      <c r="H100" s="2111"/>
      <c r="I100" s="2111"/>
      <c r="J100" s="1284">
        <f t="shared" si="7"/>
        <v>0</v>
      </c>
      <c r="K100" s="578">
        <f t="shared" si="5"/>
        <v>0</v>
      </c>
      <c r="L100" s="1037">
        <v>1.4999999999999999E-2</v>
      </c>
      <c r="M100" s="1037"/>
      <c r="N100" s="1314">
        <v>1.4999999999999999E-2</v>
      </c>
      <c r="O100" s="1037"/>
      <c r="P100" s="1314">
        <v>1.4999999999999999E-2</v>
      </c>
      <c r="Q100" s="1304"/>
      <c r="R100" s="1332"/>
    </row>
    <row r="101" spans="1:18" x14ac:dyDescent="0.15">
      <c r="A101" s="2513"/>
      <c r="B101" s="2516"/>
      <c r="C101" s="2676"/>
      <c r="D101" s="543" t="s">
        <v>160</v>
      </c>
      <c r="F101" s="1344"/>
      <c r="G101" s="162"/>
      <c r="H101" s="162"/>
      <c r="I101" s="162"/>
      <c r="J101" s="425">
        <f t="shared" si="7"/>
        <v>0</v>
      </c>
      <c r="K101" s="578">
        <f t="shared" si="5"/>
        <v>0</v>
      </c>
      <c r="L101" s="1037">
        <v>3.3000000000000002E-2</v>
      </c>
      <c r="M101" s="1037"/>
      <c r="N101" s="1314">
        <v>3.3000000000000002E-2</v>
      </c>
      <c r="O101" s="1037"/>
      <c r="P101" s="1314">
        <v>3.3000000000000002E-2</v>
      </c>
      <c r="Q101" s="1304"/>
      <c r="R101" s="1332"/>
    </row>
    <row r="102" spans="1:18" x14ac:dyDescent="0.15">
      <c r="A102" s="2513"/>
      <c r="B102" s="2516"/>
      <c r="C102" s="2676"/>
      <c r="D102" s="542" t="s">
        <v>1278</v>
      </c>
      <c r="F102" s="1344"/>
      <c r="G102" s="162"/>
      <c r="H102" s="162"/>
      <c r="I102" s="162"/>
      <c r="J102" s="425">
        <f t="shared" si="7"/>
        <v>0</v>
      </c>
      <c r="K102" s="578">
        <f t="shared" ref="K102:K130" si="8">SUM(G102:J102)</f>
        <v>0</v>
      </c>
      <c r="L102" s="1037">
        <v>6.4500000000000002E-2</v>
      </c>
      <c r="M102" s="1037"/>
      <c r="N102" s="1314">
        <v>6.4500000000000002E-2</v>
      </c>
      <c r="O102" s="1037"/>
      <c r="P102" s="1314">
        <v>6.4500000000000002E-2</v>
      </c>
      <c r="Q102" s="1304"/>
      <c r="R102" s="1332"/>
    </row>
    <row r="103" spans="1:18" x14ac:dyDescent="0.15">
      <c r="A103" s="2513"/>
      <c r="B103" s="2516"/>
      <c r="C103" s="2676"/>
      <c r="D103" s="542" t="s">
        <v>1320</v>
      </c>
      <c r="F103" s="1344"/>
      <c r="G103" s="162"/>
      <c r="H103" s="162"/>
      <c r="I103" s="162"/>
      <c r="J103" s="425">
        <f t="shared" si="7"/>
        <v>0</v>
      </c>
      <c r="K103" s="578">
        <f t="shared" si="8"/>
        <v>0</v>
      </c>
      <c r="L103" s="1037">
        <v>2.8500000000000001E-2</v>
      </c>
      <c r="M103" s="1037"/>
      <c r="N103" s="1314">
        <v>2.8500000000000001E-2</v>
      </c>
      <c r="O103" s="1037"/>
      <c r="P103" s="1314">
        <v>2.8500000000000001E-2</v>
      </c>
      <c r="Q103" s="1304"/>
      <c r="R103" s="1332"/>
    </row>
    <row r="104" spans="1:18" ht="19.5" thickBot="1" x14ac:dyDescent="0.2">
      <c r="A104" s="2513"/>
      <c r="B104" s="2728"/>
      <c r="C104" s="2675"/>
      <c r="D104" s="545" t="s">
        <v>1280</v>
      </c>
      <c r="E104" s="1376"/>
      <c r="F104" s="1269"/>
      <c r="G104" s="1302"/>
      <c r="H104" s="1302"/>
      <c r="I104" s="1302"/>
      <c r="J104" s="416">
        <f t="shared" si="7"/>
        <v>0</v>
      </c>
      <c r="K104" s="578">
        <f t="shared" si="8"/>
        <v>0</v>
      </c>
      <c r="L104" s="1037">
        <v>3.3000000000000002E-2</v>
      </c>
      <c r="M104" s="1037"/>
      <c r="N104" s="1314">
        <v>3.3000000000000002E-2</v>
      </c>
      <c r="O104" s="1037"/>
      <c r="P104" s="1314">
        <v>3.3000000000000002E-2</v>
      </c>
      <c r="Q104" s="1304"/>
      <c r="R104" s="1332"/>
    </row>
    <row r="105" spans="1:18" x14ac:dyDescent="0.15">
      <c r="A105" s="2513"/>
      <c r="B105" s="2727" t="s">
        <v>1262</v>
      </c>
      <c r="C105" s="2757"/>
      <c r="D105" s="541" t="s">
        <v>699</v>
      </c>
      <c r="F105" s="1344"/>
      <c r="G105" s="162"/>
      <c r="H105" s="162"/>
      <c r="I105" s="162"/>
      <c r="J105" s="425">
        <f t="shared" si="7"/>
        <v>0</v>
      </c>
      <c r="K105" s="578">
        <f t="shared" si="8"/>
        <v>0</v>
      </c>
    </row>
    <row r="106" spans="1:18" x14ac:dyDescent="0.15">
      <c r="A106" s="2513"/>
      <c r="B106" s="2516"/>
      <c r="C106" s="2758"/>
      <c r="D106" s="543" t="s">
        <v>1559</v>
      </c>
      <c r="F106" s="1344"/>
      <c r="G106" s="162"/>
      <c r="H106" s="162"/>
      <c r="I106" s="162"/>
      <c r="J106" s="425">
        <f t="shared" si="7"/>
        <v>0</v>
      </c>
      <c r="K106" s="578">
        <f t="shared" si="8"/>
        <v>0</v>
      </c>
    </row>
    <row r="107" spans="1:18" x14ac:dyDescent="0.15">
      <c r="A107" s="2513"/>
      <c r="B107" s="2516"/>
      <c r="C107" s="2758"/>
      <c r="D107" s="542" t="s">
        <v>1320</v>
      </c>
      <c r="F107" s="1344"/>
      <c r="G107" s="162"/>
      <c r="H107" s="162"/>
      <c r="I107" s="162"/>
      <c r="J107" s="425">
        <f t="shared" si="7"/>
        <v>0</v>
      </c>
      <c r="K107" s="578">
        <f t="shared" si="8"/>
        <v>0</v>
      </c>
    </row>
    <row r="108" spans="1:18" x14ac:dyDescent="0.15">
      <c r="A108" s="2513"/>
      <c r="B108" s="2516"/>
      <c r="C108" s="2758"/>
      <c r="D108" s="542" t="s">
        <v>1280</v>
      </c>
      <c r="F108" s="1344"/>
      <c r="G108" s="162"/>
      <c r="H108" s="162"/>
      <c r="I108" s="162"/>
      <c r="J108" s="425">
        <f t="shared" si="7"/>
        <v>0</v>
      </c>
      <c r="K108" s="578">
        <f t="shared" si="8"/>
        <v>0</v>
      </c>
    </row>
    <row r="109" spans="1:18" ht="19.5" thickBot="1" x14ac:dyDescent="0.2">
      <c r="A109" s="2513"/>
      <c r="B109" s="2728"/>
      <c r="C109" s="2837"/>
      <c r="D109" s="545" t="s">
        <v>1346</v>
      </c>
      <c r="E109" s="1376"/>
      <c r="F109" s="1269"/>
      <c r="G109" s="8">
        <f>G107*0.0285+G108*0.033</f>
        <v>0</v>
      </c>
      <c r="H109" s="8"/>
      <c r="I109" s="8"/>
      <c r="J109" s="416">
        <f t="shared" si="7"/>
        <v>0</v>
      </c>
      <c r="K109" s="578">
        <f t="shared" si="8"/>
        <v>0</v>
      </c>
    </row>
    <row r="110" spans="1:18" x14ac:dyDescent="0.15">
      <c r="A110" s="2513"/>
      <c r="B110" s="2892" t="s">
        <v>1351</v>
      </c>
      <c r="C110" s="2893"/>
      <c r="D110" s="549" t="s">
        <v>538</v>
      </c>
      <c r="E110" s="1379"/>
      <c r="F110" s="1343"/>
      <c r="G110" s="216">
        <f>G67</f>
        <v>0</v>
      </c>
      <c r="H110" s="216"/>
      <c r="I110" s="216"/>
      <c r="J110" s="425">
        <f t="shared" si="7"/>
        <v>0</v>
      </c>
      <c r="K110" s="578">
        <f t="shared" si="8"/>
        <v>0</v>
      </c>
    </row>
    <row r="111" spans="1:18" x14ac:dyDescent="0.15">
      <c r="A111" s="2513"/>
      <c r="B111" s="2894"/>
      <c r="C111" s="2895"/>
      <c r="D111" s="542" t="s">
        <v>7</v>
      </c>
      <c r="F111" s="1344"/>
      <c r="G111" s="8">
        <f>G14</f>
        <v>0</v>
      </c>
      <c r="H111" s="8"/>
      <c r="I111" s="8"/>
      <c r="J111" s="425">
        <f t="shared" si="7"/>
        <v>0</v>
      </c>
      <c r="K111" s="578">
        <f t="shared" si="8"/>
        <v>0</v>
      </c>
    </row>
    <row r="112" spans="1:18" ht="19.5" thickBot="1" x14ac:dyDescent="0.2">
      <c r="A112" s="2513"/>
      <c r="B112" s="2896"/>
      <c r="C112" s="2897"/>
      <c r="D112" s="1070" t="s">
        <v>1530</v>
      </c>
      <c r="E112" s="1376"/>
      <c r="F112" s="1269"/>
      <c r="G112" s="215">
        <f>G109*1.25</f>
        <v>0</v>
      </c>
      <c r="H112" s="215"/>
      <c r="I112" s="215"/>
      <c r="J112" s="416">
        <f t="shared" si="7"/>
        <v>0</v>
      </c>
      <c r="K112" s="578">
        <f t="shared" si="8"/>
        <v>0</v>
      </c>
    </row>
    <row r="113" spans="1:11" x14ac:dyDescent="0.15">
      <c r="A113" s="2513"/>
      <c r="B113" s="2727" t="s">
        <v>1599</v>
      </c>
      <c r="C113" s="2674"/>
      <c r="D113" s="549" t="s">
        <v>1251</v>
      </c>
      <c r="E113" s="1379"/>
      <c r="F113" s="1343"/>
      <c r="G113" s="216">
        <f>G112</f>
        <v>0</v>
      </c>
      <c r="H113" s="216"/>
      <c r="I113" s="216"/>
      <c r="J113" s="425">
        <f t="shared" si="7"/>
        <v>0</v>
      </c>
      <c r="K113" s="578">
        <f t="shared" si="8"/>
        <v>0</v>
      </c>
    </row>
    <row r="114" spans="1:11" x14ac:dyDescent="0.15">
      <c r="A114" s="2513"/>
      <c r="B114" s="2516"/>
      <c r="C114" s="2676"/>
      <c r="D114" s="542" t="s">
        <v>7</v>
      </c>
      <c r="F114" s="1344"/>
      <c r="G114" s="8">
        <f>(G14+G37+G44)*1.25</f>
        <v>0</v>
      </c>
      <c r="H114" s="8"/>
      <c r="I114" s="8"/>
      <c r="J114" s="425">
        <f t="shared" si="7"/>
        <v>0</v>
      </c>
      <c r="K114" s="578">
        <f t="shared" si="8"/>
        <v>0</v>
      </c>
    </row>
    <row r="115" spans="1:11" ht="19.5" thickBot="1" x14ac:dyDescent="0.2">
      <c r="A115" s="2513"/>
      <c r="B115" s="2516"/>
      <c r="C115" s="2676"/>
      <c r="D115" s="542" t="s">
        <v>2001</v>
      </c>
      <c r="F115" s="1344"/>
      <c r="G115" s="8">
        <f>G50*1.25+G71</f>
        <v>0</v>
      </c>
      <c r="H115" s="8"/>
      <c r="I115" s="8"/>
      <c r="J115" s="425">
        <f t="shared" si="7"/>
        <v>0</v>
      </c>
      <c r="K115" s="578">
        <f t="shared" si="8"/>
        <v>0</v>
      </c>
    </row>
    <row r="116" spans="1:11" x14ac:dyDescent="0.15">
      <c r="A116" s="2513"/>
      <c r="B116" s="2727"/>
      <c r="C116" s="2674"/>
      <c r="D116" s="558" t="s">
        <v>1203</v>
      </c>
      <c r="F116" s="1344"/>
      <c r="G116" s="8">
        <f>(G94*$M94*$M$93+SUMPRODUCT(G100:G104,$L100:$L104)*$L$93)/1000+G70</f>
        <v>0</v>
      </c>
      <c r="H116" s="8"/>
      <c r="I116" s="8"/>
      <c r="J116" s="425">
        <f t="shared" si="7"/>
        <v>0</v>
      </c>
      <c r="K116" s="578">
        <f t="shared" si="8"/>
        <v>0</v>
      </c>
    </row>
    <row r="117" spans="1:11" ht="19.5" thickBot="1" x14ac:dyDescent="0.2">
      <c r="A117" s="2513"/>
      <c r="B117" s="2516"/>
      <c r="C117" s="2676"/>
      <c r="D117" s="558" t="s">
        <v>1602</v>
      </c>
      <c r="F117" s="1344"/>
      <c r="G117" s="8">
        <f>G99</f>
        <v>0</v>
      </c>
      <c r="H117" s="8"/>
      <c r="I117" s="8"/>
      <c r="J117" s="425">
        <f t="shared" si="7"/>
        <v>0</v>
      </c>
      <c r="K117" s="578">
        <f t="shared" si="8"/>
        <v>0</v>
      </c>
    </row>
    <row r="118" spans="1:11" x14ac:dyDescent="0.15">
      <c r="A118" s="2513"/>
      <c r="B118" s="2727"/>
      <c r="C118" s="2674"/>
      <c r="D118" s="558" t="s">
        <v>1603</v>
      </c>
      <c r="F118" s="1344"/>
      <c r="G118" s="8">
        <f>G94*$O94*$O$93+SUMPRODUCT(G100:G104,$N100:$N104)*$N$93</f>
        <v>0</v>
      </c>
      <c r="H118" s="8"/>
      <c r="I118" s="8"/>
      <c r="J118" s="425">
        <f t="shared" si="7"/>
        <v>0</v>
      </c>
      <c r="K118" s="578">
        <f t="shared" si="8"/>
        <v>0</v>
      </c>
    </row>
    <row r="119" spans="1:11" x14ac:dyDescent="0.15">
      <c r="A119" s="2513"/>
      <c r="B119" s="2516"/>
      <c r="C119" s="2676"/>
      <c r="D119" s="558" t="s">
        <v>1390</v>
      </c>
      <c r="F119" s="1344"/>
      <c r="G119" s="8">
        <f>G88</f>
        <v>0</v>
      </c>
      <c r="H119" s="8"/>
      <c r="I119" s="8"/>
      <c r="J119" s="425">
        <f t="shared" si="7"/>
        <v>0</v>
      </c>
      <c r="K119" s="578">
        <f t="shared" si="8"/>
        <v>0</v>
      </c>
    </row>
    <row r="120" spans="1:11" x14ac:dyDescent="0.15">
      <c r="A120" s="2513"/>
      <c r="B120" s="2516"/>
      <c r="C120" s="2676"/>
      <c r="D120" s="558" t="s">
        <v>586</v>
      </c>
      <c r="F120" s="1344"/>
      <c r="G120" s="8">
        <f>G98*0.14</f>
        <v>0</v>
      </c>
      <c r="H120" s="8"/>
      <c r="I120" s="8"/>
      <c r="J120" s="425">
        <f t="shared" si="7"/>
        <v>0</v>
      </c>
      <c r="K120" s="578">
        <f t="shared" si="8"/>
        <v>0</v>
      </c>
    </row>
    <row r="121" spans="1:11" x14ac:dyDescent="0.15">
      <c r="A121" s="2513"/>
      <c r="B121" s="2516"/>
      <c r="C121" s="2676"/>
      <c r="D121" s="558" t="s">
        <v>1367</v>
      </c>
      <c r="F121" s="1344"/>
      <c r="G121" s="8">
        <f>G73</f>
        <v>0</v>
      </c>
      <c r="H121" s="8"/>
      <c r="I121" s="8"/>
      <c r="J121" s="425">
        <f t="shared" si="7"/>
        <v>0</v>
      </c>
      <c r="K121" s="578">
        <f t="shared" si="8"/>
        <v>0</v>
      </c>
    </row>
    <row r="122" spans="1:11" ht="19.5" thickBot="1" x14ac:dyDescent="0.2">
      <c r="A122" s="2513"/>
      <c r="B122" s="2516"/>
      <c r="C122" s="2676"/>
      <c r="D122" s="566" t="s">
        <v>1762</v>
      </c>
      <c r="F122" s="1344"/>
      <c r="G122" s="8">
        <f>G72</f>
        <v>0</v>
      </c>
      <c r="H122" s="8"/>
      <c r="I122" s="8"/>
      <c r="J122" s="425">
        <f t="shared" si="7"/>
        <v>0</v>
      </c>
      <c r="K122" s="578">
        <f t="shared" si="8"/>
        <v>0</v>
      </c>
    </row>
    <row r="123" spans="1:11" x14ac:dyDescent="0.15">
      <c r="A123" s="2513"/>
      <c r="B123" s="2727"/>
      <c r="C123" s="2674"/>
      <c r="D123" s="566" t="s">
        <v>1761</v>
      </c>
      <c r="F123" s="1344"/>
      <c r="G123" s="8">
        <f>G74</f>
        <v>0</v>
      </c>
      <c r="H123" s="8"/>
      <c r="I123" s="8"/>
      <c r="J123" s="425">
        <f t="shared" si="7"/>
        <v>0</v>
      </c>
      <c r="K123" s="578">
        <f t="shared" si="8"/>
        <v>0</v>
      </c>
    </row>
    <row r="124" spans="1:11" x14ac:dyDescent="0.15">
      <c r="A124" s="2513"/>
      <c r="B124" s="2516"/>
      <c r="C124" s="2676"/>
      <c r="D124" s="566" t="s">
        <v>1600</v>
      </c>
      <c r="F124" s="1344"/>
      <c r="G124" s="8">
        <f>G94*$Q94*$Q$93+SUMPRODUCT(G100:G104,$P100:$P104)*$P$93</f>
        <v>0</v>
      </c>
      <c r="H124" s="8"/>
      <c r="I124" s="8"/>
      <c r="J124" s="425">
        <f t="shared" si="7"/>
        <v>0</v>
      </c>
      <c r="K124" s="578">
        <f t="shared" si="8"/>
        <v>0</v>
      </c>
    </row>
    <row r="125" spans="1:11" x14ac:dyDescent="0.15">
      <c r="A125" s="2513"/>
      <c r="B125" s="2516"/>
      <c r="C125" s="2676"/>
      <c r="D125" s="566" t="s">
        <v>1392</v>
      </c>
      <c r="F125" s="1344"/>
      <c r="G125" s="8">
        <f>G89</f>
        <v>0</v>
      </c>
      <c r="H125" s="8"/>
      <c r="I125" s="8"/>
      <c r="J125" s="425">
        <f t="shared" si="7"/>
        <v>0</v>
      </c>
      <c r="K125" s="578">
        <f t="shared" si="8"/>
        <v>0</v>
      </c>
    </row>
    <row r="126" spans="1:11" ht="19.5" thickBot="1" x14ac:dyDescent="0.2">
      <c r="A126" s="2513"/>
      <c r="B126" s="2516"/>
      <c r="C126" s="2676"/>
      <c r="D126" s="566" t="s">
        <v>538</v>
      </c>
      <c r="F126" s="1344"/>
      <c r="G126" s="8">
        <f>G67*1.25</f>
        <v>0</v>
      </c>
      <c r="H126" s="8"/>
      <c r="I126" s="8"/>
      <c r="J126" s="425">
        <f t="shared" si="7"/>
        <v>0</v>
      </c>
      <c r="K126" s="578">
        <f t="shared" si="8"/>
        <v>0</v>
      </c>
    </row>
    <row r="127" spans="1:11" x14ac:dyDescent="0.15">
      <c r="A127" s="2513"/>
      <c r="B127" s="2727"/>
      <c r="C127" s="2674"/>
      <c r="D127" s="566" t="s">
        <v>1395</v>
      </c>
      <c r="F127" s="1344"/>
      <c r="G127" s="8">
        <f>G87</f>
        <v>0</v>
      </c>
      <c r="H127" s="8"/>
      <c r="I127" s="8"/>
      <c r="J127" s="425">
        <f t="shared" si="7"/>
        <v>0</v>
      </c>
      <c r="K127" s="578">
        <f t="shared" si="8"/>
        <v>0</v>
      </c>
    </row>
    <row r="128" spans="1:11" x14ac:dyDescent="0.15">
      <c r="A128" s="2513"/>
      <c r="B128" s="2516"/>
      <c r="C128" s="2676"/>
      <c r="D128" s="566" t="s">
        <v>1397</v>
      </c>
      <c r="F128" s="1344"/>
      <c r="G128" s="8">
        <f>G78</f>
        <v>0</v>
      </c>
      <c r="H128" s="8"/>
      <c r="I128" s="8"/>
      <c r="J128" s="425">
        <f t="shared" si="7"/>
        <v>0</v>
      </c>
      <c r="K128" s="578">
        <f t="shared" si="8"/>
        <v>0</v>
      </c>
    </row>
    <row r="129" spans="1:11" ht="19.5" thickBot="1" x14ac:dyDescent="0.2">
      <c r="A129" s="2513"/>
      <c r="B129" s="2516"/>
      <c r="C129" s="2676"/>
      <c r="D129" s="566" t="s">
        <v>1400</v>
      </c>
      <c r="F129" s="1344"/>
      <c r="G129" s="8">
        <f>G82</f>
        <v>0</v>
      </c>
      <c r="H129" s="8"/>
      <c r="I129" s="8"/>
      <c r="J129" s="425">
        <f t="shared" si="7"/>
        <v>0</v>
      </c>
      <c r="K129" s="578">
        <f t="shared" si="8"/>
        <v>0</v>
      </c>
    </row>
    <row r="130" spans="1:11" ht="19.5" thickBot="1" x14ac:dyDescent="0.2">
      <c r="A130" s="2513"/>
      <c r="B130" s="2727"/>
      <c r="C130" s="2674"/>
      <c r="D130" s="566" t="s">
        <v>1372</v>
      </c>
      <c r="F130" s="1344"/>
      <c r="G130" s="8">
        <f>G86</f>
        <v>0</v>
      </c>
      <c r="H130" s="8"/>
      <c r="I130" s="8"/>
      <c r="J130" s="416">
        <f t="shared" si="7"/>
        <v>0</v>
      </c>
      <c r="K130" s="578">
        <f t="shared" si="8"/>
        <v>0</v>
      </c>
    </row>
    <row r="131" spans="1:11" x14ac:dyDescent="0.15">
      <c r="A131" s="2513"/>
      <c r="B131" s="2727" t="s">
        <v>1366</v>
      </c>
      <c r="C131" s="2674"/>
      <c r="D131" s="549" t="s">
        <v>1251</v>
      </c>
      <c r="E131" s="1379"/>
      <c r="F131" s="1343"/>
      <c r="G131" s="216">
        <f t="shared" ref="G131:G140" si="9">G113</f>
        <v>0</v>
      </c>
      <c r="H131" s="216"/>
      <c r="I131" s="216"/>
      <c r="J131" s="425"/>
      <c r="K131" s="578"/>
    </row>
    <row r="132" spans="1:11" x14ac:dyDescent="0.15">
      <c r="A132" s="2513"/>
      <c r="B132" s="2516"/>
      <c r="C132" s="2676"/>
      <c r="D132" s="542" t="s">
        <v>7</v>
      </c>
      <c r="E132" s="1061"/>
      <c r="F132" s="1344"/>
      <c r="G132" s="8">
        <f t="shared" si="9"/>
        <v>0</v>
      </c>
      <c r="H132" s="8"/>
      <c r="I132" s="8"/>
      <c r="J132" s="425"/>
      <c r="K132" s="578"/>
    </row>
    <row r="133" spans="1:11" x14ac:dyDescent="0.15">
      <c r="A133" s="2513"/>
      <c r="B133" s="2516"/>
      <c r="C133" s="2676"/>
      <c r="D133" s="558" t="s">
        <v>1353</v>
      </c>
      <c r="E133" s="1061"/>
      <c r="F133" s="1344"/>
      <c r="G133" s="8">
        <f t="shared" si="9"/>
        <v>0</v>
      </c>
      <c r="H133" s="8"/>
      <c r="I133" s="8"/>
      <c r="J133" s="425"/>
      <c r="K133" s="578"/>
    </row>
    <row r="134" spans="1:11" x14ac:dyDescent="0.15">
      <c r="A134" s="2513"/>
      <c r="B134" s="2516"/>
      <c r="C134" s="2676"/>
      <c r="D134" s="558" t="s">
        <v>1203</v>
      </c>
      <c r="E134" s="1061"/>
      <c r="F134" s="1344"/>
      <c r="G134" s="8">
        <f t="shared" si="9"/>
        <v>0</v>
      </c>
      <c r="H134" s="8"/>
      <c r="I134" s="8"/>
      <c r="J134" s="425"/>
      <c r="K134" s="578"/>
    </row>
    <row r="135" spans="1:11" x14ac:dyDescent="0.15">
      <c r="A135" s="2513"/>
      <c r="B135" s="2516"/>
      <c r="C135" s="2676"/>
      <c r="D135" s="558" t="s">
        <v>1602</v>
      </c>
      <c r="E135" s="1061"/>
      <c r="F135" s="1344"/>
      <c r="G135" s="8">
        <f t="shared" si="9"/>
        <v>0</v>
      </c>
      <c r="H135" s="8"/>
      <c r="I135" s="8"/>
      <c r="J135" s="425"/>
      <c r="K135" s="578"/>
    </row>
    <row r="136" spans="1:11" x14ac:dyDescent="0.15">
      <c r="A136" s="2513"/>
      <c r="B136" s="2516"/>
      <c r="C136" s="2676"/>
      <c r="D136" s="558" t="s">
        <v>1603</v>
      </c>
      <c r="E136" s="1061"/>
      <c r="F136" s="1344"/>
      <c r="G136" s="8">
        <f t="shared" si="9"/>
        <v>0</v>
      </c>
      <c r="H136" s="8"/>
      <c r="I136" s="8"/>
      <c r="J136" s="425"/>
      <c r="K136" s="578"/>
    </row>
    <row r="137" spans="1:11" x14ac:dyDescent="0.15">
      <c r="A137" s="2513"/>
      <c r="B137" s="2516"/>
      <c r="C137" s="2676"/>
      <c r="D137" s="558" t="s">
        <v>1390</v>
      </c>
      <c r="E137" s="1061"/>
      <c r="F137" s="1344"/>
      <c r="G137" s="8">
        <f t="shared" si="9"/>
        <v>0</v>
      </c>
      <c r="H137" s="8"/>
      <c r="I137" s="8"/>
      <c r="J137" s="425"/>
      <c r="K137" s="578"/>
    </row>
    <row r="138" spans="1:11" x14ac:dyDescent="0.15">
      <c r="A138" s="2513"/>
      <c r="B138" s="2516"/>
      <c r="C138" s="2676"/>
      <c r="D138" s="558" t="s">
        <v>586</v>
      </c>
      <c r="E138" s="1061"/>
      <c r="F138" s="1344"/>
      <c r="G138" s="8">
        <f t="shared" si="9"/>
        <v>0</v>
      </c>
      <c r="H138" s="8"/>
      <c r="I138" s="8"/>
      <c r="J138" s="425"/>
      <c r="K138" s="578"/>
    </row>
    <row r="139" spans="1:11" x14ac:dyDescent="0.15">
      <c r="A139" s="2513"/>
      <c r="B139" s="2516"/>
      <c r="C139" s="2676"/>
      <c r="D139" s="558" t="s">
        <v>1367</v>
      </c>
      <c r="E139" s="1061"/>
      <c r="F139" s="1344"/>
      <c r="G139" s="8">
        <f t="shared" si="9"/>
        <v>0</v>
      </c>
      <c r="H139" s="8"/>
      <c r="I139" s="8"/>
      <c r="J139" s="425"/>
      <c r="K139" s="578"/>
    </row>
    <row r="140" spans="1:11" x14ac:dyDescent="0.15">
      <c r="A140" s="2513"/>
      <c r="B140" s="2516"/>
      <c r="C140" s="2676"/>
      <c r="D140" s="566" t="s">
        <v>1604</v>
      </c>
      <c r="E140" s="1061"/>
      <c r="F140" s="1344"/>
      <c r="G140" s="8">
        <f t="shared" si="9"/>
        <v>0</v>
      </c>
      <c r="H140" s="8"/>
      <c r="I140" s="8"/>
      <c r="J140" s="425"/>
      <c r="K140" s="578"/>
    </row>
    <row r="141" spans="1:11" x14ac:dyDescent="0.15">
      <c r="A141" s="2513"/>
      <c r="B141" s="2516"/>
      <c r="C141" s="2676"/>
      <c r="D141" s="566" t="s">
        <v>1600</v>
      </c>
      <c r="E141" s="1061"/>
      <c r="F141" s="1344"/>
      <c r="G141" s="8">
        <f t="shared" ref="G141:G147" si="10">G124</f>
        <v>0</v>
      </c>
      <c r="H141" s="8"/>
      <c r="I141" s="8"/>
      <c r="J141" s="425"/>
      <c r="K141" s="578"/>
    </row>
    <row r="142" spans="1:11" x14ac:dyDescent="0.15">
      <c r="A142" s="2513"/>
      <c r="B142" s="2516"/>
      <c r="C142" s="2676"/>
      <c r="D142" s="566" t="s">
        <v>1392</v>
      </c>
      <c r="E142" s="1061"/>
      <c r="F142" s="1344"/>
      <c r="G142" s="8">
        <f t="shared" si="10"/>
        <v>0</v>
      </c>
      <c r="H142" s="8"/>
      <c r="I142" s="8"/>
      <c r="J142" s="425"/>
      <c r="K142" s="578"/>
    </row>
    <row r="143" spans="1:11" x14ac:dyDescent="0.15">
      <c r="A143" s="2513"/>
      <c r="B143" s="2516"/>
      <c r="C143" s="2676"/>
      <c r="D143" s="566" t="s">
        <v>538</v>
      </c>
      <c r="E143" s="1061"/>
      <c r="F143" s="1344"/>
      <c r="G143" s="8">
        <f t="shared" si="10"/>
        <v>0</v>
      </c>
      <c r="H143" s="8"/>
      <c r="I143" s="8"/>
      <c r="J143" s="425"/>
      <c r="K143" s="578"/>
    </row>
    <row r="144" spans="1:11" x14ac:dyDescent="0.15">
      <c r="A144" s="2513"/>
      <c r="B144" s="2516"/>
      <c r="C144" s="2676"/>
      <c r="D144" s="566" t="s">
        <v>1395</v>
      </c>
      <c r="E144" s="1061"/>
      <c r="F144" s="1344"/>
      <c r="G144" s="8">
        <f t="shared" si="10"/>
        <v>0</v>
      </c>
      <c r="H144" s="8"/>
      <c r="I144" s="8"/>
      <c r="J144" s="425"/>
      <c r="K144" s="578"/>
    </row>
    <row r="145" spans="1:11" x14ac:dyDescent="0.15">
      <c r="A145" s="2513"/>
      <c r="B145" s="2516"/>
      <c r="C145" s="2676"/>
      <c r="D145" s="566" t="s">
        <v>1397</v>
      </c>
      <c r="E145" s="1061"/>
      <c r="F145" s="1344"/>
      <c r="G145" s="8">
        <f t="shared" si="10"/>
        <v>0</v>
      </c>
      <c r="H145" s="8"/>
      <c r="I145" s="8"/>
      <c r="J145" s="425"/>
      <c r="K145" s="578"/>
    </row>
    <row r="146" spans="1:11" x14ac:dyDescent="0.15">
      <c r="A146" s="2513"/>
      <c r="B146" s="2516"/>
      <c r="C146" s="2676"/>
      <c r="D146" s="566" t="s">
        <v>1396</v>
      </c>
      <c r="E146" s="1061"/>
      <c r="F146" s="1344"/>
      <c r="G146" s="8">
        <f t="shared" si="10"/>
        <v>0</v>
      </c>
      <c r="H146" s="8"/>
      <c r="I146" s="8"/>
      <c r="J146" s="425"/>
      <c r="K146" s="578"/>
    </row>
    <row r="147" spans="1:11" ht="19.5" thickBot="1" x14ac:dyDescent="0.2">
      <c r="A147" s="2513"/>
      <c r="B147" s="2728"/>
      <c r="C147" s="2675"/>
      <c r="D147" s="566" t="s">
        <v>1372</v>
      </c>
      <c r="E147" s="982"/>
      <c r="F147" s="1269"/>
      <c r="G147" s="215">
        <f t="shared" si="10"/>
        <v>0</v>
      </c>
      <c r="H147" s="215"/>
      <c r="I147" s="215"/>
      <c r="J147" s="416"/>
      <c r="K147" s="578"/>
    </row>
    <row r="148" spans="1:11" s="9" customFormat="1" ht="13.5" customHeight="1" thickBot="1" x14ac:dyDescent="0.2">
      <c r="A148" s="2659"/>
      <c r="B148" s="2830" t="s">
        <v>12</v>
      </c>
      <c r="C148" s="2864"/>
      <c r="D148" s="2831"/>
      <c r="E148" s="1397"/>
      <c r="F148" s="1398"/>
      <c r="G148" s="1338"/>
      <c r="H148" s="1338"/>
      <c r="I148" s="1338"/>
      <c r="J148" s="1339"/>
      <c r="K148" s="667">
        <v>1</v>
      </c>
    </row>
    <row r="149" spans="1:11" ht="19.5" thickTop="1" x14ac:dyDescent="0.15"/>
    <row r="152" spans="1:11" ht="12.75" x14ac:dyDescent="0.15">
      <c r="B152" s="492"/>
      <c r="C152" s="492"/>
      <c r="D152" s="492"/>
      <c r="E152" s="492"/>
      <c r="F152" s="492"/>
    </row>
    <row r="153" spans="1:11" ht="12.75" x14ac:dyDescent="0.15">
      <c r="B153" s="492"/>
      <c r="C153" s="492"/>
      <c r="D153" s="492"/>
      <c r="E153" s="492"/>
      <c r="F153" s="492"/>
    </row>
    <row r="154" spans="1:11" ht="12.75" x14ac:dyDescent="0.15">
      <c r="B154" s="492"/>
      <c r="C154" s="492"/>
      <c r="D154" s="492"/>
      <c r="E154" s="492"/>
      <c r="F154" s="492"/>
    </row>
    <row r="155" spans="1:11" ht="12.75" x14ac:dyDescent="0.15">
      <c r="B155" s="492"/>
      <c r="C155" s="492"/>
      <c r="D155" s="492"/>
      <c r="E155" s="492"/>
      <c r="F155" s="492"/>
    </row>
    <row r="156" spans="1:11" ht="12.75" x14ac:dyDescent="0.15">
      <c r="B156" s="492"/>
      <c r="C156" s="492"/>
      <c r="D156" s="492"/>
      <c r="E156" s="492"/>
      <c r="F156" s="492"/>
    </row>
    <row r="157" spans="1:11" ht="12.75" x14ac:dyDescent="0.15">
      <c r="B157" s="492"/>
      <c r="C157" s="492"/>
      <c r="D157" s="492"/>
      <c r="E157" s="492"/>
      <c r="F157" s="492"/>
    </row>
    <row r="158" spans="1:11" ht="12.75" x14ac:dyDescent="0.15">
      <c r="B158" s="492"/>
      <c r="C158" s="492"/>
      <c r="D158" s="492"/>
      <c r="E158" s="492"/>
      <c r="F158" s="492"/>
    </row>
    <row r="159" spans="1:11" ht="12.75" x14ac:dyDescent="0.15">
      <c r="B159" s="492"/>
      <c r="C159" s="492"/>
      <c r="D159" s="492"/>
      <c r="E159" s="492"/>
      <c r="F159" s="492"/>
    </row>
    <row r="160" spans="1:11" ht="12.75" x14ac:dyDescent="0.15">
      <c r="B160" s="492"/>
      <c r="C160" s="492"/>
      <c r="D160" s="492"/>
      <c r="E160" s="492"/>
      <c r="F160" s="492"/>
    </row>
    <row r="161" spans="2:6" ht="12.75" x14ac:dyDescent="0.15">
      <c r="B161" s="492"/>
      <c r="C161" s="492"/>
      <c r="D161" s="492"/>
      <c r="E161" s="492"/>
      <c r="F161" s="492"/>
    </row>
    <row r="162" spans="2:6" ht="12.75" x14ac:dyDescent="0.15">
      <c r="B162" s="492"/>
      <c r="C162" s="492"/>
      <c r="D162" s="492"/>
      <c r="E162" s="492"/>
      <c r="F162" s="492"/>
    </row>
    <row r="163" spans="2:6" ht="12.75" x14ac:dyDescent="0.15">
      <c r="B163" s="492"/>
      <c r="C163" s="492"/>
      <c r="D163" s="492"/>
      <c r="E163" s="492"/>
      <c r="F163" s="492"/>
    </row>
    <row r="164" spans="2:6" ht="12.75" x14ac:dyDescent="0.15">
      <c r="B164" s="492"/>
      <c r="C164" s="492"/>
      <c r="D164" s="492"/>
      <c r="E164" s="492"/>
      <c r="F164" s="492"/>
    </row>
    <row r="165" spans="2:6" ht="12.75" x14ac:dyDescent="0.15">
      <c r="B165" s="492"/>
      <c r="C165" s="492"/>
      <c r="D165" s="492"/>
      <c r="E165" s="492"/>
      <c r="F165" s="492"/>
    </row>
    <row r="166" spans="2:6" ht="12.75" x14ac:dyDescent="0.15">
      <c r="B166" s="492"/>
      <c r="C166" s="492"/>
      <c r="D166" s="492"/>
      <c r="E166" s="492"/>
      <c r="F166" s="492"/>
    </row>
    <row r="167" spans="2:6" ht="12.75" x14ac:dyDescent="0.15">
      <c r="B167" s="492"/>
      <c r="C167" s="492"/>
      <c r="D167" s="492"/>
      <c r="E167" s="492"/>
      <c r="F167" s="492"/>
    </row>
    <row r="168" spans="2:6" ht="12.75" x14ac:dyDescent="0.15">
      <c r="B168" s="492"/>
      <c r="C168" s="492"/>
      <c r="D168" s="492"/>
      <c r="E168" s="492"/>
      <c r="F168" s="492"/>
    </row>
    <row r="169" spans="2:6" ht="12.75" x14ac:dyDescent="0.15">
      <c r="B169" s="492"/>
      <c r="C169" s="492"/>
      <c r="D169" s="492"/>
      <c r="E169" s="492"/>
      <c r="F169" s="492"/>
    </row>
    <row r="170" spans="2:6" ht="12.75" x14ac:dyDescent="0.15">
      <c r="B170" s="492"/>
      <c r="C170" s="492"/>
      <c r="D170" s="492"/>
      <c r="E170" s="492"/>
      <c r="F170" s="492"/>
    </row>
    <row r="171" spans="2:6" ht="12.75" x14ac:dyDescent="0.15">
      <c r="B171" s="492"/>
      <c r="C171" s="492"/>
      <c r="D171" s="492"/>
      <c r="E171" s="492"/>
      <c r="F171" s="492"/>
    </row>
    <row r="172" spans="2:6" ht="12.75" x14ac:dyDescent="0.15">
      <c r="B172" s="492"/>
      <c r="C172" s="492"/>
      <c r="D172" s="492"/>
      <c r="E172" s="492"/>
      <c r="F172" s="492"/>
    </row>
    <row r="173" spans="2:6" ht="12.75" x14ac:dyDescent="0.15">
      <c r="B173" s="492"/>
      <c r="C173" s="492"/>
      <c r="D173" s="492"/>
      <c r="E173" s="492"/>
      <c r="F173" s="492"/>
    </row>
    <row r="174" spans="2:6" ht="12.75" x14ac:dyDescent="0.15">
      <c r="B174" s="492"/>
      <c r="C174" s="492"/>
      <c r="D174" s="492"/>
      <c r="E174" s="492"/>
      <c r="F174" s="492"/>
    </row>
    <row r="175" spans="2:6" ht="12.75" x14ac:dyDescent="0.15">
      <c r="B175" s="492"/>
      <c r="C175" s="492"/>
      <c r="D175" s="492"/>
      <c r="E175" s="492"/>
      <c r="F175" s="492"/>
    </row>
    <row r="176" spans="2:6" ht="12.75" x14ac:dyDescent="0.15">
      <c r="B176" s="492"/>
      <c r="C176" s="492"/>
      <c r="D176" s="492"/>
      <c r="E176" s="492"/>
      <c r="F176" s="492"/>
    </row>
    <row r="177" spans="2:6" ht="12.75" x14ac:dyDescent="0.15">
      <c r="B177" s="492"/>
      <c r="C177" s="492"/>
      <c r="D177" s="492"/>
      <c r="E177" s="492"/>
      <c r="F177" s="492"/>
    </row>
    <row r="178" spans="2:6" ht="12.75" x14ac:dyDescent="0.15">
      <c r="B178" s="492"/>
      <c r="C178" s="492"/>
      <c r="D178" s="492"/>
      <c r="E178" s="492"/>
      <c r="F178" s="492"/>
    </row>
    <row r="179" spans="2:6" ht="12.75" x14ac:dyDescent="0.15">
      <c r="B179" s="492"/>
      <c r="C179" s="492"/>
      <c r="D179" s="492"/>
      <c r="E179" s="492"/>
      <c r="F179" s="492"/>
    </row>
  </sheetData>
  <autoFilter ref="K1:K149"/>
  <mergeCells count="34">
    <mergeCell ref="N90:O90"/>
    <mergeCell ref="P90:Q90"/>
    <mergeCell ref="B83:B99"/>
    <mergeCell ref="C26:C32"/>
    <mergeCell ref="C33:C38"/>
    <mergeCell ref="C39:C44"/>
    <mergeCell ref="B26:B51"/>
    <mergeCell ref="C45:C51"/>
    <mergeCell ref="B8:C9"/>
    <mergeCell ref="B113:C130"/>
    <mergeCell ref="B131:C147"/>
    <mergeCell ref="B22:C25"/>
    <mergeCell ref="L90:M90"/>
    <mergeCell ref="B100:C104"/>
    <mergeCell ref="C95:C99"/>
    <mergeCell ref="C90:C94"/>
    <mergeCell ref="B16:C18"/>
    <mergeCell ref="B19:C21"/>
    <mergeCell ref="B148:D148"/>
    <mergeCell ref="A1:A148"/>
    <mergeCell ref="B1:D1"/>
    <mergeCell ref="B5:C6"/>
    <mergeCell ref="B2:D2"/>
    <mergeCell ref="B7:D7"/>
    <mergeCell ref="B52:D52"/>
    <mergeCell ref="B53:C74"/>
    <mergeCell ref="C83:C89"/>
    <mergeCell ref="B79:C82"/>
    <mergeCell ref="B105:C109"/>
    <mergeCell ref="B110:C112"/>
    <mergeCell ref="B3:D3"/>
    <mergeCell ref="B4:D4"/>
    <mergeCell ref="B75:C78"/>
    <mergeCell ref="B10:C15"/>
  </mergeCells>
  <conditionalFormatting sqref="G75:I75">
    <cfRule type="expression" dxfId="2" priority="7">
      <formula>G$75+G$79&lt;&gt;G$53</formula>
    </cfRule>
  </conditionalFormatting>
  <printOptions horizontalCentered="1"/>
  <pageMargins left="0.51181102362204722" right="0.51181102362204722" top="0.78740157480314965" bottom="0.78740157480314965" header="0.31496062992125984" footer="0.31496062992125984"/>
  <pageSetup paperSize="9" scale="65" orientation="landscape" r:id="rId1"/>
  <headerFooter>
    <oddFooter>&amp;L&amp;"Arial,Normal"&amp;8&amp;F&amp;C&amp;"Arial,Normal"&amp;8&amp;P/&amp;N&amp;R&amp;"Arial,Normal"&amp;8Ricardo Schettini Figueiredo
Eng. Civil - CREA-RJ 52.656/D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4"/>
  <sheetViews>
    <sheetView showZeros="0" topLeftCell="B1" workbookViewId="0">
      <pane ySplit="9" topLeftCell="A10" activePane="bottomLeft" state="frozen"/>
      <selection activeCell="B1" sqref="B1"/>
      <selection pane="bottomLeft" activeCell="K44" sqref="K44"/>
    </sheetView>
  </sheetViews>
  <sheetFormatPr defaultColWidth="9" defaultRowHeight="15" x14ac:dyDescent="0.15"/>
  <cols>
    <col min="1" max="1" width="0" style="2285" hidden="1" customWidth="1"/>
    <col min="2" max="6" width="10.625" style="2285" customWidth="1"/>
    <col min="7" max="8" width="12.5" style="2285" customWidth="1"/>
    <col min="9" max="10" width="13.125" style="2285" customWidth="1"/>
    <col min="11" max="16384" width="9" style="2285"/>
  </cols>
  <sheetData>
    <row r="1" spans="1:10" ht="20.25" customHeight="1" thickBot="1" x14ac:dyDescent="0.2">
      <c r="B1" s="2905" t="s">
        <v>2692</v>
      </c>
      <c r="C1" s="2906"/>
      <c r="D1" s="2906"/>
      <c r="E1" s="2906"/>
      <c r="F1" s="2906"/>
      <c r="G1" s="2906"/>
      <c r="H1" s="2906"/>
      <c r="I1" s="2906"/>
      <c r="J1" s="2907"/>
    </row>
    <row r="2" spans="1:10" ht="24.75" customHeight="1" thickTop="1" x14ac:dyDescent="0.15">
      <c r="A2" s="2910"/>
      <c r="B2" s="2913" t="s">
        <v>163</v>
      </c>
      <c r="C2" s="2914"/>
      <c r="D2" s="2908" t="s">
        <v>2691</v>
      </c>
      <c r="E2" s="2914"/>
      <c r="F2" s="2915" t="s">
        <v>2690</v>
      </c>
      <c r="G2" s="2908" t="s">
        <v>2689</v>
      </c>
      <c r="H2" s="2914"/>
      <c r="I2" s="2908" t="s">
        <v>2688</v>
      </c>
      <c r="J2" s="2909"/>
    </row>
    <row r="3" spans="1:10" ht="43.5" customHeight="1" thickBot="1" x14ac:dyDescent="0.2">
      <c r="A3" s="2911"/>
      <c r="B3" s="2306" t="s">
        <v>2687</v>
      </c>
      <c r="C3" s="2305" t="s">
        <v>2686</v>
      </c>
      <c r="D3" s="2304" t="s">
        <v>293</v>
      </c>
      <c r="E3" s="2304" t="s">
        <v>28</v>
      </c>
      <c r="F3" s="2916"/>
      <c r="G3" s="2304" t="s">
        <v>293</v>
      </c>
      <c r="H3" s="2304" t="s">
        <v>28</v>
      </c>
      <c r="I3" s="2304" t="s">
        <v>293</v>
      </c>
      <c r="J3" s="2304" t="s">
        <v>28</v>
      </c>
    </row>
    <row r="4" spans="1:10" ht="24.75" hidden="1" customHeight="1" x14ac:dyDescent="0.15">
      <c r="A4" s="2911"/>
      <c r="B4" s="2303">
        <v>0</v>
      </c>
      <c r="C4" s="2302"/>
      <c r="D4" s="2291"/>
      <c r="E4" s="2301">
        <v>0</v>
      </c>
      <c r="F4" s="2300"/>
      <c r="G4" s="2300"/>
      <c r="H4" s="2300"/>
      <c r="I4" s="2300"/>
      <c r="J4" s="2299"/>
    </row>
    <row r="5" spans="1:10" ht="24.75" hidden="1" customHeight="1" x14ac:dyDescent="0.15">
      <c r="A5" s="2911"/>
      <c r="B5" s="2293">
        <v>1</v>
      </c>
      <c r="C5" s="2298"/>
      <c r="D5" s="2291"/>
      <c r="E5" s="2291"/>
      <c r="F5" s="2291">
        <f>+(B5*10+C5-(B4*10+C4))/2</f>
        <v>5</v>
      </c>
      <c r="G5" s="2290">
        <f t="shared" ref="G5:G42" si="0">+(D5+D4)*$F5</f>
        <v>0</v>
      </c>
      <c r="H5" s="2290">
        <f t="shared" ref="H5:H42" si="1">+(E5+E4)*$F5</f>
        <v>0</v>
      </c>
      <c r="I5" s="2290">
        <f t="shared" ref="I5:I42" si="2">+I4+G5</f>
        <v>0</v>
      </c>
      <c r="J5" s="2294">
        <f t="shared" ref="J5:J42" si="3">+J4+H5</f>
        <v>0</v>
      </c>
    </row>
    <row r="6" spans="1:10" ht="24.75" hidden="1" customHeight="1" x14ac:dyDescent="0.15">
      <c r="A6" s="2911"/>
      <c r="B6" s="2293">
        <v>1</v>
      </c>
      <c r="C6" s="2298"/>
      <c r="D6" s="2291"/>
      <c r="E6" s="2291"/>
      <c r="F6" s="2291">
        <f>+(B6*10+C6-(B5*10+C5))/2</f>
        <v>0</v>
      </c>
      <c r="G6" s="2290">
        <f t="shared" si="0"/>
        <v>0</v>
      </c>
      <c r="H6" s="2290">
        <f t="shared" si="1"/>
        <v>0</v>
      </c>
      <c r="I6" s="2290">
        <f t="shared" si="2"/>
        <v>0</v>
      </c>
      <c r="J6" s="2294">
        <f t="shared" si="3"/>
        <v>0</v>
      </c>
    </row>
    <row r="7" spans="1:10" ht="24.75" hidden="1" customHeight="1" x14ac:dyDescent="0.15">
      <c r="A7" s="2911"/>
      <c r="B7" s="2293">
        <v>2</v>
      </c>
      <c r="C7" s="2295"/>
      <c r="D7" s="2291"/>
      <c r="E7" s="2291"/>
      <c r="F7" s="2291">
        <f>+(B7*10+C7-(B6*10+C6))/2</f>
        <v>5</v>
      </c>
      <c r="G7" s="2290">
        <f t="shared" si="0"/>
        <v>0</v>
      </c>
      <c r="H7" s="2290">
        <f t="shared" si="1"/>
        <v>0</v>
      </c>
      <c r="I7" s="2290">
        <f t="shared" si="2"/>
        <v>0</v>
      </c>
      <c r="J7" s="2294">
        <f t="shared" si="3"/>
        <v>0</v>
      </c>
    </row>
    <row r="8" spans="1:10" ht="24.75" hidden="1" customHeight="1" x14ac:dyDescent="0.15">
      <c r="A8" s="2911"/>
      <c r="B8" s="2293">
        <v>3</v>
      </c>
      <c r="C8" s="2295"/>
      <c r="D8" s="2291"/>
      <c r="E8" s="2291"/>
      <c r="F8" s="2291">
        <f>+(B8*10+C8-(B7*10+C7))/2</f>
        <v>5</v>
      </c>
      <c r="G8" s="2290">
        <f t="shared" si="0"/>
        <v>0</v>
      </c>
      <c r="H8" s="2290">
        <f t="shared" si="1"/>
        <v>0</v>
      </c>
      <c r="I8" s="2290">
        <f t="shared" si="2"/>
        <v>0</v>
      </c>
      <c r="J8" s="2294">
        <f t="shared" si="3"/>
        <v>0</v>
      </c>
    </row>
    <row r="9" spans="1:10" ht="24.75" hidden="1" customHeight="1" x14ac:dyDescent="0.15">
      <c r="A9" s="2911"/>
      <c r="B9" s="2293">
        <v>4</v>
      </c>
      <c r="C9" s="2295"/>
      <c r="D9" s="2297"/>
      <c r="E9" s="2291"/>
      <c r="F9" s="2291">
        <f>+(B9*10+C9-(B8*10+C8))/2</f>
        <v>5</v>
      </c>
      <c r="G9" s="2290">
        <f t="shared" si="0"/>
        <v>0</v>
      </c>
      <c r="H9" s="2290">
        <f t="shared" si="1"/>
        <v>0</v>
      </c>
      <c r="I9" s="2290">
        <f t="shared" si="2"/>
        <v>0</v>
      </c>
      <c r="J9" s="2294">
        <f t="shared" si="3"/>
        <v>0</v>
      </c>
    </row>
    <row r="10" spans="1:10" ht="24.75" customHeight="1" x14ac:dyDescent="0.15">
      <c r="A10" s="2911"/>
      <c r="B10" s="2293">
        <v>5</v>
      </c>
      <c r="C10" s="2295"/>
      <c r="D10" s="2296">
        <v>1.1100000000000001</v>
      </c>
      <c r="E10" s="2291">
        <v>0.25</v>
      </c>
      <c r="F10" s="2291">
        <f t="shared" ref="F10:F42" si="4">+(B10*20+C10-(B9*20+C9))/2</f>
        <v>10</v>
      </c>
      <c r="G10" s="2290">
        <f t="shared" si="0"/>
        <v>11.100000000000001</v>
      </c>
      <c r="H10" s="2290">
        <f t="shared" si="1"/>
        <v>2.5</v>
      </c>
      <c r="I10" s="2290">
        <f t="shared" si="2"/>
        <v>11.100000000000001</v>
      </c>
      <c r="J10" s="2294">
        <f t="shared" si="3"/>
        <v>2.5</v>
      </c>
    </row>
    <row r="11" spans="1:10" ht="24.75" customHeight="1" x14ac:dyDescent="0.15">
      <c r="A11" s="2911"/>
      <c r="B11" s="2293">
        <v>6</v>
      </c>
      <c r="C11" s="2295"/>
      <c r="D11" s="2296">
        <v>0.66</v>
      </c>
      <c r="E11" s="2291">
        <v>3.28</v>
      </c>
      <c r="F11" s="2291">
        <f t="shared" si="4"/>
        <v>10</v>
      </c>
      <c r="G11" s="2290">
        <f t="shared" si="0"/>
        <v>17.7</v>
      </c>
      <c r="H11" s="2290">
        <f t="shared" si="1"/>
        <v>35.299999999999997</v>
      </c>
      <c r="I11" s="2290">
        <f t="shared" si="2"/>
        <v>28.8</v>
      </c>
      <c r="J11" s="2294">
        <f t="shared" si="3"/>
        <v>37.799999999999997</v>
      </c>
    </row>
    <row r="12" spans="1:10" ht="24.75" customHeight="1" x14ac:dyDescent="0.15">
      <c r="A12" s="2911"/>
      <c r="B12" s="2293">
        <v>7</v>
      </c>
      <c r="C12" s="2295"/>
      <c r="D12" s="2291"/>
      <c r="E12" s="2296">
        <v>10.16</v>
      </c>
      <c r="F12" s="2291">
        <f t="shared" si="4"/>
        <v>10</v>
      </c>
      <c r="G12" s="2290">
        <f t="shared" si="0"/>
        <v>6.6000000000000005</v>
      </c>
      <c r="H12" s="2290">
        <f t="shared" si="1"/>
        <v>134.4</v>
      </c>
      <c r="I12" s="2290">
        <f t="shared" si="2"/>
        <v>35.4</v>
      </c>
      <c r="J12" s="2294">
        <f t="shared" si="3"/>
        <v>172.2</v>
      </c>
    </row>
    <row r="13" spans="1:10" ht="24.75" customHeight="1" x14ac:dyDescent="0.15">
      <c r="A13" s="2911"/>
      <c r="B13" s="2293">
        <v>8</v>
      </c>
      <c r="C13" s="2295"/>
      <c r="D13" s="2291">
        <v>0.99</v>
      </c>
      <c r="E13" s="2291">
        <v>8.99</v>
      </c>
      <c r="F13" s="2291">
        <f t="shared" si="4"/>
        <v>10</v>
      </c>
      <c r="G13" s="2290">
        <f t="shared" si="0"/>
        <v>9.9</v>
      </c>
      <c r="H13" s="2290">
        <f t="shared" si="1"/>
        <v>191.5</v>
      </c>
      <c r="I13" s="2290">
        <f t="shared" si="2"/>
        <v>45.3</v>
      </c>
      <c r="J13" s="2294">
        <f t="shared" si="3"/>
        <v>363.7</v>
      </c>
    </row>
    <row r="14" spans="1:10" ht="24.75" customHeight="1" x14ac:dyDescent="0.15">
      <c r="A14" s="2911"/>
      <c r="B14" s="2293">
        <v>9</v>
      </c>
      <c r="C14" s="2295"/>
      <c r="D14" s="2291">
        <v>1.1100000000000001</v>
      </c>
      <c r="E14" s="2291">
        <v>16.43</v>
      </c>
      <c r="F14" s="2291">
        <f t="shared" si="4"/>
        <v>10</v>
      </c>
      <c r="G14" s="2290">
        <f t="shared" si="0"/>
        <v>21</v>
      </c>
      <c r="H14" s="2290">
        <f t="shared" si="1"/>
        <v>254.20000000000002</v>
      </c>
      <c r="I14" s="2290">
        <f t="shared" si="2"/>
        <v>66.3</v>
      </c>
      <c r="J14" s="2294">
        <f t="shared" si="3"/>
        <v>617.9</v>
      </c>
    </row>
    <row r="15" spans="1:10" ht="24.75" customHeight="1" x14ac:dyDescent="0.15">
      <c r="A15" s="2911"/>
      <c r="B15" s="2293">
        <v>10</v>
      </c>
      <c r="C15" s="2295"/>
      <c r="D15" s="2291">
        <v>0.48</v>
      </c>
      <c r="E15" s="2291">
        <v>20.45</v>
      </c>
      <c r="F15" s="2291">
        <f t="shared" si="4"/>
        <v>10</v>
      </c>
      <c r="G15" s="2290">
        <f t="shared" si="0"/>
        <v>15.9</v>
      </c>
      <c r="H15" s="2290">
        <f t="shared" si="1"/>
        <v>368.79999999999995</v>
      </c>
      <c r="I15" s="2290">
        <f t="shared" si="2"/>
        <v>82.2</v>
      </c>
      <c r="J15" s="2294">
        <f t="shared" si="3"/>
        <v>986.69999999999993</v>
      </c>
    </row>
    <row r="16" spans="1:10" ht="24.75" customHeight="1" x14ac:dyDescent="0.15">
      <c r="A16" s="2911"/>
      <c r="B16" s="2293">
        <v>11</v>
      </c>
      <c r="C16" s="2295"/>
      <c r="D16" s="2291">
        <v>0.19</v>
      </c>
      <c r="E16" s="2291">
        <v>25.99</v>
      </c>
      <c r="F16" s="2291">
        <f t="shared" si="4"/>
        <v>10</v>
      </c>
      <c r="G16" s="2290">
        <f t="shared" si="0"/>
        <v>6.6999999999999993</v>
      </c>
      <c r="H16" s="2290">
        <f t="shared" si="1"/>
        <v>464.4</v>
      </c>
      <c r="I16" s="2290">
        <f t="shared" si="2"/>
        <v>88.9</v>
      </c>
      <c r="J16" s="2294">
        <f t="shared" si="3"/>
        <v>1451.1</v>
      </c>
    </row>
    <row r="17" spans="1:10" ht="24.75" customHeight="1" x14ac:dyDescent="0.15">
      <c r="A17" s="2911"/>
      <c r="B17" s="2293">
        <v>12</v>
      </c>
      <c r="C17" s="2292"/>
      <c r="D17" s="2291"/>
      <c r="E17" s="2291"/>
      <c r="F17" s="2291">
        <f t="shared" si="4"/>
        <v>10</v>
      </c>
      <c r="G17" s="2290">
        <f t="shared" si="0"/>
        <v>1.9</v>
      </c>
      <c r="H17" s="2290">
        <f t="shared" si="1"/>
        <v>259.89999999999998</v>
      </c>
      <c r="I17" s="2290">
        <f t="shared" si="2"/>
        <v>90.800000000000011</v>
      </c>
      <c r="J17" s="2294">
        <f t="shared" si="3"/>
        <v>1711</v>
      </c>
    </row>
    <row r="18" spans="1:10" ht="24.75" customHeight="1" x14ac:dyDescent="0.15">
      <c r="A18" s="2911"/>
      <c r="B18" s="2293">
        <v>13</v>
      </c>
      <c r="C18" s="2295"/>
      <c r="D18" s="2296">
        <v>0.18</v>
      </c>
      <c r="E18" s="2296">
        <v>7.2122999999999999</v>
      </c>
      <c r="F18" s="2291">
        <f t="shared" si="4"/>
        <v>10</v>
      </c>
      <c r="G18" s="2290">
        <f t="shared" si="0"/>
        <v>1.7999999999999998</v>
      </c>
      <c r="H18" s="2290">
        <f t="shared" si="1"/>
        <v>72.123000000000005</v>
      </c>
      <c r="I18" s="2290">
        <f t="shared" si="2"/>
        <v>92.600000000000009</v>
      </c>
      <c r="J18" s="2294">
        <f t="shared" si="3"/>
        <v>1783.123</v>
      </c>
    </row>
    <row r="19" spans="1:10" ht="24.75" customHeight="1" x14ac:dyDescent="0.15">
      <c r="A19" s="2911"/>
      <c r="B19" s="2293">
        <v>14</v>
      </c>
      <c r="C19" s="2295"/>
      <c r="D19" s="2296">
        <v>1.49</v>
      </c>
      <c r="E19" s="2296">
        <v>5.0789999999999997</v>
      </c>
      <c r="F19" s="2291">
        <f t="shared" si="4"/>
        <v>10</v>
      </c>
      <c r="G19" s="2290">
        <f t="shared" si="0"/>
        <v>16.7</v>
      </c>
      <c r="H19" s="2290">
        <f t="shared" si="1"/>
        <v>122.913</v>
      </c>
      <c r="I19" s="2290">
        <f t="shared" si="2"/>
        <v>109.30000000000001</v>
      </c>
      <c r="J19" s="2294">
        <f t="shared" si="3"/>
        <v>1906.0360000000001</v>
      </c>
    </row>
    <row r="20" spans="1:10" ht="24.75" customHeight="1" x14ac:dyDescent="0.15">
      <c r="A20" s="2911"/>
      <c r="B20" s="2293">
        <v>15</v>
      </c>
      <c r="C20" s="2295"/>
      <c r="D20" s="2291">
        <v>0.11</v>
      </c>
      <c r="E20" s="2296">
        <v>11.05</v>
      </c>
      <c r="F20" s="2291">
        <f t="shared" si="4"/>
        <v>10</v>
      </c>
      <c r="G20" s="2290">
        <f t="shared" si="0"/>
        <v>16</v>
      </c>
      <c r="H20" s="2290">
        <f t="shared" si="1"/>
        <v>161.29000000000002</v>
      </c>
      <c r="I20" s="2290">
        <f t="shared" si="2"/>
        <v>125.30000000000001</v>
      </c>
      <c r="J20" s="2294">
        <f t="shared" si="3"/>
        <v>2067.326</v>
      </c>
    </row>
    <row r="21" spans="1:10" ht="24.75" customHeight="1" x14ac:dyDescent="0.15">
      <c r="A21" s="2911"/>
      <c r="B21" s="2293">
        <v>16</v>
      </c>
      <c r="C21" s="2295"/>
      <c r="D21" s="2291"/>
      <c r="E21" s="2296">
        <v>16.25</v>
      </c>
      <c r="F21" s="2291">
        <f t="shared" si="4"/>
        <v>10</v>
      </c>
      <c r="G21" s="2290">
        <f t="shared" si="0"/>
        <v>1.1000000000000001</v>
      </c>
      <c r="H21" s="2290">
        <f t="shared" si="1"/>
        <v>273</v>
      </c>
      <c r="I21" s="2290">
        <f t="shared" si="2"/>
        <v>126.4</v>
      </c>
      <c r="J21" s="2294">
        <f t="shared" si="3"/>
        <v>2340.326</v>
      </c>
    </row>
    <row r="22" spans="1:10" ht="24.75" customHeight="1" x14ac:dyDescent="0.15">
      <c r="A22" s="2911"/>
      <c r="B22" s="2293">
        <v>17</v>
      </c>
      <c r="C22" s="2295"/>
      <c r="D22" s="2296"/>
      <c r="E22" s="2291">
        <v>16.71</v>
      </c>
      <c r="F22" s="2291">
        <f t="shared" si="4"/>
        <v>10</v>
      </c>
      <c r="G22" s="2290">
        <f t="shared" si="0"/>
        <v>0</v>
      </c>
      <c r="H22" s="2290">
        <f t="shared" si="1"/>
        <v>329.6</v>
      </c>
      <c r="I22" s="2290">
        <f t="shared" si="2"/>
        <v>126.4</v>
      </c>
      <c r="J22" s="2294">
        <f t="shared" si="3"/>
        <v>2669.9259999999999</v>
      </c>
    </row>
    <row r="23" spans="1:10" ht="24.75" customHeight="1" x14ac:dyDescent="0.15">
      <c r="A23" s="2911"/>
      <c r="B23" s="2293">
        <v>18</v>
      </c>
      <c r="C23" s="2295"/>
      <c r="D23" s="2291"/>
      <c r="E23" s="2291">
        <v>16.55</v>
      </c>
      <c r="F23" s="2291">
        <f t="shared" si="4"/>
        <v>10</v>
      </c>
      <c r="G23" s="2290">
        <f t="shared" si="0"/>
        <v>0</v>
      </c>
      <c r="H23" s="2290">
        <f t="shared" si="1"/>
        <v>332.6</v>
      </c>
      <c r="I23" s="2290">
        <f t="shared" si="2"/>
        <v>126.4</v>
      </c>
      <c r="J23" s="2294">
        <f t="shared" si="3"/>
        <v>3002.5259999999998</v>
      </c>
    </row>
    <row r="24" spans="1:10" ht="24.75" customHeight="1" x14ac:dyDescent="0.15">
      <c r="A24" s="2911"/>
      <c r="B24" s="2293">
        <v>19</v>
      </c>
      <c r="C24" s="2295"/>
      <c r="D24" s="2291"/>
      <c r="E24" s="2291">
        <v>16.82</v>
      </c>
      <c r="F24" s="2291">
        <f t="shared" si="4"/>
        <v>10</v>
      </c>
      <c r="G24" s="2290">
        <f t="shared" si="0"/>
        <v>0</v>
      </c>
      <c r="H24" s="2290">
        <f t="shared" si="1"/>
        <v>333.70000000000005</v>
      </c>
      <c r="I24" s="2290">
        <f t="shared" si="2"/>
        <v>126.4</v>
      </c>
      <c r="J24" s="2294">
        <f t="shared" si="3"/>
        <v>3336.2259999999997</v>
      </c>
    </row>
    <row r="25" spans="1:10" ht="24.75" customHeight="1" x14ac:dyDescent="0.15">
      <c r="A25" s="2911"/>
      <c r="B25" s="2293">
        <v>20</v>
      </c>
      <c r="C25" s="2295"/>
      <c r="D25" s="2291"/>
      <c r="E25" s="2296">
        <v>17.66</v>
      </c>
      <c r="F25" s="2291">
        <f t="shared" si="4"/>
        <v>10</v>
      </c>
      <c r="G25" s="2290">
        <f t="shared" si="0"/>
        <v>0</v>
      </c>
      <c r="H25" s="2290">
        <f t="shared" si="1"/>
        <v>344.80000000000007</v>
      </c>
      <c r="I25" s="2290">
        <f t="shared" si="2"/>
        <v>126.4</v>
      </c>
      <c r="J25" s="2294">
        <f t="shared" si="3"/>
        <v>3681.0259999999998</v>
      </c>
    </row>
    <row r="26" spans="1:10" ht="24.75" customHeight="1" x14ac:dyDescent="0.15">
      <c r="A26" s="2911"/>
      <c r="B26" s="2293">
        <v>21</v>
      </c>
      <c r="C26" s="2295"/>
      <c r="D26" s="2291">
        <v>0.27</v>
      </c>
      <c r="E26" s="2291">
        <v>17.940000000000001</v>
      </c>
      <c r="F26" s="2291">
        <f t="shared" si="4"/>
        <v>10</v>
      </c>
      <c r="G26" s="2290">
        <f t="shared" si="0"/>
        <v>2.7</v>
      </c>
      <c r="H26" s="2290">
        <f t="shared" si="1"/>
        <v>356</v>
      </c>
      <c r="I26" s="2290">
        <f t="shared" si="2"/>
        <v>129.1</v>
      </c>
      <c r="J26" s="2294">
        <f t="shared" si="3"/>
        <v>4037.0259999999998</v>
      </c>
    </row>
    <row r="27" spans="1:10" ht="24.75" customHeight="1" x14ac:dyDescent="0.15">
      <c r="A27" s="2911"/>
      <c r="B27" s="2293">
        <v>22</v>
      </c>
      <c r="C27" s="2292"/>
      <c r="D27" s="2291"/>
      <c r="E27" s="2291">
        <v>18.45</v>
      </c>
      <c r="F27" s="2291">
        <f t="shared" si="4"/>
        <v>10</v>
      </c>
      <c r="G27" s="2290">
        <f t="shared" si="0"/>
        <v>2.7</v>
      </c>
      <c r="H27" s="2290">
        <f t="shared" si="1"/>
        <v>363.9</v>
      </c>
      <c r="I27" s="2290">
        <f t="shared" si="2"/>
        <v>131.79999999999998</v>
      </c>
      <c r="J27" s="2294">
        <f t="shared" si="3"/>
        <v>4400.9259999999995</v>
      </c>
    </row>
    <row r="28" spans="1:10" ht="24.75" customHeight="1" x14ac:dyDescent="0.15">
      <c r="A28" s="2911"/>
      <c r="B28" s="2293">
        <v>23</v>
      </c>
      <c r="C28" s="2295"/>
      <c r="D28" s="2291"/>
      <c r="E28" s="2291">
        <v>14.86</v>
      </c>
      <c r="F28" s="2291">
        <f t="shared" si="4"/>
        <v>10</v>
      </c>
      <c r="G28" s="2290">
        <f t="shared" si="0"/>
        <v>0</v>
      </c>
      <c r="H28" s="2290">
        <f t="shared" si="1"/>
        <v>333.1</v>
      </c>
      <c r="I28" s="2290">
        <f t="shared" si="2"/>
        <v>131.79999999999998</v>
      </c>
      <c r="J28" s="2294">
        <f t="shared" si="3"/>
        <v>4734.0259999999998</v>
      </c>
    </row>
    <row r="29" spans="1:10" ht="24.75" customHeight="1" x14ac:dyDescent="0.15">
      <c r="A29" s="2911"/>
      <c r="B29" s="2293">
        <v>24</v>
      </c>
      <c r="C29" s="2295"/>
      <c r="D29" s="2291"/>
      <c r="E29" s="2291">
        <v>18.059999999999999</v>
      </c>
      <c r="F29" s="2291">
        <f t="shared" si="4"/>
        <v>10</v>
      </c>
      <c r="G29" s="2290">
        <f t="shared" si="0"/>
        <v>0</v>
      </c>
      <c r="H29" s="2290">
        <f t="shared" si="1"/>
        <v>329.20000000000005</v>
      </c>
      <c r="I29" s="2290">
        <f t="shared" si="2"/>
        <v>131.79999999999998</v>
      </c>
      <c r="J29" s="2294">
        <f t="shared" si="3"/>
        <v>5063.2259999999997</v>
      </c>
    </row>
    <row r="30" spans="1:10" ht="24.75" customHeight="1" x14ac:dyDescent="0.15">
      <c r="A30" s="2911"/>
      <c r="B30" s="2293">
        <v>25</v>
      </c>
      <c r="C30" s="2295"/>
      <c r="D30" s="2291"/>
      <c r="E30" s="2296">
        <v>18.41</v>
      </c>
      <c r="F30" s="2291">
        <f t="shared" si="4"/>
        <v>10</v>
      </c>
      <c r="G30" s="2290">
        <f t="shared" si="0"/>
        <v>0</v>
      </c>
      <c r="H30" s="2290">
        <f t="shared" si="1"/>
        <v>364.7</v>
      </c>
      <c r="I30" s="2290">
        <f t="shared" si="2"/>
        <v>131.79999999999998</v>
      </c>
      <c r="J30" s="2294">
        <f t="shared" si="3"/>
        <v>5427.9259999999995</v>
      </c>
    </row>
    <row r="31" spans="1:10" ht="24.75" customHeight="1" x14ac:dyDescent="0.15">
      <c r="A31" s="2911"/>
      <c r="B31" s="2293">
        <v>26</v>
      </c>
      <c r="C31" s="2295"/>
      <c r="D31" s="2291"/>
      <c r="E31" s="2291">
        <v>17.29</v>
      </c>
      <c r="F31" s="2291">
        <f t="shared" si="4"/>
        <v>10</v>
      </c>
      <c r="G31" s="2290">
        <f t="shared" si="0"/>
        <v>0</v>
      </c>
      <c r="H31" s="2290">
        <f t="shared" si="1"/>
        <v>357</v>
      </c>
      <c r="I31" s="2290">
        <f t="shared" si="2"/>
        <v>131.79999999999998</v>
      </c>
      <c r="J31" s="2294">
        <f t="shared" si="3"/>
        <v>5784.9259999999995</v>
      </c>
    </row>
    <row r="32" spans="1:10" ht="24.75" customHeight="1" x14ac:dyDescent="0.15">
      <c r="A32" s="2911"/>
      <c r="B32" s="2293">
        <v>27</v>
      </c>
      <c r="C32" s="2292"/>
      <c r="D32" s="2291"/>
      <c r="E32" s="2291">
        <v>15.06</v>
      </c>
      <c r="F32" s="2291">
        <f t="shared" si="4"/>
        <v>10</v>
      </c>
      <c r="G32" s="2290">
        <f t="shared" si="0"/>
        <v>0</v>
      </c>
      <c r="H32" s="2290">
        <f t="shared" si="1"/>
        <v>323.5</v>
      </c>
      <c r="I32" s="2290">
        <f t="shared" si="2"/>
        <v>131.79999999999998</v>
      </c>
      <c r="J32" s="2294">
        <f t="shared" si="3"/>
        <v>6108.4259999999995</v>
      </c>
    </row>
    <row r="33" spans="1:11" ht="24.75" customHeight="1" x14ac:dyDescent="0.15">
      <c r="A33" s="2911"/>
      <c r="B33" s="2293">
        <v>28</v>
      </c>
      <c r="C33" s="2295"/>
      <c r="D33" s="2291"/>
      <c r="E33" s="2291">
        <v>15.18</v>
      </c>
      <c r="F33" s="2291">
        <f t="shared" si="4"/>
        <v>10</v>
      </c>
      <c r="G33" s="2290">
        <f t="shared" si="0"/>
        <v>0</v>
      </c>
      <c r="H33" s="2290">
        <f t="shared" si="1"/>
        <v>302.40000000000003</v>
      </c>
      <c r="I33" s="2290">
        <f t="shared" si="2"/>
        <v>131.79999999999998</v>
      </c>
      <c r="J33" s="2294">
        <f t="shared" si="3"/>
        <v>6410.8259999999991</v>
      </c>
    </row>
    <row r="34" spans="1:11" ht="24.75" customHeight="1" x14ac:dyDescent="0.15">
      <c r="A34" s="2911"/>
      <c r="B34" s="2293">
        <v>28</v>
      </c>
      <c r="C34" s="2295">
        <v>10.362</v>
      </c>
      <c r="D34" s="2291">
        <v>7.0000000000000007E-2</v>
      </c>
      <c r="E34" s="2291">
        <v>9.66</v>
      </c>
      <c r="F34" s="2291">
        <f t="shared" si="4"/>
        <v>5.1809999999999832</v>
      </c>
      <c r="G34" s="2290">
        <f t="shared" si="0"/>
        <v>0.36266999999999888</v>
      </c>
      <c r="H34" s="2290">
        <f t="shared" si="1"/>
        <v>128.69603999999958</v>
      </c>
      <c r="I34" s="2290">
        <f t="shared" si="2"/>
        <v>132.16266999999999</v>
      </c>
      <c r="J34" s="2294">
        <f t="shared" si="3"/>
        <v>6539.5220399999989</v>
      </c>
    </row>
    <row r="35" spans="1:11" ht="24.75" customHeight="1" x14ac:dyDescent="0.15">
      <c r="A35" s="2911"/>
      <c r="B35" s="2293">
        <v>29</v>
      </c>
      <c r="C35" s="2295"/>
      <c r="D35" s="2291">
        <v>0</v>
      </c>
      <c r="E35" s="2296"/>
      <c r="F35" s="2291">
        <f t="shared" si="4"/>
        <v>4.8190000000000168</v>
      </c>
      <c r="G35" s="2290">
        <f t="shared" si="0"/>
        <v>0.33733000000000118</v>
      </c>
      <c r="H35" s="2290">
        <f t="shared" si="1"/>
        <v>46.551540000000166</v>
      </c>
      <c r="I35" s="2290">
        <f t="shared" si="2"/>
        <v>132.5</v>
      </c>
      <c r="J35" s="2294">
        <f t="shared" si="3"/>
        <v>6586.0735799999993</v>
      </c>
    </row>
    <row r="36" spans="1:11" ht="24.75" customHeight="1" x14ac:dyDescent="0.15">
      <c r="A36" s="2911"/>
      <c r="B36" s="2293">
        <v>30</v>
      </c>
      <c r="C36" s="2295"/>
      <c r="D36" s="2291">
        <v>1.9</v>
      </c>
      <c r="E36" s="2291">
        <v>11.56</v>
      </c>
      <c r="F36" s="2291">
        <f t="shared" si="4"/>
        <v>10</v>
      </c>
      <c r="G36" s="2290">
        <f t="shared" si="0"/>
        <v>19</v>
      </c>
      <c r="H36" s="2290">
        <f t="shared" si="1"/>
        <v>115.60000000000001</v>
      </c>
      <c r="I36" s="2290">
        <f t="shared" si="2"/>
        <v>151.5</v>
      </c>
      <c r="J36" s="2294">
        <f t="shared" si="3"/>
        <v>6701.6735799999997</v>
      </c>
    </row>
    <row r="37" spans="1:11" ht="24.75" customHeight="1" x14ac:dyDescent="0.15">
      <c r="A37" s="2911"/>
      <c r="B37" s="2293">
        <v>31</v>
      </c>
      <c r="C37" s="2295"/>
      <c r="D37" s="2291">
        <v>0.67</v>
      </c>
      <c r="E37" s="2291">
        <v>22.27</v>
      </c>
      <c r="F37" s="2291">
        <f t="shared" si="4"/>
        <v>10</v>
      </c>
      <c r="G37" s="2290">
        <f t="shared" si="0"/>
        <v>25.7</v>
      </c>
      <c r="H37" s="2290">
        <f t="shared" si="1"/>
        <v>338.29999999999995</v>
      </c>
      <c r="I37" s="2290">
        <f t="shared" si="2"/>
        <v>177.2</v>
      </c>
      <c r="J37" s="2294">
        <f t="shared" si="3"/>
        <v>7039.9735799999999</v>
      </c>
    </row>
    <row r="38" spans="1:11" ht="24.75" customHeight="1" x14ac:dyDescent="0.15">
      <c r="A38" s="2911"/>
      <c r="B38" s="2293">
        <v>32</v>
      </c>
      <c r="C38" s="2295"/>
      <c r="D38" s="2291">
        <v>1.34</v>
      </c>
      <c r="E38" s="2291">
        <v>15.86</v>
      </c>
      <c r="F38" s="2291">
        <f t="shared" si="4"/>
        <v>10</v>
      </c>
      <c r="G38" s="2290">
        <f t="shared" si="0"/>
        <v>20.100000000000001</v>
      </c>
      <c r="H38" s="2290">
        <f t="shared" si="1"/>
        <v>381.29999999999995</v>
      </c>
      <c r="I38" s="2290">
        <f t="shared" si="2"/>
        <v>197.29999999999998</v>
      </c>
      <c r="J38" s="2294">
        <f t="shared" si="3"/>
        <v>7421.27358</v>
      </c>
    </row>
    <row r="39" spans="1:11" ht="24.75" customHeight="1" x14ac:dyDescent="0.15">
      <c r="A39" s="2911"/>
      <c r="B39" s="2293">
        <v>33</v>
      </c>
      <c r="C39" s="2295"/>
      <c r="D39" s="2291">
        <v>0.87</v>
      </c>
      <c r="E39" s="2291">
        <v>17.079999999999998</v>
      </c>
      <c r="F39" s="2291">
        <f t="shared" si="4"/>
        <v>10</v>
      </c>
      <c r="G39" s="2290">
        <f t="shared" si="0"/>
        <v>22.1</v>
      </c>
      <c r="H39" s="2290">
        <f t="shared" si="1"/>
        <v>329.4</v>
      </c>
      <c r="I39" s="2290">
        <f t="shared" si="2"/>
        <v>219.39999999999998</v>
      </c>
      <c r="J39" s="2294">
        <f t="shared" si="3"/>
        <v>7750.6735799999997</v>
      </c>
    </row>
    <row r="40" spans="1:11" ht="24.75" customHeight="1" x14ac:dyDescent="0.15">
      <c r="A40" s="2911"/>
      <c r="B40" s="2293">
        <v>34</v>
      </c>
      <c r="C40" s="2295"/>
      <c r="D40" s="2291">
        <v>0.4</v>
      </c>
      <c r="E40" s="2291">
        <v>12.02</v>
      </c>
      <c r="F40" s="2291">
        <f t="shared" si="4"/>
        <v>10</v>
      </c>
      <c r="G40" s="2290">
        <f t="shared" si="0"/>
        <v>12.7</v>
      </c>
      <c r="H40" s="2290">
        <f t="shared" si="1"/>
        <v>291</v>
      </c>
      <c r="I40" s="2290">
        <f t="shared" si="2"/>
        <v>232.09999999999997</v>
      </c>
      <c r="J40" s="2294">
        <f t="shared" si="3"/>
        <v>8041.6735799999997</v>
      </c>
    </row>
    <row r="41" spans="1:11" ht="24.75" customHeight="1" x14ac:dyDescent="0.15">
      <c r="A41" s="2911"/>
      <c r="B41" s="2293">
        <v>35</v>
      </c>
      <c r="C41" s="2292"/>
      <c r="D41" s="2291"/>
      <c r="E41" s="2291">
        <v>4.09</v>
      </c>
      <c r="F41" s="2291">
        <f t="shared" si="4"/>
        <v>10</v>
      </c>
      <c r="G41" s="2290">
        <f t="shared" si="0"/>
        <v>4</v>
      </c>
      <c r="H41" s="2290">
        <f t="shared" si="1"/>
        <v>161.1</v>
      </c>
      <c r="I41" s="2290">
        <f t="shared" si="2"/>
        <v>236.09999999999997</v>
      </c>
      <c r="J41" s="2294">
        <f t="shared" si="3"/>
        <v>8202.7735799999991</v>
      </c>
    </row>
    <row r="42" spans="1:11" ht="24.75" customHeight="1" x14ac:dyDescent="0.15">
      <c r="A42" s="2911"/>
      <c r="B42" s="2293">
        <v>36</v>
      </c>
      <c r="C42" s="2292"/>
      <c r="D42" s="2291"/>
      <c r="E42" s="2291">
        <v>1.34</v>
      </c>
      <c r="F42" s="2291">
        <f t="shared" si="4"/>
        <v>10</v>
      </c>
      <c r="G42" s="2290">
        <f t="shared" si="0"/>
        <v>0</v>
      </c>
      <c r="H42" s="2290">
        <f t="shared" si="1"/>
        <v>54.3</v>
      </c>
      <c r="I42" s="2307">
        <f t="shared" si="2"/>
        <v>236.09999999999997</v>
      </c>
      <c r="J42" s="2308">
        <f t="shared" si="3"/>
        <v>8257.0735799999984</v>
      </c>
    </row>
    <row r="43" spans="1:11" ht="23.25" customHeight="1" thickBot="1" x14ac:dyDescent="0.2">
      <c r="A43" s="2912"/>
      <c r="B43" s="2289" t="s">
        <v>2685</v>
      </c>
      <c r="C43" s="2288"/>
      <c r="D43" s="2288"/>
      <c r="E43" s="2288"/>
      <c r="F43" s="2288"/>
      <c r="G43" s="2288"/>
      <c r="H43" s="2288"/>
      <c r="I43" s="2288"/>
      <c r="J43" s="2287"/>
      <c r="K43" s="2286"/>
    </row>
    <row r="44" spans="1:11" ht="15.75" thickTop="1" x14ac:dyDescent="0.15"/>
  </sheetData>
  <mergeCells count="7">
    <mergeCell ref="B1:J1"/>
    <mergeCell ref="I2:J2"/>
    <mergeCell ref="A2:A43"/>
    <mergeCell ref="B2:C2"/>
    <mergeCell ref="D2:E2"/>
    <mergeCell ref="F2:F3"/>
    <mergeCell ref="G2:H2"/>
  </mergeCells>
  <printOptions horizontalCentered="1"/>
  <pageMargins left="0.39370078740157483" right="0.39370078740157483" top="0.39370078740157483" bottom="0.59055118110236227" header="0.31496062992125984" footer="0.23622047244094491"/>
  <pageSetup paperSize="9" scale="60" fitToWidth="5" orientation="landscape" r:id="rId1"/>
  <headerFooter>
    <oddFooter>&amp;L&amp;"Arial,Normal"&amp;8&amp;F&amp;C&amp;"Arial,Normal"&amp;8&amp;P / &amp;N&amp;R&amp;"Cambria,Regular"&amp;8Ricardo Schettini Figueiredo&amp;10
&amp;8Eng. Civil - CREA-RJ 52.656/D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39" filterMode="1"/>
  <dimension ref="A1:S403"/>
  <sheetViews>
    <sheetView showZeros="0" zoomScaleNormal="100" zoomScaleSheetLayoutView="85" workbookViewId="0">
      <pane xSplit="6" ySplit="1" topLeftCell="G2" activePane="bottomRight" state="frozenSplit"/>
      <selection activeCell="D18" sqref="B13:I28"/>
      <selection pane="topRight" activeCell="D18" sqref="B13:I28"/>
      <selection pane="bottomLeft" activeCell="D18" sqref="B13:I28"/>
      <selection pane="bottomRight" activeCell="G2" sqref="G2:G3"/>
    </sheetView>
  </sheetViews>
  <sheetFormatPr defaultColWidth="9" defaultRowHeight="12.75" x14ac:dyDescent="0.15"/>
  <cols>
    <col min="1" max="1" width="9.75" style="1871" customWidth="1"/>
    <col min="2" max="3" width="22.625" style="1871" customWidth="1"/>
    <col min="4" max="4" width="31.125" style="1874" customWidth="1"/>
    <col min="5" max="5" width="6.125" style="1873" hidden="1" customWidth="1"/>
    <col min="6" max="6" width="20.375" style="1871" hidden="1" customWidth="1"/>
    <col min="7" max="12" width="12.625" style="1871" customWidth="1"/>
    <col min="13" max="13" width="12.625" style="1871" hidden="1" customWidth="1"/>
    <col min="14" max="14" width="12.625" style="1872" customWidth="1"/>
    <col min="15" max="15" width="13.25" style="1871" customWidth="1"/>
    <col min="16" max="16384" width="9" style="1871"/>
  </cols>
  <sheetData>
    <row r="1" spans="1:19" s="1899" customFormat="1" ht="60" customHeight="1" thickTop="1" thickBot="1" x14ac:dyDescent="0.2">
      <c r="A1" s="2967" t="s">
        <v>350</v>
      </c>
      <c r="B1" s="2765" t="s">
        <v>348</v>
      </c>
      <c r="C1" s="2765"/>
      <c r="D1" s="2765"/>
      <c r="E1" s="2970" t="s">
        <v>587</v>
      </c>
      <c r="F1" s="2970"/>
      <c r="G1" s="1933" t="str">
        <f>+Pav_Dados!G1</f>
        <v>Rua Maria Anunciação Rodrigues</v>
      </c>
      <c r="H1" s="1933" t="str">
        <f>+Pav_Dados!H1</f>
        <v>Rua Olinda Garcia de Oliveira / Rua João Trivellato</v>
      </c>
      <c r="I1" s="1933" t="str">
        <f>+Pav_Dados!I1</f>
        <v>Rua Clelia Santos da Rosa</v>
      </c>
      <c r="J1" s="1933" t="str">
        <f>+Pav_Dados!J1</f>
        <v>Rua Escobar Nunes</v>
      </c>
      <c r="K1" s="1933" t="str">
        <f>+Pav_Dados!K1</f>
        <v>Rua Ronald de Carvalho</v>
      </c>
      <c r="L1" s="1933" t="str">
        <f>+Pav_Dados!L1</f>
        <v>Rua Paulo Soares Valentin / Rua Michel Calarge</v>
      </c>
      <c r="M1" s="1933"/>
      <c r="N1" s="1932" t="s">
        <v>0</v>
      </c>
      <c r="O1" s="577" t="s">
        <v>693</v>
      </c>
    </row>
    <row r="2" spans="1:19" ht="19.5" customHeight="1" thickTop="1" x14ac:dyDescent="0.15">
      <c r="A2" s="2968"/>
      <c r="B2" s="2945" t="s">
        <v>2427</v>
      </c>
      <c r="C2" s="1931" t="s">
        <v>339</v>
      </c>
      <c r="D2" s="1941">
        <v>0.28000000000000003</v>
      </c>
      <c r="E2" s="1894" t="s">
        <v>1064</v>
      </c>
      <c r="F2" s="1928"/>
      <c r="G2" s="2925">
        <v>2</v>
      </c>
      <c r="H2" s="2925">
        <v>2</v>
      </c>
      <c r="I2" s="2925">
        <f>3+1</f>
        <v>4</v>
      </c>
      <c r="J2" s="2925">
        <v>2</v>
      </c>
      <c r="K2" s="2925">
        <v>1</v>
      </c>
      <c r="L2" s="2925"/>
      <c r="M2" s="2925"/>
      <c r="N2" s="2966">
        <f>+TRUNC(+SUM(G2:M3),2)</f>
        <v>11</v>
      </c>
      <c r="O2" s="578">
        <f>SUM(G2:N2)</f>
        <v>22</v>
      </c>
      <c r="Q2" s="1899"/>
      <c r="R2" s="1899"/>
      <c r="S2" s="1899"/>
    </row>
    <row r="3" spans="1:19" ht="49.5" x14ac:dyDescent="0.15">
      <c r="A3" s="2968"/>
      <c r="B3" s="2946"/>
      <c r="C3" s="1893" t="s">
        <v>581</v>
      </c>
      <c r="D3" s="1944"/>
      <c r="E3" s="1897" t="s">
        <v>1064</v>
      </c>
      <c r="F3" s="1904"/>
      <c r="G3" s="2921"/>
      <c r="H3" s="2921"/>
      <c r="I3" s="2921"/>
      <c r="J3" s="2921"/>
      <c r="K3" s="2921"/>
      <c r="L3" s="2921"/>
      <c r="M3" s="2921"/>
      <c r="N3" s="2927"/>
      <c r="O3" s="579">
        <f>+O2</f>
        <v>22</v>
      </c>
      <c r="Q3" s="1899"/>
      <c r="R3" s="1899"/>
      <c r="S3" s="1899"/>
    </row>
    <row r="4" spans="1:19" ht="18.75" hidden="1" x14ac:dyDescent="0.15">
      <c r="A4" s="2968"/>
      <c r="B4" s="2947"/>
      <c r="C4" s="1930" t="s">
        <v>339</v>
      </c>
      <c r="D4" s="1942">
        <v>0.25</v>
      </c>
      <c r="E4" s="1894" t="s">
        <v>1064</v>
      </c>
      <c r="F4" s="1904"/>
      <c r="G4" s="2920"/>
      <c r="H4" s="2920"/>
      <c r="I4" s="2920"/>
      <c r="J4" s="2920"/>
      <c r="K4" s="2920"/>
      <c r="L4" s="2920"/>
      <c r="M4" s="2920"/>
      <c r="N4" s="2926">
        <f>+TRUNC(+SUM(G4:M5),2)</f>
        <v>0</v>
      </c>
      <c r="O4" s="578">
        <f>SUM(G4:N4)</f>
        <v>0</v>
      </c>
      <c r="Q4" s="1899"/>
      <c r="R4" s="1899"/>
      <c r="S4" s="1899"/>
    </row>
    <row r="5" spans="1:19" ht="49.5" hidden="1" x14ac:dyDescent="0.15">
      <c r="A5" s="2968"/>
      <c r="B5" s="2947"/>
      <c r="C5" s="1893" t="s">
        <v>762</v>
      </c>
      <c r="D5" s="1944"/>
      <c r="E5" s="1897" t="s">
        <v>1064</v>
      </c>
      <c r="F5" s="1928"/>
      <c r="G5" s="2921"/>
      <c r="H5" s="2921"/>
      <c r="I5" s="2921"/>
      <c r="J5" s="2921"/>
      <c r="K5" s="2921"/>
      <c r="L5" s="2921"/>
      <c r="M5" s="2921"/>
      <c r="N5" s="2927"/>
      <c r="O5" s="579">
        <f>+O4</f>
        <v>0</v>
      </c>
      <c r="Q5" s="1899"/>
      <c r="R5" s="1899"/>
      <c r="S5" s="1899"/>
    </row>
    <row r="6" spans="1:19" ht="18.75" hidden="1" x14ac:dyDescent="0.15">
      <c r="A6" s="2968"/>
      <c r="B6" s="2947"/>
      <c r="C6" s="1930" t="s">
        <v>339</v>
      </c>
      <c r="D6" s="1942">
        <v>0.28000000000000003</v>
      </c>
      <c r="E6" s="1894" t="s">
        <v>1064</v>
      </c>
      <c r="F6" s="1904"/>
      <c r="G6" s="2920"/>
      <c r="H6" s="2920"/>
      <c r="I6" s="2920"/>
      <c r="J6" s="2920"/>
      <c r="K6" s="2920"/>
      <c r="L6" s="2920"/>
      <c r="M6" s="2920"/>
      <c r="N6" s="2926">
        <f>+TRUNC(+SUM(G6:M7),2)</f>
        <v>0</v>
      </c>
      <c r="O6" s="578">
        <f>SUM(G6:N6)</f>
        <v>0</v>
      </c>
      <c r="Q6" s="1899"/>
      <c r="R6" s="1899"/>
      <c r="S6" s="1899"/>
    </row>
    <row r="7" spans="1:19" ht="49.5" hidden="1" x14ac:dyDescent="0.15">
      <c r="A7" s="2968"/>
      <c r="B7" s="2947"/>
      <c r="C7" s="1893" t="s">
        <v>2382</v>
      </c>
      <c r="D7" s="1944"/>
      <c r="E7" s="1897" t="s">
        <v>1064</v>
      </c>
      <c r="F7" s="1928"/>
      <c r="G7" s="2921"/>
      <c r="H7" s="2921"/>
      <c r="I7" s="2921"/>
      <c r="J7" s="2921"/>
      <c r="K7" s="2921"/>
      <c r="L7" s="2921"/>
      <c r="M7" s="2921"/>
      <c r="N7" s="2927"/>
      <c r="O7" s="579">
        <f>+O6</f>
        <v>0</v>
      </c>
      <c r="Q7" s="1899"/>
      <c r="R7" s="1899"/>
      <c r="S7" s="1899"/>
    </row>
    <row r="8" spans="1:19" ht="18.75" hidden="1" x14ac:dyDescent="0.15">
      <c r="A8" s="2968"/>
      <c r="B8" s="2947"/>
      <c r="C8" s="1930" t="s">
        <v>339</v>
      </c>
      <c r="D8" s="1942">
        <v>0.28000000000000003</v>
      </c>
      <c r="E8" s="1894" t="s">
        <v>1064</v>
      </c>
      <c r="F8" s="1904"/>
      <c r="G8" s="2920"/>
      <c r="H8" s="2920"/>
      <c r="I8" s="2920"/>
      <c r="J8" s="2920"/>
      <c r="K8" s="2920"/>
      <c r="L8" s="2920"/>
      <c r="M8" s="2920"/>
      <c r="N8" s="2926">
        <f>+TRUNC(+SUM(G8:M9),2)</f>
        <v>0</v>
      </c>
      <c r="O8" s="578">
        <f>SUM(G8:N8)</f>
        <v>0</v>
      </c>
      <c r="Q8" s="1899"/>
      <c r="R8" s="1899"/>
      <c r="S8" s="1899"/>
    </row>
    <row r="9" spans="1:19" ht="49.5" hidden="1" x14ac:dyDescent="0.15">
      <c r="A9" s="2968"/>
      <c r="B9" s="2947"/>
      <c r="C9" s="1893" t="s">
        <v>2381</v>
      </c>
      <c r="D9" s="1944"/>
      <c r="E9" s="1897" t="s">
        <v>1064</v>
      </c>
      <c r="F9" s="1928"/>
      <c r="G9" s="2921"/>
      <c r="H9" s="2921"/>
      <c r="I9" s="2921"/>
      <c r="J9" s="2921"/>
      <c r="K9" s="2921"/>
      <c r="L9" s="2921"/>
      <c r="M9" s="2921"/>
      <c r="N9" s="2927"/>
      <c r="O9" s="579">
        <f>+O8</f>
        <v>0</v>
      </c>
      <c r="Q9" s="1899"/>
      <c r="R9" s="1899"/>
      <c r="S9" s="1899"/>
    </row>
    <row r="10" spans="1:19" ht="18.75" hidden="1" x14ac:dyDescent="0.15">
      <c r="A10" s="2968"/>
      <c r="B10" s="2947"/>
      <c r="C10" s="1930" t="s">
        <v>339</v>
      </c>
      <c r="D10" s="1942">
        <v>0.28000000000000003</v>
      </c>
      <c r="E10" s="1894" t="s">
        <v>1064</v>
      </c>
      <c r="F10" s="1904"/>
      <c r="G10" s="2920"/>
      <c r="H10" s="2920"/>
      <c r="I10" s="2920"/>
      <c r="J10" s="2920"/>
      <c r="K10" s="2920"/>
      <c r="L10" s="2920"/>
      <c r="M10" s="2920"/>
      <c r="N10" s="2926">
        <f>+TRUNC(+SUM(G10:M11),2)</f>
        <v>0</v>
      </c>
      <c r="O10" s="578">
        <f>SUM(G10:N10)</f>
        <v>0</v>
      </c>
      <c r="Q10" s="1899"/>
      <c r="R10" s="1899"/>
      <c r="S10" s="1899"/>
    </row>
    <row r="11" spans="1:19" ht="49.5" hidden="1" x14ac:dyDescent="0.15">
      <c r="A11" s="2968"/>
      <c r="B11" s="2947"/>
      <c r="C11" s="1893" t="s">
        <v>2380</v>
      </c>
      <c r="D11" s="1944"/>
      <c r="E11" s="1897" t="s">
        <v>1064</v>
      </c>
      <c r="F11" s="1928"/>
      <c r="G11" s="2921"/>
      <c r="H11" s="2921"/>
      <c r="I11" s="2921"/>
      <c r="J11" s="2921"/>
      <c r="K11" s="2921"/>
      <c r="L11" s="2921"/>
      <c r="M11" s="2921"/>
      <c r="N11" s="2927"/>
      <c r="O11" s="579">
        <f>+O10</f>
        <v>0</v>
      </c>
      <c r="Q11" s="1899"/>
      <c r="R11" s="1899"/>
      <c r="S11" s="1899"/>
    </row>
    <row r="12" spans="1:19" ht="18.75" hidden="1" x14ac:dyDescent="0.15">
      <c r="A12" s="2968"/>
      <c r="B12" s="2947"/>
      <c r="C12" s="1930" t="s">
        <v>339</v>
      </c>
      <c r="D12" s="1942">
        <v>0.28000000000000003</v>
      </c>
      <c r="E12" s="1894" t="s">
        <v>1064</v>
      </c>
      <c r="F12" s="1904"/>
      <c r="G12" s="2920"/>
      <c r="H12" s="2920"/>
      <c r="I12" s="2920"/>
      <c r="J12" s="2920"/>
      <c r="K12" s="2920"/>
      <c r="L12" s="2920"/>
      <c r="M12" s="2920"/>
      <c r="N12" s="2926">
        <f>+TRUNC(+SUM(G12:M13),2)</f>
        <v>0</v>
      </c>
      <c r="O12" s="578">
        <f>SUM(G12:N12)</f>
        <v>0</v>
      </c>
      <c r="Q12" s="1899"/>
      <c r="R12" s="1899"/>
      <c r="S12" s="1899"/>
    </row>
    <row r="13" spans="1:19" ht="49.5" hidden="1" x14ac:dyDescent="0.15">
      <c r="A13" s="2968"/>
      <c r="B13" s="2947"/>
      <c r="C13" s="1893" t="s">
        <v>2379</v>
      </c>
      <c r="D13" s="1944"/>
      <c r="E13" s="1897" t="s">
        <v>1064</v>
      </c>
      <c r="F13" s="1928"/>
      <c r="G13" s="2921"/>
      <c r="H13" s="2921"/>
      <c r="I13" s="2921"/>
      <c r="J13" s="2921"/>
      <c r="K13" s="2921"/>
      <c r="L13" s="2921"/>
      <c r="M13" s="2921"/>
      <c r="N13" s="2927"/>
      <c r="O13" s="579">
        <f>+O12</f>
        <v>0</v>
      </c>
      <c r="Q13" s="1899"/>
      <c r="R13" s="1899"/>
      <c r="S13" s="1899"/>
    </row>
    <row r="14" spans="1:19" ht="18.75" hidden="1" x14ac:dyDescent="0.15">
      <c r="A14" s="2968"/>
      <c r="B14" s="2947"/>
      <c r="C14" s="1930" t="s">
        <v>339</v>
      </c>
      <c r="D14" s="1942">
        <v>0.28000000000000003</v>
      </c>
      <c r="E14" s="1894" t="s">
        <v>1064</v>
      </c>
      <c r="F14" s="1904"/>
      <c r="G14" s="2920"/>
      <c r="H14" s="2920"/>
      <c r="I14" s="2920"/>
      <c r="J14" s="2920"/>
      <c r="K14" s="2920"/>
      <c r="L14" s="2920"/>
      <c r="M14" s="2920"/>
      <c r="N14" s="2926">
        <f>+TRUNC(+SUM(G14:M15),2)</f>
        <v>0</v>
      </c>
      <c r="O14" s="578">
        <f>SUM(G14:N14)</f>
        <v>0</v>
      </c>
      <c r="Q14" s="1899"/>
      <c r="R14" s="1899"/>
      <c r="S14" s="1899"/>
    </row>
    <row r="15" spans="1:19" ht="49.5" hidden="1" x14ac:dyDescent="0.15">
      <c r="A15" s="2968"/>
      <c r="B15" s="2947"/>
      <c r="C15" s="1893" t="s">
        <v>2378</v>
      </c>
      <c r="D15" s="1944"/>
      <c r="E15" s="1897" t="s">
        <v>1064</v>
      </c>
      <c r="F15" s="1928"/>
      <c r="G15" s="2921"/>
      <c r="H15" s="2921"/>
      <c r="I15" s="2921"/>
      <c r="J15" s="2921"/>
      <c r="K15" s="2921"/>
      <c r="L15" s="2921"/>
      <c r="M15" s="2921"/>
      <c r="N15" s="2927"/>
      <c r="O15" s="579">
        <f>+O14</f>
        <v>0</v>
      </c>
      <c r="Q15" s="1899"/>
      <c r="R15" s="1899"/>
      <c r="S15" s="1899"/>
    </row>
    <row r="16" spans="1:19" ht="18.75" hidden="1" x14ac:dyDescent="0.15">
      <c r="A16" s="2968"/>
      <c r="B16" s="2947"/>
      <c r="C16" s="1930" t="s">
        <v>339</v>
      </c>
      <c r="D16" s="1942">
        <v>0.28000000000000003</v>
      </c>
      <c r="E16" s="1894" t="s">
        <v>1064</v>
      </c>
      <c r="F16" s="1904"/>
      <c r="G16" s="2920"/>
      <c r="H16" s="2920"/>
      <c r="I16" s="2920"/>
      <c r="J16" s="2920"/>
      <c r="K16" s="2920"/>
      <c r="L16" s="2920"/>
      <c r="M16" s="2920"/>
      <c r="N16" s="2926">
        <f>+TRUNC(+SUM(G16:M17),2)</f>
        <v>0</v>
      </c>
      <c r="O16" s="578">
        <f>SUM(G16:N16)</f>
        <v>0</v>
      </c>
      <c r="Q16" s="1899"/>
      <c r="R16" s="1899"/>
      <c r="S16" s="1899"/>
    </row>
    <row r="17" spans="1:19" ht="49.5" hidden="1" x14ac:dyDescent="0.15">
      <c r="A17" s="2968"/>
      <c r="B17" s="2947"/>
      <c r="C17" s="1893" t="s">
        <v>2377</v>
      </c>
      <c r="D17" s="1944"/>
      <c r="E17" s="1897" t="s">
        <v>1064</v>
      </c>
      <c r="F17" s="1928"/>
      <c r="G17" s="2921"/>
      <c r="H17" s="2921"/>
      <c r="I17" s="2921"/>
      <c r="J17" s="2921"/>
      <c r="K17" s="2921"/>
      <c r="L17" s="2921"/>
      <c r="M17" s="2921"/>
      <c r="N17" s="2927"/>
      <c r="O17" s="579">
        <f>+O16</f>
        <v>0</v>
      </c>
      <c r="Q17" s="1899"/>
      <c r="R17" s="1899"/>
      <c r="S17" s="1899"/>
    </row>
    <row r="18" spans="1:19" ht="18.75" hidden="1" x14ac:dyDescent="0.15">
      <c r="A18" s="2968"/>
      <c r="B18" s="2947"/>
      <c r="C18" s="1930" t="s">
        <v>339</v>
      </c>
      <c r="D18" s="1942">
        <v>0.28000000000000003</v>
      </c>
      <c r="E18" s="1894" t="s">
        <v>1064</v>
      </c>
      <c r="F18" s="1904"/>
      <c r="G18" s="2920"/>
      <c r="H18" s="2920"/>
      <c r="I18" s="2920"/>
      <c r="J18" s="2920"/>
      <c r="K18" s="2920"/>
      <c r="L18" s="2920"/>
      <c r="M18" s="2920"/>
      <c r="N18" s="2926">
        <f>+TRUNC(+SUM(G18:M19),2)</f>
        <v>0</v>
      </c>
      <c r="O18" s="578">
        <f>SUM(G18:N18)</f>
        <v>0</v>
      </c>
      <c r="Q18" s="1899"/>
      <c r="R18" s="1899"/>
      <c r="S18" s="1899"/>
    </row>
    <row r="19" spans="1:19" ht="49.5" hidden="1" x14ac:dyDescent="0.15">
      <c r="A19" s="2968"/>
      <c r="B19" s="2947"/>
      <c r="C19" s="1893" t="s">
        <v>2376</v>
      </c>
      <c r="D19" s="1944"/>
      <c r="E19" s="1897" t="s">
        <v>1064</v>
      </c>
      <c r="F19" s="1928"/>
      <c r="G19" s="2921"/>
      <c r="H19" s="2921"/>
      <c r="I19" s="2921"/>
      <c r="J19" s="2921"/>
      <c r="K19" s="2921"/>
      <c r="L19" s="2921"/>
      <c r="M19" s="2921"/>
      <c r="N19" s="2927"/>
      <c r="O19" s="579">
        <f>+O18</f>
        <v>0</v>
      </c>
      <c r="Q19" s="1899"/>
      <c r="R19" s="1899"/>
      <c r="S19" s="1899"/>
    </row>
    <row r="20" spans="1:19" ht="18.75" hidden="1" x14ac:dyDescent="0.15">
      <c r="A20" s="2968"/>
      <c r="B20" s="2947"/>
      <c r="C20" s="1930" t="s">
        <v>339</v>
      </c>
      <c r="D20" s="1942">
        <v>0.28000000000000003</v>
      </c>
      <c r="E20" s="1894" t="s">
        <v>1064</v>
      </c>
      <c r="F20" s="1904"/>
      <c r="G20" s="2920"/>
      <c r="H20" s="2920"/>
      <c r="I20" s="2920"/>
      <c r="J20" s="2920"/>
      <c r="K20" s="2920"/>
      <c r="L20" s="2920"/>
      <c r="M20" s="2920"/>
      <c r="N20" s="2926">
        <f>+TRUNC(+SUM(G20:M21),2)</f>
        <v>0</v>
      </c>
      <c r="O20" s="578">
        <f>SUM(G20:N20)</f>
        <v>0</v>
      </c>
      <c r="Q20" s="1899"/>
      <c r="R20" s="1899"/>
      <c r="S20" s="1899"/>
    </row>
    <row r="21" spans="1:19" ht="49.5" hidden="1" x14ac:dyDescent="0.15">
      <c r="A21" s="2968"/>
      <c r="B21" s="2947"/>
      <c r="C21" s="1893" t="s">
        <v>2375</v>
      </c>
      <c r="D21" s="1944"/>
      <c r="E21" s="1897" t="s">
        <v>1064</v>
      </c>
      <c r="F21" s="1928"/>
      <c r="G21" s="2921"/>
      <c r="H21" s="2921"/>
      <c r="I21" s="2921"/>
      <c r="J21" s="2921"/>
      <c r="K21" s="2921"/>
      <c r="L21" s="2921"/>
      <c r="M21" s="2921"/>
      <c r="N21" s="2927"/>
      <c r="O21" s="579">
        <f>+O20</f>
        <v>0</v>
      </c>
      <c r="Q21" s="1899"/>
      <c r="R21" s="1899"/>
      <c r="S21" s="1899"/>
    </row>
    <row r="22" spans="1:19" ht="18.75" hidden="1" x14ac:dyDescent="0.15">
      <c r="A22" s="2968"/>
      <c r="B22" s="2947"/>
      <c r="C22" s="1930" t="s">
        <v>339</v>
      </c>
      <c r="D22" s="1942">
        <v>0.28000000000000003</v>
      </c>
      <c r="E22" s="1894" t="s">
        <v>1064</v>
      </c>
      <c r="F22" s="1904"/>
      <c r="G22" s="2920"/>
      <c r="H22" s="2920"/>
      <c r="I22" s="2920"/>
      <c r="J22" s="2920"/>
      <c r="K22" s="2920"/>
      <c r="L22" s="2920"/>
      <c r="M22" s="2920"/>
      <c r="N22" s="2926">
        <f>+TRUNC(+SUM(G22:M23),2)</f>
        <v>0</v>
      </c>
      <c r="O22" s="578">
        <f>SUM(G22:N22)</f>
        <v>0</v>
      </c>
      <c r="Q22" s="1899"/>
      <c r="R22" s="1899"/>
      <c r="S22" s="1899"/>
    </row>
    <row r="23" spans="1:19" ht="49.5" hidden="1" x14ac:dyDescent="0.15">
      <c r="A23" s="2968"/>
      <c r="B23" s="2947"/>
      <c r="C23" s="1893" t="s">
        <v>2374</v>
      </c>
      <c r="D23" s="1944"/>
      <c r="E23" s="1897" t="s">
        <v>1064</v>
      </c>
      <c r="F23" s="1928"/>
      <c r="G23" s="2921"/>
      <c r="H23" s="2921"/>
      <c r="I23" s="2921"/>
      <c r="J23" s="2921"/>
      <c r="K23" s="2921"/>
      <c r="L23" s="2921"/>
      <c r="M23" s="2921"/>
      <c r="N23" s="2927"/>
      <c r="O23" s="579">
        <f>+O22</f>
        <v>0</v>
      </c>
      <c r="Q23" s="1899"/>
      <c r="R23" s="1899"/>
      <c r="S23" s="1899"/>
    </row>
    <row r="24" spans="1:19" ht="18.75" hidden="1" x14ac:dyDescent="0.15">
      <c r="A24" s="2968"/>
      <c r="B24" s="2947"/>
      <c r="C24" s="1930" t="s">
        <v>339</v>
      </c>
      <c r="D24" s="1942">
        <v>0.28000000000000003</v>
      </c>
      <c r="E24" s="1894" t="s">
        <v>1064</v>
      </c>
      <c r="F24" s="1904"/>
      <c r="G24" s="2920"/>
      <c r="H24" s="2920"/>
      <c r="I24" s="2920"/>
      <c r="J24" s="2920"/>
      <c r="K24" s="2920"/>
      <c r="L24" s="2920"/>
      <c r="M24" s="2920"/>
      <c r="N24" s="2926">
        <f>+TRUNC(+SUM(G24:M25),2)</f>
        <v>0</v>
      </c>
      <c r="O24" s="578">
        <f>SUM(G24:N24)</f>
        <v>0</v>
      </c>
      <c r="Q24" s="1899"/>
      <c r="R24" s="1899"/>
      <c r="S24" s="1899"/>
    </row>
    <row r="25" spans="1:19" ht="49.5" hidden="1" customHeight="1" x14ac:dyDescent="0.15">
      <c r="A25" s="2968"/>
      <c r="B25" s="2947"/>
      <c r="C25" s="1893" t="s">
        <v>2373</v>
      </c>
      <c r="D25" s="1944"/>
      <c r="E25" s="1897" t="s">
        <v>1064</v>
      </c>
      <c r="F25" s="1928"/>
      <c r="G25" s="2921"/>
      <c r="H25" s="2921"/>
      <c r="I25" s="2921"/>
      <c r="J25" s="2921"/>
      <c r="K25" s="2921"/>
      <c r="L25" s="2921"/>
      <c r="M25" s="2921"/>
      <c r="N25" s="2927"/>
      <c r="O25" s="579">
        <f>+O24</f>
        <v>0</v>
      </c>
      <c r="Q25" s="1899"/>
      <c r="R25" s="1899"/>
      <c r="S25" s="1899"/>
    </row>
    <row r="26" spans="1:19" ht="18.75" hidden="1" x14ac:dyDescent="0.15">
      <c r="A26" s="2968"/>
      <c r="B26" s="2947"/>
      <c r="C26" s="1930" t="s">
        <v>339</v>
      </c>
      <c r="D26" s="1942">
        <v>0.28000000000000003</v>
      </c>
      <c r="E26" s="1894" t="s">
        <v>1064</v>
      </c>
      <c r="F26" s="1904"/>
      <c r="G26" s="2920"/>
      <c r="H26" s="2920"/>
      <c r="I26" s="2920"/>
      <c r="J26" s="2920"/>
      <c r="K26" s="2920"/>
      <c r="L26" s="2920"/>
      <c r="M26" s="2920"/>
      <c r="N26" s="2926">
        <f>+TRUNC(+SUM(G26:M27),2)</f>
        <v>0</v>
      </c>
      <c r="O26" s="578">
        <f>SUM(G26:N26)</f>
        <v>0</v>
      </c>
      <c r="Q26" s="1899"/>
      <c r="R26" s="1899"/>
      <c r="S26" s="1899"/>
    </row>
    <row r="27" spans="1:19" ht="49.5" hidden="1" customHeight="1" x14ac:dyDescent="0.15">
      <c r="A27" s="2968"/>
      <c r="B27" s="2947"/>
      <c r="C27" s="1893" t="s">
        <v>2372</v>
      </c>
      <c r="D27" s="1944"/>
      <c r="E27" s="1897" t="s">
        <v>1064</v>
      </c>
      <c r="F27" s="1928"/>
      <c r="G27" s="2921"/>
      <c r="H27" s="2921"/>
      <c r="I27" s="2921"/>
      <c r="J27" s="2921"/>
      <c r="K27" s="2921"/>
      <c r="L27" s="2921"/>
      <c r="M27" s="2921"/>
      <c r="N27" s="2927"/>
      <c r="O27" s="579">
        <f>+O26</f>
        <v>0</v>
      </c>
      <c r="Q27" s="1899"/>
      <c r="R27" s="1899"/>
      <c r="S27" s="1899"/>
    </row>
    <row r="28" spans="1:19" ht="18.75" hidden="1" x14ac:dyDescent="0.15">
      <c r="A28" s="2968"/>
      <c r="B28" s="2947"/>
      <c r="C28" s="1930" t="s">
        <v>339</v>
      </c>
      <c r="D28" s="1942">
        <v>0.28000000000000003</v>
      </c>
      <c r="E28" s="1894" t="s">
        <v>1064</v>
      </c>
      <c r="F28" s="1904"/>
      <c r="G28" s="2920"/>
      <c r="H28" s="2920"/>
      <c r="I28" s="2920"/>
      <c r="J28" s="2920"/>
      <c r="K28" s="2920"/>
      <c r="L28" s="2920"/>
      <c r="M28" s="2920"/>
      <c r="N28" s="2926">
        <f>+TRUNC(+SUM(G28:M29),2)</f>
        <v>0</v>
      </c>
      <c r="O28" s="578">
        <f>SUM(G28:N28)</f>
        <v>0</v>
      </c>
      <c r="Q28" s="1899"/>
      <c r="R28" s="1899"/>
      <c r="S28" s="1899"/>
    </row>
    <row r="29" spans="1:19" ht="49.5" hidden="1" x14ac:dyDescent="0.15">
      <c r="A29" s="2968"/>
      <c r="B29" s="2947"/>
      <c r="C29" s="1893" t="s">
        <v>2371</v>
      </c>
      <c r="D29" s="1944"/>
      <c r="E29" s="1897" t="s">
        <v>1064</v>
      </c>
      <c r="F29" s="1928"/>
      <c r="G29" s="2921"/>
      <c r="H29" s="2921"/>
      <c r="I29" s="2921"/>
      <c r="J29" s="2921"/>
      <c r="K29" s="2921"/>
      <c r="L29" s="2921"/>
      <c r="M29" s="2921"/>
      <c r="N29" s="2927"/>
      <c r="O29" s="579">
        <f>+O28</f>
        <v>0</v>
      </c>
      <c r="Q29" s="1899"/>
      <c r="R29" s="1899"/>
      <c r="S29" s="1899"/>
    </row>
    <row r="30" spans="1:19" ht="18.75" hidden="1" x14ac:dyDescent="0.15">
      <c r="A30" s="2968"/>
      <c r="B30" s="2947"/>
      <c r="C30" s="1930" t="s">
        <v>339</v>
      </c>
      <c r="D30" s="1942">
        <v>0.28000000000000003</v>
      </c>
      <c r="E30" s="1894" t="s">
        <v>1064</v>
      </c>
      <c r="F30" s="1904"/>
      <c r="G30" s="2920"/>
      <c r="H30" s="2920"/>
      <c r="I30" s="2920"/>
      <c r="J30" s="2920"/>
      <c r="K30" s="2920"/>
      <c r="L30" s="2920"/>
      <c r="M30" s="2920"/>
      <c r="N30" s="2926">
        <f>+TRUNC(+SUM(G30:M31),2)</f>
        <v>0</v>
      </c>
      <c r="O30" s="578">
        <f>SUM(G30:N30)</f>
        <v>0</v>
      </c>
      <c r="Q30" s="1899"/>
      <c r="R30" s="1899"/>
      <c r="S30" s="1899"/>
    </row>
    <row r="31" spans="1:19" ht="49.5" hidden="1" x14ac:dyDescent="0.15">
      <c r="A31" s="2968"/>
      <c r="B31" s="2947"/>
      <c r="C31" s="1893" t="s">
        <v>2370</v>
      </c>
      <c r="D31" s="1944"/>
      <c r="E31" s="1897" t="s">
        <v>1064</v>
      </c>
      <c r="F31" s="1928"/>
      <c r="G31" s="2921"/>
      <c r="H31" s="2921"/>
      <c r="I31" s="2921"/>
      <c r="J31" s="2921"/>
      <c r="K31" s="2921"/>
      <c r="L31" s="2921"/>
      <c r="M31" s="2921"/>
      <c r="N31" s="2927"/>
      <c r="O31" s="579">
        <f>+O30</f>
        <v>0</v>
      </c>
      <c r="Q31" s="1899"/>
      <c r="R31" s="1899"/>
      <c r="S31" s="1899"/>
    </row>
    <row r="32" spans="1:19" ht="18.75" hidden="1" x14ac:dyDescent="0.15">
      <c r="A32" s="2968"/>
      <c r="B32" s="2947"/>
      <c r="C32" s="1930" t="s">
        <v>339</v>
      </c>
      <c r="D32" s="1942">
        <v>0.28000000000000003</v>
      </c>
      <c r="E32" s="1894" t="s">
        <v>1064</v>
      </c>
      <c r="F32" s="1904"/>
      <c r="G32" s="2920"/>
      <c r="H32" s="2920"/>
      <c r="I32" s="2920"/>
      <c r="J32" s="2920"/>
      <c r="K32" s="2920"/>
      <c r="L32" s="2920"/>
      <c r="M32" s="2920"/>
      <c r="N32" s="2926">
        <f>+TRUNC(+SUM(G32:M33),2)</f>
        <v>0</v>
      </c>
      <c r="O32" s="578">
        <f>SUM(G32:N32)</f>
        <v>0</v>
      </c>
      <c r="Q32" s="1899"/>
      <c r="R32" s="1899"/>
      <c r="S32" s="1899"/>
    </row>
    <row r="33" spans="1:19" ht="49.5" hidden="1" x14ac:dyDescent="0.15">
      <c r="A33" s="2968"/>
      <c r="B33" s="2947"/>
      <c r="C33" s="1893" t="s">
        <v>2369</v>
      </c>
      <c r="D33" s="1944"/>
      <c r="E33" s="1897" t="s">
        <v>1064</v>
      </c>
      <c r="F33" s="1928"/>
      <c r="G33" s="2921"/>
      <c r="H33" s="2921"/>
      <c r="I33" s="2921"/>
      <c r="J33" s="2921"/>
      <c r="K33" s="2921"/>
      <c r="L33" s="2921"/>
      <c r="M33" s="2921"/>
      <c r="N33" s="2927"/>
      <c r="O33" s="579">
        <f>+O32</f>
        <v>0</v>
      </c>
      <c r="Q33" s="1899"/>
      <c r="R33" s="1899"/>
      <c r="S33" s="1899"/>
    </row>
    <row r="34" spans="1:19" ht="18.75" hidden="1" x14ac:dyDescent="0.15">
      <c r="A34" s="2968"/>
      <c r="B34" s="2947"/>
      <c r="C34" s="1930" t="s">
        <v>339</v>
      </c>
      <c r="D34" s="1942">
        <v>0.28000000000000003</v>
      </c>
      <c r="E34" s="1894" t="s">
        <v>1064</v>
      </c>
      <c r="F34" s="1904"/>
      <c r="G34" s="2920"/>
      <c r="H34" s="2920"/>
      <c r="I34" s="2920"/>
      <c r="J34" s="2920"/>
      <c r="K34" s="2920"/>
      <c r="L34" s="2920"/>
      <c r="M34" s="2920"/>
      <c r="N34" s="2926">
        <f>+TRUNC(+SUM(G34:M35),2)</f>
        <v>0</v>
      </c>
      <c r="O34" s="578">
        <f>SUM(G34:N34)</f>
        <v>0</v>
      </c>
      <c r="Q34" s="1899"/>
      <c r="R34" s="1899"/>
      <c r="S34" s="1899"/>
    </row>
    <row r="35" spans="1:19" ht="49.5" hidden="1" x14ac:dyDescent="0.15">
      <c r="A35" s="2968"/>
      <c r="B35" s="2947"/>
      <c r="C35" s="1893" t="s">
        <v>2368</v>
      </c>
      <c r="D35" s="1944"/>
      <c r="E35" s="1897" t="s">
        <v>1064</v>
      </c>
      <c r="F35" s="1928"/>
      <c r="G35" s="2921"/>
      <c r="H35" s="2921"/>
      <c r="I35" s="2921"/>
      <c r="J35" s="2921"/>
      <c r="K35" s="2921"/>
      <c r="L35" s="2921"/>
      <c r="M35" s="2921"/>
      <c r="N35" s="2927"/>
      <c r="O35" s="579">
        <f>+O34</f>
        <v>0</v>
      </c>
      <c r="Q35" s="1899"/>
      <c r="R35" s="1899"/>
      <c r="S35" s="1899"/>
    </row>
    <row r="36" spans="1:19" ht="18.75" hidden="1" x14ac:dyDescent="0.15">
      <c r="A36" s="2968"/>
      <c r="B36" s="2947"/>
      <c r="C36" s="1930" t="s">
        <v>339</v>
      </c>
      <c r="D36" s="1942">
        <v>0.28000000000000003</v>
      </c>
      <c r="E36" s="1894" t="s">
        <v>1064</v>
      </c>
      <c r="F36" s="1904"/>
      <c r="G36" s="2920"/>
      <c r="H36" s="2920"/>
      <c r="I36" s="2920"/>
      <c r="J36" s="2920"/>
      <c r="K36" s="2920"/>
      <c r="L36" s="2920"/>
      <c r="M36" s="2920"/>
      <c r="N36" s="2926">
        <f>+TRUNC(+SUM(G36:M37),2)</f>
        <v>0</v>
      </c>
      <c r="O36" s="578">
        <f>SUM(G36:N36)</f>
        <v>0</v>
      </c>
      <c r="Q36" s="1899"/>
      <c r="R36" s="1899"/>
      <c r="S36" s="1899"/>
    </row>
    <row r="37" spans="1:19" ht="49.5" hidden="1" x14ac:dyDescent="0.15">
      <c r="A37" s="2968"/>
      <c r="B37" s="2947"/>
      <c r="C37" s="1893" t="s">
        <v>2367</v>
      </c>
      <c r="D37" s="1944"/>
      <c r="E37" s="1897" t="s">
        <v>1064</v>
      </c>
      <c r="F37" s="1928"/>
      <c r="G37" s="2921"/>
      <c r="H37" s="2921"/>
      <c r="I37" s="2921"/>
      <c r="J37" s="2921"/>
      <c r="K37" s="2921"/>
      <c r="L37" s="2921"/>
      <c r="M37" s="2921"/>
      <c r="N37" s="2927"/>
      <c r="O37" s="579">
        <f>+O36</f>
        <v>0</v>
      </c>
      <c r="Q37" s="1899"/>
      <c r="R37" s="1899"/>
      <c r="S37" s="1899"/>
    </row>
    <row r="38" spans="1:19" ht="18.75" hidden="1" x14ac:dyDescent="0.15">
      <c r="A38" s="2968"/>
      <c r="B38" s="2947"/>
      <c r="C38" s="1930" t="s">
        <v>339</v>
      </c>
      <c r="D38" s="1942">
        <v>0.28000000000000003</v>
      </c>
      <c r="E38" s="1894" t="s">
        <v>1064</v>
      </c>
      <c r="F38" s="1904"/>
      <c r="G38" s="2920"/>
      <c r="H38" s="2920"/>
      <c r="I38" s="2920"/>
      <c r="J38" s="2920"/>
      <c r="K38" s="2920"/>
      <c r="L38" s="2920"/>
      <c r="M38" s="2920"/>
      <c r="N38" s="2926">
        <f>+TRUNC(+SUM(G38:M39),2)</f>
        <v>0</v>
      </c>
      <c r="O38" s="578">
        <f>SUM(G38:N38)</f>
        <v>0</v>
      </c>
      <c r="Q38" s="1899"/>
      <c r="R38" s="1899"/>
      <c r="S38" s="1899"/>
    </row>
    <row r="39" spans="1:19" ht="49.5" hidden="1" x14ac:dyDescent="0.15">
      <c r="A39" s="2968"/>
      <c r="B39" s="2947"/>
      <c r="C39" s="1893" t="s">
        <v>2366</v>
      </c>
      <c r="D39" s="1944"/>
      <c r="E39" s="1897" t="s">
        <v>1064</v>
      </c>
      <c r="F39" s="1928"/>
      <c r="G39" s="2921"/>
      <c r="H39" s="2921"/>
      <c r="I39" s="2921"/>
      <c r="J39" s="2921"/>
      <c r="K39" s="2921"/>
      <c r="L39" s="2921"/>
      <c r="M39" s="2921"/>
      <c r="N39" s="2927"/>
      <c r="O39" s="579">
        <f>+O38</f>
        <v>0</v>
      </c>
      <c r="Q39" s="1899"/>
      <c r="R39" s="1899"/>
      <c r="S39" s="1899"/>
    </row>
    <row r="40" spans="1:19" ht="18.75" hidden="1" x14ac:dyDescent="0.15">
      <c r="A40" s="2968"/>
      <c r="B40" s="2947"/>
      <c r="C40" s="1930" t="s">
        <v>339</v>
      </c>
      <c r="D40" s="1942">
        <v>0.28000000000000003</v>
      </c>
      <c r="E40" s="1894" t="s">
        <v>1064</v>
      </c>
      <c r="F40" s="1904"/>
      <c r="G40" s="2920"/>
      <c r="H40" s="2920"/>
      <c r="I40" s="2920"/>
      <c r="J40" s="2920"/>
      <c r="K40" s="2920"/>
      <c r="L40" s="2920"/>
      <c r="M40" s="2920"/>
      <c r="N40" s="2926">
        <f>+TRUNC(+SUM(G40:M41),2)</f>
        <v>0</v>
      </c>
      <c r="O40" s="578">
        <f>SUM(G40:N40)</f>
        <v>0</v>
      </c>
      <c r="Q40" s="1899"/>
      <c r="R40" s="1899"/>
      <c r="S40" s="1899"/>
    </row>
    <row r="41" spans="1:19" ht="49.5" hidden="1" x14ac:dyDescent="0.15">
      <c r="A41" s="2968"/>
      <c r="B41" s="2947"/>
      <c r="C41" s="1893" t="s">
        <v>2365</v>
      </c>
      <c r="D41" s="1944"/>
      <c r="E41" s="1897" t="s">
        <v>1064</v>
      </c>
      <c r="F41" s="1928"/>
      <c r="G41" s="2921"/>
      <c r="H41" s="2921"/>
      <c r="I41" s="2921"/>
      <c r="J41" s="2921"/>
      <c r="K41" s="2921"/>
      <c r="L41" s="2921"/>
      <c r="M41" s="2921"/>
      <c r="N41" s="2927"/>
      <c r="O41" s="579">
        <f>+O40</f>
        <v>0</v>
      </c>
      <c r="Q41" s="1899"/>
      <c r="R41" s="1899"/>
      <c r="S41" s="1899"/>
    </row>
    <row r="42" spans="1:19" ht="18.75" hidden="1" x14ac:dyDescent="0.15">
      <c r="A42" s="2968"/>
      <c r="B42" s="2947"/>
      <c r="C42" s="1930" t="s">
        <v>339</v>
      </c>
      <c r="D42" s="1942">
        <v>0.28000000000000003</v>
      </c>
      <c r="E42" s="1894" t="s">
        <v>1064</v>
      </c>
      <c r="F42" s="1904"/>
      <c r="G42" s="2920"/>
      <c r="H42" s="2920"/>
      <c r="I42" s="2920"/>
      <c r="J42" s="2920"/>
      <c r="K42" s="2920"/>
      <c r="L42" s="2920"/>
      <c r="M42" s="2920"/>
      <c r="N42" s="2926">
        <f>+TRUNC(+SUM(G42:M43),2)</f>
        <v>0</v>
      </c>
      <c r="O42" s="578">
        <f>SUM(G42:N42)</f>
        <v>0</v>
      </c>
      <c r="Q42" s="1899"/>
      <c r="R42" s="1899"/>
      <c r="S42" s="1899"/>
    </row>
    <row r="43" spans="1:19" ht="49.5" hidden="1" x14ac:dyDescent="0.15">
      <c r="A43" s="2968"/>
      <c r="B43" s="2947"/>
      <c r="C43" s="1893" t="s">
        <v>2364</v>
      </c>
      <c r="D43" s="1944"/>
      <c r="E43" s="1897" t="s">
        <v>1064</v>
      </c>
      <c r="F43" s="1928"/>
      <c r="G43" s="2921"/>
      <c r="H43" s="2921"/>
      <c r="I43" s="2921"/>
      <c r="J43" s="2921"/>
      <c r="K43" s="2921"/>
      <c r="L43" s="2921"/>
      <c r="M43" s="2921"/>
      <c r="N43" s="2927"/>
      <c r="O43" s="579">
        <f>+O42</f>
        <v>0</v>
      </c>
      <c r="Q43" s="1899"/>
      <c r="R43" s="1899"/>
      <c r="S43" s="1899"/>
    </row>
    <row r="44" spans="1:19" ht="18.75" hidden="1" x14ac:dyDescent="0.15">
      <c r="A44" s="2968"/>
      <c r="B44" s="2947"/>
      <c r="C44" s="1930" t="s">
        <v>339</v>
      </c>
      <c r="D44" s="1942">
        <v>0.28000000000000003</v>
      </c>
      <c r="E44" s="1894" t="s">
        <v>1064</v>
      </c>
      <c r="F44" s="1904"/>
      <c r="G44" s="2920"/>
      <c r="H44" s="2920"/>
      <c r="I44" s="2920"/>
      <c r="J44" s="2920"/>
      <c r="K44" s="2920"/>
      <c r="L44" s="2920"/>
      <c r="M44" s="2920"/>
      <c r="N44" s="2926">
        <f>+TRUNC(+SUM(G44:M45),2)</f>
        <v>0</v>
      </c>
      <c r="O44" s="578">
        <f>SUM(G44:N44)</f>
        <v>0</v>
      </c>
      <c r="Q44" s="1899"/>
      <c r="R44" s="1899"/>
      <c r="S44" s="1899"/>
    </row>
    <row r="45" spans="1:19" ht="49.5" hidden="1" x14ac:dyDescent="0.15">
      <c r="A45" s="2968"/>
      <c r="B45" s="2947"/>
      <c r="C45" s="1893" t="s">
        <v>2363</v>
      </c>
      <c r="D45" s="1944"/>
      <c r="E45" s="1897" t="s">
        <v>1064</v>
      </c>
      <c r="F45" s="1928"/>
      <c r="G45" s="2921"/>
      <c r="H45" s="2921"/>
      <c r="I45" s="2921"/>
      <c r="J45" s="2921"/>
      <c r="K45" s="2921"/>
      <c r="L45" s="2921"/>
      <c r="M45" s="2921"/>
      <c r="N45" s="2927"/>
      <c r="O45" s="579">
        <f>+O44</f>
        <v>0</v>
      </c>
      <c r="Q45" s="1899"/>
      <c r="R45" s="1899"/>
      <c r="S45" s="1899"/>
    </row>
    <row r="46" spans="1:19" ht="18.75" hidden="1" x14ac:dyDescent="0.15">
      <c r="A46" s="2968"/>
      <c r="B46" s="2947"/>
      <c r="C46" s="1930" t="s">
        <v>339</v>
      </c>
      <c r="D46" s="1942">
        <v>0.28000000000000003</v>
      </c>
      <c r="E46" s="1894" t="s">
        <v>1064</v>
      </c>
      <c r="F46" s="1904"/>
      <c r="G46" s="2920"/>
      <c r="H46" s="2920"/>
      <c r="I46" s="2920"/>
      <c r="J46" s="2920"/>
      <c r="K46" s="2920"/>
      <c r="L46" s="2920"/>
      <c r="M46" s="2920"/>
      <c r="N46" s="2926">
        <f>+TRUNC(+SUM(G46:M47),2)</f>
        <v>0</v>
      </c>
      <c r="O46" s="578">
        <f>SUM(G46:N46)</f>
        <v>0</v>
      </c>
      <c r="Q46" s="1899"/>
      <c r="R46" s="1899"/>
      <c r="S46" s="1899"/>
    </row>
    <row r="47" spans="1:19" ht="49.5" hidden="1" x14ac:dyDescent="0.15">
      <c r="A47" s="2968"/>
      <c r="B47" s="2947"/>
      <c r="C47" s="1893" t="s">
        <v>2362</v>
      </c>
      <c r="D47" s="1944"/>
      <c r="E47" s="1897" t="s">
        <v>1064</v>
      </c>
      <c r="F47" s="1928"/>
      <c r="G47" s="2921"/>
      <c r="H47" s="2921"/>
      <c r="I47" s="2921"/>
      <c r="J47" s="2921"/>
      <c r="K47" s="2921"/>
      <c r="L47" s="2921"/>
      <c r="M47" s="2921"/>
      <c r="N47" s="2927"/>
      <c r="O47" s="579">
        <f>+O46</f>
        <v>0</v>
      </c>
      <c r="Q47" s="1899"/>
      <c r="R47" s="1899"/>
      <c r="S47" s="1899"/>
    </row>
    <row r="48" spans="1:19" ht="18.75" x14ac:dyDescent="0.15">
      <c r="A48" s="2968"/>
      <c r="B48" s="2946"/>
      <c r="C48" s="1930" t="s">
        <v>339</v>
      </c>
      <c r="D48" s="1942">
        <v>0.28000000000000003</v>
      </c>
      <c r="E48" s="1894" t="s">
        <v>1064</v>
      </c>
      <c r="F48" s="1904"/>
      <c r="G48" s="2920">
        <v>2</v>
      </c>
      <c r="H48" s="2920">
        <v>6</v>
      </c>
      <c r="I48" s="2920">
        <v>3</v>
      </c>
      <c r="J48" s="2920">
        <v>2</v>
      </c>
      <c r="K48" s="2920">
        <v>2</v>
      </c>
      <c r="L48" s="2920">
        <v>5</v>
      </c>
      <c r="M48" s="2920"/>
      <c r="N48" s="2926">
        <f>+TRUNC(+SUM(G48:M49),2)</f>
        <v>20</v>
      </c>
      <c r="O48" s="578">
        <f>SUM(G48:N48)</f>
        <v>40</v>
      </c>
      <c r="Q48" s="1899"/>
      <c r="R48" s="1899"/>
      <c r="S48" s="1899"/>
    </row>
    <row r="49" spans="1:19" ht="49.5" x14ac:dyDescent="0.15">
      <c r="A49" s="2968"/>
      <c r="B49" s="2946"/>
      <c r="C49" s="1929" t="s">
        <v>2741</v>
      </c>
      <c r="D49" s="1944"/>
      <c r="E49" s="1897" t="s">
        <v>1064</v>
      </c>
      <c r="F49" s="1928"/>
      <c r="G49" s="2921"/>
      <c r="H49" s="2921"/>
      <c r="I49" s="2921"/>
      <c r="J49" s="2921"/>
      <c r="K49" s="2921"/>
      <c r="L49" s="2921"/>
      <c r="M49" s="2921"/>
      <c r="N49" s="2927"/>
      <c r="O49" s="579">
        <f>+O48</f>
        <v>40</v>
      </c>
      <c r="Q49" s="1899"/>
      <c r="R49" s="1899"/>
      <c r="S49" s="1899"/>
    </row>
    <row r="50" spans="1:19" ht="18.75" hidden="1" x14ac:dyDescent="0.15">
      <c r="A50" s="2968"/>
      <c r="B50" s="2947"/>
      <c r="C50" s="1930" t="s">
        <v>339</v>
      </c>
      <c r="D50" s="1942">
        <v>0.28000000000000003</v>
      </c>
      <c r="E50" s="1894" t="s">
        <v>1064</v>
      </c>
      <c r="F50" s="1904"/>
      <c r="G50" s="2920"/>
      <c r="H50" s="2920"/>
      <c r="I50" s="2920"/>
      <c r="J50" s="2920"/>
      <c r="K50" s="2920"/>
      <c r="L50" s="2920"/>
      <c r="M50" s="2920"/>
      <c r="N50" s="2926">
        <f>+TRUNC(+SUM(G50:M51),2)</f>
        <v>0</v>
      </c>
      <c r="O50" s="578">
        <f>SUM(G50:N50)</f>
        <v>0</v>
      </c>
      <c r="Q50" s="1899"/>
      <c r="R50" s="1899"/>
      <c r="S50" s="1899"/>
    </row>
    <row r="51" spans="1:19" ht="49.5" hidden="1" x14ac:dyDescent="0.15">
      <c r="A51" s="2968"/>
      <c r="B51" s="2947"/>
      <c r="C51" s="1929" t="s">
        <v>582</v>
      </c>
      <c r="D51" s="1944"/>
      <c r="E51" s="1897" t="s">
        <v>1064</v>
      </c>
      <c r="F51" s="1928"/>
      <c r="G51" s="2921"/>
      <c r="H51" s="2921"/>
      <c r="I51" s="2921"/>
      <c r="J51" s="2921"/>
      <c r="K51" s="2921"/>
      <c r="L51" s="2921"/>
      <c r="M51" s="2921"/>
      <c r="N51" s="2927"/>
      <c r="O51" s="579">
        <f>+O50</f>
        <v>0</v>
      </c>
      <c r="Q51" s="1899"/>
      <c r="R51" s="1899"/>
      <c r="S51" s="1899"/>
    </row>
    <row r="52" spans="1:19" ht="18.75" hidden="1" x14ac:dyDescent="0.15">
      <c r="A52" s="2968"/>
      <c r="B52" s="2947"/>
      <c r="C52" s="1930" t="s">
        <v>339</v>
      </c>
      <c r="D52" s="1942">
        <v>0.28000000000000003</v>
      </c>
      <c r="E52" s="1894" t="s">
        <v>1064</v>
      </c>
      <c r="F52" s="1904"/>
      <c r="G52" s="2920"/>
      <c r="H52" s="2920"/>
      <c r="I52" s="2920"/>
      <c r="J52" s="2920"/>
      <c r="K52" s="2920"/>
      <c r="L52" s="2920"/>
      <c r="M52" s="2920"/>
      <c r="N52" s="2926">
        <f>+TRUNC(+SUM(G52:M53),2)</f>
        <v>0</v>
      </c>
      <c r="O52" s="578">
        <f>SUM(G52:N52)</f>
        <v>0</v>
      </c>
      <c r="Q52" s="1899"/>
      <c r="R52" s="1899"/>
      <c r="S52" s="1899"/>
    </row>
    <row r="53" spans="1:19" ht="49.5" hidden="1" x14ac:dyDescent="0.15">
      <c r="A53" s="2968"/>
      <c r="B53" s="2947"/>
      <c r="C53" s="1929" t="s">
        <v>1058</v>
      </c>
      <c r="D53" s="1944"/>
      <c r="E53" s="1897" t="s">
        <v>1064</v>
      </c>
      <c r="F53" s="1928"/>
      <c r="G53" s="2921"/>
      <c r="H53" s="2921"/>
      <c r="I53" s="2921"/>
      <c r="J53" s="2921"/>
      <c r="K53" s="2921"/>
      <c r="L53" s="2921"/>
      <c r="M53" s="2921"/>
      <c r="N53" s="2927"/>
      <c r="O53" s="579">
        <f>+O52</f>
        <v>0</v>
      </c>
      <c r="Q53" s="1899"/>
      <c r="R53" s="1899"/>
      <c r="S53" s="1899"/>
    </row>
    <row r="54" spans="1:19" ht="18.75" hidden="1" x14ac:dyDescent="0.15">
      <c r="A54" s="2968"/>
      <c r="B54" s="2947"/>
      <c r="C54" s="1930" t="s">
        <v>339</v>
      </c>
      <c r="D54" s="1942">
        <v>0.78500000000000003</v>
      </c>
      <c r="E54" s="1894" t="s">
        <v>1064</v>
      </c>
      <c r="F54" s="1904"/>
      <c r="G54" s="2920"/>
      <c r="H54" s="2920"/>
      <c r="I54" s="2920"/>
      <c r="J54" s="2920"/>
      <c r="K54" s="2920"/>
      <c r="L54" s="2920"/>
      <c r="M54" s="2920"/>
      <c r="N54" s="2926">
        <f>+TRUNC(+SUM(G54:M55),2)</f>
        <v>0</v>
      </c>
      <c r="O54" s="578">
        <f>SUM(G54:N54)</f>
        <v>0</v>
      </c>
      <c r="Q54" s="1899"/>
      <c r="R54" s="1899"/>
      <c r="S54" s="1899"/>
    </row>
    <row r="55" spans="1:19" ht="49.5" hidden="1" x14ac:dyDescent="0.15">
      <c r="A55" s="2968"/>
      <c r="B55" s="2947"/>
      <c r="C55" s="1929" t="s">
        <v>2029</v>
      </c>
      <c r="D55" s="1944"/>
      <c r="E55" s="1897" t="s">
        <v>1064</v>
      </c>
      <c r="F55" s="1928"/>
      <c r="G55" s="2921"/>
      <c r="H55" s="2921"/>
      <c r="I55" s="2921"/>
      <c r="J55" s="2921"/>
      <c r="K55" s="2921"/>
      <c r="L55" s="2921"/>
      <c r="M55" s="2921"/>
      <c r="N55" s="2927"/>
      <c r="O55" s="579">
        <f>+O54</f>
        <v>0</v>
      </c>
      <c r="R55" s="1899"/>
      <c r="S55" s="1899"/>
    </row>
    <row r="56" spans="1:19" ht="18.75" hidden="1" x14ac:dyDescent="0.15">
      <c r="A56" s="2968"/>
      <c r="B56" s="2947"/>
      <c r="C56" s="1930" t="s">
        <v>339</v>
      </c>
      <c r="D56" s="1942">
        <v>0.78500000000000003</v>
      </c>
      <c r="E56" s="1894" t="s">
        <v>1064</v>
      </c>
      <c r="F56" s="1904"/>
      <c r="G56" s="2920"/>
      <c r="H56" s="2920"/>
      <c r="I56" s="2920"/>
      <c r="J56" s="2920"/>
      <c r="K56" s="2920"/>
      <c r="L56" s="2920"/>
      <c r="M56" s="2920"/>
      <c r="N56" s="2926">
        <f>+TRUNC(+SUM(G56:M57),2)</f>
        <v>0</v>
      </c>
      <c r="O56" s="578">
        <f>SUM(G56:N56)</f>
        <v>0</v>
      </c>
      <c r="Q56" s="1899"/>
      <c r="R56" s="1899"/>
      <c r="S56" s="1899"/>
    </row>
    <row r="57" spans="1:19" ht="49.5" hidden="1" x14ac:dyDescent="0.15">
      <c r="A57" s="2968"/>
      <c r="B57" s="2947"/>
      <c r="C57" s="1929" t="s">
        <v>2030</v>
      </c>
      <c r="D57" s="1944"/>
      <c r="E57" s="1897" t="s">
        <v>1064</v>
      </c>
      <c r="F57" s="1928"/>
      <c r="G57" s="2921"/>
      <c r="H57" s="2921"/>
      <c r="I57" s="2921"/>
      <c r="J57" s="2921"/>
      <c r="K57" s="2921"/>
      <c r="L57" s="2921"/>
      <c r="M57" s="2921"/>
      <c r="N57" s="2927"/>
      <c r="O57" s="579">
        <f>+O56</f>
        <v>0</v>
      </c>
      <c r="R57" s="1899"/>
      <c r="S57" s="1899"/>
    </row>
    <row r="58" spans="1:19" ht="18.75" hidden="1" x14ac:dyDescent="0.15">
      <c r="A58" s="2968"/>
      <c r="B58" s="2947"/>
      <c r="C58" s="1930" t="s">
        <v>339</v>
      </c>
      <c r="D58" s="1942">
        <v>0.28000000000000003</v>
      </c>
      <c r="E58" s="1894" t="s">
        <v>1064</v>
      </c>
      <c r="F58" s="1904"/>
      <c r="G58" s="2920"/>
      <c r="H58" s="2920"/>
      <c r="I58" s="2920"/>
      <c r="J58" s="2920"/>
      <c r="K58" s="2920"/>
      <c r="L58" s="2920"/>
      <c r="M58" s="2920"/>
      <c r="N58" s="2926">
        <f>+TRUNC(+SUM(G58:M59),2)</f>
        <v>0</v>
      </c>
      <c r="O58" s="578">
        <f>SUM(G58:N58)</f>
        <v>0</v>
      </c>
      <c r="Q58" s="1899"/>
      <c r="R58" s="1899"/>
      <c r="S58" s="1899"/>
    </row>
    <row r="59" spans="1:19" ht="49.5" hidden="1" x14ac:dyDescent="0.15">
      <c r="A59" s="2968"/>
      <c r="B59" s="2947"/>
      <c r="C59" s="1893" t="s">
        <v>2361</v>
      </c>
      <c r="D59" s="1944"/>
      <c r="E59" s="1897" t="s">
        <v>1064</v>
      </c>
      <c r="F59" s="1928"/>
      <c r="G59" s="2921"/>
      <c r="H59" s="2921"/>
      <c r="I59" s="2921"/>
      <c r="J59" s="2921"/>
      <c r="K59" s="2921"/>
      <c r="L59" s="2921"/>
      <c r="M59" s="2921"/>
      <c r="N59" s="2927"/>
      <c r="O59" s="579">
        <f>+O58</f>
        <v>0</v>
      </c>
      <c r="R59" s="1899"/>
      <c r="S59" s="1899"/>
    </row>
    <row r="60" spans="1:19" ht="18.75" hidden="1" x14ac:dyDescent="0.15">
      <c r="A60" s="2968"/>
      <c r="B60" s="2947"/>
      <c r="C60" s="1930" t="s">
        <v>339</v>
      </c>
      <c r="D60" s="1942">
        <v>0.28000000000000003</v>
      </c>
      <c r="E60" s="1894" t="s">
        <v>1064</v>
      </c>
      <c r="F60" s="1904"/>
      <c r="G60" s="2920"/>
      <c r="H60" s="2920"/>
      <c r="I60" s="2920"/>
      <c r="J60" s="2920"/>
      <c r="K60" s="2920"/>
      <c r="L60" s="2920"/>
      <c r="M60" s="2920"/>
      <c r="N60" s="2926">
        <f>+TRUNC(+SUM(G60:M61),2)</f>
        <v>0</v>
      </c>
      <c r="O60" s="578">
        <f>SUM(G60:N60)</f>
        <v>0</v>
      </c>
      <c r="Q60" s="1899"/>
      <c r="R60" s="1899"/>
      <c r="S60" s="1899"/>
    </row>
    <row r="61" spans="1:19" ht="49.5" hidden="1" x14ac:dyDescent="0.15">
      <c r="A61" s="2968"/>
      <c r="B61" s="2947"/>
      <c r="C61" s="1893" t="s">
        <v>2360</v>
      </c>
      <c r="D61" s="1944"/>
      <c r="E61" s="1897" t="s">
        <v>1064</v>
      </c>
      <c r="F61" s="1928"/>
      <c r="G61" s="2921"/>
      <c r="H61" s="2921"/>
      <c r="I61" s="2921"/>
      <c r="J61" s="2921"/>
      <c r="K61" s="2921"/>
      <c r="L61" s="2921"/>
      <c r="M61" s="2921"/>
      <c r="N61" s="2927"/>
      <c r="O61" s="579">
        <f>+O60</f>
        <v>0</v>
      </c>
      <c r="R61" s="1899"/>
      <c r="S61" s="1899"/>
    </row>
    <row r="62" spans="1:19" ht="18.75" hidden="1" x14ac:dyDescent="0.15">
      <c r="A62" s="2968"/>
      <c r="B62" s="2947"/>
      <c r="C62" s="1930" t="s">
        <v>339</v>
      </c>
      <c r="D62" s="1942">
        <v>0.28000000000000003</v>
      </c>
      <c r="E62" s="1894" t="s">
        <v>1064</v>
      </c>
      <c r="F62" s="1904"/>
      <c r="G62" s="2920"/>
      <c r="H62" s="2920"/>
      <c r="I62" s="2920"/>
      <c r="J62" s="2920"/>
      <c r="K62" s="2920"/>
      <c r="L62" s="2920"/>
      <c r="M62" s="2920"/>
      <c r="N62" s="2926">
        <f>+TRUNC(+SUM(G62:M63),2)</f>
        <v>0</v>
      </c>
      <c r="O62" s="578">
        <f>SUM(G62:N62)</f>
        <v>0</v>
      </c>
      <c r="Q62" s="1899"/>
      <c r="R62" s="1899"/>
      <c r="S62" s="1899"/>
    </row>
    <row r="63" spans="1:19" ht="49.5" hidden="1" x14ac:dyDescent="0.15">
      <c r="A63" s="2968"/>
      <c r="B63" s="2947"/>
      <c r="C63" s="1893" t="s">
        <v>2359</v>
      </c>
      <c r="D63" s="1944"/>
      <c r="E63" s="1897" t="s">
        <v>1064</v>
      </c>
      <c r="F63" s="1928"/>
      <c r="G63" s="2921"/>
      <c r="H63" s="2921"/>
      <c r="I63" s="2921"/>
      <c r="J63" s="2921"/>
      <c r="K63" s="2921"/>
      <c r="L63" s="2921"/>
      <c r="M63" s="2921"/>
      <c r="N63" s="2927"/>
      <c r="O63" s="579">
        <f>+O62</f>
        <v>0</v>
      </c>
      <c r="R63" s="1899"/>
      <c r="S63" s="1899"/>
    </row>
    <row r="64" spans="1:19" ht="18.75" hidden="1" x14ac:dyDescent="0.15">
      <c r="A64" s="2968"/>
      <c r="B64" s="2947"/>
      <c r="C64" s="1930" t="s">
        <v>339</v>
      </c>
      <c r="D64" s="1942">
        <v>0.28000000000000003</v>
      </c>
      <c r="E64" s="1894" t="s">
        <v>1064</v>
      </c>
      <c r="F64" s="1904"/>
      <c r="G64" s="2920"/>
      <c r="H64" s="2920"/>
      <c r="I64" s="2920"/>
      <c r="J64" s="2920"/>
      <c r="K64" s="2920"/>
      <c r="L64" s="2920"/>
      <c r="M64" s="2920"/>
      <c r="N64" s="2926">
        <f>+TRUNC(+SUM(G64:M65),2)</f>
        <v>0</v>
      </c>
      <c r="O64" s="578">
        <f>SUM(G64:N64)</f>
        <v>0</v>
      </c>
      <c r="Q64" s="1899"/>
      <c r="R64" s="1899"/>
      <c r="S64" s="1899"/>
    </row>
    <row r="65" spans="1:19" ht="49.5" hidden="1" x14ac:dyDescent="0.15">
      <c r="A65" s="2968"/>
      <c r="B65" s="2947"/>
      <c r="C65" s="1893" t="s">
        <v>2358</v>
      </c>
      <c r="D65" s="1944"/>
      <c r="E65" s="1897" t="s">
        <v>1064</v>
      </c>
      <c r="F65" s="1928"/>
      <c r="G65" s="2921"/>
      <c r="H65" s="2921"/>
      <c r="I65" s="2921"/>
      <c r="J65" s="2921"/>
      <c r="K65" s="2921"/>
      <c r="L65" s="2921"/>
      <c r="M65" s="2921"/>
      <c r="N65" s="2927"/>
      <c r="O65" s="579">
        <f>+O64</f>
        <v>0</v>
      </c>
      <c r="R65" s="1899"/>
      <c r="S65" s="1899"/>
    </row>
    <row r="66" spans="1:19" ht="18.75" hidden="1" x14ac:dyDescent="0.15">
      <c r="A66" s="2968"/>
      <c r="B66" s="2947"/>
      <c r="C66" s="1930" t="s">
        <v>339</v>
      </c>
      <c r="D66" s="1942">
        <v>0.28000000000000003</v>
      </c>
      <c r="E66" s="1894" t="s">
        <v>1064</v>
      </c>
      <c r="F66" s="1904"/>
      <c r="G66" s="2920"/>
      <c r="H66" s="2920"/>
      <c r="I66" s="2920"/>
      <c r="J66" s="2920"/>
      <c r="K66" s="2920"/>
      <c r="L66" s="2920"/>
      <c r="M66" s="2920"/>
      <c r="N66" s="2926">
        <f>+TRUNC(+SUM(G66:M67),2)</f>
        <v>0</v>
      </c>
      <c r="O66" s="578">
        <f>SUM(G66:N66)</f>
        <v>0</v>
      </c>
      <c r="Q66" s="1899"/>
      <c r="R66" s="1899"/>
      <c r="S66" s="1899"/>
    </row>
    <row r="67" spans="1:19" ht="49.5" hidden="1" x14ac:dyDescent="0.15">
      <c r="A67" s="2968"/>
      <c r="B67" s="2947"/>
      <c r="C67" s="1929" t="s">
        <v>2031</v>
      </c>
      <c r="D67" s="1944"/>
      <c r="E67" s="1897" t="s">
        <v>1064</v>
      </c>
      <c r="F67" s="1928"/>
      <c r="G67" s="2921"/>
      <c r="H67" s="2921"/>
      <c r="I67" s="2921"/>
      <c r="J67" s="2921"/>
      <c r="K67" s="2921"/>
      <c r="L67" s="2921"/>
      <c r="M67" s="2921"/>
      <c r="N67" s="2927"/>
      <c r="O67" s="579">
        <f>+O66</f>
        <v>0</v>
      </c>
      <c r="R67" s="1899"/>
      <c r="S67" s="1899"/>
    </row>
    <row r="68" spans="1:19" ht="18.75" hidden="1" x14ac:dyDescent="0.15">
      <c r="A68" s="2968"/>
      <c r="B68" s="2947"/>
      <c r="C68" s="1930" t="s">
        <v>339</v>
      </c>
      <c r="D68" s="1942">
        <v>0.28000000000000003</v>
      </c>
      <c r="E68" s="1894" t="s">
        <v>1064</v>
      </c>
      <c r="F68" s="1904"/>
      <c r="G68" s="2920"/>
      <c r="H68" s="2920"/>
      <c r="I68" s="2920"/>
      <c r="J68" s="2920"/>
      <c r="K68" s="2920"/>
      <c r="L68" s="2920"/>
      <c r="M68" s="2920"/>
      <c r="N68" s="2926">
        <f>+TRUNC(+SUM(G68:M69),2)</f>
        <v>0</v>
      </c>
      <c r="O68" s="578">
        <f>SUM(G68:N68)</f>
        <v>0</v>
      </c>
      <c r="Q68" s="1899"/>
      <c r="R68" s="1899"/>
      <c r="S68" s="1899"/>
    </row>
    <row r="69" spans="1:19" ht="49.5" hidden="1" x14ac:dyDescent="0.15">
      <c r="A69" s="2968"/>
      <c r="B69" s="2947"/>
      <c r="C69" s="1929" t="s">
        <v>2357</v>
      </c>
      <c r="D69" s="1944"/>
      <c r="E69" s="1897" t="s">
        <v>1064</v>
      </c>
      <c r="F69" s="1928"/>
      <c r="G69" s="2921"/>
      <c r="H69" s="2921"/>
      <c r="I69" s="2921"/>
      <c r="J69" s="2921"/>
      <c r="K69" s="2921"/>
      <c r="L69" s="2921"/>
      <c r="M69" s="2921"/>
      <c r="N69" s="2927"/>
      <c r="O69" s="579">
        <f>+O68</f>
        <v>0</v>
      </c>
      <c r="R69" s="1899"/>
      <c r="S69" s="1899"/>
    </row>
    <row r="70" spans="1:19" ht="18.75" hidden="1" x14ac:dyDescent="0.15">
      <c r="A70" s="2968"/>
      <c r="B70" s="2947"/>
      <c r="C70" s="1930" t="s">
        <v>339</v>
      </c>
      <c r="D70" s="1942">
        <v>0.28000000000000003</v>
      </c>
      <c r="E70" s="1894" t="s">
        <v>1064</v>
      </c>
      <c r="F70" s="1904"/>
      <c r="G70" s="2920"/>
      <c r="H70" s="2920"/>
      <c r="I70" s="2920"/>
      <c r="J70" s="2920"/>
      <c r="K70" s="2920"/>
      <c r="L70" s="2920"/>
      <c r="M70" s="2920"/>
      <c r="N70" s="2926">
        <f>+TRUNC(+SUM(G70:M71),2)</f>
        <v>0</v>
      </c>
      <c r="O70" s="578">
        <f>SUM(G70:N70)</f>
        <v>0</v>
      </c>
      <c r="Q70" s="1899"/>
      <c r="R70" s="1899"/>
      <c r="S70" s="1899"/>
    </row>
    <row r="71" spans="1:19" ht="49.5" hidden="1" x14ac:dyDescent="0.15">
      <c r="A71" s="2968"/>
      <c r="B71" s="2947"/>
      <c r="C71" s="1893" t="s">
        <v>2356</v>
      </c>
      <c r="D71" s="1944"/>
      <c r="E71" s="1897" t="s">
        <v>1064</v>
      </c>
      <c r="F71" s="1928"/>
      <c r="G71" s="2921"/>
      <c r="H71" s="2921"/>
      <c r="I71" s="2921"/>
      <c r="J71" s="2921"/>
      <c r="K71" s="2921"/>
      <c r="L71" s="2921"/>
      <c r="M71" s="2921"/>
      <c r="N71" s="2927"/>
      <c r="O71" s="579">
        <f>+O70</f>
        <v>0</v>
      </c>
      <c r="R71" s="1899"/>
      <c r="S71" s="1899"/>
    </row>
    <row r="72" spans="1:19" ht="18.75" hidden="1" x14ac:dyDescent="0.15">
      <c r="A72" s="2968"/>
      <c r="B72" s="2947"/>
      <c r="C72" s="1930" t="s">
        <v>339</v>
      </c>
      <c r="D72" s="1942">
        <v>0.28000000000000003</v>
      </c>
      <c r="E72" s="1894" t="s">
        <v>1064</v>
      </c>
      <c r="F72" s="1904"/>
      <c r="G72" s="2920"/>
      <c r="H72" s="2920"/>
      <c r="I72" s="2920"/>
      <c r="J72" s="2920"/>
      <c r="K72" s="2920"/>
      <c r="L72" s="2920"/>
      <c r="M72" s="2920"/>
      <c r="N72" s="2926">
        <f>+TRUNC(+SUM(G72:M73),2)</f>
        <v>0</v>
      </c>
      <c r="O72" s="578">
        <f>SUM(G72:N72)</f>
        <v>0</v>
      </c>
      <c r="Q72" s="1899"/>
      <c r="R72" s="1899"/>
      <c r="S72" s="1899"/>
    </row>
    <row r="73" spans="1:19" ht="49.5" hidden="1" x14ac:dyDescent="0.15">
      <c r="A73" s="2968"/>
      <c r="B73" s="2947"/>
      <c r="C73" s="1893" t="s">
        <v>2355</v>
      </c>
      <c r="D73" s="1944"/>
      <c r="E73" s="1897" t="s">
        <v>1064</v>
      </c>
      <c r="F73" s="1928"/>
      <c r="G73" s="2921"/>
      <c r="H73" s="2921"/>
      <c r="I73" s="2921"/>
      <c r="J73" s="2921"/>
      <c r="K73" s="2921"/>
      <c r="L73" s="2921"/>
      <c r="M73" s="2921"/>
      <c r="N73" s="2927"/>
      <c r="O73" s="579">
        <f>+O72</f>
        <v>0</v>
      </c>
      <c r="R73" s="1899"/>
      <c r="S73" s="1899"/>
    </row>
    <row r="74" spans="1:19" ht="18.75" hidden="1" x14ac:dyDescent="0.15">
      <c r="A74" s="2968"/>
      <c r="B74" s="2947"/>
      <c r="C74" s="1930" t="s">
        <v>339</v>
      </c>
      <c r="D74" s="1942">
        <v>0.28000000000000003</v>
      </c>
      <c r="E74" s="1894" t="s">
        <v>1064</v>
      </c>
      <c r="F74" s="1904"/>
      <c r="G74" s="2920"/>
      <c r="H74" s="2920"/>
      <c r="I74" s="2920"/>
      <c r="J74" s="2920"/>
      <c r="K74" s="2920"/>
      <c r="L74" s="2920"/>
      <c r="M74" s="2920"/>
      <c r="N74" s="2926">
        <f>+TRUNC(+SUM(G74:M75),2)</f>
        <v>0</v>
      </c>
      <c r="O74" s="578">
        <f>SUM(G74:N74)</f>
        <v>0</v>
      </c>
      <c r="Q74" s="1899"/>
      <c r="R74" s="1899"/>
      <c r="S74" s="1899"/>
    </row>
    <row r="75" spans="1:19" ht="49.5" hidden="1" x14ac:dyDescent="0.15">
      <c r="A75" s="2968"/>
      <c r="B75" s="2947"/>
      <c r="C75" s="1893" t="s">
        <v>2354</v>
      </c>
      <c r="D75" s="1944"/>
      <c r="E75" s="1897" t="s">
        <v>1064</v>
      </c>
      <c r="F75" s="1928"/>
      <c r="G75" s="2921"/>
      <c r="H75" s="2921"/>
      <c r="I75" s="2921"/>
      <c r="J75" s="2921"/>
      <c r="K75" s="2921"/>
      <c r="L75" s="2921"/>
      <c r="M75" s="2921"/>
      <c r="N75" s="2927"/>
      <c r="O75" s="579">
        <f>+O74</f>
        <v>0</v>
      </c>
      <c r="R75" s="1899"/>
      <c r="S75" s="1899"/>
    </row>
    <row r="76" spans="1:19" ht="18.75" hidden="1" x14ac:dyDescent="0.15">
      <c r="A76" s="2968"/>
      <c r="B76" s="2947"/>
      <c r="C76" s="1930" t="s">
        <v>339</v>
      </c>
      <c r="D76" s="1942">
        <v>0.28000000000000003</v>
      </c>
      <c r="E76" s="1894" t="s">
        <v>1064</v>
      </c>
      <c r="F76" s="1904"/>
      <c r="G76" s="2920"/>
      <c r="H76" s="2920"/>
      <c r="I76" s="2920"/>
      <c r="J76" s="2920"/>
      <c r="K76" s="2920"/>
      <c r="L76" s="2920"/>
      <c r="M76" s="2920"/>
      <c r="N76" s="2926">
        <f>+TRUNC(+SUM(G76:M77),2)</f>
        <v>0</v>
      </c>
      <c r="O76" s="578">
        <f>SUM(G76:N76)</f>
        <v>0</v>
      </c>
      <c r="Q76" s="1899"/>
      <c r="R76" s="1899"/>
      <c r="S76" s="1899"/>
    </row>
    <row r="77" spans="1:19" ht="49.5" hidden="1" x14ac:dyDescent="0.15">
      <c r="A77" s="2968"/>
      <c r="B77" s="2947"/>
      <c r="C77" s="1893" t="s">
        <v>2353</v>
      </c>
      <c r="D77" s="1944"/>
      <c r="E77" s="1897" t="s">
        <v>1064</v>
      </c>
      <c r="F77" s="1928"/>
      <c r="G77" s="2921"/>
      <c r="H77" s="2921"/>
      <c r="I77" s="2921"/>
      <c r="J77" s="2921"/>
      <c r="K77" s="2921"/>
      <c r="L77" s="2921"/>
      <c r="M77" s="2921"/>
      <c r="N77" s="2927"/>
      <c r="O77" s="579">
        <f>+O76</f>
        <v>0</v>
      </c>
      <c r="R77" s="1899"/>
      <c r="S77" s="1899"/>
    </row>
    <row r="78" spans="1:19" ht="18.75" hidden="1" x14ac:dyDescent="0.15">
      <c r="A78" s="2968"/>
      <c r="B78" s="2947"/>
      <c r="C78" s="1930" t="s">
        <v>339</v>
      </c>
      <c r="D78" s="1942">
        <v>0.28000000000000003</v>
      </c>
      <c r="E78" s="1894" t="s">
        <v>1064</v>
      </c>
      <c r="F78" s="1904"/>
      <c r="G78" s="2920"/>
      <c r="H78" s="2920"/>
      <c r="I78" s="2920"/>
      <c r="J78" s="2920"/>
      <c r="K78" s="2920"/>
      <c r="L78" s="2920"/>
      <c r="M78" s="2920"/>
      <c r="N78" s="2926">
        <f>+TRUNC(+SUM(G78:M79),2)</f>
        <v>0</v>
      </c>
      <c r="O78" s="578">
        <f>SUM(G78:N78)</f>
        <v>0</v>
      </c>
      <c r="Q78" s="1899"/>
      <c r="R78" s="1899"/>
      <c r="S78" s="1899"/>
    </row>
    <row r="79" spans="1:19" ht="49.5" hidden="1" x14ac:dyDescent="0.15">
      <c r="A79" s="2968"/>
      <c r="B79" s="2947"/>
      <c r="C79" s="1893" t="s">
        <v>2352</v>
      </c>
      <c r="D79" s="1944"/>
      <c r="E79" s="1897" t="s">
        <v>1064</v>
      </c>
      <c r="F79" s="1928"/>
      <c r="G79" s="2921"/>
      <c r="H79" s="2921"/>
      <c r="I79" s="2921"/>
      <c r="J79" s="2921"/>
      <c r="K79" s="2921"/>
      <c r="L79" s="2921"/>
      <c r="M79" s="2921"/>
      <c r="N79" s="2927"/>
      <c r="O79" s="579">
        <f>+O78</f>
        <v>0</v>
      </c>
      <c r="R79" s="1899"/>
      <c r="S79" s="1899"/>
    </row>
    <row r="80" spans="1:19" ht="18.75" hidden="1" x14ac:dyDescent="0.15">
      <c r="A80" s="2968"/>
      <c r="B80" s="2947"/>
      <c r="C80" s="1930" t="s">
        <v>339</v>
      </c>
      <c r="D80" s="1942">
        <v>0.28000000000000003</v>
      </c>
      <c r="E80" s="1894" t="s">
        <v>1064</v>
      </c>
      <c r="F80" s="1904"/>
      <c r="G80" s="2920"/>
      <c r="H80" s="2920"/>
      <c r="I80" s="2920"/>
      <c r="J80" s="2920"/>
      <c r="K80" s="2920"/>
      <c r="L80" s="2920"/>
      <c r="M80" s="2920"/>
      <c r="N80" s="2926">
        <f>+TRUNC(+SUM(G80:M81),2)</f>
        <v>0</v>
      </c>
      <c r="O80" s="578">
        <f>SUM(G80:N80)</f>
        <v>0</v>
      </c>
      <c r="Q80" s="1899"/>
      <c r="R80" s="1899"/>
      <c r="S80" s="1899"/>
    </row>
    <row r="81" spans="1:19" ht="49.5" hidden="1" x14ac:dyDescent="0.15">
      <c r="A81" s="2968"/>
      <c r="B81" s="2947"/>
      <c r="C81" s="1893" t="s">
        <v>2351</v>
      </c>
      <c r="D81" s="1944"/>
      <c r="E81" s="1897" t="s">
        <v>1064</v>
      </c>
      <c r="F81" s="1928"/>
      <c r="G81" s="2921"/>
      <c r="H81" s="2921"/>
      <c r="I81" s="2921"/>
      <c r="J81" s="2921"/>
      <c r="K81" s="2921"/>
      <c r="L81" s="2921"/>
      <c r="M81" s="2921"/>
      <c r="N81" s="2927"/>
      <c r="O81" s="579">
        <f>+O80</f>
        <v>0</v>
      </c>
      <c r="R81" s="1899"/>
      <c r="S81" s="1899"/>
    </row>
    <row r="82" spans="1:19" ht="18.75" hidden="1" x14ac:dyDescent="0.15">
      <c r="A82" s="2968"/>
      <c r="B82" s="2947"/>
      <c r="C82" s="1930" t="s">
        <v>339</v>
      </c>
      <c r="D82" s="1942">
        <v>0.28000000000000003</v>
      </c>
      <c r="E82" s="1894" t="s">
        <v>1064</v>
      </c>
      <c r="F82" s="1904"/>
      <c r="G82" s="2920"/>
      <c r="H82" s="2920"/>
      <c r="I82" s="2920"/>
      <c r="J82" s="2920"/>
      <c r="K82" s="2920"/>
      <c r="L82" s="2920"/>
      <c r="M82" s="2920"/>
      <c r="N82" s="2926">
        <f>+TRUNC(+SUM(G82:M83),2)</f>
        <v>0</v>
      </c>
      <c r="O82" s="578">
        <f>SUM(G82:N82)</f>
        <v>0</v>
      </c>
      <c r="Q82" s="1899"/>
      <c r="R82" s="1899"/>
      <c r="S82" s="1899"/>
    </row>
    <row r="83" spans="1:19" ht="49.5" hidden="1" x14ac:dyDescent="0.15">
      <c r="A83" s="2968"/>
      <c r="B83" s="2947"/>
      <c r="C83" s="1893" t="s">
        <v>2350</v>
      </c>
      <c r="D83" s="1944"/>
      <c r="E83" s="1897" t="s">
        <v>1064</v>
      </c>
      <c r="F83" s="1928"/>
      <c r="G83" s="2921"/>
      <c r="H83" s="2921"/>
      <c r="I83" s="2921"/>
      <c r="J83" s="2921"/>
      <c r="K83" s="2921"/>
      <c r="L83" s="2921"/>
      <c r="M83" s="2921"/>
      <c r="N83" s="2927"/>
      <c r="O83" s="579">
        <f>+O82</f>
        <v>0</v>
      </c>
      <c r="R83" s="1899"/>
      <c r="S83" s="1899"/>
    </row>
    <row r="84" spans="1:19" ht="18.75" hidden="1" x14ac:dyDescent="0.15">
      <c r="A84" s="2968"/>
      <c r="B84" s="2947"/>
      <c r="C84" s="1930" t="s">
        <v>339</v>
      </c>
      <c r="D84" s="1942">
        <v>0.28000000000000003</v>
      </c>
      <c r="E84" s="1894" t="s">
        <v>1064</v>
      </c>
      <c r="F84" s="1904"/>
      <c r="G84" s="2920"/>
      <c r="H84" s="2920"/>
      <c r="I84" s="2920"/>
      <c r="J84" s="2920"/>
      <c r="K84" s="2920"/>
      <c r="L84" s="2920"/>
      <c r="M84" s="2920"/>
      <c r="N84" s="2926">
        <f>+TRUNC(+SUM(G84:M85),2)</f>
        <v>0</v>
      </c>
      <c r="O84" s="578">
        <f>SUM(G84:N84)</f>
        <v>0</v>
      </c>
      <c r="Q84" s="1899"/>
      <c r="R84" s="1899"/>
      <c r="S84" s="1899"/>
    </row>
    <row r="85" spans="1:19" ht="49.5" hidden="1" x14ac:dyDescent="0.15">
      <c r="A85" s="2968"/>
      <c r="B85" s="2947"/>
      <c r="C85" s="1893" t="s">
        <v>2349</v>
      </c>
      <c r="D85" s="1944"/>
      <c r="E85" s="1897" t="s">
        <v>1064</v>
      </c>
      <c r="F85" s="1928"/>
      <c r="G85" s="2921"/>
      <c r="H85" s="2921"/>
      <c r="I85" s="2921"/>
      <c r="J85" s="2921"/>
      <c r="K85" s="2921"/>
      <c r="L85" s="2921"/>
      <c r="M85" s="2921"/>
      <c r="N85" s="2927"/>
      <c r="O85" s="579">
        <f>+O84</f>
        <v>0</v>
      </c>
      <c r="R85" s="1899"/>
      <c r="S85" s="1899"/>
    </row>
    <row r="86" spans="1:19" ht="18.75" hidden="1" x14ac:dyDescent="0.15">
      <c r="A86" s="2968"/>
      <c r="B86" s="2947"/>
      <c r="C86" s="1930" t="s">
        <v>339</v>
      </c>
      <c r="D86" s="1942">
        <v>0.28000000000000003</v>
      </c>
      <c r="E86" s="1894" t="s">
        <v>1064</v>
      </c>
      <c r="F86" s="1904"/>
      <c r="G86" s="2920"/>
      <c r="H86" s="2920"/>
      <c r="I86" s="2920"/>
      <c r="J86" s="2920"/>
      <c r="K86" s="2920"/>
      <c r="L86" s="2920"/>
      <c r="M86" s="2920"/>
      <c r="N86" s="2926">
        <f>+TRUNC(+SUM(G86:M87),2)</f>
        <v>0</v>
      </c>
      <c r="O86" s="578">
        <f>SUM(G86:N86)</f>
        <v>0</v>
      </c>
      <c r="Q86" s="1899"/>
      <c r="R86" s="1899"/>
      <c r="S86" s="1899"/>
    </row>
    <row r="87" spans="1:19" ht="49.5" hidden="1" x14ac:dyDescent="0.15">
      <c r="A87" s="2968"/>
      <c r="B87" s="2947"/>
      <c r="C87" s="1893" t="s">
        <v>2348</v>
      </c>
      <c r="D87" s="1944"/>
      <c r="E87" s="1897" t="s">
        <v>1064</v>
      </c>
      <c r="F87" s="1928"/>
      <c r="G87" s="2921"/>
      <c r="H87" s="2921"/>
      <c r="I87" s="2921"/>
      <c r="J87" s="2921"/>
      <c r="K87" s="2921"/>
      <c r="L87" s="2921"/>
      <c r="M87" s="2921"/>
      <c r="N87" s="2927"/>
      <c r="O87" s="579">
        <f>+O86</f>
        <v>0</v>
      </c>
      <c r="R87" s="1899"/>
      <c r="S87" s="1899"/>
    </row>
    <row r="88" spans="1:19" ht="18.75" hidden="1" x14ac:dyDescent="0.15">
      <c r="A88" s="2968"/>
      <c r="B88" s="2947"/>
      <c r="C88" s="1930" t="s">
        <v>339</v>
      </c>
      <c r="D88" s="1942">
        <v>0.28000000000000003</v>
      </c>
      <c r="E88" s="1894" t="s">
        <v>1064</v>
      </c>
      <c r="F88" s="1904"/>
      <c r="G88" s="2920"/>
      <c r="H88" s="2920"/>
      <c r="I88" s="2920"/>
      <c r="J88" s="2920"/>
      <c r="K88" s="2920"/>
      <c r="L88" s="2920"/>
      <c r="M88" s="2920"/>
      <c r="N88" s="2926">
        <f>+TRUNC(+SUM(G88:M89),2)</f>
        <v>0</v>
      </c>
      <c r="O88" s="578">
        <f>SUM(G88:N88)</f>
        <v>0</v>
      </c>
      <c r="Q88" s="1899"/>
      <c r="R88" s="1899"/>
      <c r="S88" s="1899"/>
    </row>
    <row r="89" spans="1:19" ht="49.5" hidden="1" x14ac:dyDescent="0.15">
      <c r="A89" s="2968"/>
      <c r="B89" s="2947"/>
      <c r="C89" s="1893" t="s">
        <v>2347</v>
      </c>
      <c r="D89" s="1944"/>
      <c r="E89" s="1897" t="s">
        <v>1064</v>
      </c>
      <c r="F89" s="1928"/>
      <c r="G89" s="2921"/>
      <c r="H89" s="2921"/>
      <c r="I89" s="2921"/>
      <c r="J89" s="2921"/>
      <c r="K89" s="2921"/>
      <c r="L89" s="2921"/>
      <c r="M89" s="2921"/>
      <c r="N89" s="2927"/>
      <c r="O89" s="579">
        <f>+O88</f>
        <v>0</v>
      </c>
      <c r="R89" s="1899"/>
      <c r="S89" s="1899"/>
    </row>
    <row r="90" spans="1:19" ht="18.75" hidden="1" x14ac:dyDescent="0.15">
      <c r="A90" s="2968"/>
      <c r="B90" s="2947"/>
      <c r="C90" s="1930" t="s">
        <v>339</v>
      </c>
      <c r="D90" s="1942">
        <v>0.28000000000000003</v>
      </c>
      <c r="E90" s="1894" t="s">
        <v>1064</v>
      </c>
      <c r="F90" s="1904"/>
      <c r="G90" s="2920"/>
      <c r="H90" s="2920"/>
      <c r="I90" s="2920"/>
      <c r="J90" s="2920"/>
      <c r="K90" s="2920"/>
      <c r="L90" s="2920"/>
      <c r="M90" s="2920"/>
      <c r="N90" s="2926">
        <f>+TRUNC(+SUM(G90:M91),2)</f>
        <v>0</v>
      </c>
      <c r="O90" s="578">
        <f>SUM(G90:N90)</f>
        <v>0</v>
      </c>
      <c r="Q90" s="1899"/>
      <c r="R90" s="1899"/>
      <c r="S90" s="1899"/>
    </row>
    <row r="91" spans="1:19" ht="49.5" hidden="1" x14ac:dyDescent="0.15">
      <c r="A91" s="2968"/>
      <c r="B91" s="2947"/>
      <c r="C91" s="1893" t="s">
        <v>2346</v>
      </c>
      <c r="D91" s="1944"/>
      <c r="E91" s="1897" t="s">
        <v>1064</v>
      </c>
      <c r="F91" s="1928"/>
      <c r="G91" s="2921"/>
      <c r="H91" s="2921"/>
      <c r="I91" s="2921"/>
      <c r="J91" s="2921"/>
      <c r="K91" s="2921"/>
      <c r="L91" s="2921"/>
      <c r="M91" s="2921"/>
      <c r="N91" s="2927"/>
      <c r="O91" s="579">
        <f>+O90</f>
        <v>0</v>
      </c>
      <c r="R91" s="1899"/>
      <c r="S91" s="1899"/>
    </row>
    <row r="92" spans="1:19" ht="18.75" hidden="1" x14ac:dyDescent="0.15">
      <c r="A92" s="2968"/>
      <c r="B92" s="2947"/>
      <c r="C92" s="1930" t="s">
        <v>339</v>
      </c>
      <c r="D92" s="1942">
        <v>0.28000000000000003</v>
      </c>
      <c r="E92" s="1894" t="s">
        <v>1064</v>
      </c>
      <c r="F92" s="1904"/>
      <c r="G92" s="2920"/>
      <c r="H92" s="2920"/>
      <c r="I92" s="2920"/>
      <c r="J92" s="2920"/>
      <c r="K92" s="2920"/>
      <c r="L92" s="2920"/>
      <c r="M92" s="2920"/>
      <c r="N92" s="2926">
        <f>+TRUNC(+SUM(G92:M93),2)</f>
        <v>0</v>
      </c>
      <c r="O92" s="578">
        <f>SUM(G92:N92)</f>
        <v>0</v>
      </c>
      <c r="Q92" s="1899"/>
      <c r="R92" s="1899"/>
      <c r="S92" s="1899"/>
    </row>
    <row r="93" spans="1:19" ht="49.5" hidden="1" x14ac:dyDescent="0.15">
      <c r="A93" s="2968"/>
      <c r="B93" s="2947"/>
      <c r="C93" s="1893" t="s">
        <v>2345</v>
      </c>
      <c r="D93" s="1944"/>
      <c r="E93" s="1897" t="s">
        <v>1064</v>
      </c>
      <c r="F93" s="1928"/>
      <c r="G93" s="2921"/>
      <c r="H93" s="2921"/>
      <c r="I93" s="2921"/>
      <c r="J93" s="2921"/>
      <c r="K93" s="2921"/>
      <c r="L93" s="2921"/>
      <c r="M93" s="2921"/>
      <c r="N93" s="2927"/>
      <c r="O93" s="579">
        <f>+O92</f>
        <v>0</v>
      </c>
      <c r="R93" s="1899"/>
      <c r="S93" s="1899"/>
    </row>
    <row r="94" spans="1:19" ht="18.75" hidden="1" x14ac:dyDescent="0.15">
      <c r="A94" s="2968"/>
      <c r="B94" s="2947"/>
      <c r="C94" s="1930" t="s">
        <v>339</v>
      </c>
      <c r="D94" s="1942">
        <v>0.28000000000000003</v>
      </c>
      <c r="E94" s="1894" t="s">
        <v>1064</v>
      </c>
      <c r="F94" s="1904"/>
      <c r="G94" s="2920"/>
      <c r="H94" s="2920"/>
      <c r="I94" s="2920"/>
      <c r="J94" s="2920"/>
      <c r="K94" s="2920"/>
      <c r="L94" s="2920"/>
      <c r="M94" s="2920"/>
      <c r="N94" s="2926">
        <f>+TRUNC(+SUM(G94:M95),2)</f>
        <v>0</v>
      </c>
      <c r="O94" s="578">
        <f>SUM(G94:N94)</f>
        <v>0</v>
      </c>
      <c r="Q94" s="1899"/>
      <c r="R94" s="1899"/>
      <c r="S94" s="1899"/>
    </row>
    <row r="95" spans="1:19" ht="49.5" hidden="1" x14ac:dyDescent="0.15">
      <c r="A95" s="2968"/>
      <c r="B95" s="2947"/>
      <c r="C95" s="1893" t="s">
        <v>2344</v>
      </c>
      <c r="D95" s="1944"/>
      <c r="E95" s="1897" t="s">
        <v>1064</v>
      </c>
      <c r="F95" s="1928"/>
      <c r="G95" s="2921"/>
      <c r="H95" s="2921"/>
      <c r="I95" s="2921"/>
      <c r="J95" s="2921"/>
      <c r="K95" s="2921"/>
      <c r="L95" s="2921"/>
      <c r="M95" s="2921"/>
      <c r="N95" s="2927"/>
      <c r="O95" s="579">
        <f>+O94</f>
        <v>0</v>
      </c>
      <c r="R95" s="1899"/>
      <c r="S95" s="1899"/>
    </row>
    <row r="96" spans="1:19" ht="18.75" hidden="1" x14ac:dyDescent="0.15">
      <c r="A96" s="2968"/>
      <c r="B96" s="2947"/>
      <c r="C96" s="1930" t="s">
        <v>339</v>
      </c>
      <c r="D96" s="1942">
        <v>0.28000000000000003</v>
      </c>
      <c r="E96" s="1894" t="s">
        <v>1064</v>
      </c>
      <c r="F96" s="1904"/>
      <c r="G96" s="2920"/>
      <c r="H96" s="2920"/>
      <c r="I96" s="2920"/>
      <c r="J96" s="2920"/>
      <c r="K96" s="2920"/>
      <c r="L96" s="2920"/>
      <c r="M96" s="2920"/>
      <c r="N96" s="2926">
        <f>+TRUNC(+SUM(G96:M97),2)</f>
        <v>0</v>
      </c>
      <c r="O96" s="578">
        <f>SUM(G96:N96)</f>
        <v>0</v>
      </c>
      <c r="Q96" s="1899"/>
      <c r="R96" s="1899"/>
      <c r="S96" s="1899"/>
    </row>
    <row r="97" spans="1:19" ht="49.5" hidden="1" x14ac:dyDescent="0.15">
      <c r="A97" s="2968"/>
      <c r="B97" s="2947"/>
      <c r="C97" s="1893" t="s">
        <v>2343</v>
      </c>
      <c r="D97" s="1944"/>
      <c r="E97" s="1897" t="s">
        <v>1064</v>
      </c>
      <c r="F97" s="1928"/>
      <c r="G97" s="2921"/>
      <c r="H97" s="2921"/>
      <c r="I97" s="2921"/>
      <c r="J97" s="2921"/>
      <c r="K97" s="2921"/>
      <c r="L97" s="2921"/>
      <c r="M97" s="2921"/>
      <c r="N97" s="2927"/>
      <c r="O97" s="579">
        <f>+O96</f>
        <v>0</v>
      </c>
      <c r="R97" s="1899"/>
      <c r="S97" s="1899"/>
    </row>
    <row r="98" spans="1:19" ht="18.75" hidden="1" x14ac:dyDescent="0.15">
      <c r="A98" s="2968"/>
      <c r="B98" s="2947"/>
      <c r="C98" s="1930" t="s">
        <v>339</v>
      </c>
      <c r="D98" s="1942">
        <v>0.28000000000000003</v>
      </c>
      <c r="E98" s="1894" t="s">
        <v>1064</v>
      </c>
      <c r="F98" s="1904"/>
      <c r="G98" s="2920"/>
      <c r="H98" s="2920"/>
      <c r="I98" s="2920"/>
      <c r="J98" s="2920"/>
      <c r="K98" s="2920"/>
      <c r="L98" s="2920"/>
      <c r="M98" s="2920"/>
      <c r="N98" s="2926">
        <f>+TRUNC(+SUM(G98:M99),2)</f>
        <v>0</v>
      </c>
      <c r="O98" s="578">
        <f>SUM(G98:N98)</f>
        <v>0</v>
      </c>
      <c r="Q98" s="1899"/>
      <c r="R98" s="1899"/>
      <c r="S98" s="1899"/>
    </row>
    <row r="99" spans="1:19" ht="49.5" hidden="1" x14ac:dyDescent="0.15">
      <c r="A99" s="2968"/>
      <c r="B99" s="2947"/>
      <c r="C99" s="1893" t="s">
        <v>2342</v>
      </c>
      <c r="D99" s="1944"/>
      <c r="E99" s="1897" t="s">
        <v>1064</v>
      </c>
      <c r="F99" s="1928"/>
      <c r="G99" s="2921"/>
      <c r="H99" s="2921"/>
      <c r="I99" s="2921"/>
      <c r="J99" s="2921"/>
      <c r="K99" s="2921"/>
      <c r="L99" s="2921"/>
      <c r="M99" s="2921"/>
      <c r="N99" s="2927"/>
      <c r="O99" s="579">
        <f>+O98</f>
        <v>0</v>
      </c>
      <c r="R99" s="1899"/>
      <c r="S99" s="1899"/>
    </row>
    <row r="100" spans="1:19" ht="18.75" hidden="1" x14ac:dyDescent="0.15">
      <c r="A100" s="2968"/>
      <c r="B100" s="2947"/>
      <c r="C100" s="1930" t="s">
        <v>339</v>
      </c>
      <c r="D100" s="1942">
        <v>0.28000000000000003</v>
      </c>
      <c r="E100" s="1894" t="s">
        <v>1064</v>
      </c>
      <c r="F100" s="1904"/>
      <c r="G100" s="2920"/>
      <c r="H100" s="2920"/>
      <c r="I100" s="2920"/>
      <c r="J100" s="2920"/>
      <c r="K100" s="2920"/>
      <c r="L100" s="2920"/>
      <c r="M100" s="2920"/>
      <c r="N100" s="2926">
        <f>+TRUNC(+SUM(G100:M101),2)</f>
        <v>0</v>
      </c>
      <c r="O100" s="578">
        <f>SUM(G100:N100)</f>
        <v>0</v>
      </c>
      <c r="Q100" s="1899"/>
      <c r="R100" s="1899"/>
      <c r="S100" s="1899"/>
    </row>
    <row r="101" spans="1:19" ht="49.5" hidden="1" x14ac:dyDescent="0.15">
      <c r="A101" s="2968"/>
      <c r="B101" s="2947"/>
      <c r="C101" s="1893" t="s">
        <v>2341</v>
      </c>
      <c r="D101" s="1944"/>
      <c r="E101" s="1897" t="s">
        <v>1064</v>
      </c>
      <c r="F101" s="1928"/>
      <c r="G101" s="2921"/>
      <c r="H101" s="2921"/>
      <c r="I101" s="2921"/>
      <c r="J101" s="2921"/>
      <c r="K101" s="2921"/>
      <c r="L101" s="2921"/>
      <c r="M101" s="2921"/>
      <c r="N101" s="2927"/>
      <c r="O101" s="579">
        <f>+O100</f>
        <v>0</v>
      </c>
      <c r="R101" s="1899"/>
      <c r="S101" s="1899"/>
    </row>
    <row r="102" spans="1:19" ht="18.75" hidden="1" x14ac:dyDescent="0.15">
      <c r="A102" s="2968"/>
      <c r="B102" s="2947"/>
      <c r="C102" s="1930" t="s">
        <v>339</v>
      </c>
      <c r="D102" s="1942">
        <v>0.28000000000000003</v>
      </c>
      <c r="E102" s="1894" t="s">
        <v>1064</v>
      </c>
      <c r="F102" s="1904"/>
      <c r="G102" s="2920"/>
      <c r="H102" s="2920"/>
      <c r="I102" s="2920"/>
      <c r="J102" s="2920"/>
      <c r="K102" s="2920"/>
      <c r="L102" s="2920"/>
      <c r="M102" s="2920"/>
      <c r="N102" s="2926">
        <f>+TRUNC(+SUM(G102:M103),2)</f>
        <v>0</v>
      </c>
      <c r="O102" s="578">
        <f>SUM(G102:N102)</f>
        <v>0</v>
      </c>
      <c r="Q102" s="1899"/>
      <c r="R102" s="1899"/>
      <c r="S102" s="1899"/>
    </row>
    <row r="103" spans="1:19" ht="49.5" hidden="1" x14ac:dyDescent="0.15">
      <c r="A103" s="2968"/>
      <c r="B103" s="2947"/>
      <c r="C103" s="1893" t="s">
        <v>2340</v>
      </c>
      <c r="D103" s="1944"/>
      <c r="E103" s="1897" t="s">
        <v>1064</v>
      </c>
      <c r="F103" s="1928"/>
      <c r="G103" s="2921"/>
      <c r="H103" s="2921"/>
      <c r="I103" s="2921"/>
      <c r="J103" s="2921"/>
      <c r="K103" s="2921"/>
      <c r="L103" s="2921"/>
      <c r="M103" s="2921"/>
      <c r="N103" s="2927"/>
      <c r="O103" s="579">
        <f>+O102</f>
        <v>0</v>
      </c>
      <c r="R103" s="1899"/>
      <c r="S103" s="1899"/>
    </row>
    <row r="104" spans="1:19" ht="18.75" hidden="1" x14ac:dyDescent="0.15">
      <c r="A104" s="2968"/>
      <c r="B104" s="2947"/>
      <c r="C104" s="1930" t="s">
        <v>339</v>
      </c>
      <c r="D104" s="1942">
        <v>0.28000000000000003</v>
      </c>
      <c r="E104" s="1894" t="s">
        <v>1064</v>
      </c>
      <c r="F104" s="1904"/>
      <c r="G104" s="2920"/>
      <c r="H104" s="2920"/>
      <c r="I104" s="2920"/>
      <c r="J104" s="2920"/>
      <c r="K104" s="2920"/>
      <c r="L104" s="2920"/>
      <c r="M104" s="2920"/>
      <c r="N104" s="2926">
        <f>+TRUNC(+SUM(G104:M105),2)</f>
        <v>0</v>
      </c>
      <c r="O104" s="578">
        <f>SUM(G104:N104)</f>
        <v>0</v>
      </c>
      <c r="Q104" s="1899"/>
      <c r="R104" s="1899"/>
      <c r="S104" s="1899"/>
    </row>
    <row r="105" spans="1:19" ht="49.5" hidden="1" x14ac:dyDescent="0.15">
      <c r="A105" s="2968"/>
      <c r="B105" s="2947"/>
      <c r="C105" s="1893" t="s">
        <v>2339</v>
      </c>
      <c r="D105" s="1944"/>
      <c r="E105" s="1897" t="s">
        <v>1064</v>
      </c>
      <c r="F105" s="1928"/>
      <c r="G105" s="2921"/>
      <c r="H105" s="2921"/>
      <c r="I105" s="2921"/>
      <c r="J105" s="2921"/>
      <c r="K105" s="2921"/>
      <c r="L105" s="2921"/>
      <c r="M105" s="2921"/>
      <c r="N105" s="2927"/>
      <c r="O105" s="579">
        <f>+O104</f>
        <v>0</v>
      </c>
      <c r="R105" s="1899"/>
      <c r="S105" s="1899"/>
    </row>
    <row r="106" spans="1:19" ht="18.75" hidden="1" x14ac:dyDescent="0.15">
      <c r="A106" s="2968"/>
      <c r="B106" s="2947"/>
      <c r="C106" s="1930" t="s">
        <v>339</v>
      </c>
      <c r="D106" s="1942">
        <v>0.28000000000000003</v>
      </c>
      <c r="E106" s="1894" t="s">
        <v>1064</v>
      </c>
      <c r="F106" s="1904"/>
      <c r="G106" s="2920"/>
      <c r="H106" s="2920"/>
      <c r="I106" s="2920"/>
      <c r="J106" s="2920"/>
      <c r="K106" s="2920"/>
      <c r="L106" s="2920"/>
      <c r="M106" s="2920"/>
      <c r="N106" s="2926">
        <f>+TRUNC(+SUM(G106:M107),2)</f>
        <v>0</v>
      </c>
      <c r="O106" s="578">
        <f>SUM(G106:N106)</f>
        <v>0</v>
      </c>
      <c r="Q106" s="1899"/>
      <c r="R106" s="1899"/>
      <c r="S106" s="1899"/>
    </row>
    <row r="107" spans="1:19" ht="49.5" hidden="1" x14ac:dyDescent="0.15">
      <c r="A107" s="2968"/>
      <c r="B107" s="2947"/>
      <c r="C107" s="1893" t="s">
        <v>2338</v>
      </c>
      <c r="D107" s="1944"/>
      <c r="E107" s="1897" t="s">
        <v>1064</v>
      </c>
      <c r="F107" s="1928"/>
      <c r="G107" s="2921"/>
      <c r="H107" s="2921"/>
      <c r="I107" s="2921"/>
      <c r="J107" s="2921"/>
      <c r="K107" s="2921"/>
      <c r="L107" s="2921"/>
      <c r="M107" s="2921"/>
      <c r="N107" s="2927"/>
      <c r="O107" s="579">
        <f>+O106</f>
        <v>0</v>
      </c>
      <c r="R107" s="1899"/>
      <c r="S107" s="1899"/>
    </row>
    <row r="108" spans="1:19" ht="18.75" hidden="1" x14ac:dyDescent="0.15">
      <c r="A108" s="2968"/>
      <c r="B108" s="2947"/>
      <c r="C108" s="1930" t="s">
        <v>339</v>
      </c>
      <c r="D108" s="1942">
        <v>0.28000000000000003</v>
      </c>
      <c r="E108" s="1894" t="s">
        <v>1064</v>
      </c>
      <c r="F108" s="1904"/>
      <c r="G108" s="2920"/>
      <c r="H108" s="2920"/>
      <c r="I108" s="2920"/>
      <c r="J108" s="2920"/>
      <c r="K108" s="2920"/>
      <c r="L108" s="2920"/>
      <c r="M108" s="2920"/>
      <c r="N108" s="2926">
        <f>+TRUNC(+SUM(G108:M109),2)</f>
        <v>0</v>
      </c>
      <c r="O108" s="578">
        <f>SUM(G108:N108)</f>
        <v>0</v>
      </c>
      <c r="Q108" s="1899"/>
      <c r="R108" s="1899"/>
      <c r="S108" s="1899"/>
    </row>
    <row r="109" spans="1:19" ht="49.5" hidden="1" x14ac:dyDescent="0.15">
      <c r="A109" s="2968"/>
      <c r="B109" s="2947"/>
      <c r="C109" s="1893" t="s">
        <v>2337</v>
      </c>
      <c r="D109" s="1944"/>
      <c r="E109" s="1897" t="s">
        <v>1064</v>
      </c>
      <c r="F109" s="1928"/>
      <c r="G109" s="2921"/>
      <c r="H109" s="2921"/>
      <c r="I109" s="2921"/>
      <c r="J109" s="2921"/>
      <c r="K109" s="2921"/>
      <c r="L109" s="2921"/>
      <c r="M109" s="2921"/>
      <c r="N109" s="2927"/>
      <c r="O109" s="579">
        <f>+O108</f>
        <v>0</v>
      </c>
      <c r="R109" s="1899"/>
      <c r="S109" s="1899"/>
    </row>
    <row r="110" spans="1:19" ht="18.75" hidden="1" x14ac:dyDescent="0.15">
      <c r="A110" s="2968"/>
      <c r="B110" s="2947"/>
      <c r="C110" s="1930" t="s">
        <v>339</v>
      </c>
      <c r="D110" s="1942">
        <v>0.28000000000000003</v>
      </c>
      <c r="E110" s="1894" t="s">
        <v>1064</v>
      </c>
      <c r="F110" s="1904"/>
      <c r="G110" s="2920"/>
      <c r="H110" s="2920"/>
      <c r="I110" s="2920"/>
      <c r="J110" s="2920"/>
      <c r="K110" s="2920"/>
      <c r="L110" s="2920"/>
      <c r="M110" s="2920"/>
      <c r="N110" s="2926">
        <f>+TRUNC(+SUM(G110:M111),2)</f>
        <v>0</v>
      </c>
      <c r="O110" s="578">
        <f>SUM(G110:N110)</f>
        <v>0</v>
      </c>
      <c r="Q110" s="1899"/>
      <c r="R110" s="1899"/>
      <c r="S110" s="1899"/>
    </row>
    <row r="111" spans="1:19" ht="49.5" hidden="1" x14ac:dyDescent="0.15">
      <c r="A111" s="2968"/>
      <c r="B111" s="2947"/>
      <c r="C111" s="1893" t="s">
        <v>2336</v>
      </c>
      <c r="D111" s="1944"/>
      <c r="E111" s="1897" t="s">
        <v>1064</v>
      </c>
      <c r="F111" s="1928"/>
      <c r="G111" s="2921"/>
      <c r="H111" s="2921"/>
      <c r="I111" s="2921"/>
      <c r="J111" s="2921"/>
      <c r="K111" s="2921"/>
      <c r="L111" s="2921"/>
      <c r="M111" s="2921"/>
      <c r="N111" s="2927"/>
      <c r="O111" s="579">
        <f>+O110</f>
        <v>0</v>
      </c>
      <c r="R111" s="1899"/>
      <c r="S111" s="1899"/>
    </row>
    <row r="112" spans="1:19" ht="18.75" hidden="1" x14ac:dyDescent="0.15">
      <c r="A112" s="2968"/>
      <c r="B112" s="2947"/>
      <c r="C112" s="1930" t="s">
        <v>339</v>
      </c>
      <c r="D112" s="1942">
        <v>0.28000000000000003</v>
      </c>
      <c r="E112" s="1894" t="s">
        <v>1064</v>
      </c>
      <c r="F112" s="1904"/>
      <c r="G112" s="2920"/>
      <c r="H112" s="2920"/>
      <c r="I112" s="2920"/>
      <c r="J112" s="2920"/>
      <c r="K112" s="2920"/>
      <c r="L112" s="2920"/>
      <c r="M112" s="2920"/>
      <c r="N112" s="2926">
        <f>+TRUNC(+SUM(G112:M113),2)</f>
        <v>0</v>
      </c>
      <c r="O112" s="578">
        <f>SUM(G112:N112)</f>
        <v>0</v>
      </c>
      <c r="Q112" s="1899"/>
      <c r="R112" s="1899"/>
      <c r="S112" s="1899"/>
    </row>
    <row r="113" spans="1:19" ht="49.5" hidden="1" x14ac:dyDescent="0.15">
      <c r="A113" s="2968"/>
      <c r="B113" s="2947"/>
      <c r="C113" s="1893" t="s">
        <v>2335</v>
      </c>
      <c r="D113" s="1944"/>
      <c r="E113" s="1897" t="s">
        <v>1064</v>
      </c>
      <c r="F113" s="1928"/>
      <c r="G113" s="2921"/>
      <c r="H113" s="2921"/>
      <c r="I113" s="2921"/>
      <c r="J113" s="2921"/>
      <c r="K113" s="2921"/>
      <c r="L113" s="2921"/>
      <c r="M113" s="2921"/>
      <c r="N113" s="2927"/>
      <c r="O113" s="579">
        <f>+O112</f>
        <v>0</v>
      </c>
      <c r="R113" s="1899"/>
      <c r="S113" s="1899"/>
    </row>
    <row r="114" spans="1:19" ht="18.75" hidden="1" x14ac:dyDescent="0.15">
      <c r="A114" s="2968"/>
      <c r="B114" s="2947"/>
      <c r="C114" s="1930" t="s">
        <v>339</v>
      </c>
      <c r="D114" s="1942">
        <v>0.36</v>
      </c>
      <c r="E114" s="1894" t="s">
        <v>1064</v>
      </c>
      <c r="F114" s="1904"/>
      <c r="G114" s="2920"/>
      <c r="H114" s="2920"/>
      <c r="I114" s="2920"/>
      <c r="J114" s="2920"/>
      <c r="K114" s="2920"/>
      <c r="L114" s="2920"/>
      <c r="M114" s="2920"/>
      <c r="N114" s="2926">
        <f>+TRUNC(+SUM(G114:M115),2)</f>
        <v>0</v>
      </c>
      <c r="O114" s="578">
        <f>SUM(G114:N114)</f>
        <v>0</v>
      </c>
      <c r="R114" s="1899"/>
      <c r="S114" s="1899"/>
    </row>
    <row r="115" spans="1:19" ht="49.5" hidden="1" x14ac:dyDescent="0.15">
      <c r="A115" s="2968"/>
      <c r="B115" s="2947"/>
      <c r="C115" s="1893" t="s">
        <v>2334</v>
      </c>
      <c r="D115" s="1944"/>
      <c r="E115" s="1897" t="s">
        <v>1064</v>
      </c>
      <c r="F115" s="1928"/>
      <c r="G115" s="2921"/>
      <c r="H115" s="2921"/>
      <c r="I115" s="2921"/>
      <c r="J115" s="2921"/>
      <c r="K115" s="2921"/>
      <c r="L115" s="2921"/>
      <c r="M115" s="2921"/>
      <c r="N115" s="2927"/>
      <c r="O115" s="579">
        <f>+O114</f>
        <v>0</v>
      </c>
      <c r="R115" s="1899"/>
      <c r="S115" s="1899"/>
    </row>
    <row r="116" spans="1:19" ht="18.75" hidden="1" x14ac:dyDescent="0.15">
      <c r="A116" s="2968"/>
      <c r="B116" s="2947"/>
      <c r="C116" s="1930" t="s">
        <v>339</v>
      </c>
      <c r="D116" s="1942">
        <v>0.36</v>
      </c>
      <c r="E116" s="1894" t="s">
        <v>1064</v>
      </c>
      <c r="F116" s="1904"/>
      <c r="G116" s="2920"/>
      <c r="H116" s="2920"/>
      <c r="I116" s="2920"/>
      <c r="J116" s="2920"/>
      <c r="K116" s="2920"/>
      <c r="L116" s="2920"/>
      <c r="M116" s="2920"/>
      <c r="N116" s="2926">
        <f>+TRUNC(+SUM(G116:M117),2)</f>
        <v>0</v>
      </c>
      <c r="O116" s="578">
        <f>SUM(G116:N116)</f>
        <v>0</v>
      </c>
      <c r="R116" s="1899"/>
      <c r="S116" s="1899"/>
    </row>
    <row r="117" spans="1:19" ht="49.5" hidden="1" x14ac:dyDescent="0.15">
      <c r="A117" s="2968"/>
      <c r="B117" s="2947"/>
      <c r="C117" s="1893" t="s">
        <v>2333</v>
      </c>
      <c r="D117" s="1944"/>
      <c r="E117" s="1897" t="s">
        <v>1064</v>
      </c>
      <c r="F117" s="1928"/>
      <c r="G117" s="2921"/>
      <c r="H117" s="2921"/>
      <c r="I117" s="2921"/>
      <c r="J117" s="2921"/>
      <c r="K117" s="2921"/>
      <c r="L117" s="2921"/>
      <c r="M117" s="2921"/>
      <c r="N117" s="2927"/>
      <c r="O117" s="579">
        <f>+O116</f>
        <v>0</v>
      </c>
      <c r="R117" s="1899"/>
      <c r="S117" s="1899"/>
    </row>
    <row r="118" spans="1:19" ht="18.75" x14ac:dyDescent="0.15">
      <c r="A118" s="2968"/>
      <c r="B118" s="2947"/>
      <c r="C118" s="1930" t="s">
        <v>339</v>
      </c>
      <c r="D118" s="1942">
        <v>0.36</v>
      </c>
      <c r="E118" s="1894" t="s">
        <v>1064</v>
      </c>
      <c r="F118" s="1904"/>
      <c r="G118" s="2920"/>
      <c r="H118" s="2920">
        <v>1</v>
      </c>
      <c r="I118" s="2920"/>
      <c r="J118" s="2920"/>
      <c r="K118" s="2920"/>
      <c r="L118" s="2920"/>
      <c r="M118" s="2920"/>
      <c r="N118" s="2926">
        <f>+TRUNC(+SUM(G118:M119),2)</f>
        <v>1</v>
      </c>
      <c r="O118" s="578">
        <f>SUM(G118:N118)</f>
        <v>2</v>
      </c>
      <c r="R118" s="1899"/>
      <c r="S118" s="1899"/>
    </row>
    <row r="119" spans="1:19" ht="49.5" x14ac:dyDescent="0.15">
      <c r="A119" s="2968"/>
      <c r="B119" s="2947"/>
      <c r="C119" s="1893" t="s">
        <v>2332</v>
      </c>
      <c r="D119" s="1944"/>
      <c r="E119" s="1897" t="s">
        <v>1064</v>
      </c>
      <c r="F119" s="1928"/>
      <c r="G119" s="2921"/>
      <c r="H119" s="2921"/>
      <c r="I119" s="2921"/>
      <c r="J119" s="2921"/>
      <c r="K119" s="2921"/>
      <c r="L119" s="2921"/>
      <c r="M119" s="2921"/>
      <c r="N119" s="2927"/>
      <c r="O119" s="579">
        <f>+O118</f>
        <v>2</v>
      </c>
      <c r="R119" s="1899"/>
      <c r="S119" s="1899"/>
    </row>
    <row r="120" spans="1:19" ht="18.75" x14ac:dyDescent="0.15">
      <c r="A120" s="2968"/>
      <c r="B120" s="2947"/>
      <c r="C120" s="1930" t="s">
        <v>339</v>
      </c>
      <c r="D120" s="1942">
        <v>0.36</v>
      </c>
      <c r="E120" s="1894" t="s">
        <v>1064</v>
      </c>
      <c r="F120" s="1904"/>
      <c r="G120" s="2920"/>
      <c r="H120" s="2920">
        <v>1</v>
      </c>
      <c r="I120" s="2920"/>
      <c r="J120" s="2920"/>
      <c r="K120" s="2920"/>
      <c r="L120" s="2920"/>
      <c r="M120" s="2920"/>
      <c r="N120" s="2926">
        <f>+TRUNC(+SUM(G120:M121),2)</f>
        <v>1</v>
      </c>
      <c r="O120" s="578">
        <f>SUM(G120:N120)</f>
        <v>2</v>
      </c>
      <c r="R120" s="1899"/>
      <c r="S120" s="1899"/>
    </row>
    <row r="121" spans="1:19" ht="49.5" x14ac:dyDescent="0.15">
      <c r="A121" s="2968"/>
      <c r="B121" s="2947"/>
      <c r="C121" s="1893" t="s">
        <v>2331</v>
      </c>
      <c r="D121" s="1944"/>
      <c r="E121" s="1897" t="s">
        <v>1064</v>
      </c>
      <c r="F121" s="1928"/>
      <c r="G121" s="2921"/>
      <c r="H121" s="2921"/>
      <c r="I121" s="2921"/>
      <c r="J121" s="2921"/>
      <c r="K121" s="2921"/>
      <c r="L121" s="2921"/>
      <c r="M121" s="2921"/>
      <c r="N121" s="2927"/>
      <c r="O121" s="579">
        <f>+O120</f>
        <v>2</v>
      </c>
      <c r="R121" s="1899"/>
      <c r="S121" s="1899"/>
    </row>
    <row r="122" spans="1:19" ht="18.75" hidden="1" x14ac:dyDescent="0.15">
      <c r="A122" s="2968"/>
      <c r="B122" s="2947"/>
      <c r="C122" s="1930" t="s">
        <v>339</v>
      </c>
      <c r="D122" s="1942">
        <v>0.36</v>
      </c>
      <c r="E122" s="1894" t="s">
        <v>1064</v>
      </c>
      <c r="F122" s="1904"/>
      <c r="G122" s="2920"/>
      <c r="H122" s="2920"/>
      <c r="I122" s="2920"/>
      <c r="J122" s="2920"/>
      <c r="K122" s="2920"/>
      <c r="L122" s="2920"/>
      <c r="M122" s="2920"/>
      <c r="N122" s="2926">
        <f>+TRUNC(+SUM(G122:M123),2)</f>
        <v>0</v>
      </c>
      <c r="O122" s="578">
        <f>SUM(G122:N122)</f>
        <v>0</v>
      </c>
      <c r="R122" s="1899"/>
      <c r="S122" s="1899"/>
    </row>
    <row r="123" spans="1:19" ht="49.5" hidden="1" x14ac:dyDescent="0.15">
      <c r="A123" s="2968"/>
      <c r="B123" s="2947"/>
      <c r="C123" s="1893" t="s">
        <v>2330</v>
      </c>
      <c r="D123" s="1944"/>
      <c r="E123" s="1897" t="s">
        <v>1064</v>
      </c>
      <c r="F123" s="1928"/>
      <c r="G123" s="2921"/>
      <c r="H123" s="2921"/>
      <c r="I123" s="2921"/>
      <c r="J123" s="2921"/>
      <c r="K123" s="2921"/>
      <c r="L123" s="2921"/>
      <c r="M123" s="2921"/>
      <c r="N123" s="2927"/>
      <c r="O123" s="579">
        <f>+O122</f>
        <v>0</v>
      </c>
      <c r="R123" s="1899"/>
      <c r="S123" s="1899"/>
    </row>
    <row r="124" spans="1:19" ht="18.75" hidden="1" x14ac:dyDescent="0.15">
      <c r="A124" s="2968"/>
      <c r="B124" s="2947"/>
      <c r="C124" s="1930" t="s">
        <v>339</v>
      </c>
      <c r="D124" s="1942">
        <v>0.36</v>
      </c>
      <c r="E124" s="1894" t="s">
        <v>1064</v>
      </c>
      <c r="F124" s="1904"/>
      <c r="G124" s="2920"/>
      <c r="H124" s="2920"/>
      <c r="I124" s="2920"/>
      <c r="J124" s="2920"/>
      <c r="K124" s="2920"/>
      <c r="L124" s="2920"/>
      <c r="M124" s="2920"/>
      <c r="N124" s="2926">
        <f>+TRUNC(+SUM(G124:M125),2)</f>
        <v>0</v>
      </c>
      <c r="O124" s="578">
        <f>SUM(G124:N124)</f>
        <v>0</v>
      </c>
      <c r="R124" s="1899"/>
      <c r="S124" s="1899"/>
    </row>
    <row r="125" spans="1:19" ht="49.5" hidden="1" x14ac:dyDescent="0.15">
      <c r="A125" s="2968"/>
      <c r="B125" s="2947"/>
      <c r="C125" s="1893" t="s">
        <v>2329</v>
      </c>
      <c r="D125" s="1944"/>
      <c r="E125" s="1897" t="s">
        <v>1064</v>
      </c>
      <c r="F125" s="1928"/>
      <c r="G125" s="2921"/>
      <c r="H125" s="2921"/>
      <c r="I125" s="2921"/>
      <c r="J125" s="2921"/>
      <c r="K125" s="2921"/>
      <c r="L125" s="2921"/>
      <c r="M125" s="2921"/>
      <c r="N125" s="2927"/>
      <c r="O125" s="579">
        <f>+O124</f>
        <v>0</v>
      </c>
      <c r="R125" s="1899"/>
      <c r="S125" s="1899"/>
    </row>
    <row r="126" spans="1:19" ht="18.75" hidden="1" x14ac:dyDescent="0.15">
      <c r="A126" s="2968"/>
      <c r="B126" s="2947"/>
      <c r="C126" s="1930" t="s">
        <v>339</v>
      </c>
      <c r="D126" s="1942">
        <v>0.36</v>
      </c>
      <c r="E126" s="1894" t="s">
        <v>1064</v>
      </c>
      <c r="F126" s="1904"/>
      <c r="G126" s="2920"/>
      <c r="H126" s="2920"/>
      <c r="I126" s="2920"/>
      <c r="J126" s="2920"/>
      <c r="K126" s="2920"/>
      <c r="L126" s="2920"/>
      <c r="M126" s="2920"/>
      <c r="N126" s="2926">
        <f>+TRUNC(+SUM(G126:M127),2)</f>
        <v>0</v>
      </c>
      <c r="O126" s="578">
        <f>SUM(G126:N126)</f>
        <v>0</v>
      </c>
      <c r="R126" s="1899"/>
      <c r="S126" s="1899"/>
    </row>
    <row r="127" spans="1:19" ht="49.5" hidden="1" x14ac:dyDescent="0.15">
      <c r="A127" s="2968"/>
      <c r="B127" s="2947"/>
      <c r="C127" s="1893" t="s">
        <v>2328</v>
      </c>
      <c r="D127" s="1944"/>
      <c r="E127" s="1897" t="s">
        <v>1064</v>
      </c>
      <c r="F127" s="1928"/>
      <c r="G127" s="2921"/>
      <c r="H127" s="2921"/>
      <c r="I127" s="2921"/>
      <c r="J127" s="2921"/>
      <c r="K127" s="2921"/>
      <c r="L127" s="2921"/>
      <c r="M127" s="2921"/>
      <c r="N127" s="2927"/>
      <c r="O127" s="579">
        <f>+O126</f>
        <v>0</v>
      </c>
      <c r="R127" s="1899"/>
      <c r="S127" s="1899"/>
    </row>
    <row r="128" spans="1:19" ht="18.75" hidden="1" x14ac:dyDescent="0.15">
      <c r="A128" s="2968"/>
      <c r="B128" s="2947"/>
      <c r="C128" s="1930" t="s">
        <v>339</v>
      </c>
      <c r="D128" s="1942">
        <v>0.36</v>
      </c>
      <c r="E128" s="1894" t="s">
        <v>1064</v>
      </c>
      <c r="F128" s="1904"/>
      <c r="G128" s="2920"/>
      <c r="H128" s="2920"/>
      <c r="I128" s="2920"/>
      <c r="J128" s="2920"/>
      <c r="K128" s="2920"/>
      <c r="L128" s="2920"/>
      <c r="M128" s="2920"/>
      <c r="N128" s="2926">
        <f>+TRUNC(+SUM(G128:M129),2)</f>
        <v>0</v>
      </c>
      <c r="O128" s="578">
        <f>SUM(G128:N128)</f>
        <v>0</v>
      </c>
      <c r="R128" s="1899"/>
      <c r="S128" s="1899"/>
    </row>
    <row r="129" spans="1:19" ht="49.5" hidden="1" x14ac:dyDescent="0.15">
      <c r="A129" s="2968"/>
      <c r="B129" s="2947"/>
      <c r="C129" s="1893" t="s">
        <v>2327</v>
      </c>
      <c r="D129" s="1944"/>
      <c r="E129" s="1897" t="s">
        <v>1064</v>
      </c>
      <c r="F129" s="1928"/>
      <c r="G129" s="2921"/>
      <c r="H129" s="2921"/>
      <c r="I129" s="2921"/>
      <c r="J129" s="2921"/>
      <c r="K129" s="2921"/>
      <c r="L129" s="2921"/>
      <c r="M129" s="2921"/>
      <c r="N129" s="2927"/>
      <c r="O129" s="579">
        <f>+O128</f>
        <v>0</v>
      </c>
      <c r="R129" s="1899"/>
      <c r="S129" s="1899"/>
    </row>
    <row r="130" spans="1:19" ht="18.75" hidden="1" x14ac:dyDescent="0.15">
      <c r="A130" s="2968"/>
      <c r="B130" s="2947"/>
      <c r="C130" s="1930" t="s">
        <v>339</v>
      </c>
      <c r="D130" s="1942">
        <v>0.36</v>
      </c>
      <c r="E130" s="1894" t="s">
        <v>1064</v>
      </c>
      <c r="F130" s="1904"/>
      <c r="G130" s="2920"/>
      <c r="H130" s="2920"/>
      <c r="I130" s="2920"/>
      <c r="J130" s="2920"/>
      <c r="K130" s="2920"/>
      <c r="L130" s="2920"/>
      <c r="M130" s="2920"/>
      <c r="N130" s="2926">
        <f>+TRUNC(+SUM(G130:M131),2)</f>
        <v>0</v>
      </c>
      <c r="O130" s="578">
        <f>SUM(G130:N130)</f>
        <v>0</v>
      </c>
      <c r="R130" s="1899"/>
      <c r="S130" s="1899"/>
    </row>
    <row r="131" spans="1:19" ht="49.5" hidden="1" x14ac:dyDescent="0.15">
      <c r="A131" s="2968"/>
      <c r="B131" s="2947"/>
      <c r="C131" s="1893" t="s">
        <v>2326</v>
      </c>
      <c r="D131" s="1944"/>
      <c r="E131" s="1897" t="s">
        <v>1064</v>
      </c>
      <c r="F131" s="1928"/>
      <c r="G131" s="2921"/>
      <c r="H131" s="2921"/>
      <c r="I131" s="2921"/>
      <c r="J131" s="2921"/>
      <c r="K131" s="2921"/>
      <c r="L131" s="2921"/>
      <c r="M131" s="2921"/>
      <c r="N131" s="2927"/>
      <c r="O131" s="579">
        <f>+O130</f>
        <v>0</v>
      </c>
      <c r="R131" s="1899"/>
      <c r="S131" s="1899"/>
    </row>
    <row r="132" spans="1:19" ht="18.75" hidden="1" x14ac:dyDescent="0.15">
      <c r="A132" s="2968"/>
      <c r="B132" s="2947"/>
      <c r="C132" s="1930" t="s">
        <v>339</v>
      </c>
      <c r="D132" s="1942">
        <v>0.36</v>
      </c>
      <c r="E132" s="1894" t="s">
        <v>1064</v>
      </c>
      <c r="F132" s="1904"/>
      <c r="G132" s="2920"/>
      <c r="H132" s="2920"/>
      <c r="I132" s="2920"/>
      <c r="J132" s="2920"/>
      <c r="K132" s="2920"/>
      <c r="L132" s="2920"/>
      <c r="M132" s="2920"/>
      <c r="N132" s="2926">
        <f>+TRUNC(+SUM(G132:M133),2)</f>
        <v>0</v>
      </c>
      <c r="O132" s="578">
        <f>SUM(G132:N132)</f>
        <v>0</v>
      </c>
      <c r="R132" s="1899"/>
      <c r="S132" s="1899"/>
    </row>
    <row r="133" spans="1:19" ht="49.5" hidden="1" x14ac:dyDescent="0.15">
      <c r="A133" s="2968"/>
      <c r="B133" s="2947"/>
      <c r="C133" s="1893" t="s">
        <v>2325</v>
      </c>
      <c r="D133" s="1944"/>
      <c r="E133" s="1897" t="s">
        <v>1064</v>
      </c>
      <c r="F133" s="1928"/>
      <c r="G133" s="2921"/>
      <c r="H133" s="2921"/>
      <c r="I133" s="2921"/>
      <c r="J133" s="2921"/>
      <c r="K133" s="2921"/>
      <c r="L133" s="2921"/>
      <c r="M133" s="2921"/>
      <c r="N133" s="2927"/>
      <c r="O133" s="579">
        <f>+O132</f>
        <v>0</v>
      </c>
      <c r="R133" s="1899"/>
      <c r="S133" s="1899"/>
    </row>
    <row r="134" spans="1:19" ht="18.75" hidden="1" x14ac:dyDescent="0.15">
      <c r="A134" s="2968"/>
      <c r="B134" s="2947"/>
      <c r="C134" s="1930" t="s">
        <v>339</v>
      </c>
      <c r="D134" s="1942">
        <v>0.36</v>
      </c>
      <c r="E134" s="1894" t="s">
        <v>1064</v>
      </c>
      <c r="F134" s="1904"/>
      <c r="G134" s="2920"/>
      <c r="H134" s="2920"/>
      <c r="I134" s="2920"/>
      <c r="J134" s="2920"/>
      <c r="K134" s="2920"/>
      <c r="L134" s="2920"/>
      <c r="M134" s="2920"/>
      <c r="N134" s="2926">
        <f>+TRUNC(+SUM(G134:M135),2)</f>
        <v>0</v>
      </c>
      <c r="O134" s="578">
        <f>SUM(G134:N134)</f>
        <v>0</v>
      </c>
      <c r="R134" s="1899"/>
      <c r="S134" s="1899"/>
    </row>
    <row r="135" spans="1:19" ht="49.5" hidden="1" x14ac:dyDescent="0.15">
      <c r="A135" s="2968"/>
      <c r="B135" s="2947"/>
      <c r="C135" s="1893" t="s">
        <v>2324</v>
      </c>
      <c r="D135" s="1944"/>
      <c r="E135" s="1897" t="s">
        <v>1064</v>
      </c>
      <c r="F135" s="1928"/>
      <c r="G135" s="2921"/>
      <c r="H135" s="2921"/>
      <c r="I135" s="2921"/>
      <c r="J135" s="2921"/>
      <c r="K135" s="2921"/>
      <c r="L135" s="2921"/>
      <c r="M135" s="2921"/>
      <c r="N135" s="2927"/>
      <c r="O135" s="579">
        <f>+O134</f>
        <v>0</v>
      </c>
      <c r="R135" s="1899"/>
      <c r="S135" s="1899"/>
    </row>
    <row r="136" spans="1:19" ht="18.75" hidden="1" x14ac:dyDescent="0.15">
      <c r="A136" s="2968"/>
      <c r="B136" s="2947"/>
      <c r="C136" s="1930" t="s">
        <v>339</v>
      </c>
      <c r="D136" s="1942">
        <v>0.36</v>
      </c>
      <c r="E136" s="1894" t="s">
        <v>1064</v>
      </c>
      <c r="F136" s="1904"/>
      <c r="G136" s="2920"/>
      <c r="H136" s="2920"/>
      <c r="I136" s="2920"/>
      <c r="J136" s="2920"/>
      <c r="K136" s="2920"/>
      <c r="L136" s="2920"/>
      <c r="M136" s="2920"/>
      <c r="N136" s="2926">
        <f>+TRUNC(+SUM(G136:M137),2)</f>
        <v>0</v>
      </c>
      <c r="O136" s="578">
        <f>SUM(G136:N136)</f>
        <v>0</v>
      </c>
      <c r="R136" s="1899"/>
      <c r="S136" s="1899"/>
    </row>
    <row r="137" spans="1:19" ht="49.5" hidden="1" x14ac:dyDescent="0.15">
      <c r="A137" s="2968"/>
      <c r="B137" s="2947"/>
      <c r="C137" s="1893" t="s">
        <v>2323</v>
      </c>
      <c r="D137" s="1944"/>
      <c r="E137" s="1897" t="s">
        <v>1064</v>
      </c>
      <c r="F137" s="1928"/>
      <c r="G137" s="2921"/>
      <c r="H137" s="2921"/>
      <c r="I137" s="2921"/>
      <c r="J137" s="2921"/>
      <c r="K137" s="2921"/>
      <c r="L137" s="2921"/>
      <c r="M137" s="2921"/>
      <c r="N137" s="2927"/>
      <c r="O137" s="579">
        <f>+O136</f>
        <v>0</v>
      </c>
      <c r="R137" s="1899"/>
      <c r="S137" s="1899"/>
    </row>
    <row r="138" spans="1:19" ht="18.75" hidden="1" x14ac:dyDescent="0.15">
      <c r="A138" s="2968"/>
      <c r="B138" s="2947"/>
      <c r="C138" s="1930" t="s">
        <v>339</v>
      </c>
      <c r="D138" s="1942">
        <v>0.36</v>
      </c>
      <c r="E138" s="1894" t="s">
        <v>1064</v>
      </c>
      <c r="F138" s="1904"/>
      <c r="G138" s="2920"/>
      <c r="H138" s="2920"/>
      <c r="I138" s="2920"/>
      <c r="J138" s="2920"/>
      <c r="K138" s="2920"/>
      <c r="L138" s="2920"/>
      <c r="M138" s="2920"/>
      <c r="N138" s="2926">
        <f>+TRUNC(+SUM(G138:M139),2)</f>
        <v>0</v>
      </c>
      <c r="O138" s="578">
        <f>SUM(G138:N138)</f>
        <v>0</v>
      </c>
      <c r="R138" s="1899"/>
      <c r="S138" s="1899"/>
    </row>
    <row r="139" spans="1:19" ht="49.5" hidden="1" x14ac:dyDescent="0.15">
      <c r="A139" s="2968"/>
      <c r="B139" s="2947"/>
      <c r="C139" s="1893" t="s">
        <v>2322</v>
      </c>
      <c r="D139" s="1944"/>
      <c r="E139" s="1897" t="s">
        <v>1064</v>
      </c>
      <c r="F139" s="1928"/>
      <c r="G139" s="2921"/>
      <c r="H139" s="2921"/>
      <c r="I139" s="2921"/>
      <c r="J139" s="2921"/>
      <c r="K139" s="2921"/>
      <c r="L139" s="2921"/>
      <c r="M139" s="2921"/>
      <c r="N139" s="2927"/>
      <c r="O139" s="579">
        <f>+O138</f>
        <v>0</v>
      </c>
      <c r="R139" s="1899"/>
      <c r="S139" s="1899"/>
    </row>
    <row r="140" spans="1:19" ht="18.75" hidden="1" x14ac:dyDescent="0.15">
      <c r="A140" s="2968"/>
      <c r="B140" s="2947"/>
      <c r="C140" s="1930" t="s">
        <v>339</v>
      </c>
      <c r="D140" s="1942">
        <v>0.36</v>
      </c>
      <c r="E140" s="1894" t="s">
        <v>1064</v>
      </c>
      <c r="F140" s="1904"/>
      <c r="G140" s="2920"/>
      <c r="H140" s="2920"/>
      <c r="I140" s="2920"/>
      <c r="J140" s="2920"/>
      <c r="K140" s="2920"/>
      <c r="L140" s="2920"/>
      <c r="M140" s="2920"/>
      <c r="N140" s="2926">
        <f>+TRUNC(+SUM(G140:M141),2)</f>
        <v>0</v>
      </c>
      <c r="O140" s="578">
        <f>SUM(G140:N140)</f>
        <v>0</v>
      </c>
      <c r="R140" s="1899"/>
      <c r="S140" s="1899"/>
    </row>
    <row r="141" spans="1:19" ht="49.5" hidden="1" x14ac:dyDescent="0.15">
      <c r="A141" s="2968"/>
      <c r="B141" s="2947"/>
      <c r="C141" s="1893" t="s">
        <v>2321</v>
      </c>
      <c r="D141" s="1944"/>
      <c r="E141" s="1897" t="s">
        <v>1064</v>
      </c>
      <c r="F141" s="1928"/>
      <c r="G141" s="2921"/>
      <c r="H141" s="2921"/>
      <c r="I141" s="2921"/>
      <c r="J141" s="2921"/>
      <c r="K141" s="2921"/>
      <c r="L141" s="2921"/>
      <c r="M141" s="2921"/>
      <c r="N141" s="2927"/>
      <c r="O141" s="579">
        <f>+O140</f>
        <v>0</v>
      </c>
      <c r="R141" s="1899"/>
      <c r="S141" s="1899"/>
    </row>
    <row r="142" spans="1:19" ht="18.75" hidden="1" x14ac:dyDescent="0.15">
      <c r="A142" s="2968"/>
      <c r="B142" s="2947"/>
      <c r="C142" s="1930" t="s">
        <v>339</v>
      </c>
      <c r="D142" s="1942">
        <v>0.36</v>
      </c>
      <c r="E142" s="1894" t="s">
        <v>1064</v>
      </c>
      <c r="F142" s="1904"/>
      <c r="G142" s="2920"/>
      <c r="H142" s="2920"/>
      <c r="I142" s="2920"/>
      <c r="J142" s="2920"/>
      <c r="K142" s="2920"/>
      <c r="L142" s="2920"/>
      <c r="M142" s="2920"/>
      <c r="N142" s="2926">
        <f>+TRUNC(+SUM(G142:M143),2)</f>
        <v>0</v>
      </c>
      <c r="O142" s="578">
        <f>SUM(G142:N142)</f>
        <v>0</v>
      </c>
      <c r="R142" s="1899"/>
      <c r="S142" s="1899"/>
    </row>
    <row r="143" spans="1:19" ht="49.5" hidden="1" x14ac:dyDescent="0.15">
      <c r="A143" s="2968"/>
      <c r="B143" s="2947"/>
      <c r="C143" s="1893" t="s">
        <v>2320</v>
      </c>
      <c r="D143" s="1944"/>
      <c r="E143" s="1897" t="s">
        <v>1064</v>
      </c>
      <c r="F143" s="1928"/>
      <c r="G143" s="2921"/>
      <c r="H143" s="2921"/>
      <c r="I143" s="2921"/>
      <c r="J143" s="2921"/>
      <c r="K143" s="2921"/>
      <c r="L143" s="2921"/>
      <c r="M143" s="2921"/>
      <c r="N143" s="2927"/>
      <c r="O143" s="579">
        <f>+O142</f>
        <v>0</v>
      </c>
      <c r="R143" s="1899"/>
      <c r="S143" s="1899"/>
    </row>
    <row r="144" spans="1:19" ht="18.75" hidden="1" x14ac:dyDescent="0.15">
      <c r="A144" s="2968"/>
      <c r="B144" s="2947"/>
      <c r="C144" s="1930" t="s">
        <v>339</v>
      </c>
      <c r="D144" s="1942">
        <v>0.36</v>
      </c>
      <c r="E144" s="1894" t="s">
        <v>1064</v>
      </c>
      <c r="F144" s="1904"/>
      <c r="G144" s="2920"/>
      <c r="H144" s="2920"/>
      <c r="I144" s="2920"/>
      <c r="J144" s="2920"/>
      <c r="K144" s="2920"/>
      <c r="L144" s="2920"/>
      <c r="M144" s="2920"/>
      <c r="N144" s="2926">
        <f>+TRUNC(+SUM(G144:M145),2)</f>
        <v>0</v>
      </c>
      <c r="O144" s="578">
        <f>SUM(G144:N144)</f>
        <v>0</v>
      </c>
      <c r="R144" s="1899"/>
      <c r="S144" s="1899"/>
    </row>
    <row r="145" spans="1:19" ht="49.5" hidden="1" x14ac:dyDescent="0.15">
      <c r="A145" s="2968"/>
      <c r="B145" s="2947"/>
      <c r="C145" s="1893" t="s">
        <v>2319</v>
      </c>
      <c r="D145" s="1944"/>
      <c r="E145" s="1897" t="s">
        <v>1064</v>
      </c>
      <c r="F145" s="1928"/>
      <c r="G145" s="2921"/>
      <c r="H145" s="2921"/>
      <c r="I145" s="2921"/>
      <c r="J145" s="2921"/>
      <c r="K145" s="2921"/>
      <c r="L145" s="2921"/>
      <c r="M145" s="2921"/>
      <c r="N145" s="2927"/>
      <c r="O145" s="579">
        <f>+O144</f>
        <v>0</v>
      </c>
      <c r="R145" s="1899"/>
      <c r="S145" s="1899"/>
    </row>
    <row r="146" spans="1:19" ht="18.75" hidden="1" x14ac:dyDescent="0.15">
      <c r="A146" s="2968"/>
      <c r="B146" s="2947"/>
      <c r="C146" s="1930" t="s">
        <v>339</v>
      </c>
      <c r="D146" s="1942">
        <v>0.36</v>
      </c>
      <c r="E146" s="1894" t="s">
        <v>1064</v>
      </c>
      <c r="F146" s="1904"/>
      <c r="G146" s="2920"/>
      <c r="H146" s="2920"/>
      <c r="I146" s="2920"/>
      <c r="J146" s="2920"/>
      <c r="K146" s="2920"/>
      <c r="L146" s="2920"/>
      <c r="M146" s="2920"/>
      <c r="N146" s="2926">
        <f>+TRUNC(+SUM(G146:M147),2)</f>
        <v>0</v>
      </c>
      <c r="O146" s="578">
        <f>SUM(G146:N146)</f>
        <v>0</v>
      </c>
      <c r="R146" s="1899"/>
      <c r="S146" s="1899"/>
    </row>
    <row r="147" spans="1:19" ht="49.5" hidden="1" x14ac:dyDescent="0.15">
      <c r="A147" s="2968"/>
      <c r="B147" s="2947"/>
      <c r="C147" s="1893" t="s">
        <v>2318</v>
      </c>
      <c r="D147" s="1944"/>
      <c r="E147" s="1897" t="s">
        <v>1064</v>
      </c>
      <c r="F147" s="1928"/>
      <c r="G147" s="2921"/>
      <c r="H147" s="2921"/>
      <c r="I147" s="2921"/>
      <c r="J147" s="2921"/>
      <c r="K147" s="2921"/>
      <c r="L147" s="2921"/>
      <c r="M147" s="2921"/>
      <c r="N147" s="2927"/>
      <c r="O147" s="579">
        <f>+O146</f>
        <v>0</v>
      </c>
      <c r="R147" s="1899"/>
      <c r="S147" s="1899"/>
    </row>
    <row r="148" spans="1:19" ht="18.75" hidden="1" x14ac:dyDescent="0.15">
      <c r="A148" s="2968"/>
      <c r="B148" s="2947"/>
      <c r="C148" s="1930" t="s">
        <v>339</v>
      </c>
      <c r="D148" s="1942">
        <v>0.36</v>
      </c>
      <c r="E148" s="1894" t="s">
        <v>1064</v>
      </c>
      <c r="F148" s="1904"/>
      <c r="G148" s="2920"/>
      <c r="H148" s="2920"/>
      <c r="I148" s="2920"/>
      <c r="J148" s="2920"/>
      <c r="K148" s="2920"/>
      <c r="L148" s="2920"/>
      <c r="M148" s="2920"/>
      <c r="N148" s="2926">
        <f>+TRUNC(+SUM(G148:M149),2)</f>
        <v>0</v>
      </c>
      <c r="O148" s="578">
        <f>SUM(G148:N148)</f>
        <v>0</v>
      </c>
      <c r="R148" s="1899"/>
      <c r="S148" s="1899"/>
    </row>
    <row r="149" spans="1:19" ht="49.5" hidden="1" x14ac:dyDescent="0.15">
      <c r="A149" s="2968"/>
      <c r="B149" s="2947"/>
      <c r="C149" s="1893" t="s">
        <v>2317</v>
      </c>
      <c r="D149" s="1944"/>
      <c r="E149" s="1897" t="s">
        <v>1064</v>
      </c>
      <c r="F149" s="1928"/>
      <c r="G149" s="2921"/>
      <c r="H149" s="2921"/>
      <c r="I149" s="2921"/>
      <c r="J149" s="2921"/>
      <c r="K149" s="2921"/>
      <c r="L149" s="2921"/>
      <c r="M149" s="2921"/>
      <c r="N149" s="2927"/>
      <c r="O149" s="579">
        <f>+O148</f>
        <v>0</v>
      </c>
      <c r="R149" s="1899"/>
      <c r="S149" s="1899"/>
    </row>
    <row r="150" spans="1:19" ht="18.75" hidden="1" x14ac:dyDescent="0.15">
      <c r="A150" s="2968"/>
      <c r="B150" s="2947"/>
      <c r="C150" s="1930" t="s">
        <v>339</v>
      </c>
      <c r="D150" s="1942">
        <v>0.36</v>
      </c>
      <c r="E150" s="1894" t="s">
        <v>1064</v>
      </c>
      <c r="F150" s="1904"/>
      <c r="G150" s="2920"/>
      <c r="H150" s="2920"/>
      <c r="I150" s="2920"/>
      <c r="J150" s="2920"/>
      <c r="K150" s="2920"/>
      <c r="L150" s="2920"/>
      <c r="M150" s="2920"/>
      <c r="N150" s="2926">
        <f>+TRUNC(+SUM(G150:M151),2)</f>
        <v>0</v>
      </c>
      <c r="O150" s="578">
        <f>SUM(G150:N150)</f>
        <v>0</v>
      </c>
      <c r="R150" s="1899"/>
      <c r="S150" s="1899"/>
    </row>
    <row r="151" spans="1:19" ht="49.5" hidden="1" x14ac:dyDescent="0.15">
      <c r="A151" s="2968"/>
      <c r="B151" s="2947"/>
      <c r="C151" s="1893" t="s">
        <v>2316</v>
      </c>
      <c r="D151" s="1944"/>
      <c r="E151" s="1897" t="s">
        <v>1064</v>
      </c>
      <c r="F151" s="1928"/>
      <c r="G151" s="2921"/>
      <c r="H151" s="2921"/>
      <c r="I151" s="2921"/>
      <c r="J151" s="2921"/>
      <c r="K151" s="2921"/>
      <c r="L151" s="2921"/>
      <c r="M151" s="2921"/>
      <c r="N151" s="2927"/>
      <c r="O151" s="579">
        <f>+O150</f>
        <v>0</v>
      </c>
      <c r="R151" s="1899"/>
      <c r="S151" s="1899"/>
    </row>
    <row r="152" spans="1:19" ht="18.75" hidden="1" x14ac:dyDescent="0.15">
      <c r="A152" s="2968"/>
      <c r="B152" s="2947"/>
      <c r="C152" s="1930" t="s">
        <v>339</v>
      </c>
      <c r="D152" s="1942">
        <v>0.36</v>
      </c>
      <c r="E152" s="1894" t="s">
        <v>1064</v>
      </c>
      <c r="F152" s="1904"/>
      <c r="G152" s="2920"/>
      <c r="H152" s="2920"/>
      <c r="I152" s="2920"/>
      <c r="J152" s="2920"/>
      <c r="K152" s="2920"/>
      <c r="L152" s="2920"/>
      <c r="M152" s="2920"/>
      <c r="N152" s="2926">
        <f>+TRUNC(+SUM(G152:M153),2)</f>
        <v>0</v>
      </c>
      <c r="O152" s="578">
        <f>SUM(G152:N152)</f>
        <v>0</v>
      </c>
      <c r="R152" s="1899"/>
      <c r="S152" s="1899"/>
    </row>
    <row r="153" spans="1:19" ht="49.5" hidden="1" x14ac:dyDescent="0.15">
      <c r="A153" s="2968"/>
      <c r="B153" s="2947"/>
      <c r="C153" s="1893" t="s">
        <v>2315</v>
      </c>
      <c r="D153" s="1944"/>
      <c r="E153" s="1897" t="s">
        <v>1064</v>
      </c>
      <c r="F153" s="1928"/>
      <c r="G153" s="2921"/>
      <c r="H153" s="2921"/>
      <c r="I153" s="2921"/>
      <c r="J153" s="2921"/>
      <c r="K153" s="2921"/>
      <c r="L153" s="2921"/>
      <c r="M153" s="2921"/>
      <c r="N153" s="2927"/>
      <c r="O153" s="579">
        <f>+O152</f>
        <v>0</v>
      </c>
      <c r="R153" s="1899"/>
      <c r="S153" s="1899"/>
    </row>
    <row r="154" spans="1:19" ht="18.75" hidden="1" x14ac:dyDescent="0.15">
      <c r="A154" s="2968"/>
      <c r="B154" s="2947"/>
      <c r="C154" s="1930" t="s">
        <v>339</v>
      </c>
      <c r="D154" s="1942">
        <v>0.36</v>
      </c>
      <c r="E154" s="1894" t="s">
        <v>1064</v>
      </c>
      <c r="F154" s="1904"/>
      <c r="G154" s="2920"/>
      <c r="H154" s="2920"/>
      <c r="I154" s="2920"/>
      <c r="J154" s="2920"/>
      <c r="K154" s="2920"/>
      <c r="L154" s="2920"/>
      <c r="M154" s="2920"/>
      <c r="N154" s="2926">
        <f>+TRUNC(+SUM(G154:M155),2)</f>
        <v>0</v>
      </c>
      <c r="O154" s="578">
        <f>SUM(G154:N154)</f>
        <v>0</v>
      </c>
      <c r="R154" s="1899"/>
      <c r="S154" s="1899"/>
    </row>
    <row r="155" spans="1:19" ht="49.5" hidden="1" x14ac:dyDescent="0.15">
      <c r="A155" s="2968"/>
      <c r="B155" s="2947"/>
      <c r="C155" s="1893" t="s">
        <v>2314</v>
      </c>
      <c r="D155" s="1944"/>
      <c r="E155" s="1897" t="s">
        <v>1064</v>
      </c>
      <c r="F155" s="1928"/>
      <c r="G155" s="2921"/>
      <c r="H155" s="2921"/>
      <c r="I155" s="2921"/>
      <c r="J155" s="2921"/>
      <c r="K155" s="2921"/>
      <c r="L155" s="2921"/>
      <c r="M155" s="2921"/>
      <c r="N155" s="2927"/>
      <c r="O155" s="579">
        <f>+O154</f>
        <v>0</v>
      </c>
      <c r="R155" s="1899"/>
      <c r="S155" s="1899"/>
    </row>
    <row r="156" spans="1:19" ht="18.75" hidden="1" x14ac:dyDescent="0.15">
      <c r="A156" s="2968"/>
      <c r="B156" s="2947"/>
      <c r="C156" s="1930" t="s">
        <v>339</v>
      </c>
      <c r="D156" s="1942">
        <v>0.36</v>
      </c>
      <c r="E156" s="1894" t="s">
        <v>1064</v>
      </c>
      <c r="F156" s="1904"/>
      <c r="G156" s="2920"/>
      <c r="H156" s="2920"/>
      <c r="I156" s="2920"/>
      <c r="J156" s="2920"/>
      <c r="K156" s="2920"/>
      <c r="L156" s="2920"/>
      <c r="M156" s="2920"/>
      <c r="N156" s="2926">
        <f>+TRUNC(+SUM(G156:M157),2)</f>
        <v>0</v>
      </c>
      <c r="O156" s="578">
        <f>SUM(G156:N156)</f>
        <v>0</v>
      </c>
      <c r="R156" s="1899"/>
      <c r="S156" s="1899"/>
    </row>
    <row r="157" spans="1:19" ht="49.5" hidden="1" x14ac:dyDescent="0.15">
      <c r="A157" s="2968"/>
      <c r="B157" s="2947"/>
      <c r="C157" s="1893" t="s">
        <v>2313</v>
      </c>
      <c r="D157" s="1944"/>
      <c r="E157" s="1897" t="s">
        <v>1064</v>
      </c>
      <c r="F157" s="1928"/>
      <c r="G157" s="2921"/>
      <c r="H157" s="2921"/>
      <c r="I157" s="2921"/>
      <c r="J157" s="2921"/>
      <c r="K157" s="2921"/>
      <c r="L157" s="2921"/>
      <c r="M157" s="2921"/>
      <c r="N157" s="2927"/>
      <c r="O157" s="579">
        <f>+O156</f>
        <v>0</v>
      </c>
      <c r="R157" s="1899"/>
      <c r="S157" s="1899"/>
    </row>
    <row r="158" spans="1:19" ht="18.75" hidden="1" x14ac:dyDescent="0.15">
      <c r="A158" s="2968"/>
      <c r="B158" s="2947"/>
      <c r="C158" s="1930" t="s">
        <v>339</v>
      </c>
      <c r="D158" s="1942">
        <v>0.36</v>
      </c>
      <c r="E158" s="1894" t="s">
        <v>1064</v>
      </c>
      <c r="F158" s="1904"/>
      <c r="G158" s="2920"/>
      <c r="H158" s="2920"/>
      <c r="I158" s="2920"/>
      <c r="J158" s="2920"/>
      <c r="K158" s="2920"/>
      <c r="L158" s="2920"/>
      <c r="M158" s="2920"/>
      <c r="N158" s="2926">
        <f>+TRUNC(+SUM(G158:M159),2)</f>
        <v>0</v>
      </c>
      <c r="O158" s="578">
        <f>SUM(G158:N158)</f>
        <v>0</v>
      </c>
      <c r="R158" s="1899"/>
      <c r="S158" s="1899"/>
    </row>
    <row r="159" spans="1:19" ht="49.5" hidden="1" x14ac:dyDescent="0.15">
      <c r="A159" s="2968"/>
      <c r="B159" s="2947"/>
      <c r="C159" s="1893" t="s">
        <v>2312</v>
      </c>
      <c r="D159" s="1944"/>
      <c r="E159" s="1897" t="s">
        <v>1064</v>
      </c>
      <c r="F159" s="1928"/>
      <c r="G159" s="2921"/>
      <c r="H159" s="2921"/>
      <c r="I159" s="2921"/>
      <c r="J159" s="2921"/>
      <c r="K159" s="2921"/>
      <c r="L159" s="2921"/>
      <c r="M159" s="2921"/>
      <c r="N159" s="2927"/>
      <c r="O159" s="579">
        <f>+O158</f>
        <v>0</v>
      </c>
      <c r="R159" s="1899"/>
      <c r="S159" s="1899"/>
    </row>
    <row r="160" spans="1:19" ht="18.75" hidden="1" x14ac:dyDescent="0.15">
      <c r="A160" s="2968"/>
      <c r="B160" s="2947"/>
      <c r="C160" s="1930" t="s">
        <v>339</v>
      </c>
      <c r="D160" s="1942">
        <v>0.36</v>
      </c>
      <c r="E160" s="1894" t="s">
        <v>1064</v>
      </c>
      <c r="F160" s="1904"/>
      <c r="G160" s="2920"/>
      <c r="H160" s="2920"/>
      <c r="I160" s="2920"/>
      <c r="J160" s="2920"/>
      <c r="K160" s="2920"/>
      <c r="L160" s="2920"/>
      <c r="M160" s="2920"/>
      <c r="N160" s="2926">
        <f>+TRUNC(+SUM(G160:M161),2)</f>
        <v>0</v>
      </c>
      <c r="O160" s="578">
        <f>SUM(G160:N160)</f>
        <v>0</v>
      </c>
      <c r="R160" s="1899"/>
      <c r="S160" s="1899"/>
    </row>
    <row r="161" spans="1:19" ht="49.5" hidden="1" x14ac:dyDescent="0.15">
      <c r="A161" s="2968"/>
      <c r="B161" s="2947"/>
      <c r="C161" s="1893" t="s">
        <v>2311</v>
      </c>
      <c r="D161" s="1944"/>
      <c r="E161" s="1897" t="s">
        <v>1064</v>
      </c>
      <c r="F161" s="1928"/>
      <c r="G161" s="2921"/>
      <c r="H161" s="2921"/>
      <c r="I161" s="2921"/>
      <c r="J161" s="2921"/>
      <c r="K161" s="2921"/>
      <c r="L161" s="2921"/>
      <c r="M161" s="2921"/>
      <c r="N161" s="2927"/>
      <c r="O161" s="579">
        <f>+O160</f>
        <v>0</v>
      </c>
      <c r="R161" s="1899"/>
      <c r="S161" s="1899"/>
    </row>
    <row r="162" spans="1:19" ht="18.75" hidden="1" x14ac:dyDescent="0.15">
      <c r="A162" s="2968"/>
      <c r="B162" s="2947"/>
      <c r="C162" s="1930" t="s">
        <v>339</v>
      </c>
      <c r="D162" s="1942">
        <v>0.36</v>
      </c>
      <c r="E162" s="1894" t="s">
        <v>1064</v>
      </c>
      <c r="F162" s="1904"/>
      <c r="G162" s="2920"/>
      <c r="H162" s="2920"/>
      <c r="I162" s="2920"/>
      <c r="J162" s="2920"/>
      <c r="K162" s="2920"/>
      <c r="L162" s="2920"/>
      <c r="M162" s="2920"/>
      <c r="N162" s="2926">
        <f>+TRUNC(+SUM(G162:M163),2)</f>
        <v>0</v>
      </c>
      <c r="O162" s="578">
        <f>SUM(G162:N162)</f>
        <v>0</v>
      </c>
      <c r="R162" s="1899"/>
      <c r="S162" s="1899"/>
    </row>
    <row r="163" spans="1:19" ht="49.5" hidden="1" x14ac:dyDescent="0.15">
      <c r="A163" s="2968"/>
      <c r="B163" s="2947"/>
      <c r="C163" s="1893" t="s">
        <v>2310</v>
      </c>
      <c r="D163" s="1944"/>
      <c r="E163" s="1897" t="s">
        <v>1064</v>
      </c>
      <c r="F163" s="1928"/>
      <c r="G163" s="2921"/>
      <c r="H163" s="2921"/>
      <c r="I163" s="2921"/>
      <c r="J163" s="2921"/>
      <c r="K163" s="2921"/>
      <c r="L163" s="2921"/>
      <c r="M163" s="2921"/>
      <c r="N163" s="2927"/>
      <c r="O163" s="579">
        <f>+O162</f>
        <v>0</v>
      </c>
      <c r="R163" s="1899"/>
      <c r="S163" s="1899"/>
    </row>
    <row r="164" spans="1:19" ht="18.75" hidden="1" x14ac:dyDescent="0.15">
      <c r="A164" s="2968"/>
      <c r="B164" s="2947"/>
      <c r="C164" s="1930" t="s">
        <v>339</v>
      </c>
      <c r="D164" s="1942">
        <v>0.36</v>
      </c>
      <c r="E164" s="1894" t="s">
        <v>1064</v>
      </c>
      <c r="F164" s="1904"/>
      <c r="G164" s="2920"/>
      <c r="H164" s="2920"/>
      <c r="I164" s="2920"/>
      <c r="J164" s="2920"/>
      <c r="K164" s="2920"/>
      <c r="L164" s="2920"/>
      <c r="M164" s="2920"/>
      <c r="N164" s="2926">
        <f>+TRUNC(+SUM(G164:M165),2)</f>
        <v>0</v>
      </c>
      <c r="O164" s="578">
        <f>SUM(G164:N164)</f>
        <v>0</v>
      </c>
      <c r="R164" s="1899"/>
      <c r="S164" s="1899"/>
    </row>
    <row r="165" spans="1:19" ht="49.5" hidden="1" x14ac:dyDescent="0.15">
      <c r="A165" s="2968"/>
      <c r="B165" s="2947"/>
      <c r="C165" s="1893" t="s">
        <v>2309</v>
      </c>
      <c r="D165" s="1944"/>
      <c r="E165" s="1897" t="s">
        <v>1064</v>
      </c>
      <c r="F165" s="1928"/>
      <c r="G165" s="2921"/>
      <c r="H165" s="2921"/>
      <c r="I165" s="2921"/>
      <c r="J165" s="2921"/>
      <c r="K165" s="2921"/>
      <c r="L165" s="2921"/>
      <c r="M165" s="2921"/>
      <c r="N165" s="2927"/>
      <c r="O165" s="579">
        <f>+O164</f>
        <v>0</v>
      </c>
      <c r="R165" s="1899"/>
      <c r="S165" s="1899"/>
    </row>
    <row r="166" spans="1:19" ht="18.75" hidden="1" x14ac:dyDescent="0.15">
      <c r="A166" s="2968"/>
      <c r="B166" s="2947"/>
      <c r="C166" s="1930" t="s">
        <v>339</v>
      </c>
      <c r="D166" s="1942">
        <v>0.36</v>
      </c>
      <c r="E166" s="1894" t="s">
        <v>1064</v>
      </c>
      <c r="F166" s="1904"/>
      <c r="G166" s="2920"/>
      <c r="H166" s="2920"/>
      <c r="I166" s="2920"/>
      <c r="J166" s="2920"/>
      <c r="K166" s="2920"/>
      <c r="L166" s="2920"/>
      <c r="M166" s="2920"/>
      <c r="N166" s="2926">
        <f>+TRUNC(+SUM(G166:M167),2)</f>
        <v>0</v>
      </c>
      <c r="O166" s="578">
        <f>SUM(G166:N166)</f>
        <v>0</v>
      </c>
      <c r="R166" s="1899"/>
      <c r="S166" s="1899"/>
    </row>
    <row r="167" spans="1:19" ht="49.5" hidden="1" x14ac:dyDescent="0.15">
      <c r="A167" s="2968"/>
      <c r="B167" s="2947"/>
      <c r="C167" s="1893" t="s">
        <v>2308</v>
      </c>
      <c r="D167" s="1944"/>
      <c r="E167" s="1897" t="s">
        <v>1064</v>
      </c>
      <c r="F167" s="1928"/>
      <c r="G167" s="2921"/>
      <c r="H167" s="2921"/>
      <c r="I167" s="2921"/>
      <c r="J167" s="2921"/>
      <c r="K167" s="2921"/>
      <c r="L167" s="2921"/>
      <c r="M167" s="2921"/>
      <c r="N167" s="2927"/>
      <c r="O167" s="579">
        <f>+O166</f>
        <v>0</v>
      </c>
      <c r="R167" s="1899"/>
      <c r="S167" s="1899"/>
    </row>
    <row r="168" spans="1:19" ht="18.75" hidden="1" x14ac:dyDescent="0.15">
      <c r="A168" s="2968"/>
      <c r="B168" s="2947"/>
      <c r="C168" s="1930" t="s">
        <v>339</v>
      </c>
      <c r="D168" s="1942">
        <v>0.96</v>
      </c>
      <c r="E168" s="1894" t="s">
        <v>1064</v>
      </c>
      <c r="F168" s="1904"/>
      <c r="G168" s="2920"/>
      <c r="H168" s="2920"/>
      <c r="I168" s="2920"/>
      <c r="J168" s="2920"/>
      <c r="K168" s="2920"/>
      <c r="L168" s="2920"/>
      <c r="M168" s="2920"/>
      <c r="N168" s="2926">
        <f>+TRUNC(+SUM(G168:M169),2)</f>
        <v>0</v>
      </c>
      <c r="O168" s="578">
        <f>SUM(G168:N168)</f>
        <v>0</v>
      </c>
      <c r="R168" s="1899"/>
      <c r="S168" s="1899"/>
    </row>
    <row r="169" spans="1:19" ht="49.5" hidden="1" x14ac:dyDescent="0.15">
      <c r="A169" s="2968"/>
      <c r="B169" s="2947"/>
      <c r="C169" s="1893" t="s">
        <v>2307</v>
      </c>
      <c r="D169" s="1944"/>
      <c r="E169" s="1897" t="s">
        <v>1064</v>
      </c>
      <c r="F169" s="1943"/>
      <c r="G169" s="2921"/>
      <c r="H169" s="2921"/>
      <c r="I169" s="2921"/>
      <c r="J169" s="2921"/>
      <c r="K169" s="2921"/>
      <c r="L169" s="2921"/>
      <c r="M169" s="2921"/>
      <c r="N169" s="2927"/>
      <c r="O169" s="579">
        <f>+O168</f>
        <v>0</v>
      </c>
      <c r="R169" s="1899"/>
      <c r="S169" s="1899"/>
    </row>
    <row r="170" spans="1:19" ht="18.75" hidden="1" x14ac:dyDescent="0.15">
      <c r="A170" s="2968"/>
      <c r="B170" s="2947"/>
      <c r="C170" s="1930" t="s">
        <v>339</v>
      </c>
      <c r="D170" s="1942">
        <v>0.36</v>
      </c>
      <c r="E170" s="1894" t="s">
        <v>1064</v>
      </c>
      <c r="F170" s="1904"/>
      <c r="G170" s="2920"/>
      <c r="H170" s="2920"/>
      <c r="I170" s="2920"/>
      <c r="J170" s="2920"/>
      <c r="K170" s="2920"/>
      <c r="L170" s="2920"/>
      <c r="M170" s="2920"/>
      <c r="N170" s="2926">
        <f>+TRUNC(+SUM(G170:M171),2)</f>
        <v>0</v>
      </c>
      <c r="O170" s="578">
        <f>SUM(G170:N170)</f>
        <v>0</v>
      </c>
      <c r="R170" s="1899"/>
      <c r="S170" s="1899"/>
    </row>
    <row r="171" spans="1:19" ht="49.5" hidden="1" x14ac:dyDescent="0.15">
      <c r="A171" s="2968"/>
      <c r="B171" s="2947"/>
      <c r="C171" s="1893" t="s">
        <v>2306</v>
      </c>
      <c r="D171" s="1944"/>
      <c r="E171" s="1897" t="s">
        <v>1064</v>
      </c>
      <c r="F171" s="1928"/>
      <c r="G171" s="2921"/>
      <c r="H171" s="2921"/>
      <c r="I171" s="2921"/>
      <c r="J171" s="2921"/>
      <c r="K171" s="2921"/>
      <c r="L171" s="2921"/>
      <c r="M171" s="2921"/>
      <c r="N171" s="2927"/>
      <c r="O171" s="579">
        <f>+O170</f>
        <v>0</v>
      </c>
      <c r="R171" s="1899"/>
      <c r="S171" s="1899"/>
    </row>
    <row r="172" spans="1:19" ht="18.75" hidden="1" x14ac:dyDescent="0.15">
      <c r="A172" s="2968"/>
      <c r="B172" s="2947"/>
      <c r="C172" s="1930" t="s">
        <v>339</v>
      </c>
      <c r="D172" s="1942">
        <v>0.36</v>
      </c>
      <c r="E172" s="1894" t="s">
        <v>1064</v>
      </c>
      <c r="F172" s="1904"/>
      <c r="G172" s="2920"/>
      <c r="H172" s="2920"/>
      <c r="I172" s="2920"/>
      <c r="J172" s="2920"/>
      <c r="K172" s="2920"/>
      <c r="L172" s="2920"/>
      <c r="M172" s="2920"/>
      <c r="N172" s="2926">
        <f>+TRUNC(+SUM(G172:M173),2)</f>
        <v>0</v>
      </c>
      <c r="O172" s="578">
        <f>SUM(G172:N172)</f>
        <v>0</v>
      </c>
      <c r="R172" s="1899"/>
      <c r="S172" s="1899"/>
    </row>
    <row r="173" spans="1:19" ht="49.5" hidden="1" x14ac:dyDescent="0.15">
      <c r="A173" s="2968"/>
      <c r="B173" s="2947"/>
      <c r="C173" s="1893" t="s">
        <v>2305</v>
      </c>
      <c r="D173" s="1944"/>
      <c r="E173" s="1897" t="s">
        <v>1064</v>
      </c>
      <c r="F173" s="1928"/>
      <c r="G173" s="2921"/>
      <c r="H173" s="2921"/>
      <c r="I173" s="2921"/>
      <c r="J173" s="2921"/>
      <c r="K173" s="2921"/>
      <c r="L173" s="2921"/>
      <c r="M173" s="2921"/>
      <c r="N173" s="2927"/>
      <c r="O173" s="579">
        <f>+O172</f>
        <v>0</v>
      </c>
      <c r="R173" s="1899"/>
      <c r="S173" s="1899"/>
    </row>
    <row r="174" spans="1:19" ht="18.75" hidden="1" x14ac:dyDescent="0.15">
      <c r="A174" s="2968"/>
      <c r="B174" s="2947"/>
      <c r="C174" s="1930" t="s">
        <v>339</v>
      </c>
      <c r="D174" s="1942">
        <v>0.36</v>
      </c>
      <c r="E174" s="1894" t="s">
        <v>1064</v>
      </c>
      <c r="F174" s="1904"/>
      <c r="G174" s="2920"/>
      <c r="H174" s="2920"/>
      <c r="I174" s="2920"/>
      <c r="J174" s="2920"/>
      <c r="K174" s="2920"/>
      <c r="L174" s="2920"/>
      <c r="M174" s="2920"/>
      <c r="N174" s="2926">
        <f>+TRUNC(+SUM(G174:M175),2)</f>
        <v>0</v>
      </c>
      <c r="O174" s="578">
        <f>SUM(G174:N174)</f>
        <v>0</v>
      </c>
      <c r="R174" s="1899"/>
      <c r="S174" s="1899"/>
    </row>
    <row r="175" spans="1:19" ht="49.5" hidden="1" x14ac:dyDescent="0.15">
      <c r="A175" s="2968"/>
      <c r="B175" s="2947"/>
      <c r="C175" s="1893" t="s">
        <v>2304</v>
      </c>
      <c r="D175" s="1944"/>
      <c r="E175" s="1897" t="s">
        <v>1064</v>
      </c>
      <c r="F175" s="1928"/>
      <c r="G175" s="2921"/>
      <c r="H175" s="2921"/>
      <c r="I175" s="2921"/>
      <c r="J175" s="2921"/>
      <c r="K175" s="2921"/>
      <c r="L175" s="2921"/>
      <c r="M175" s="2921"/>
      <c r="N175" s="2927"/>
      <c r="O175" s="579">
        <f>+O174</f>
        <v>0</v>
      </c>
      <c r="R175" s="1899"/>
      <c r="S175" s="1899"/>
    </row>
    <row r="176" spans="1:19" ht="18.75" hidden="1" x14ac:dyDescent="0.15">
      <c r="A176" s="2968"/>
      <c r="B176" s="2947"/>
      <c r="C176" s="1930" t="s">
        <v>339</v>
      </c>
      <c r="D176" s="1942">
        <v>0.36</v>
      </c>
      <c r="E176" s="1894" t="s">
        <v>1064</v>
      </c>
      <c r="F176" s="1904"/>
      <c r="G176" s="2920"/>
      <c r="H176" s="2920"/>
      <c r="I176" s="2920"/>
      <c r="J176" s="2920"/>
      <c r="K176" s="2920"/>
      <c r="L176" s="2920"/>
      <c r="M176" s="2920"/>
      <c r="N176" s="2926">
        <f>+TRUNC(+SUM(G176:M177),2)</f>
        <v>0</v>
      </c>
      <c r="O176" s="578">
        <f>SUM(G176:N176)</f>
        <v>0</v>
      </c>
      <c r="R176" s="1899"/>
      <c r="S176" s="1899"/>
    </row>
    <row r="177" spans="1:19" ht="49.5" hidden="1" x14ac:dyDescent="0.15">
      <c r="A177" s="2968"/>
      <c r="B177" s="2947"/>
      <c r="C177" s="1893" t="s">
        <v>2303</v>
      </c>
      <c r="D177" s="1944"/>
      <c r="E177" s="1897" t="s">
        <v>1064</v>
      </c>
      <c r="F177" s="1928"/>
      <c r="G177" s="2921"/>
      <c r="H177" s="2921"/>
      <c r="I177" s="2921"/>
      <c r="J177" s="2921"/>
      <c r="K177" s="2921"/>
      <c r="L177" s="2921"/>
      <c r="M177" s="2921"/>
      <c r="N177" s="2927"/>
      <c r="O177" s="579">
        <f>+O176</f>
        <v>0</v>
      </c>
      <c r="R177" s="1899"/>
      <c r="S177" s="1899"/>
    </row>
    <row r="178" spans="1:19" ht="18.75" hidden="1" x14ac:dyDescent="0.15">
      <c r="A178" s="2968"/>
      <c r="B178" s="2947"/>
      <c r="C178" s="1930" t="s">
        <v>339</v>
      </c>
      <c r="D178" s="1942">
        <v>0.36</v>
      </c>
      <c r="E178" s="1894" t="s">
        <v>1064</v>
      </c>
      <c r="F178" s="1904"/>
      <c r="G178" s="2920"/>
      <c r="H178" s="2920"/>
      <c r="I178" s="2920"/>
      <c r="J178" s="2920"/>
      <c r="K178" s="2920"/>
      <c r="L178" s="2920"/>
      <c r="M178" s="2920"/>
      <c r="N178" s="2926">
        <f>+TRUNC(+SUM(G178:M179),2)</f>
        <v>0</v>
      </c>
      <c r="O178" s="578">
        <f>SUM(G178:N178)</f>
        <v>0</v>
      </c>
      <c r="R178" s="1899"/>
      <c r="S178" s="1899"/>
    </row>
    <row r="179" spans="1:19" ht="49.5" hidden="1" x14ac:dyDescent="0.15">
      <c r="A179" s="2968"/>
      <c r="B179" s="2947"/>
      <c r="C179" s="1893" t="s">
        <v>2302</v>
      </c>
      <c r="D179" s="1944"/>
      <c r="E179" s="1897" t="s">
        <v>1064</v>
      </c>
      <c r="F179" s="1928"/>
      <c r="G179" s="2921"/>
      <c r="H179" s="2921"/>
      <c r="I179" s="2921"/>
      <c r="J179" s="2921"/>
      <c r="K179" s="2921"/>
      <c r="L179" s="2921"/>
      <c r="M179" s="2921"/>
      <c r="N179" s="2927"/>
      <c r="O179" s="579">
        <f>+O178</f>
        <v>0</v>
      </c>
      <c r="R179" s="1899"/>
      <c r="S179" s="1899"/>
    </row>
    <row r="180" spans="1:19" ht="18.75" hidden="1" x14ac:dyDescent="0.15">
      <c r="A180" s="2968"/>
      <c r="B180" s="2947"/>
      <c r="C180" s="1930" t="s">
        <v>339</v>
      </c>
      <c r="D180" s="1942">
        <v>0.36</v>
      </c>
      <c r="E180" s="1894" t="s">
        <v>1064</v>
      </c>
      <c r="F180" s="1904"/>
      <c r="G180" s="2920"/>
      <c r="H180" s="2920"/>
      <c r="I180" s="2920"/>
      <c r="J180" s="2920"/>
      <c r="K180" s="2920"/>
      <c r="L180" s="2920"/>
      <c r="M180" s="2920"/>
      <c r="N180" s="2926">
        <f>+TRUNC(+SUM(G180:M181),2)</f>
        <v>0</v>
      </c>
      <c r="O180" s="578">
        <f>SUM(G180:N180)</f>
        <v>0</v>
      </c>
      <c r="R180" s="1899"/>
      <c r="S180" s="1899"/>
    </row>
    <row r="181" spans="1:19" ht="49.5" hidden="1" x14ac:dyDescent="0.15">
      <c r="A181" s="2968"/>
      <c r="B181" s="2947"/>
      <c r="C181" s="1893" t="s">
        <v>2301</v>
      </c>
      <c r="D181" s="1944"/>
      <c r="E181" s="1897" t="s">
        <v>1064</v>
      </c>
      <c r="F181" s="1928"/>
      <c r="G181" s="2921"/>
      <c r="H181" s="2921"/>
      <c r="I181" s="2921"/>
      <c r="J181" s="2921"/>
      <c r="K181" s="2921"/>
      <c r="L181" s="2921"/>
      <c r="M181" s="2921"/>
      <c r="N181" s="2927"/>
      <c r="O181" s="579">
        <f>+O180</f>
        <v>0</v>
      </c>
      <c r="R181" s="1899"/>
      <c r="S181" s="1899"/>
    </row>
    <row r="182" spans="1:19" ht="18.75" hidden="1" x14ac:dyDescent="0.15">
      <c r="A182" s="2968"/>
      <c r="B182" s="2947"/>
      <c r="C182" s="1930" t="s">
        <v>339</v>
      </c>
      <c r="D182" s="1942">
        <v>0.36</v>
      </c>
      <c r="E182" s="1894" t="s">
        <v>1064</v>
      </c>
      <c r="F182" s="1904"/>
      <c r="G182" s="2920"/>
      <c r="H182" s="2920"/>
      <c r="I182" s="2920"/>
      <c r="J182" s="2920"/>
      <c r="K182" s="2920"/>
      <c r="L182" s="2920"/>
      <c r="M182" s="2920"/>
      <c r="N182" s="2926">
        <f>+TRUNC(+SUM(G182:M183),2)</f>
        <v>0</v>
      </c>
      <c r="O182" s="578">
        <f>SUM(G182:N182)</f>
        <v>0</v>
      </c>
      <c r="R182" s="1899"/>
      <c r="S182" s="1899"/>
    </row>
    <row r="183" spans="1:19" ht="49.5" hidden="1" x14ac:dyDescent="0.15">
      <c r="A183" s="2968"/>
      <c r="B183" s="2947"/>
      <c r="C183" s="1893" t="s">
        <v>2300</v>
      </c>
      <c r="D183" s="1944"/>
      <c r="E183" s="1897" t="s">
        <v>1064</v>
      </c>
      <c r="F183" s="1928"/>
      <c r="G183" s="2921"/>
      <c r="H183" s="2921"/>
      <c r="I183" s="2921"/>
      <c r="J183" s="2921"/>
      <c r="K183" s="2921"/>
      <c r="L183" s="2921"/>
      <c r="M183" s="2921"/>
      <c r="N183" s="2927"/>
      <c r="O183" s="579">
        <f>+O182</f>
        <v>0</v>
      </c>
      <c r="R183" s="1899"/>
      <c r="S183" s="1899"/>
    </row>
    <row r="184" spans="1:19" ht="18.75" hidden="1" x14ac:dyDescent="0.15">
      <c r="A184" s="2968"/>
      <c r="B184" s="2947"/>
      <c r="C184" s="1930" t="s">
        <v>339</v>
      </c>
      <c r="D184" s="1942">
        <v>0.36</v>
      </c>
      <c r="E184" s="1894" t="s">
        <v>1064</v>
      </c>
      <c r="F184" s="1904"/>
      <c r="G184" s="2920"/>
      <c r="H184" s="2920"/>
      <c r="I184" s="2920"/>
      <c r="J184" s="2920"/>
      <c r="K184" s="2920"/>
      <c r="L184" s="2920"/>
      <c r="M184" s="2920"/>
      <c r="N184" s="2926">
        <f>+TRUNC(+SUM(G184:M185),2)</f>
        <v>0</v>
      </c>
      <c r="O184" s="578">
        <f>SUM(G184:N184)</f>
        <v>0</v>
      </c>
      <c r="R184" s="1899"/>
      <c r="S184" s="1899"/>
    </row>
    <row r="185" spans="1:19" ht="49.5" hidden="1" x14ac:dyDescent="0.15">
      <c r="A185" s="2968"/>
      <c r="B185" s="2947"/>
      <c r="C185" s="1893" t="s">
        <v>2299</v>
      </c>
      <c r="D185" s="1944"/>
      <c r="E185" s="1897" t="s">
        <v>1064</v>
      </c>
      <c r="F185" s="1928"/>
      <c r="G185" s="2921"/>
      <c r="H185" s="2921"/>
      <c r="I185" s="2921"/>
      <c r="J185" s="2921"/>
      <c r="K185" s="2921"/>
      <c r="L185" s="2921"/>
      <c r="M185" s="2921"/>
      <c r="N185" s="2927"/>
      <c r="O185" s="579">
        <f>+O184</f>
        <v>0</v>
      </c>
      <c r="R185" s="1899"/>
      <c r="S185" s="1899"/>
    </row>
    <row r="186" spans="1:19" ht="18.75" hidden="1" x14ac:dyDescent="0.15">
      <c r="A186" s="2968"/>
      <c r="B186" s="2947"/>
      <c r="C186" s="1930" t="s">
        <v>339</v>
      </c>
      <c r="D186" s="1942">
        <v>0.36</v>
      </c>
      <c r="E186" s="1894" t="s">
        <v>1064</v>
      </c>
      <c r="F186" s="1904"/>
      <c r="G186" s="2920"/>
      <c r="H186" s="2920"/>
      <c r="I186" s="2920"/>
      <c r="J186" s="2920"/>
      <c r="K186" s="2920"/>
      <c r="L186" s="2920"/>
      <c r="M186" s="2920"/>
      <c r="N186" s="2926">
        <f>+TRUNC(+SUM(G186:M187),2)</f>
        <v>0</v>
      </c>
      <c r="O186" s="578">
        <f>SUM(G186:N186)</f>
        <v>0</v>
      </c>
      <c r="R186" s="1899"/>
      <c r="S186" s="1899"/>
    </row>
    <row r="187" spans="1:19" ht="49.5" hidden="1" x14ac:dyDescent="0.15">
      <c r="A187" s="2968"/>
      <c r="B187" s="2947"/>
      <c r="C187" s="1893" t="s">
        <v>2298</v>
      </c>
      <c r="D187" s="1944"/>
      <c r="E187" s="1897" t="s">
        <v>1064</v>
      </c>
      <c r="F187" s="1928"/>
      <c r="G187" s="2921"/>
      <c r="H187" s="2921"/>
      <c r="I187" s="2921"/>
      <c r="J187" s="2921"/>
      <c r="K187" s="2921"/>
      <c r="L187" s="2921"/>
      <c r="M187" s="2921"/>
      <c r="N187" s="2927"/>
      <c r="O187" s="579">
        <f>+O186</f>
        <v>0</v>
      </c>
      <c r="R187" s="1899"/>
      <c r="S187" s="1899"/>
    </row>
    <row r="188" spans="1:19" ht="18.75" hidden="1" x14ac:dyDescent="0.15">
      <c r="A188" s="2968"/>
      <c r="B188" s="2947"/>
      <c r="C188" s="1930" t="s">
        <v>339</v>
      </c>
      <c r="D188" s="1942">
        <v>0.36</v>
      </c>
      <c r="E188" s="1894" t="s">
        <v>1064</v>
      </c>
      <c r="F188" s="1904"/>
      <c r="G188" s="2920"/>
      <c r="H188" s="2920"/>
      <c r="I188" s="2920"/>
      <c r="J188" s="2920"/>
      <c r="K188" s="2920"/>
      <c r="L188" s="2920"/>
      <c r="M188" s="2920"/>
      <c r="N188" s="2926">
        <f>+TRUNC(+SUM(G188:M189),2)</f>
        <v>0</v>
      </c>
      <c r="O188" s="578">
        <f>SUM(G188:N188)</f>
        <v>0</v>
      </c>
      <c r="R188" s="1899"/>
      <c r="S188" s="1899"/>
    </row>
    <row r="189" spans="1:19" ht="49.5" hidden="1" x14ac:dyDescent="0.15">
      <c r="A189" s="2968"/>
      <c r="B189" s="2947"/>
      <c r="C189" s="1893" t="s">
        <v>2297</v>
      </c>
      <c r="D189" s="1944"/>
      <c r="E189" s="1897" t="s">
        <v>1064</v>
      </c>
      <c r="F189" s="1928"/>
      <c r="G189" s="2921"/>
      <c r="H189" s="2921"/>
      <c r="I189" s="2921"/>
      <c r="J189" s="2921"/>
      <c r="K189" s="2921"/>
      <c r="L189" s="2921"/>
      <c r="M189" s="2921"/>
      <c r="N189" s="2927"/>
      <c r="O189" s="579">
        <f>+O188</f>
        <v>0</v>
      </c>
      <c r="R189" s="1899"/>
      <c r="S189" s="1899"/>
    </row>
    <row r="190" spans="1:19" ht="18.75" hidden="1" x14ac:dyDescent="0.15">
      <c r="A190" s="2968"/>
      <c r="B190" s="2947"/>
      <c r="C190" s="1930" t="s">
        <v>339</v>
      </c>
      <c r="D190" s="1942">
        <v>0.36</v>
      </c>
      <c r="E190" s="1894" t="s">
        <v>1064</v>
      </c>
      <c r="F190" s="1904"/>
      <c r="G190" s="2920"/>
      <c r="H190" s="2920"/>
      <c r="I190" s="2920"/>
      <c r="J190" s="2920"/>
      <c r="K190" s="2920"/>
      <c r="L190" s="2920"/>
      <c r="M190" s="2920"/>
      <c r="N190" s="2926">
        <f>+TRUNC(+SUM(G190:M191),2)</f>
        <v>0</v>
      </c>
      <c r="O190" s="578">
        <f>SUM(G190:N190)</f>
        <v>0</v>
      </c>
      <c r="R190" s="1899"/>
      <c r="S190" s="1899"/>
    </row>
    <row r="191" spans="1:19" ht="49.5" hidden="1" x14ac:dyDescent="0.15">
      <c r="A191" s="2968"/>
      <c r="B191" s="2947"/>
      <c r="C191" s="1893" t="s">
        <v>2296</v>
      </c>
      <c r="D191" s="1944"/>
      <c r="E191" s="1897" t="s">
        <v>1064</v>
      </c>
      <c r="F191" s="1928"/>
      <c r="G191" s="2921"/>
      <c r="H191" s="2921"/>
      <c r="I191" s="2921"/>
      <c r="J191" s="2921"/>
      <c r="K191" s="2921"/>
      <c r="L191" s="2921"/>
      <c r="M191" s="2921"/>
      <c r="N191" s="2927"/>
      <c r="O191" s="579">
        <f>+O190</f>
        <v>0</v>
      </c>
      <c r="R191" s="1899"/>
      <c r="S191" s="1899"/>
    </row>
    <row r="192" spans="1:19" ht="18.75" hidden="1" x14ac:dyDescent="0.15">
      <c r="A192" s="2968"/>
      <c r="B192" s="2947"/>
      <c r="C192" s="1930" t="s">
        <v>339</v>
      </c>
      <c r="D192" s="1942">
        <v>0.36</v>
      </c>
      <c r="E192" s="1894" t="s">
        <v>1064</v>
      </c>
      <c r="F192" s="1904"/>
      <c r="G192" s="2920"/>
      <c r="H192" s="2920"/>
      <c r="I192" s="2920"/>
      <c r="J192" s="2920"/>
      <c r="K192" s="2920"/>
      <c r="L192" s="2920"/>
      <c r="M192" s="2920"/>
      <c r="N192" s="2926">
        <f>+TRUNC(+SUM(G192:M193),2)</f>
        <v>0</v>
      </c>
      <c r="O192" s="578">
        <f>SUM(G192:N192)</f>
        <v>0</v>
      </c>
      <c r="R192" s="1899"/>
      <c r="S192" s="1899"/>
    </row>
    <row r="193" spans="1:19" ht="49.5" hidden="1" x14ac:dyDescent="0.15">
      <c r="A193" s="2968"/>
      <c r="B193" s="2947"/>
      <c r="C193" s="1893" t="s">
        <v>2295</v>
      </c>
      <c r="D193" s="1944"/>
      <c r="E193" s="1897" t="s">
        <v>1064</v>
      </c>
      <c r="F193" s="1928"/>
      <c r="G193" s="2921"/>
      <c r="H193" s="2921"/>
      <c r="I193" s="2921"/>
      <c r="J193" s="2921"/>
      <c r="K193" s="2921"/>
      <c r="L193" s="2921"/>
      <c r="M193" s="2921"/>
      <c r="N193" s="2927"/>
      <c r="O193" s="579">
        <f>+O192</f>
        <v>0</v>
      </c>
      <c r="R193" s="1899"/>
      <c r="S193" s="1899"/>
    </row>
    <row r="194" spans="1:19" ht="18.75" hidden="1" x14ac:dyDescent="0.15">
      <c r="A194" s="2968"/>
      <c r="B194" s="2947"/>
      <c r="C194" s="1930" t="s">
        <v>339</v>
      </c>
      <c r="D194" s="1942">
        <v>0.15</v>
      </c>
      <c r="E194" s="1894" t="s">
        <v>1064</v>
      </c>
      <c r="F194" s="1904"/>
      <c r="G194" s="2920"/>
      <c r="H194" s="2920"/>
      <c r="I194" s="2920"/>
      <c r="J194" s="2920"/>
      <c r="K194" s="2920"/>
      <c r="L194" s="2920"/>
      <c r="M194" s="2920"/>
      <c r="N194" s="2926">
        <f>+TRUNC(+SUM(G194:M195),2)</f>
        <v>0</v>
      </c>
      <c r="O194" s="578">
        <f>SUM(G194:N194)</f>
        <v>0</v>
      </c>
      <c r="R194" s="1899"/>
      <c r="S194" s="1899"/>
    </row>
    <row r="195" spans="1:19" ht="49.5" hidden="1" x14ac:dyDescent="0.15">
      <c r="A195" s="2968"/>
      <c r="B195" s="2947"/>
      <c r="C195" s="1893" t="s">
        <v>2294</v>
      </c>
      <c r="D195" s="1944"/>
      <c r="E195" s="1897" t="s">
        <v>1064</v>
      </c>
      <c r="F195" s="1943"/>
      <c r="G195" s="2921"/>
      <c r="H195" s="2921"/>
      <c r="I195" s="2921"/>
      <c r="J195" s="2921"/>
      <c r="K195" s="2921"/>
      <c r="L195" s="2921"/>
      <c r="M195" s="2921"/>
      <c r="N195" s="2927"/>
      <c r="O195" s="579">
        <f>+O194</f>
        <v>0</v>
      </c>
      <c r="R195" s="1899"/>
      <c r="S195" s="1899"/>
    </row>
    <row r="196" spans="1:19" ht="18.75" hidden="1" x14ac:dyDescent="0.15">
      <c r="A196" s="2968"/>
      <c r="B196" s="2947"/>
      <c r="C196" s="1930" t="s">
        <v>339</v>
      </c>
      <c r="D196" s="1942">
        <v>0.15</v>
      </c>
      <c r="E196" s="1894" t="s">
        <v>1064</v>
      </c>
      <c r="F196" s="1904"/>
      <c r="G196" s="2920"/>
      <c r="H196" s="2920"/>
      <c r="I196" s="2920"/>
      <c r="J196" s="2920"/>
      <c r="K196" s="2920"/>
      <c r="L196" s="2920"/>
      <c r="M196" s="2920"/>
      <c r="N196" s="2926">
        <f>+TRUNC(+SUM(G196:M197),2)</f>
        <v>0</v>
      </c>
      <c r="O196" s="578">
        <f>SUM(G196:N196)</f>
        <v>0</v>
      </c>
      <c r="R196" s="1899"/>
      <c r="S196" s="1899"/>
    </row>
    <row r="197" spans="1:19" ht="49.5" hidden="1" x14ac:dyDescent="0.15">
      <c r="A197" s="2968"/>
      <c r="B197" s="2947"/>
      <c r="C197" s="1893" t="s">
        <v>2293</v>
      </c>
      <c r="D197" s="1944"/>
      <c r="E197" s="1897" t="s">
        <v>1064</v>
      </c>
      <c r="F197" s="1943"/>
      <c r="G197" s="2921"/>
      <c r="H197" s="2921"/>
      <c r="I197" s="2921"/>
      <c r="J197" s="2921"/>
      <c r="K197" s="2921"/>
      <c r="L197" s="2921"/>
      <c r="M197" s="2921"/>
      <c r="N197" s="2927"/>
      <c r="O197" s="579">
        <f>+O196</f>
        <v>0</v>
      </c>
      <c r="R197" s="1899"/>
      <c r="S197" s="1899"/>
    </row>
    <row r="198" spans="1:19" ht="18.75" hidden="1" x14ac:dyDescent="0.15">
      <c r="A198" s="2968"/>
      <c r="B198" s="2947"/>
      <c r="C198" s="1930" t="s">
        <v>339</v>
      </c>
      <c r="D198" s="1942">
        <v>0.36</v>
      </c>
      <c r="E198" s="1894" t="s">
        <v>1064</v>
      </c>
      <c r="F198" s="1904"/>
      <c r="G198" s="2920"/>
      <c r="H198" s="2920"/>
      <c r="I198" s="2920"/>
      <c r="J198" s="2920"/>
      <c r="K198" s="2920"/>
      <c r="L198" s="2920"/>
      <c r="M198" s="2920"/>
      <c r="N198" s="2926">
        <f>+TRUNC(+SUM(G198:M199),2)</f>
        <v>0</v>
      </c>
      <c r="O198" s="578">
        <f>SUM(G198:N198)</f>
        <v>0</v>
      </c>
      <c r="R198" s="1899"/>
      <c r="S198" s="1899"/>
    </row>
    <row r="199" spans="1:19" ht="49.5" hidden="1" x14ac:dyDescent="0.15">
      <c r="A199" s="2968"/>
      <c r="B199" s="2947"/>
      <c r="C199" s="1893" t="s">
        <v>2292</v>
      </c>
      <c r="D199" s="1944"/>
      <c r="E199" s="1897" t="s">
        <v>1064</v>
      </c>
      <c r="F199" s="1928"/>
      <c r="G199" s="2921"/>
      <c r="H199" s="2921"/>
      <c r="I199" s="2921"/>
      <c r="J199" s="2921"/>
      <c r="K199" s="2921"/>
      <c r="L199" s="2921"/>
      <c r="M199" s="2921"/>
      <c r="N199" s="2927"/>
      <c r="O199" s="579">
        <f>+O198</f>
        <v>0</v>
      </c>
      <c r="R199" s="1899"/>
      <c r="S199" s="1899"/>
    </row>
    <row r="200" spans="1:19" ht="18.75" hidden="1" x14ac:dyDescent="0.15">
      <c r="A200" s="2968"/>
      <c r="B200" s="2947"/>
      <c r="C200" s="1930" t="s">
        <v>339</v>
      </c>
      <c r="D200" s="1942">
        <v>0.36</v>
      </c>
      <c r="E200" s="1894" t="s">
        <v>1064</v>
      </c>
      <c r="F200" s="1904"/>
      <c r="G200" s="2920"/>
      <c r="H200" s="2920"/>
      <c r="I200" s="2920"/>
      <c r="J200" s="2920"/>
      <c r="K200" s="2920"/>
      <c r="L200" s="2920"/>
      <c r="M200" s="2920"/>
      <c r="N200" s="2926">
        <f>+TRUNC(+SUM(G200:M201),2)</f>
        <v>0</v>
      </c>
      <c r="O200" s="578">
        <f>SUM(G200:N200)</f>
        <v>0</v>
      </c>
      <c r="R200" s="1899"/>
      <c r="S200" s="1899"/>
    </row>
    <row r="201" spans="1:19" ht="49.5" hidden="1" x14ac:dyDescent="0.15">
      <c r="A201" s="2968"/>
      <c r="B201" s="2947"/>
      <c r="C201" s="1893" t="s">
        <v>2291</v>
      </c>
      <c r="D201" s="1944"/>
      <c r="E201" s="1897" t="s">
        <v>1064</v>
      </c>
      <c r="F201" s="1928"/>
      <c r="G201" s="2921"/>
      <c r="H201" s="2921"/>
      <c r="I201" s="2921"/>
      <c r="J201" s="2921"/>
      <c r="K201" s="2921"/>
      <c r="L201" s="2921"/>
      <c r="M201" s="2921"/>
      <c r="N201" s="2927"/>
      <c r="O201" s="579">
        <f>+O200</f>
        <v>0</v>
      </c>
      <c r="R201" s="1899"/>
      <c r="S201" s="1899"/>
    </row>
    <row r="202" spans="1:19" ht="18.75" hidden="1" x14ac:dyDescent="0.15">
      <c r="A202" s="2968"/>
      <c r="B202" s="2947"/>
      <c r="C202" s="1930" t="s">
        <v>339</v>
      </c>
      <c r="D202" s="1942">
        <v>0.36</v>
      </c>
      <c r="E202" s="1894" t="s">
        <v>1064</v>
      </c>
      <c r="F202" s="1904"/>
      <c r="G202" s="2920"/>
      <c r="H202" s="2920"/>
      <c r="I202" s="2920"/>
      <c r="J202" s="2920"/>
      <c r="K202" s="2920"/>
      <c r="L202" s="2920"/>
      <c r="M202" s="2920"/>
      <c r="N202" s="2926">
        <f>+TRUNC(+SUM(G202:M203),2)</f>
        <v>0</v>
      </c>
      <c r="O202" s="578">
        <f>SUM(G202:N202)</f>
        <v>0</v>
      </c>
      <c r="R202" s="1899"/>
      <c r="S202" s="1899"/>
    </row>
    <row r="203" spans="1:19" ht="49.5" hidden="1" x14ac:dyDescent="0.15">
      <c r="A203" s="2968"/>
      <c r="B203" s="2947"/>
      <c r="C203" s="1893" t="s">
        <v>2290</v>
      </c>
      <c r="D203" s="1944"/>
      <c r="E203" s="1897" t="s">
        <v>1064</v>
      </c>
      <c r="F203" s="1928"/>
      <c r="G203" s="2921"/>
      <c r="H203" s="2921"/>
      <c r="I203" s="2921"/>
      <c r="J203" s="2921"/>
      <c r="K203" s="2921"/>
      <c r="L203" s="2921"/>
      <c r="M203" s="2921"/>
      <c r="N203" s="2927"/>
      <c r="O203" s="579">
        <f>+O202</f>
        <v>0</v>
      </c>
      <c r="R203" s="1899"/>
      <c r="S203" s="1899"/>
    </row>
    <row r="204" spans="1:19" ht="18.75" hidden="1" x14ac:dyDescent="0.15">
      <c r="A204" s="2968"/>
      <c r="B204" s="2947"/>
      <c r="C204" s="1930" t="s">
        <v>339</v>
      </c>
      <c r="D204" s="1942">
        <v>0.36</v>
      </c>
      <c r="E204" s="1894" t="s">
        <v>1064</v>
      </c>
      <c r="F204" s="1904"/>
      <c r="G204" s="2920"/>
      <c r="H204" s="2920"/>
      <c r="I204" s="2920"/>
      <c r="J204" s="2920"/>
      <c r="K204" s="2920"/>
      <c r="L204" s="2920"/>
      <c r="M204" s="2920"/>
      <c r="N204" s="2926">
        <f>+TRUNC(+SUM(G204:M205),2)</f>
        <v>0</v>
      </c>
      <c r="O204" s="578">
        <f>SUM(G204:N204)</f>
        <v>0</v>
      </c>
      <c r="R204" s="1899"/>
      <c r="S204" s="1899"/>
    </row>
    <row r="205" spans="1:19" ht="49.5" hidden="1" x14ac:dyDescent="0.15">
      <c r="A205" s="2968"/>
      <c r="B205" s="2947"/>
      <c r="C205" s="1893" t="s">
        <v>2289</v>
      </c>
      <c r="D205" s="1944"/>
      <c r="E205" s="1897" t="s">
        <v>1064</v>
      </c>
      <c r="F205" s="1928"/>
      <c r="G205" s="2921"/>
      <c r="H205" s="2921"/>
      <c r="I205" s="2921"/>
      <c r="J205" s="2921"/>
      <c r="K205" s="2921"/>
      <c r="L205" s="2921"/>
      <c r="M205" s="2921"/>
      <c r="N205" s="2927"/>
      <c r="O205" s="579">
        <f>+O204</f>
        <v>0</v>
      </c>
      <c r="R205" s="1899"/>
      <c r="S205" s="1899"/>
    </row>
    <row r="206" spans="1:19" ht="18.75" hidden="1" x14ac:dyDescent="0.15">
      <c r="A206" s="2968"/>
      <c r="B206" s="2947"/>
      <c r="C206" s="1930" t="s">
        <v>339</v>
      </c>
      <c r="D206" s="1942">
        <v>0.36</v>
      </c>
      <c r="E206" s="1894" t="s">
        <v>1064</v>
      </c>
      <c r="F206" s="1904"/>
      <c r="G206" s="2920"/>
      <c r="H206" s="2920"/>
      <c r="I206" s="2920"/>
      <c r="J206" s="2920"/>
      <c r="K206" s="2920"/>
      <c r="L206" s="2920"/>
      <c r="M206" s="2920"/>
      <c r="N206" s="2926">
        <f>+TRUNC(+SUM(G206:M207),2)</f>
        <v>0</v>
      </c>
      <c r="O206" s="578">
        <f>SUM(G206:N206)</f>
        <v>0</v>
      </c>
      <c r="R206" s="1899"/>
      <c r="S206" s="1899"/>
    </row>
    <row r="207" spans="1:19" ht="49.5" hidden="1" x14ac:dyDescent="0.15">
      <c r="A207" s="2968"/>
      <c r="B207" s="2947"/>
      <c r="C207" s="1893" t="s">
        <v>2288</v>
      </c>
      <c r="D207" s="1944"/>
      <c r="E207" s="1897" t="s">
        <v>1064</v>
      </c>
      <c r="F207" s="1928"/>
      <c r="G207" s="2921"/>
      <c r="H207" s="2921"/>
      <c r="I207" s="2921"/>
      <c r="J207" s="2921"/>
      <c r="K207" s="2921"/>
      <c r="L207" s="2921"/>
      <c r="M207" s="2921"/>
      <c r="N207" s="2927"/>
      <c r="O207" s="579">
        <f>+O206</f>
        <v>0</v>
      </c>
      <c r="R207" s="1899"/>
      <c r="S207" s="1899"/>
    </row>
    <row r="208" spans="1:19" ht="18.75" hidden="1" x14ac:dyDescent="0.15">
      <c r="A208" s="2968"/>
      <c r="B208" s="2947"/>
      <c r="C208" s="1930" t="s">
        <v>339</v>
      </c>
      <c r="D208" s="1942">
        <v>0.36</v>
      </c>
      <c r="E208" s="1894" t="s">
        <v>1064</v>
      </c>
      <c r="F208" s="1904"/>
      <c r="G208" s="2920"/>
      <c r="H208" s="2920"/>
      <c r="I208" s="2920"/>
      <c r="J208" s="2920"/>
      <c r="K208" s="2920"/>
      <c r="L208" s="2920"/>
      <c r="M208" s="2920"/>
      <c r="N208" s="2926">
        <f>+TRUNC(+SUM(G208:M209),2)</f>
        <v>0</v>
      </c>
      <c r="O208" s="578">
        <f>SUM(G208:N208)</f>
        <v>0</v>
      </c>
      <c r="R208" s="1899"/>
      <c r="S208" s="1899"/>
    </row>
    <row r="209" spans="1:19" ht="49.5" hidden="1" x14ac:dyDescent="0.15">
      <c r="A209" s="2968"/>
      <c r="B209" s="2947"/>
      <c r="C209" s="1893" t="s">
        <v>2287</v>
      </c>
      <c r="D209" s="1944"/>
      <c r="E209" s="1897" t="s">
        <v>1064</v>
      </c>
      <c r="F209" s="1928"/>
      <c r="G209" s="2921"/>
      <c r="H209" s="2921"/>
      <c r="I209" s="2921"/>
      <c r="J209" s="2921"/>
      <c r="K209" s="2921"/>
      <c r="L209" s="2921"/>
      <c r="M209" s="2921"/>
      <c r="N209" s="2927"/>
      <c r="O209" s="579">
        <f>+O208</f>
        <v>0</v>
      </c>
      <c r="R209" s="1899"/>
      <c r="S209" s="1899"/>
    </row>
    <row r="210" spans="1:19" ht="18.75" hidden="1" x14ac:dyDescent="0.15">
      <c r="A210" s="2968"/>
      <c r="B210" s="2947"/>
      <c r="C210" s="1930" t="s">
        <v>339</v>
      </c>
      <c r="D210" s="1942">
        <v>0.36</v>
      </c>
      <c r="E210" s="1894" t="s">
        <v>1064</v>
      </c>
      <c r="F210" s="1904"/>
      <c r="G210" s="2920"/>
      <c r="H210" s="2920"/>
      <c r="I210" s="2920"/>
      <c r="J210" s="2920"/>
      <c r="K210" s="2920"/>
      <c r="L210" s="2920"/>
      <c r="M210" s="2920"/>
      <c r="N210" s="2926">
        <f>+TRUNC(+SUM(G210:M211),2)</f>
        <v>0</v>
      </c>
      <c r="O210" s="578">
        <f>SUM(G210:N210)</f>
        <v>0</v>
      </c>
      <c r="R210" s="1899"/>
      <c r="S210" s="1899"/>
    </row>
    <row r="211" spans="1:19" ht="49.5" hidden="1" x14ac:dyDescent="0.15">
      <c r="A211" s="2968"/>
      <c r="B211" s="2947"/>
      <c r="C211" s="1893" t="s">
        <v>2286</v>
      </c>
      <c r="D211" s="1944"/>
      <c r="E211" s="1897" t="s">
        <v>1064</v>
      </c>
      <c r="F211" s="1928"/>
      <c r="G211" s="2921"/>
      <c r="H211" s="2921"/>
      <c r="I211" s="2921"/>
      <c r="J211" s="2921"/>
      <c r="K211" s="2921"/>
      <c r="L211" s="2921"/>
      <c r="M211" s="2921"/>
      <c r="N211" s="2927"/>
      <c r="O211" s="579">
        <f>+O210</f>
        <v>0</v>
      </c>
      <c r="R211" s="1899"/>
      <c r="S211" s="1899"/>
    </row>
    <row r="212" spans="1:19" ht="18.75" hidden="1" x14ac:dyDescent="0.15">
      <c r="A212" s="2968"/>
      <c r="B212" s="2947"/>
      <c r="C212" s="1930" t="s">
        <v>339</v>
      </c>
      <c r="D212" s="1942">
        <v>0.36</v>
      </c>
      <c r="E212" s="1894" t="s">
        <v>1064</v>
      </c>
      <c r="F212" s="1904"/>
      <c r="G212" s="2920"/>
      <c r="H212" s="2920"/>
      <c r="I212" s="2920"/>
      <c r="J212" s="2920"/>
      <c r="K212" s="2920"/>
      <c r="L212" s="2920"/>
      <c r="M212" s="2920"/>
      <c r="N212" s="2926">
        <f>+TRUNC(+SUM(G212:M213),2)</f>
        <v>0</v>
      </c>
      <c r="O212" s="578">
        <f>SUM(G212:N212)</f>
        <v>0</v>
      </c>
      <c r="R212" s="1899"/>
      <c r="S212" s="1899"/>
    </row>
    <row r="213" spans="1:19" ht="49.5" hidden="1" x14ac:dyDescent="0.15">
      <c r="A213" s="2968"/>
      <c r="B213" s="2947"/>
      <c r="C213" s="1893" t="s">
        <v>2285</v>
      </c>
      <c r="D213" s="1944"/>
      <c r="E213" s="1897" t="s">
        <v>1064</v>
      </c>
      <c r="F213" s="1928"/>
      <c r="G213" s="2921"/>
      <c r="H213" s="2921"/>
      <c r="I213" s="2921"/>
      <c r="J213" s="2921"/>
      <c r="K213" s="2921"/>
      <c r="L213" s="2921"/>
      <c r="M213" s="2921"/>
      <c r="N213" s="2927"/>
      <c r="O213" s="579">
        <f>+O212</f>
        <v>0</v>
      </c>
      <c r="R213" s="1899"/>
      <c r="S213" s="1899"/>
    </row>
    <row r="214" spans="1:19" ht="18.75" hidden="1" x14ac:dyDescent="0.15">
      <c r="A214" s="2968"/>
      <c r="B214" s="2947"/>
      <c r="C214" s="1930" t="s">
        <v>339</v>
      </c>
      <c r="D214" s="1942">
        <v>0.36</v>
      </c>
      <c r="E214" s="1894" t="s">
        <v>1064</v>
      </c>
      <c r="F214" s="1904"/>
      <c r="G214" s="2920"/>
      <c r="H214" s="2920"/>
      <c r="I214" s="2920"/>
      <c r="J214" s="2920"/>
      <c r="K214" s="2920"/>
      <c r="L214" s="2920"/>
      <c r="M214" s="2920"/>
      <c r="N214" s="2926">
        <f>+TRUNC(+SUM(G214:M215),2)</f>
        <v>0</v>
      </c>
      <c r="O214" s="578">
        <f>SUM(G214:N214)</f>
        <v>0</v>
      </c>
      <c r="R214" s="1899"/>
      <c r="S214" s="1899"/>
    </row>
    <row r="215" spans="1:19" ht="49.5" hidden="1" x14ac:dyDescent="0.15">
      <c r="A215" s="2968"/>
      <c r="B215" s="2947"/>
      <c r="C215" s="1893" t="s">
        <v>2284</v>
      </c>
      <c r="D215" s="1944"/>
      <c r="E215" s="1897" t="s">
        <v>1064</v>
      </c>
      <c r="F215" s="1928"/>
      <c r="G215" s="2921"/>
      <c r="H215" s="2921"/>
      <c r="I215" s="2921"/>
      <c r="J215" s="2921"/>
      <c r="K215" s="2921"/>
      <c r="L215" s="2921"/>
      <c r="M215" s="2921"/>
      <c r="N215" s="2927"/>
      <c r="O215" s="579">
        <f>+O214</f>
        <v>0</v>
      </c>
      <c r="R215" s="1899"/>
      <c r="S215" s="1899"/>
    </row>
    <row r="216" spans="1:19" ht="18.75" hidden="1" x14ac:dyDescent="0.15">
      <c r="A216" s="2968"/>
      <c r="B216" s="2947"/>
      <c r="C216" s="1930" t="s">
        <v>339</v>
      </c>
      <c r="D216" s="1942">
        <v>0.96</v>
      </c>
      <c r="E216" s="1894" t="s">
        <v>1064</v>
      </c>
      <c r="F216" s="1904"/>
      <c r="G216" s="2920"/>
      <c r="H216" s="2920"/>
      <c r="I216" s="2920"/>
      <c r="J216" s="2920"/>
      <c r="K216" s="2920"/>
      <c r="L216" s="2920"/>
      <c r="M216" s="2920"/>
      <c r="N216" s="2926">
        <f>+TRUNC(+SUM(G216:M217),2)</f>
        <v>0</v>
      </c>
      <c r="O216" s="578">
        <f>SUM(G216:N216)</f>
        <v>0</v>
      </c>
      <c r="R216" s="1899"/>
      <c r="S216" s="1899"/>
    </row>
    <row r="217" spans="1:19" ht="49.5" hidden="1" x14ac:dyDescent="0.15">
      <c r="A217" s="2968"/>
      <c r="B217" s="2947"/>
      <c r="C217" s="1893" t="s">
        <v>2283</v>
      </c>
      <c r="D217" s="1944"/>
      <c r="E217" s="1897" t="s">
        <v>1064</v>
      </c>
      <c r="F217" s="1943"/>
      <c r="G217" s="2921"/>
      <c r="H217" s="2921"/>
      <c r="I217" s="2921"/>
      <c r="J217" s="2921"/>
      <c r="K217" s="2921"/>
      <c r="L217" s="2921"/>
      <c r="M217" s="2921"/>
      <c r="N217" s="2927"/>
      <c r="O217" s="579">
        <f>+O216</f>
        <v>0</v>
      </c>
      <c r="R217" s="1899"/>
      <c r="S217" s="1899"/>
    </row>
    <row r="218" spans="1:19" ht="18.75" hidden="1" x14ac:dyDescent="0.15">
      <c r="A218" s="2968"/>
      <c r="B218" s="2947"/>
      <c r="C218" s="1930" t="s">
        <v>339</v>
      </c>
      <c r="D218" s="1942">
        <v>0.36</v>
      </c>
      <c r="E218" s="1894" t="s">
        <v>1064</v>
      </c>
      <c r="F218" s="1904"/>
      <c r="G218" s="2920"/>
      <c r="H218" s="2920"/>
      <c r="I218" s="2920"/>
      <c r="J218" s="2920"/>
      <c r="K218" s="2920"/>
      <c r="L218" s="2920"/>
      <c r="M218" s="2920"/>
      <c r="N218" s="2926">
        <f>+TRUNC(+SUM(G218:M219),2)</f>
        <v>0</v>
      </c>
      <c r="O218" s="578">
        <f>SUM(G218:N218)</f>
        <v>0</v>
      </c>
      <c r="R218" s="1899"/>
      <c r="S218" s="1899"/>
    </row>
    <row r="219" spans="1:19" ht="49.5" hidden="1" x14ac:dyDescent="0.15">
      <c r="A219" s="2968"/>
      <c r="B219" s="2947"/>
      <c r="C219" s="1893" t="s">
        <v>2282</v>
      </c>
      <c r="D219" s="1944"/>
      <c r="E219" s="1897" t="s">
        <v>1064</v>
      </c>
      <c r="F219" s="1928"/>
      <c r="G219" s="2921"/>
      <c r="H219" s="2921"/>
      <c r="I219" s="2921"/>
      <c r="J219" s="2921"/>
      <c r="K219" s="2921"/>
      <c r="L219" s="2921"/>
      <c r="M219" s="2921"/>
      <c r="N219" s="2927"/>
      <c r="O219" s="579">
        <f>+O218</f>
        <v>0</v>
      </c>
      <c r="R219" s="1899"/>
      <c r="S219" s="1899"/>
    </row>
    <row r="220" spans="1:19" ht="18.75" hidden="1" x14ac:dyDescent="0.15">
      <c r="A220" s="2968"/>
      <c r="B220" s="2947"/>
      <c r="C220" s="1930" t="s">
        <v>339</v>
      </c>
      <c r="D220" s="1942">
        <v>0.36</v>
      </c>
      <c r="E220" s="1894" t="s">
        <v>1064</v>
      </c>
      <c r="F220" s="1904"/>
      <c r="G220" s="2920"/>
      <c r="H220" s="2920"/>
      <c r="I220" s="2920"/>
      <c r="J220" s="2920"/>
      <c r="K220" s="2920"/>
      <c r="L220" s="2920"/>
      <c r="M220" s="2920"/>
      <c r="N220" s="2926">
        <f>+TRUNC(+SUM(G220:M221),2)</f>
        <v>0</v>
      </c>
      <c r="O220" s="578">
        <f>SUM(G220:N220)</f>
        <v>0</v>
      </c>
      <c r="R220" s="1899"/>
      <c r="S220" s="1899"/>
    </row>
    <row r="221" spans="1:19" ht="49.5" hidden="1" x14ac:dyDescent="0.15">
      <c r="A221" s="2968"/>
      <c r="B221" s="2947"/>
      <c r="C221" s="1893" t="s">
        <v>2281</v>
      </c>
      <c r="D221" s="1944"/>
      <c r="E221" s="1897" t="s">
        <v>1064</v>
      </c>
      <c r="F221" s="1928"/>
      <c r="G221" s="2921"/>
      <c r="H221" s="2921"/>
      <c r="I221" s="2921"/>
      <c r="J221" s="2921"/>
      <c r="K221" s="2921"/>
      <c r="L221" s="2921"/>
      <c r="M221" s="2921"/>
      <c r="N221" s="2927"/>
      <c r="O221" s="579">
        <f>+O220</f>
        <v>0</v>
      </c>
      <c r="R221" s="1899"/>
      <c r="S221" s="1899"/>
    </row>
    <row r="222" spans="1:19" ht="18.75" hidden="1" x14ac:dyDescent="0.15">
      <c r="A222" s="2968"/>
      <c r="B222" s="2947"/>
      <c r="C222" s="1930" t="s">
        <v>339</v>
      </c>
      <c r="D222" s="1942">
        <v>0.36</v>
      </c>
      <c r="E222" s="1894" t="s">
        <v>1064</v>
      </c>
      <c r="F222" s="1904"/>
      <c r="G222" s="2920"/>
      <c r="H222" s="2920"/>
      <c r="I222" s="2920"/>
      <c r="J222" s="2920"/>
      <c r="K222" s="2920"/>
      <c r="L222" s="2920"/>
      <c r="M222" s="2920"/>
      <c r="N222" s="2926">
        <f>+TRUNC(+SUM(G222:M223),2)</f>
        <v>0</v>
      </c>
      <c r="O222" s="578">
        <f>SUM(G222:N222)</f>
        <v>0</v>
      </c>
      <c r="R222" s="1899"/>
      <c r="S222" s="1899"/>
    </row>
    <row r="223" spans="1:19" ht="49.5" hidden="1" x14ac:dyDescent="0.15">
      <c r="A223" s="2968"/>
      <c r="B223" s="2947"/>
      <c r="C223" s="1893" t="s">
        <v>2280</v>
      </c>
      <c r="D223" s="1944"/>
      <c r="E223" s="1897" t="s">
        <v>1064</v>
      </c>
      <c r="F223" s="1928"/>
      <c r="G223" s="2921"/>
      <c r="H223" s="2921"/>
      <c r="I223" s="2921"/>
      <c r="J223" s="2921"/>
      <c r="K223" s="2921"/>
      <c r="L223" s="2921"/>
      <c r="M223" s="2921"/>
      <c r="N223" s="2927"/>
      <c r="O223" s="579">
        <f>+O222</f>
        <v>0</v>
      </c>
      <c r="R223" s="1899"/>
      <c r="S223" s="1899"/>
    </row>
    <row r="224" spans="1:19" ht="18.75" hidden="1" x14ac:dyDescent="0.15">
      <c r="A224" s="2968"/>
      <c r="B224" s="2947"/>
      <c r="C224" s="1930" t="s">
        <v>339</v>
      </c>
      <c r="D224" s="1942">
        <v>0.36</v>
      </c>
      <c r="E224" s="1894" t="s">
        <v>1064</v>
      </c>
      <c r="F224" s="1904"/>
      <c r="G224" s="2920"/>
      <c r="H224" s="2920"/>
      <c r="I224" s="2920"/>
      <c r="J224" s="2920"/>
      <c r="K224" s="2920"/>
      <c r="L224" s="2920"/>
      <c r="M224" s="2920"/>
      <c r="N224" s="2926">
        <f>+TRUNC(+SUM(G224:M225),2)</f>
        <v>0</v>
      </c>
      <c r="O224" s="578">
        <f>SUM(G224:N224)</f>
        <v>0</v>
      </c>
      <c r="R224" s="1899"/>
      <c r="S224" s="1899"/>
    </row>
    <row r="225" spans="1:19" ht="49.5" hidden="1" x14ac:dyDescent="0.15">
      <c r="A225" s="2968"/>
      <c r="B225" s="2947"/>
      <c r="C225" s="1893" t="s">
        <v>2279</v>
      </c>
      <c r="D225" s="1944"/>
      <c r="E225" s="1897" t="s">
        <v>1064</v>
      </c>
      <c r="F225" s="1928"/>
      <c r="G225" s="2921"/>
      <c r="H225" s="2921"/>
      <c r="I225" s="2921"/>
      <c r="J225" s="2921"/>
      <c r="K225" s="2921"/>
      <c r="L225" s="2921"/>
      <c r="M225" s="2921"/>
      <c r="N225" s="2927"/>
      <c r="O225" s="579">
        <f>+O224</f>
        <v>0</v>
      </c>
      <c r="R225" s="1899"/>
      <c r="S225" s="1899"/>
    </row>
    <row r="226" spans="1:19" ht="18.75" hidden="1" x14ac:dyDescent="0.15">
      <c r="A226" s="2968"/>
      <c r="B226" s="2947"/>
      <c r="C226" s="1930" t="s">
        <v>339</v>
      </c>
      <c r="D226" s="1942">
        <v>0.36</v>
      </c>
      <c r="E226" s="1894" t="s">
        <v>1064</v>
      </c>
      <c r="F226" s="1904"/>
      <c r="G226" s="2920"/>
      <c r="H226" s="2920"/>
      <c r="I226" s="2920"/>
      <c r="J226" s="2920"/>
      <c r="K226" s="2920"/>
      <c r="L226" s="2920"/>
      <c r="M226" s="2920"/>
      <c r="N226" s="2926">
        <f>+TRUNC(+SUM(G226:M227),2)</f>
        <v>0</v>
      </c>
      <c r="O226" s="578">
        <f>SUM(G226:N226)</f>
        <v>0</v>
      </c>
      <c r="R226" s="1899"/>
      <c r="S226" s="1899"/>
    </row>
    <row r="227" spans="1:19" ht="49.5" hidden="1" x14ac:dyDescent="0.15">
      <c r="A227" s="2968"/>
      <c r="B227" s="2947"/>
      <c r="C227" s="1893" t="s">
        <v>2278</v>
      </c>
      <c r="D227" s="1944"/>
      <c r="E227" s="1897" t="s">
        <v>1064</v>
      </c>
      <c r="F227" s="1928"/>
      <c r="G227" s="2921"/>
      <c r="H227" s="2921"/>
      <c r="I227" s="2921"/>
      <c r="J227" s="2921"/>
      <c r="K227" s="2921"/>
      <c r="L227" s="2921"/>
      <c r="M227" s="2921"/>
      <c r="N227" s="2927"/>
      <c r="O227" s="579">
        <f>+O226</f>
        <v>0</v>
      </c>
      <c r="R227" s="1899"/>
      <c r="S227" s="1899"/>
    </row>
    <row r="228" spans="1:19" ht="18.75" hidden="1" x14ac:dyDescent="0.15">
      <c r="A228" s="2968"/>
      <c r="B228" s="2947"/>
      <c r="C228" s="1930" t="s">
        <v>339</v>
      </c>
      <c r="D228" s="1942">
        <v>0.36</v>
      </c>
      <c r="E228" s="1894" t="s">
        <v>1064</v>
      </c>
      <c r="F228" s="1904"/>
      <c r="G228" s="2920"/>
      <c r="H228" s="2920"/>
      <c r="I228" s="2920"/>
      <c r="J228" s="2920"/>
      <c r="K228" s="2920"/>
      <c r="L228" s="2920"/>
      <c r="M228" s="2920"/>
      <c r="N228" s="2926">
        <f>+TRUNC(+SUM(G228:M229),2)</f>
        <v>0</v>
      </c>
      <c r="O228" s="578">
        <f>SUM(G228:N228)</f>
        <v>0</v>
      </c>
      <c r="R228" s="1899"/>
      <c r="S228" s="1899"/>
    </row>
    <row r="229" spans="1:19" ht="49.5" hidden="1" x14ac:dyDescent="0.15">
      <c r="A229" s="2968"/>
      <c r="B229" s="2947"/>
      <c r="C229" s="1893" t="s">
        <v>2277</v>
      </c>
      <c r="D229" s="1944"/>
      <c r="E229" s="1897" t="s">
        <v>1064</v>
      </c>
      <c r="F229" s="1928"/>
      <c r="G229" s="2921"/>
      <c r="H229" s="2921"/>
      <c r="I229" s="2921"/>
      <c r="J229" s="2921"/>
      <c r="K229" s="2921"/>
      <c r="L229" s="2921"/>
      <c r="M229" s="2921"/>
      <c r="N229" s="2927"/>
      <c r="O229" s="579">
        <f>+O228</f>
        <v>0</v>
      </c>
      <c r="R229" s="1899"/>
      <c r="S229" s="1899"/>
    </row>
    <row r="230" spans="1:19" ht="18.75" hidden="1" x14ac:dyDescent="0.15">
      <c r="A230" s="2968"/>
      <c r="B230" s="2947"/>
      <c r="C230" s="1930" t="s">
        <v>339</v>
      </c>
      <c r="D230" s="1942">
        <v>0.36</v>
      </c>
      <c r="E230" s="1894" t="s">
        <v>1064</v>
      </c>
      <c r="F230" s="1904"/>
      <c r="G230" s="2920"/>
      <c r="H230" s="2920"/>
      <c r="I230" s="2920"/>
      <c r="J230" s="2920"/>
      <c r="K230" s="2920"/>
      <c r="L230" s="2920"/>
      <c r="M230" s="2920"/>
      <c r="N230" s="2926">
        <f>+TRUNC(+SUM(G230:M231),2)</f>
        <v>0</v>
      </c>
      <c r="O230" s="578">
        <f>SUM(G230:N230)</f>
        <v>0</v>
      </c>
      <c r="R230" s="1899"/>
      <c r="S230" s="1899"/>
    </row>
    <row r="231" spans="1:19" ht="49.5" hidden="1" x14ac:dyDescent="0.15">
      <c r="A231" s="2968"/>
      <c r="B231" s="2947"/>
      <c r="C231" s="1893" t="s">
        <v>2276</v>
      </c>
      <c r="D231" s="1944"/>
      <c r="E231" s="1897" t="s">
        <v>1064</v>
      </c>
      <c r="F231" s="1928"/>
      <c r="G231" s="2921"/>
      <c r="H231" s="2921"/>
      <c r="I231" s="2921"/>
      <c r="J231" s="2921"/>
      <c r="K231" s="2921"/>
      <c r="L231" s="2921"/>
      <c r="M231" s="2921"/>
      <c r="N231" s="2927"/>
      <c r="O231" s="579">
        <f>+O230</f>
        <v>0</v>
      </c>
      <c r="R231" s="1899"/>
      <c r="S231" s="1899"/>
    </row>
    <row r="232" spans="1:19" ht="18.75" hidden="1" x14ac:dyDescent="0.15">
      <c r="A232" s="2968"/>
      <c r="B232" s="2947"/>
      <c r="C232" s="1930" t="s">
        <v>339</v>
      </c>
      <c r="D232" s="1942">
        <v>0.36</v>
      </c>
      <c r="E232" s="1894" t="s">
        <v>1064</v>
      </c>
      <c r="F232" s="1904"/>
      <c r="G232" s="2920"/>
      <c r="H232" s="2920"/>
      <c r="I232" s="2920"/>
      <c r="J232" s="2920"/>
      <c r="K232" s="2920"/>
      <c r="L232" s="2920"/>
      <c r="M232" s="2920"/>
      <c r="N232" s="2926">
        <f>+TRUNC(+SUM(G232:M233),2)</f>
        <v>0</v>
      </c>
      <c r="O232" s="578">
        <f>SUM(G232:N232)</f>
        <v>0</v>
      </c>
      <c r="R232" s="1899"/>
      <c r="S232" s="1899"/>
    </row>
    <row r="233" spans="1:19" ht="49.5" hidden="1" x14ac:dyDescent="0.15">
      <c r="A233" s="2968"/>
      <c r="B233" s="2947"/>
      <c r="C233" s="1893" t="s">
        <v>2275</v>
      </c>
      <c r="D233" s="1944"/>
      <c r="E233" s="1897" t="s">
        <v>1064</v>
      </c>
      <c r="F233" s="1928"/>
      <c r="G233" s="2921"/>
      <c r="H233" s="2921"/>
      <c r="I233" s="2921"/>
      <c r="J233" s="2921"/>
      <c r="K233" s="2921"/>
      <c r="L233" s="2921"/>
      <c r="M233" s="2921"/>
      <c r="N233" s="2927"/>
      <c r="O233" s="579">
        <f>+O232</f>
        <v>0</v>
      </c>
      <c r="R233" s="1899"/>
      <c r="S233" s="1899"/>
    </row>
    <row r="234" spans="1:19" ht="18.75" hidden="1" x14ac:dyDescent="0.15">
      <c r="A234" s="2968"/>
      <c r="B234" s="2947"/>
      <c r="C234" s="1930" t="s">
        <v>339</v>
      </c>
      <c r="D234" s="1942">
        <v>0.36</v>
      </c>
      <c r="E234" s="1894" t="s">
        <v>1064</v>
      </c>
      <c r="F234" s="1904"/>
      <c r="G234" s="2920"/>
      <c r="H234" s="2920"/>
      <c r="I234" s="2920"/>
      <c r="J234" s="2920"/>
      <c r="K234" s="2920"/>
      <c r="L234" s="2920"/>
      <c r="M234" s="2920"/>
      <c r="N234" s="2926">
        <f>+TRUNC(+SUM(G234:M235),2)</f>
        <v>0</v>
      </c>
      <c r="O234" s="578">
        <f>SUM(G234:N234)</f>
        <v>0</v>
      </c>
      <c r="R234" s="1899"/>
      <c r="S234" s="1899"/>
    </row>
    <row r="235" spans="1:19" ht="49.5" hidden="1" x14ac:dyDescent="0.15">
      <c r="A235" s="2968"/>
      <c r="B235" s="2947"/>
      <c r="C235" s="1893" t="s">
        <v>2274</v>
      </c>
      <c r="D235" s="1944"/>
      <c r="E235" s="1897" t="s">
        <v>1064</v>
      </c>
      <c r="F235" s="1928"/>
      <c r="G235" s="2921"/>
      <c r="H235" s="2921"/>
      <c r="I235" s="2921"/>
      <c r="J235" s="2921"/>
      <c r="K235" s="2921"/>
      <c r="L235" s="2921"/>
      <c r="M235" s="2921"/>
      <c r="N235" s="2927"/>
      <c r="O235" s="579">
        <f>+O234</f>
        <v>0</v>
      </c>
      <c r="R235" s="1899"/>
      <c r="S235" s="1899"/>
    </row>
    <row r="236" spans="1:19" ht="18.75" hidden="1" x14ac:dyDescent="0.15">
      <c r="A236" s="2968"/>
      <c r="B236" s="2947"/>
      <c r="C236" s="1930" t="s">
        <v>339</v>
      </c>
      <c r="D236" s="1942">
        <v>0.28399999999999997</v>
      </c>
      <c r="E236" s="1894" t="s">
        <v>1064</v>
      </c>
      <c r="F236" s="1904"/>
      <c r="G236" s="2920"/>
      <c r="H236" s="2920"/>
      <c r="I236" s="2920"/>
      <c r="J236" s="2920"/>
      <c r="K236" s="2920"/>
      <c r="L236" s="2920"/>
      <c r="M236" s="2920"/>
      <c r="N236" s="2926">
        <f>+TRUNC(+SUM(G236:M237),2)</f>
        <v>0</v>
      </c>
      <c r="O236" s="578">
        <f>SUM(G236:N236)</f>
        <v>0</v>
      </c>
      <c r="R236" s="1899"/>
      <c r="S236" s="1899"/>
    </row>
    <row r="237" spans="1:19" ht="49.5" hidden="1" x14ac:dyDescent="0.15">
      <c r="A237" s="2968"/>
      <c r="B237" s="2947"/>
      <c r="C237" s="1893" t="s">
        <v>2273</v>
      </c>
      <c r="D237" s="1944"/>
      <c r="E237" s="1897" t="s">
        <v>1064</v>
      </c>
      <c r="F237" s="1943"/>
      <c r="G237" s="2921"/>
      <c r="H237" s="2921"/>
      <c r="I237" s="2921"/>
      <c r="J237" s="2921"/>
      <c r="K237" s="2921"/>
      <c r="L237" s="2921"/>
      <c r="M237" s="2921"/>
      <c r="N237" s="2927"/>
      <c r="O237" s="579">
        <f>+O236</f>
        <v>0</v>
      </c>
      <c r="R237" s="1899"/>
      <c r="S237" s="1899"/>
    </row>
    <row r="238" spans="1:19" ht="18.75" hidden="1" x14ac:dyDescent="0.15">
      <c r="A238" s="2968"/>
      <c r="B238" s="2947"/>
      <c r="C238" s="1930" t="s">
        <v>339</v>
      </c>
      <c r="D238" s="1942">
        <v>0.36</v>
      </c>
      <c r="E238" s="1894" t="s">
        <v>1064</v>
      </c>
      <c r="F238" s="1904"/>
      <c r="G238" s="2920"/>
      <c r="H238" s="2920"/>
      <c r="I238" s="2920"/>
      <c r="J238" s="2920"/>
      <c r="K238" s="2920"/>
      <c r="L238" s="2920"/>
      <c r="M238" s="2920"/>
      <c r="N238" s="2926">
        <f>+TRUNC(+SUM(G238:M239),2)</f>
        <v>0</v>
      </c>
      <c r="O238" s="578">
        <f>SUM(G238:N238)</f>
        <v>0</v>
      </c>
      <c r="R238" s="1899"/>
      <c r="S238" s="1899"/>
    </row>
    <row r="239" spans="1:19" ht="49.5" hidden="1" x14ac:dyDescent="0.15">
      <c r="A239" s="2968"/>
      <c r="B239" s="2947"/>
      <c r="C239" s="1893" t="s">
        <v>2272</v>
      </c>
      <c r="D239" s="1944"/>
      <c r="E239" s="1897" t="s">
        <v>1064</v>
      </c>
      <c r="F239" s="1928"/>
      <c r="G239" s="2921"/>
      <c r="H239" s="2921"/>
      <c r="I239" s="2921"/>
      <c r="J239" s="2921"/>
      <c r="K239" s="2921"/>
      <c r="L239" s="2921"/>
      <c r="M239" s="2921"/>
      <c r="N239" s="2927"/>
      <c r="O239" s="579">
        <f>+O238</f>
        <v>0</v>
      </c>
      <c r="R239" s="1899"/>
      <c r="S239" s="1899"/>
    </row>
    <row r="240" spans="1:19" ht="18.75" hidden="1" x14ac:dyDescent="0.15">
      <c r="A240" s="2968"/>
      <c r="B240" s="2947"/>
      <c r="C240" s="1930" t="s">
        <v>339</v>
      </c>
      <c r="D240" s="1942">
        <v>0.36</v>
      </c>
      <c r="E240" s="1894" t="s">
        <v>1064</v>
      </c>
      <c r="F240" s="1904"/>
      <c r="G240" s="2920"/>
      <c r="H240" s="2920"/>
      <c r="I240" s="2920"/>
      <c r="J240" s="2920"/>
      <c r="K240" s="2920"/>
      <c r="L240" s="2920"/>
      <c r="M240" s="2920"/>
      <c r="N240" s="2926">
        <f>+TRUNC(+SUM(G240:M241),2)</f>
        <v>0</v>
      </c>
      <c r="O240" s="578">
        <f>SUM(G240:N240)</f>
        <v>0</v>
      </c>
      <c r="R240" s="1899"/>
      <c r="S240" s="1899"/>
    </row>
    <row r="241" spans="1:19" ht="49.5" hidden="1" x14ac:dyDescent="0.15">
      <c r="A241" s="2968"/>
      <c r="B241" s="2947"/>
      <c r="C241" s="1893" t="s">
        <v>2271</v>
      </c>
      <c r="D241" s="1944"/>
      <c r="E241" s="1897" t="s">
        <v>1064</v>
      </c>
      <c r="F241" s="1928"/>
      <c r="G241" s="2921"/>
      <c r="H241" s="2921"/>
      <c r="I241" s="2921"/>
      <c r="J241" s="2921"/>
      <c r="K241" s="2921"/>
      <c r="L241" s="2921"/>
      <c r="M241" s="2921"/>
      <c r="N241" s="2927"/>
      <c r="O241" s="579">
        <f>+O240</f>
        <v>0</v>
      </c>
      <c r="R241" s="1899"/>
      <c r="S241" s="1899"/>
    </row>
    <row r="242" spans="1:19" ht="18.75" hidden="1" x14ac:dyDescent="0.15">
      <c r="A242" s="2968"/>
      <c r="B242" s="2947"/>
      <c r="C242" s="1930" t="s">
        <v>339</v>
      </c>
      <c r="D242" s="1942">
        <v>0.36</v>
      </c>
      <c r="E242" s="1894" t="s">
        <v>1064</v>
      </c>
      <c r="F242" s="1904"/>
      <c r="G242" s="2920"/>
      <c r="H242" s="2920"/>
      <c r="I242" s="2920"/>
      <c r="J242" s="2920"/>
      <c r="K242" s="2920"/>
      <c r="L242" s="2920"/>
      <c r="M242" s="2920"/>
      <c r="N242" s="2926">
        <f>+TRUNC(+SUM(G242:M243),2)</f>
        <v>0</v>
      </c>
      <c r="O242" s="578">
        <f>SUM(G242:N242)</f>
        <v>0</v>
      </c>
      <c r="R242" s="1899"/>
      <c r="S242" s="1899"/>
    </row>
    <row r="243" spans="1:19" ht="49.5" hidden="1" x14ac:dyDescent="0.15">
      <c r="A243" s="2968"/>
      <c r="B243" s="2947"/>
      <c r="C243" s="1893" t="s">
        <v>2270</v>
      </c>
      <c r="D243" s="1944"/>
      <c r="E243" s="1897" t="s">
        <v>1064</v>
      </c>
      <c r="F243" s="1928"/>
      <c r="G243" s="2921"/>
      <c r="H243" s="2921"/>
      <c r="I243" s="2921"/>
      <c r="J243" s="2921"/>
      <c r="K243" s="2921"/>
      <c r="L243" s="2921"/>
      <c r="M243" s="2921"/>
      <c r="N243" s="2927"/>
      <c r="O243" s="579">
        <f>+O242</f>
        <v>0</v>
      </c>
      <c r="R243" s="1899"/>
      <c r="S243" s="1899"/>
    </row>
    <row r="244" spans="1:19" ht="18.75" hidden="1" x14ac:dyDescent="0.15">
      <c r="A244" s="2968"/>
      <c r="B244" s="2947"/>
      <c r="C244" s="1930" t="s">
        <v>339</v>
      </c>
      <c r="D244" s="1942">
        <v>0.36</v>
      </c>
      <c r="E244" s="1894" t="s">
        <v>1064</v>
      </c>
      <c r="F244" s="1904"/>
      <c r="G244" s="2920"/>
      <c r="H244" s="2920"/>
      <c r="I244" s="2920"/>
      <c r="J244" s="2920"/>
      <c r="K244" s="2920"/>
      <c r="L244" s="2920"/>
      <c r="M244" s="2920"/>
      <c r="N244" s="2926">
        <f>+TRUNC(+SUM(G244:M245),2)</f>
        <v>0</v>
      </c>
      <c r="O244" s="578">
        <f>SUM(G244:N244)</f>
        <v>0</v>
      </c>
      <c r="R244" s="1899"/>
      <c r="S244" s="1899"/>
    </row>
    <row r="245" spans="1:19" ht="49.5" hidden="1" x14ac:dyDescent="0.15">
      <c r="A245" s="2968"/>
      <c r="B245" s="2947"/>
      <c r="C245" s="1893" t="s">
        <v>2269</v>
      </c>
      <c r="D245" s="1944"/>
      <c r="E245" s="1897" t="s">
        <v>1064</v>
      </c>
      <c r="F245" s="1928"/>
      <c r="G245" s="2921"/>
      <c r="H245" s="2921"/>
      <c r="I245" s="2921"/>
      <c r="J245" s="2921"/>
      <c r="K245" s="2921"/>
      <c r="L245" s="2921"/>
      <c r="M245" s="2921"/>
      <c r="N245" s="2927"/>
      <c r="O245" s="579">
        <f>+O244</f>
        <v>0</v>
      </c>
      <c r="R245" s="1899"/>
      <c r="S245" s="1899"/>
    </row>
    <row r="246" spans="1:19" ht="18.75" hidden="1" x14ac:dyDescent="0.15">
      <c r="A246" s="2968"/>
      <c r="B246" s="2947"/>
      <c r="C246" s="1930" t="s">
        <v>339</v>
      </c>
      <c r="D246" s="1942">
        <v>0.36</v>
      </c>
      <c r="E246" s="1894" t="s">
        <v>1064</v>
      </c>
      <c r="F246" s="1904"/>
      <c r="G246" s="2920"/>
      <c r="H246" s="2920"/>
      <c r="I246" s="2920"/>
      <c r="J246" s="2920"/>
      <c r="K246" s="2920"/>
      <c r="L246" s="2920"/>
      <c r="M246" s="2920"/>
      <c r="N246" s="2926">
        <f>+TRUNC(+SUM(G246:M247),2)</f>
        <v>0</v>
      </c>
      <c r="O246" s="578">
        <f>SUM(G246:N246)</f>
        <v>0</v>
      </c>
      <c r="R246" s="1899"/>
      <c r="S246" s="1899"/>
    </row>
    <row r="247" spans="1:19" ht="49.5" hidden="1" x14ac:dyDescent="0.15">
      <c r="A247" s="2968"/>
      <c r="B247" s="2947"/>
      <c r="C247" s="1893" t="s">
        <v>2268</v>
      </c>
      <c r="D247" s="1944"/>
      <c r="E247" s="1897" t="s">
        <v>1064</v>
      </c>
      <c r="F247" s="1928"/>
      <c r="G247" s="2921"/>
      <c r="H247" s="2921"/>
      <c r="I247" s="2921"/>
      <c r="J247" s="2921"/>
      <c r="K247" s="2921"/>
      <c r="L247" s="2921"/>
      <c r="M247" s="2921"/>
      <c r="N247" s="2927"/>
      <c r="O247" s="579">
        <f>+O246</f>
        <v>0</v>
      </c>
      <c r="R247" s="1899"/>
      <c r="S247" s="1899"/>
    </row>
    <row r="248" spans="1:19" ht="18.75" hidden="1" x14ac:dyDescent="0.15">
      <c r="A248" s="2968"/>
      <c r="B248" s="2946"/>
      <c r="C248" s="1930" t="s">
        <v>339</v>
      </c>
      <c r="D248" s="1942">
        <v>0.36</v>
      </c>
      <c r="E248" s="1894" t="s">
        <v>1064</v>
      </c>
      <c r="F248" s="1904"/>
      <c r="G248" s="2920"/>
      <c r="H248" s="2920"/>
      <c r="I248" s="2920"/>
      <c r="J248" s="2920"/>
      <c r="K248" s="2920"/>
      <c r="L248" s="2920"/>
      <c r="M248" s="2920"/>
      <c r="N248" s="2926">
        <f>+TRUNC(+SUM(G248:M249),2)</f>
        <v>0</v>
      </c>
      <c r="O248" s="578">
        <f>SUM(G248:N248)</f>
        <v>0</v>
      </c>
      <c r="R248" s="1899"/>
      <c r="S248" s="1899"/>
    </row>
    <row r="249" spans="1:19" ht="49.5" hidden="1" x14ac:dyDescent="0.15">
      <c r="A249" s="2968"/>
      <c r="B249" s="2946"/>
      <c r="C249" s="1893" t="s">
        <v>2267</v>
      </c>
      <c r="D249" s="1944"/>
      <c r="E249" s="1897" t="s">
        <v>1064</v>
      </c>
      <c r="F249" s="1928"/>
      <c r="G249" s="2921"/>
      <c r="H249" s="2921"/>
      <c r="I249" s="2921"/>
      <c r="J249" s="2921"/>
      <c r="K249" s="2921"/>
      <c r="L249" s="2921"/>
      <c r="M249" s="2921"/>
      <c r="N249" s="2927"/>
      <c r="O249" s="579">
        <f>+O248</f>
        <v>0</v>
      </c>
      <c r="R249" s="1899"/>
      <c r="S249" s="1899"/>
    </row>
    <row r="250" spans="1:19" ht="18.75" hidden="1" x14ac:dyDescent="0.15">
      <c r="A250" s="2968"/>
      <c r="B250" s="2947"/>
      <c r="C250" s="1930" t="s">
        <v>339</v>
      </c>
      <c r="D250" s="1942">
        <v>0.36</v>
      </c>
      <c r="E250" s="1894" t="s">
        <v>1064</v>
      </c>
      <c r="F250" s="1904"/>
      <c r="G250" s="2920"/>
      <c r="H250" s="2920"/>
      <c r="I250" s="2920"/>
      <c r="J250" s="2920"/>
      <c r="K250" s="2920"/>
      <c r="L250" s="2920"/>
      <c r="M250" s="2920"/>
      <c r="N250" s="2926">
        <f>+TRUNC(+SUM(G250:M251),2)</f>
        <v>0</v>
      </c>
      <c r="O250" s="578">
        <f>SUM(G250:N250)</f>
        <v>0</v>
      </c>
      <c r="R250" s="1899"/>
      <c r="S250" s="1899"/>
    </row>
    <row r="251" spans="1:19" ht="49.5" hidden="1" x14ac:dyDescent="0.15">
      <c r="A251" s="2968"/>
      <c r="B251" s="2947"/>
      <c r="C251" s="1893" t="s">
        <v>2266</v>
      </c>
      <c r="D251" s="1944"/>
      <c r="E251" s="1897" t="s">
        <v>1064</v>
      </c>
      <c r="F251" s="1928"/>
      <c r="G251" s="2921"/>
      <c r="H251" s="2921"/>
      <c r="I251" s="2921"/>
      <c r="J251" s="2921"/>
      <c r="K251" s="2921"/>
      <c r="L251" s="2921"/>
      <c r="M251" s="2921"/>
      <c r="N251" s="2927"/>
      <c r="O251" s="579">
        <f>+O250</f>
        <v>0</v>
      </c>
      <c r="R251" s="1899"/>
      <c r="S251" s="1899"/>
    </row>
    <row r="252" spans="1:19" ht="18.75" hidden="1" x14ac:dyDescent="0.15">
      <c r="A252" s="2968"/>
      <c r="B252" s="2947"/>
      <c r="C252" s="1930" t="s">
        <v>339</v>
      </c>
      <c r="D252" s="1942">
        <v>0.36</v>
      </c>
      <c r="E252" s="1894" t="s">
        <v>1064</v>
      </c>
      <c r="F252" s="1904"/>
      <c r="G252" s="2920"/>
      <c r="H252" s="2920"/>
      <c r="I252" s="2920"/>
      <c r="J252" s="2920"/>
      <c r="K252" s="2920"/>
      <c r="L252" s="2920"/>
      <c r="M252" s="2920"/>
      <c r="N252" s="2926">
        <f>+TRUNC(+SUM(G252:M253),2)</f>
        <v>0</v>
      </c>
      <c r="O252" s="578">
        <f>SUM(G252:N252)</f>
        <v>0</v>
      </c>
      <c r="R252" s="1899"/>
      <c r="S252" s="1899"/>
    </row>
    <row r="253" spans="1:19" ht="49.5" hidden="1" x14ac:dyDescent="0.15">
      <c r="A253" s="2968"/>
      <c r="B253" s="2947"/>
      <c r="C253" s="1893" t="s">
        <v>2265</v>
      </c>
      <c r="D253" s="1944"/>
      <c r="E253" s="1897" t="s">
        <v>1064</v>
      </c>
      <c r="F253" s="1928"/>
      <c r="G253" s="2921"/>
      <c r="H253" s="2921"/>
      <c r="I253" s="2921"/>
      <c r="J253" s="2921"/>
      <c r="K253" s="2921"/>
      <c r="L253" s="2921"/>
      <c r="M253" s="2921"/>
      <c r="N253" s="2927"/>
      <c r="O253" s="579">
        <f>+O252</f>
        <v>0</v>
      </c>
      <c r="R253" s="1899"/>
      <c r="S253" s="1899"/>
    </row>
    <row r="254" spans="1:19" ht="18.75" hidden="1" x14ac:dyDescent="0.15">
      <c r="A254" s="2968"/>
      <c r="B254" s="2947"/>
      <c r="C254" s="1930" t="s">
        <v>339</v>
      </c>
      <c r="D254" s="1942">
        <v>0.36</v>
      </c>
      <c r="E254" s="1894" t="s">
        <v>1064</v>
      </c>
      <c r="F254" s="1904"/>
      <c r="G254" s="2920"/>
      <c r="H254" s="2920"/>
      <c r="I254" s="2920"/>
      <c r="J254" s="2920"/>
      <c r="K254" s="2920"/>
      <c r="L254" s="2920"/>
      <c r="M254" s="2920"/>
      <c r="N254" s="2926">
        <f>+TRUNC(+SUM(G254:M255),2)</f>
        <v>0</v>
      </c>
      <c r="O254" s="578">
        <f>SUM(G254:N254)</f>
        <v>0</v>
      </c>
      <c r="R254" s="1899"/>
      <c r="S254" s="1899"/>
    </row>
    <row r="255" spans="1:19" ht="49.5" hidden="1" x14ac:dyDescent="0.15">
      <c r="A255" s="2968"/>
      <c r="B255" s="2947"/>
      <c r="C255" s="1893" t="s">
        <v>2264</v>
      </c>
      <c r="D255" s="1944"/>
      <c r="E255" s="1897" t="s">
        <v>1064</v>
      </c>
      <c r="F255" s="1928"/>
      <c r="G255" s="2921"/>
      <c r="H255" s="2921"/>
      <c r="I255" s="2921"/>
      <c r="J255" s="2921"/>
      <c r="K255" s="2921"/>
      <c r="L255" s="2921"/>
      <c r="M255" s="2921"/>
      <c r="N255" s="2927"/>
      <c r="O255" s="579">
        <f>+O254</f>
        <v>0</v>
      </c>
      <c r="R255" s="1899"/>
      <c r="S255" s="1899"/>
    </row>
    <row r="256" spans="1:19" ht="18.75" hidden="1" x14ac:dyDescent="0.15">
      <c r="A256" s="2968"/>
      <c r="B256" s="2947"/>
      <c r="C256" s="1930" t="s">
        <v>339</v>
      </c>
      <c r="D256" s="1942">
        <v>0.15</v>
      </c>
      <c r="E256" s="1894" t="s">
        <v>1064</v>
      </c>
      <c r="F256" s="1904"/>
      <c r="G256" s="2920"/>
      <c r="H256" s="2920"/>
      <c r="I256" s="2920"/>
      <c r="J256" s="2920"/>
      <c r="K256" s="2920"/>
      <c r="L256" s="2920"/>
      <c r="M256" s="2920"/>
      <c r="N256" s="2926">
        <f>+TRUNC(+SUM(G256:M257),2)</f>
        <v>0</v>
      </c>
      <c r="O256" s="578">
        <f>SUM(G256:N256)</f>
        <v>0</v>
      </c>
      <c r="R256" s="1899"/>
      <c r="S256" s="1899"/>
    </row>
    <row r="257" spans="1:19" ht="49.5" hidden="1" x14ac:dyDescent="0.15">
      <c r="A257" s="2968"/>
      <c r="B257" s="2947"/>
      <c r="C257" s="1893" t="s">
        <v>2263</v>
      </c>
      <c r="D257" s="1944"/>
      <c r="E257" s="1897" t="s">
        <v>1064</v>
      </c>
      <c r="F257" s="1943"/>
      <c r="G257" s="2921"/>
      <c r="H257" s="2921"/>
      <c r="I257" s="2921"/>
      <c r="J257" s="2921"/>
      <c r="K257" s="2921"/>
      <c r="L257" s="2921"/>
      <c r="M257" s="2921"/>
      <c r="N257" s="2927"/>
      <c r="O257" s="579">
        <f>+O256</f>
        <v>0</v>
      </c>
      <c r="R257" s="1899"/>
      <c r="S257" s="1899"/>
    </row>
    <row r="258" spans="1:19" ht="18.75" hidden="1" x14ac:dyDescent="0.15">
      <c r="A258" s="2968"/>
      <c r="B258" s="2947"/>
      <c r="C258" s="1930" t="s">
        <v>339</v>
      </c>
      <c r="D258" s="1942">
        <v>0.3</v>
      </c>
      <c r="E258" s="1894" t="s">
        <v>1064</v>
      </c>
      <c r="F258" s="1904"/>
      <c r="G258" s="2920"/>
      <c r="H258" s="2920"/>
      <c r="I258" s="2920"/>
      <c r="J258" s="2920"/>
      <c r="K258" s="2920"/>
      <c r="L258" s="2920"/>
      <c r="M258" s="2920"/>
      <c r="N258" s="2926">
        <f>+TRUNC(+SUM(G258:M259),2)</f>
        <v>0</v>
      </c>
      <c r="O258" s="578">
        <f>SUM(G258:N258)</f>
        <v>0</v>
      </c>
      <c r="R258" s="1899"/>
      <c r="S258" s="1899"/>
    </row>
    <row r="259" spans="1:19" ht="49.5" hidden="1" x14ac:dyDescent="0.15">
      <c r="A259" s="2968"/>
      <c r="B259" s="2947"/>
      <c r="C259" s="1893" t="s">
        <v>2262</v>
      </c>
      <c r="D259" s="1944"/>
      <c r="E259" s="1897" t="s">
        <v>1064</v>
      </c>
      <c r="F259" s="1943"/>
      <c r="G259" s="2921"/>
      <c r="H259" s="2921"/>
      <c r="I259" s="2921"/>
      <c r="J259" s="2921"/>
      <c r="K259" s="2921"/>
      <c r="L259" s="2921"/>
      <c r="M259" s="2921"/>
      <c r="N259" s="2927"/>
      <c r="O259" s="579">
        <f>+O258</f>
        <v>0</v>
      </c>
      <c r="R259" s="1899"/>
      <c r="S259" s="1899"/>
    </row>
    <row r="260" spans="1:19" ht="18.75" hidden="1" x14ac:dyDescent="0.15">
      <c r="A260" s="2968"/>
      <c r="B260" s="2947"/>
      <c r="C260" s="1930" t="s">
        <v>339</v>
      </c>
      <c r="D260" s="1942">
        <v>0.12</v>
      </c>
      <c r="E260" s="1894" t="s">
        <v>1064</v>
      </c>
      <c r="F260" s="1904"/>
      <c r="G260" s="2920"/>
      <c r="H260" s="2920"/>
      <c r="I260" s="2920"/>
      <c r="J260" s="2920"/>
      <c r="K260" s="2920"/>
      <c r="L260" s="2920"/>
      <c r="M260" s="2920"/>
      <c r="N260" s="2926">
        <f>+TRUNC(+SUM(G260:M261),2)</f>
        <v>0</v>
      </c>
      <c r="O260" s="578">
        <f>SUM(G260:N260)</f>
        <v>0</v>
      </c>
      <c r="Q260" s="1899"/>
      <c r="R260" s="1899"/>
      <c r="S260" s="1899"/>
    </row>
    <row r="261" spans="1:19" ht="49.5" hidden="1" x14ac:dyDescent="0.15">
      <c r="A261" s="2968"/>
      <c r="B261" s="2947"/>
      <c r="C261" s="1929" t="s">
        <v>1006</v>
      </c>
      <c r="D261" s="1944"/>
      <c r="E261" s="1897" t="s">
        <v>1064</v>
      </c>
      <c r="F261" s="1943"/>
      <c r="G261" s="2921"/>
      <c r="H261" s="2921"/>
      <c r="I261" s="2921"/>
      <c r="J261" s="2921"/>
      <c r="K261" s="2921"/>
      <c r="L261" s="2921"/>
      <c r="M261" s="2921"/>
      <c r="N261" s="2927"/>
      <c r="O261" s="579">
        <f>+O260</f>
        <v>0</v>
      </c>
      <c r="Q261" s="1899"/>
      <c r="R261" s="1899"/>
      <c r="S261" s="1899"/>
    </row>
    <row r="262" spans="1:19" ht="18.75" hidden="1" x14ac:dyDescent="0.15">
      <c r="A262" s="2968"/>
      <c r="B262" s="2947"/>
      <c r="C262" s="1930" t="s">
        <v>339</v>
      </c>
      <c r="D262" s="1942">
        <v>0.12</v>
      </c>
      <c r="E262" s="1894" t="s">
        <v>1064</v>
      </c>
      <c r="F262" s="1904"/>
      <c r="G262" s="2920"/>
      <c r="H262" s="2920"/>
      <c r="I262" s="2920"/>
      <c r="J262" s="2920"/>
      <c r="K262" s="2920"/>
      <c r="L262" s="2920"/>
      <c r="M262" s="2920"/>
      <c r="N262" s="2926">
        <f>+TRUNC(+SUM(G262:M263),2)</f>
        <v>0</v>
      </c>
      <c r="O262" s="578">
        <f>SUM(G262:N262)</f>
        <v>0</v>
      </c>
      <c r="Q262" s="1899"/>
      <c r="R262" s="1899"/>
      <c r="S262" s="1899"/>
    </row>
    <row r="263" spans="1:19" ht="49.5" hidden="1" x14ac:dyDescent="0.15">
      <c r="A263" s="2968"/>
      <c r="B263" s="2947"/>
      <c r="C263" s="1929" t="s">
        <v>1057</v>
      </c>
      <c r="D263" s="1944"/>
      <c r="E263" s="1897" t="s">
        <v>1064</v>
      </c>
      <c r="F263" s="1943"/>
      <c r="G263" s="2921"/>
      <c r="H263" s="2921"/>
      <c r="I263" s="2921"/>
      <c r="J263" s="2921"/>
      <c r="K263" s="2921"/>
      <c r="L263" s="2921"/>
      <c r="M263" s="2921"/>
      <c r="N263" s="2927"/>
      <c r="O263" s="579">
        <f>+O262</f>
        <v>0</v>
      </c>
      <c r="Q263" s="1899"/>
      <c r="R263" s="1899"/>
      <c r="S263" s="1899"/>
    </row>
    <row r="264" spans="1:19" ht="18.75" hidden="1" x14ac:dyDescent="0.15">
      <c r="A264" s="2968"/>
      <c r="B264" s="2947"/>
      <c r="C264" s="1930" t="s">
        <v>339</v>
      </c>
      <c r="D264" s="1942">
        <v>0.96</v>
      </c>
      <c r="E264" s="1894" t="s">
        <v>1064</v>
      </c>
      <c r="F264" s="1904"/>
      <c r="G264" s="2920"/>
      <c r="H264" s="2920"/>
      <c r="I264" s="2920"/>
      <c r="J264" s="2920"/>
      <c r="K264" s="2920"/>
      <c r="L264" s="2920"/>
      <c r="M264" s="2920"/>
      <c r="N264" s="2926">
        <f>+TRUNC(+SUM(G264:M265),2)</f>
        <v>0</v>
      </c>
      <c r="O264" s="578">
        <f>SUM(G264:N264)</f>
        <v>0</v>
      </c>
      <c r="Q264" s="1899"/>
      <c r="R264" s="1899"/>
      <c r="S264" s="1899"/>
    </row>
    <row r="265" spans="1:19" ht="49.5" hidden="1" x14ac:dyDescent="0.15">
      <c r="A265" s="2968"/>
      <c r="B265" s="2947"/>
      <c r="C265" s="1929" t="s">
        <v>2697</v>
      </c>
      <c r="D265" s="1944"/>
      <c r="E265" s="1897" t="s">
        <v>1064</v>
      </c>
      <c r="F265" s="1943"/>
      <c r="G265" s="2921"/>
      <c r="H265" s="2921"/>
      <c r="I265" s="2921"/>
      <c r="J265" s="2921"/>
      <c r="K265" s="2921"/>
      <c r="L265" s="2921"/>
      <c r="M265" s="2921"/>
      <c r="N265" s="2927"/>
      <c r="O265" s="579">
        <f>+O264</f>
        <v>0</v>
      </c>
      <c r="Q265" s="1899"/>
      <c r="R265" s="1899"/>
      <c r="S265" s="1899"/>
    </row>
    <row r="266" spans="1:19" ht="18.75" hidden="1" x14ac:dyDescent="0.15">
      <c r="A266" s="2968"/>
      <c r="B266" s="2947"/>
      <c r="C266" s="1930" t="s">
        <v>339</v>
      </c>
      <c r="D266" s="1942">
        <v>0.375</v>
      </c>
      <c r="E266" s="1894" t="s">
        <v>1064</v>
      </c>
      <c r="F266" s="1904"/>
      <c r="G266" s="2920"/>
      <c r="H266" s="2920"/>
      <c r="I266" s="2920"/>
      <c r="J266" s="2920"/>
      <c r="K266" s="2920"/>
      <c r="L266" s="2920"/>
      <c r="M266" s="2920"/>
      <c r="N266" s="2926">
        <f>+TRUNC(+SUM(G266:M267),2)</f>
        <v>0</v>
      </c>
      <c r="O266" s="578">
        <f>SUM(G266:N266)</f>
        <v>0</v>
      </c>
      <c r="Q266" s="1899"/>
      <c r="R266" s="1899"/>
      <c r="S266" s="1899"/>
    </row>
    <row r="267" spans="1:19" ht="49.5" hidden="1" x14ac:dyDescent="0.15">
      <c r="A267" s="2968"/>
      <c r="B267" s="2947"/>
      <c r="C267" s="1929" t="s">
        <v>2738</v>
      </c>
      <c r="D267" s="1944"/>
      <c r="E267" s="1897" t="s">
        <v>1064</v>
      </c>
      <c r="F267" s="1943"/>
      <c r="G267" s="2921"/>
      <c r="H267" s="2921"/>
      <c r="I267" s="2921"/>
      <c r="J267" s="2921"/>
      <c r="K267" s="2921"/>
      <c r="L267" s="2921"/>
      <c r="M267" s="2921"/>
      <c r="N267" s="2927"/>
      <c r="O267" s="579">
        <f>+O266</f>
        <v>0</v>
      </c>
      <c r="Q267" s="1899"/>
      <c r="R267" s="1899"/>
      <c r="S267" s="1899"/>
    </row>
    <row r="268" spans="1:19" ht="18.75" hidden="1" x14ac:dyDescent="0.15">
      <c r="A268" s="2968"/>
      <c r="B268" s="2947"/>
      <c r="C268" s="1930" t="s">
        <v>339</v>
      </c>
      <c r="D268" s="1942">
        <v>2</v>
      </c>
      <c r="E268" s="1894" t="s">
        <v>1064</v>
      </c>
      <c r="F268" s="1904"/>
      <c r="G268" s="2920"/>
      <c r="H268" s="2920"/>
      <c r="I268" s="2920"/>
      <c r="J268" s="2920"/>
      <c r="K268" s="2920"/>
      <c r="L268" s="2920"/>
      <c r="M268" s="2920"/>
      <c r="N268" s="2926">
        <f>+TRUNC(+SUM(G268:M269),2)</f>
        <v>0</v>
      </c>
      <c r="O268" s="578">
        <f>SUM(G268:N268)</f>
        <v>0</v>
      </c>
      <c r="Q268" s="1899"/>
      <c r="R268" s="1899"/>
      <c r="S268" s="1899"/>
    </row>
    <row r="269" spans="1:19" ht="49.5" hidden="1" x14ac:dyDescent="0.15">
      <c r="A269" s="2968"/>
      <c r="B269" s="2947"/>
      <c r="C269" s="1929" t="s">
        <v>2693</v>
      </c>
      <c r="D269" s="1944"/>
      <c r="E269" s="1897" t="s">
        <v>1064</v>
      </c>
      <c r="F269" s="1943"/>
      <c r="G269" s="2921"/>
      <c r="H269" s="2921"/>
      <c r="I269" s="2921"/>
      <c r="J269" s="2921"/>
      <c r="K269" s="2921"/>
      <c r="L269" s="2921"/>
      <c r="M269" s="2921"/>
      <c r="N269" s="2927"/>
      <c r="O269" s="579">
        <f>+O268</f>
        <v>0</v>
      </c>
      <c r="Q269" s="1899"/>
      <c r="R269" s="1899"/>
      <c r="S269" s="1899"/>
    </row>
    <row r="270" spans="1:19" ht="18.75" hidden="1" x14ac:dyDescent="0.15">
      <c r="A270" s="2968"/>
      <c r="B270" s="2947"/>
      <c r="C270" s="1930" t="s">
        <v>339</v>
      </c>
      <c r="D270" s="1942">
        <v>0.375</v>
      </c>
      <c r="E270" s="1894" t="s">
        <v>1064</v>
      </c>
      <c r="F270" s="1904"/>
      <c r="G270" s="2920"/>
      <c r="H270" s="2920"/>
      <c r="I270" s="2920"/>
      <c r="J270" s="2920"/>
      <c r="K270" s="2920"/>
      <c r="L270" s="2920"/>
      <c r="M270" s="2920"/>
      <c r="N270" s="2926">
        <f>+TRUNC(+SUM(G270:M271),2)</f>
        <v>0</v>
      </c>
      <c r="O270" s="578">
        <f>SUM(G270:N270)</f>
        <v>0</v>
      </c>
      <c r="Q270" s="1899"/>
      <c r="R270" s="1899"/>
      <c r="S270" s="1899"/>
    </row>
    <row r="271" spans="1:19" ht="49.5" hidden="1" x14ac:dyDescent="0.15">
      <c r="A271" s="2968"/>
      <c r="B271" s="2947"/>
      <c r="C271" s="1929" t="s">
        <v>661</v>
      </c>
      <c r="D271" s="1944"/>
      <c r="E271" s="1897" t="s">
        <v>1064</v>
      </c>
      <c r="F271" s="1943"/>
      <c r="G271" s="2921"/>
      <c r="H271" s="2921"/>
      <c r="I271" s="2921"/>
      <c r="J271" s="2921"/>
      <c r="K271" s="2921"/>
      <c r="L271" s="2921"/>
      <c r="M271" s="2921"/>
      <c r="N271" s="2927"/>
      <c r="O271" s="579">
        <f>+O270</f>
        <v>0</v>
      </c>
      <c r="Q271" s="1899"/>
      <c r="R271" s="1899"/>
      <c r="S271" s="1899"/>
    </row>
    <row r="272" spans="1:19" ht="18.75" hidden="1" x14ac:dyDescent="0.15">
      <c r="A272" s="2968"/>
      <c r="B272" s="2947"/>
      <c r="C272" s="1930" t="s">
        <v>339</v>
      </c>
      <c r="D272" s="1942">
        <v>0.375</v>
      </c>
      <c r="E272" s="1894" t="s">
        <v>1064</v>
      </c>
      <c r="F272" s="1904"/>
      <c r="G272" s="2920"/>
      <c r="H272" s="2920"/>
      <c r="I272" s="2920"/>
      <c r="J272" s="2920"/>
      <c r="K272" s="2920"/>
      <c r="L272" s="2920"/>
      <c r="M272" s="2920"/>
      <c r="N272" s="2926">
        <f>+TRUNC(+SUM(G272:M273),2)</f>
        <v>0</v>
      </c>
      <c r="O272" s="578">
        <f>SUM(G272:N272)</f>
        <v>0</v>
      </c>
      <c r="Q272" s="1899"/>
      <c r="R272" s="1899"/>
      <c r="S272" s="1899"/>
    </row>
    <row r="273" spans="1:19" ht="49.5" hidden="1" x14ac:dyDescent="0.15">
      <c r="A273" s="2968"/>
      <c r="B273" s="2947"/>
      <c r="C273" s="1929" t="s">
        <v>2261</v>
      </c>
      <c r="D273" s="1944"/>
      <c r="E273" s="1897" t="s">
        <v>1064</v>
      </c>
      <c r="F273" s="1943"/>
      <c r="G273" s="2921"/>
      <c r="H273" s="2921"/>
      <c r="I273" s="2921"/>
      <c r="J273" s="2921"/>
      <c r="K273" s="2921"/>
      <c r="L273" s="2921"/>
      <c r="M273" s="2921"/>
      <c r="N273" s="2927"/>
      <c r="O273" s="579">
        <f>+O272</f>
        <v>0</v>
      </c>
      <c r="Q273" s="1899"/>
      <c r="R273" s="1899"/>
      <c r="S273" s="1899"/>
    </row>
    <row r="274" spans="1:19" ht="18.75" hidden="1" x14ac:dyDescent="0.15">
      <c r="A274" s="2968"/>
      <c r="B274" s="2947"/>
      <c r="C274" s="1930" t="s">
        <v>339</v>
      </c>
      <c r="D274" s="1942">
        <v>0.375</v>
      </c>
      <c r="E274" s="1894" t="s">
        <v>1064</v>
      </c>
      <c r="F274" s="1904"/>
      <c r="G274" s="2920"/>
      <c r="H274" s="2920"/>
      <c r="I274" s="2920"/>
      <c r="J274" s="2920"/>
      <c r="K274" s="2920"/>
      <c r="L274" s="2920"/>
      <c r="M274" s="2920"/>
      <c r="N274" s="2926">
        <f>+TRUNC(+SUM(G274:M275),2)</f>
        <v>0</v>
      </c>
      <c r="O274" s="578">
        <f>SUM(G274:N274)</f>
        <v>0</v>
      </c>
      <c r="Q274" s="1899"/>
      <c r="R274" s="1899"/>
      <c r="S274" s="1899"/>
    </row>
    <row r="275" spans="1:19" ht="49.5" hidden="1" x14ac:dyDescent="0.15">
      <c r="A275" s="2968"/>
      <c r="B275" s="2947"/>
      <c r="C275" s="1929" t="s">
        <v>2260</v>
      </c>
      <c r="D275" s="1944"/>
      <c r="E275" s="1897" t="s">
        <v>1064</v>
      </c>
      <c r="F275" s="1943"/>
      <c r="G275" s="2921"/>
      <c r="H275" s="2921"/>
      <c r="I275" s="2921"/>
      <c r="J275" s="2921"/>
      <c r="K275" s="2921"/>
      <c r="L275" s="2921"/>
      <c r="M275" s="2921"/>
      <c r="N275" s="2927"/>
      <c r="O275" s="579">
        <f>+O274</f>
        <v>0</v>
      </c>
      <c r="Q275" s="1899"/>
      <c r="R275" s="1899"/>
      <c r="S275" s="1899"/>
    </row>
    <row r="276" spans="1:19" ht="18.75" hidden="1" x14ac:dyDescent="0.15">
      <c r="A276" s="2968"/>
      <c r="B276" s="2947"/>
      <c r="C276" s="1930" t="s">
        <v>339</v>
      </c>
      <c r="D276" s="1942">
        <v>0.375</v>
      </c>
      <c r="E276" s="1894" t="s">
        <v>1064</v>
      </c>
      <c r="F276" s="1904"/>
      <c r="G276" s="2920"/>
      <c r="H276" s="2920"/>
      <c r="I276" s="2920"/>
      <c r="J276" s="2920"/>
      <c r="K276" s="2920"/>
      <c r="L276" s="2920"/>
      <c r="M276" s="2920"/>
      <c r="N276" s="2926">
        <f>+TRUNC(+SUM(G276:M277),2)</f>
        <v>0</v>
      </c>
      <c r="O276" s="578">
        <f>SUM(G276:N276)</f>
        <v>0</v>
      </c>
      <c r="Q276" s="1899"/>
      <c r="R276" s="1899"/>
      <c r="S276" s="1899"/>
    </row>
    <row r="277" spans="1:19" ht="49.5" hidden="1" x14ac:dyDescent="0.15">
      <c r="A277" s="2968"/>
      <c r="B277" s="2947"/>
      <c r="C277" s="1929" t="s">
        <v>2259</v>
      </c>
      <c r="D277" s="1944"/>
      <c r="E277" s="1897" t="s">
        <v>1064</v>
      </c>
      <c r="F277" s="1943"/>
      <c r="G277" s="2921"/>
      <c r="H277" s="2921"/>
      <c r="I277" s="2921"/>
      <c r="J277" s="2921"/>
      <c r="K277" s="2921"/>
      <c r="L277" s="2921"/>
      <c r="M277" s="2921"/>
      <c r="N277" s="2927"/>
      <c r="O277" s="579">
        <f>+O276</f>
        <v>0</v>
      </c>
      <c r="Q277" s="1899"/>
      <c r="R277" s="1899"/>
      <c r="S277" s="1899"/>
    </row>
    <row r="278" spans="1:19" ht="25.5" x14ac:dyDescent="0.15">
      <c r="A278" s="2968"/>
      <c r="B278" s="2946"/>
      <c r="C278" s="2971" t="s">
        <v>1063</v>
      </c>
      <c r="D278" s="2972"/>
      <c r="E278" s="1882" t="s">
        <v>1064</v>
      </c>
      <c r="F278" s="1881"/>
      <c r="G278" s="2270">
        <f t="shared" ref="G278:L278" si="0">SUM(G2:G277)</f>
        <v>4</v>
      </c>
      <c r="H278" s="2270">
        <f t="shared" si="0"/>
        <v>10</v>
      </c>
      <c r="I278" s="2270">
        <f t="shared" si="0"/>
        <v>7</v>
      </c>
      <c r="J278" s="2270">
        <f t="shared" si="0"/>
        <v>4</v>
      </c>
      <c r="K278" s="2270">
        <f t="shared" si="0"/>
        <v>3</v>
      </c>
      <c r="L278" s="2270">
        <f t="shared" si="0"/>
        <v>5</v>
      </c>
      <c r="M278" s="2270"/>
      <c r="N278" s="1888">
        <f>+TRUNC(+SUM(G278:M278),2)</f>
        <v>33</v>
      </c>
      <c r="O278" s="578">
        <f>SUM(G278:N278)</f>
        <v>66</v>
      </c>
      <c r="Q278" s="1899"/>
      <c r="R278" s="1899"/>
    </row>
    <row r="279" spans="1:19" ht="25.5" x14ac:dyDescent="0.15">
      <c r="A279" s="2968"/>
      <c r="B279" s="2946"/>
      <c r="C279" s="2971" t="s">
        <v>1071</v>
      </c>
      <c r="D279" s="2972"/>
      <c r="E279" s="1882" t="s">
        <v>1064</v>
      </c>
      <c r="F279" s="1881"/>
      <c r="G279" s="2270">
        <f t="shared" ref="G279:L279" si="1">SUM(G2:G277)</f>
        <v>4</v>
      </c>
      <c r="H279" s="2270">
        <f t="shared" si="1"/>
        <v>10</v>
      </c>
      <c r="I279" s="2270">
        <f t="shared" si="1"/>
        <v>7</v>
      </c>
      <c r="J279" s="2270">
        <f t="shared" si="1"/>
        <v>4</v>
      </c>
      <c r="K279" s="2270">
        <f t="shared" si="1"/>
        <v>3</v>
      </c>
      <c r="L279" s="2270">
        <f t="shared" si="1"/>
        <v>5</v>
      </c>
      <c r="M279" s="2270"/>
      <c r="N279" s="1923">
        <f>+TRUNC(+SUM(G279:M279),2)</f>
        <v>33</v>
      </c>
      <c r="O279" s="578">
        <f>SUM(G279:N279)</f>
        <v>66</v>
      </c>
      <c r="Q279" s="1899"/>
      <c r="R279" s="1899"/>
    </row>
    <row r="280" spans="1:19" ht="26.25" thickBot="1" x14ac:dyDescent="0.2">
      <c r="A280" s="2968"/>
      <c r="B280" s="2948"/>
      <c r="C280" s="2955" t="s">
        <v>1077</v>
      </c>
      <c r="D280" s="2956"/>
      <c r="E280" s="1882" t="s">
        <v>1064</v>
      </c>
      <c r="F280" s="1934" t="s">
        <v>1070</v>
      </c>
      <c r="G280" s="1890" cm="1">
        <f t="array" ref="G280">SUMPRODUCT(($D2:$D277)*(G2:G277))</f>
        <v>1.1200000000000001</v>
      </c>
      <c r="H280" s="1890" cm="1">
        <f t="array" ref="H280">SUMPRODUCT(($D2:$D277)*(H2:H277))</f>
        <v>2.96</v>
      </c>
      <c r="I280" s="1890" cm="1">
        <f t="array" ref="I280">SUMPRODUCT(($D2:$D277)*(I2:I277))</f>
        <v>1.9600000000000002</v>
      </c>
      <c r="J280" s="1890" cm="1">
        <f t="array" ref="J280">SUMPRODUCT(($D2:$D277)*(J2:J277))</f>
        <v>1.1200000000000001</v>
      </c>
      <c r="K280" s="1890" cm="1">
        <f t="array" ref="K280">SUMPRODUCT(($D2:$D277)*(K2:K277))</f>
        <v>0.84000000000000008</v>
      </c>
      <c r="L280" s="1890" cm="1">
        <f t="array" ref="L280">SUMPRODUCT(($D2:$D277)*(L2:L277))</f>
        <v>1.4000000000000001</v>
      </c>
      <c r="M280" s="1890"/>
      <c r="N280" s="1879">
        <f>+TRUNC(+SUM(G280:M280),2)</f>
        <v>9.4</v>
      </c>
      <c r="O280" s="578">
        <f>SUM(G280:N280)</f>
        <v>18.8</v>
      </c>
      <c r="Q280" s="1899"/>
      <c r="R280" s="1899"/>
    </row>
    <row r="281" spans="1:19" ht="26.25" hidden="1" thickBot="1" x14ac:dyDescent="0.2">
      <c r="A281" s="2968"/>
      <c r="B281" s="2949" t="s">
        <v>2258</v>
      </c>
      <c r="C281" s="2974" t="s">
        <v>1078</v>
      </c>
      <c r="D281" s="2975"/>
      <c r="E281" s="1882" t="s">
        <v>1064</v>
      </c>
      <c r="F281" s="1891"/>
      <c r="G281" s="2272" t="s">
        <v>578</v>
      </c>
      <c r="H281" s="2272" t="s">
        <v>578</v>
      </c>
      <c r="I281" s="2272" t="s">
        <v>578</v>
      </c>
      <c r="J281" s="2272" t="s">
        <v>578</v>
      </c>
      <c r="K281" s="2272" t="s">
        <v>578</v>
      </c>
      <c r="L281" s="2272" t="s">
        <v>578</v>
      </c>
      <c r="M281" s="2272"/>
      <c r="N281" s="1927"/>
      <c r="O281" s="915">
        <f>SUM(O282:O284)</f>
        <v>0</v>
      </c>
      <c r="Q281" s="1899"/>
      <c r="R281" s="1899"/>
    </row>
    <row r="282" spans="1:19" ht="50.25" hidden="1" thickBot="1" x14ac:dyDescent="0.2">
      <c r="A282" s="2968"/>
      <c r="B282" s="2950"/>
      <c r="C282" s="1945">
        <v>2.4</v>
      </c>
      <c r="D282" s="1924" t="s">
        <v>2257</v>
      </c>
      <c r="E282" s="1897" t="s">
        <v>1064</v>
      </c>
      <c r="F282" s="1881"/>
      <c r="G282" s="2271"/>
      <c r="H282" s="2271"/>
      <c r="I282" s="2271"/>
      <c r="J282" s="2271"/>
      <c r="K282" s="2271"/>
      <c r="L282" s="2271"/>
      <c r="M282" s="2271"/>
      <c r="N282" s="1923">
        <f>+TRUNC(+SUM(G282:M282),2)</f>
        <v>0</v>
      </c>
      <c r="O282" s="578">
        <f>SUM(G282:N282)</f>
        <v>0</v>
      </c>
      <c r="Q282" s="1899"/>
      <c r="R282" s="1899"/>
    </row>
    <row r="283" spans="1:19" ht="50.25" hidden="1" thickBot="1" x14ac:dyDescent="0.2">
      <c r="A283" s="2968"/>
      <c r="B283" s="2950"/>
      <c r="C283" s="1945">
        <v>2</v>
      </c>
      <c r="D283" s="1924" t="s">
        <v>1072</v>
      </c>
      <c r="E283" s="1897" t="s">
        <v>1064</v>
      </c>
      <c r="F283" s="1881"/>
      <c r="G283" s="2271"/>
      <c r="H283" s="2271"/>
      <c r="I283" s="2271"/>
      <c r="J283" s="2271"/>
      <c r="K283" s="2271"/>
      <c r="L283" s="2271"/>
      <c r="M283" s="2271"/>
      <c r="N283" s="1923">
        <f>+TRUNC(+SUM(G283:M283),2)</f>
        <v>0</v>
      </c>
      <c r="O283" s="578">
        <f>SUM(G283:N283)</f>
        <v>0</v>
      </c>
      <c r="Q283" s="1899"/>
      <c r="R283" s="1899"/>
    </row>
    <row r="284" spans="1:19" ht="50.25" hidden="1" thickBot="1" x14ac:dyDescent="0.2">
      <c r="A284" s="2968"/>
      <c r="B284" s="2950"/>
      <c r="C284" s="1945">
        <v>3</v>
      </c>
      <c r="D284" s="1924" t="s">
        <v>2256</v>
      </c>
      <c r="E284" s="1897" t="s">
        <v>1064</v>
      </c>
      <c r="F284" s="1881"/>
      <c r="G284" s="1887"/>
      <c r="H284" s="1887"/>
      <c r="I284" s="1887"/>
      <c r="J284" s="1887"/>
      <c r="K284" s="1887"/>
      <c r="L284" s="1887"/>
      <c r="M284" s="1887"/>
      <c r="N284" s="1923">
        <f>+TRUNC(+SUM(G284:M284),2)</f>
        <v>0</v>
      </c>
      <c r="O284" s="578">
        <f>SUM(G284:N284)</f>
        <v>0</v>
      </c>
      <c r="Q284" s="1899"/>
      <c r="R284" s="1899"/>
    </row>
    <row r="285" spans="1:19" ht="26.25" hidden="1" thickBot="1" x14ac:dyDescent="0.2">
      <c r="A285" s="2968"/>
      <c r="B285" s="2950"/>
      <c r="C285" s="2973" t="s">
        <v>1065</v>
      </c>
      <c r="D285" s="2972"/>
      <c r="E285" s="1882" t="s">
        <v>1064</v>
      </c>
      <c r="F285" s="1881"/>
      <c r="G285" s="2270" t="s">
        <v>578</v>
      </c>
      <c r="H285" s="2270" t="s">
        <v>578</v>
      </c>
      <c r="I285" s="2270" t="s">
        <v>578</v>
      </c>
      <c r="J285" s="2270" t="s">
        <v>578</v>
      </c>
      <c r="K285" s="2270" t="s">
        <v>578</v>
      </c>
      <c r="L285" s="2270" t="s">
        <v>578</v>
      </c>
      <c r="M285" s="2270"/>
      <c r="N285" s="1926"/>
      <c r="O285" s="915">
        <f>SUM(O286:O288)</f>
        <v>0</v>
      </c>
      <c r="Q285" s="1899"/>
      <c r="R285" s="1899"/>
    </row>
    <row r="286" spans="1:19" ht="50.25" hidden="1" thickBot="1" x14ac:dyDescent="0.2">
      <c r="A286" s="2968"/>
      <c r="B286" s="2950"/>
      <c r="C286" s="1945">
        <v>2.4</v>
      </c>
      <c r="D286" s="1924" t="s">
        <v>2257</v>
      </c>
      <c r="E286" s="1897" t="s">
        <v>1064</v>
      </c>
      <c r="F286" s="1881"/>
      <c r="G286" s="1925"/>
      <c r="H286" s="1925"/>
      <c r="I286" s="1925"/>
      <c r="J286" s="1925"/>
      <c r="K286" s="1925"/>
      <c r="L286" s="1925"/>
      <c r="M286" s="1925"/>
      <c r="N286" s="1923">
        <f>+TRUNC(+SUM(G286:M286),2)</f>
        <v>0</v>
      </c>
      <c r="O286" s="578">
        <f t="shared" ref="O286:O296" si="2">SUM(G286:N286)</f>
        <v>0</v>
      </c>
      <c r="Q286" s="1899"/>
      <c r="R286" s="1899"/>
    </row>
    <row r="287" spans="1:19" ht="50.25" hidden="1" thickBot="1" x14ac:dyDescent="0.2">
      <c r="A287" s="2968"/>
      <c r="B287" s="2950"/>
      <c r="C287" s="1945">
        <v>2</v>
      </c>
      <c r="D287" s="1924" t="s">
        <v>1072</v>
      </c>
      <c r="E287" s="1897" t="s">
        <v>1064</v>
      </c>
      <c r="F287" s="1881"/>
      <c r="G287" s="2270"/>
      <c r="H287" s="2270"/>
      <c r="I287" s="2270"/>
      <c r="J287" s="2270"/>
      <c r="K287" s="2270"/>
      <c r="L287" s="2270"/>
      <c r="M287" s="2270"/>
      <c r="N287" s="1923">
        <f>+TRUNC(+SUM(G287:M287),2)</f>
        <v>0</v>
      </c>
      <c r="O287" s="578">
        <f t="shared" si="2"/>
        <v>0</v>
      </c>
      <c r="Q287" s="1899"/>
      <c r="R287" s="1899"/>
    </row>
    <row r="288" spans="1:19" ht="50.25" hidden="1" thickBot="1" x14ac:dyDescent="0.2">
      <c r="A288" s="2968"/>
      <c r="B288" s="2950"/>
      <c r="C288" s="1945">
        <v>3</v>
      </c>
      <c r="D288" s="1924" t="s">
        <v>2256</v>
      </c>
      <c r="E288" s="1897" t="s">
        <v>1064</v>
      </c>
      <c r="F288" s="1881"/>
      <c r="G288" s="2270"/>
      <c r="H288" s="2270"/>
      <c r="I288" s="2270"/>
      <c r="J288" s="2270"/>
      <c r="K288" s="2270"/>
      <c r="L288" s="2270"/>
      <c r="M288" s="2270"/>
      <c r="N288" s="1923">
        <f>+TRUNC(+SUM(G288:M288),2)</f>
        <v>0</v>
      </c>
      <c r="O288" s="578">
        <f t="shared" si="2"/>
        <v>0</v>
      </c>
      <c r="Q288" s="1899"/>
      <c r="R288" s="1899"/>
    </row>
    <row r="289" spans="1:18" ht="26.25" hidden="1" thickBot="1" x14ac:dyDescent="0.2">
      <c r="A289" s="2968"/>
      <c r="B289" s="2950"/>
      <c r="C289" s="2973" t="s">
        <v>1071</v>
      </c>
      <c r="D289" s="2972"/>
      <c r="E289" s="1882" t="s">
        <v>1064</v>
      </c>
      <c r="F289" s="1881"/>
      <c r="G289" s="2270">
        <f>SUM(G282:G284)*2</f>
        <v>0</v>
      </c>
      <c r="H289" s="2270">
        <f t="shared" ref="H289:L289" si="3">SUM(H282:H284)*2</f>
        <v>0</v>
      </c>
      <c r="I289" s="2270">
        <f t="shared" si="3"/>
        <v>0</v>
      </c>
      <c r="J289" s="2270">
        <f t="shared" si="3"/>
        <v>0</v>
      </c>
      <c r="K289" s="2270">
        <f t="shared" si="3"/>
        <v>0</v>
      </c>
      <c r="L289" s="2270">
        <f t="shared" si="3"/>
        <v>0</v>
      </c>
      <c r="M289" s="2270"/>
      <c r="N289" s="1923">
        <f>+TRUNC(+SUM(G289:M289),2)</f>
        <v>0</v>
      </c>
      <c r="O289" s="578">
        <f t="shared" si="2"/>
        <v>0</v>
      </c>
      <c r="Q289" s="1899"/>
      <c r="R289" s="1899"/>
    </row>
    <row r="290" spans="1:18" ht="26.25" hidden="1" thickBot="1" x14ac:dyDescent="0.2">
      <c r="A290" s="2968"/>
      <c r="B290" s="2951"/>
      <c r="C290" s="2934" t="s">
        <v>1079</v>
      </c>
      <c r="D290" s="2935"/>
      <c r="E290" s="1882" t="s">
        <v>1064</v>
      </c>
      <c r="F290" s="1891"/>
      <c r="G290" s="1890" cm="1">
        <f t="array" ref="G290">SUMPRODUCT(($C282:$C284)*(G282:G284))+SUMPRODUCT(($C286:$C288)*(G286:G288))</f>
        <v>0</v>
      </c>
      <c r="H290" s="1890" cm="1">
        <f t="array" ref="H290">SUMPRODUCT(($C282:$C284)*(H282:H284))+SUMPRODUCT(($C286:$C288)*(H286:H288))</f>
        <v>0</v>
      </c>
      <c r="I290" s="1890" cm="1">
        <f t="array" ref="I290">SUMPRODUCT(($C282:$C284)*(I282:I284))+SUMPRODUCT(($C286:$C288)*(I286:I288))</f>
        <v>0</v>
      </c>
      <c r="J290" s="1890" cm="1">
        <f t="array" ref="J290">SUMPRODUCT(($C282:$C284)*(J282:J284))+SUMPRODUCT(($C286:$C288)*(J286:J288))</f>
        <v>0</v>
      </c>
      <c r="K290" s="1890" cm="1">
        <f t="array" ref="K290">SUMPRODUCT(($C282:$C284)*(K282:K284))+SUMPRODUCT(($C286:$C288)*(K286:K288))</f>
        <v>0</v>
      </c>
      <c r="L290" s="1890" cm="1">
        <f t="array" ref="L290">SUMPRODUCT(($C282:$C284)*(L282:L284))+SUMPRODUCT(($C286:$C288)*(L286:L288))</f>
        <v>0</v>
      </c>
      <c r="M290" s="1890"/>
      <c r="N290" s="1879">
        <f>+TRUNC(+SUM(G290:M290),2)</f>
        <v>0</v>
      </c>
      <c r="O290" s="578">
        <f t="shared" si="2"/>
        <v>0</v>
      </c>
      <c r="Q290" s="1899"/>
      <c r="R290" s="1899"/>
    </row>
    <row r="291" spans="1:18" ht="26.25" thickBot="1" x14ac:dyDescent="0.2">
      <c r="A291" s="2968"/>
      <c r="B291" s="2976" t="s">
        <v>1073</v>
      </c>
      <c r="C291" s="2941"/>
      <c r="D291" s="2942"/>
      <c r="E291" s="1882" t="s">
        <v>1064</v>
      </c>
      <c r="F291" s="1922"/>
      <c r="G291" s="1917">
        <f t="shared" ref="G291:L291" si="4">G289+G278</f>
        <v>4</v>
      </c>
      <c r="H291" s="1917">
        <f t="shared" si="4"/>
        <v>10</v>
      </c>
      <c r="I291" s="1917">
        <f t="shared" si="4"/>
        <v>7</v>
      </c>
      <c r="J291" s="1917">
        <f t="shared" si="4"/>
        <v>4</v>
      </c>
      <c r="K291" s="1917">
        <f t="shared" si="4"/>
        <v>3</v>
      </c>
      <c r="L291" s="1917">
        <f t="shared" si="4"/>
        <v>5</v>
      </c>
      <c r="M291" s="1917"/>
      <c r="N291" s="1886">
        <f>SUM(G291:M291)</f>
        <v>33</v>
      </c>
      <c r="O291" s="578">
        <f t="shared" si="2"/>
        <v>66</v>
      </c>
      <c r="Q291" s="1899"/>
      <c r="R291" s="1899"/>
    </row>
    <row r="292" spans="1:18" ht="26.25" hidden="1" thickBot="1" x14ac:dyDescent="0.2">
      <c r="A292" s="2968"/>
      <c r="B292" s="2977" t="s">
        <v>575</v>
      </c>
      <c r="C292" s="2978"/>
      <c r="D292" s="2979"/>
      <c r="E292" s="1882" t="s">
        <v>1064</v>
      </c>
      <c r="F292" s="1922"/>
      <c r="G292" s="1921">
        <f>SUM(G286:G288)</f>
        <v>0</v>
      </c>
      <c r="H292" s="1921">
        <f t="shared" ref="H292:L292" si="5">SUM(H286:H288)</f>
        <v>0</v>
      </c>
      <c r="I292" s="1921">
        <f t="shared" si="5"/>
        <v>0</v>
      </c>
      <c r="J292" s="1921">
        <f t="shared" si="5"/>
        <v>0</v>
      </c>
      <c r="K292" s="1921">
        <f t="shared" si="5"/>
        <v>0</v>
      </c>
      <c r="L292" s="1921">
        <f t="shared" si="5"/>
        <v>0</v>
      </c>
      <c r="M292" s="1921"/>
      <c r="N292" s="1886">
        <f>SUM(G292:M292)</f>
        <v>0</v>
      </c>
      <c r="O292" s="578">
        <f t="shared" si="2"/>
        <v>0</v>
      </c>
      <c r="Q292" s="1899"/>
      <c r="R292" s="1899"/>
    </row>
    <row r="293" spans="1:18" ht="26.25" hidden="1" thickBot="1" x14ac:dyDescent="0.2">
      <c r="A293" s="2968"/>
      <c r="B293" s="2980" t="s">
        <v>576</v>
      </c>
      <c r="C293" s="2981"/>
      <c r="D293" s="2982"/>
      <c r="E293" s="1882" t="s">
        <v>1064</v>
      </c>
      <c r="F293" s="1904"/>
      <c r="G293" s="1913">
        <f>+G292</f>
        <v>0</v>
      </c>
      <c r="H293" s="1913">
        <f t="shared" ref="H293:L293" si="6">+H292</f>
        <v>0</v>
      </c>
      <c r="I293" s="1913">
        <f t="shared" si="6"/>
        <v>0</v>
      </c>
      <c r="J293" s="1913">
        <f t="shared" si="6"/>
        <v>0</v>
      </c>
      <c r="K293" s="1913">
        <f t="shared" si="6"/>
        <v>0</v>
      </c>
      <c r="L293" s="1913">
        <f t="shared" si="6"/>
        <v>0</v>
      </c>
      <c r="M293" s="1913"/>
      <c r="N293" s="1920">
        <f>SUM(G293:M293)</f>
        <v>0</v>
      </c>
      <c r="O293" s="578">
        <f t="shared" si="2"/>
        <v>0</v>
      </c>
      <c r="Q293" s="1899"/>
      <c r="R293" s="1899"/>
    </row>
    <row r="294" spans="1:18" ht="25.5" customHeight="1" x14ac:dyDescent="0.15">
      <c r="A294" s="2968"/>
      <c r="B294" s="2983" t="s">
        <v>577</v>
      </c>
      <c r="C294" s="2941" t="s">
        <v>2771</v>
      </c>
      <c r="D294" s="2942"/>
      <c r="E294" s="1919" t="s">
        <v>1064</v>
      </c>
      <c r="F294" s="1918"/>
      <c r="G294" s="1917">
        <v>4</v>
      </c>
      <c r="H294" s="1917">
        <v>10</v>
      </c>
      <c r="I294" s="1917">
        <v>6</v>
      </c>
      <c r="J294" s="1917">
        <v>4</v>
      </c>
      <c r="K294" s="1917">
        <v>4</v>
      </c>
      <c r="L294" s="1917">
        <v>8</v>
      </c>
      <c r="M294" s="1917"/>
      <c r="N294" s="1916">
        <f>SUM(G294:M294)</f>
        <v>36</v>
      </c>
      <c r="O294" s="578">
        <f t="shared" si="2"/>
        <v>72</v>
      </c>
      <c r="Q294" s="1899"/>
      <c r="R294" s="1899"/>
    </row>
    <row r="295" spans="1:18" ht="26.25" thickBot="1" x14ac:dyDescent="0.2">
      <c r="A295" s="2968"/>
      <c r="B295" s="2985"/>
      <c r="C295" s="2943" t="s">
        <v>2255</v>
      </c>
      <c r="D295" s="2944"/>
      <c r="E295" s="1915"/>
      <c r="F295" s="1914"/>
      <c r="G295" s="1913">
        <f t="shared" ref="G295:L295" si="7">G294/2</f>
        <v>2</v>
      </c>
      <c r="H295" s="1913">
        <f t="shared" si="7"/>
        <v>5</v>
      </c>
      <c r="I295" s="1913">
        <f t="shared" si="7"/>
        <v>3</v>
      </c>
      <c r="J295" s="1913">
        <f t="shared" si="7"/>
        <v>2</v>
      </c>
      <c r="K295" s="1913">
        <f t="shared" si="7"/>
        <v>2</v>
      </c>
      <c r="L295" s="1913">
        <f t="shared" si="7"/>
        <v>4</v>
      </c>
      <c r="M295" s="1913"/>
      <c r="N295" s="1889">
        <f>SUM(G295:M295)</f>
        <v>18</v>
      </c>
      <c r="O295" s="578">
        <f t="shared" si="2"/>
        <v>36</v>
      </c>
      <c r="Q295" s="1899"/>
      <c r="R295" s="1899"/>
    </row>
    <row r="296" spans="1:18" ht="18.75" x14ac:dyDescent="0.15">
      <c r="A296" s="2968"/>
      <c r="B296" s="2952" t="s">
        <v>2426</v>
      </c>
      <c r="C296" s="1946" t="s">
        <v>340</v>
      </c>
      <c r="D296" s="1900">
        <v>0.1</v>
      </c>
      <c r="E296" s="1894" t="s">
        <v>1064</v>
      </c>
      <c r="F296" s="1906"/>
      <c r="G296" s="2917">
        <v>80</v>
      </c>
      <c r="H296" s="2917">
        <v>80</v>
      </c>
      <c r="I296" s="2917">
        <f>120+40</f>
        <v>160</v>
      </c>
      <c r="J296" s="2917">
        <v>80</v>
      </c>
      <c r="K296" s="2917">
        <v>40</v>
      </c>
      <c r="L296" s="2917">
        <v>40</v>
      </c>
      <c r="M296" s="2917"/>
      <c r="N296" s="2933">
        <f>+TRUNC((+SUM(G296:M297)),2)</f>
        <v>480</v>
      </c>
      <c r="O296" s="578">
        <f t="shared" si="2"/>
        <v>960</v>
      </c>
      <c r="Q296" s="1899"/>
      <c r="R296" s="1899"/>
    </row>
    <row r="297" spans="1:18" ht="49.5" x14ac:dyDescent="0.15">
      <c r="A297" s="2968"/>
      <c r="B297" s="2953"/>
      <c r="C297" s="1947" t="s">
        <v>1069</v>
      </c>
      <c r="D297" s="1898"/>
      <c r="E297" s="1897" t="s">
        <v>1064</v>
      </c>
      <c r="F297" s="1881"/>
      <c r="G297" s="2918"/>
      <c r="H297" s="2918"/>
      <c r="I297" s="2918"/>
      <c r="J297" s="2918"/>
      <c r="K297" s="2918"/>
      <c r="L297" s="2918"/>
      <c r="M297" s="2918"/>
      <c r="N297" s="2927"/>
      <c r="O297" s="579">
        <f>+O296</f>
        <v>960</v>
      </c>
    </row>
    <row r="298" spans="1:18" ht="22.5" hidden="1" customHeight="1" x14ac:dyDescent="0.15">
      <c r="A298" s="2968"/>
      <c r="B298" s="2990"/>
      <c r="C298" s="1952" t="s">
        <v>579</v>
      </c>
      <c r="D298" s="1912"/>
      <c r="E298" s="1894" t="s">
        <v>1064</v>
      </c>
      <c r="F298" s="1881"/>
      <c r="G298" s="1910">
        <v>95.92</v>
      </c>
      <c r="H298" s="1910">
        <v>566.07000000000005</v>
      </c>
      <c r="I298" s="1910">
        <v>73.47</v>
      </c>
      <c r="J298" s="1910">
        <v>35.299999999999997</v>
      </c>
      <c r="K298" s="1910">
        <v>76.61</v>
      </c>
      <c r="L298" s="1910">
        <v>667.6</v>
      </c>
      <c r="M298" s="1910"/>
      <c r="N298" s="2926">
        <f>TRUNC((SUM(G299:M300)),2)</f>
        <v>383.47</v>
      </c>
      <c r="O298" s="1909"/>
    </row>
    <row r="299" spans="1:18" ht="18.75" x14ac:dyDescent="0.15">
      <c r="A299" s="2968"/>
      <c r="B299" s="2953"/>
      <c r="C299" s="1948" t="s">
        <v>340</v>
      </c>
      <c r="D299" s="1908">
        <v>0.1</v>
      </c>
      <c r="E299" s="1894" t="s">
        <v>1064</v>
      </c>
      <c r="F299" s="1881"/>
      <c r="G299" s="2919">
        <f>(INT(G298/8)*2)+IF(MOD(G298,8)&gt;2,2,MOD(G298,8))</f>
        <v>24</v>
      </c>
      <c r="H299" s="2919">
        <f t="shared" ref="H299:L299" si="8">(INT(H298/8)*2)+IF(MOD(H298,8)&gt;2,2,MOD(H298,8))</f>
        <v>142</v>
      </c>
      <c r="I299" s="2919">
        <f t="shared" si="8"/>
        <v>19.47</v>
      </c>
      <c r="J299" s="2919">
        <f t="shared" si="8"/>
        <v>10</v>
      </c>
      <c r="K299" s="2919">
        <f t="shared" si="8"/>
        <v>20</v>
      </c>
      <c r="L299" s="2919">
        <f t="shared" si="8"/>
        <v>168</v>
      </c>
      <c r="M299" s="2919"/>
      <c r="N299" s="2928"/>
      <c r="O299" s="578">
        <f>SUM(G299:N299)</f>
        <v>383.47</v>
      </c>
    </row>
    <row r="300" spans="1:18" ht="55.5" x14ac:dyDescent="0.2">
      <c r="A300" s="2968"/>
      <c r="B300" s="2953"/>
      <c r="C300" s="1947" t="s">
        <v>1066</v>
      </c>
      <c r="D300" s="1895" t="s">
        <v>2446</v>
      </c>
      <c r="E300" s="1907" t="s">
        <v>1064</v>
      </c>
      <c r="F300" s="1881"/>
      <c r="G300" s="2918"/>
      <c r="H300" s="2918"/>
      <c r="I300" s="2918"/>
      <c r="J300" s="2918"/>
      <c r="K300" s="2918"/>
      <c r="L300" s="2918"/>
      <c r="M300" s="2918"/>
      <c r="N300" s="2927"/>
      <c r="O300" s="579">
        <f>+O299</f>
        <v>383.47</v>
      </c>
    </row>
    <row r="301" spans="1:18" ht="18.75" hidden="1" x14ac:dyDescent="0.15">
      <c r="A301" s="2968"/>
      <c r="B301" s="2990"/>
      <c r="C301" s="1952" t="s">
        <v>579</v>
      </c>
      <c r="D301" s="1911"/>
      <c r="E301" s="1894" t="s">
        <v>1064</v>
      </c>
      <c r="F301" s="1881"/>
      <c r="G301" s="1910"/>
      <c r="H301" s="1910"/>
      <c r="I301" s="1910"/>
      <c r="J301" s="1910"/>
      <c r="K301" s="1910"/>
      <c r="L301" s="1910"/>
      <c r="M301" s="1910"/>
      <c r="N301" s="2926">
        <f>TRUNC((SUM(G302:M303)),2)</f>
        <v>0</v>
      </c>
      <c r="O301" s="1909"/>
    </row>
    <row r="302" spans="1:18" ht="18.75" hidden="1" x14ac:dyDescent="0.15">
      <c r="A302" s="2968"/>
      <c r="B302" s="2990"/>
      <c r="C302" s="1948" t="s">
        <v>340</v>
      </c>
      <c r="D302" s="1908">
        <v>0.1</v>
      </c>
      <c r="E302" s="1894" t="s">
        <v>1064</v>
      </c>
      <c r="F302" s="1881"/>
      <c r="G302" s="2919">
        <f>(INT(G301/2)*1)+IF(MOD(G301,2)&gt;1,1,MOD(G301,2))</f>
        <v>0</v>
      </c>
      <c r="H302" s="2919">
        <f t="shared" ref="H302:L302" si="9">(INT(H301/2)*1)+IF(MOD(H301,2)&gt;1,1,MOD(H301,2))</f>
        <v>0</v>
      </c>
      <c r="I302" s="2919">
        <f t="shared" si="9"/>
        <v>0</v>
      </c>
      <c r="J302" s="2919">
        <f t="shared" si="9"/>
        <v>0</v>
      </c>
      <c r="K302" s="2919">
        <f t="shared" si="9"/>
        <v>0</v>
      </c>
      <c r="L302" s="2919">
        <f t="shared" si="9"/>
        <v>0</v>
      </c>
      <c r="M302" s="2919"/>
      <c r="N302" s="2928"/>
      <c r="O302" s="578">
        <f>SUM(G302:N302)</f>
        <v>0</v>
      </c>
    </row>
    <row r="303" spans="1:18" ht="55.5" hidden="1" x14ac:dyDescent="0.2">
      <c r="A303" s="2968"/>
      <c r="B303" s="2990"/>
      <c r="C303" s="1947" t="s">
        <v>1067</v>
      </c>
      <c r="D303" s="1895" t="s">
        <v>911</v>
      </c>
      <c r="E303" s="1907" t="s">
        <v>1064</v>
      </c>
      <c r="F303" s="1881"/>
      <c r="G303" s="2918"/>
      <c r="H303" s="2918"/>
      <c r="I303" s="2918"/>
      <c r="J303" s="2918"/>
      <c r="K303" s="2918"/>
      <c r="L303" s="2918"/>
      <c r="M303" s="2918"/>
      <c r="N303" s="2927"/>
      <c r="O303" s="579">
        <f>+O302</f>
        <v>0</v>
      </c>
    </row>
    <row r="304" spans="1:18" ht="26.25" thickBot="1" x14ac:dyDescent="0.2">
      <c r="A304" s="2968"/>
      <c r="B304" s="2954"/>
      <c r="C304" s="2934" t="s">
        <v>580</v>
      </c>
      <c r="D304" s="2935"/>
      <c r="E304" s="1882" t="s">
        <v>1064</v>
      </c>
      <c r="F304" s="1881"/>
      <c r="G304" s="2273">
        <f t="shared" ref="G304:L304" si="10">$D296*G296+$D299*G299+$D302*G302</f>
        <v>10.4</v>
      </c>
      <c r="H304" s="2273">
        <f t="shared" si="10"/>
        <v>22.200000000000003</v>
      </c>
      <c r="I304" s="2273">
        <f t="shared" si="10"/>
        <v>17.946999999999999</v>
      </c>
      <c r="J304" s="2273">
        <f t="shared" si="10"/>
        <v>9</v>
      </c>
      <c r="K304" s="2273">
        <f t="shared" si="10"/>
        <v>6</v>
      </c>
      <c r="L304" s="2273">
        <f t="shared" si="10"/>
        <v>20.8</v>
      </c>
      <c r="M304" s="2273"/>
      <c r="N304" s="1879">
        <f>+TRUNC(+SUM(G304:M304),2)</f>
        <v>86.34</v>
      </c>
      <c r="O304" s="578">
        <f>SUM(G304:N304)</f>
        <v>172.68700000000001</v>
      </c>
    </row>
    <row r="305" spans="1:18" ht="19.5" hidden="1" thickBot="1" x14ac:dyDescent="0.2">
      <c r="A305" s="2968"/>
      <c r="B305" s="2952" t="s">
        <v>2433</v>
      </c>
      <c r="C305" s="1952" t="s">
        <v>579</v>
      </c>
      <c r="D305" s="1911"/>
      <c r="E305" s="1894" t="s">
        <v>1064</v>
      </c>
      <c r="F305" s="1881"/>
      <c r="G305" s="1910"/>
      <c r="H305" s="1910"/>
      <c r="I305" s="1910"/>
      <c r="J305" s="1910"/>
      <c r="K305" s="1910"/>
      <c r="L305" s="1910"/>
      <c r="M305" s="1910"/>
      <c r="N305" s="2926">
        <f>TRUNC((SUM(G306:M307)),2)</f>
        <v>0</v>
      </c>
      <c r="O305" s="1909"/>
    </row>
    <row r="306" spans="1:18" ht="19.5" hidden="1" thickBot="1" x14ac:dyDescent="0.2">
      <c r="A306" s="2968"/>
      <c r="B306" s="2953"/>
      <c r="C306" s="1948" t="s">
        <v>340</v>
      </c>
      <c r="D306" s="1908">
        <v>0.1</v>
      </c>
      <c r="E306" s="1894" t="s">
        <v>1064</v>
      </c>
      <c r="F306" s="1881"/>
      <c r="G306" s="2919">
        <f t="shared" ref="G306" si="11">TRUNC((G305/2),2)</f>
        <v>0</v>
      </c>
      <c r="H306" s="2919">
        <f t="shared" ref="H306:L306" si="12">TRUNC((H305/2),2)</f>
        <v>0</v>
      </c>
      <c r="I306" s="2919">
        <f t="shared" si="12"/>
        <v>0</v>
      </c>
      <c r="J306" s="2919">
        <f t="shared" si="12"/>
        <v>0</v>
      </c>
      <c r="K306" s="2919">
        <f t="shared" si="12"/>
        <v>0</v>
      </c>
      <c r="L306" s="2919">
        <f t="shared" si="12"/>
        <v>0</v>
      </c>
      <c r="M306" s="2919"/>
      <c r="N306" s="2928"/>
      <c r="O306" s="578">
        <f>SUM(G306:N306)</f>
        <v>0</v>
      </c>
    </row>
    <row r="307" spans="1:18" ht="56.25" hidden="1" thickBot="1" x14ac:dyDescent="0.25">
      <c r="A307" s="2968"/>
      <c r="B307" s="2953"/>
      <c r="C307" s="1947" t="s">
        <v>2254</v>
      </c>
      <c r="D307" s="1895" t="s">
        <v>910</v>
      </c>
      <c r="E307" s="1907" t="s">
        <v>1064</v>
      </c>
      <c r="F307" s="1881"/>
      <c r="G307" s="2918"/>
      <c r="H307" s="2918"/>
      <c r="I307" s="2918"/>
      <c r="J307" s="2918"/>
      <c r="K307" s="2918"/>
      <c r="L307" s="2918"/>
      <c r="M307" s="2918"/>
      <c r="N307" s="2927"/>
      <c r="O307" s="579">
        <f>+O306</f>
        <v>0</v>
      </c>
    </row>
    <row r="308" spans="1:18" ht="19.5" hidden="1" thickBot="1" x14ac:dyDescent="0.2">
      <c r="A308" s="2968"/>
      <c r="B308" s="2953"/>
      <c r="C308" s="1946" t="s">
        <v>340</v>
      </c>
      <c r="D308" s="1900">
        <v>0.1</v>
      </c>
      <c r="E308" s="1894" t="s">
        <v>1064</v>
      </c>
      <c r="F308" s="1906"/>
      <c r="G308" s="2917"/>
      <c r="H308" s="2917"/>
      <c r="I308" s="2917"/>
      <c r="J308" s="2917"/>
      <c r="K308" s="2917"/>
      <c r="L308" s="2917"/>
      <c r="M308" s="2917"/>
      <c r="N308" s="2933">
        <f>+TRUNC((+SUM(G308:M309)),2)</f>
        <v>0</v>
      </c>
      <c r="O308" s="578">
        <f>SUM(G308:N308)</f>
        <v>0</v>
      </c>
      <c r="Q308" s="1899"/>
      <c r="R308" s="1899"/>
    </row>
    <row r="309" spans="1:18" ht="50.25" hidden="1" thickBot="1" x14ac:dyDescent="0.2">
      <c r="A309" s="2968"/>
      <c r="B309" s="2953"/>
      <c r="C309" s="1947" t="s">
        <v>2253</v>
      </c>
      <c r="D309" s="1898"/>
      <c r="E309" s="1897" t="s">
        <v>1064</v>
      </c>
      <c r="F309" s="1881"/>
      <c r="G309" s="2924"/>
      <c r="H309" s="2924"/>
      <c r="I309" s="2924"/>
      <c r="J309" s="2924"/>
      <c r="K309" s="2924"/>
      <c r="L309" s="2924"/>
      <c r="M309" s="2924"/>
      <c r="N309" s="2927"/>
      <c r="O309" s="579">
        <f>+O308</f>
        <v>0</v>
      </c>
    </row>
    <row r="310" spans="1:18" ht="19.5" hidden="1" thickBot="1" x14ac:dyDescent="0.2">
      <c r="A310" s="2968"/>
      <c r="B310" s="2953"/>
      <c r="C310" s="1946" t="s">
        <v>340</v>
      </c>
      <c r="D310" s="1900">
        <v>0.2</v>
      </c>
      <c r="E310" s="1894" t="s">
        <v>1064</v>
      </c>
      <c r="F310" s="1906"/>
      <c r="G310" s="2917"/>
      <c r="H310" s="2917"/>
      <c r="I310" s="2917"/>
      <c r="J310" s="2917"/>
      <c r="K310" s="2917"/>
      <c r="L310" s="2917"/>
      <c r="M310" s="2917"/>
      <c r="N310" s="2933">
        <f>+TRUNC((+SUM(G310:M311)),2)</f>
        <v>0</v>
      </c>
      <c r="O310" s="578">
        <f>SUM(G310:N310)</f>
        <v>0</v>
      </c>
      <c r="Q310" s="1899"/>
      <c r="R310" s="1899"/>
    </row>
    <row r="311" spans="1:18" ht="50.25" hidden="1" thickBot="1" x14ac:dyDescent="0.2">
      <c r="A311" s="2968"/>
      <c r="B311" s="2953"/>
      <c r="C311" s="1947" t="s">
        <v>2252</v>
      </c>
      <c r="D311" s="1898"/>
      <c r="E311" s="1897" t="s">
        <v>1064</v>
      </c>
      <c r="F311" s="1881"/>
      <c r="G311" s="2918"/>
      <c r="H311" s="2918"/>
      <c r="I311" s="2918"/>
      <c r="J311" s="2918"/>
      <c r="K311" s="2918"/>
      <c r="L311" s="2918"/>
      <c r="M311" s="2918"/>
      <c r="N311" s="2927"/>
      <c r="O311" s="579">
        <f>+O310</f>
        <v>0</v>
      </c>
    </row>
    <row r="312" spans="1:18" ht="26.25" hidden="1" thickBot="1" x14ac:dyDescent="0.2">
      <c r="A312" s="2968"/>
      <c r="B312" s="2954"/>
      <c r="C312" s="2934" t="s">
        <v>580</v>
      </c>
      <c r="D312" s="2935"/>
      <c r="E312" s="1882" t="s">
        <v>1064</v>
      </c>
      <c r="F312" s="1881"/>
      <c r="G312" s="2273">
        <f>$D$306*G306+$D$308*G308+$D$310*G310</f>
        <v>0</v>
      </c>
      <c r="H312" s="2273">
        <f t="shared" ref="H312:L312" si="13">$D$306*H306+$D$308*H308+$D$310*H310</f>
        <v>0</v>
      </c>
      <c r="I312" s="2273">
        <f t="shared" si="13"/>
        <v>0</v>
      </c>
      <c r="J312" s="2273">
        <f t="shared" si="13"/>
        <v>0</v>
      </c>
      <c r="K312" s="2273">
        <f t="shared" si="13"/>
        <v>0</v>
      </c>
      <c r="L312" s="2273">
        <f t="shared" si="13"/>
        <v>0</v>
      </c>
      <c r="M312" s="2273"/>
      <c r="N312" s="1879">
        <f>+TRUNC(+SUM(G312:M312),2)</f>
        <v>0</v>
      </c>
      <c r="O312" s="578">
        <f>SUM(G312:N312)</f>
        <v>0</v>
      </c>
    </row>
    <row r="313" spans="1:18" ht="19.5" hidden="1" thickBot="1" x14ac:dyDescent="0.2">
      <c r="A313" s="2968"/>
      <c r="B313" s="2952" t="s">
        <v>1075</v>
      </c>
      <c r="C313" s="1949" t="s">
        <v>340</v>
      </c>
      <c r="D313" s="1900">
        <v>0.3</v>
      </c>
      <c r="E313" s="1894" t="s">
        <v>1064</v>
      </c>
      <c r="F313" s="1905"/>
      <c r="G313" s="2917"/>
      <c r="H313" s="2917"/>
      <c r="I313" s="2917"/>
      <c r="J313" s="2917"/>
      <c r="K313" s="2917"/>
      <c r="L313" s="2917"/>
      <c r="M313" s="2268"/>
      <c r="N313" s="2933">
        <f>+TRUNC((+SUM(G313:M314)),2)</f>
        <v>0</v>
      </c>
      <c r="O313" s="578">
        <f>SUM(G313:N313)</f>
        <v>0</v>
      </c>
    </row>
    <row r="314" spans="1:18" ht="50.25" hidden="1" thickBot="1" x14ac:dyDescent="0.2">
      <c r="A314" s="2968"/>
      <c r="B314" s="2953"/>
      <c r="C314" s="1947" t="s">
        <v>1068</v>
      </c>
      <c r="D314" s="1898"/>
      <c r="E314" s="1897" t="s">
        <v>1064</v>
      </c>
      <c r="F314" s="1904"/>
      <c r="G314" s="2918"/>
      <c r="H314" s="2918"/>
      <c r="I314" s="2918"/>
      <c r="J314" s="2918"/>
      <c r="K314" s="2918"/>
      <c r="L314" s="2918"/>
      <c r="M314" s="2269"/>
      <c r="N314" s="2927"/>
      <c r="O314" s="579">
        <f>+O313</f>
        <v>0</v>
      </c>
    </row>
    <row r="315" spans="1:18" ht="26.25" hidden="1" thickBot="1" x14ac:dyDescent="0.2">
      <c r="A315" s="2968"/>
      <c r="B315" s="2954"/>
      <c r="C315" s="2934" t="s">
        <v>580</v>
      </c>
      <c r="D315" s="2935"/>
      <c r="E315" s="1882" t="s">
        <v>1064</v>
      </c>
      <c r="F315" s="1904"/>
      <c r="G315" s="1903">
        <f>$D313*G313</f>
        <v>0</v>
      </c>
      <c r="H315" s="1903">
        <f t="shared" ref="H315:L315" si="14">$D313*H313</f>
        <v>0</v>
      </c>
      <c r="I315" s="1903">
        <f t="shared" si="14"/>
        <v>0</v>
      </c>
      <c r="J315" s="1903">
        <f t="shared" si="14"/>
        <v>0</v>
      </c>
      <c r="K315" s="1903">
        <f t="shared" si="14"/>
        <v>0</v>
      </c>
      <c r="L315" s="1903">
        <f t="shared" si="14"/>
        <v>0</v>
      </c>
      <c r="M315" s="1903"/>
      <c r="N315" s="1879">
        <f>+TRUNC(+SUM(G315:M315),2)</f>
        <v>0</v>
      </c>
      <c r="O315" s="578"/>
    </row>
    <row r="316" spans="1:18" ht="18.75" x14ac:dyDescent="0.15">
      <c r="A316" s="2968"/>
      <c r="B316" s="2952" t="s">
        <v>2251</v>
      </c>
      <c r="C316" s="1904" t="s">
        <v>342</v>
      </c>
      <c r="D316" s="1942">
        <v>2.92</v>
      </c>
      <c r="E316" s="1894" t="s">
        <v>1064</v>
      </c>
      <c r="F316" s="1899"/>
      <c r="G316" s="2922">
        <v>2</v>
      </c>
      <c r="H316" s="2922">
        <v>2</v>
      </c>
      <c r="I316" s="2922">
        <f>3+1</f>
        <v>4</v>
      </c>
      <c r="J316" s="2922">
        <v>2</v>
      </c>
      <c r="K316" s="2922">
        <v>1</v>
      </c>
      <c r="L316" s="2922">
        <v>1</v>
      </c>
      <c r="M316" s="2922"/>
      <c r="N316" s="2928">
        <f>+TRUNC((+SUM(G316:M317)),2)</f>
        <v>12</v>
      </c>
      <c r="O316" s="578">
        <f>SUM(G316:N316)</f>
        <v>24</v>
      </c>
    </row>
    <row r="317" spans="1:18" ht="49.5" x14ac:dyDescent="0.15">
      <c r="A317" s="2968"/>
      <c r="B317" s="2953"/>
      <c r="C317" s="1947" t="s">
        <v>341</v>
      </c>
      <c r="D317" s="1901"/>
      <c r="E317" s="1897" t="s">
        <v>1064</v>
      </c>
      <c r="F317" s="1899"/>
      <c r="G317" s="2921"/>
      <c r="H317" s="2921"/>
      <c r="I317" s="2921"/>
      <c r="J317" s="2921"/>
      <c r="K317" s="2921"/>
      <c r="L317" s="2921"/>
      <c r="M317" s="2921"/>
      <c r="N317" s="2927"/>
      <c r="O317" s="579">
        <f>+O316</f>
        <v>24</v>
      </c>
    </row>
    <row r="318" spans="1:18" ht="18.75" hidden="1" x14ac:dyDescent="0.15">
      <c r="A318" s="2968"/>
      <c r="B318" s="2953"/>
      <c r="C318" s="1904" t="s">
        <v>342</v>
      </c>
      <c r="D318" s="1942">
        <v>4.8899999999999997</v>
      </c>
      <c r="E318" s="1894" t="s">
        <v>1064</v>
      </c>
      <c r="F318" s="1899"/>
      <c r="G318" s="2920"/>
      <c r="H318" s="2920"/>
      <c r="I318" s="2920"/>
      <c r="J318" s="2920"/>
      <c r="K318" s="2920"/>
      <c r="L318" s="2920"/>
      <c r="M318" s="2920"/>
      <c r="N318" s="2929">
        <f>+TRUNC((+SUM(G318:M319)),2)</f>
        <v>0</v>
      </c>
      <c r="O318" s="578">
        <f>SUM(G318:N318)</f>
        <v>0</v>
      </c>
    </row>
    <row r="319" spans="1:18" ht="49.5" hidden="1" x14ac:dyDescent="0.15">
      <c r="A319" s="2968"/>
      <c r="B319" s="2953"/>
      <c r="C319" s="1947" t="s">
        <v>943</v>
      </c>
      <c r="D319" s="1901"/>
      <c r="E319" s="1897" t="s">
        <v>1064</v>
      </c>
      <c r="F319" s="1899"/>
      <c r="G319" s="2921"/>
      <c r="H319" s="2921"/>
      <c r="I319" s="2921"/>
      <c r="J319" s="2921"/>
      <c r="K319" s="2921"/>
      <c r="L319" s="2921"/>
      <c r="M319" s="2921"/>
      <c r="N319" s="2929"/>
      <c r="O319" s="579">
        <f>+O318</f>
        <v>0</v>
      </c>
    </row>
    <row r="320" spans="1:18" ht="18.75" hidden="1" x14ac:dyDescent="0.15">
      <c r="A320" s="2968"/>
      <c r="B320" s="2953"/>
      <c r="C320" s="1904" t="s">
        <v>342</v>
      </c>
      <c r="D320" s="1942">
        <v>3.99</v>
      </c>
      <c r="E320" s="1894" t="s">
        <v>1064</v>
      </c>
      <c r="F320" s="1899"/>
      <c r="G320" s="2920"/>
      <c r="H320" s="2920"/>
      <c r="I320" s="2920"/>
      <c r="J320" s="2920"/>
      <c r="K320" s="2920"/>
      <c r="L320" s="2920"/>
      <c r="M320" s="2920"/>
      <c r="N320" s="2929">
        <f>+TRUNC((+SUM(G320:M321)),2)</f>
        <v>0</v>
      </c>
      <c r="O320" s="578">
        <f>SUM(G320:N320)</f>
        <v>0</v>
      </c>
    </row>
    <row r="321" spans="1:15" ht="49.5" hidden="1" x14ac:dyDescent="0.15">
      <c r="A321" s="2968"/>
      <c r="B321" s="2953"/>
      <c r="C321" s="1947" t="s">
        <v>942</v>
      </c>
      <c r="D321" s="1901"/>
      <c r="E321" s="1897" t="s">
        <v>1064</v>
      </c>
      <c r="F321" s="1899"/>
      <c r="G321" s="2921"/>
      <c r="H321" s="2921"/>
      <c r="I321" s="2921"/>
      <c r="J321" s="2921"/>
      <c r="K321" s="2921"/>
      <c r="L321" s="2921"/>
      <c r="M321" s="2921"/>
      <c r="N321" s="2929"/>
      <c r="O321" s="579">
        <f>+O320</f>
        <v>0</v>
      </c>
    </row>
    <row r="322" spans="1:15" ht="18.75" hidden="1" x14ac:dyDescent="0.15">
      <c r="A322" s="2968"/>
      <c r="B322" s="2953"/>
      <c r="C322" s="1904" t="s">
        <v>342</v>
      </c>
      <c r="D322" s="1942">
        <v>3.74</v>
      </c>
      <c r="E322" s="1894" t="s">
        <v>1064</v>
      </c>
      <c r="F322" s="1899"/>
      <c r="G322" s="2920"/>
      <c r="H322" s="2920"/>
      <c r="I322" s="2920"/>
      <c r="J322" s="2920"/>
      <c r="K322" s="2920"/>
      <c r="L322" s="2920"/>
      <c r="M322" s="2920"/>
      <c r="N322" s="2929">
        <f>+TRUNC((+SUM(G322:M323)),2)</f>
        <v>0</v>
      </c>
      <c r="O322" s="578">
        <f>SUM(G322:N322)</f>
        <v>0</v>
      </c>
    </row>
    <row r="323" spans="1:15" ht="49.5" hidden="1" x14ac:dyDescent="0.15">
      <c r="A323" s="2968"/>
      <c r="B323" s="2953"/>
      <c r="C323" s="1947" t="s">
        <v>944</v>
      </c>
      <c r="D323" s="1901"/>
      <c r="E323" s="1897" t="s">
        <v>1064</v>
      </c>
      <c r="F323" s="1899"/>
      <c r="G323" s="2921"/>
      <c r="H323" s="2921"/>
      <c r="I323" s="2921"/>
      <c r="J323" s="2921"/>
      <c r="K323" s="2921"/>
      <c r="L323" s="2921"/>
      <c r="M323" s="2921"/>
      <c r="N323" s="2929"/>
      <c r="O323" s="579">
        <f>+O322</f>
        <v>0</v>
      </c>
    </row>
    <row r="324" spans="1:15" ht="18.75" hidden="1" x14ac:dyDescent="0.15">
      <c r="A324" s="2968"/>
      <c r="B324" s="2953"/>
      <c r="C324" s="1904" t="s">
        <v>342</v>
      </c>
      <c r="D324" s="1942">
        <v>3.66</v>
      </c>
      <c r="E324" s="1894" t="s">
        <v>1064</v>
      </c>
      <c r="F324" s="1899"/>
      <c r="G324" s="2920"/>
      <c r="H324" s="2920"/>
      <c r="I324" s="2920"/>
      <c r="J324" s="2920"/>
      <c r="K324" s="2920"/>
      <c r="L324" s="2920"/>
      <c r="M324" s="2920"/>
      <c r="N324" s="2929">
        <f>+TRUNC((+SUM(G324:M325)),2)</f>
        <v>0</v>
      </c>
      <c r="O324" s="578">
        <f>SUM(G324:N324)</f>
        <v>0</v>
      </c>
    </row>
    <row r="325" spans="1:15" ht="49.5" hidden="1" x14ac:dyDescent="0.15">
      <c r="A325" s="2968"/>
      <c r="B325" s="2953"/>
      <c r="C325" s="1947" t="s">
        <v>2250</v>
      </c>
      <c r="D325" s="1901"/>
      <c r="E325" s="1897" t="s">
        <v>1064</v>
      </c>
      <c r="F325" s="1899"/>
      <c r="G325" s="2921"/>
      <c r="H325" s="2921"/>
      <c r="I325" s="2921"/>
      <c r="J325" s="2921"/>
      <c r="K325" s="2921"/>
      <c r="L325" s="2921"/>
      <c r="M325" s="2921"/>
      <c r="N325" s="2929"/>
      <c r="O325" s="579">
        <f>+O324</f>
        <v>0</v>
      </c>
    </row>
    <row r="326" spans="1:15" ht="18.75" hidden="1" x14ac:dyDescent="0.15">
      <c r="A326" s="2968"/>
      <c r="B326" s="2953"/>
      <c r="C326" s="1904" t="s">
        <v>342</v>
      </c>
      <c r="D326" s="1942">
        <v>3.5</v>
      </c>
      <c r="E326" s="1894" t="s">
        <v>1064</v>
      </c>
      <c r="F326" s="1899"/>
      <c r="G326" s="2920"/>
      <c r="H326" s="2920"/>
      <c r="I326" s="2920"/>
      <c r="J326" s="2920"/>
      <c r="K326" s="2920"/>
      <c r="L326" s="2920"/>
      <c r="M326" s="2920"/>
      <c r="N326" s="2929">
        <f>+TRUNC((+SUM(G326:M327)),2)</f>
        <v>0</v>
      </c>
      <c r="O326" s="578">
        <f>SUM(G326:N326)</f>
        <v>0</v>
      </c>
    </row>
    <row r="327" spans="1:15" ht="49.5" hidden="1" x14ac:dyDescent="0.15">
      <c r="A327" s="2968"/>
      <c r="B327" s="2953"/>
      <c r="C327" s="1947" t="s">
        <v>401</v>
      </c>
      <c r="D327" s="1902"/>
      <c r="E327" s="1897" t="s">
        <v>1064</v>
      </c>
      <c r="F327" s="1899"/>
      <c r="G327" s="2921"/>
      <c r="H327" s="2921"/>
      <c r="I327" s="2921"/>
      <c r="J327" s="2921"/>
      <c r="K327" s="2921"/>
      <c r="L327" s="2921"/>
      <c r="M327" s="2921"/>
      <c r="N327" s="2929"/>
      <c r="O327" s="579">
        <f>+O326</f>
        <v>0</v>
      </c>
    </row>
    <row r="328" spans="1:15" ht="18.75" hidden="1" x14ac:dyDescent="0.15">
      <c r="A328" s="2968"/>
      <c r="B328" s="2953"/>
      <c r="C328" s="1904" t="s">
        <v>342</v>
      </c>
      <c r="D328" s="1942">
        <v>3.5</v>
      </c>
      <c r="E328" s="1894" t="s">
        <v>1064</v>
      </c>
      <c r="F328" s="1899"/>
      <c r="G328" s="2920"/>
      <c r="H328" s="2920"/>
      <c r="I328" s="2920"/>
      <c r="J328" s="2920"/>
      <c r="K328" s="2920"/>
      <c r="L328" s="2920"/>
      <c r="M328" s="2920"/>
      <c r="N328" s="2929">
        <f>+TRUNC((+SUM(G328:M329)),2)</f>
        <v>0</v>
      </c>
      <c r="O328" s="578">
        <f>SUM(G328:N328)</f>
        <v>0</v>
      </c>
    </row>
    <row r="329" spans="1:15" ht="49.5" hidden="1" x14ac:dyDescent="0.15">
      <c r="A329" s="2968"/>
      <c r="B329" s="2953"/>
      <c r="C329" s="1947" t="s">
        <v>394</v>
      </c>
      <c r="D329" s="1902"/>
      <c r="E329" s="1897" t="s">
        <v>1064</v>
      </c>
      <c r="F329" s="1899"/>
      <c r="G329" s="2921"/>
      <c r="H329" s="2921"/>
      <c r="I329" s="2921"/>
      <c r="J329" s="2921"/>
      <c r="K329" s="2921"/>
      <c r="L329" s="2921"/>
      <c r="M329" s="2921"/>
      <c r="N329" s="2929"/>
      <c r="O329" s="579">
        <f>+O328</f>
        <v>0</v>
      </c>
    </row>
    <row r="330" spans="1:15" ht="18.75" hidden="1" x14ac:dyDescent="0.15">
      <c r="A330" s="2968"/>
      <c r="B330" s="2953"/>
      <c r="C330" s="1904" t="s">
        <v>342</v>
      </c>
      <c r="D330" s="1942">
        <v>3.57</v>
      </c>
      <c r="E330" s="1894" t="s">
        <v>1064</v>
      </c>
      <c r="F330" s="1899"/>
      <c r="G330" s="2920"/>
      <c r="H330" s="2920"/>
      <c r="I330" s="2920"/>
      <c r="J330" s="2920"/>
      <c r="K330" s="2920"/>
      <c r="L330" s="2920"/>
      <c r="M330" s="2920"/>
      <c r="N330" s="2929">
        <f>+TRUNC((+SUM(G330:M331)),2)</f>
        <v>0</v>
      </c>
      <c r="O330" s="578">
        <f>SUM(G330:N330)</f>
        <v>0</v>
      </c>
    </row>
    <row r="331" spans="1:15" ht="49.5" hidden="1" x14ac:dyDescent="0.15">
      <c r="A331" s="2968"/>
      <c r="B331" s="2953"/>
      <c r="C331" s="1947" t="s">
        <v>941</v>
      </c>
      <c r="D331" s="1902"/>
      <c r="E331" s="1897" t="s">
        <v>1064</v>
      </c>
      <c r="F331" s="1899"/>
      <c r="G331" s="2921"/>
      <c r="H331" s="2921"/>
      <c r="I331" s="2921"/>
      <c r="J331" s="2921"/>
      <c r="K331" s="2921"/>
      <c r="L331" s="2921"/>
      <c r="M331" s="2921"/>
      <c r="N331" s="2929"/>
      <c r="O331" s="579">
        <f>+O330</f>
        <v>0</v>
      </c>
    </row>
    <row r="332" spans="1:15" ht="18.75" hidden="1" x14ac:dyDescent="0.15">
      <c r="A332" s="2968"/>
      <c r="B332" s="2953"/>
      <c r="C332" s="1904" t="s">
        <v>342</v>
      </c>
      <c r="D332" s="1942">
        <v>2.12</v>
      </c>
      <c r="E332" s="1894" t="s">
        <v>1064</v>
      </c>
      <c r="F332" s="1899"/>
      <c r="G332" s="2920"/>
      <c r="H332" s="2920"/>
      <c r="I332" s="2920"/>
      <c r="J332" s="2920"/>
      <c r="K332" s="2920"/>
      <c r="L332" s="2920"/>
      <c r="M332" s="2920"/>
      <c r="N332" s="2929">
        <f>+TRUNC((+SUM(G332:M333)),2)</f>
        <v>0</v>
      </c>
      <c r="O332" s="578">
        <f>SUM(G332:N332)</f>
        <v>0</v>
      </c>
    </row>
    <row r="333" spans="1:15" ht="49.5" hidden="1" x14ac:dyDescent="0.15">
      <c r="A333" s="2968"/>
      <c r="B333" s="2953"/>
      <c r="C333" s="1947" t="s">
        <v>761</v>
      </c>
      <c r="D333" s="1901"/>
      <c r="E333" s="1897" t="s">
        <v>1064</v>
      </c>
      <c r="F333" s="1899"/>
      <c r="G333" s="2921"/>
      <c r="H333" s="2921"/>
      <c r="I333" s="2921"/>
      <c r="J333" s="2921"/>
      <c r="K333" s="2921"/>
      <c r="L333" s="2921"/>
      <c r="M333" s="2921"/>
      <c r="N333" s="2929"/>
      <c r="O333" s="579">
        <f>+O332</f>
        <v>0</v>
      </c>
    </row>
    <row r="334" spans="1:15" ht="18.75" hidden="1" x14ac:dyDescent="0.15">
      <c r="A334" s="2968"/>
      <c r="B334" s="2953"/>
      <c r="C334" s="1904" t="s">
        <v>342</v>
      </c>
      <c r="D334" s="1942">
        <v>1.0900000000000001</v>
      </c>
      <c r="E334" s="1894" t="s">
        <v>1064</v>
      </c>
      <c r="F334" s="1899"/>
      <c r="G334" s="2920"/>
      <c r="H334" s="2920"/>
      <c r="I334" s="2920"/>
      <c r="J334" s="2920"/>
      <c r="K334" s="2920"/>
      <c r="L334" s="2920"/>
      <c r="M334" s="2920"/>
      <c r="N334" s="2929">
        <f>+TRUNC((+SUM(G334:M335)),2)</f>
        <v>0</v>
      </c>
      <c r="O334" s="578">
        <f>SUM(G334:N334)</f>
        <v>0</v>
      </c>
    </row>
    <row r="335" spans="1:15" ht="49.5" hidden="1" x14ac:dyDescent="0.15">
      <c r="A335" s="2968"/>
      <c r="B335" s="2953"/>
      <c r="C335" s="1947" t="s">
        <v>343</v>
      </c>
      <c r="D335" s="1901"/>
      <c r="E335" s="1897" t="s">
        <v>1064</v>
      </c>
      <c r="F335" s="1899"/>
      <c r="G335" s="2921"/>
      <c r="H335" s="2921"/>
      <c r="I335" s="2921"/>
      <c r="J335" s="2921"/>
      <c r="K335" s="2921"/>
      <c r="L335" s="2921"/>
      <c r="M335" s="2921"/>
      <c r="N335" s="2929"/>
      <c r="O335" s="579">
        <f>+O334</f>
        <v>0</v>
      </c>
    </row>
    <row r="336" spans="1:15" ht="18.75" hidden="1" x14ac:dyDescent="0.15">
      <c r="A336" s="2968"/>
      <c r="B336" s="2953"/>
      <c r="C336" s="1904" t="s">
        <v>342</v>
      </c>
      <c r="D336" s="1942">
        <v>1.87</v>
      </c>
      <c r="E336" s="1894" t="s">
        <v>1064</v>
      </c>
      <c r="F336" s="1899"/>
      <c r="G336" s="2920"/>
      <c r="H336" s="2920"/>
      <c r="I336" s="2920"/>
      <c r="J336" s="2920"/>
      <c r="K336" s="2920"/>
      <c r="L336" s="2920"/>
      <c r="M336" s="2920"/>
      <c r="N336" s="2929">
        <f>+TRUNC((+SUM(G336:M337)),2)</f>
        <v>0</v>
      </c>
      <c r="O336" s="578">
        <f>SUM(G336:N336)</f>
        <v>0</v>
      </c>
    </row>
    <row r="337" spans="1:15" ht="49.5" hidden="1" x14ac:dyDescent="0.15">
      <c r="A337" s="2968"/>
      <c r="B337" s="2953"/>
      <c r="C337" s="1947" t="s">
        <v>343</v>
      </c>
      <c r="D337" s="1901"/>
      <c r="E337" s="1897" t="s">
        <v>1064</v>
      </c>
      <c r="F337" s="1899"/>
      <c r="G337" s="2921"/>
      <c r="H337" s="2921"/>
      <c r="I337" s="2921"/>
      <c r="J337" s="2921"/>
      <c r="K337" s="2921"/>
      <c r="L337" s="2921"/>
      <c r="M337" s="2921"/>
      <c r="N337" s="2929"/>
      <c r="O337" s="579">
        <f>+O336</f>
        <v>0</v>
      </c>
    </row>
    <row r="338" spans="1:15" ht="18.75" hidden="1" x14ac:dyDescent="0.15">
      <c r="A338" s="2968"/>
      <c r="B338" s="2953"/>
      <c r="C338" s="1904" t="s">
        <v>342</v>
      </c>
      <c r="D338" s="1942">
        <v>1.1499999999999999</v>
      </c>
      <c r="E338" s="1894" t="s">
        <v>1064</v>
      </c>
      <c r="F338" s="1899"/>
      <c r="G338" s="2920"/>
      <c r="H338" s="2920"/>
      <c r="I338" s="2920"/>
      <c r="J338" s="2920"/>
      <c r="K338" s="2920"/>
      <c r="L338" s="2920"/>
      <c r="M338" s="2920"/>
      <c r="N338" s="2929">
        <f>+TRUNC((+SUM(G338:M339)),2)</f>
        <v>0</v>
      </c>
      <c r="O338" s="578">
        <f>SUM(G338:N338)</f>
        <v>0</v>
      </c>
    </row>
    <row r="339" spans="1:15" ht="49.5" hidden="1" x14ac:dyDescent="0.15">
      <c r="A339" s="2968"/>
      <c r="B339" s="2953"/>
      <c r="C339" s="1947" t="s">
        <v>343</v>
      </c>
      <c r="D339" s="1901"/>
      <c r="E339" s="1897" t="s">
        <v>1064</v>
      </c>
      <c r="F339" s="1899"/>
      <c r="G339" s="2921"/>
      <c r="H339" s="2921"/>
      <c r="I339" s="2921"/>
      <c r="J339" s="2921"/>
      <c r="K339" s="2921"/>
      <c r="L339" s="2921"/>
      <c r="M339" s="2921"/>
      <c r="N339" s="2929"/>
      <c r="O339" s="579">
        <f>+O338</f>
        <v>0</v>
      </c>
    </row>
    <row r="340" spans="1:15" ht="18.75" hidden="1" x14ac:dyDescent="0.15">
      <c r="A340" s="2968"/>
      <c r="B340" s="2953"/>
      <c r="C340" s="1904" t="s">
        <v>342</v>
      </c>
      <c r="D340" s="1942">
        <v>1.38</v>
      </c>
      <c r="E340" s="1894" t="s">
        <v>1064</v>
      </c>
      <c r="F340" s="1899"/>
      <c r="G340" s="2920"/>
      <c r="H340" s="2920"/>
      <c r="I340" s="2920"/>
      <c r="J340" s="2920"/>
      <c r="K340" s="2920"/>
      <c r="L340" s="2920"/>
      <c r="M340" s="2920"/>
      <c r="N340" s="2929">
        <f>+TRUNC((+SUM(G340:M341)),2)</f>
        <v>0</v>
      </c>
      <c r="O340" s="578">
        <f>SUM(G340:N340)</f>
        <v>0</v>
      </c>
    </row>
    <row r="341" spans="1:15" ht="49.5" hidden="1" x14ac:dyDescent="0.15">
      <c r="A341" s="2968"/>
      <c r="B341" s="2953"/>
      <c r="C341" s="1947" t="s">
        <v>343</v>
      </c>
      <c r="D341" s="1901"/>
      <c r="E341" s="1897" t="s">
        <v>1064</v>
      </c>
      <c r="F341" s="1899"/>
      <c r="G341" s="2921"/>
      <c r="H341" s="2921"/>
      <c r="I341" s="2921"/>
      <c r="J341" s="2921"/>
      <c r="K341" s="2921"/>
      <c r="L341" s="2921"/>
      <c r="M341" s="2921"/>
      <c r="N341" s="2929"/>
      <c r="O341" s="579">
        <f>+O340</f>
        <v>0</v>
      </c>
    </row>
    <row r="342" spans="1:15" ht="18.75" hidden="1" x14ac:dyDescent="0.15">
      <c r="A342" s="2968"/>
      <c r="B342" s="2953"/>
      <c r="C342" s="1904" t="s">
        <v>342</v>
      </c>
      <c r="D342" s="1942">
        <v>2.61</v>
      </c>
      <c r="E342" s="1894" t="s">
        <v>1064</v>
      </c>
      <c r="F342" s="1899"/>
      <c r="G342" s="2920"/>
      <c r="H342" s="2920"/>
      <c r="I342" s="2920"/>
      <c r="J342" s="2920"/>
      <c r="K342" s="2920"/>
      <c r="L342" s="2920"/>
      <c r="M342" s="2920"/>
      <c r="N342" s="2929">
        <f>+TRUNC((+SUM(G342:M343)),2)</f>
        <v>0</v>
      </c>
      <c r="O342" s="578">
        <f>SUM(G342:N342)</f>
        <v>0</v>
      </c>
    </row>
    <row r="343" spans="1:15" ht="49.5" hidden="1" x14ac:dyDescent="0.15">
      <c r="A343" s="2968"/>
      <c r="B343" s="2953"/>
      <c r="C343" s="1947" t="s">
        <v>343</v>
      </c>
      <c r="D343" s="2282"/>
      <c r="E343" s="1897" t="s">
        <v>1064</v>
      </c>
      <c r="F343" s="1899"/>
      <c r="G343" s="2921"/>
      <c r="H343" s="2921"/>
      <c r="I343" s="2921"/>
      <c r="J343" s="2921"/>
      <c r="K343" s="2921"/>
      <c r="L343" s="2921"/>
      <c r="M343" s="2921"/>
      <c r="N343" s="2929"/>
      <c r="O343" s="579">
        <f>+O342</f>
        <v>0</v>
      </c>
    </row>
    <row r="344" spans="1:15" ht="18.75" hidden="1" x14ac:dyDescent="0.15">
      <c r="A344" s="2968"/>
      <c r="B344" s="2953"/>
      <c r="C344" s="1904" t="s">
        <v>342</v>
      </c>
      <c r="D344" s="1942">
        <v>3.87</v>
      </c>
      <c r="E344" s="1894" t="s">
        <v>1064</v>
      </c>
      <c r="F344" s="1899"/>
      <c r="G344" s="2920"/>
      <c r="H344" s="2920"/>
      <c r="I344" s="2920"/>
      <c r="J344" s="2920"/>
      <c r="K344" s="2920"/>
      <c r="L344" s="2920"/>
      <c r="M344" s="2920"/>
      <c r="N344" s="2929">
        <f>+TRUNC((+SUM(G344:M345)),2)</f>
        <v>0</v>
      </c>
      <c r="O344" s="578">
        <f>SUM(G344:N344)</f>
        <v>0</v>
      </c>
    </row>
    <row r="345" spans="1:15" ht="49.5" hidden="1" x14ac:dyDescent="0.15">
      <c r="A345" s="2968"/>
      <c r="B345" s="2953"/>
      <c r="C345" s="1947" t="s">
        <v>343</v>
      </c>
      <c r="D345" s="1901"/>
      <c r="E345" s="1897" t="s">
        <v>1064</v>
      </c>
      <c r="F345" s="1899"/>
      <c r="G345" s="2921"/>
      <c r="H345" s="2921"/>
      <c r="I345" s="2921"/>
      <c r="J345" s="2921"/>
      <c r="K345" s="2921"/>
      <c r="L345" s="2921"/>
      <c r="M345" s="2921"/>
      <c r="N345" s="2929"/>
      <c r="O345" s="579">
        <f>+O344</f>
        <v>0</v>
      </c>
    </row>
    <row r="346" spans="1:15" ht="18.75" hidden="1" x14ac:dyDescent="0.15">
      <c r="A346" s="2968"/>
      <c r="B346" s="2953"/>
      <c r="C346" s="1904" t="s">
        <v>342</v>
      </c>
      <c r="D346" s="1942">
        <v>0.7</v>
      </c>
      <c r="E346" s="1894" t="s">
        <v>1064</v>
      </c>
      <c r="F346" s="1899"/>
      <c r="G346" s="2920"/>
      <c r="H346" s="2920"/>
      <c r="I346" s="2920"/>
      <c r="J346" s="2920"/>
      <c r="K346" s="2920"/>
      <c r="L346" s="2920"/>
      <c r="M346" s="2920"/>
      <c r="N346" s="2929">
        <f>+TRUNC((+SUM(G346:M347)),2)</f>
        <v>0</v>
      </c>
      <c r="O346" s="578">
        <f>SUM(G346:N346)</f>
        <v>0</v>
      </c>
    </row>
    <row r="347" spans="1:15" ht="49.5" hidden="1" x14ac:dyDescent="0.15">
      <c r="A347" s="2968"/>
      <c r="B347" s="2953"/>
      <c r="C347" s="1947" t="s">
        <v>2250</v>
      </c>
      <c r="D347" s="1901"/>
      <c r="E347" s="1897" t="s">
        <v>1064</v>
      </c>
      <c r="F347" s="1899"/>
      <c r="G347" s="2921"/>
      <c r="H347" s="2921"/>
      <c r="I347" s="2921"/>
      <c r="J347" s="2921"/>
      <c r="K347" s="2921"/>
      <c r="L347" s="2921"/>
      <c r="M347" s="2921"/>
      <c r="N347" s="2929"/>
      <c r="O347" s="579">
        <f>+O346</f>
        <v>0</v>
      </c>
    </row>
    <row r="348" spans="1:15" ht="26.25" thickBot="1" x14ac:dyDescent="0.2">
      <c r="A348" s="2968"/>
      <c r="B348" s="2954"/>
      <c r="C348" s="2934" t="s">
        <v>1074</v>
      </c>
      <c r="D348" s="2935"/>
      <c r="E348" s="1882" t="s">
        <v>1064</v>
      </c>
      <c r="F348" s="1881"/>
      <c r="G348" s="1890" cm="1">
        <f t="array" ref="G348">SUMPRODUCT(($D316:$D347)*(G316:G347))</f>
        <v>5.84</v>
      </c>
      <c r="H348" s="1890" cm="1">
        <f t="array" ref="H348">SUMPRODUCT(($D316:$D347)*(H316:H347))</f>
        <v>5.84</v>
      </c>
      <c r="I348" s="1890" cm="1">
        <f t="array" ref="I348">SUMPRODUCT(($D316:$D347)*(I316:I347))</f>
        <v>11.68</v>
      </c>
      <c r="J348" s="1890" cm="1">
        <f t="array" ref="J348">SUMPRODUCT(($D316:$D347)*(J316:J347))</f>
        <v>5.84</v>
      </c>
      <c r="K348" s="1890" cm="1">
        <f t="array" ref="K348">SUMPRODUCT(($D316:$D347)*(K316:K347))</f>
        <v>2.92</v>
      </c>
      <c r="L348" s="1890" cm="1">
        <f t="array" ref="L348">SUMPRODUCT(($D316:$D347)*(L316:L347))</f>
        <v>2.92</v>
      </c>
      <c r="M348" s="1890"/>
      <c r="N348" s="1879">
        <f>+TRUNC(+SUM(G348:M348),2)</f>
        <v>35.04</v>
      </c>
      <c r="O348" s="578">
        <f>SUM(G348:N348)</f>
        <v>70.08</v>
      </c>
    </row>
    <row r="349" spans="1:15" ht="19.5" hidden="1" thickBot="1" x14ac:dyDescent="0.2">
      <c r="A349" s="2968"/>
      <c r="B349" s="2957" t="s">
        <v>2740</v>
      </c>
      <c r="C349" s="1904" t="s">
        <v>342</v>
      </c>
      <c r="D349" s="1942">
        <v>1.1299999999999999</v>
      </c>
      <c r="E349" s="1894" t="s">
        <v>1064</v>
      </c>
      <c r="F349" s="1899"/>
      <c r="G349" s="2922"/>
      <c r="H349" s="2922"/>
      <c r="I349" s="2922"/>
      <c r="J349" s="2922"/>
      <c r="K349" s="2922"/>
      <c r="L349" s="2922"/>
      <c r="M349" s="2922"/>
      <c r="N349" s="2929">
        <f>+TRUNC((+SUM(G349:M350)),2)</f>
        <v>0</v>
      </c>
      <c r="O349" s="578">
        <f>SUM(G349:N349)</f>
        <v>0</v>
      </c>
    </row>
    <row r="350" spans="1:15" ht="50.25" hidden="1" thickBot="1" x14ac:dyDescent="0.2">
      <c r="A350" s="2968"/>
      <c r="B350" s="2958"/>
      <c r="C350" s="1947" t="s">
        <v>2249</v>
      </c>
      <c r="D350" s="1901"/>
      <c r="E350" s="1897" t="s">
        <v>1064</v>
      </c>
      <c r="F350" s="1899"/>
      <c r="G350" s="2921"/>
      <c r="H350" s="2921"/>
      <c r="I350" s="2921"/>
      <c r="J350" s="2921"/>
      <c r="K350" s="2921"/>
      <c r="L350" s="2921"/>
      <c r="M350" s="2921"/>
      <c r="N350" s="2929"/>
      <c r="O350" s="579">
        <f>+O349</f>
        <v>0</v>
      </c>
    </row>
    <row r="351" spans="1:15" ht="19.5" hidden="1" thickBot="1" x14ac:dyDescent="0.2">
      <c r="A351" s="2968"/>
      <c r="B351" s="2958"/>
      <c r="C351" s="1904" t="s">
        <v>342</v>
      </c>
      <c r="D351" s="1942">
        <v>1.1299999999999999</v>
      </c>
      <c r="E351" s="1894" t="s">
        <v>1064</v>
      </c>
      <c r="F351" s="1899"/>
      <c r="G351" s="2920"/>
      <c r="H351" s="2920"/>
      <c r="I351" s="2920"/>
      <c r="J351" s="2920"/>
      <c r="K351" s="2920"/>
      <c r="L351" s="2920"/>
      <c r="M351" s="2920"/>
      <c r="N351" s="2929">
        <f>+TRUNC((+SUM(G351:M352)),2)</f>
        <v>0</v>
      </c>
      <c r="O351" s="578">
        <f>SUM(G351:N351)</f>
        <v>0</v>
      </c>
    </row>
    <row r="352" spans="1:15" ht="50.25" hidden="1" thickBot="1" x14ac:dyDescent="0.2">
      <c r="A352" s="2968"/>
      <c r="B352" s="2958"/>
      <c r="C352" s="1947" t="s">
        <v>2739</v>
      </c>
      <c r="D352" s="1901"/>
      <c r="E352" s="1897" t="s">
        <v>1064</v>
      </c>
      <c r="F352" s="1899"/>
      <c r="G352" s="2921"/>
      <c r="H352" s="2921"/>
      <c r="I352" s="2921"/>
      <c r="J352" s="2921"/>
      <c r="K352" s="2921"/>
      <c r="L352" s="2921"/>
      <c r="M352" s="2921"/>
      <c r="N352" s="2929"/>
      <c r="O352" s="579">
        <f>+O351</f>
        <v>0</v>
      </c>
    </row>
    <row r="353" spans="1:15" ht="19.5" hidden="1" thickBot="1" x14ac:dyDescent="0.2">
      <c r="A353" s="2968"/>
      <c r="B353" s="2958"/>
      <c r="C353" s="1904" t="s">
        <v>342</v>
      </c>
      <c r="D353" s="1942">
        <v>1.44</v>
      </c>
      <c r="E353" s="1894" t="s">
        <v>1064</v>
      </c>
      <c r="F353" s="1899"/>
      <c r="G353" s="2920"/>
      <c r="H353" s="2920"/>
      <c r="I353" s="2920"/>
      <c r="J353" s="2920"/>
      <c r="K353" s="2920"/>
      <c r="L353" s="2920"/>
      <c r="M353" s="2920"/>
      <c r="N353" s="2929">
        <f>+TRUNC((+SUM(G353:M354)),2)</f>
        <v>0</v>
      </c>
      <c r="O353" s="578">
        <f>SUM(G353:N353)</f>
        <v>0</v>
      </c>
    </row>
    <row r="354" spans="1:15" ht="50.25" hidden="1" thickBot="1" x14ac:dyDescent="0.2">
      <c r="A354" s="2968"/>
      <c r="B354" s="2958"/>
      <c r="C354" s="1947" t="s">
        <v>2248</v>
      </c>
      <c r="D354" s="1901"/>
      <c r="E354" s="1897" t="s">
        <v>1064</v>
      </c>
      <c r="F354" s="1899"/>
      <c r="G354" s="2921"/>
      <c r="H354" s="2921"/>
      <c r="I354" s="2921"/>
      <c r="J354" s="2921"/>
      <c r="K354" s="2921"/>
      <c r="L354" s="2921"/>
      <c r="M354" s="2921"/>
      <c r="N354" s="2929"/>
      <c r="O354" s="579">
        <f>+O353</f>
        <v>0</v>
      </c>
    </row>
    <row r="355" spans="1:15" ht="26.25" hidden="1" thickBot="1" x14ac:dyDescent="0.2">
      <c r="A355" s="2968"/>
      <c r="B355" s="2959"/>
      <c r="C355" s="2934" t="s">
        <v>1074</v>
      </c>
      <c r="D355" s="2935"/>
      <c r="E355" s="1882" t="s">
        <v>1064</v>
      </c>
      <c r="F355" s="1881"/>
      <c r="G355" s="1890" cm="1">
        <f t="array" ref="G355">SUMPRODUCT(($D349:$D354)*(G349:G354))</f>
        <v>0</v>
      </c>
      <c r="H355" s="1890" cm="1">
        <f t="array" ref="H355">SUMPRODUCT(($D349:$D354)*(H349:H354))</f>
        <v>0</v>
      </c>
      <c r="I355" s="1890" cm="1">
        <f t="array" ref="I355">SUMPRODUCT(($D349:$D354)*(I349:I354))</f>
        <v>0</v>
      </c>
      <c r="J355" s="1890" cm="1">
        <f t="array" ref="J355">SUMPRODUCT(($D349:$D354)*(J349:J354))</f>
        <v>0</v>
      </c>
      <c r="K355" s="1890" cm="1">
        <f t="array" ref="K355">SUMPRODUCT(($D349:$D354)*(K349:K354))</f>
        <v>0</v>
      </c>
      <c r="L355" s="1890" cm="1">
        <f t="array" ref="L355">SUMPRODUCT(($D349:$D354)*(L349:L354))</f>
        <v>0</v>
      </c>
      <c r="M355" s="1890"/>
      <c r="N355" s="1879">
        <f>+TRUNC(+SUM(G355:M355),2)</f>
        <v>0</v>
      </c>
      <c r="O355" s="578">
        <f>SUM(G355:N355)</f>
        <v>0</v>
      </c>
    </row>
    <row r="356" spans="1:15" ht="19.5" hidden="1" thickBot="1" x14ac:dyDescent="0.2">
      <c r="A356" s="2968"/>
      <c r="B356" s="2952" t="s">
        <v>2247</v>
      </c>
      <c r="C356" s="1904" t="s">
        <v>342</v>
      </c>
      <c r="D356" s="1942">
        <v>0.7</v>
      </c>
      <c r="E356" s="1894" t="s">
        <v>1064</v>
      </c>
      <c r="F356" s="1899"/>
      <c r="G356" s="2922"/>
      <c r="H356" s="2922"/>
      <c r="I356" s="2922"/>
      <c r="J356" s="2922"/>
      <c r="K356" s="2922"/>
      <c r="L356" s="2922"/>
      <c r="M356" s="2922"/>
      <c r="N356" s="2928">
        <f>+TRUNC((+SUM(G356:M357)),2)</f>
        <v>0</v>
      </c>
      <c r="O356" s="578">
        <f>SUM(G356:N356)</f>
        <v>0</v>
      </c>
    </row>
    <row r="357" spans="1:15" ht="50.25" hidden="1" thickBot="1" x14ac:dyDescent="0.2">
      <c r="A357" s="2968"/>
      <c r="B357" s="2953"/>
      <c r="C357" s="1950" t="s">
        <v>2246</v>
      </c>
      <c r="D357" s="1901"/>
      <c r="E357" s="1897" t="s">
        <v>1064</v>
      </c>
      <c r="F357" s="1899"/>
      <c r="G357" s="2921"/>
      <c r="H357" s="2921"/>
      <c r="I357" s="2921"/>
      <c r="J357" s="2921"/>
      <c r="K357" s="2921"/>
      <c r="L357" s="2921"/>
      <c r="M357" s="2921"/>
      <c r="N357" s="2927"/>
      <c r="O357" s="579">
        <f>+O356</f>
        <v>0</v>
      </c>
    </row>
    <row r="358" spans="1:15" ht="19.5" hidden="1" thickBot="1" x14ac:dyDescent="0.2">
      <c r="A358" s="2968"/>
      <c r="B358" s="2953"/>
      <c r="C358" s="1904" t="s">
        <v>342</v>
      </c>
      <c r="D358" s="1942">
        <v>0.2</v>
      </c>
      <c r="E358" s="1894" t="s">
        <v>1064</v>
      </c>
      <c r="F358" s="1899"/>
      <c r="G358" s="2920"/>
      <c r="H358" s="2920"/>
      <c r="I358" s="2920"/>
      <c r="J358" s="2920"/>
      <c r="K358" s="2920"/>
      <c r="L358" s="2920"/>
      <c r="M358" s="2920"/>
      <c r="N358" s="2929">
        <f>+TRUNC((+SUM(G358:M359)),2)</f>
        <v>0</v>
      </c>
      <c r="O358" s="578">
        <f>SUM(G358:N358)</f>
        <v>0</v>
      </c>
    </row>
    <row r="359" spans="1:15" ht="50.25" hidden="1" thickBot="1" x14ac:dyDescent="0.2">
      <c r="A359" s="2968"/>
      <c r="B359" s="2953"/>
      <c r="C359" s="1947" t="s">
        <v>2245</v>
      </c>
      <c r="D359" s="1901"/>
      <c r="E359" s="1897" t="s">
        <v>1064</v>
      </c>
      <c r="F359" s="1899"/>
      <c r="G359" s="2921"/>
      <c r="H359" s="2921"/>
      <c r="I359" s="2921"/>
      <c r="J359" s="2921"/>
      <c r="K359" s="2921"/>
      <c r="L359" s="2921"/>
      <c r="M359" s="2921"/>
      <c r="N359" s="2929"/>
      <c r="O359" s="579">
        <f>+O358</f>
        <v>0</v>
      </c>
    </row>
    <row r="360" spans="1:15" ht="19.5" hidden="1" thickBot="1" x14ac:dyDescent="0.2">
      <c r="A360" s="2968"/>
      <c r="B360" s="2953"/>
      <c r="C360" s="1904" t="s">
        <v>342</v>
      </c>
      <c r="D360" s="1942">
        <v>0.78</v>
      </c>
      <c r="E360" s="1894" t="s">
        <v>1064</v>
      </c>
      <c r="F360" s="1899"/>
      <c r="G360" s="2920"/>
      <c r="H360" s="2920"/>
      <c r="I360" s="2920"/>
      <c r="J360" s="2920"/>
      <c r="K360" s="2920"/>
      <c r="L360" s="2920"/>
      <c r="M360" s="2920"/>
      <c r="N360" s="2929">
        <f>+TRUNC((+SUM(G360:M361)),2)</f>
        <v>0</v>
      </c>
      <c r="O360" s="578">
        <f>SUM(G360:N360)</f>
        <v>0</v>
      </c>
    </row>
    <row r="361" spans="1:15" ht="50.25" hidden="1" thickBot="1" x14ac:dyDescent="0.2">
      <c r="A361" s="2968"/>
      <c r="B361" s="2953"/>
      <c r="C361" s="1947" t="s">
        <v>2244</v>
      </c>
      <c r="D361" s="1901"/>
      <c r="E361" s="1897" t="s">
        <v>1064</v>
      </c>
      <c r="F361" s="1899"/>
      <c r="G361" s="2921"/>
      <c r="H361" s="2921"/>
      <c r="I361" s="2921"/>
      <c r="J361" s="2921"/>
      <c r="K361" s="2921"/>
      <c r="L361" s="2921"/>
      <c r="M361" s="2921"/>
      <c r="N361" s="2929"/>
      <c r="O361" s="579">
        <f>+O360</f>
        <v>0</v>
      </c>
    </row>
    <row r="362" spans="1:15" ht="26.25" hidden="1" thickBot="1" x14ac:dyDescent="0.2">
      <c r="A362" s="2968"/>
      <c r="B362" s="2954"/>
      <c r="C362" s="2934" t="s">
        <v>1074</v>
      </c>
      <c r="D362" s="2935"/>
      <c r="E362" s="1882" t="s">
        <v>1064</v>
      </c>
      <c r="F362" s="1881"/>
      <c r="G362" s="1890" cm="1">
        <f t="array" ref="G362">SUMPRODUCT(($D356:$D361)*(G356:G361))</f>
        <v>0</v>
      </c>
      <c r="H362" s="1890" cm="1">
        <f t="array" ref="H362">SUMPRODUCT(($D356:$D361)*(H356:H361))</f>
        <v>0</v>
      </c>
      <c r="I362" s="1890" cm="1">
        <f t="array" ref="I362">SUMPRODUCT(($D356:$D361)*(I356:I361))</f>
        <v>0</v>
      </c>
      <c r="J362" s="1890" cm="1">
        <f t="array" ref="J362">SUMPRODUCT(($D356:$D361)*(J356:J361))</f>
        <v>0</v>
      </c>
      <c r="K362" s="1890" cm="1">
        <f t="array" ref="K362">SUMPRODUCT(($D356:$D361)*(K356:K361))</f>
        <v>0</v>
      </c>
      <c r="L362" s="1890" cm="1">
        <f t="array" ref="L362">SUMPRODUCT(($D356:$D361)*(L356:L361))</f>
        <v>0</v>
      </c>
      <c r="M362" s="1890"/>
      <c r="N362" s="1879">
        <f>+TRUNC(+SUM(G362:M362),2)</f>
        <v>0</v>
      </c>
      <c r="O362" s="578">
        <f>SUM(G362:N362)</f>
        <v>0</v>
      </c>
    </row>
    <row r="363" spans="1:15" ht="18.75" x14ac:dyDescent="0.15">
      <c r="A363" s="2968"/>
      <c r="B363" s="2952" t="s">
        <v>2425</v>
      </c>
      <c r="C363" s="1951" t="s">
        <v>340</v>
      </c>
      <c r="D363" s="1896">
        <v>0.4</v>
      </c>
      <c r="E363" s="1894" t="s">
        <v>1064</v>
      </c>
      <c r="F363" s="1899"/>
      <c r="G363" s="2917">
        <v>10.18</v>
      </c>
      <c r="H363" s="2917">
        <v>10.28</v>
      </c>
      <c r="I363" s="2917">
        <f>18.19+5.71</f>
        <v>23.900000000000002</v>
      </c>
      <c r="J363" s="2917">
        <v>9.3699999999999992</v>
      </c>
      <c r="K363" s="2917">
        <v>6.81</v>
      </c>
      <c r="L363" s="2917">
        <v>6.57</v>
      </c>
      <c r="M363" s="2917"/>
      <c r="N363" s="2960">
        <f>+TRUNC((+SUM(G363:M364)),2)</f>
        <v>67.11</v>
      </c>
      <c r="O363" s="578">
        <f>SUM(G363:N363)</f>
        <v>134.22</v>
      </c>
    </row>
    <row r="364" spans="1:15" ht="49.5" x14ac:dyDescent="0.15">
      <c r="A364" s="2968"/>
      <c r="B364" s="2953"/>
      <c r="C364" s="1947" t="s">
        <v>1060</v>
      </c>
      <c r="D364" s="1898"/>
      <c r="E364" s="1897" t="s">
        <v>1064</v>
      </c>
      <c r="F364" s="1881"/>
      <c r="G364" s="2918"/>
      <c r="H364" s="2918"/>
      <c r="I364" s="2918"/>
      <c r="J364" s="2918"/>
      <c r="K364" s="2918"/>
      <c r="L364" s="2918"/>
      <c r="M364" s="2918"/>
      <c r="N364" s="2929"/>
      <c r="O364" s="579">
        <f>+O363</f>
        <v>134.22</v>
      </c>
    </row>
    <row r="365" spans="1:15" ht="18.75" hidden="1" x14ac:dyDescent="0.15">
      <c r="A365" s="2968"/>
      <c r="B365" s="2953"/>
      <c r="C365" s="1904" t="s">
        <v>340</v>
      </c>
      <c r="D365" s="1896">
        <v>0.4</v>
      </c>
      <c r="E365" s="1894" t="s">
        <v>1064</v>
      </c>
      <c r="F365" s="1899"/>
      <c r="G365" s="2923"/>
      <c r="H365" s="2923"/>
      <c r="I365" s="2923"/>
      <c r="J365" s="2923"/>
      <c r="K365" s="2923"/>
      <c r="L365" s="2923"/>
      <c r="M365" s="2923"/>
      <c r="N365" s="2927">
        <f>+TRUNC((+SUM(G365:M366)),2)</f>
        <v>0</v>
      </c>
      <c r="O365" s="578">
        <f>SUM(G365:N365)</f>
        <v>0</v>
      </c>
    </row>
    <row r="366" spans="1:15" ht="49.5" hidden="1" x14ac:dyDescent="0.15">
      <c r="A366" s="2968"/>
      <c r="B366" s="2953"/>
      <c r="C366" s="1947" t="s">
        <v>2243</v>
      </c>
      <c r="D366" s="1898"/>
      <c r="E366" s="1897" t="s">
        <v>1064</v>
      </c>
      <c r="F366" s="1881"/>
      <c r="G366" s="2918"/>
      <c r="H366" s="2918"/>
      <c r="I366" s="2918"/>
      <c r="J366" s="2918"/>
      <c r="K366" s="2918"/>
      <c r="L366" s="2918"/>
      <c r="M366" s="2918"/>
      <c r="N366" s="2929"/>
      <c r="O366" s="579">
        <f>+O365</f>
        <v>0</v>
      </c>
    </row>
    <row r="367" spans="1:15" ht="18.75" hidden="1" x14ac:dyDescent="0.15">
      <c r="A367" s="2968"/>
      <c r="B367" s="2953"/>
      <c r="C367" s="1904" t="s">
        <v>340</v>
      </c>
      <c r="D367" s="1896">
        <v>0.4</v>
      </c>
      <c r="E367" s="1894" t="s">
        <v>1064</v>
      </c>
      <c r="F367" s="1899"/>
      <c r="G367" s="2919"/>
      <c r="H367" s="2919"/>
      <c r="I367" s="2919"/>
      <c r="J367" s="2919"/>
      <c r="K367" s="2919"/>
      <c r="L367" s="2919"/>
      <c r="M367" s="2919"/>
      <c r="N367" s="2929">
        <f>+TRUNC((+SUM(G367:M368)),2)</f>
        <v>0</v>
      </c>
      <c r="O367" s="578">
        <f>SUM(G367:N367)</f>
        <v>0</v>
      </c>
    </row>
    <row r="368" spans="1:15" ht="49.5" hidden="1" x14ac:dyDescent="0.15">
      <c r="A368" s="2968"/>
      <c r="B368" s="2953"/>
      <c r="C368" s="1947" t="s">
        <v>1059</v>
      </c>
      <c r="D368" s="1898"/>
      <c r="E368" s="1897" t="s">
        <v>1064</v>
      </c>
      <c r="F368" s="1881"/>
      <c r="G368" s="2918"/>
      <c r="H368" s="2918"/>
      <c r="I368" s="2918"/>
      <c r="J368" s="2918"/>
      <c r="K368" s="2918"/>
      <c r="L368" s="2918"/>
      <c r="M368" s="2918"/>
      <c r="N368" s="2929"/>
      <c r="O368" s="579">
        <f>+O367</f>
        <v>0</v>
      </c>
    </row>
    <row r="369" spans="1:15" ht="18.75" hidden="1" x14ac:dyDescent="0.15">
      <c r="A369" s="2968"/>
      <c r="B369" s="2953"/>
      <c r="C369" s="1904" t="s">
        <v>340</v>
      </c>
      <c r="D369" s="1896">
        <v>0.2</v>
      </c>
      <c r="E369" s="1894" t="s">
        <v>1064</v>
      </c>
      <c r="F369" s="1899"/>
      <c r="G369" s="2919"/>
      <c r="H369" s="2919"/>
      <c r="I369" s="2919"/>
      <c r="J369" s="2919"/>
      <c r="K369" s="2919"/>
      <c r="L369" s="2919"/>
      <c r="M369" s="2919"/>
      <c r="N369" s="2929">
        <f>+TRUNC((+SUM(G369:M370)),2)</f>
        <v>0</v>
      </c>
      <c r="O369" s="578">
        <f>SUM(G369:N369)</f>
        <v>0</v>
      </c>
    </row>
    <row r="370" spans="1:15" ht="49.5" hidden="1" x14ac:dyDescent="0.15">
      <c r="A370" s="2968"/>
      <c r="B370" s="2953"/>
      <c r="C370" s="1947" t="s">
        <v>344</v>
      </c>
      <c r="D370" s="1898"/>
      <c r="E370" s="1897" t="s">
        <v>1064</v>
      </c>
      <c r="F370" s="1881"/>
      <c r="G370" s="2918"/>
      <c r="H370" s="2918"/>
      <c r="I370" s="2918"/>
      <c r="J370" s="2918"/>
      <c r="K370" s="2918"/>
      <c r="L370" s="2918"/>
      <c r="M370" s="2918"/>
      <c r="N370" s="2929"/>
      <c r="O370" s="579">
        <f>+O369</f>
        <v>0</v>
      </c>
    </row>
    <row r="371" spans="1:15" ht="18.75" hidden="1" x14ac:dyDescent="0.15">
      <c r="A371" s="2968"/>
      <c r="B371" s="2953"/>
      <c r="C371" s="1904" t="s">
        <v>340</v>
      </c>
      <c r="D371" s="1896">
        <v>0.4</v>
      </c>
      <c r="E371" s="1894" t="s">
        <v>1064</v>
      </c>
      <c r="F371" s="1899"/>
      <c r="G371" s="2919"/>
      <c r="H371" s="2919"/>
      <c r="I371" s="2919"/>
      <c r="J371" s="2919"/>
      <c r="K371" s="2919"/>
      <c r="L371" s="2919"/>
      <c r="M371" s="2919"/>
      <c r="N371" s="2929">
        <f>+TRUNC((+SUM(G371:M372)),2)</f>
        <v>0</v>
      </c>
      <c r="O371" s="578">
        <f>SUM(G371:N371)</f>
        <v>0</v>
      </c>
    </row>
    <row r="372" spans="1:15" ht="49.5" hidden="1" x14ac:dyDescent="0.15">
      <c r="A372" s="2968"/>
      <c r="B372" s="2953"/>
      <c r="C372" s="1947" t="s">
        <v>345</v>
      </c>
      <c r="D372" s="1898"/>
      <c r="E372" s="1897" t="s">
        <v>1064</v>
      </c>
      <c r="F372" s="1881"/>
      <c r="G372" s="2918"/>
      <c r="H372" s="2918"/>
      <c r="I372" s="2918"/>
      <c r="J372" s="2918"/>
      <c r="K372" s="2918"/>
      <c r="L372" s="2918"/>
      <c r="M372" s="2918"/>
      <c r="N372" s="2929"/>
      <c r="O372" s="579">
        <f>+O371</f>
        <v>0</v>
      </c>
    </row>
    <row r="373" spans="1:15" ht="18.75" hidden="1" x14ac:dyDescent="0.15">
      <c r="A373" s="2968"/>
      <c r="B373" s="2953"/>
      <c r="C373" s="1904" t="s">
        <v>340</v>
      </c>
      <c r="D373" s="1896">
        <v>0.2</v>
      </c>
      <c r="E373" s="1894" t="s">
        <v>1064</v>
      </c>
      <c r="F373" s="1899"/>
      <c r="G373" s="2919"/>
      <c r="H373" s="2919"/>
      <c r="I373" s="2919"/>
      <c r="J373" s="2919"/>
      <c r="K373" s="2919"/>
      <c r="L373" s="2919"/>
      <c r="M373" s="2919"/>
      <c r="N373" s="2929">
        <f>+TRUNC((+SUM(G373:M374)),2)</f>
        <v>0</v>
      </c>
      <c r="O373" s="578">
        <f>SUM(G373:N373)</f>
        <v>0</v>
      </c>
    </row>
    <row r="374" spans="1:15" ht="49.5" hidden="1" x14ac:dyDescent="0.15">
      <c r="A374" s="2968"/>
      <c r="B374" s="2953"/>
      <c r="C374" s="1947" t="s">
        <v>344</v>
      </c>
      <c r="D374" s="1898"/>
      <c r="E374" s="1897" t="s">
        <v>1064</v>
      </c>
      <c r="F374" s="1881"/>
      <c r="G374" s="2918"/>
      <c r="H374" s="2918"/>
      <c r="I374" s="2918"/>
      <c r="J374" s="2918"/>
      <c r="K374" s="2918"/>
      <c r="L374" s="2918"/>
      <c r="M374" s="2918"/>
      <c r="N374" s="2929"/>
      <c r="O374" s="579">
        <f>+O373</f>
        <v>0</v>
      </c>
    </row>
    <row r="375" spans="1:15" ht="18.75" hidden="1" x14ac:dyDescent="0.15">
      <c r="A375" s="2968"/>
      <c r="B375" s="2953"/>
      <c r="C375" s="1904" t="s">
        <v>340</v>
      </c>
      <c r="D375" s="1896">
        <v>0.4</v>
      </c>
      <c r="E375" s="1894" t="s">
        <v>1064</v>
      </c>
      <c r="F375" s="1899"/>
      <c r="G375" s="2919"/>
      <c r="H375" s="2919"/>
      <c r="I375" s="2919"/>
      <c r="J375" s="2919"/>
      <c r="K375" s="2919"/>
      <c r="L375" s="2919"/>
      <c r="M375" s="2919"/>
      <c r="N375" s="2929">
        <f>+TRUNC((+SUM(G375:M376)),2)</f>
        <v>0</v>
      </c>
      <c r="O375" s="578">
        <f>SUM(G375:N375)</f>
        <v>0</v>
      </c>
    </row>
    <row r="376" spans="1:15" ht="49.5" hidden="1" x14ac:dyDescent="0.15">
      <c r="A376" s="2968"/>
      <c r="B376" s="2953"/>
      <c r="C376" s="1947" t="s">
        <v>345</v>
      </c>
      <c r="D376" s="1898"/>
      <c r="E376" s="1897" t="s">
        <v>1064</v>
      </c>
      <c r="F376" s="1881"/>
      <c r="G376" s="2918"/>
      <c r="H376" s="2918"/>
      <c r="I376" s="2918"/>
      <c r="J376" s="2918"/>
      <c r="K376" s="2918"/>
      <c r="L376" s="2918"/>
      <c r="M376" s="2918"/>
      <c r="N376" s="2929"/>
      <c r="O376" s="579">
        <f>+O375</f>
        <v>0</v>
      </c>
    </row>
    <row r="377" spans="1:15" ht="18.75" hidden="1" x14ac:dyDescent="0.15">
      <c r="A377" s="2968"/>
      <c r="B377" s="2953"/>
      <c r="C377" s="1904" t="s">
        <v>340</v>
      </c>
      <c r="D377" s="1896">
        <v>0.15</v>
      </c>
      <c r="E377" s="1894" t="s">
        <v>1064</v>
      </c>
      <c r="F377" s="1899"/>
      <c r="G377" s="2919"/>
      <c r="H377" s="2919"/>
      <c r="I377" s="2919"/>
      <c r="J377" s="2919"/>
      <c r="K377" s="2919"/>
      <c r="L377" s="2919"/>
      <c r="M377" s="2919"/>
      <c r="N377" s="2929">
        <f>+TRUNC((+SUM(G377:M378)),2)</f>
        <v>0</v>
      </c>
      <c r="O377" s="578">
        <f>SUM(G377:N377)</f>
        <v>0</v>
      </c>
    </row>
    <row r="378" spans="1:15" ht="49.5" hidden="1" x14ac:dyDescent="0.15">
      <c r="A378" s="2968"/>
      <c r="B378" s="2953"/>
      <c r="C378" s="1947" t="s">
        <v>945</v>
      </c>
      <c r="D378" s="1898"/>
      <c r="E378" s="1897" t="s">
        <v>1064</v>
      </c>
      <c r="F378" s="1881"/>
      <c r="G378" s="2918"/>
      <c r="H378" s="2918"/>
      <c r="I378" s="2918"/>
      <c r="J378" s="2918"/>
      <c r="K378" s="2918"/>
      <c r="L378" s="2918"/>
      <c r="M378" s="2918"/>
      <c r="N378" s="2929"/>
      <c r="O378" s="579">
        <f>+O377</f>
        <v>0</v>
      </c>
    </row>
    <row r="379" spans="1:15" ht="18.75" hidden="1" x14ac:dyDescent="0.15">
      <c r="A379" s="2968"/>
      <c r="B379" s="2953"/>
      <c r="C379" s="1904" t="s">
        <v>340</v>
      </c>
      <c r="D379" s="1896">
        <v>0.1</v>
      </c>
      <c r="E379" s="1894" t="s">
        <v>1064</v>
      </c>
      <c r="F379" s="1899"/>
      <c r="G379" s="2919"/>
      <c r="H379" s="2919"/>
      <c r="I379" s="2919"/>
      <c r="J379" s="2919"/>
      <c r="K379" s="2919"/>
      <c r="L379" s="2919"/>
      <c r="M379" s="2919"/>
      <c r="N379" s="2929">
        <f>+TRUNC((+SUM(G379:M380)),2)</f>
        <v>0</v>
      </c>
      <c r="O379" s="578">
        <f>SUM(G379:N379)</f>
        <v>0</v>
      </c>
    </row>
    <row r="380" spans="1:15" ht="49.5" hidden="1" x14ac:dyDescent="0.15">
      <c r="A380" s="2968"/>
      <c r="B380" s="2953"/>
      <c r="C380" s="1947" t="s">
        <v>946</v>
      </c>
      <c r="D380" s="1898"/>
      <c r="E380" s="1897" t="s">
        <v>1064</v>
      </c>
      <c r="F380" s="1881"/>
      <c r="G380" s="2918"/>
      <c r="H380" s="2918"/>
      <c r="I380" s="2918"/>
      <c r="J380" s="2918"/>
      <c r="K380" s="2918"/>
      <c r="L380" s="2918"/>
      <c r="M380" s="2918"/>
      <c r="N380" s="2929"/>
      <c r="O380" s="579">
        <f>+O379</f>
        <v>0</v>
      </c>
    </row>
    <row r="381" spans="1:15" ht="18.75" hidden="1" x14ac:dyDescent="0.15">
      <c r="A381" s="2968"/>
      <c r="B381" s="2953"/>
      <c r="C381" s="1904" t="s">
        <v>340</v>
      </c>
      <c r="D381" s="1896">
        <v>0.4</v>
      </c>
      <c r="E381" s="1894" t="s">
        <v>1064</v>
      </c>
      <c r="F381" s="1899"/>
      <c r="G381" s="2919"/>
      <c r="H381" s="2919"/>
      <c r="I381" s="2919"/>
      <c r="J381" s="2919"/>
      <c r="K381" s="2919"/>
      <c r="L381" s="2919"/>
      <c r="M381" s="2919"/>
      <c r="N381" s="2929">
        <f>+TRUNC((+SUM(G381:M382)),2)</f>
        <v>0</v>
      </c>
      <c r="O381" s="578">
        <f>SUM(G381:N381)</f>
        <v>0</v>
      </c>
    </row>
    <row r="382" spans="1:15" ht="62.25" hidden="1" x14ac:dyDescent="0.2">
      <c r="A382" s="2968"/>
      <c r="B382" s="2953"/>
      <c r="C382" s="1947" t="s">
        <v>1005</v>
      </c>
      <c r="D382" s="1895" t="s">
        <v>1080</v>
      </c>
      <c r="E382" s="1892" t="s">
        <v>1064</v>
      </c>
      <c r="F382" s="1891"/>
      <c r="G382" s="2918"/>
      <c r="H382" s="2918"/>
      <c r="I382" s="2918"/>
      <c r="J382" s="2918"/>
      <c r="K382" s="2918"/>
      <c r="L382" s="2918"/>
      <c r="M382" s="2918"/>
      <c r="N382" s="2929"/>
      <c r="O382" s="579">
        <f>+O381</f>
        <v>0</v>
      </c>
    </row>
    <row r="383" spans="1:15" ht="26.25" customHeight="1" thickBot="1" x14ac:dyDescent="0.2">
      <c r="A383" s="2968"/>
      <c r="B383" s="2954"/>
      <c r="C383" s="2934" t="s">
        <v>1074</v>
      </c>
      <c r="D383" s="2935"/>
      <c r="E383" s="1882" t="s">
        <v>1064</v>
      </c>
      <c r="F383" s="1891"/>
      <c r="G383" s="1890" cm="1">
        <f t="array" ref="G383">SUMPRODUCT(($D363:$D380)*(G363:G380))+($D381*G381/2)</f>
        <v>4.0720000000000001</v>
      </c>
      <c r="H383" s="1890" cm="1">
        <f t="array" ref="H383">SUMPRODUCT(($D363:$D380)*(H363:H380))+($D381*H381/2)</f>
        <v>4.1120000000000001</v>
      </c>
      <c r="I383" s="1890" cm="1">
        <f t="array" ref="I383">SUMPRODUCT(($D363:$D380)*(I363:I380))+($D381*I381/2)</f>
        <v>9.56</v>
      </c>
      <c r="J383" s="1890" cm="1">
        <f t="array" ref="J383">SUMPRODUCT(($D363:$D380)*(J363:J380))+($D381*J381/2)</f>
        <v>3.7479999999999998</v>
      </c>
      <c r="K383" s="1890" cm="1">
        <f t="array" ref="K383">SUMPRODUCT(($D363:$D380)*(K363:K380))+($D381*K381/2)</f>
        <v>2.7240000000000002</v>
      </c>
      <c r="L383" s="1890" cm="1">
        <f t="array" ref="L383">SUMPRODUCT(($D363:$D380)*(L363:L380))+($D381*L381/2)</f>
        <v>2.6280000000000001</v>
      </c>
      <c r="M383" s="1890"/>
      <c r="N383" s="1889">
        <f>+TRUNC(+SUM(G383:M383),2)</f>
        <v>26.84</v>
      </c>
      <c r="O383" s="578">
        <f>SUM(G383:N383)</f>
        <v>53.683999999999997</v>
      </c>
    </row>
    <row r="384" spans="1:15" ht="18.75" hidden="1" customHeight="1" x14ac:dyDescent="0.15">
      <c r="A384" s="2968"/>
      <c r="B384" s="2983" t="s">
        <v>1081</v>
      </c>
      <c r="C384" s="1951" t="s">
        <v>340</v>
      </c>
      <c r="D384" s="2961"/>
      <c r="E384" s="1894" t="s">
        <v>1064</v>
      </c>
      <c r="F384" s="1891"/>
      <c r="G384" s="2917"/>
      <c r="H384" s="2917"/>
      <c r="I384" s="2917"/>
      <c r="J384" s="2917"/>
      <c r="K384" s="2917"/>
      <c r="L384" s="2917"/>
      <c r="M384" s="2917"/>
      <c r="N384" s="2929">
        <f>+TRUNC((+SUM(G384:M385)),2)</f>
        <v>0</v>
      </c>
      <c r="O384" s="578">
        <f>SUM(G384:N384)</f>
        <v>0</v>
      </c>
    </row>
    <row r="385" spans="1:15" ht="63" hidden="1" thickBot="1" x14ac:dyDescent="0.2">
      <c r="A385" s="2968"/>
      <c r="B385" s="2984"/>
      <c r="C385" s="1947" t="s">
        <v>1062</v>
      </c>
      <c r="D385" s="2962"/>
      <c r="E385" s="1892" t="s">
        <v>1064</v>
      </c>
      <c r="F385" s="1891"/>
      <c r="G385" s="2918"/>
      <c r="H385" s="2918"/>
      <c r="I385" s="2918"/>
      <c r="J385" s="2918"/>
      <c r="K385" s="2918"/>
      <c r="L385" s="2918"/>
      <c r="M385" s="2918"/>
      <c r="N385" s="2929"/>
      <c r="O385" s="579">
        <f>+O384</f>
        <v>0</v>
      </c>
    </row>
    <row r="386" spans="1:15" ht="26.25" hidden="1" customHeight="1" thickBot="1" x14ac:dyDescent="0.2">
      <c r="A386" s="2968"/>
      <c r="B386" s="2985"/>
      <c r="C386" s="2934" t="s">
        <v>1076</v>
      </c>
      <c r="D386" s="2935"/>
      <c r="E386" s="1882" t="s">
        <v>1064</v>
      </c>
      <c r="F386" s="1891"/>
      <c r="G386" s="1890">
        <f>+G384</f>
        <v>0</v>
      </c>
      <c r="H386" s="1890">
        <f t="shared" ref="H386:L386" si="15">+H384</f>
        <v>0</v>
      </c>
      <c r="I386" s="1890">
        <f t="shared" si="15"/>
        <v>0</v>
      </c>
      <c r="J386" s="1890">
        <f t="shared" si="15"/>
        <v>0</v>
      </c>
      <c r="K386" s="1890">
        <f t="shared" si="15"/>
        <v>0</v>
      </c>
      <c r="L386" s="1890">
        <f t="shared" si="15"/>
        <v>0</v>
      </c>
      <c r="M386" s="1890"/>
      <c r="N386" s="1889">
        <f>+TRUNC(+SUM(G386:M386),2)</f>
        <v>0</v>
      </c>
      <c r="O386" s="578">
        <f>SUM(G386:N386)</f>
        <v>0</v>
      </c>
    </row>
    <row r="387" spans="1:15" ht="18.75" hidden="1" customHeight="1" x14ac:dyDescent="0.15">
      <c r="A387" s="2968"/>
      <c r="B387" s="2983" t="s">
        <v>2242</v>
      </c>
      <c r="C387" s="1951" t="s">
        <v>340</v>
      </c>
      <c r="D387" s="2961"/>
      <c r="E387" s="1894" t="s">
        <v>1064</v>
      </c>
      <c r="F387" s="1899"/>
      <c r="G387" s="2917"/>
      <c r="H387" s="2917"/>
      <c r="I387" s="2917"/>
      <c r="J387" s="2917"/>
      <c r="K387" s="2917"/>
      <c r="L387" s="2917"/>
      <c r="M387" s="2917"/>
      <c r="N387" s="2929">
        <f>+TRUNC((+SUM(G387:M388)),2)</f>
        <v>0</v>
      </c>
      <c r="O387" s="578">
        <f>SUM(G387:N387)</f>
        <v>0</v>
      </c>
    </row>
    <row r="388" spans="1:15" ht="63" hidden="1" thickBot="1" x14ac:dyDescent="0.2">
      <c r="A388" s="2968"/>
      <c r="B388" s="2984"/>
      <c r="C388" s="1947" t="s">
        <v>1061</v>
      </c>
      <c r="D388" s="2962"/>
      <c r="E388" s="1892" t="s">
        <v>1064</v>
      </c>
      <c r="F388" s="1891"/>
      <c r="G388" s="2918"/>
      <c r="H388" s="2918"/>
      <c r="I388" s="2918"/>
      <c r="J388" s="2918"/>
      <c r="K388" s="2918"/>
      <c r="L388" s="2918"/>
      <c r="M388" s="2918"/>
      <c r="N388" s="2929"/>
      <c r="O388" s="579">
        <f>+O387</f>
        <v>0</v>
      </c>
    </row>
    <row r="389" spans="1:15" ht="26.25" hidden="1" customHeight="1" thickBot="1" x14ac:dyDescent="0.2">
      <c r="A389" s="2968"/>
      <c r="B389" s="2985"/>
      <c r="C389" s="2934" t="s">
        <v>1076</v>
      </c>
      <c r="D389" s="2935"/>
      <c r="E389" s="1882" t="s">
        <v>1064</v>
      </c>
      <c r="F389" s="1891"/>
      <c r="G389" s="1890">
        <f>+G387</f>
        <v>0</v>
      </c>
      <c r="H389" s="1890">
        <f t="shared" ref="H389:L389" si="16">+H387</f>
        <v>0</v>
      </c>
      <c r="I389" s="1890">
        <f t="shared" si="16"/>
        <v>0</v>
      </c>
      <c r="J389" s="1890">
        <f t="shared" si="16"/>
        <v>0</v>
      </c>
      <c r="K389" s="1890">
        <f t="shared" si="16"/>
        <v>0</v>
      </c>
      <c r="L389" s="1890">
        <f t="shared" si="16"/>
        <v>0</v>
      </c>
      <c r="M389" s="1890"/>
      <c r="N389" s="1889">
        <f>+TRUNC(+SUM(G389:M389),2)</f>
        <v>0</v>
      </c>
      <c r="O389" s="578">
        <f t="shared" ref="O389:O400" si="17">SUM(G389:N389)</f>
        <v>0</v>
      </c>
    </row>
    <row r="390" spans="1:15" ht="24" hidden="1" customHeight="1" x14ac:dyDescent="0.15">
      <c r="A390" s="2968"/>
      <c r="B390" s="2983" t="s">
        <v>347</v>
      </c>
      <c r="C390" s="2936" t="s">
        <v>334</v>
      </c>
      <c r="D390" s="1937" t="s">
        <v>2394</v>
      </c>
      <c r="E390" s="1882" t="s">
        <v>1064</v>
      </c>
      <c r="F390" s="1881"/>
      <c r="G390" s="2272"/>
      <c r="H390" s="2272"/>
      <c r="I390" s="2272"/>
      <c r="J390" s="2272"/>
      <c r="K390" s="2272"/>
      <c r="L390" s="2272"/>
      <c r="M390" s="2272"/>
      <c r="N390" s="1916">
        <f t="shared" ref="N390:N397" si="18">SUM(G390:M390)</f>
        <v>0</v>
      </c>
      <c r="O390" s="578">
        <f t="shared" si="17"/>
        <v>0</v>
      </c>
    </row>
    <row r="391" spans="1:15" ht="24" hidden="1" customHeight="1" x14ac:dyDescent="0.15">
      <c r="A391" s="2968"/>
      <c r="B391" s="2984"/>
      <c r="C391" s="2937"/>
      <c r="D391" s="1938" t="s">
        <v>2395</v>
      </c>
      <c r="E391" s="1882"/>
      <c r="F391" s="1881"/>
      <c r="G391" s="2271"/>
      <c r="H391" s="2271"/>
      <c r="I391" s="2271"/>
      <c r="J391" s="2271"/>
      <c r="K391" s="2271"/>
      <c r="L391" s="2271"/>
      <c r="M391" s="2271"/>
      <c r="N391" s="1888">
        <f t="shared" si="18"/>
        <v>0</v>
      </c>
      <c r="O391" s="578">
        <f t="shared" si="17"/>
        <v>0</v>
      </c>
    </row>
    <row r="392" spans="1:15" ht="24" hidden="1" customHeight="1" x14ac:dyDescent="0.15">
      <c r="A392" s="2968"/>
      <c r="B392" s="2984"/>
      <c r="C392" s="2937"/>
      <c r="D392" s="1938" t="s">
        <v>2396</v>
      </c>
      <c r="E392" s="1882"/>
      <c r="F392" s="1881"/>
      <c r="G392" s="2270"/>
      <c r="H392" s="2270"/>
      <c r="I392" s="2270"/>
      <c r="J392" s="2270"/>
      <c r="K392" s="2270"/>
      <c r="L392" s="2270"/>
      <c r="M392" s="2270"/>
      <c r="N392" s="1920">
        <f t="shared" si="18"/>
        <v>0</v>
      </c>
      <c r="O392" s="578">
        <f t="shared" si="17"/>
        <v>0</v>
      </c>
    </row>
    <row r="393" spans="1:15" ht="24" hidden="1" customHeight="1" x14ac:dyDescent="0.15">
      <c r="A393" s="2968"/>
      <c r="B393" s="2984"/>
      <c r="C393" s="2938"/>
      <c r="D393" s="1939" t="s">
        <v>2397</v>
      </c>
      <c r="E393" s="1882" t="s">
        <v>1064</v>
      </c>
      <c r="F393" s="1881"/>
      <c r="G393" s="2271"/>
      <c r="H393" s="2271"/>
      <c r="I393" s="2271"/>
      <c r="J393" s="2271"/>
      <c r="K393" s="2271"/>
      <c r="L393" s="2271"/>
      <c r="M393" s="2271"/>
      <c r="N393" s="1888">
        <f t="shared" si="18"/>
        <v>0</v>
      </c>
      <c r="O393" s="578">
        <f t="shared" si="17"/>
        <v>0</v>
      </c>
    </row>
    <row r="394" spans="1:15" ht="24" hidden="1" customHeight="1" x14ac:dyDescent="0.15">
      <c r="A394" s="2968"/>
      <c r="B394" s="2984"/>
      <c r="C394" s="2939" t="s">
        <v>335</v>
      </c>
      <c r="D394" s="1938" t="s">
        <v>2394</v>
      </c>
      <c r="E394" s="1882" t="s">
        <v>1064</v>
      </c>
      <c r="F394" s="1881"/>
      <c r="G394" s="2270"/>
      <c r="H394" s="2270"/>
      <c r="I394" s="2270"/>
      <c r="J394" s="2270"/>
      <c r="K394" s="2270"/>
      <c r="L394" s="2270"/>
      <c r="M394" s="2270"/>
      <c r="N394" s="1920">
        <f t="shared" si="18"/>
        <v>0</v>
      </c>
      <c r="O394" s="578">
        <f t="shared" si="17"/>
        <v>0</v>
      </c>
    </row>
    <row r="395" spans="1:15" ht="24" hidden="1" customHeight="1" x14ac:dyDescent="0.15">
      <c r="A395" s="2968"/>
      <c r="B395" s="2984"/>
      <c r="C395" s="2937"/>
      <c r="D395" s="1938" t="s">
        <v>2395</v>
      </c>
      <c r="E395" s="1882"/>
      <c r="F395" s="1881"/>
      <c r="G395" s="2271"/>
      <c r="H395" s="2271"/>
      <c r="I395" s="2271"/>
      <c r="J395" s="2271"/>
      <c r="K395" s="2271"/>
      <c r="L395" s="2271"/>
      <c r="M395" s="2271"/>
      <c r="N395" s="1888">
        <f t="shared" si="18"/>
        <v>0</v>
      </c>
      <c r="O395" s="578">
        <f t="shared" si="17"/>
        <v>0</v>
      </c>
    </row>
    <row r="396" spans="1:15" ht="24" hidden="1" customHeight="1" x14ac:dyDescent="0.15">
      <c r="A396" s="2968"/>
      <c r="B396" s="2984"/>
      <c r="C396" s="2937"/>
      <c r="D396" s="1938" t="s">
        <v>2396</v>
      </c>
      <c r="E396" s="1882"/>
      <c r="F396" s="1881"/>
      <c r="G396" s="2270"/>
      <c r="H396" s="2270"/>
      <c r="I396" s="2270"/>
      <c r="J396" s="2270"/>
      <c r="K396" s="2270"/>
      <c r="L396" s="2270"/>
      <c r="M396" s="2270"/>
      <c r="N396" s="1920">
        <f t="shared" si="18"/>
        <v>0</v>
      </c>
      <c r="O396" s="578">
        <f t="shared" si="17"/>
        <v>0</v>
      </c>
    </row>
    <row r="397" spans="1:15" ht="24" hidden="1" customHeight="1" thickBot="1" x14ac:dyDescent="0.2">
      <c r="A397" s="2968"/>
      <c r="B397" s="2985"/>
      <c r="C397" s="2940"/>
      <c r="D397" s="1940" t="s">
        <v>2397</v>
      </c>
      <c r="E397" s="1882" t="s">
        <v>1064</v>
      </c>
      <c r="F397" s="1881"/>
      <c r="G397" s="2271"/>
      <c r="H397" s="2271"/>
      <c r="I397" s="2271"/>
      <c r="J397" s="2271"/>
      <c r="K397" s="2271"/>
      <c r="L397" s="2271"/>
      <c r="M397" s="2271"/>
      <c r="N397" s="1888">
        <f t="shared" si="18"/>
        <v>0</v>
      </c>
      <c r="O397" s="578">
        <f t="shared" si="17"/>
        <v>0</v>
      </c>
    </row>
    <row r="398" spans="1:15" ht="25.5" hidden="1" customHeight="1" thickBot="1" x14ac:dyDescent="0.2">
      <c r="A398" s="2968"/>
      <c r="B398" s="2963" t="s">
        <v>2398</v>
      </c>
      <c r="C398" s="2964"/>
      <c r="D398" s="2965"/>
      <c r="E398" s="1882"/>
      <c r="F398" s="1881"/>
      <c r="G398" s="2272"/>
      <c r="H398" s="2272"/>
      <c r="I398" s="2272"/>
      <c r="J398" s="2272"/>
      <c r="K398" s="2272"/>
      <c r="L398" s="2272"/>
      <c r="M398" s="2272"/>
      <c r="N398" s="1916">
        <f>+SUM(G398:M398)</f>
        <v>0</v>
      </c>
      <c r="O398" s="578">
        <f t="shared" si="17"/>
        <v>0</v>
      </c>
    </row>
    <row r="399" spans="1:15" ht="25.5" hidden="1" customHeight="1" x14ac:dyDescent="0.15">
      <c r="A399" s="2968"/>
      <c r="B399" s="2986" t="s">
        <v>2743</v>
      </c>
      <c r="C399" s="2987"/>
      <c r="D399" s="1885" t="s">
        <v>584</v>
      </c>
      <c r="E399" s="1882" t="s">
        <v>1064</v>
      </c>
      <c r="F399" s="1881"/>
      <c r="G399" s="1884"/>
      <c r="H399" s="1884"/>
      <c r="I399" s="1884"/>
      <c r="J399" s="1884"/>
      <c r="K399" s="1884"/>
      <c r="L399" s="1884"/>
      <c r="M399" s="1884"/>
      <c r="N399" s="2057">
        <f>+TRUNC(+SUM(G399:M399),2)</f>
        <v>0</v>
      </c>
      <c r="O399" s="578">
        <f t="shared" si="17"/>
        <v>0</v>
      </c>
    </row>
    <row r="400" spans="1:15" ht="26.25" hidden="1" thickBot="1" x14ac:dyDescent="0.2">
      <c r="A400" s="2968"/>
      <c r="B400" s="2988"/>
      <c r="C400" s="2989"/>
      <c r="D400" s="1883" t="s">
        <v>583</v>
      </c>
      <c r="E400" s="1882" t="s">
        <v>1064</v>
      </c>
      <c r="F400" s="1881"/>
      <c r="G400" s="1880"/>
      <c r="H400" s="1880"/>
      <c r="I400" s="1880"/>
      <c r="J400" s="1880"/>
      <c r="K400" s="1880"/>
      <c r="L400" s="1880"/>
      <c r="M400" s="1880"/>
      <c r="N400" s="1879">
        <f>SUM(G400:M400)</f>
        <v>0</v>
      </c>
      <c r="O400" s="578">
        <f t="shared" si="17"/>
        <v>0</v>
      </c>
    </row>
    <row r="401" spans="1:15" ht="50.1" customHeight="1" thickBot="1" x14ac:dyDescent="0.2">
      <c r="A401" s="2969"/>
      <c r="B401" s="2930" t="s">
        <v>12</v>
      </c>
      <c r="C401" s="2931"/>
      <c r="D401" s="2932"/>
      <c r="E401" s="1878" t="s">
        <v>1064</v>
      </c>
      <c r="F401" s="690"/>
      <c r="G401" s="1877"/>
      <c r="H401" s="1877"/>
      <c r="I401" s="1877"/>
      <c r="J401" s="1877"/>
      <c r="K401" s="1877"/>
      <c r="L401" s="1877"/>
      <c r="M401" s="1877"/>
      <c r="N401" s="1876"/>
      <c r="O401" s="667">
        <v>1</v>
      </c>
    </row>
    <row r="402" spans="1:15" ht="13.5" hidden="1" thickTop="1" x14ac:dyDescent="0.15">
      <c r="G402" s="1875"/>
      <c r="H402" s="1875"/>
      <c r="I402" s="1875"/>
      <c r="J402" s="1875"/>
      <c r="K402" s="1875"/>
      <c r="L402" s="1875"/>
      <c r="M402" s="1875"/>
    </row>
    <row r="403" spans="1:15" ht="13.5" thickTop="1" x14ac:dyDescent="0.15"/>
  </sheetData>
  <autoFilter ref="O1:O402">
    <filterColumn colId="0">
      <customFilters>
        <customFilter operator="notEqual" val=" "/>
      </customFilters>
    </filterColumn>
  </autoFilter>
  <mergeCells count="1475">
    <mergeCell ref="K379:K380"/>
    <mergeCell ref="L379:L380"/>
    <mergeCell ref="K381:K382"/>
    <mergeCell ref="L381:L382"/>
    <mergeCell ref="K384:K385"/>
    <mergeCell ref="L384:L385"/>
    <mergeCell ref="K387:K388"/>
    <mergeCell ref="L387:L388"/>
    <mergeCell ref="K369:K370"/>
    <mergeCell ref="L369:L370"/>
    <mergeCell ref="K371:K372"/>
    <mergeCell ref="L371:L372"/>
    <mergeCell ref="K373:K374"/>
    <mergeCell ref="L373:L374"/>
    <mergeCell ref="K375:K376"/>
    <mergeCell ref="L375:L376"/>
    <mergeCell ref="K377:K378"/>
    <mergeCell ref="L377:L378"/>
    <mergeCell ref="K358:K359"/>
    <mergeCell ref="L358:L359"/>
    <mergeCell ref="K360:K361"/>
    <mergeCell ref="L360:L361"/>
    <mergeCell ref="K363:K364"/>
    <mergeCell ref="L363:L364"/>
    <mergeCell ref="K365:K366"/>
    <mergeCell ref="L365:L366"/>
    <mergeCell ref="K367:K368"/>
    <mergeCell ref="L367:L368"/>
    <mergeCell ref="K346:K347"/>
    <mergeCell ref="L346:L347"/>
    <mergeCell ref="K349:K350"/>
    <mergeCell ref="L349:L350"/>
    <mergeCell ref="K351:K352"/>
    <mergeCell ref="L351:L352"/>
    <mergeCell ref="K353:K354"/>
    <mergeCell ref="L353:L354"/>
    <mergeCell ref="K356:K357"/>
    <mergeCell ref="L356:L357"/>
    <mergeCell ref="K336:K337"/>
    <mergeCell ref="L336:L337"/>
    <mergeCell ref="K338:K339"/>
    <mergeCell ref="L338:L339"/>
    <mergeCell ref="K340:K341"/>
    <mergeCell ref="L340:L341"/>
    <mergeCell ref="K342:K343"/>
    <mergeCell ref="L342:L343"/>
    <mergeCell ref="K344:K345"/>
    <mergeCell ref="L344:L345"/>
    <mergeCell ref="K326:K327"/>
    <mergeCell ref="L326:L327"/>
    <mergeCell ref="K328:K329"/>
    <mergeCell ref="L328:L329"/>
    <mergeCell ref="K330:K331"/>
    <mergeCell ref="L330:L331"/>
    <mergeCell ref="K332:K333"/>
    <mergeCell ref="L332:L333"/>
    <mergeCell ref="K334:K335"/>
    <mergeCell ref="L334:L335"/>
    <mergeCell ref="K316:K317"/>
    <mergeCell ref="L316:L317"/>
    <mergeCell ref="K318:K319"/>
    <mergeCell ref="L318:L319"/>
    <mergeCell ref="K320:K321"/>
    <mergeCell ref="L320:L321"/>
    <mergeCell ref="K322:K323"/>
    <mergeCell ref="L322:L323"/>
    <mergeCell ref="K324:K325"/>
    <mergeCell ref="L324:L325"/>
    <mergeCell ref="K302:K303"/>
    <mergeCell ref="L302:L303"/>
    <mergeCell ref="K306:K307"/>
    <mergeCell ref="L306:L307"/>
    <mergeCell ref="K308:K309"/>
    <mergeCell ref="L308:L309"/>
    <mergeCell ref="K310:K311"/>
    <mergeCell ref="L310:L311"/>
    <mergeCell ref="K313:K314"/>
    <mergeCell ref="L313:L314"/>
    <mergeCell ref="K272:K273"/>
    <mergeCell ref="L272:L273"/>
    <mergeCell ref="K274:K275"/>
    <mergeCell ref="L274:L275"/>
    <mergeCell ref="K276:K277"/>
    <mergeCell ref="L276:L277"/>
    <mergeCell ref="K296:K297"/>
    <mergeCell ref="L296:L297"/>
    <mergeCell ref="K299:K300"/>
    <mergeCell ref="L299:L300"/>
    <mergeCell ref="K262:K263"/>
    <mergeCell ref="L262:L263"/>
    <mergeCell ref="K264:K265"/>
    <mergeCell ref="L264:L265"/>
    <mergeCell ref="K266:K267"/>
    <mergeCell ref="L266:L267"/>
    <mergeCell ref="K268:K269"/>
    <mergeCell ref="L268:L269"/>
    <mergeCell ref="K270:K271"/>
    <mergeCell ref="L270:L271"/>
    <mergeCell ref="K252:K253"/>
    <mergeCell ref="L252:L253"/>
    <mergeCell ref="K254:K255"/>
    <mergeCell ref="L254:L255"/>
    <mergeCell ref="K256:K257"/>
    <mergeCell ref="L256:L257"/>
    <mergeCell ref="K258:K259"/>
    <mergeCell ref="L258:L259"/>
    <mergeCell ref="K260:K261"/>
    <mergeCell ref="L260:L261"/>
    <mergeCell ref="K242:K243"/>
    <mergeCell ref="L242:L243"/>
    <mergeCell ref="K244:K245"/>
    <mergeCell ref="L244:L245"/>
    <mergeCell ref="K246:K247"/>
    <mergeCell ref="L246:L247"/>
    <mergeCell ref="K248:K249"/>
    <mergeCell ref="L248:L249"/>
    <mergeCell ref="K250:K251"/>
    <mergeCell ref="L250:L251"/>
    <mergeCell ref="K232:K233"/>
    <mergeCell ref="L232:L233"/>
    <mergeCell ref="K234:K235"/>
    <mergeCell ref="L234:L235"/>
    <mergeCell ref="K236:K237"/>
    <mergeCell ref="L236:L237"/>
    <mergeCell ref="K238:K239"/>
    <mergeCell ref="L238:L239"/>
    <mergeCell ref="K240:K241"/>
    <mergeCell ref="L240:L241"/>
    <mergeCell ref="K222:K223"/>
    <mergeCell ref="L222:L223"/>
    <mergeCell ref="K224:K225"/>
    <mergeCell ref="L224:L225"/>
    <mergeCell ref="K226:K227"/>
    <mergeCell ref="L226:L227"/>
    <mergeCell ref="K228:K229"/>
    <mergeCell ref="L228:L229"/>
    <mergeCell ref="K230:K231"/>
    <mergeCell ref="L230:L231"/>
    <mergeCell ref="K212:K213"/>
    <mergeCell ref="L212:L213"/>
    <mergeCell ref="K214:K215"/>
    <mergeCell ref="L214:L215"/>
    <mergeCell ref="K216:K217"/>
    <mergeCell ref="L216:L217"/>
    <mergeCell ref="K218:K219"/>
    <mergeCell ref="L218:L219"/>
    <mergeCell ref="K220:K221"/>
    <mergeCell ref="L220:L221"/>
    <mergeCell ref="K202:K203"/>
    <mergeCell ref="L202:L203"/>
    <mergeCell ref="K204:K205"/>
    <mergeCell ref="L204:L205"/>
    <mergeCell ref="K206:K207"/>
    <mergeCell ref="L206:L207"/>
    <mergeCell ref="K208:K209"/>
    <mergeCell ref="L208:L209"/>
    <mergeCell ref="K210:K211"/>
    <mergeCell ref="L210:L211"/>
    <mergeCell ref="K192:K193"/>
    <mergeCell ref="L192:L193"/>
    <mergeCell ref="K194:K195"/>
    <mergeCell ref="L194:L195"/>
    <mergeCell ref="K196:K197"/>
    <mergeCell ref="L196:L197"/>
    <mergeCell ref="K198:K199"/>
    <mergeCell ref="L198:L199"/>
    <mergeCell ref="K200:K201"/>
    <mergeCell ref="L200:L201"/>
    <mergeCell ref="K182:K183"/>
    <mergeCell ref="L182:L183"/>
    <mergeCell ref="K184:K185"/>
    <mergeCell ref="L184:L185"/>
    <mergeCell ref="K186:K187"/>
    <mergeCell ref="L186:L187"/>
    <mergeCell ref="K188:K189"/>
    <mergeCell ref="L188:L189"/>
    <mergeCell ref="K190:K191"/>
    <mergeCell ref="L190:L191"/>
    <mergeCell ref="K172:K173"/>
    <mergeCell ref="L172:L173"/>
    <mergeCell ref="K174:K175"/>
    <mergeCell ref="L174:L175"/>
    <mergeCell ref="K176:K177"/>
    <mergeCell ref="L176:L177"/>
    <mergeCell ref="K178:K179"/>
    <mergeCell ref="L178:L179"/>
    <mergeCell ref="K180:K181"/>
    <mergeCell ref="L180:L181"/>
    <mergeCell ref="K162:K163"/>
    <mergeCell ref="L162:L163"/>
    <mergeCell ref="K164:K165"/>
    <mergeCell ref="L164:L165"/>
    <mergeCell ref="K166:K167"/>
    <mergeCell ref="L166:L167"/>
    <mergeCell ref="K168:K169"/>
    <mergeCell ref="L168:L169"/>
    <mergeCell ref="K170:K171"/>
    <mergeCell ref="L170:L171"/>
    <mergeCell ref="L152:L153"/>
    <mergeCell ref="K154:K155"/>
    <mergeCell ref="L154:L155"/>
    <mergeCell ref="K156:K157"/>
    <mergeCell ref="L156:L157"/>
    <mergeCell ref="K158:K159"/>
    <mergeCell ref="L158:L159"/>
    <mergeCell ref="K160:K161"/>
    <mergeCell ref="L160:L161"/>
    <mergeCell ref="L142:L143"/>
    <mergeCell ref="K144:K145"/>
    <mergeCell ref="L144:L145"/>
    <mergeCell ref="K146:K147"/>
    <mergeCell ref="L146:L147"/>
    <mergeCell ref="K148:K149"/>
    <mergeCell ref="L148:L149"/>
    <mergeCell ref="K150:K151"/>
    <mergeCell ref="L150:L151"/>
    <mergeCell ref="L132:L133"/>
    <mergeCell ref="K134:K135"/>
    <mergeCell ref="L134:L135"/>
    <mergeCell ref="K136:K137"/>
    <mergeCell ref="L136:L137"/>
    <mergeCell ref="K138:K139"/>
    <mergeCell ref="L138:L139"/>
    <mergeCell ref="K140:K141"/>
    <mergeCell ref="L140:L141"/>
    <mergeCell ref="L122:L123"/>
    <mergeCell ref="K124:K125"/>
    <mergeCell ref="L124:L125"/>
    <mergeCell ref="K126:K127"/>
    <mergeCell ref="L126:L127"/>
    <mergeCell ref="K128:K129"/>
    <mergeCell ref="L128:L129"/>
    <mergeCell ref="K130:K131"/>
    <mergeCell ref="L130:L131"/>
    <mergeCell ref="L112:L113"/>
    <mergeCell ref="K114:K115"/>
    <mergeCell ref="L114:L115"/>
    <mergeCell ref="K116:K117"/>
    <mergeCell ref="L116:L117"/>
    <mergeCell ref="K118:K119"/>
    <mergeCell ref="L118:L119"/>
    <mergeCell ref="K120:K121"/>
    <mergeCell ref="L120:L121"/>
    <mergeCell ref="L102:L103"/>
    <mergeCell ref="K104:K105"/>
    <mergeCell ref="L104:L105"/>
    <mergeCell ref="K106:K107"/>
    <mergeCell ref="L106:L107"/>
    <mergeCell ref="K108:K109"/>
    <mergeCell ref="L108:L109"/>
    <mergeCell ref="K110:K111"/>
    <mergeCell ref="L110:L111"/>
    <mergeCell ref="L92:L93"/>
    <mergeCell ref="K94:K95"/>
    <mergeCell ref="L94:L95"/>
    <mergeCell ref="K96:K97"/>
    <mergeCell ref="L96:L97"/>
    <mergeCell ref="K98:K99"/>
    <mergeCell ref="L98:L99"/>
    <mergeCell ref="K100:K101"/>
    <mergeCell ref="L100:L101"/>
    <mergeCell ref="L82:L83"/>
    <mergeCell ref="K84:K85"/>
    <mergeCell ref="L84:L85"/>
    <mergeCell ref="K86:K87"/>
    <mergeCell ref="L86:L87"/>
    <mergeCell ref="K88:K89"/>
    <mergeCell ref="L88:L89"/>
    <mergeCell ref="K90:K91"/>
    <mergeCell ref="L90:L91"/>
    <mergeCell ref="L72:L73"/>
    <mergeCell ref="K74:K75"/>
    <mergeCell ref="L74:L75"/>
    <mergeCell ref="K76:K77"/>
    <mergeCell ref="L76:L77"/>
    <mergeCell ref="K78:K79"/>
    <mergeCell ref="L78:L79"/>
    <mergeCell ref="K80:K81"/>
    <mergeCell ref="L80:L81"/>
    <mergeCell ref="L62:L63"/>
    <mergeCell ref="K64:K65"/>
    <mergeCell ref="L64:L65"/>
    <mergeCell ref="K66:K67"/>
    <mergeCell ref="L66:L67"/>
    <mergeCell ref="K68:K69"/>
    <mergeCell ref="L68:L69"/>
    <mergeCell ref="K70:K71"/>
    <mergeCell ref="L70:L71"/>
    <mergeCell ref="L52:L53"/>
    <mergeCell ref="K54:K55"/>
    <mergeCell ref="L54:L55"/>
    <mergeCell ref="K56:K57"/>
    <mergeCell ref="L56:L57"/>
    <mergeCell ref="K58:K59"/>
    <mergeCell ref="L58:L59"/>
    <mergeCell ref="K60:K61"/>
    <mergeCell ref="L60:L61"/>
    <mergeCell ref="L42:L43"/>
    <mergeCell ref="K44:K45"/>
    <mergeCell ref="L44:L45"/>
    <mergeCell ref="K46:K47"/>
    <mergeCell ref="L46:L47"/>
    <mergeCell ref="K48:K49"/>
    <mergeCell ref="L48:L49"/>
    <mergeCell ref="K50:K51"/>
    <mergeCell ref="L50:L51"/>
    <mergeCell ref="L32:L33"/>
    <mergeCell ref="K34:K35"/>
    <mergeCell ref="L34:L35"/>
    <mergeCell ref="K36:K37"/>
    <mergeCell ref="L36:L37"/>
    <mergeCell ref="K38:K39"/>
    <mergeCell ref="L38:L39"/>
    <mergeCell ref="K40:K41"/>
    <mergeCell ref="L40:L41"/>
    <mergeCell ref="L22:L23"/>
    <mergeCell ref="K24:K25"/>
    <mergeCell ref="L24:L25"/>
    <mergeCell ref="K26:K27"/>
    <mergeCell ref="L26:L27"/>
    <mergeCell ref="K28:K29"/>
    <mergeCell ref="L28:L29"/>
    <mergeCell ref="K30:K31"/>
    <mergeCell ref="L30:L31"/>
    <mergeCell ref="L12:L13"/>
    <mergeCell ref="K14:K15"/>
    <mergeCell ref="L14:L15"/>
    <mergeCell ref="K16:K17"/>
    <mergeCell ref="L16:L17"/>
    <mergeCell ref="K18:K19"/>
    <mergeCell ref="L18:L19"/>
    <mergeCell ref="K20:K21"/>
    <mergeCell ref="L20:L21"/>
    <mergeCell ref="L2:L3"/>
    <mergeCell ref="K4:K5"/>
    <mergeCell ref="L4:L5"/>
    <mergeCell ref="K6:K7"/>
    <mergeCell ref="L6:L7"/>
    <mergeCell ref="K8:K9"/>
    <mergeCell ref="L8:L9"/>
    <mergeCell ref="K10:K11"/>
    <mergeCell ref="L10:L11"/>
    <mergeCell ref="J371:J372"/>
    <mergeCell ref="J373:J374"/>
    <mergeCell ref="J375:J376"/>
    <mergeCell ref="J377:J378"/>
    <mergeCell ref="J379:J380"/>
    <mergeCell ref="J381:J382"/>
    <mergeCell ref="J384:J385"/>
    <mergeCell ref="J387:J388"/>
    <mergeCell ref="K2:K3"/>
    <mergeCell ref="K12:K13"/>
    <mergeCell ref="K22:K23"/>
    <mergeCell ref="K32:K33"/>
    <mergeCell ref="K42:K43"/>
    <mergeCell ref="K52:K53"/>
    <mergeCell ref="K62:K63"/>
    <mergeCell ref="K72:K73"/>
    <mergeCell ref="K82:K83"/>
    <mergeCell ref="K92:K93"/>
    <mergeCell ref="K102:K103"/>
    <mergeCell ref="K112:K113"/>
    <mergeCell ref="K122:K123"/>
    <mergeCell ref="K132:K133"/>
    <mergeCell ref="K142:K143"/>
    <mergeCell ref="K152:K153"/>
    <mergeCell ref="J351:J352"/>
    <mergeCell ref="J353:J354"/>
    <mergeCell ref="J356:J357"/>
    <mergeCell ref="J358:J359"/>
    <mergeCell ref="J360:J361"/>
    <mergeCell ref="J363:J364"/>
    <mergeCell ref="J365:J366"/>
    <mergeCell ref="J367:J368"/>
    <mergeCell ref="J369:J370"/>
    <mergeCell ref="J332:J333"/>
    <mergeCell ref="J334:J335"/>
    <mergeCell ref="J336:J337"/>
    <mergeCell ref="J338:J339"/>
    <mergeCell ref="J340:J341"/>
    <mergeCell ref="J342:J343"/>
    <mergeCell ref="J344:J345"/>
    <mergeCell ref="J346:J347"/>
    <mergeCell ref="J349:J350"/>
    <mergeCell ref="J313:J314"/>
    <mergeCell ref="J316:J317"/>
    <mergeCell ref="J318:J319"/>
    <mergeCell ref="J320:J321"/>
    <mergeCell ref="J322:J323"/>
    <mergeCell ref="J324:J325"/>
    <mergeCell ref="J326:J327"/>
    <mergeCell ref="J328:J329"/>
    <mergeCell ref="J330:J331"/>
    <mergeCell ref="J272:J273"/>
    <mergeCell ref="J274:J275"/>
    <mergeCell ref="J276:J277"/>
    <mergeCell ref="J296:J297"/>
    <mergeCell ref="J299:J300"/>
    <mergeCell ref="J302:J303"/>
    <mergeCell ref="J306:J307"/>
    <mergeCell ref="J308:J309"/>
    <mergeCell ref="J310:J311"/>
    <mergeCell ref="J254:J255"/>
    <mergeCell ref="J256:J257"/>
    <mergeCell ref="J258:J259"/>
    <mergeCell ref="J260:J261"/>
    <mergeCell ref="J262:J263"/>
    <mergeCell ref="J264:J265"/>
    <mergeCell ref="J266:J267"/>
    <mergeCell ref="J268:J269"/>
    <mergeCell ref="J270:J271"/>
    <mergeCell ref="J236:J237"/>
    <mergeCell ref="J238:J239"/>
    <mergeCell ref="J240:J241"/>
    <mergeCell ref="J242:J243"/>
    <mergeCell ref="J244:J245"/>
    <mergeCell ref="J246:J247"/>
    <mergeCell ref="J248:J249"/>
    <mergeCell ref="J250:J251"/>
    <mergeCell ref="J252:J253"/>
    <mergeCell ref="J218:J219"/>
    <mergeCell ref="J220:J221"/>
    <mergeCell ref="J222:J223"/>
    <mergeCell ref="J224:J225"/>
    <mergeCell ref="J226:J227"/>
    <mergeCell ref="J228:J229"/>
    <mergeCell ref="J230:J231"/>
    <mergeCell ref="J232:J233"/>
    <mergeCell ref="J234:J235"/>
    <mergeCell ref="J200:J201"/>
    <mergeCell ref="J202:J203"/>
    <mergeCell ref="J204:J205"/>
    <mergeCell ref="J206:J207"/>
    <mergeCell ref="J208:J209"/>
    <mergeCell ref="J210:J211"/>
    <mergeCell ref="J212:J213"/>
    <mergeCell ref="J214:J215"/>
    <mergeCell ref="J216:J217"/>
    <mergeCell ref="J182:J183"/>
    <mergeCell ref="J184:J185"/>
    <mergeCell ref="J186:J187"/>
    <mergeCell ref="J188:J189"/>
    <mergeCell ref="J190:J191"/>
    <mergeCell ref="J192:J193"/>
    <mergeCell ref="J194:J195"/>
    <mergeCell ref="J196:J197"/>
    <mergeCell ref="J198:J199"/>
    <mergeCell ref="J164:J165"/>
    <mergeCell ref="J166:J167"/>
    <mergeCell ref="J168:J169"/>
    <mergeCell ref="J170:J171"/>
    <mergeCell ref="J172:J173"/>
    <mergeCell ref="J174:J175"/>
    <mergeCell ref="J176:J177"/>
    <mergeCell ref="J178:J179"/>
    <mergeCell ref="J180:J181"/>
    <mergeCell ref="J146:J147"/>
    <mergeCell ref="J148:J149"/>
    <mergeCell ref="J150:J151"/>
    <mergeCell ref="J152:J153"/>
    <mergeCell ref="J154:J155"/>
    <mergeCell ref="J156:J157"/>
    <mergeCell ref="J158:J159"/>
    <mergeCell ref="J160:J161"/>
    <mergeCell ref="J162:J163"/>
    <mergeCell ref="J128:J129"/>
    <mergeCell ref="J130:J131"/>
    <mergeCell ref="J132:J133"/>
    <mergeCell ref="J134:J135"/>
    <mergeCell ref="J136:J137"/>
    <mergeCell ref="J138:J139"/>
    <mergeCell ref="J140:J141"/>
    <mergeCell ref="J142:J143"/>
    <mergeCell ref="J144:J145"/>
    <mergeCell ref="J110:J111"/>
    <mergeCell ref="J112:J113"/>
    <mergeCell ref="J114:J115"/>
    <mergeCell ref="J116:J117"/>
    <mergeCell ref="J118:J119"/>
    <mergeCell ref="J120:J121"/>
    <mergeCell ref="J122:J123"/>
    <mergeCell ref="J124:J125"/>
    <mergeCell ref="J126:J127"/>
    <mergeCell ref="J92:J93"/>
    <mergeCell ref="J94:J95"/>
    <mergeCell ref="J96:J97"/>
    <mergeCell ref="J98:J99"/>
    <mergeCell ref="J100:J101"/>
    <mergeCell ref="J102:J103"/>
    <mergeCell ref="J104:J105"/>
    <mergeCell ref="J106:J107"/>
    <mergeCell ref="J108:J109"/>
    <mergeCell ref="J74:J75"/>
    <mergeCell ref="J76:J77"/>
    <mergeCell ref="J78:J79"/>
    <mergeCell ref="J80:J81"/>
    <mergeCell ref="J82:J83"/>
    <mergeCell ref="J84:J85"/>
    <mergeCell ref="J86:J87"/>
    <mergeCell ref="J88:J89"/>
    <mergeCell ref="J90:J91"/>
    <mergeCell ref="J56:J57"/>
    <mergeCell ref="J58:J59"/>
    <mergeCell ref="J60:J61"/>
    <mergeCell ref="J62:J63"/>
    <mergeCell ref="J64:J65"/>
    <mergeCell ref="J66:J67"/>
    <mergeCell ref="J68:J69"/>
    <mergeCell ref="J70:J71"/>
    <mergeCell ref="J72:J73"/>
    <mergeCell ref="J38:J39"/>
    <mergeCell ref="J40:J41"/>
    <mergeCell ref="J42:J43"/>
    <mergeCell ref="J44:J45"/>
    <mergeCell ref="J46:J47"/>
    <mergeCell ref="J48:J49"/>
    <mergeCell ref="J50:J51"/>
    <mergeCell ref="J52:J53"/>
    <mergeCell ref="J54:J55"/>
    <mergeCell ref="J20:J21"/>
    <mergeCell ref="J22:J23"/>
    <mergeCell ref="J24:J25"/>
    <mergeCell ref="J26:J27"/>
    <mergeCell ref="J28:J29"/>
    <mergeCell ref="J30:J31"/>
    <mergeCell ref="J32:J33"/>
    <mergeCell ref="J34:J35"/>
    <mergeCell ref="J36:J37"/>
    <mergeCell ref="J2:J3"/>
    <mergeCell ref="J4:J5"/>
    <mergeCell ref="J6:J7"/>
    <mergeCell ref="J8:J9"/>
    <mergeCell ref="J10:J11"/>
    <mergeCell ref="J12:J13"/>
    <mergeCell ref="J14:J15"/>
    <mergeCell ref="J16:J17"/>
    <mergeCell ref="J18:J19"/>
    <mergeCell ref="M4:M5"/>
    <mergeCell ref="N387:N388"/>
    <mergeCell ref="M365:M366"/>
    <mergeCell ref="N365:N366"/>
    <mergeCell ref="M384:M385"/>
    <mergeCell ref="M375:M376"/>
    <mergeCell ref="N381:N382"/>
    <mergeCell ref="M369:M370"/>
    <mergeCell ref="N369:N370"/>
    <mergeCell ref="M381:M382"/>
    <mergeCell ref="N384:N385"/>
    <mergeCell ref="M371:M372"/>
    <mergeCell ref="N371:N372"/>
    <mergeCell ref="N375:N376"/>
    <mergeCell ref="M379:M380"/>
    <mergeCell ref="N379:N380"/>
    <mergeCell ref="N377:N378"/>
    <mergeCell ref="N68:N69"/>
    <mergeCell ref="M72:M73"/>
    <mergeCell ref="N72:N73"/>
    <mergeCell ref="M88:M89"/>
    <mergeCell ref="N4:N5"/>
    <mergeCell ref="N326:N327"/>
    <mergeCell ref="N6:N7"/>
    <mergeCell ref="N346:N347"/>
    <mergeCell ref="N344:N345"/>
    <mergeCell ref="M360:M361"/>
    <mergeCell ref="N274:N275"/>
    <mergeCell ref="M302:M303"/>
    <mergeCell ref="M332:M333"/>
    <mergeCell ref="N332:N333"/>
    <mergeCell ref="M334:M335"/>
    <mergeCell ref="M356:M357"/>
    <mergeCell ref="N358:N359"/>
    <mergeCell ref="M346:M347"/>
    <mergeCell ref="M338:M339"/>
    <mergeCell ref="N322:N323"/>
    <mergeCell ref="N349:N350"/>
    <mergeCell ref="N330:N331"/>
    <mergeCell ref="M324:M325"/>
    <mergeCell ref="M330:M331"/>
    <mergeCell ref="M358:M359"/>
    <mergeCell ref="N353:N354"/>
    <mergeCell ref="N340:N341"/>
    <mergeCell ref="M349:M350"/>
    <mergeCell ref="M353:M354"/>
    <mergeCell ref="N76:N77"/>
    <mergeCell ref="M90:M91"/>
    <mergeCell ref="N248:N249"/>
    <mergeCell ref="N250:N251"/>
    <mergeCell ref="N262:N263"/>
    <mergeCell ref="M264:M265"/>
    <mergeCell ref="M258:M259"/>
    <mergeCell ref="M250:M251"/>
    <mergeCell ref="N82:N83"/>
    <mergeCell ref="M246:M247"/>
    <mergeCell ref="N260:N261"/>
    <mergeCell ref="N156:N157"/>
    <mergeCell ref="N106:N107"/>
    <mergeCell ref="M112:M113"/>
    <mergeCell ref="M102:M103"/>
    <mergeCell ref="N102:N103"/>
    <mergeCell ref="M130:M131"/>
    <mergeCell ref="N130:N131"/>
    <mergeCell ref="M132:M133"/>
    <mergeCell ref="N90:N91"/>
    <mergeCell ref="N92:N93"/>
    <mergeCell ref="M96:M97"/>
    <mergeCell ref="N132:N133"/>
    <mergeCell ref="A1:A401"/>
    <mergeCell ref="E1:F1"/>
    <mergeCell ref="C278:D278"/>
    <mergeCell ref="C289:D289"/>
    <mergeCell ref="C279:D279"/>
    <mergeCell ref="C281:D281"/>
    <mergeCell ref="C285:D285"/>
    <mergeCell ref="D387:D388"/>
    <mergeCell ref="C386:D386"/>
    <mergeCell ref="C315:D315"/>
    <mergeCell ref="C290:D290"/>
    <mergeCell ref="B291:D291"/>
    <mergeCell ref="B292:D292"/>
    <mergeCell ref="B293:D293"/>
    <mergeCell ref="B356:B362"/>
    <mergeCell ref="B363:B383"/>
    <mergeCell ref="B384:B386"/>
    <mergeCell ref="B387:B389"/>
    <mergeCell ref="B390:B397"/>
    <mergeCell ref="B399:C400"/>
    <mergeCell ref="B305:B312"/>
    <mergeCell ref="B313:B315"/>
    <mergeCell ref="B1:D1"/>
    <mergeCell ref="N334:N335"/>
    <mergeCell ref="N313:N314"/>
    <mergeCell ref="B294:B295"/>
    <mergeCell ref="B296:B304"/>
    <mergeCell ref="D384:D385"/>
    <mergeCell ref="B398:D398"/>
    <mergeCell ref="C389:D389"/>
    <mergeCell ref="M2:M3"/>
    <mergeCell ref="N2:N3"/>
    <mergeCell ref="M342:M343"/>
    <mergeCell ref="N342:N343"/>
    <mergeCell ref="M328:M329"/>
    <mergeCell ref="N328:N329"/>
    <mergeCell ref="N160:N161"/>
    <mergeCell ref="N154:N155"/>
    <mergeCell ref="N40:N41"/>
    <mergeCell ref="M36:M37"/>
    <mergeCell ref="N42:N43"/>
    <mergeCell ref="M46:M47"/>
    <mergeCell ref="N36:N37"/>
    <mergeCell ref="N16:N17"/>
    <mergeCell ref="M24:M25"/>
    <mergeCell ref="N24:N25"/>
    <mergeCell ref="N28:N29"/>
    <mergeCell ref="N30:N31"/>
    <mergeCell ref="M32:M33"/>
    <mergeCell ref="N32:N33"/>
    <mergeCell ref="M38:M39"/>
    <mergeCell ref="N38:N39"/>
    <mergeCell ref="M44:M45"/>
    <mergeCell ref="N44:N45"/>
    <mergeCell ref="M48:M49"/>
    <mergeCell ref="N48:N49"/>
    <mergeCell ref="M56:M57"/>
    <mergeCell ref="M8:M9"/>
    <mergeCell ref="M236:M237"/>
    <mergeCell ref="M296:M297"/>
    <mergeCell ref="N70:N71"/>
    <mergeCell ref="N64:N65"/>
    <mergeCell ref="N66:N67"/>
    <mergeCell ref="M64:M65"/>
    <mergeCell ref="N88:N89"/>
    <mergeCell ref="M78:M79"/>
    <mergeCell ref="N78:N79"/>
    <mergeCell ref="M80:M81"/>
    <mergeCell ref="N80:N81"/>
    <mergeCell ref="N86:N87"/>
    <mergeCell ref="M74:M75"/>
    <mergeCell ref="N74:N75"/>
    <mergeCell ref="M76:M77"/>
    <mergeCell ref="N54:N55"/>
    <mergeCell ref="N52:N53"/>
    <mergeCell ref="M54:M55"/>
    <mergeCell ref="N84:N85"/>
    <mergeCell ref="M266:M267"/>
    <mergeCell ref="M268:M269"/>
    <mergeCell ref="N268:N269"/>
    <mergeCell ref="N244:N245"/>
    <mergeCell ref="N232:N233"/>
    <mergeCell ref="M234:M235"/>
    <mergeCell ref="N234:N235"/>
    <mergeCell ref="N216:N217"/>
    <mergeCell ref="M230:M231"/>
    <mergeCell ref="N222:N223"/>
    <mergeCell ref="M224:M225"/>
    <mergeCell ref="N224:N225"/>
    <mergeCell ref="M218:M219"/>
    <mergeCell ref="N218:N219"/>
    <mergeCell ref="N12:N13"/>
    <mergeCell ref="M40:M41"/>
    <mergeCell ref="N10:N11"/>
    <mergeCell ref="M14:M15"/>
    <mergeCell ref="M26:M27"/>
    <mergeCell ref="N26:N27"/>
    <mergeCell ref="M20:M21"/>
    <mergeCell ref="N20:N21"/>
    <mergeCell ref="M22:M23"/>
    <mergeCell ref="M28:M29"/>
    <mergeCell ref="M116:M117"/>
    <mergeCell ref="M128:M129"/>
    <mergeCell ref="M18:M19"/>
    <mergeCell ref="N18:N19"/>
    <mergeCell ref="M10:M11"/>
    <mergeCell ref="M12:M13"/>
    <mergeCell ref="M58:M59"/>
    <mergeCell ref="N22:N23"/>
    <mergeCell ref="N46:N47"/>
    <mergeCell ref="M50:M51"/>
    <mergeCell ref="N58:N59"/>
    <mergeCell ref="M52:M53"/>
    <mergeCell ref="N56:N57"/>
    <mergeCell ref="N50:N51"/>
    <mergeCell ref="N373:N374"/>
    <mergeCell ref="M373:M374"/>
    <mergeCell ref="N124:N125"/>
    <mergeCell ref="M86:M87"/>
    <mergeCell ref="M126:M127"/>
    <mergeCell ref="N126:N127"/>
    <mergeCell ref="N128:N129"/>
    <mergeCell ref="N110:N111"/>
    <mergeCell ref="N108:N109"/>
    <mergeCell ref="M108:M109"/>
    <mergeCell ref="N116:N117"/>
    <mergeCell ref="M114:M115"/>
    <mergeCell ref="N114:N115"/>
    <mergeCell ref="N112:N113"/>
    <mergeCell ref="M100:M101"/>
    <mergeCell ref="M94:M95"/>
    <mergeCell ref="N104:N105"/>
    <mergeCell ref="M98:M99"/>
    <mergeCell ref="M110:M111"/>
    <mergeCell ref="M122:M123"/>
    <mergeCell ref="N192:N193"/>
    <mergeCell ref="N186:N187"/>
    <mergeCell ref="M188:M189"/>
    <mergeCell ref="N188:N189"/>
    <mergeCell ref="M182:M183"/>
    <mergeCell ref="N318:N319"/>
    <mergeCell ref="M322:M323"/>
    <mergeCell ref="M306:M307"/>
    <mergeCell ref="N301:N303"/>
    <mergeCell ref="N270:N271"/>
    <mergeCell ref="M260:M261"/>
    <mergeCell ref="N256:N257"/>
    <mergeCell ref="B316:B348"/>
    <mergeCell ref="C280:D280"/>
    <mergeCell ref="N134:N135"/>
    <mergeCell ref="N266:N267"/>
    <mergeCell ref="N316:N317"/>
    <mergeCell ref="N360:N361"/>
    <mergeCell ref="B349:B355"/>
    <mergeCell ref="C355:D355"/>
    <mergeCell ref="N363:N364"/>
    <mergeCell ref="M134:M135"/>
    <mergeCell ref="N136:N137"/>
    <mergeCell ref="N184:N185"/>
    <mergeCell ref="M198:M199"/>
    <mergeCell ref="N138:N139"/>
    <mergeCell ref="N140:N141"/>
    <mergeCell ref="N176:N177"/>
    <mergeCell ref="M170:M171"/>
    <mergeCell ref="N170:N171"/>
    <mergeCell ref="M172:M173"/>
    <mergeCell ref="N172:N173"/>
    <mergeCell ref="M162:M163"/>
    <mergeCell ref="N162:N163"/>
    <mergeCell ref="M164:M165"/>
    <mergeCell ref="N164:N165"/>
    <mergeCell ref="N142:N143"/>
    <mergeCell ref="N158:N159"/>
    <mergeCell ref="M156:M157"/>
    <mergeCell ref="M174:M175"/>
    <mergeCell ref="N254:N255"/>
    <mergeCell ref="M254:M255"/>
    <mergeCell ref="M244:M245"/>
    <mergeCell ref="N246:N247"/>
    <mergeCell ref="M377:M378"/>
    <mergeCell ref="N367:N368"/>
    <mergeCell ref="M367:M368"/>
    <mergeCell ref="M387:M388"/>
    <mergeCell ref="N144:N145"/>
    <mergeCell ref="M363:M364"/>
    <mergeCell ref="N296:N297"/>
    <mergeCell ref="M274:M275"/>
    <mergeCell ref="M351:M352"/>
    <mergeCell ref="N258:N259"/>
    <mergeCell ref="N252:N253"/>
    <mergeCell ref="N356:N357"/>
    <mergeCell ref="M308:M309"/>
    <mergeCell ref="M270:M271"/>
    <mergeCell ref="N308:N309"/>
    <mergeCell ref="M320:M321"/>
    <mergeCell ref="N320:N321"/>
    <mergeCell ref="M204:M205"/>
    <mergeCell ref="N204:N205"/>
    <mergeCell ref="N182:N183"/>
    <mergeCell ref="N146:N147"/>
    <mergeCell ref="M148:M149"/>
    <mergeCell ref="N148:N149"/>
    <mergeCell ref="M184:M185"/>
    <mergeCell ref="N166:N167"/>
    <mergeCell ref="N174:N175"/>
    <mergeCell ref="M144:M145"/>
    <mergeCell ref="N150:N151"/>
    <mergeCell ref="M152:M153"/>
    <mergeCell ref="N152:N153"/>
    <mergeCell ref="M146:M147"/>
    <mergeCell ref="M158:M159"/>
    <mergeCell ref="N8:N9"/>
    <mergeCell ref="N14:N15"/>
    <mergeCell ref="M34:M35"/>
    <mergeCell ref="N34:N35"/>
    <mergeCell ref="M42:M43"/>
    <mergeCell ref="B401:D401"/>
    <mergeCell ref="N298:N300"/>
    <mergeCell ref="N310:N311"/>
    <mergeCell ref="C312:D312"/>
    <mergeCell ref="C390:C393"/>
    <mergeCell ref="C394:C397"/>
    <mergeCell ref="M60:M61"/>
    <mergeCell ref="N60:N61"/>
    <mergeCell ref="M62:M63"/>
    <mergeCell ref="N62:N63"/>
    <mergeCell ref="C348:D348"/>
    <mergeCell ref="C294:D294"/>
    <mergeCell ref="C295:D295"/>
    <mergeCell ref="C304:D304"/>
    <mergeCell ref="C383:D383"/>
    <mergeCell ref="C362:D362"/>
    <mergeCell ref="B2:B280"/>
    <mergeCell ref="B281:B290"/>
    <mergeCell ref="N98:N99"/>
    <mergeCell ref="N94:N95"/>
    <mergeCell ref="N122:N123"/>
    <mergeCell ref="N118:N119"/>
    <mergeCell ref="M120:M121"/>
    <mergeCell ref="N120:N121"/>
    <mergeCell ref="N96:N97"/>
    <mergeCell ref="N100:N101"/>
    <mergeCell ref="M104:M105"/>
    <mergeCell ref="N305:N307"/>
    <mergeCell ref="N276:N277"/>
    <mergeCell ref="M310:M311"/>
    <mergeCell ref="N264:N265"/>
    <mergeCell ref="M318:M319"/>
    <mergeCell ref="M316:M317"/>
    <mergeCell ref="M252:M253"/>
    <mergeCell ref="N272:N273"/>
    <mergeCell ref="N351:N352"/>
    <mergeCell ref="N324:N325"/>
    <mergeCell ref="N338:N339"/>
    <mergeCell ref="M340:M341"/>
    <mergeCell ref="M336:M337"/>
    <mergeCell ref="N336:N337"/>
    <mergeCell ref="N206:N207"/>
    <mergeCell ref="M208:M209"/>
    <mergeCell ref="N208:N209"/>
    <mergeCell ref="N240:N241"/>
    <mergeCell ref="M242:M243"/>
    <mergeCell ref="N242:N243"/>
    <mergeCell ref="M206:M207"/>
    <mergeCell ref="M232:M233"/>
    <mergeCell ref="M248:M249"/>
    <mergeCell ref="N238:N239"/>
    <mergeCell ref="M238:M239"/>
    <mergeCell ref="M240:M241"/>
    <mergeCell ref="M222:M223"/>
    <mergeCell ref="M210:M211"/>
    <mergeCell ref="N226:N227"/>
    <mergeCell ref="M228:M229"/>
    <mergeCell ref="N228:N229"/>
    <mergeCell ref="N236:N237"/>
    <mergeCell ref="M220:M221"/>
    <mergeCell ref="N220:N221"/>
    <mergeCell ref="N212:N213"/>
    <mergeCell ref="N214:N215"/>
    <mergeCell ref="M136:M137"/>
    <mergeCell ref="N178:N179"/>
    <mergeCell ref="M180:M181"/>
    <mergeCell ref="N180:N181"/>
    <mergeCell ref="N198:N199"/>
    <mergeCell ref="M226:M227"/>
    <mergeCell ref="N210:N211"/>
    <mergeCell ref="M212:M213"/>
    <mergeCell ref="N230:N231"/>
    <mergeCell ref="M168:M169"/>
    <mergeCell ref="N168:N169"/>
    <mergeCell ref="N202:N203"/>
    <mergeCell ref="M186:M187"/>
    <mergeCell ref="M176:M177"/>
    <mergeCell ref="N200:N201"/>
    <mergeCell ref="M194:M195"/>
    <mergeCell ref="N194:N195"/>
    <mergeCell ref="M196:M197"/>
    <mergeCell ref="N196:N197"/>
    <mergeCell ref="M190:M191"/>
    <mergeCell ref="N190:N191"/>
    <mergeCell ref="M6:M7"/>
    <mergeCell ref="M154:M155"/>
    <mergeCell ref="M118:M119"/>
    <mergeCell ref="M344:M345"/>
    <mergeCell ref="M138:M139"/>
    <mergeCell ref="M160:M161"/>
    <mergeCell ref="M299:M300"/>
    <mergeCell ref="M272:M273"/>
    <mergeCell ref="M200:M201"/>
    <mergeCell ref="M140:M141"/>
    <mergeCell ref="M178:M179"/>
    <mergeCell ref="M70:M71"/>
    <mergeCell ref="M326:M327"/>
    <mergeCell ref="M92:M93"/>
    <mergeCell ref="M214:M215"/>
    <mergeCell ref="M166:M167"/>
    <mergeCell ref="M68:M69"/>
    <mergeCell ref="M276:M277"/>
    <mergeCell ref="M150:M151"/>
    <mergeCell ref="M202:M203"/>
    <mergeCell ref="M262:M263"/>
    <mergeCell ref="M256:M257"/>
    <mergeCell ref="M106:M107"/>
    <mergeCell ref="M66:M67"/>
    <mergeCell ref="M84:M85"/>
    <mergeCell ref="M142:M143"/>
    <mergeCell ref="M82:M83"/>
    <mergeCell ref="M124:M125"/>
    <mergeCell ref="M216:M217"/>
    <mergeCell ref="M192:M193"/>
    <mergeCell ref="M30:M31"/>
    <mergeCell ref="M16:M17"/>
    <mergeCell ref="G2:G3"/>
    <mergeCell ref="H2:H3"/>
    <mergeCell ref="G4:G5"/>
    <mergeCell ref="H4:H5"/>
    <mergeCell ref="G6:G7"/>
    <mergeCell ref="H6:H7"/>
    <mergeCell ref="G8:G9"/>
    <mergeCell ref="H8:H9"/>
    <mergeCell ref="G10:G11"/>
    <mergeCell ref="H10:H11"/>
    <mergeCell ref="G30:G31"/>
    <mergeCell ref="H30:H31"/>
    <mergeCell ref="G32:G33"/>
    <mergeCell ref="H32:H33"/>
    <mergeCell ref="G78:G79"/>
    <mergeCell ref="H78:H79"/>
    <mergeCell ref="G66:G67"/>
    <mergeCell ref="H66:H67"/>
    <mergeCell ref="G68:G69"/>
    <mergeCell ref="H68:H69"/>
    <mergeCell ref="G70:G71"/>
    <mergeCell ref="G28:G29"/>
    <mergeCell ref="H28:H29"/>
    <mergeCell ref="G58:G59"/>
    <mergeCell ref="H58:H59"/>
    <mergeCell ref="G36:G37"/>
    <mergeCell ref="H36:H37"/>
    <mergeCell ref="G38:G39"/>
    <mergeCell ref="H38:H39"/>
    <mergeCell ref="G40:G41"/>
    <mergeCell ref="H40:H41"/>
    <mergeCell ref="G42:G43"/>
    <mergeCell ref="G384:G385"/>
    <mergeCell ref="H384:H385"/>
    <mergeCell ref="G363:G364"/>
    <mergeCell ref="H363:H364"/>
    <mergeCell ref="G365:G366"/>
    <mergeCell ref="H365:H366"/>
    <mergeCell ref="G379:G380"/>
    <mergeCell ref="H379:H380"/>
    <mergeCell ref="G381:G382"/>
    <mergeCell ref="H381:H382"/>
    <mergeCell ref="G358:G359"/>
    <mergeCell ref="H358:H359"/>
    <mergeCell ref="G360:G361"/>
    <mergeCell ref="H360:H361"/>
    <mergeCell ref="G34:G35"/>
    <mergeCell ref="H34:H35"/>
    <mergeCell ref="G12:G13"/>
    <mergeCell ref="H12:H13"/>
    <mergeCell ref="G14:G15"/>
    <mergeCell ref="H14:H15"/>
    <mergeCell ref="G16:G17"/>
    <mergeCell ref="H16:H17"/>
    <mergeCell ref="G18:G19"/>
    <mergeCell ref="H18:H19"/>
    <mergeCell ref="G20:G21"/>
    <mergeCell ref="H20:H21"/>
    <mergeCell ref="G22:G23"/>
    <mergeCell ref="H22:H23"/>
    <mergeCell ref="G24:G25"/>
    <mergeCell ref="H24:H25"/>
    <mergeCell ref="G26:G27"/>
    <mergeCell ref="H26:H27"/>
    <mergeCell ref="H42:H43"/>
    <mergeCell ref="G44:G45"/>
    <mergeCell ref="H44:H45"/>
    <mergeCell ref="G46:G47"/>
    <mergeCell ref="H46:H47"/>
    <mergeCell ref="G48:G49"/>
    <mergeCell ref="H48:H49"/>
    <mergeCell ref="G50:G51"/>
    <mergeCell ref="H50:H51"/>
    <mergeCell ref="G52:G53"/>
    <mergeCell ref="H52:H53"/>
    <mergeCell ref="G54:G55"/>
    <mergeCell ref="H54:H55"/>
    <mergeCell ref="G56:G57"/>
    <mergeCell ref="H56:H57"/>
    <mergeCell ref="G60:G61"/>
    <mergeCell ref="H60:H61"/>
    <mergeCell ref="G62:G63"/>
    <mergeCell ref="H62:H63"/>
    <mergeCell ref="G64:G65"/>
    <mergeCell ref="H64:H65"/>
    <mergeCell ref="G82:G83"/>
    <mergeCell ref="H82:H83"/>
    <mergeCell ref="G84:G85"/>
    <mergeCell ref="H84:H85"/>
    <mergeCell ref="H70:H71"/>
    <mergeCell ref="G72:G73"/>
    <mergeCell ref="H72:H73"/>
    <mergeCell ref="G74:G75"/>
    <mergeCell ref="H74:H75"/>
    <mergeCell ref="G76:G77"/>
    <mergeCell ref="H76:H77"/>
    <mergeCell ref="G80:G81"/>
    <mergeCell ref="H80:H81"/>
    <mergeCell ref="G88:G89"/>
    <mergeCell ref="H88:H89"/>
    <mergeCell ref="G90:G91"/>
    <mergeCell ref="H90:H91"/>
    <mergeCell ref="G92:G93"/>
    <mergeCell ref="H92:H93"/>
    <mergeCell ref="G94:G95"/>
    <mergeCell ref="H94:H95"/>
    <mergeCell ref="G96:G97"/>
    <mergeCell ref="H96:H97"/>
    <mergeCell ref="G98:G99"/>
    <mergeCell ref="H98:H99"/>
    <mergeCell ref="G100:G101"/>
    <mergeCell ref="H100:H101"/>
    <mergeCell ref="G102:G103"/>
    <mergeCell ref="H102:H103"/>
    <mergeCell ref="G104:G105"/>
    <mergeCell ref="H104:H105"/>
    <mergeCell ref="G86:G87"/>
    <mergeCell ref="H86:H87"/>
    <mergeCell ref="G106:G107"/>
    <mergeCell ref="H106:H107"/>
    <mergeCell ref="G108:G109"/>
    <mergeCell ref="H108:H109"/>
    <mergeCell ref="G134:G135"/>
    <mergeCell ref="H134:H135"/>
    <mergeCell ref="G112:G113"/>
    <mergeCell ref="H112:H113"/>
    <mergeCell ref="G114:G115"/>
    <mergeCell ref="H114:H115"/>
    <mergeCell ref="G116:G117"/>
    <mergeCell ref="H116:H117"/>
    <mergeCell ref="G118:G119"/>
    <mergeCell ref="H118:H119"/>
    <mergeCell ref="G120:G121"/>
    <mergeCell ref="H120:H121"/>
    <mergeCell ref="G122:G123"/>
    <mergeCell ref="H122:H123"/>
    <mergeCell ref="G124:G125"/>
    <mergeCell ref="H124:H125"/>
    <mergeCell ref="G126:G127"/>
    <mergeCell ref="H126:H127"/>
    <mergeCell ref="G128:G129"/>
    <mergeCell ref="H128:H129"/>
    <mergeCell ref="G130:G131"/>
    <mergeCell ref="H130:H131"/>
    <mergeCell ref="G132:G133"/>
    <mergeCell ref="H132:H133"/>
    <mergeCell ref="G110:G111"/>
    <mergeCell ref="H110:H111"/>
    <mergeCell ref="G158:G159"/>
    <mergeCell ref="H158:H159"/>
    <mergeCell ref="G136:G137"/>
    <mergeCell ref="H136:H137"/>
    <mergeCell ref="G138:G139"/>
    <mergeCell ref="H138:H139"/>
    <mergeCell ref="G140:G141"/>
    <mergeCell ref="H140:H141"/>
    <mergeCell ref="G142:G143"/>
    <mergeCell ref="H142:H143"/>
    <mergeCell ref="G144:G145"/>
    <mergeCell ref="H144:H145"/>
    <mergeCell ref="G146:G147"/>
    <mergeCell ref="H146:H147"/>
    <mergeCell ref="G148:G149"/>
    <mergeCell ref="H148:H149"/>
    <mergeCell ref="G150:G151"/>
    <mergeCell ref="H150:H151"/>
    <mergeCell ref="G152:G153"/>
    <mergeCell ref="H152:H153"/>
    <mergeCell ref="G154:G155"/>
    <mergeCell ref="H154:H155"/>
    <mergeCell ref="G156:G157"/>
    <mergeCell ref="H156:H157"/>
    <mergeCell ref="G182:G183"/>
    <mergeCell ref="H182:H183"/>
    <mergeCell ref="G160:G161"/>
    <mergeCell ref="H160:H161"/>
    <mergeCell ref="G162:G163"/>
    <mergeCell ref="H162:H163"/>
    <mergeCell ref="G164:G165"/>
    <mergeCell ref="H164:H165"/>
    <mergeCell ref="G166:G167"/>
    <mergeCell ref="H166:H167"/>
    <mergeCell ref="G168:G169"/>
    <mergeCell ref="H168:H169"/>
    <mergeCell ref="G170:G171"/>
    <mergeCell ref="H170:H171"/>
    <mergeCell ref="G172:G173"/>
    <mergeCell ref="H172:H173"/>
    <mergeCell ref="G174:G175"/>
    <mergeCell ref="H174:H175"/>
    <mergeCell ref="G176:G177"/>
    <mergeCell ref="H176:H177"/>
    <mergeCell ref="G178:G179"/>
    <mergeCell ref="H178:H179"/>
    <mergeCell ref="G180:G181"/>
    <mergeCell ref="H180:H181"/>
    <mergeCell ref="G206:G207"/>
    <mergeCell ref="H206:H207"/>
    <mergeCell ref="G184:G185"/>
    <mergeCell ref="H184:H185"/>
    <mergeCell ref="G186:G187"/>
    <mergeCell ref="H186:H187"/>
    <mergeCell ref="G188:G189"/>
    <mergeCell ref="H188:H189"/>
    <mergeCell ref="G190:G191"/>
    <mergeCell ref="H190:H191"/>
    <mergeCell ref="G192:G193"/>
    <mergeCell ref="H192:H193"/>
    <mergeCell ref="G194:G195"/>
    <mergeCell ref="H194:H195"/>
    <mergeCell ref="G196:G197"/>
    <mergeCell ref="H196:H197"/>
    <mergeCell ref="G198:G199"/>
    <mergeCell ref="H198:H199"/>
    <mergeCell ref="G200:G201"/>
    <mergeCell ref="H200:H201"/>
    <mergeCell ref="G202:G203"/>
    <mergeCell ref="H202:H203"/>
    <mergeCell ref="G204:G205"/>
    <mergeCell ref="H204:H205"/>
    <mergeCell ref="G230:G231"/>
    <mergeCell ref="H230:H231"/>
    <mergeCell ref="G208:G209"/>
    <mergeCell ref="H208:H209"/>
    <mergeCell ref="G210:G211"/>
    <mergeCell ref="H210:H211"/>
    <mergeCell ref="G212:G213"/>
    <mergeCell ref="H212:H213"/>
    <mergeCell ref="G214:G215"/>
    <mergeCell ref="H214:H215"/>
    <mergeCell ref="G216:G217"/>
    <mergeCell ref="H216:H217"/>
    <mergeCell ref="G218:G219"/>
    <mergeCell ref="H218:H219"/>
    <mergeCell ref="G220:G221"/>
    <mergeCell ref="H220:H221"/>
    <mergeCell ref="G222:G223"/>
    <mergeCell ref="H222:H223"/>
    <mergeCell ref="G224:G225"/>
    <mergeCell ref="H224:H225"/>
    <mergeCell ref="G226:G227"/>
    <mergeCell ref="H226:H227"/>
    <mergeCell ref="G228:G229"/>
    <mergeCell ref="H228:H229"/>
    <mergeCell ref="G254:G255"/>
    <mergeCell ref="H254:H255"/>
    <mergeCell ref="G232:G233"/>
    <mergeCell ref="H232:H233"/>
    <mergeCell ref="G234:G235"/>
    <mergeCell ref="H234:H235"/>
    <mergeCell ref="G236:G237"/>
    <mergeCell ref="H236:H237"/>
    <mergeCell ref="G238:G239"/>
    <mergeCell ref="H238:H239"/>
    <mergeCell ref="G240:G241"/>
    <mergeCell ref="H240:H241"/>
    <mergeCell ref="G242:G243"/>
    <mergeCell ref="H242:H243"/>
    <mergeCell ref="G244:G245"/>
    <mergeCell ref="H244:H245"/>
    <mergeCell ref="G246:G247"/>
    <mergeCell ref="H246:H247"/>
    <mergeCell ref="G248:G249"/>
    <mergeCell ref="H248:H249"/>
    <mergeCell ref="G250:G251"/>
    <mergeCell ref="H250:H251"/>
    <mergeCell ref="G252:G253"/>
    <mergeCell ref="H252:H253"/>
    <mergeCell ref="G296:G297"/>
    <mergeCell ref="H296:H297"/>
    <mergeCell ref="G256:G257"/>
    <mergeCell ref="H256:H257"/>
    <mergeCell ref="G258:G259"/>
    <mergeCell ref="H258:H259"/>
    <mergeCell ref="G260:G261"/>
    <mergeCell ref="H260:H261"/>
    <mergeCell ref="G262:G263"/>
    <mergeCell ref="H262:H263"/>
    <mergeCell ref="G264:G265"/>
    <mergeCell ref="H264:H265"/>
    <mergeCell ref="G266:G267"/>
    <mergeCell ref="H266:H267"/>
    <mergeCell ref="G268:G269"/>
    <mergeCell ref="H268:H269"/>
    <mergeCell ref="G270:G271"/>
    <mergeCell ref="H270:H271"/>
    <mergeCell ref="G272:G273"/>
    <mergeCell ref="H272:H273"/>
    <mergeCell ref="G274:G275"/>
    <mergeCell ref="H274:H275"/>
    <mergeCell ref="G276:G277"/>
    <mergeCell ref="H276:H277"/>
    <mergeCell ref="G299:G300"/>
    <mergeCell ref="H299:H300"/>
    <mergeCell ref="G302:G303"/>
    <mergeCell ref="H302:H303"/>
    <mergeCell ref="G306:G307"/>
    <mergeCell ref="H306:H307"/>
    <mergeCell ref="G308:G309"/>
    <mergeCell ref="H308:H309"/>
    <mergeCell ref="G310:G311"/>
    <mergeCell ref="H310:H311"/>
    <mergeCell ref="G316:G317"/>
    <mergeCell ref="H316:H317"/>
    <mergeCell ref="G318:G319"/>
    <mergeCell ref="H318:H319"/>
    <mergeCell ref="G320:G321"/>
    <mergeCell ref="H320:H321"/>
    <mergeCell ref="G322:G323"/>
    <mergeCell ref="H322:H323"/>
    <mergeCell ref="G313:G314"/>
    <mergeCell ref="H313:H314"/>
    <mergeCell ref="G373:G374"/>
    <mergeCell ref="H373:H374"/>
    <mergeCell ref="G367:G368"/>
    <mergeCell ref="H367:H368"/>
    <mergeCell ref="G369:G370"/>
    <mergeCell ref="H369:H370"/>
    <mergeCell ref="G324:G325"/>
    <mergeCell ref="H324:H325"/>
    <mergeCell ref="G326:G327"/>
    <mergeCell ref="H326:H327"/>
    <mergeCell ref="G330:G331"/>
    <mergeCell ref="H330:H331"/>
    <mergeCell ref="G356:G357"/>
    <mergeCell ref="H356:H357"/>
    <mergeCell ref="G332:G333"/>
    <mergeCell ref="H332:H333"/>
    <mergeCell ref="G334:G335"/>
    <mergeCell ref="H334:H335"/>
    <mergeCell ref="G336:G337"/>
    <mergeCell ref="H336:H337"/>
    <mergeCell ref="G338:G339"/>
    <mergeCell ref="H338:H339"/>
    <mergeCell ref="G340:G341"/>
    <mergeCell ref="H340:H341"/>
    <mergeCell ref="G342:G343"/>
    <mergeCell ref="H342:H343"/>
    <mergeCell ref="G328:G329"/>
    <mergeCell ref="H328:H329"/>
    <mergeCell ref="I2:I3"/>
    <mergeCell ref="I4:I5"/>
    <mergeCell ref="G387:G388"/>
    <mergeCell ref="H387:H388"/>
    <mergeCell ref="G344:G345"/>
    <mergeCell ref="H344:H345"/>
    <mergeCell ref="G346:G347"/>
    <mergeCell ref="H346:H347"/>
    <mergeCell ref="G349:G350"/>
    <mergeCell ref="H349:H350"/>
    <mergeCell ref="G351:G352"/>
    <mergeCell ref="H351:H352"/>
    <mergeCell ref="G353:G354"/>
    <mergeCell ref="H353:H354"/>
    <mergeCell ref="G375:G376"/>
    <mergeCell ref="H375:H376"/>
    <mergeCell ref="G377:G378"/>
    <mergeCell ref="H377:H378"/>
    <mergeCell ref="G371:G372"/>
    <mergeCell ref="H371:H372"/>
    <mergeCell ref="I10:I11"/>
    <mergeCell ref="I12:I13"/>
    <mergeCell ref="I6:I7"/>
    <mergeCell ref="I8:I9"/>
    <mergeCell ref="I18:I19"/>
    <mergeCell ref="I20:I21"/>
    <mergeCell ref="I14:I15"/>
    <mergeCell ref="I16:I17"/>
    <mergeCell ref="I26:I27"/>
    <mergeCell ref="I28:I29"/>
    <mergeCell ref="I22:I23"/>
    <mergeCell ref="I24:I25"/>
    <mergeCell ref="I34:I35"/>
    <mergeCell ref="I36:I37"/>
    <mergeCell ref="I30:I31"/>
    <mergeCell ref="I32:I33"/>
    <mergeCell ref="I42:I43"/>
    <mergeCell ref="I44:I45"/>
    <mergeCell ref="I38:I39"/>
    <mergeCell ref="I40:I41"/>
    <mergeCell ref="I50:I51"/>
    <mergeCell ref="I52:I53"/>
    <mergeCell ref="I46:I47"/>
    <mergeCell ref="I48:I49"/>
    <mergeCell ref="I58:I59"/>
    <mergeCell ref="I60:I61"/>
    <mergeCell ref="I54:I55"/>
    <mergeCell ref="I56:I57"/>
    <mergeCell ref="I66:I67"/>
    <mergeCell ref="I68:I69"/>
    <mergeCell ref="I62:I63"/>
    <mergeCell ref="I64:I65"/>
    <mergeCell ref="I74:I75"/>
    <mergeCell ref="I76:I77"/>
    <mergeCell ref="I70:I71"/>
    <mergeCell ref="I72:I73"/>
    <mergeCell ref="I82:I83"/>
    <mergeCell ref="I84:I85"/>
    <mergeCell ref="I78:I79"/>
    <mergeCell ref="I80:I81"/>
    <mergeCell ref="I90:I91"/>
    <mergeCell ref="I92:I93"/>
    <mergeCell ref="I86:I87"/>
    <mergeCell ref="I88:I89"/>
    <mergeCell ref="I98:I99"/>
    <mergeCell ref="I100:I101"/>
    <mergeCell ref="I94:I95"/>
    <mergeCell ref="I96:I97"/>
    <mergeCell ref="I106:I107"/>
    <mergeCell ref="I108:I109"/>
    <mergeCell ref="I102:I103"/>
    <mergeCell ref="I104:I105"/>
    <mergeCell ref="I114:I115"/>
    <mergeCell ref="I116:I117"/>
    <mergeCell ref="I110:I111"/>
    <mergeCell ref="I112:I113"/>
    <mergeCell ref="I122:I123"/>
    <mergeCell ref="I124:I125"/>
    <mergeCell ref="I118:I119"/>
    <mergeCell ref="I120:I121"/>
    <mergeCell ref="I130:I131"/>
    <mergeCell ref="I132:I133"/>
    <mergeCell ref="I126:I127"/>
    <mergeCell ref="I128:I129"/>
    <mergeCell ref="I138:I139"/>
    <mergeCell ref="I140:I141"/>
    <mergeCell ref="I134:I135"/>
    <mergeCell ref="I136:I137"/>
    <mergeCell ref="I146:I147"/>
    <mergeCell ref="I148:I149"/>
    <mergeCell ref="I142:I143"/>
    <mergeCell ref="I144:I145"/>
    <mergeCell ref="I154:I155"/>
    <mergeCell ref="I156:I157"/>
    <mergeCell ref="I150:I151"/>
    <mergeCell ref="I152:I153"/>
    <mergeCell ref="I162:I163"/>
    <mergeCell ref="I164:I165"/>
    <mergeCell ref="I158:I159"/>
    <mergeCell ref="I160:I161"/>
    <mergeCell ref="I170:I171"/>
    <mergeCell ref="I172:I173"/>
    <mergeCell ref="I166:I167"/>
    <mergeCell ref="I168:I169"/>
    <mergeCell ref="I178:I179"/>
    <mergeCell ref="I180:I181"/>
    <mergeCell ref="I174:I175"/>
    <mergeCell ref="I176:I177"/>
    <mergeCell ref="I186:I187"/>
    <mergeCell ref="I188:I189"/>
    <mergeCell ref="I182:I183"/>
    <mergeCell ref="I184:I185"/>
    <mergeCell ref="I194:I195"/>
    <mergeCell ref="I196:I197"/>
    <mergeCell ref="I190:I191"/>
    <mergeCell ref="I192:I193"/>
    <mergeCell ref="I202:I203"/>
    <mergeCell ref="I204:I205"/>
    <mergeCell ref="I198:I199"/>
    <mergeCell ref="I200:I201"/>
    <mergeCell ref="I210:I211"/>
    <mergeCell ref="I212:I213"/>
    <mergeCell ref="I206:I207"/>
    <mergeCell ref="I208:I209"/>
    <mergeCell ref="I218:I219"/>
    <mergeCell ref="I220:I221"/>
    <mergeCell ref="I214:I215"/>
    <mergeCell ref="I216:I217"/>
    <mergeCell ref="I226:I227"/>
    <mergeCell ref="I228:I229"/>
    <mergeCell ref="I222:I223"/>
    <mergeCell ref="I224:I225"/>
    <mergeCell ref="I234:I235"/>
    <mergeCell ref="I236:I237"/>
    <mergeCell ref="I230:I231"/>
    <mergeCell ref="I232:I233"/>
    <mergeCell ref="I242:I243"/>
    <mergeCell ref="I244:I245"/>
    <mergeCell ref="I238:I239"/>
    <mergeCell ref="I240:I241"/>
    <mergeCell ref="I250:I251"/>
    <mergeCell ref="I252:I253"/>
    <mergeCell ref="I246:I247"/>
    <mergeCell ref="I248:I249"/>
    <mergeCell ref="I258:I259"/>
    <mergeCell ref="I260:I261"/>
    <mergeCell ref="I254:I255"/>
    <mergeCell ref="I256:I257"/>
    <mergeCell ref="I266:I267"/>
    <mergeCell ref="I268:I269"/>
    <mergeCell ref="I262:I263"/>
    <mergeCell ref="I264:I265"/>
    <mergeCell ref="I274:I275"/>
    <mergeCell ref="I276:I277"/>
    <mergeCell ref="I270:I271"/>
    <mergeCell ref="I272:I273"/>
    <mergeCell ref="I302:I303"/>
    <mergeCell ref="I306:I307"/>
    <mergeCell ref="I296:I297"/>
    <mergeCell ref="I299:I300"/>
    <mergeCell ref="I316:I317"/>
    <mergeCell ref="I318:I319"/>
    <mergeCell ref="I308:I309"/>
    <mergeCell ref="I310:I311"/>
    <mergeCell ref="I313:I314"/>
    <mergeCell ref="I324:I325"/>
    <mergeCell ref="I326:I327"/>
    <mergeCell ref="I320:I321"/>
    <mergeCell ref="I322:I323"/>
    <mergeCell ref="I332:I333"/>
    <mergeCell ref="I334:I335"/>
    <mergeCell ref="I328:I329"/>
    <mergeCell ref="I330:I331"/>
    <mergeCell ref="I340:I341"/>
    <mergeCell ref="I384:I385"/>
    <mergeCell ref="I387:I388"/>
    <mergeCell ref="I379:I380"/>
    <mergeCell ref="I381:I382"/>
    <mergeCell ref="I375:I376"/>
    <mergeCell ref="I342:I343"/>
    <mergeCell ref="I336:I337"/>
    <mergeCell ref="I338:I339"/>
    <mergeCell ref="I349:I350"/>
    <mergeCell ref="I351:I352"/>
    <mergeCell ref="I344:I345"/>
    <mergeCell ref="I346:I347"/>
    <mergeCell ref="I358:I359"/>
    <mergeCell ref="I360:I361"/>
    <mergeCell ref="I353:I354"/>
    <mergeCell ref="I356:I357"/>
    <mergeCell ref="I367:I368"/>
    <mergeCell ref="I369:I370"/>
    <mergeCell ref="I363:I364"/>
    <mergeCell ref="I365:I366"/>
    <mergeCell ref="I377:I378"/>
    <mergeCell ref="I371:I372"/>
    <mergeCell ref="I373:I374"/>
  </mergeCells>
  <hyperlinks>
    <hyperlink ref="B1:D1" location="PAINEL!A1" display="TRECHO"/>
  </hyperlinks>
  <pageMargins left="0.78740157480314965" right="0.78740157480314965" top="0.59055118110236227" bottom="0.59055118110236227" header="0.31496062992125984" footer="0.23622047244094491"/>
  <pageSetup paperSize="9" scale="58" fitToHeight="47" orientation="landscape" r:id="rId1"/>
  <headerFooter>
    <oddFooter>&amp;L&amp;"Arial,Normal"&amp;8&amp;F&amp;C&amp;"Arial,Normal"&amp;8 &amp;P / &amp;N                                        &amp;R&amp;"+,Regular"&amp;8Ricardo Schettini Figueiredo
Eng. Civil - CREA-RJ 52.656/D</oddFooter>
  </headerFooter>
  <ignoredErrors>
    <ignoredError sqref="O333:O388 O285:O294 O235:O281 O193:O234 O156:O191 O114:O155 O78:O112 O39:O77 O15:O38 O3:O13 O296:O332" formula="1"/>
  </ignoredErrors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K679"/>
  <sheetViews>
    <sheetView showGridLines="0" view="pageBreakPreview" topLeftCell="A80" zoomScaleNormal="100" zoomScaleSheetLayoutView="100" workbookViewId="0">
      <selection activeCell="D18" sqref="B13:I28"/>
    </sheetView>
  </sheetViews>
  <sheetFormatPr defaultColWidth="9" defaultRowHeight="12.75" x14ac:dyDescent="0.2"/>
  <cols>
    <col min="1" max="1" width="12.5" style="21" customWidth="1"/>
    <col min="2" max="2" width="10.625" style="21" customWidth="1"/>
    <col min="3" max="6" width="12.5" style="21" customWidth="1"/>
    <col min="7" max="7" width="12.5" style="2116" customWidth="1"/>
    <col min="8" max="8" width="9" style="21"/>
    <col min="9" max="9" width="10.375" style="21" customWidth="1"/>
    <col min="10" max="16384" width="9" style="21"/>
  </cols>
  <sheetData>
    <row r="1" spans="1:4" x14ac:dyDescent="0.2">
      <c r="D1" s="2115" t="s">
        <v>2449</v>
      </c>
    </row>
    <row r="3" spans="1:4" x14ac:dyDescent="0.2">
      <c r="A3" s="2117" t="s">
        <v>2450</v>
      </c>
      <c r="B3" s="21" t="s">
        <v>2451</v>
      </c>
    </row>
    <row r="4" spans="1:4" x14ac:dyDescent="0.2">
      <c r="A4" s="2117" t="s">
        <v>2</v>
      </c>
      <c r="B4" s="21" t="s">
        <v>2452</v>
      </c>
    </row>
    <row r="5" spans="1:4" x14ac:dyDescent="0.2">
      <c r="A5" s="2117" t="s">
        <v>2453</v>
      </c>
      <c r="B5" s="21" t="s">
        <v>2454</v>
      </c>
    </row>
    <row r="6" spans="1:4" x14ac:dyDescent="0.2">
      <c r="A6" s="2117" t="s">
        <v>2455</v>
      </c>
      <c r="B6" s="21" t="s">
        <v>2456</v>
      </c>
    </row>
    <row r="8" spans="1:4" x14ac:dyDescent="0.2">
      <c r="A8" s="2118" t="s">
        <v>2457</v>
      </c>
    </row>
    <row r="35" spans="1:9" ht="13.5" thickBot="1" x14ac:dyDescent="0.25"/>
    <row r="36" spans="1:9" ht="13.5" thickBot="1" x14ac:dyDescent="0.25">
      <c r="A36" s="2993" t="s">
        <v>2458</v>
      </c>
      <c r="B36" s="2994"/>
      <c r="C36" s="2994"/>
      <c r="D36" s="2994"/>
      <c r="E36" s="2994"/>
      <c r="F36" s="2994"/>
      <c r="G36" s="2995"/>
    </row>
    <row r="37" spans="1:9" ht="13.5" customHeight="1" x14ac:dyDescent="0.2">
      <c r="A37" s="2119" t="s">
        <v>2459</v>
      </c>
      <c r="B37" s="2120" t="s">
        <v>2460</v>
      </c>
      <c r="C37" s="2120" t="s">
        <v>2461</v>
      </c>
      <c r="D37" s="2120" t="s">
        <v>2462</v>
      </c>
      <c r="E37" s="2120" t="s">
        <v>2463</v>
      </c>
      <c r="F37" s="2120" t="s">
        <v>2464</v>
      </c>
      <c r="G37" s="3027" t="s">
        <v>2465</v>
      </c>
    </row>
    <row r="38" spans="1:9" ht="15" thickBot="1" x14ac:dyDescent="0.25">
      <c r="A38" s="2186" t="s">
        <v>2466</v>
      </c>
      <c r="B38" s="2189" t="s">
        <v>2467</v>
      </c>
      <c r="C38" s="2121" t="s">
        <v>2466</v>
      </c>
      <c r="D38" s="2189" t="s">
        <v>2468</v>
      </c>
      <c r="E38" s="2121" t="s">
        <v>2466</v>
      </c>
      <c r="F38" s="2189" t="s">
        <v>2469</v>
      </c>
      <c r="G38" s="3028"/>
    </row>
    <row r="39" spans="1:9" ht="13.5" thickBot="1" x14ac:dyDescent="0.25">
      <c r="A39" s="2122">
        <v>1</v>
      </c>
      <c r="B39" s="2123">
        <v>0.4</v>
      </c>
      <c r="C39" s="2123">
        <v>1</v>
      </c>
      <c r="D39" s="2123">
        <v>7</v>
      </c>
      <c r="E39" s="2123">
        <v>1</v>
      </c>
      <c r="F39" s="2123">
        <v>1.25</v>
      </c>
      <c r="G39" s="2124">
        <f>ROUND((A39+B39+C39)*(D39+E39)*F39,2)</f>
        <v>24</v>
      </c>
    </row>
    <row r="40" spans="1:9" ht="13.5" thickBot="1" x14ac:dyDescent="0.25"/>
    <row r="41" spans="1:9" ht="13.5" thickBot="1" x14ac:dyDescent="0.25">
      <c r="A41" s="2993" t="s">
        <v>2470</v>
      </c>
      <c r="B41" s="2994"/>
      <c r="C41" s="2994"/>
      <c r="D41" s="2994"/>
      <c r="E41" s="2994"/>
      <c r="F41" s="2994"/>
      <c r="G41" s="2995"/>
    </row>
    <row r="42" spans="1:9" x14ac:dyDescent="0.2">
      <c r="A42" s="2119" t="s">
        <v>2464</v>
      </c>
      <c r="B42" s="2120" t="s">
        <v>2471</v>
      </c>
      <c r="C42" s="2120" t="s">
        <v>2472</v>
      </c>
      <c r="D42" s="2120" t="s">
        <v>2473</v>
      </c>
      <c r="E42" s="2120" t="s">
        <v>2474</v>
      </c>
      <c r="F42" s="2120" t="s">
        <v>2464</v>
      </c>
      <c r="G42" s="3027" t="s">
        <v>2465</v>
      </c>
    </row>
    <row r="43" spans="1:9" ht="15" thickBot="1" x14ac:dyDescent="0.25">
      <c r="A43" s="2186" t="s">
        <v>2466</v>
      </c>
      <c r="B43" s="2189" t="s">
        <v>2467</v>
      </c>
      <c r="C43" s="2121" t="s">
        <v>2466</v>
      </c>
      <c r="D43" s="2189" t="s">
        <v>2468</v>
      </c>
      <c r="E43" s="2121" t="s">
        <v>2466</v>
      </c>
      <c r="F43" s="2189" t="s">
        <v>2469</v>
      </c>
      <c r="G43" s="3028"/>
    </row>
    <row r="44" spans="1:9" ht="13.5" thickBot="1" x14ac:dyDescent="0.25">
      <c r="A44" s="2122">
        <v>1</v>
      </c>
      <c r="B44" s="2123">
        <v>0.4</v>
      </c>
      <c r="C44" s="2123">
        <v>1</v>
      </c>
      <c r="D44" s="2123">
        <v>7</v>
      </c>
      <c r="E44" s="2123">
        <v>1</v>
      </c>
      <c r="F44" s="2123">
        <v>1.25</v>
      </c>
      <c r="G44" s="2125">
        <f>ROUND((A44+B44+C44)*(D44+E44)*F44,2)</f>
        <v>24</v>
      </c>
      <c r="I44" s="2126">
        <f>496.517-495.273</f>
        <v>1.2439999999999714</v>
      </c>
    </row>
    <row r="45" spans="1:9" ht="13.5" thickBot="1" x14ac:dyDescent="0.25"/>
    <row r="46" spans="1:9" ht="13.5" thickBot="1" x14ac:dyDescent="0.25">
      <c r="A46" s="2993" t="s">
        <v>2475</v>
      </c>
      <c r="B46" s="2994"/>
      <c r="C46" s="2994"/>
      <c r="D46" s="2994"/>
      <c r="E46" s="2994"/>
      <c r="F46" s="2995"/>
    </row>
    <row r="47" spans="1:9" x14ac:dyDescent="0.2">
      <c r="A47" s="2119" t="s">
        <v>2476</v>
      </c>
      <c r="B47" s="2120" t="s">
        <v>2477</v>
      </c>
      <c r="C47" s="2120" t="s">
        <v>2478</v>
      </c>
      <c r="D47" s="2120" t="s">
        <v>2479</v>
      </c>
      <c r="E47" s="2120" t="s">
        <v>2464</v>
      </c>
      <c r="F47" s="3027" t="s">
        <v>2465</v>
      </c>
    </row>
    <row r="48" spans="1:9" ht="13.5" thickBot="1" x14ac:dyDescent="0.25">
      <c r="A48" s="2186" t="s">
        <v>2466</v>
      </c>
      <c r="B48" s="2189" t="s">
        <v>2480</v>
      </c>
      <c r="C48" s="2121" t="s">
        <v>2466</v>
      </c>
      <c r="D48" s="2189" t="s">
        <v>2481</v>
      </c>
      <c r="E48" s="2189" t="s">
        <v>2469</v>
      </c>
      <c r="F48" s="3028"/>
    </row>
    <row r="49" spans="1:6" ht="13.5" thickBot="1" x14ac:dyDescent="0.25">
      <c r="A49" s="2122">
        <v>1</v>
      </c>
      <c r="B49" s="2123">
        <v>0.4</v>
      </c>
      <c r="C49" s="2123">
        <v>1</v>
      </c>
      <c r="D49" s="2123">
        <v>22</v>
      </c>
      <c r="E49" s="2123">
        <v>1.25</v>
      </c>
      <c r="F49" s="2125">
        <f>ROUND((A49+B49+C49)*D49*E49,2)</f>
        <v>66</v>
      </c>
    </row>
    <row r="78" spans="1:8" ht="13.5" thickBot="1" x14ac:dyDescent="0.25"/>
    <row r="79" spans="1:8" ht="13.5" thickBot="1" x14ac:dyDescent="0.25">
      <c r="A79" s="2993" t="s">
        <v>2482</v>
      </c>
      <c r="B79" s="2994"/>
      <c r="C79" s="2994"/>
      <c r="D79" s="2994"/>
      <c r="E79" s="2994"/>
      <c r="F79" s="2994"/>
      <c r="G79" s="2995"/>
    </row>
    <row r="80" spans="1:8" x14ac:dyDescent="0.2">
      <c r="A80" s="2119" t="s">
        <v>2459</v>
      </c>
      <c r="B80" s="2120" t="s">
        <v>2460</v>
      </c>
      <c r="C80" s="2120" t="s">
        <v>2461</v>
      </c>
      <c r="D80" s="2120" t="s">
        <v>2462</v>
      </c>
      <c r="E80" s="2120" t="s">
        <v>2463</v>
      </c>
      <c r="F80" s="2120" t="s">
        <v>2464</v>
      </c>
      <c r="G80" s="3027" t="s">
        <v>2465</v>
      </c>
      <c r="H80"/>
    </row>
    <row r="81" spans="1:8" ht="15" thickBot="1" x14ac:dyDescent="0.25">
      <c r="A81" s="2186" t="s">
        <v>2466</v>
      </c>
      <c r="B81" s="2189" t="s">
        <v>2467</v>
      </c>
      <c r="C81" s="2121" t="s">
        <v>2466</v>
      </c>
      <c r="D81" s="2189" t="s">
        <v>2468</v>
      </c>
      <c r="E81" s="2189" t="s">
        <v>2483</v>
      </c>
      <c r="F81" s="2189" t="s">
        <v>2469</v>
      </c>
      <c r="G81" s="3028"/>
      <c r="H81"/>
    </row>
    <row r="82" spans="1:8" ht="13.5" thickBot="1" x14ac:dyDescent="0.25">
      <c r="A82" s="2122">
        <v>1</v>
      </c>
      <c r="B82" s="2123">
        <v>0.4</v>
      </c>
      <c r="C82" s="2123">
        <v>1</v>
      </c>
      <c r="D82" s="2123">
        <v>7</v>
      </c>
      <c r="E82" s="2123">
        <v>1</v>
      </c>
      <c r="F82" s="2123">
        <v>1.25</v>
      </c>
      <c r="G82" s="2124">
        <f>ROUND((A82+B82+C82)*(D82+E82)*F82,2)</f>
        <v>24</v>
      </c>
      <c r="H82"/>
    </row>
    <row r="83" spans="1:8" ht="13.5" thickBot="1" x14ac:dyDescent="0.25">
      <c r="A83" s="3030"/>
      <c r="B83" s="3030"/>
      <c r="C83" s="3030"/>
      <c r="D83" s="3030"/>
      <c r="E83" s="3030"/>
      <c r="F83" s="3030"/>
      <c r="G83" s="3030"/>
    </row>
    <row r="84" spans="1:8" ht="13.5" thickBot="1" x14ac:dyDescent="0.25">
      <c r="A84" s="2993" t="s">
        <v>2484</v>
      </c>
      <c r="B84" s="2994"/>
      <c r="C84" s="2994"/>
      <c r="D84" s="2994"/>
      <c r="E84" s="2994"/>
      <c r="F84" s="2994"/>
      <c r="G84" s="2995"/>
    </row>
    <row r="85" spans="1:8" x14ac:dyDescent="0.2">
      <c r="A85" s="2119" t="s">
        <v>2464</v>
      </c>
      <c r="B85" s="2120" t="s">
        <v>2471</v>
      </c>
      <c r="C85" s="2120" t="s">
        <v>2472</v>
      </c>
      <c r="D85" s="2120" t="s">
        <v>2473</v>
      </c>
      <c r="E85" s="2120" t="s">
        <v>2474</v>
      </c>
      <c r="F85" s="2120" t="s">
        <v>2464</v>
      </c>
      <c r="G85" s="3027" t="s">
        <v>2465</v>
      </c>
    </row>
    <row r="86" spans="1:8" ht="15" thickBot="1" x14ac:dyDescent="0.25">
      <c r="A86" s="2186" t="s">
        <v>2466</v>
      </c>
      <c r="B86" s="2189" t="s">
        <v>2467</v>
      </c>
      <c r="C86" s="2121" t="s">
        <v>2466</v>
      </c>
      <c r="D86" s="2189" t="s">
        <v>2468</v>
      </c>
      <c r="E86" s="2189" t="s">
        <v>2483</v>
      </c>
      <c r="F86" s="2189" t="s">
        <v>2469</v>
      </c>
      <c r="G86" s="3028"/>
    </row>
    <row r="87" spans="1:8" ht="13.5" thickBot="1" x14ac:dyDescent="0.25">
      <c r="A87" s="2122">
        <v>1</v>
      </c>
      <c r="B87" s="2123">
        <v>0.4</v>
      </c>
      <c r="C87" s="2123">
        <v>1</v>
      </c>
      <c r="D87" s="2123">
        <v>7</v>
      </c>
      <c r="E87" s="2123">
        <v>1</v>
      </c>
      <c r="F87" s="2123">
        <v>1.25</v>
      </c>
      <c r="G87" s="2124">
        <f>ROUND((A87+B87+C87)*(D87+E87)*F87,2)</f>
        <v>24</v>
      </c>
    </row>
    <row r="88" spans="1:8" ht="13.5" thickBot="1" x14ac:dyDescent="0.25">
      <c r="A88" s="3013"/>
      <c r="B88" s="3013"/>
      <c r="C88" s="3013"/>
      <c r="D88" s="3013"/>
      <c r="E88" s="3013"/>
      <c r="F88" s="3013"/>
      <c r="G88" s="3013"/>
    </row>
    <row r="89" spans="1:8" ht="13.5" thickBot="1" x14ac:dyDescent="0.25">
      <c r="A89" s="2993" t="s">
        <v>2485</v>
      </c>
      <c r="B89" s="2994"/>
      <c r="C89" s="2994"/>
      <c r="D89" s="2994"/>
      <c r="E89" s="2994"/>
      <c r="F89" s="2995"/>
      <c r="G89" s="3029"/>
    </row>
    <row r="90" spans="1:8" x14ac:dyDescent="0.2">
      <c r="A90" s="2119" t="s">
        <v>2476</v>
      </c>
      <c r="B90" s="2120" t="s">
        <v>2477</v>
      </c>
      <c r="C90" s="2120" t="s">
        <v>2478</v>
      </c>
      <c r="D90" s="2120" t="s">
        <v>2479</v>
      </c>
      <c r="E90" s="2120" t="s">
        <v>2464</v>
      </c>
      <c r="F90" s="3027" t="s">
        <v>2465</v>
      </c>
      <c r="G90" s="3029"/>
    </row>
    <row r="91" spans="1:8" ht="13.5" thickBot="1" x14ac:dyDescent="0.25">
      <c r="A91" s="2186" t="s">
        <v>2466</v>
      </c>
      <c r="B91" s="2189" t="s">
        <v>2480</v>
      </c>
      <c r="C91" s="2121" t="s">
        <v>2466</v>
      </c>
      <c r="D91" s="2189" t="s">
        <v>2481</v>
      </c>
      <c r="E91" s="2189" t="s">
        <v>2469</v>
      </c>
      <c r="F91" s="3028"/>
      <c r="G91" s="3029"/>
    </row>
    <row r="92" spans="1:8" ht="13.5" thickBot="1" x14ac:dyDescent="0.25">
      <c r="A92" s="2122">
        <v>1</v>
      </c>
      <c r="B92" s="2123">
        <v>0.4</v>
      </c>
      <c r="C92" s="2123">
        <v>1</v>
      </c>
      <c r="D92" s="2123">
        <v>22</v>
      </c>
      <c r="E92" s="2123">
        <v>1.25</v>
      </c>
      <c r="F92" s="2124">
        <f>ROUND((A92+B92+C92)*D92*E92,2)</f>
        <v>66</v>
      </c>
      <c r="G92" s="3029"/>
    </row>
    <row r="93" spans="1:8" ht="13.5" thickBot="1" x14ac:dyDescent="0.25">
      <c r="A93" s="3025"/>
      <c r="B93" s="3025"/>
      <c r="C93" s="3025"/>
      <c r="D93" s="3025"/>
      <c r="E93" s="3025"/>
      <c r="F93" s="3025"/>
      <c r="G93" s="3025"/>
    </row>
    <row r="94" spans="1:8" ht="13.5" thickBot="1" x14ac:dyDescent="0.25">
      <c r="A94" s="3025"/>
      <c r="B94" s="3026"/>
      <c r="C94" s="3016" t="s">
        <v>2486</v>
      </c>
      <c r="D94" s="3017"/>
      <c r="E94" s="2127"/>
      <c r="F94" s="2128"/>
      <c r="G94" s="2128"/>
    </row>
    <row r="95" spans="1:8" ht="12.75" customHeight="1" x14ac:dyDescent="0.2">
      <c r="A95" s="3025"/>
      <c r="B95" s="3026"/>
      <c r="C95" s="3021" t="s">
        <v>2487</v>
      </c>
      <c r="D95" s="3022"/>
      <c r="E95" s="3021" t="s">
        <v>2582</v>
      </c>
      <c r="F95" s="3022"/>
      <c r="G95"/>
    </row>
    <row r="96" spans="1:8" ht="13.5" thickBot="1" x14ac:dyDescent="0.25">
      <c r="A96" s="3025"/>
      <c r="B96" s="3026"/>
      <c r="C96" s="3023" t="s">
        <v>2488</v>
      </c>
      <c r="D96" s="3024"/>
      <c r="E96" s="3023" t="s">
        <v>2583</v>
      </c>
      <c r="F96" s="3024"/>
      <c r="G96"/>
    </row>
    <row r="97" spans="1:7" ht="13.5" thickBot="1" x14ac:dyDescent="0.25">
      <c r="A97" s="3025"/>
      <c r="B97" s="3026"/>
      <c r="C97" s="3004">
        <f>ROUND(F92+G87+G82+F49+G44+G39,2)</f>
        <v>228</v>
      </c>
      <c r="D97" s="3006"/>
      <c r="E97" s="3004">
        <f>C97*5%</f>
        <v>11.4</v>
      </c>
      <c r="F97" s="3006"/>
      <c r="G97"/>
    </row>
    <row r="99" spans="1:7" x14ac:dyDescent="0.2">
      <c r="A99" s="2129" t="s">
        <v>2489</v>
      </c>
    </row>
    <row r="120" spans="1:6" ht="15" customHeight="1" thickBot="1" x14ac:dyDescent="0.25">
      <c r="A120" s="2130"/>
      <c r="B120"/>
      <c r="C120"/>
      <c r="D120"/>
      <c r="E120"/>
      <c r="F120"/>
    </row>
    <row r="121" spans="1:6" ht="13.5" thickBot="1" x14ac:dyDescent="0.25">
      <c r="A121" s="2993" t="s">
        <v>2490</v>
      </c>
      <c r="B121" s="2994"/>
      <c r="C121" s="2994"/>
      <c r="D121" s="2994"/>
      <c r="E121" s="2995"/>
      <c r="F121"/>
    </row>
    <row r="122" spans="1:6" s="2116" customFormat="1" x14ac:dyDescent="0.2">
      <c r="A122" s="2119" t="s">
        <v>2459</v>
      </c>
      <c r="B122" s="2120" t="s">
        <v>2460</v>
      </c>
      <c r="C122" s="2120" t="s">
        <v>2461</v>
      </c>
      <c r="D122" s="2120" t="s">
        <v>2491</v>
      </c>
      <c r="E122" s="3009" t="s">
        <v>2492</v>
      </c>
      <c r="F122" s="2131"/>
    </row>
    <row r="123" spans="1:6" s="2116" customFormat="1" ht="13.5" thickBot="1" x14ac:dyDescent="0.25">
      <c r="A123" s="2191" t="s">
        <v>2493</v>
      </c>
      <c r="B123" s="2189" t="s">
        <v>2494</v>
      </c>
      <c r="C123" s="2189" t="s">
        <v>2495</v>
      </c>
      <c r="D123" s="2189" t="s">
        <v>2496</v>
      </c>
      <c r="E123" s="3010"/>
      <c r="F123" s="2131"/>
    </row>
    <row r="124" spans="1:6" s="2116" customFormat="1" ht="13.5" thickBot="1" x14ac:dyDescent="0.25">
      <c r="A124" s="2191">
        <v>7</v>
      </c>
      <c r="B124" s="2189">
        <v>0.4</v>
      </c>
      <c r="C124" s="2189">
        <f>501.813-495.273</f>
        <v>6.5399999999999636</v>
      </c>
      <c r="D124" s="2124">
        <f>A124*B124*C124</f>
        <v>18.311999999999898</v>
      </c>
      <c r="E124" s="2124">
        <f>A124*C124*2+B124*C124</f>
        <v>94.175999999999476</v>
      </c>
      <c r="F124" s="2131"/>
    </row>
    <row r="125" spans="1:6" s="2116" customFormat="1" ht="13.5" thickBot="1" x14ac:dyDescent="0.25">
      <c r="A125" s="2132"/>
      <c r="B125" s="2131"/>
      <c r="C125" s="2131"/>
      <c r="D125" s="2131"/>
      <c r="E125" s="2131"/>
      <c r="F125" s="2131"/>
    </row>
    <row r="126" spans="1:6" s="2116" customFormat="1" ht="13.5" thickBot="1" x14ac:dyDescent="0.25">
      <c r="A126" s="2993" t="s">
        <v>2497</v>
      </c>
      <c r="B126" s="2994"/>
      <c r="C126" s="2994"/>
      <c r="D126" s="2994"/>
      <c r="E126" s="2995"/>
      <c r="F126" s="2131"/>
    </row>
    <row r="127" spans="1:6" s="2116" customFormat="1" x14ac:dyDescent="0.2">
      <c r="A127" s="2119" t="s">
        <v>2474</v>
      </c>
      <c r="B127" s="2120" t="s">
        <v>2476</v>
      </c>
      <c r="C127" s="2120" t="s">
        <v>2477</v>
      </c>
      <c r="D127" s="2120" t="s">
        <v>2491</v>
      </c>
      <c r="E127" s="3009" t="s">
        <v>2492</v>
      </c>
      <c r="F127" s="2131"/>
    </row>
    <row r="128" spans="1:6" s="2116" customFormat="1" ht="13.5" thickBot="1" x14ac:dyDescent="0.25">
      <c r="A128" s="2191" t="s">
        <v>2493</v>
      </c>
      <c r="B128" s="2189" t="s">
        <v>2494</v>
      </c>
      <c r="C128" s="2189" t="s">
        <v>2495</v>
      </c>
      <c r="D128" s="2189" t="s">
        <v>2496</v>
      </c>
      <c r="E128" s="3010"/>
      <c r="F128" s="2131"/>
    </row>
    <row r="129" spans="1:6" ht="13.5" thickBot="1" x14ac:dyDescent="0.25">
      <c r="A129" s="2191">
        <v>7</v>
      </c>
      <c r="B129" s="2189">
        <v>0.4</v>
      </c>
      <c r="C129" s="2189">
        <f>501.813-495.273</f>
        <v>6.5399999999999636</v>
      </c>
      <c r="D129" s="2125">
        <f>A129*B129*C129</f>
        <v>18.311999999999898</v>
      </c>
      <c r="E129" s="2125">
        <f>A129*C129*2+B129*C129</f>
        <v>94.175999999999476</v>
      </c>
      <c r="F129"/>
    </row>
    <row r="130" spans="1:6" ht="13.5" thickBot="1" x14ac:dyDescent="0.25">
      <c r="A130" s="2133"/>
      <c r="B130"/>
      <c r="C130"/>
      <c r="D130"/>
      <c r="E130"/>
      <c r="F130"/>
    </row>
    <row r="131" spans="1:6" ht="13.5" thickBot="1" x14ac:dyDescent="0.25">
      <c r="A131" s="2993" t="s">
        <v>2498</v>
      </c>
      <c r="B131" s="2994"/>
      <c r="C131" s="2994"/>
      <c r="D131" s="2994"/>
      <c r="E131" s="2995"/>
      <c r="F131"/>
    </row>
    <row r="132" spans="1:6" x14ac:dyDescent="0.2">
      <c r="A132" s="2119" t="s">
        <v>2462</v>
      </c>
      <c r="B132" s="2120" t="s">
        <v>2463</v>
      </c>
      <c r="C132" s="2120" t="s">
        <v>2471</v>
      </c>
      <c r="D132" s="2120" t="s">
        <v>2491</v>
      </c>
      <c r="E132" s="3009" t="s">
        <v>2492</v>
      </c>
      <c r="F132"/>
    </row>
    <row r="133" spans="1:6" ht="13.5" thickBot="1" x14ac:dyDescent="0.25">
      <c r="A133" s="2191" t="s">
        <v>2493</v>
      </c>
      <c r="B133" s="2189" t="s">
        <v>2494</v>
      </c>
      <c r="C133" s="2189" t="s">
        <v>2495</v>
      </c>
      <c r="D133" s="2189" t="s">
        <v>2496</v>
      </c>
      <c r="E133" s="3010"/>
      <c r="F133"/>
    </row>
    <row r="134" spans="1:6" ht="13.5" thickBot="1" x14ac:dyDescent="0.25">
      <c r="A134" s="2191">
        <v>22</v>
      </c>
      <c r="B134" s="2189">
        <v>0.4</v>
      </c>
      <c r="C134" s="2189">
        <f>501.813-495.273-0.25-0.3-0.02-0.6-0.05-0.02</f>
        <v>5.2999999999999652</v>
      </c>
      <c r="D134" s="2125">
        <f>A134*B134*C134</f>
        <v>46.639999999999695</v>
      </c>
      <c r="E134" s="2125">
        <f>A134*C134+A134*(C134-C139-D139)</f>
        <v>215.59999999999846</v>
      </c>
      <c r="F134"/>
    </row>
    <row r="135" spans="1:6" ht="13.5" thickBot="1" x14ac:dyDescent="0.25">
      <c r="A135" s="2133"/>
      <c r="B135"/>
      <c r="C135"/>
      <c r="D135"/>
      <c r="E135"/>
      <c r="F135"/>
    </row>
    <row r="136" spans="1:6" ht="13.5" thickBot="1" x14ac:dyDescent="0.25">
      <c r="A136" s="2993" t="s">
        <v>2499</v>
      </c>
      <c r="B136" s="2994"/>
      <c r="C136" s="2994"/>
      <c r="D136" s="2994"/>
      <c r="E136" s="2994"/>
      <c r="F136" s="2995"/>
    </row>
    <row r="137" spans="1:6" x14ac:dyDescent="0.2">
      <c r="A137" s="2119" t="s">
        <v>2462</v>
      </c>
      <c r="B137" s="2120" t="s">
        <v>2464</v>
      </c>
      <c r="C137" s="2120" t="s">
        <v>2472</v>
      </c>
      <c r="D137" s="2134" t="s">
        <v>2473</v>
      </c>
      <c r="E137" s="2120" t="s">
        <v>2491</v>
      </c>
      <c r="F137" s="3009" t="s">
        <v>2492</v>
      </c>
    </row>
    <row r="138" spans="1:6" ht="13.5" thickBot="1" x14ac:dyDescent="0.25">
      <c r="A138" s="2191" t="s">
        <v>2493</v>
      </c>
      <c r="B138" s="2189" t="s">
        <v>2494</v>
      </c>
      <c r="C138" s="2189" t="s">
        <v>2495</v>
      </c>
      <c r="D138" s="2135" t="s">
        <v>2495</v>
      </c>
      <c r="E138" s="2189" t="s">
        <v>2496</v>
      </c>
      <c r="F138" s="3010"/>
    </row>
    <row r="139" spans="1:6" ht="13.5" thickBot="1" x14ac:dyDescent="0.25">
      <c r="A139" s="2191">
        <v>22</v>
      </c>
      <c r="B139" s="2189">
        <v>0.5</v>
      </c>
      <c r="C139" s="2189">
        <v>0.5</v>
      </c>
      <c r="D139" s="2135">
        <v>0.3</v>
      </c>
      <c r="E139" s="2124">
        <f>ROUND((((C139+D139)+D139)*B139)/2*A139,2)</f>
        <v>6.05</v>
      </c>
      <c r="F139" s="2125">
        <f>(((C139+D139)+D139)*B139)/2*2+D139*A139+SQRT(B139^2+C139^2)*A139</f>
        <v>22.706349186104045</v>
      </c>
    </row>
    <row r="160" spans="1:6" ht="14.25" thickBot="1" x14ac:dyDescent="0.25">
      <c r="A160" s="2136"/>
      <c r="B160"/>
      <c r="C160"/>
      <c r="D160"/>
      <c r="E160"/>
      <c r="F160"/>
    </row>
    <row r="161" spans="1:6" ht="13.5" thickBot="1" x14ac:dyDescent="0.25">
      <c r="A161" s="2993" t="s">
        <v>2500</v>
      </c>
      <c r="B161" s="2994"/>
      <c r="C161" s="2994"/>
      <c r="D161" s="2994"/>
      <c r="E161" s="2995"/>
      <c r="F161" s="3018"/>
    </row>
    <row r="162" spans="1:6" s="2116" customFormat="1" x14ac:dyDescent="0.2">
      <c r="A162" s="2119" t="s">
        <v>2459</v>
      </c>
      <c r="B162" s="2120" t="s">
        <v>2460</v>
      </c>
      <c r="C162" s="2120" t="s">
        <v>2461</v>
      </c>
      <c r="D162" s="2120" t="s">
        <v>2491</v>
      </c>
      <c r="E162" s="3009" t="s">
        <v>2492</v>
      </c>
      <c r="F162" s="3018"/>
    </row>
    <row r="163" spans="1:6" s="2116" customFormat="1" ht="13.5" thickBot="1" x14ac:dyDescent="0.25">
      <c r="A163" s="2191" t="s">
        <v>2493</v>
      </c>
      <c r="B163" s="2189" t="s">
        <v>2494</v>
      </c>
      <c r="C163" s="2189" t="s">
        <v>2495</v>
      </c>
      <c r="D163" s="2189" t="s">
        <v>2496</v>
      </c>
      <c r="E163" s="3010"/>
      <c r="F163" s="3018"/>
    </row>
    <row r="164" spans="1:6" ht="13.5" thickBot="1" x14ac:dyDescent="0.25">
      <c r="A164" s="2191">
        <v>7</v>
      </c>
      <c r="B164" s="2189">
        <v>0.4</v>
      </c>
      <c r="C164" s="2189">
        <f>501.813-495.273</f>
        <v>6.5399999999999636</v>
      </c>
      <c r="D164" s="2124">
        <f>A164*B164*C164</f>
        <v>18.311999999999898</v>
      </c>
      <c r="E164" s="2137">
        <f>A164*C164*2+B164*C164</f>
        <v>94.175999999999476</v>
      </c>
      <c r="F164" s="3018"/>
    </row>
    <row r="165" spans="1:6" ht="13.5" thickBot="1" x14ac:dyDescent="0.25">
      <c r="A165" s="3025"/>
      <c r="B165" s="3025"/>
      <c r="C165" s="3025"/>
      <c r="D165" s="3025"/>
      <c r="E165" s="3025"/>
      <c r="F165" s="3025"/>
    </row>
    <row r="166" spans="1:6" ht="13.5" thickBot="1" x14ac:dyDescent="0.25">
      <c r="A166" s="2993" t="s">
        <v>2501</v>
      </c>
      <c r="B166" s="2994"/>
      <c r="C166" s="2994"/>
      <c r="D166" s="2994"/>
      <c r="E166" s="2995"/>
      <c r="F166" s="3018"/>
    </row>
    <row r="167" spans="1:6" s="2116" customFormat="1" x14ac:dyDescent="0.2">
      <c r="A167" s="2119" t="s">
        <v>2459</v>
      </c>
      <c r="B167" s="2120" t="s">
        <v>2460</v>
      </c>
      <c r="C167" s="2120" t="s">
        <v>2461</v>
      </c>
      <c r="D167" s="2120" t="s">
        <v>2491</v>
      </c>
      <c r="E167" s="3009" t="s">
        <v>2492</v>
      </c>
      <c r="F167" s="3018"/>
    </row>
    <row r="168" spans="1:6" s="2116" customFormat="1" ht="13.5" thickBot="1" x14ac:dyDescent="0.25">
      <c r="A168" s="2191" t="s">
        <v>2493</v>
      </c>
      <c r="B168" s="2189" t="s">
        <v>2494</v>
      </c>
      <c r="C168" s="2189" t="s">
        <v>2495</v>
      </c>
      <c r="D168" s="2189" t="s">
        <v>2496</v>
      </c>
      <c r="E168" s="3010"/>
      <c r="F168" s="3018"/>
    </row>
    <row r="169" spans="1:6" s="2116" customFormat="1" ht="13.5" thickBot="1" x14ac:dyDescent="0.25">
      <c r="A169" s="2191">
        <v>7</v>
      </c>
      <c r="B169" s="2189">
        <v>0.4</v>
      </c>
      <c r="C169" s="2189">
        <f>501.813-495.273</f>
        <v>6.5399999999999636</v>
      </c>
      <c r="D169" s="2124">
        <f>A169*B169*C169</f>
        <v>18.311999999999898</v>
      </c>
      <c r="E169" s="2124">
        <f>A169*C169*2+B169*C169</f>
        <v>94.175999999999476</v>
      </c>
      <c r="F169" s="3018"/>
    </row>
    <row r="170" spans="1:6" s="2116" customFormat="1" ht="13.5" thickBot="1" x14ac:dyDescent="0.25">
      <c r="A170" s="3019"/>
      <c r="B170" s="3019"/>
      <c r="C170" s="3019"/>
      <c r="D170" s="3019"/>
      <c r="E170" s="3019"/>
      <c r="F170" s="3019"/>
    </row>
    <row r="171" spans="1:6" s="2116" customFormat="1" ht="13.5" thickBot="1" x14ac:dyDescent="0.25">
      <c r="A171" s="2993" t="s">
        <v>2502</v>
      </c>
      <c r="B171" s="2994"/>
      <c r="C171" s="2994"/>
      <c r="D171" s="2994"/>
      <c r="E171" s="2995"/>
      <c r="F171" s="3020"/>
    </row>
    <row r="172" spans="1:6" s="2116" customFormat="1" x14ac:dyDescent="0.2">
      <c r="A172" s="2119" t="s">
        <v>2459</v>
      </c>
      <c r="B172" s="2120" t="s">
        <v>2460</v>
      </c>
      <c r="C172" s="2120" t="s">
        <v>2461</v>
      </c>
      <c r="D172" s="2120" t="s">
        <v>2491</v>
      </c>
      <c r="E172" s="3009" t="s">
        <v>2492</v>
      </c>
      <c r="F172" s="3020"/>
    </row>
    <row r="173" spans="1:6" s="2116" customFormat="1" ht="13.5" thickBot="1" x14ac:dyDescent="0.25">
      <c r="A173" s="2191" t="s">
        <v>2493</v>
      </c>
      <c r="B173" s="2189" t="s">
        <v>2494</v>
      </c>
      <c r="C173" s="2189" t="s">
        <v>2495</v>
      </c>
      <c r="D173" s="2189" t="s">
        <v>2496</v>
      </c>
      <c r="E173" s="3010"/>
      <c r="F173" s="3020"/>
    </row>
    <row r="174" spans="1:6" s="2116" customFormat="1" ht="13.5" thickBot="1" x14ac:dyDescent="0.25">
      <c r="A174" s="2191">
        <v>22</v>
      </c>
      <c r="B174" s="2189">
        <v>0.4</v>
      </c>
      <c r="C174" s="2189">
        <f>501.813-495.273-0.25-0.3-0.02-0.6-0.05-0.02</f>
        <v>5.2999999999999652</v>
      </c>
      <c r="D174" s="2124">
        <f>A174*B174*C174</f>
        <v>46.639999999999695</v>
      </c>
      <c r="E174" s="2124">
        <f>A174*C174+A174*(C174-C179-D179)</f>
        <v>215.59999999999846</v>
      </c>
      <c r="F174" s="3020"/>
    </row>
    <row r="175" spans="1:6" ht="13.5" thickBot="1" x14ac:dyDescent="0.25">
      <c r="A175" s="3012"/>
      <c r="B175" s="3012"/>
      <c r="C175" s="3012"/>
      <c r="D175" s="3012"/>
      <c r="E175" s="3012"/>
      <c r="F175" s="3012"/>
    </row>
    <row r="176" spans="1:6" ht="13.5" thickBot="1" x14ac:dyDescent="0.25">
      <c r="A176" s="2993" t="s">
        <v>2503</v>
      </c>
      <c r="B176" s="2994"/>
      <c r="C176" s="2994"/>
      <c r="D176" s="2994"/>
      <c r="E176" s="2994"/>
      <c r="F176" s="2995"/>
    </row>
    <row r="177" spans="1:6" s="2116" customFormat="1" x14ac:dyDescent="0.2">
      <c r="A177" s="2119" t="s">
        <v>2462</v>
      </c>
      <c r="B177" s="2120" t="s">
        <v>2464</v>
      </c>
      <c r="C177" s="2120" t="s">
        <v>2472</v>
      </c>
      <c r="D177" s="2120" t="s">
        <v>2473</v>
      </c>
      <c r="E177" s="2120" t="s">
        <v>2491</v>
      </c>
      <c r="F177" s="3009" t="s">
        <v>2492</v>
      </c>
    </row>
    <row r="178" spans="1:6" s="2116" customFormat="1" ht="13.5" thickBot="1" x14ac:dyDescent="0.25">
      <c r="A178" s="2191" t="s">
        <v>2493</v>
      </c>
      <c r="B178" s="2189" t="s">
        <v>2494</v>
      </c>
      <c r="C178" s="2189" t="s">
        <v>2495</v>
      </c>
      <c r="D178" s="2189" t="s">
        <v>2495</v>
      </c>
      <c r="E178" s="2189" t="s">
        <v>2496</v>
      </c>
      <c r="F178" s="3010"/>
    </row>
    <row r="179" spans="1:6" s="2116" customFormat="1" ht="13.5" thickBot="1" x14ac:dyDescent="0.25">
      <c r="A179" s="2191">
        <v>22</v>
      </c>
      <c r="B179" s="2189">
        <v>0.5</v>
      </c>
      <c r="C179" s="2189">
        <v>0.5</v>
      </c>
      <c r="D179" s="2189">
        <v>0.3</v>
      </c>
      <c r="E179" s="2124">
        <f>ROUND((((C179+D179)+D179)*B179)/2*A179,2)</f>
        <v>6.05</v>
      </c>
      <c r="F179" s="2124">
        <f>(((C179+D179)+D179)*B179)/2*2+D179*A179+SQRT(B179^2+C179^2)*A179</f>
        <v>22.706349186104045</v>
      </c>
    </row>
    <row r="180" spans="1:6" ht="13.5" thickBot="1" x14ac:dyDescent="0.25">
      <c r="A180" s="3013"/>
      <c r="B180" s="3013"/>
      <c r="C180" s="3013"/>
      <c r="D180" s="3013"/>
      <c r="E180" s="3013"/>
      <c r="F180" s="3013"/>
    </row>
    <row r="181" spans="1:6" ht="13.5" thickBot="1" x14ac:dyDescent="0.25">
      <c r="A181" s="3014"/>
      <c r="B181" s="3015"/>
      <c r="C181" s="3016" t="s">
        <v>2504</v>
      </c>
      <c r="D181" s="3017"/>
      <c r="E181" s="3018"/>
      <c r="F181" s="3014"/>
    </row>
    <row r="182" spans="1:6" x14ac:dyDescent="0.2">
      <c r="A182" s="3014"/>
      <c r="B182" s="3015"/>
      <c r="C182" s="2120" t="s">
        <v>2491</v>
      </c>
      <c r="D182" s="3009" t="s">
        <v>2492</v>
      </c>
      <c r="E182" s="3018"/>
      <c r="F182" s="3014"/>
    </row>
    <row r="183" spans="1:6" ht="13.5" thickBot="1" x14ac:dyDescent="0.25">
      <c r="A183" s="3014"/>
      <c r="B183" s="3015"/>
      <c r="C183" s="2189" t="s">
        <v>2496</v>
      </c>
      <c r="D183" s="3010"/>
      <c r="E183" s="3018"/>
      <c r="F183" s="3014"/>
    </row>
    <row r="184" spans="1:6" ht="13.5" thickBot="1" x14ac:dyDescent="0.25">
      <c r="A184" s="3014"/>
      <c r="B184" s="3015"/>
      <c r="C184" s="2124">
        <f>ROUND(D124+D129+D134+E139+D164+D169+D174+E179,2)</f>
        <v>178.63</v>
      </c>
      <c r="D184" s="2124">
        <f>ROUND(E124+E129+E134+F139+E164+E169+E174+F179,2)</f>
        <v>853.32</v>
      </c>
      <c r="E184" s="3018"/>
      <c r="F184" s="3014"/>
    </row>
    <row r="186" spans="1:6" x14ac:dyDescent="0.2">
      <c r="A186" s="2133" t="s">
        <v>2505</v>
      </c>
    </row>
    <row r="205" spans="1:7" ht="19.5" thickBot="1" x14ac:dyDescent="0.25">
      <c r="A205" s="2138"/>
      <c r="B205"/>
      <c r="C205"/>
      <c r="D205"/>
      <c r="E205"/>
      <c r="F205"/>
      <c r="G205"/>
    </row>
    <row r="206" spans="1:7" x14ac:dyDescent="0.2">
      <c r="A206" s="2190" t="s">
        <v>2459</v>
      </c>
      <c r="B206" s="2187" t="s">
        <v>2460</v>
      </c>
      <c r="C206" s="2187" t="s">
        <v>2461</v>
      </c>
      <c r="D206" s="2139" t="s">
        <v>2462</v>
      </c>
      <c r="E206" s="2187" t="s">
        <v>2463</v>
      </c>
      <c r="F206" s="2187" t="s">
        <v>2464</v>
      </c>
      <c r="G206" s="2187" t="s">
        <v>2471</v>
      </c>
    </row>
    <row r="207" spans="1:7" ht="15" thickBot="1" x14ac:dyDescent="0.25">
      <c r="A207" s="2191" t="s">
        <v>2506</v>
      </c>
      <c r="B207" s="2189" t="s">
        <v>2507</v>
      </c>
      <c r="C207" s="2189" t="s">
        <v>2508</v>
      </c>
      <c r="D207" s="2135" t="s">
        <v>2509</v>
      </c>
      <c r="E207" s="2189" t="s">
        <v>2510</v>
      </c>
      <c r="F207" s="2121" t="s">
        <v>2466</v>
      </c>
      <c r="G207" s="2121" t="s">
        <v>2466</v>
      </c>
    </row>
    <row r="208" spans="1:7" ht="13.5" thickBot="1" x14ac:dyDescent="0.25">
      <c r="A208" s="2122">
        <v>4</v>
      </c>
      <c r="B208" s="2123">
        <v>4</v>
      </c>
      <c r="C208" s="2123">
        <v>0.05</v>
      </c>
      <c r="D208" s="2140">
        <v>1</v>
      </c>
      <c r="E208" s="2141">
        <f>ROUND(496.517-492.872-0.05,1)</f>
        <v>3.6</v>
      </c>
      <c r="F208" s="2123">
        <v>0.5</v>
      </c>
      <c r="G208" s="2123">
        <v>0.5</v>
      </c>
    </row>
    <row r="209" spans="1:7" x14ac:dyDescent="0.2">
      <c r="A209" s="2142"/>
      <c r="B209" s="2142"/>
      <c r="C209" s="2142"/>
      <c r="D209" s="2143"/>
      <c r="E209" s="2142"/>
      <c r="F209" s="2142"/>
      <c r="G209" s="2142"/>
    </row>
    <row r="210" spans="1:7" ht="13.5" thickBot="1" x14ac:dyDescent="0.25">
      <c r="A210" s="2142"/>
      <c r="B210" s="2142"/>
      <c r="C210" s="2142"/>
      <c r="D210" s="2143"/>
      <c r="E210" s="2142"/>
      <c r="F210" s="2142"/>
      <c r="G210" s="2142"/>
    </row>
    <row r="211" spans="1:7" ht="51.75" thickBot="1" x14ac:dyDescent="0.25">
      <c r="A211" s="2144" t="s">
        <v>2511</v>
      </c>
      <c r="B211" s="2144" t="s">
        <v>2512</v>
      </c>
      <c r="C211" s="2144" t="s">
        <v>2513</v>
      </c>
      <c r="D211" s="2145" t="s">
        <v>2492</v>
      </c>
      <c r="E211" s="2146" t="s">
        <v>2514</v>
      </c>
      <c r="F211" s="2146" t="s">
        <v>2581</v>
      </c>
      <c r="G211" s="2146" t="s">
        <v>2584</v>
      </c>
    </row>
    <row r="212" spans="1:7" ht="13.5" thickBot="1" x14ac:dyDescent="0.25">
      <c r="A212" s="2147">
        <v>3</v>
      </c>
      <c r="B212" s="2148">
        <f>ROUND(A208*B208*D208*A212,2)</f>
        <v>48</v>
      </c>
      <c r="C212" s="2148">
        <f>ROUND(A208*B208*C208*A212,2)</f>
        <v>2.4</v>
      </c>
      <c r="D212" s="2149">
        <f>ROUND((((A208*2)+(B208*2))*+D208)*A212,2)</f>
        <v>48</v>
      </c>
      <c r="E212" s="2148">
        <f>ROUND(((A208+F208*2)*(B208+G208*2))*E208*A212,2)</f>
        <v>270</v>
      </c>
      <c r="F212" s="2148">
        <f>A208*B208*A212</f>
        <v>48</v>
      </c>
      <c r="G212" s="2148">
        <f>E212*5%</f>
        <v>13.5</v>
      </c>
    </row>
    <row r="213" spans="1:7" ht="16.5" customHeight="1" x14ac:dyDescent="0.2">
      <c r="A213" s="2133"/>
      <c r="B213"/>
      <c r="C213"/>
      <c r="D213"/>
      <c r="E213"/>
      <c r="F213"/>
      <c r="G213"/>
    </row>
    <row r="214" spans="1:7" x14ac:dyDescent="0.2">
      <c r="A214" s="2133" t="s">
        <v>2515</v>
      </c>
      <c r="B214"/>
      <c r="C214"/>
      <c r="D214"/>
      <c r="E214"/>
      <c r="F214"/>
      <c r="G214"/>
    </row>
    <row r="233" spans="1:9" ht="13.5" thickBot="1" x14ac:dyDescent="0.25"/>
    <row r="234" spans="1:9" x14ac:dyDescent="0.2">
      <c r="A234" s="2190" t="s">
        <v>2459</v>
      </c>
      <c r="B234" s="2187" t="s">
        <v>2460</v>
      </c>
      <c r="C234" s="2187" t="s">
        <v>2461</v>
      </c>
      <c r="D234" s="2139" t="s">
        <v>2462</v>
      </c>
      <c r="E234" s="2187" t="s">
        <v>2463</v>
      </c>
      <c r="F234" s="2187" t="s">
        <v>2464</v>
      </c>
      <c r="G234" s="2187" t="s">
        <v>2471</v>
      </c>
    </row>
    <row r="235" spans="1:9" ht="15" thickBot="1" x14ac:dyDescent="0.25">
      <c r="A235" s="2191" t="s">
        <v>2506</v>
      </c>
      <c r="B235" s="2189" t="s">
        <v>2507</v>
      </c>
      <c r="C235" s="2189" t="s">
        <v>2508</v>
      </c>
      <c r="D235" s="2135" t="s">
        <v>2509</v>
      </c>
      <c r="E235" s="2189" t="s">
        <v>2510</v>
      </c>
      <c r="F235" s="2121" t="s">
        <v>2466</v>
      </c>
      <c r="G235" s="2121" t="s">
        <v>2466</v>
      </c>
    </row>
    <row r="236" spans="1:9" ht="13.5" thickBot="1" x14ac:dyDescent="0.25">
      <c r="A236" s="2122">
        <v>4</v>
      </c>
      <c r="B236" s="2123">
        <v>4</v>
      </c>
      <c r="C236" s="2123">
        <v>0.05</v>
      </c>
      <c r="D236" s="2140">
        <v>1</v>
      </c>
      <c r="E236" s="2123">
        <f>ROUND(496.517-492.872-0.05,1)</f>
        <v>3.6</v>
      </c>
      <c r="F236" s="2123">
        <v>0.5</v>
      </c>
      <c r="G236" s="2123">
        <v>0.5</v>
      </c>
      <c r="I236" s="21">
        <f>7.39/2</f>
        <v>3.6949999999999998</v>
      </c>
    </row>
    <row r="237" spans="1:9" x14ac:dyDescent="0.2">
      <c r="A237" s="2142"/>
      <c r="B237" s="2142"/>
      <c r="C237" s="2142"/>
      <c r="D237" s="2143"/>
      <c r="E237" s="2142"/>
      <c r="F237" s="2142"/>
      <c r="G237" s="2142"/>
    </row>
    <row r="238" spans="1:9" ht="13.5" thickBot="1" x14ac:dyDescent="0.25"/>
    <row r="239" spans="1:9" ht="51.75" thickBot="1" x14ac:dyDescent="0.25">
      <c r="A239" s="2144" t="s">
        <v>2511</v>
      </c>
      <c r="B239" s="2144" t="s">
        <v>2516</v>
      </c>
      <c r="C239" s="2144" t="s">
        <v>2513</v>
      </c>
      <c r="D239" s="2145" t="s">
        <v>2492</v>
      </c>
      <c r="E239" s="2146" t="s">
        <v>2514</v>
      </c>
      <c r="F239" s="2146" t="s">
        <v>2581</v>
      </c>
      <c r="G239" s="2146" t="s">
        <v>2584</v>
      </c>
    </row>
    <row r="240" spans="1:9" ht="13.5" thickBot="1" x14ac:dyDescent="0.25">
      <c r="A240" s="2147">
        <v>3</v>
      </c>
      <c r="B240" s="2148">
        <f>ROUND(A236*B236*D236*A240,2)</f>
        <v>48</v>
      </c>
      <c r="C240" s="2148">
        <f>ROUND(A236*B236*C236*A240,2)</f>
        <v>2.4</v>
      </c>
      <c r="D240" s="2149">
        <f>ROUND((((A236*2)+(B236*2))*+D236)*A240,2)</f>
        <v>48</v>
      </c>
      <c r="E240" s="2148">
        <f>ROUND(((A236+F236*2)*(B236+G236*2))*E236*A240,2)</f>
        <v>270</v>
      </c>
      <c r="F240" s="2148">
        <f>A236*B236*A240</f>
        <v>48</v>
      </c>
      <c r="G240" s="2148">
        <f>E240*5%</f>
        <v>13.5</v>
      </c>
    </row>
    <row r="241" spans="1:7" x14ac:dyDescent="0.2">
      <c r="A241" s="2133" t="s">
        <v>2517</v>
      </c>
      <c r="B241"/>
      <c r="C241"/>
      <c r="D241"/>
      <c r="E241"/>
      <c r="F241"/>
      <c r="G241"/>
    </row>
    <row r="242" spans="1:7" x14ac:dyDescent="0.2">
      <c r="A242" s="2133"/>
      <c r="B242"/>
      <c r="C242"/>
      <c r="D242"/>
      <c r="E242"/>
      <c r="F242"/>
      <c r="G242"/>
    </row>
    <row r="243" spans="1:7" x14ac:dyDescent="0.2">
      <c r="A243" s="2133"/>
      <c r="B243"/>
      <c r="C243"/>
      <c r="D243"/>
      <c r="E243"/>
      <c r="F243"/>
      <c r="G243"/>
    </row>
    <row r="244" spans="1:7" x14ac:dyDescent="0.2">
      <c r="A244" s="2133"/>
      <c r="B244"/>
      <c r="C244"/>
      <c r="D244"/>
      <c r="E244"/>
      <c r="F244"/>
      <c r="G244"/>
    </row>
    <row r="245" spans="1:7" x14ac:dyDescent="0.2">
      <c r="A245" s="2133"/>
      <c r="B245"/>
      <c r="C245"/>
      <c r="D245"/>
      <c r="E245"/>
      <c r="F245"/>
      <c r="G245"/>
    </row>
    <row r="246" spans="1:7" x14ac:dyDescent="0.2">
      <c r="A246" s="2133"/>
      <c r="B246"/>
      <c r="C246"/>
      <c r="D246"/>
      <c r="E246"/>
      <c r="F246"/>
      <c r="G246"/>
    </row>
    <row r="247" spans="1:7" x14ac:dyDescent="0.2">
      <c r="A247" s="2133"/>
      <c r="B247"/>
      <c r="C247"/>
      <c r="D247"/>
      <c r="E247"/>
      <c r="F247"/>
      <c r="G247"/>
    </row>
    <row r="248" spans="1:7" x14ac:dyDescent="0.2">
      <c r="A248" s="2133"/>
      <c r="B248"/>
      <c r="C248"/>
      <c r="D248"/>
      <c r="E248"/>
      <c r="F248"/>
      <c r="G248"/>
    </row>
    <row r="249" spans="1:7" x14ac:dyDescent="0.2">
      <c r="A249" s="2133"/>
      <c r="B249"/>
      <c r="C249"/>
      <c r="D249"/>
      <c r="E249"/>
      <c r="F249"/>
      <c r="G249"/>
    </row>
    <row r="250" spans="1:7" x14ac:dyDescent="0.2">
      <c r="A250" s="2133"/>
      <c r="B250"/>
      <c r="C250"/>
      <c r="D250"/>
      <c r="E250"/>
      <c r="F250"/>
      <c r="G250"/>
    </row>
    <row r="251" spans="1:7" x14ac:dyDescent="0.2">
      <c r="A251" s="2133"/>
      <c r="B251"/>
      <c r="C251"/>
      <c r="D251"/>
      <c r="E251"/>
      <c r="F251"/>
      <c r="G251"/>
    </row>
    <row r="252" spans="1:7" x14ac:dyDescent="0.2">
      <c r="A252" s="2133"/>
      <c r="B252"/>
      <c r="C252"/>
      <c r="D252"/>
      <c r="E252"/>
      <c r="F252"/>
      <c r="G252"/>
    </row>
    <row r="253" spans="1:7" x14ac:dyDescent="0.2">
      <c r="A253" s="2133"/>
      <c r="B253"/>
      <c r="C253"/>
      <c r="D253"/>
      <c r="E253"/>
      <c r="F253"/>
      <c r="G253"/>
    </row>
    <row r="254" spans="1:7" x14ac:dyDescent="0.2">
      <c r="A254" s="2133"/>
      <c r="B254"/>
      <c r="C254"/>
      <c r="D254"/>
      <c r="E254"/>
      <c r="F254"/>
      <c r="G254"/>
    </row>
    <row r="255" spans="1:7" x14ac:dyDescent="0.2">
      <c r="A255" s="2133"/>
      <c r="B255"/>
      <c r="C255"/>
      <c r="D255"/>
      <c r="E255"/>
      <c r="F255"/>
      <c r="G255"/>
    </row>
    <row r="256" spans="1:7" x14ac:dyDescent="0.2">
      <c r="A256" s="2133"/>
      <c r="B256"/>
      <c r="C256"/>
      <c r="D256"/>
      <c r="E256"/>
      <c r="F256"/>
      <c r="G256"/>
    </row>
    <row r="257" spans="1:7" x14ac:dyDescent="0.2">
      <c r="A257" s="2133"/>
      <c r="B257"/>
      <c r="C257"/>
      <c r="D257"/>
      <c r="E257"/>
      <c r="F257"/>
      <c r="G257"/>
    </row>
    <row r="258" spans="1:7" x14ac:dyDescent="0.2">
      <c r="A258" s="2133"/>
      <c r="B258"/>
      <c r="C258"/>
      <c r="D258"/>
      <c r="E258"/>
      <c r="F258"/>
      <c r="G258"/>
    </row>
    <row r="259" spans="1:7" x14ac:dyDescent="0.2">
      <c r="A259" s="2133"/>
      <c r="B259"/>
      <c r="C259"/>
      <c r="D259"/>
      <c r="E259"/>
      <c r="F259"/>
      <c r="G259"/>
    </row>
    <row r="260" spans="1:7" ht="13.5" thickBot="1" x14ac:dyDescent="0.25">
      <c r="A260" s="2150"/>
      <c r="B260"/>
      <c r="C260"/>
      <c r="D260"/>
      <c r="E260"/>
      <c r="F260"/>
      <c r="G260"/>
    </row>
    <row r="261" spans="1:7" s="2116" customFormat="1" x14ac:dyDescent="0.2">
      <c r="A261" s="2190" t="s">
        <v>2459</v>
      </c>
      <c r="B261" s="2187" t="s">
        <v>2460</v>
      </c>
      <c r="C261" s="2187" t="s">
        <v>2518</v>
      </c>
      <c r="D261" s="2187" t="s">
        <v>2491</v>
      </c>
      <c r="E261" s="3009" t="s">
        <v>2492</v>
      </c>
      <c r="F261" s="2131"/>
      <c r="G261" s="2131"/>
    </row>
    <row r="262" spans="1:7" s="2116" customFormat="1" ht="13.5" thickBot="1" x14ac:dyDescent="0.25">
      <c r="A262" s="2191" t="s">
        <v>2519</v>
      </c>
      <c r="B262" s="2189" t="s">
        <v>2495</v>
      </c>
      <c r="C262" s="2189" t="s">
        <v>2520</v>
      </c>
      <c r="D262" s="2189" t="s">
        <v>2496</v>
      </c>
      <c r="E262" s="3010"/>
      <c r="F262" s="2131"/>
      <c r="G262" s="2131"/>
    </row>
    <row r="263" spans="1:7" ht="13.5" thickBot="1" x14ac:dyDescent="0.25">
      <c r="A263" s="2122">
        <v>0.8</v>
      </c>
      <c r="B263" s="2151">
        <v>5.2</v>
      </c>
      <c r="C263" s="2123">
        <v>6</v>
      </c>
      <c r="D263" s="2125">
        <f>ROUND((PI()*A263^2)/4*B263*C263,2)</f>
        <v>15.68</v>
      </c>
      <c r="E263" s="2125">
        <f>ROUND(2*PI()*A263/2*B263*C263,2)</f>
        <v>78.41</v>
      </c>
      <c r="F263"/>
      <c r="G263"/>
    </row>
    <row r="264" spans="1:7" ht="15" x14ac:dyDescent="0.2">
      <c r="A264" s="2152"/>
      <c r="B264"/>
      <c r="C264"/>
      <c r="D264"/>
      <c r="E264"/>
      <c r="F264"/>
      <c r="G264"/>
    </row>
    <row r="265" spans="1:7" x14ac:dyDescent="0.2">
      <c r="A265" s="2153" t="s">
        <v>2521</v>
      </c>
      <c r="B265"/>
      <c r="C265"/>
      <c r="D265"/>
      <c r="E265"/>
      <c r="F265"/>
      <c r="G265"/>
    </row>
    <row r="266" spans="1:7" x14ac:dyDescent="0.2">
      <c r="A266" s="2133"/>
      <c r="B266"/>
      <c r="C266"/>
      <c r="D266"/>
      <c r="E266"/>
      <c r="F266"/>
      <c r="G266"/>
    </row>
    <row r="267" spans="1:7" x14ac:dyDescent="0.2">
      <c r="A267" s="2133"/>
      <c r="B267"/>
      <c r="C267"/>
      <c r="D267"/>
      <c r="E267"/>
      <c r="F267"/>
      <c r="G267"/>
    </row>
    <row r="268" spans="1:7" x14ac:dyDescent="0.2">
      <c r="A268" s="2133"/>
      <c r="B268"/>
      <c r="C268"/>
      <c r="D268"/>
      <c r="E268"/>
      <c r="F268"/>
      <c r="G268"/>
    </row>
    <row r="269" spans="1:7" x14ac:dyDescent="0.2">
      <c r="A269" s="2133"/>
      <c r="B269"/>
      <c r="C269"/>
      <c r="D269"/>
      <c r="E269"/>
      <c r="F269"/>
      <c r="G269"/>
    </row>
    <row r="270" spans="1:7" x14ac:dyDescent="0.2">
      <c r="A270" s="2133"/>
      <c r="B270"/>
      <c r="C270"/>
      <c r="D270"/>
      <c r="E270"/>
      <c r="F270"/>
      <c r="G270"/>
    </row>
    <row r="271" spans="1:7" x14ac:dyDescent="0.2">
      <c r="A271" s="2133"/>
      <c r="B271"/>
      <c r="C271"/>
      <c r="D271"/>
      <c r="E271"/>
      <c r="F271"/>
      <c r="G271"/>
    </row>
    <row r="272" spans="1:7" x14ac:dyDescent="0.2">
      <c r="A272" s="2133"/>
      <c r="B272"/>
      <c r="C272"/>
      <c r="D272"/>
      <c r="E272"/>
      <c r="F272"/>
      <c r="G272"/>
    </row>
    <row r="273" spans="1:7" x14ac:dyDescent="0.2">
      <c r="A273" s="2133"/>
      <c r="B273"/>
      <c r="C273"/>
      <c r="D273"/>
      <c r="E273"/>
      <c r="F273"/>
      <c r="G273"/>
    </row>
    <row r="274" spans="1:7" x14ac:dyDescent="0.2">
      <c r="A274"/>
      <c r="B274"/>
      <c r="C274"/>
      <c r="D274"/>
      <c r="E274"/>
      <c r="F274"/>
      <c r="G274"/>
    </row>
    <row r="275" spans="1:7" x14ac:dyDescent="0.2">
      <c r="A275"/>
      <c r="B275"/>
      <c r="C275"/>
      <c r="D275"/>
      <c r="E275"/>
      <c r="F275"/>
      <c r="G275"/>
    </row>
    <row r="276" spans="1:7" ht="18" thickBot="1" x14ac:dyDescent="0.25">
      <c r="A276" s="2154"/>
      <c r="B276"/>
      <c r="C276"/>
      <c r="D276"/>
      <c r="E276"/>
      <c r="F276"/>
      <c r="G276"/>
    </row>
    <row r="277" spans="1:7" x14ac:dyDescent="0.2">
      <c r="A277" s="2190" t="s">
        <v>2459</v>
      </c>
      <c r="B277" s="2187" t="s">
        <v>2460</v>
      </c>
      <c r="C277" s="2187" t="s">
        <v>2461</v>
      </c>
      <c r="D277" s="2139" t="s">
        <v>2462</v>
      </c>
      <c r="E277" s="2187" t="s">
        <v>2463</v>
      </c>
      <c r="F277" s="2187" t="s">
        <v>2464</v>
      </c>
      <c r="G277" s="2187" t="s">
        <v>2518</v>
      </c>
    </row>
    <row r="278" spans="1:7" ht="15" thickBot="1" x14ac:dyDescent="0.25">
      <c r="A278" s="2191" t="s">
        <v>2522</v>
      </c>
      <c r="B278" s="2189" t="s">
        <v>2506</v>
      </c>
      <c r="C278" s="2189" t="s">
        <v>2523</v>
      </c>
      <c r="D278" s="2135" t="s">
        <v>2508</v>
      </c>
      <c r="E278" s="2189" t="s">
        <v>2509</v>
      </c>
      <c r="F278" s="2189" t="s">
        <v>2494</v>
      </c>
      <c r="G278" s="2189" t="s">
        <v>2524</v>
      </c>
    </row>
    <row r="279" spans="1:7" ht="13.5" thickBot="1" x14ac:dyDescent="0.25">
      <c r="A279" s="2122">
        <v>15.8</v>
      </c>
      <c r="B279" s="2123">
        <v>3.1</v>
      </c>
      <c r="C279" s="2123">
        <v>3.1</v>
      </c>
      <c r="D279" s="2140">
        <v>1</v>
      </c>
      <c r="E279" s="2123">
        <v>0.5</v>
      </c>
      <c r="F279" s="2123">
        <v>1.2</v>
      </c>
      <c r="G279" s="2123">
        <v>2</v>
      </c>
    </row>
    <row r="280" spans="1:7" ht="13.5" thickBot="1" x14ac:dyDescent="0.25"/>
    <row r="281" spans="1:7" x14ac:dyDescent="0.2">
      <c r="A281" s="2187" t="s">
        <v>2491</v>
      </c>
      <c r="B281" s="3009" t="s">
        <v>2492</v>
      </c>
    </row>
    <row r="282" spans="1:7" ht="13.5" thickBot="1" x14ac:dyDescent="0.25">
      <c r="A282" s="2189" t="s">
        <v>2496</v>
      </c>
      <c r="B282" s="3010"/>
    </row>
    <row r="283" spans="1:7" ht="13.5" thickBot="1" x14ac:dyDescent="0.25">
      <c r="A283" s="2125">
        <f>ROUND((A279*F279*(D279+E279)+((D279+E279)+E279)*C279/2*F279+((D279+E279)+E279)*B279/2*F279)*G279,2)</f>
        <v>71.760000000000005</v>
      </c>
      <c r="B283" s="2125">
        <f>ROUND((E279*2+SQRT(B279^2+D279^2)+A279+SQRT(C279^2+D279^2))*F279*G279+(((A279+B279+C279)+A279)*D279/2+(A279+B279+C279)*E279)*2*G279,2)</f>
        <v>175.56</v>
      </c>
    </row>
    <row r="285" spans="1:7" x14ac:dyDescent="0.2">
      <c r="A285" s="2153" t="s">
        <v>2525</v>
      </c>
    </row>
    <row r="286" spans="1:7" ht="15.75" x14ac:dyDescent="0.2">
      <c r="A286" s="2155"/>
    </row>
    <row r="287" spans="1:7" x14ac:dyDescent="0.2">
      <c r="A287" s="2133" t="s">
        <v>2526</v>
      </c>
    </row>
    <row r="297" spans="1:6" ht="13.5" thickBot="1" x14ac:dyDescent="0.25"/>
    <row r="298" spans="1:6" x14ac:dyDescent="0.2">
      <c r="A298" s="2190" t="s">
        <v>2459</v>
      </c>
      <c r="B298" s="2187" t="s">
        <v>2460</v>
      </c>
      <c r="C298" s="2187" t="s">
        <v>2461</v>
      </c>
      <c r="D298" s="2187" t="s">
        <v>2527</v>
      </c>
      <c r="E298" s="2187" t="s">
        <v>2491</v>
      </c>
      <c r="F298" s="3009" t="s">
        <v>2492</v>
      </c>
    </row>
    <row r="299" spans="1:6" ht="13.5" thickBot="1" x14ac:dyDescent="0.25">
      <c r="A299" s="2191" t="s">
        <v>2493</v>
      </c>
      <c r="B299" s="2189" t="s">
        <v>2494</v>
      </c>
      <c r="C299" s="2189" t="s">
        <v>2495</v>
      </c>
      <c r="D299" s="2189" t="s">
        <v>2528</v>
      </c>
      <c r="E299" s="2189" t="s">
        <v>2496</v>
      </c>
      <c r="F299" s="3010"/>
    </row>
    <row r="300" spans="1:6" ht="13.5" thickBot="1" x14ac:dyDescent="0.25">
      <c r="A300" s="2122">
        <v>22</v>
      </c>
      <c r="B300" s="2123">
        <v>0.3</v>
      </c>
      <c r="C300" s="2123">
        <v>0.02</v>
      </c>
      <c r="D300" s="2123">
        <v>6</v>
      </c>
      <c r="E300" s="2124">
        <f>ROUND(A300*B300*C300*D300,2)</f>
        <v>0.79</v>
      </c>
      <c r="F300" s="2124">
        <f>ROUND((A300*2+B300*2)*C300*D300,2)</f>
        <v>5.35</v>
      </c>
    </row>
    <row r="302" spans="1:6" x14ac:dyDescent="0.2">
      <c r="A302" s="21" t="s">
        <v>2529</v>
      </c>
    </row>
    <row r="313" spans="1:6" ht="13.5" thickBot="1" x14ac:dyDescent="0.25">
      <c r="A313" s="2156"/>
      <c r="B313"/>
      <c r="C313"/>
      <c r="D313"/>
      <c r="E313"/>
      <c r="F313"/>
    </row>
    <row r="314" spans="1:6" x14ac:dyDescent="0.2">
      <c r="A314" s="2190" t="s">
        <v>2459</v>
      </c>
      <c r="B314" s="2187" t="s">
        <v>2460</v>
      </c>
      <c r="C314" s="2187" t="s">
        <v>2461</v>
      </c>
      <c r="D314" s="2187" t="s">
        <v>2527</v>
      </c>
      <c r="E314" s="2187" t="s">
        <v>2491</v>
      </c>
      <c r="F314" s="3009" t="s">
        <v>2492</v>
      </c>
    </row>
    <row r="315" spans="1:6" ht="13.5" thickBot="1" x14ac:dyDescent="0.25">
      <c r="A315" s="2191" t="s">
        <v>2493</v>
      </c>
      <c r="B315" s="2189" t="s">
        <v>2494</v>
      </c>
      <c r="C315" s="2189" t="s">
        <v>2495</v>
      </c>
      <c r="D315" s="2189" t="s">
        <v>2528</v>
      </c>
      <c r="E315" s="2189" t="s">
        <v>2496</v>
      </c>
      <c r="F315" s="3010"/>
    </row>
    <row r="316" spans="1:6" ht="13.5" thickBot="1" x14ac:dyDescent="0.25">
      <c r="A316" s="2122">
        <v>22</v>
      </c>
      <c r="B316" s="2123">
        <v>0.15</v>
      </c>
      <c r="C316" s="2123">
        <v>0.02</v>
      </c>
      <c r="D316" s="2123">
        <v>2</v>
      </c>
      <c r="E316" s="2124">
        <f>ROUND(A316*B316*C316*D316,2)</f>
        <v>0.13</v>
      </c>
      <c r="F316" s="2124">
        <f>ROUND((A316*2+B316*2)*C316*D316,2)</f>
        <v>1.77</v>
      </c>
    </row>
    <row r="317" spans="1:6" ht="13.5" thickBot="1" x14ac:dyDescent="0.25"/>
    <row r="318" spans="1:6" ht="26.25" customHeight="1" thickBot="1" x14ac:dyDescent="0.25">
      <c r="A318" s="3007" t="s">
        <v>2530</v>
      </c>
      <c r="B318" s="3008"/>
    </row>
    <row r="319" spans="1:6" x14ac:dyDescent="0.2">
      <c r="A319" s="2187" t="s">
        <v>2491</v>
      </c>
      <c r="B319" s="3009" t="s">
        <v>2492</v>
      </c>
    </row>
    <row r="320" spans="1:6" ht="13.5" thickBot="1" x14ac:dyDescent="0.25">
      <c r="A320" s="2189" t="s">
        <v>2496</v>
      </c>
      <c r="B320" s="3010"/>
    </row>
    <row r="321" spans="1:6" ht="13.5" thickBot="1" x14ac:dyDescent="0.25">
      <c r="A321" s="2125">
        <f>ROUND(E300+E316,2)</f>
        <v>0.92</v>
      </c>
      <c r="B321" s="2125">
        <f>ROUND(F300+F316,2)</f>
        <v>7.12</v>
      </c>
    </row>
    <row r="323" spans="1:6" x14ac:dyDescent="0.2">
      <c r="A323" s="2157" t="s">
        <v>2531</v>
      </c>
    </row>
    <row r="335" spans="1:6" ht="13.5" thickBot="1" x14ac:dyDescent="0.25"/>
    <row r="336" spans="1:6" x14ac:dyDescent="0.2">
      <c r="A336" s="2190" t="s">
        <v>2459</v>
      </c>
      <c r="B336" s="2187" t="s">
        <v>2460</v>
      </c>
      <c r="C336" s="2187" t="s">
        <v>2461</v>
      </c>
      <c r="D336" s="2139" t="s">
        <v>2462</v>
      </c>
      <c r="E336" s="2187" t="s">
        <v>2463</v>
      </c>
      <c r="F336" s="2187" t="s">
        <v>2464</v>
      </c>
    </row>
    <row r="337" spans="1:6" ht="15" thickBot="1" x14ac:dyDescent="0.25">
      <c r="A337" s="2191" t="s">
        <v>2532</v>
      </c>
      <c r="B337" s="2189" t="s">
        <v>2533</v>
      </c>
      <c r="C337" s="2189" t="s">
        <v>2534</v>
      </c>
      <c r="D337" s="2135" t="s">
        <v>2508</v>
      </c>
      <c r="E337" s="2189" t="s">
        <v>2509</v>
      </c>
      <c r="F337" s="2189" t="s">
        <v>2493</v>
      </c>
    </row>
    <row r="338" spans="1:6" ht="13.5" thickBot="1" x14ac:dyDescent="0.25">
      <c r="A338" s="2191">
        <v>0.4</v>
      </c>
      <c r="B338" s="2189">
        <v>0.2</v>
      </c>
      <c r="C338" s="2189">
        <v>0.4</v>
      </c>
      <c r="D338" s="2135">
        <v>1.02</v>
      </c>
      <c r="E338" s="2189">
        <v>0.05</v>
      </c>
      <c r="F338" s="2189">
        <v>9.1999999999999993</v>
      </c>
    </row>
    <row r="339" spans="1:6" ht="13.5" thickBot="1" x14ac:dyDescent="0.25"/>
    <row r="340" spans="1:6" x14ac:dyDescent="0.2">
      <c r="A340" s="2187" t="s">
        <v>2535</v>
      </c>
      <c r="B340" s="2187" t="s">
        <v>2491</v>
      </c>
      <c r="C340" s="3009" t="s">
        <v>2492</v>
      </c>
    </row>
    <row r="341" spans="1:6" ht="13.5" thickBot="1" x14ac:dyDescent="0.25">
      <c r="A341" s="2189" t="s">
        <v>2524</v>
      </c>
      <c r="B341" s="2189" t="s">
        <v>2496</v>
      </c>
      <c r="C341" s="3010"/>
    </row>
    <row r="342" spans="1:6" ht="13.5" thickBot="1" x14ac:dyDescent="0.25">
      <c r="A342" s="2125">
        <v>44</v>
      </c>
      <c r="B342" s="2135">
        <v>102.82</v>
      </c>
      <c r="C342" s="2135">
        <v>1293.43</v>
      </c>
    </row>
    <row r="344" spans="1:6" x14ac:dyDescent="0.2">
      <c r="A344" s="2157" t="s">
        <v>2536</v>
      </c>
    </row>
    <row r="356" spans="1:6" ht="13.5" thickBot="1" x14ac:dyDescent="0.25"/>
    <row r="357" spans="1:6" x14ac:dyDescent="0.2">
      <c r="A357" s="2190" t="s">
        <v>2459</v>
      </c>
      <c r="B357" s="2187" t="s">
        <v>2460</v>
      </c>
      <c r="C357" s="2187" t="s">
        <v>2461</v>
      </c>
      <c r="D357" s="2139" t="s">
        <v>2462</v>
      </c>
      <c r="E357" s="2187" t="s">
        <v>2463</v>
      </c>
      <c r="F357" s="2187" t="s">
        <v>2464</v>
      </c>
    </row>
    <row r="358" spans="1:6" ht="15" thickBot="1" x14ac:dyDescent="0.25">
      <c r="A358" s="2191" t="s">
        <v>2532</v>
      </c>
      <c r="B358" s="2189" t="s">
        <v>2533</v>
      </c>
      <c r="C358" s="2189" t="s">
        <v>2534</v>
      </c>
      <c r="D358" s="2135" t="s">
        <v>2508</v>
      </c>
      <c r="E358" s="2189" t="s">
        <v>2509</v>
      </c>
      <c r="F358" s="2189" t="s">
        <v>2493</v>
      </c>
    </row>
    <row r="359" spans="1:6" ht="13.5" thickBot="1" x14ac:dyDescent="0.25">
      <c r="A359" s="2191">
        <v>0.4</v>
      </c>
      <c r="B359" s="2189">
        <v>0.2</v>
      </c>
      <c r="C359" s="2189">
        <v>0.4</v>
      </c>
      <c r="D359" s="2135">
        <v>1.02</v>
      </c>
      <c r="E359" s="2189">
        <v>0.05</v>
      </c>
      <c r="F359" s="2189">
        <v>19.2</v>
      </c>
    </row>
    <row r="361" spans="1:6" ht="13.5" thickBot="1" x14ac:dyDescent="0.25"/>
    <row r="362" spans="1:6" x14ac:dyDescent="0.2">
      <c r="A362" s="2187" t="s">
        <v>2535</v>
      </c>
      <c r="B362" s="2187" t="s">
        <v>2491</v>
      </c>
      <c r="C362" s="3009" t="s">
        <v>2492</v>
      </c>
    </row>
    <row r="363" spans="1:6" ht="13.5" thickBot="1" x14ac:dyDescent="0.25">
      <c r="A363" s="2189" t="s">
        <v>2524</v>
      </c>
      <c r="B363" s="2189" t="s">
        <v>2496</v>
      </c>
      <c r="C363" s="3010"/>
    </row>
    <row r="364" spans="1:6" ht="13.5" thickBot="1" x14ac:dyDescent="0.25">
      <c r="A364" s="2125">
        <v>22</v>
      </c>
      <c r="B364" s="2135">
        <v>107.29</v>
      </c>
      <c r="C364" s="2135">
        <v>1337.52</v>
      </c>
    </row>
    <row r="366" spans="1:6" x14ac:dyDescent="0.2">
      <c r="A366" s="2129" t="s">
        <v>2537</v>
      </c>
    </row>
    <row r="389" spans="1:7" ht="13.5" thickBot="1" x14ac:dyDescent="0.25"/>
    <row r="390" spans="1:7" x14ac:dyDescent="0.2">
      <c r="A390" s="2190" t="s">
        <v>2459</v>
      </c>
      <c r="B390" s="2187" t="s">
        <v>2460</v>
      </c>
      <c r="C390" s="2187" t="s">
        <v>2461</v>
      </c>
      <c r="D390" s="2187" t="s">
        <v>2462</v>
      </c>
      <c r="E390" s="2187" t="s">
        <v>2463</v>
      </c>
      <c r="F390" s="2187" t="s">
        <v>2464</v>
      </c>
      <c r="G390" s="2187" t="s">
        <v>2471</v>
      </c>
    </row>
    <row r="391" spans="1:7" ht="15" thickBot="1" x14ac:dyDescent="0.25">
      <c r="A391" s="2191" t="s">
        <v>2493</v>
      </c>
      <c r="B391" s="2189" t="s">
        <v>2532</v>
      </c>
      <c r="C391" s="2189" t="s">
        <v>2533</v>
      </c>
      <c r="D391" s="2189" t="s">
        <v>2534</v>
      </c>
      <c r="E391" s="2189" t="s">
        <v>2538</v>
      </c>
      <c r="F391" s="2189" t="s">
        <v>2508</v>
      </c>
      <c r="G391" s="2189" t="s">
        <v>2509</v>
      </c>
    </row>
    <row r="392" spans="1:7" ht="13.5" thickBot="1" x14ac:dyDescent="0.25">
      <c r="A392" s="2122">
        <v>40</v>
      </c>
      <c r="B392" s="2123">
        <v>5.65</v>
      </c>
      <c r="C392" s="2123">
        <v>7</v>
      </c>
      <c r="D392" s="2123">
        <v>7</v>
      </c>
      <c r="E392" s="2123">
        <v>2.35</v>
      </c>
      <c r="F392" s="2123">
        <v>0.15</v>
      </c>
      <c r="G392" s="2123">
        <v>0.05</v>
      </c>
    </row>
    <row r="393" spans="1:7" ht="13.5" thickBot="1" x14ac:dyDescent="0.25"/>
    <row r="394" spans="1:7" x14ac:dyDescent="0.2">
      <c r="A394" s="2187" t="s">
        <v>2472</v>
      </c>
      <c r="B394" s="2187" t="s">
        <v>2491</v>
      </c>
      <c r="C394" s="3009" t="s">
        <v>2492</v>
      </c>
      <c r="D394" s="2187" t="s">
        <v>2491</v>
      </c>
    </row>
    <row r="395" spans="1:7" ht="13.5" thickBot="1" x14ac:dyDescent="0.25">
      <c r="A395" s="2189" t="s">
        <v>802</v>
      </c>
      <c r="B395" s="2189" t="s">
        <v>2496</v>
      </c>
      <c r="C395" s="3010"/>
      <c r="D395" s="2189" t="s">
        <v>1888</v>
      </c>
    </row>
    <row r="396" spans="1:7" ht="13.5" thickBot="1" x14ac:dyDescent="0.25">
      <c r="A396" s="2140">
        <v>0.05</v>
      </c>
      <c r="B396" s="2125">
        <f>ROUND((B392+C392+D392+E392)*F392*A392+(C392+D392)*G392/2*A392,2)</f>
        <v>146</v>
      </c>
      <c r="C396" s="2125">
        <f>ROUND((B392+C392+D392+E392)*F392*2+A392*F392*2+(C392+D392)*G392/2*2,2)</f>
        <v>19.3</v>
      </c>
      <c r="D396" s="2125">
        <f>ROUND((B392+C392+D392+E392)*A392*A396,2)</f>
        <v>44</v>
      </c>
    </row>
    <row r="398" spans="1:7" x14ac:dyDescent="0.2">
      <c r="A398" s="2133" t="s">
        <v>2539</v>
      </c>
    </row>
    <row r="410" spans="1:6" ht="13.5" thickBot="1" x14ac:dyDescent="0.25"/>
    <row r="411" spans="1:6" x14ac:dyDescent="0.2">
      <c r="A411" s="2190" t="s">
        <v>2459</v>
      </c>
      <c r="B411" s="2187" t="s">
        <v>2460</v>
      </c>
      <c r="C411" s="2187" t="s">
        <v>2461</v>
      </c>
      <c r="D411" s="2139" t="s">
        <v>2462</v>
      </c>
      <c r="E411" s="2187" t="s">
        <v>2463</v>
      </c>
      <c r="F411" s="2187" t="s">
        <v>2464</v>
      </c>
    </row>
    <row r="412" spans="1:6" ht="15" thickBot="1" x14ac:dyDescent="0.25">
      <c r="A412" s="2191" t="s">
        <v>2493</v>
      </c>
      <c r="B412" s="2189" t="s">
        <v>2532</v>
      </c>
      <c r="C412" s="2189" t="s">
        <v>2533</v>
      </c>
      <c r="D412" s="2135" t="s">
        <v>2508</v>
      </c>
      <c r="E412" s="2189" t="s">
        <v>2509</v>
      </c>
      <c r="F412" s="2189" t="s">
        <v>2510</v>
      </c>
    </row>
    <row r="413" spans="1:6" ht="13.5" thickBot="1" x14ac:dyDescent="0.25">
      <c r="A413" s="2122">
        <v>22</v>
      </c>
      <c r="B413" s="2123">
        <v>0.4</v>
      </c>
      <c r="C413" s="2123">
        <v>0.3</v>
      </c>
      <c r="D413" s="2140">
        <v>0.3</v>
      </c>
      <c r="E413" s="2123">
        <v>0.3</v>
      </c>
      <c r="F413" s="2123">
        <f>0.57+0.05</f>
        <v>0.62</v>
      </c>
    </row>
    <row r="414" spans="1:6" ht="13.5" thickBot="1" x14ac:dyDescent="0.25"/>
    <row r="415" spans="1:6" ht="38.25" x14ac:dyDescent="0.2">
      <c r="A415" s="2187" t="s">
        <v>2540</v>
      </c>
      <c r="B415" s="2187" t="s">
        <v>2491</v>
      </c>
      <c r="C415" s="3009" t="s">
        <v>2492</v>
      </c>
    </row>
    <row r="416" spans="1:6" ht="26.25" thickBot="1" x14ac:dyDescent="0.25">
      <c r="A416" s="2189" t="s">
        <v>2541</v>
      </c>
      <c r="B416" s="2189" t="s">
        <v>2496</v>
      </c>
      <c r="C416" s="3010"/>
    </row>
    <row r="417" spans="1:6" ht="13.5" thickBot="1" x14ac:dyDescent="0.25">
      <c r="A417" s="2140">
        <v>2</v>
      </c>
      <c r="B417" s="2125">
        <f>ROUND((B413*(D413+E413+F413)*A413+((D413+E413)+E413)*C413/2*A413)*A417,2)</f>
        <v>27.41</v>
      </c>
      <c r="C417" s="2125">
        <f>ROUND(((F413+E413+SQRT(D413^2+C413^2)+B413+(D413+E413+F413))*A413+(((D413+E413)+E413)*C413/2+B413*(D413+E413+F413))*2)*A417,2)</f>
        <v>132.91999999999999</v>
      </c>
    </row>
    <row r="419" spans="1:6" x14ac:dyDescent="0.2">
      <c r="A419" s="2153" t="s">
        <v>2542</v>
      </c>
    </row>
    <row r="431" spans="1:6" ht="13.5" thickBot="1" x14ac:dyDescent="0.25"/>
    <row r="432" spans="1:6" x14ac:dyDescent="0.2">
      <c r="A432" s="2190" t="s">
        <v>2459</v>
      </c>
      <c r="B432" s="2187" t="s">
        <v>2460</v>
      </c>
      <c r="C432" s="2187" t="s">
        <v>2461</v>
      </c>
      <c r="D432" s="2158" t="s">
        <v>2543</v>
      </c>
      <c r="E432" s="2187" t="s">
        <v>2491</v>
      </c>
      <c r="F432" s="3009" t="s">
        <v>2492</v>
      </c>
    </row>
    <row r="433" spans="1:6" ht="13.5" thickBot="1" x14ac:dyDescent="0.25">
      <c r="A433" s="2191" t="s">
        <v>2493</v>
      </c>
      <c r="B433" s="2189" t="s">
        <v>2494</v>
      </c>
      <c r="C433" s="2189" t="s">
        <v>2495</v>
      </c>
      <c r="D433" s="2159" t="s">
        <v>2544</v>
      </c>
      <c r="E433" s="2189" t="s">
        <v>2496</v>
      </c>
      <c r="F433" s="3010"/>
    </row>
    <row r="434" spans="1:6" ht="13.5" thickBot="1" x14ac:dyDescent="0.25">
      <c r="A434" s="2122">
        <v>22</v>
      </c>
      <c r="B434" s="2123">
        <v>0.4</v>
      </c>
      <c r="C434" s="2123">
        <v>1.07</v>
      </c>
      <c r="D434" s="2123">
        <v>4</v>
      </c>
      <c r="E434" s="2125">
        <f>ROUND(A434*B434*C434*D434,2)</f>
        <v>37.659999999999997</v>
      </c>
      <c r="F434" s="2125">
        <f>ROUND((B434+C434*2)*A434*D434+B434*C434*2*D434,2)</f>
        <v>226.94</v>
      </c>
    </row>
    <row r="436" spans="1:6" ht="15" x14ac:dyDescent="0.25">
      <c r="A436" s="2160" t="s">
        <v>2545</v>
      </c>
    </row>
    <row r="452" spans="1:7" ht="13.5" thickBot="1" x14ac:dyDescent="0.25"/>
    <row r="453" spans="1:7" x14ac:dyDescent="0.2">
      <c r="A453" s="2190" t="s">
        <v>2459</v>
      </c>
      <c r="B453" s="2187" t="s">
        <v>2460</v>
      </c>
      <c r="C453" s="2187" t="s">
        <v>2461</v>
      </c>
      <c r="D453" s="2187" t="s">
        <v>2462</v>
      </c>
      <c r="E453" s="2187" t="s">
        <v>2463</v>
      </c>
      <c r="F453" s="2187" t="s">
        <v>2464</v>
      </c>
      <c r="G453" s="2187" t="s">
        <v>2472</v>
      </c>
    </row>
    <row r="454" spans="1:7" ht="15" thickBot="1" x14ac:dyDescent="0.25">
      <c r="A454" s="2191" t="s">
        <v>2532</v>
      </c>
      <c r="B454" s="2189" t="s">
        <v>2533</v>
      </c>
      <c r="C454" s="2189" t="s">
        <v>2534</v>
      </c>
      <c r="D454" s="2189" t="s">
        <v>2510</v>
      </c>
      <c r="E454" s="2189" t="s">
        <v>2509</v>
      </c>
      <c r="F454" s="2189" t="s">
        <v>2508</v>
      </c>
      <c r="G454" s="2189" t="s">
        <v>2493</v>
      </c>
    </row>
    <row r="455" spans="1:7" ht="13.5" thickBot="1" x14ac:dyDescent="0.25">
      <c r="A455" s="2122">
        <v>0.17499999999999999</v>
      </c>
      <c r="B455" s="2123">
        <v>0.05</v>
      </c>
      <c r="C455" s="2123">
        <v>0.17499999999999999</v>
      </c>
      <c r="D455" s="2123">
        <v>0.15</v>
      </c>
      <c r="E455" s="2123">
        <v>0.4</v>
      </c>
      <c r="F455" s="2123">
        <v>0.87</v>
      </c>
      <c r="G455" s="2123">
        <v>0.95</v>
      </c>
    </row>
    <row r="456" spans="1:7" ht="13.5" thickBot="1" x14ac:dyDescent="0.25"/>
    <row r="457" spans="1:7" x14ac:dyDescent="0.2">
      <c r="A457" s="2187" t="s">
        <v>2518</v>
      </c>
      <c r="B457" s="2187" t="s">
        <v>2491</v>
      </c>
      <c r="C457" s="3009" t="s">
        <v>2492</v>
      </c>
    </row>
    <row r="458" spans="1:7" ht="13.5" thickBot="1" x14ac:dyDescent="0.25">
      <c r="A458" s="2189" t="s">
        <v>2546</v>
      </c>
      <c r="B458" s="2189" t="s">
        <v>2496</v>
      </c>
      <c r="C458" s="3010"/>
    </row>
    <row r="459" spans="1:7" ht="13.5" thickBot="1" x14ac:dyDescent="0.25">
      <c r="A459" s="2140">
        <v>80</v>
      </c>
      <c r="B459" s="2125">
        <f>ROUND((A455*F455+(F455+E455)*B455/2+(E455+D455)*C455/2)*G455*A459,2)</f>
        <v>17.64</v>
      </c>
      <c r="C459" s="2125">
        <f>ROUND((F455+D455+SQRT(C455^2+(E455-D455)^2)+SQRT((F455-E455)^2+B455^2))*G455*A459+(A455*F455+(F455+E455)*B455/2+(E455+D455)*C455/2)*2*A459,2)</f>
        <v>173.77</v>
      </c>
    </row>
    <row r="461" spans="1:7" x14ac:dyDescent="0.2">
      <c r="A461" s="2153" t="s">
        <v>2547</v>
      </c>
    </row>
    <row r="473" spans="1:6" ht="13.5" thickBot="1" x14ac:dyDescent="0.25"/>
    <row r="474" spans="1:6" x14ac:dyDescent="0.2">
      <c r="A474" s="2190" t="s">
        <v>2459</v>
      </c>
      <c r="B474" s="2187" t="s">
        <v>2460</v>
      </c>
      <c r="C474" s="2187" t="s">
        <v>2461</v>
      </c>
      <c r="D474" s="2187" t="s">
        <v>2518</v>
      </c>
      <c r="E474" s="2187" t="s">
        <v>2491</v>
      </c>
      <c r="F474" s="3009" t="s">
        <v>2492</v>
      </c>
    </row>
    <row r="475" spans="1:6" ht="15" thickBot="1" x14ac:dyDescent="0.25">
      <c r="A475" s="2191" t="s">
        <v>2532</v>
      </c>
      <c r="B475" s="2189" t="s">
        <v>2508</v>
      </c>
      <c r="C475" s="2189" t="s">
        <v>2493</v>
      </c>
      <c r="D475" s="2189" t="s">
        <v>2546</v>
      </c>
      <c r="E475" s="2189" t="s">
        <v>2496</v>
      </c>
      <c r="F475" s="3010"/>
    </row>
    <row r="476" spans="1:6" ht="13.5" thickBot="1" x14ac:dyDescent="0.25">
      <c r="A476" s="2122">
        <v>0.15</v>
      </c>
      <c r="B476" s="2123">
        <v>0.2</v>
      </c>
      <c r="C476" s="2123">
        <v>0.95</v>
      </c>
      <c r="D476" s="2123">
        <v>40</v>
      </c>
      <c r="E476" s="2124">
        <f>ROUND(A476*B476*C476*D476,2)</f>
        <v>1.1399999999999999</v>
      </c>
      <c r="F476" s="2125">
        <f>ROUND((A476*B476*2+B476*C476*2)*D476,2)</f>
        <v>17.600000000000001</v>
      </c>
    </row>
    <row r="478" spans="1:6" x14ac:dyDescent="0.2">
      <c r="A478" s="2153" t="s">
        <v>2548</v>
      </c>
    </row>
    <row r="495" spans="1:7" ht="13.5" thickBot="1" x14ac:dyDescent="0.25"/>
    <row r="496" spans="1:7" x14ac:dyDescent="0.2">
      <c r="A496" s="2190" t="s">
        <v>2459</v>
      </c>
      <c r="B496" s="2187" t="s">
        <v>2460</v>
      </c>
      <c r="C496" s="2187" t="s">
        <v>2461</v>
      </c>
      <c r="D496" s="2187" t="s">
        <v>2462</v>
      </c>
      <c r="E496" s="2187" t="s">
        <v>2463</v>
      </c>
      <c r="F496" s="2187" t="s">
        <v>2464</v>
      </c>
      <c r="G496" s="2187" t="s">
        <v>2549</v>
      </c>
    </row>
    <row r="497" spans="1:10" ht="15" thickBot="1" x14ac:dyDescent="0.25">
      <c r="A497" s="2191" t="s">
        <v>2506</v>
      </c>
      <c r="B497" s="2189" t="s">
        <v>2507</v>
      </c>
      <c r="C497" s="2189" t="s">
        <v>2550</v>
      </c>
      <c r="D497" s="2189" t="s">
        <v>2551</v>
      </c>
      <c r="E497" s="2189" t="s">
        <v>2519</v>
      </c>
      <c r="F497" s="2189" t="s">
        <v>2495</v>
      </c>
      <c r="G497" s="2189" t="s">
        <v>578</v>
      </c>
    </row>
    <row r="498" spans="1:10" ht="13.5" thickBot="1" x14ac:dyDescent="0.25">
      <c r="A498" s="2122">
        <v>0.01</v>
      </c>
      <c r="B498" s="2123">
        <v>0.13</v>
      </c>
      <c r="C498" s="2123">
        <v>0.01</v>
      </c>
      <c r="D498" s="2123">
        <v>0.13</v>
      </c>
      <c r="E498" s="2123">
        <f>(2.54*2.5)/100</f>
        <v>6.3500000000000001E-2</v>
      </c>
      <c r="F498" s="2123">
        <v>1.05</v>
      </c>
      <c r="G498" s="2123">
        <v>3</v>
      </c>
    </row>
    <row r="499" spans="1:10" ht="13.5" thickBot="1" x14ac:dyDescent="0.25"/>
    <row r="500" spans="1:10" x14ac:dyDescent="0.2">
      <c r="A500" s="2187" t="s">
        <v>2518</v>
      </c>
      <c r="B500" s="2187" t="s">
        <v>2491</v>
      </c>
      <c r="C500" s="3009" t="s">
        <v>2492</v>
      </c>
    </row>
    <row r="501" spans="1:10" ht="13.5" thickBot="1" x14ac:dyDescent="0.25">
      <c r="A501" s="2189" t="s">
        <v>2552</v>
      </c>
      <c r="B501" s="2189" t="s">
        <v>2496</v>
      </c>
      <c r="C501" s="3010"/>
    </row>
    <row r="502" spans="1:10" ht="13.5" thickBot="1" x14ac:dyDescent="0.25">
      <c r="A502" s="2161">
        <v>44</v>
      </c>
      <c r="B502" s="2125">
        <f>ROUND((A498+B498+A498)*(C498+D498+C498)*F498*A502,2)</f>
        <v>1.04</v>
      </c>
      <c r="C502" s="2125">
        <f>ROUND(F498*((A498+B498+A498)*2+(C498+D498+C498)*2)*A502,2)</f>
        <v>27.72</v>
      </c>
      <c r="I502" s="21">
        <f>ROUND((A498+B498+A498)*(C498+D498+C498)*F498*A502-(PI()*E498^2)/4*(A498+B498+A498)*G498*A502,2)</f>
        <v>0.98</v>
      </c>
      <c r="J502" s="21">
        <f>ROUND(F498*(B498*2+D498*2+SQRT(A498^2+C498^2)*4)*A502-(PI()*E498^2)/4*G498*2*A502,2)</f>
        <v>25.8</v>
      </c>
    </row>
    <row r="504" spans="1:10" ht="15" x14ac:dyDescent="0.25">
      <c r="A504" s="2160" t="s">
        <v>2553</v>
      </c>
    </row>
    <row r="524" spans="1:7" ht="13.5" thickBot="1" x14ac:dyDescent="0.25"/>
    <row r="525" spans="1:7" x14ac:dyDescent="0.2">
      <c r="A525" s="2190" t="s">
        <v>2459</v>
      </c>
      <c r="B525" s="2187" t="s">
        <v>2460</v>
      </c>
      <c r="C525" s="2187" t="s">
        <v>2461</v>
      </c>
      <c r="D525" s="2187" t="s">
        <v>2462</v>
      </c>
      <c r="E525" s="2187" t="s">
        <v>2463</v>
      </c>
      <c r="F525" s="2187" t="s">
        <v>2464</v>
      </c>
      <c r="G525" s="2187" t="s">
        <v>2471</v>
      </c>
    </row>
    <row r="526" spans="1:7" ht="27.75" thickBot="1" x14ac:dyDescent="0.25">
      <c r="A526" s="2191" t="s">
        <v>2522</v>
      </c>
      <c r="B526" s="2189" t="s">
        <v>2554</v>
      </c>
      <c r="C526" s="2189" t="s">
        <v>2555</v>
      </c>
      <c r="D526" s="2189" t="s">
        <v>2494</v>
      </c>
      <c r="E526" s="2189" t="s">
        <v>2508</v>
      </c>
      <c r="F526" s="2189" t="s">
        <v>2509</v>
      </c>
      <c r="G526" s="2189" t="s">
        <v>2510</v>
      </c>
    </row>
    <row r="527" spans="1:7" ht="13.5" thickBot="1" x14ac:dyDescent="0.25">
      <c r="A527" s="2122">
        <v>0.3</v>
      </c>
      <c r="B527" s="2123">
        <v>0.3</v>
      </c>
      <c r="C527" s="2123">
        <v>3.4</v>
      </c>
      <c r="D527" s="2123">
        <v>22</v>
      </c>
      <c r="E527" s="2123">
        <v>0.25</v>
      </c>
      <c r="F527" s="2123">
        <v>0.3</v>
      </c>
      <c r="G527" s="2123">
        <v>0.05</v>
      </c>
    </row>
    <row r="528" spans="1:7" ht="13.5" thickBot="1" x14ac:dyDescent="0.25"/>
    <row r="529" spans="1:4" x14ac:dyDescent="0.2">
      <c r="A529" s="2187" t="s">
        <v>2518</v>
      </c>
      <c r="B529" s="2187" t="s">
        <v>2491</v>
      </c>
      <c r="C529" s="2187" t="s">
        <v>2491</v>
      </c>
      <c r="D529" s="3009" t="s">
        <v>2492</v>
      </c>
    </row>
    <row r="530" spans="1:4" ht="39" thickBot="1" x14ac:dyDescent="0.25">
      <c r="A530" s="2189" t="s">
        <v>2556</v>
      </c>
      <c r="B530" s="2189" t="s">
        <v>2557</v>
      </c>
      <c r="C530" s="2189" t="s">
        <v>2558</v>
      </c>
      <c r="D530" s="3010"/>
    </row>
    <row r="531" spans="1:4" ht="13.5" thickBot="1" x14ac:dyDescent="0.25">
      <c r="A531" s="2140">
        <v>2</v>
      </c>
      <c r="B531" s="2125">
        <f>ROUND((C527*E527*D527+A527*(E527+F527)*D527+(E527+F527+E527)*B527/2*D527)*A531,2)</f>
        <v>49.94</v>
      </c>
      <c r="C531" s="2124">
        <f>ROUND(((A527+B527+C527)*G527*D527)*2,2)</f>
        <v>8.8000000000000007</v>
      </c>
      <c r="D531" s="2125">
        <f>ROUND((E527*D527+((E527+F527)*A527+(E527+F527+E527)*B527/2+C527*E527)*2+(E527+F527)*D527)*A531,2)</f>
        <v>39.74</v>
      </c>
    </row>
    <row r="533" spans="1:4" x14ac:dyDescent="0.2">
      <c r="A533" s="2133" t="s">
        <v>2559</v>
      </c>
    </row>
    <row r="534" spans="1:4" ht="15.75" x14ac:dyDescent="0.2">
      <c r="A534" s="2155"/>
    </row>
    <row r="535" spans="1:4" x14ac:dyDescent="0.2">
      <c r="A535" s="2133" t="s">
        <v>2560</v>
      </c>
    </row>
    <row r="536" spans="1:4" x14ac:dyDescent="0.2">
      <c r="A536" s="2133"/>
    </row>
    <row r="567" spans="1:11" x14ac:dyDescent="0.2">
      <c r="A567" s="2133"/>
      <c r="B567"/>
      <c r="C567"/>
      <c r="D567"/>
      <c r="E567"/>
      <c r="F567"/>
      <c r="G567"/>
    </row>
    <row r="568" spans="1:11" ht="13.5" thickBot="1" x14ac:dyDescent="0.25">
      <c r="A568" s="2156"/>
      <c r="B568"/>
      <c r="C568"/>
      <c r="D568"/>
      <c r="E568"/>
      <c r="F568"/>
      <c r="G568"/>
    </row>
    <row r="569" spans="1:11" ht="13.5" thickBot="1" x14ac:dyDescent="0.25">
      <c r="A569" s="2993" t="s">
        <v>2561</v>
      </c>
      <c r="B569" s="2994"/>
      <c r="C569" s="2994"/>
      <c r="D569" s="2994"/>
      <c r="E569" s="2994"/>
      <c r="F569" s="2994"/>
      <c r="G569" s="2995"/>
    </row>
    <row r="570" spans="1:11" x14ac:dyDescent="0.2">
      <c r="A570" s="2119" t="s">
        <v>2459</v>
      </c>
      <c r="B570" s="2120" t="s">
        <v>2460</v>
      </c>
      <c r="C570" s="2120" t="s">
        <v>2461</v>
      </c>
      <c r="D570" s="2120" t="s">
        <v>2462</v>
      </c>
      <c r="E570" s="2120" t="s">
        <v>2463</v>
      </c>
      <c r="F570" s="2120" t="s">
        <v>2562</v>
      </c>
      <c r="G570" s="2991" t="s">
        <v>2563</v>
      </c>
    </row>
    <row r="571" spans="1:11" ht="15" thickBot="1" x14ac:dyDescent="0.25">
      <c r="A571" s="2162" t="s">
        <v>2564</v>
      </c>
      <c r="B571" s="2189" t="s">
        <v>2467</v>
      </c>
      <c r="C571" s="2163" t="s">
        <v>2564</v>
      </c>
      <c r="D571" s="2189" t="s">
        <v>2468</v>
      </c>
      <c r="E571" s="2163" t="s">
        <v>2564</v>
      </c>
      <c r="F571" s="2189" t="s">
        <v>2565</v>
      </c>
      <c r="G571" s="2992"/>
    </row>
    <row r="572" spans="1:11" ht="13.5" thickBot="1" x14ac:dyDescent="0.25">
      <c r="A572" s="2122">
        <v>1</v>
      </c>
      <c r="B572" s="2123">
        <v>0.4</v>
      </c>
      <c r="C572" s="2123">
        <v>1</v>
      </c>
      <c r="D572" s="2123">
        <v>7</v>
      </c>
      <c r="E572" s="2123">
        <v>1</v>
      </c>
      <c r="F572" s="2141">
        <f>C124</f>
        <v>6.5399999999999636</v>
      </c>
      <c r="G572" s="2125">
        <f>(A572+B572+C572)*(E572+D572)*F572</f>
        <v>125.5679999999993</v>
      </c>
      <c r="I572" s="21">
        <f>500.593-496.517</f>
        <v>4.0760000000000218</v>
      </c>
      <c r="J572" s="21">
        <f>500.593-495.273-0.02</f>
        <v>5.2999999999999936</v>
      </c>
      <c r="K572" s="21">
        <f>2.5572/2</f>
        <v>1.2786</v>
      </c>
    </row>
    <row r="573" spans="1:11" ht="13.5" thickBot="1" x14ac:dyDescent="0.25">
      <c r="A573" s="2133"/>
      <c r="B573"/>
      <c r="C573"/>
      <c r="D573"/>
      <c r="E573"/>
      <c r="F573"/>
      <c r="G573"/>
    </row>
    <row r="574" spans="1:11" ht="13.5" thickBot="1" x14ac:dyDescent="0.25">
      <c r="A574" s="2993" t="s">
        <v>2566</v>
      </c>
      <c r="B574" s="2994"/>
      <c r="C574" s="2994"/>
      <c r="D574" s="2994"/>
      <c r="E574" s="2994"/>
      <c r="F574" s="2994"/>
      <c r="G574" s="2995"/>
    </row>
    <row r="575" spans="1:11" x14ac:dyDescent="0.2">
      <c r="A575" s="2119" t="s">
        <v>2464</v>
      </c>
      <c r="B575" s="2120" t="s">
        <v>2471</v>
      </c>
      <c r="C575" s="2120" t="s">
        <v>2472</v>
      </c>
      <c r="D575" s="2120" t="s">
        <v>2473</v>
      </c>
      <c r="E575" s="2120" t="s">
        <v>2474</v>
      </c>
      <c r="F575" s="2120" t="s">
        <v>2562</v>
      </c>
      <c r="G575" s="2991" t="s">
        <v>2563</v>
      </c>
    </row>
    <row r="576" spans="1:11" ht="15" thickBot="1" x14ac:dyDescent="0.25">
      <c r="A576" s="2162" t="s">
        <v>2564</v>
      </c>
      <c r="B576" s="2189" t="s">
        <v>2467</v>
      </c>
      <c r="C576" s="2163" t="s">
        <v>2564</v>
      </c>
      <c r="D576" s="2189" t="s">
        <v>2468</v>
      </c>
      <c r="E576" s="2163" t="s">
        <v>2564</v>
      </c>
      <c r="F576" s="2189" t="s">
        <v>2565</v>
      </c>
      <c r="G576" s="2992"/>
      <c r="J576" s="21">
        <f>J572-K572</f>
        <v>4.0213999999999936</v>
      </c>
    </row>
    <row r="577" spans="1:7" ht="13.5" thickBot="1" x14ac:dyDescent="0.25">
      <c r="A577" s="2122">
        <v>1</v>
      </c>
      <c r="B577" s="2123">
        <v>0.4</v>
      </c>
      <c r="C577" s="2123">
        <v>1</v>
      </c>
      <c r="D577" s="2123">
        <v>7</v>
      </c>
      <c r="E577" s="2123">
        <v>1</v>
      </c>
      <c r="F577" s="2141">
        <f>C129</f>
        <v>6.5399999999999636</v>
      </c>
      <c r="G577" s="2125">
        <f>(A577+B577+C577)*(E577+D577)*F577</f>
        <v>125.5679999999993</v>
      </c>
    </row>
    <row r="578" spans="1:7" ht="13.5" thickBot="1" x14ac:dyDescent="0.25">
      <c r="A578" s="2133"/>
      <c r="B578"/>
      <c r="C578"/>
      <c r="D578"/>
      <c r="E578"/>
      <c r="F578"/>
      <c r="G578"/>
    </row>
    <row r="579" spans="1:7" ht="13.5" thickBot="1" x14ac:dyDescent="0.25">
      <c r="A579" s="2993" t="s">
        <v>2567</v>
      </c>
      <c r="B579" s="2994"/>
      <c r="C579" s="2994"/>
      <c r="D579" s="2994"/>
      <c r="E579" s="2994"/>
      <c r="F579" s="2995"/>
      <c r="G579"/>
    </row>
    <row r="580" spans="1:7" x14ac:dyDescent="0.2">
      <c r="A580" s="2119" t="s">
        <v>2476</v>
      </c>
      <c r="B580" s="2120" t="s">
        <v>2477</v>
      </c>
      <c r="C580" s="2120" t="s">
        <v>2478</v>
      </c>
      <c r="D580" s="2120" t="s">
        <v>2479</v>
      </c>
      <c r="E580" s="2164" t="s">
        <v>2568</v>
      </c>
      <c r="F580" s="2991" t="s">
        <v>2563</v>
      </c>
      <c r="G580"/>
    </row>
    <row r="581" spans="1:7" ht="13.5" thickBot="1" x14ac:dyDescent="0.25">
      <c r="A581" s="2162" t="s">
        <v>2564</v>
      </c>
      <c r="B581" s="2189" t="s">
        <v>2480</v>
      </c>
      <c r="C581" s="2163" t="s">
        <v>2564</v>
      </c>
      <c r="D581" s="2189" t="s">
        <v>2481</v>
      </c>
      <c r="E581" s="2189" t="s">
        <v>2565</v>
      </c>
      <c r="F581" s="2992"/>
      <c r="G581"/>
    </row>
    <row r="582" spans="1:7" ht="13.5" thickBot="1" x14ac:dyDescent="0.25">
      <c r="A582" s="2122">
        <v>1</v>
      </c>
      <c r="B582" s="2123">
        <v>0.4</v>
      </c>
      <c r="C582" s="2123">
        <v>1</v>
      </c>
      <c r="D582" s="2123">
        <v>22</v>
      </c>
      <c r="E582" s="2141">
        <f>C134</f>
        <v>5.2999999999999652</v>
      </c>
      <c r="F582" s="2125">
        <f>(C582+B582+A582)*D582*E582</f>
        <v>279.83999999999816</v>
      </c>
      <c r="G582"/>
    </row>
    <row r="614" spans="1:8" x14ac:dyDescent="0.2">
      <c r="A614" s="2165"/>
      <c r="B614"/>
      <c r="C614"/>
      <c r="D614"/>
      <c r="E614"/>
      <c r="F614"/>
      <c r="G614"/>
      <c r="H614"/>
    </row>
    <row r="615" spans="1:8" ht="15.75" thickBot="1" x14ac:dyDescent="0.25">
      <c r="A615" s="2166"/>
      <c r="B615"/>
      <c r="C615"/>
      <c r="D615"/>
      <c r="E615"/>
      <c r="F615"/>
      <c r="G615"/>
      <c r="H615"/>
    </row>
    <row r="616" spans="1:8" ht="13.5" customHeight="1" thickBot="1" x14ac:dyDescent="0.25">
      <c r="A616" s="2993" t="s">
        <v>2569</v>
      </c>
      <c r="B616" s="2994"/>
      <c r="C616" s="2994"/>
      <c r="D616" s="2994"/>
      <c r="E616" s="2994"/>
      <c r="F616" s="2994"/>
      <c r="G616" s="2995"/>
    </row>
    <row r="617" spans="1:8" ht="14.25" customHeight="1" x14ac:dyDescent="0.2">
      <c r="A617" s="2119" t="s">
        <v>2459</v>
      </c>
      <c r="B617" s="2120" t="s">
        <v>2460</v>
      </c>
      <c r="C617" s="2120" t="s">
        <v>2461</v>
      </c>
      <c r="D617" s="2120" t="s">
        <v>2462</v>
      </c>
      <c r="E617" s="2120" t="s">
        <v>2463</v>
      </c>
      <c r="F617" s="2120" t="s">
        <v>2562</v>
      </c>
      <c r="G617" s="2991" t="s">
        <v>2563</v>
      </c>
    </row>
    <row r="618" spans="1:8" ht="15" thickBot="1" x14ac:dyDescent="0.25">
      <c r="A618" s="2162" t="s">
        <v>2564</v>
      </c>
      <c r="B618" s="2189" t="s">
        <v>2467</v>
      </c>
      <c r="C618" s="2163" t="s">
        <v>2564</v>
      </c>
      <c r="D618" s="2189" t="s">
        <v>2468</v>
      </c>
      <c r="E618" s="2163" t="s">
        <v>2564</v>
      </c>
      <c r="F618" s="2189" t="s">
        <v>2565</v>
      </c>
      <c r="G618" s="2992"/>
    </row>
    <row r="619" spans="1:8" ht="13.5" thickBot="1" x14ac:dyDescent="0.25">
      <c r="A619" s="2122">
        <v>1</v>
      </c>
      <c r="B619" s="2123">
        <v>0.4</v>
      </c>
      <c r="C619" s="2123">
        <v>1</v>
      </c>
      <c r="D619" s="2123">
        <v>7</v>
      </c>
      <c r="E619" s="2167">
        <v>1</v>
      </c>
      <c r="F619" s="2141">
        <f>C164</f>
        <v>6.5399999999999636</v>
      </c>
      <c r="G619" s="2124">
        <f>(A619+B619+C619)*(E619+D619)*F619</f>
        <v>125.5679999999993</v>
      </c>
      <c r="H619" s="2168"/>
    </row>
    <row r="620" spans="1:8" ht="13.5" thickBot="1" x14ac:dyDescent="0.25">
      <c r="A620" s="3011"/>
      <c r="B620" s="3011"/>
      <c r="C620" s="3011"/>
      <c r="D620" s="3011"/>
      <c r="E620" s="3011"/>
      <c r="F620" s="3011"/>
      <c r="G620" s="3011"/>
      <c r="H620" s="2997"/>
    </row>
    <row r="621" spans="1:8" ht="13.5" customHeight="1" thickBot="1" x14ac:dyDescent="0.25">
      <c r="A621" s="2993" t="s">
        <v>2570</v>
      </c>
      <c r="B621" s="2994"/>
      <c r="C621" s="2994"/>
      <c r="D621" s="2994"/>
      <c r="E621" s="2994"/>
      <c r="F621" s="2994"/>
      <c r="G621" s="2995"/>
      <c r="H621" s="2168"/>
    </row>
    <row r="622" spans="1:8" ht="14.25" customHeight="1" x14ac:dyDescent="0.2">
      <c r="A622" s="2119" t="s">
        <v>2464</v>
      </c>
      <c r="B622" s="2120" t="s">
        <v>2471</v>
      </c>
      <c r="C622" s="2120" t="s">
        <v>2472</v>
      </c>
      <c r="D622" s="2120" t="s">
        <v>2473</v>
      </c>
      <c r="E622" s="2169" t="s">
        <v>2474</v>
      </c>
      <c r="F622" s="2190" t="s">
        <v>2562</v>
      </c>
      <c r="G622" s="2991" t="s">
        <v>2563</v>
      </c>
      <c r="H622" s="2168"/>
    </row>
    <row r="623" spans="1:8" ht="15" thickBot="1" x14ac:dyDescent="0.25">
      <c r="A623" s="2162" t="s">
        <v>2564</v>
      </c>
      <c r="B623" s="2189" t="s">
        <v>2467</v>
      </c>
      <c r="C623" s="2163" t="s">
        <v>2564</v>
      </c>
      <c r="D623" s="2189" t="s">
        <v>2468</v>
      </c>
      <c r="E623" s="2170" t="s">
        <v>2564</v>
      </c>
      <c r="F623" s="2191" t="s">
        <v>2565</v>
      </c>
      <c r="G623" s="2992"/>
      <c r="H623" s="2168"/>
    </row>
    <row r="624" spans="1:8" ht="13.5" thickBot="1" x14ac:dyDescent="0.25">
      <c r="A624" s="2122">
        <v>1</v>
      </c>
      <c r="B624" s="2123">
        <v>0.4</v>
      </c>
      <c r="C624" s="2123">
        <v>1</v>
      </c>
      <c r="D624" s="2123">
        <v>7</v>
      </c>
      <c r="E624" s="2171">
        <v>1</v>
      </c>
      <c r="F624" s="2172">
        <f>C169</f>
        <v>6.5399999999999636</v>
      </c>
      <c r="G624" s="2124">
        <v>90.24</v>
      </c>
      <c r="H624" s="2168"/>
    </row>
    <row r="625" spans="1:8" ht="13.5" thickBot="1" x14ac:dyDescent="0.25">
      <c r="A625" s="2996"/>
      <c r="B625" s="2996"/>
      <c r="C625" s="2996"/>
      <c r="D625" s="2996"/>
      <c r="E625" s="2996"/>
      <c r="F625" s="2996"/>
      <c r="G625" s="2996"/>
      <c r="H625" s="2997"/>
    </row>
    <row r="626" spans="1:8" ht="13.5" customHeight="1" thickBot="1" x14ac:dyDescent="0.25">
      <c r="A626" s="2993" t="s">
        <v>2571</v>
      </c>
      <c r="B626" s="2994"/>
      <c r="C626" s="2994"/>
      <c r="D626" s="2994"/>
      <c r="E626" s="2994"/>
      <c r="F626" s="2995"/>
      <c r="G626" s="2173"/>
      <c r="H626" s="2997"/>
    </row>
    <row r="627" spans="1:8" x14ac:dyDescent="0.2">
      <c r="A627" s="2119" t="s">
        <v>2476</v>
      </c>
      <c r="B627" s="2120" t="s">
        <v>2477</v>
      </c>
      <c r="C627" s="2120" t="s">
        <v>2478</v>
      </c>
      <c r="D627" s="2120" t="s">
        <v>2479</v>
      </c>
      <c r="E627" s="2120" t="s">
        <v>2568</v>
      </c>
      <c r="F627" s="2998" t="s">
        <v>2563</v>
      </c>
      <c r="G627" s="2173"/>
      <c r="H627" s="2997"/>
    </row>
    <row r="628" spans="1:8" ht="13.5" thickBot="1" x14ac:dyDescent="0.25">
      <c r="A628" s="2162" t="s">
        <v>2564</v>
      </c>
      <c r="B628" s="2189" t="s">
        <v>2480</v>
      </c>
      <c r="C628" s="2163" t="s">
        <v>2564</v>
      </c>
      <c r="D628" s="2189" t="s">
        <v>2481</v>
      </c>
      <c r="E628" s="2188" t="s">
        <v>2565</v>
      </c>
      <c r="F628" s="2999"/>
      <c r="G628" s="2173"/>
      <c r="H628" s="2997"/>
    </row>
    <row r="629" spans="1:8" ht="13.5" thickBot="1" x14ac:dyDescent="0.25">
      <c r="A629" s="2122">
        <v>1</v>
      </c>
      <c r="B629" s="2123">
        <v>0.4</v>
      </c>
      <c r="C629" s="2123">
        <v>1</v>
      </c>
      <c r="D629" s="2123">
        <v>22</v>
      </c>
      <c r="E629" s="2174">
        <f>C174</f>
        <v>5.2999999999999652</v>
      </c>
      <c r="F629" s="2124">
        <f>(C629+B629+A629)*D629*E629</f>
        <v>279.83999999999816</v>
      </c>
      <c r="G629" s="2173"/>
      <c r="H629" s="2997"/>
    </row>
    <row r="630" spans="1:8" ht="13.5" thickBot="1" x14ac:dyDescent="0.25">
      <c r="A630" s="2997"/>
      <c r="B630" s="2997"/>
      <c r="C630" s="2997"/>
      <c r="D630" s="2997"/>
      <c r="E630" s="2997"/>
      <c r="F630" s="2997"/>
      <c r="G630" s="2997"/>
      <c r="H630" s="2997"/>
    </row>
    <row r="631" spans="1:8" ht="13.5" thickBot="1" x14ac:dyDescent="0.25">
      <c r="A631" s="2997"/>
      <c r="B631" s="3000"/>
      <c r="C631" s="3001" t="s">
        <v>2572</v>
      </c>
      <c r="D631" s="3002"/>
      <c r="E631" s="3003"/>
      <c r="F631" s="2175"/>
      <c r="G631" s="2176"/>
      <c r="H631" s="2176"/>
    </row>
    <row r="632" spans="1:8" ht="13.5" thickBot="1" x14ac:dyDescent="0.25">
      <c r="A632" s="2997"/>
      <c r="B632" s="3000"/>
      <c r="C632" s="3001" t="s">
        <v>2563</v>
      </c>
      <c r="D632" s="3002"/>
      <c r="E632" s="3003"/>
      <c r="F632" s="2175"/>
      <c r="G632" s="2176"/>
      <c r="H632" s="2176"/>
    </row>
    <row r="633" spans="1:8" ht="13.5" thickBot="1" x14ac:dyDescent="0.25">
      <c r="A633" s="2997"/>
      <c r="B633" s="3000"/>
      <c r="C633" s="3004">
        <f>ROUND(G572+G577+F582+G619+G624+F629,2)</f>
        <v>1026.6199999999999</v>
      </c>
      <c r="D633" s="3005"/>
      <c r="E633" s="3006"/>
      <c r="F633" s="2175"/>
      <c r="G633" s="2176"/>
      <c r="H633" s="2176"/>
    </row>
    <row r="635" spans="1:8" x14ac:dyDescent="0.2">
      <c r="A635" s="2133" t="s">
        <v>2573</v>
      </c>
    </row>
    <row r="636" spans="1:8" x14ac:dyDescent="0.2">
      <c r="A636" s="2133"/>
    </row>
    <row r="656" spans="1:7" ht="13.5" thickBot="1" x14ac:dyDescent="0.25">
      <c r="A656" s="2177"/>
      <c r="B656"/>
      <c r="C656"/>
      <c r="D656"/>
      <c r="E656"/>
      <c r="F656"/>
      <c r="G656"/>
    </row>
    <row r="657" spans="1:7" x14ac:dyDescent="0.2">
      <c r="A657" s="2190" t="s">
        <v>2459</v>
      </c>
      <c r="B657" s="2187" t="s">
        <v>2460</v>
      </c>
      <c r="C657" s="2187" t="s">
        <v>2461</v>
      </c>
      <c r="D657" s="2187" t="s">
        <v>2462</v>
      </c>
      <c r="E657" s="2187" t="s">
        <v>2463</v>
      </c>
      <c r="F657" s="2158" t="s">
        <v>2518</v>
      </c>
      <c r="G657" s="2991" t="s">
        <v>2563</v>
      </c>
    </row>
    <row r="658" spans="1:7" ht="13.5" thickBot="1" x14ac:dyDescent="0.25">
      <c r="A658" s="2162" t="s">
        <v>2564</v>
      </c>
      <c r="B658" s="2189" t="s">
        <v>2574</v>
      </c>
      <c r="C658" s="2163" t="s">
        <v>2564</v>
      </c>
      <c r="D658" s="2189" t="s">
        <v>2575</v>
      </c>
      <c r="E658" s="2189" t="s">
        <v>2565</v>
      </c>
      <c r="F658" s="2159" t="s">
        <v>2520</v>
      </c>
      <c r="G658" s="2992"/>
    </row>
    <row r="659" spans="1:7" ht="13.5" thickBot="1" x14ac:dyDescent="0.25">
      <c r="A659" s="2122">
        <v>2</v>
      </c>
      <c r="B659" s="2123">
        <v>0.8</v>
      </c>
      <c r="C659" s="2123">
        <v>2</v>
      </c>
      <c r="D659" s="2123">
        <v>0.8</v>
      </c>
      <c r="E659" s="2141">
        <f>ROUND(500.593-493.872-0.02,1)</f>
        <v>6.7</v>
      </c>
      <c r="F659" s="2123">
        <v>6</v>
      </c>
      <c r="G659" s="2125">
        <f>ROUND((C659+C659+D659)*(A659+A659+B659)*E659*F659,2)</f>
        <v>926.21</v>
      </c>
    </row>
    <row r="660" spans="1:7" ht="15" x14ac:dyDescent="0.2">
      <c r="A660" s="2152"/>
      <c r="B660"/>
      <c r="C660"/>
      <c r="D660"/>
      <c r="E660"/>
      <c r="F660"/>
      <c r="G660"/>
    </row>
    <row r="661" spans="1:7" x14ac:dyDescent="0.2">
      <c r="A661" s="2153" t="s">
        <v>2576</v>
      </c>
      <c r="B661"/>
      <c r="C661"/>
      <c r="D661"/>
      <c r="E661"/>
      <c r="F661"/>
      <c r="G661"/>
    </row>
    <row r="662" spans="1:7" ht="13.5" thickBot="1" x14ac:dyDescent="0.25">
      <c r="A662" s="2133"/>
      <c r="B662"/>
      <c r="C662"/>
      <c r="D662"/>
      <c r="E662"/>
      <c r="F662"/>
      <c r="G662"/>
    </row>
    <row r="663" spans="1:7" x14ac:dyDescent="0.2">
      <c r="A663" s="2190" t="s">
        <v>2459</v>
      </c>
      <c r="B663" s="2187" t="s">
        <v>2460</v>
      </c>
      <c r="C663" s="2187" t="s">
        <v>2518</v>
      </c>
      <c r="D663" s="2187" t="s">
        <v>2462</v>
      </c>
      <c r="E663"/>
      <c r="F663"/>
      <c r="G663"/>
    </row>
    <row r="664" spans="1:7" ht="13.5" thickBot="1" x14ac:dyDescent="0.25">
      <c r="A664" s="2162" t="s">
        <v>2577</v>
      </c>
      <c r="B664" s="2189" t="s">
        <v>2578</v>
      </c>
      <c r="C664" s="2163" t="s">
        <v>2579</v>
      </c>
      <c r="D664" s="2189" t="s">
        <v>2575</v>
      </c>
      <c r="E664"/>
      <c r="F664"/>
      <c r="G664"/>
    </row>
    <row r="665" spans="1:7" ht="13.5" thickBot="1" x14ac:dyDescent="0.25">
      <c r="A665" s="2191">
        <v>0.15</v>
      </c>
      <c r="B665" s="2189">
        <v>40</v>
      </c>
      <c r="C665" s="2189">
        <v>2</v>
      </c>
      <c r="D665" s="2189">
        <v>12</v>
      </c>
      <c r="E665"/>
      <c r="F665"/>
      <c r="G665"/>
    </row>
    <row r="666" spans="1:7" x14ac:dyDescent="0.2">
      <c r="A666" s="2133"/>
      <c r="B666"/>
      <c r="C666"/>
      <c r="D666"/>
      <c r="E666"/>
      <c r="F666"/>
      <c r="G666"/>
    </row>
    <row r="667" spans="1:7" x14ac:dyDescent="0.2">
      <c r="A667" s="2129" t="s">
        <v>2580</v>
      </c>
    </row>
    <row r="668" spans="1:7" ht="13.5" thickBot="1" x14ac:dyDescent="0.25"/>
    <row r="669" spans="1:7" x14ac:dyDescent="0.2">
      <c r="A669" s="2190" t="s">
        <v>2459</v>
      </c>
      <c r="B669" s="2187" t="s">
        <v>2460</v>
      </c>
      <c r="C669" s="2187" t="s">
        <v>2518</v>
      </c>
      <c r="D669" s="2187" t="s">
        <v>2462</v>
      </c>
    </row>
    <row r="670" spans="1:7" ht="13.5" thickBot="1" x14ac:dyDescent="0.25">
      <c r="A670" s="2162" t="s">
        <v>2577</v>
      </c>
      <c r="B670" s="2189" t="s">
        <v>2578</v>
      </c>
      <c r="C670" s="2163" t="s">
        <v>2579</v>
      </c>
      <c r="D670" s="2189" t="s">
        <v>2575</v>
      </c>
    </row>
    <row r="671" spans="1:7" ht="13.5" thickBot="1" x14ac:dyDescent="0.25">
      <c r="A671" s="2191">
        <v>0.1</v>
      </c>
      <c r="B671" s="2189">
        <v>40</v>
      </c>
      <c r="C671" s="2189">
        <v>2</v>
      </c>
      <c r="D671" s="2189">
        <v>8</v>
      </c>
    </row>
    <row r="673" spans="1:1" x14ac:dyDescent="0.2">
      <c r="A673" s="2133"/>
    </row>
    <row r="674" spans="1:1" x14ac:dyDescent="0.2">
      <c r="A674" s="2133"/>
    </row>
    <row r="675" spans="1:1" ht="18" x14ac:dyDescent="0.2">
      <c r="A675" s="2178"/>
    </row>
    <row r="676" spans="1:1" x14ac:dyDescent="0.2">
      <c r="A676" s="2133"/>
    </row>
    <row r="677" spans="1:1" x14ac:dyDescent="0.2">
      <c r="A677" s="2133"/>
    </row>
    <row r="678" spans="1:1" ht="15.75" x14ac:dyDescent="0.2">
      <c r="A678" s="2155"/>
    </row>
    <row r="679" spans="1:1" x14ac:dyDescent="0.2">
      <c r="A679" s="2133"/>
    </row>
  </sheetData>
  <mergeCells count="87">
    <mergeCell ref="F47:F48"/>
    <mergeCell ref="A79:G79"/>
    <mergeCell ref="G80:G81"/>
    <mergeCell ref="A83:G83"/>
    <mergeCell ref="A36:G36"/>
    <mergeCell ref="G37:G38"/>
    <mergeCell ref="A41:G41"/>
    <mergeCell ref="G42:G43"/>
    <mergeCell ref="A46:F46"/>
    <mergeCell ref="A84:G84"/>
    <mergeCell ref="G85:G86"/>
    <mergeCell ref="G89:G92"/>
    <mergeCell ref="F90:F91"/>
    <mergeCell ref="A93:G93"/>
    <mergeCell ref="A88:G88"/>
    <mergeCell ref="E95:F95"/>
    <mergeCell ref="E96:F96"/>
    <mergeCell ref="E97:F97"/>
    <mergeCell ref="A89:F89"/>
    <mergeCell ref="A165:F165"/>
    <mergeCell ref="A121:E121"/>
    <mergeCell ref="E122:E123"/>
    <mergeCell ref="A126:E126"/>
    <mergeCell ref="E127:E128"/>
    <mergeCell ref="A131:E131"/>
    <mergeCell ref="A94:B97"/>
    <mergeCell ref="C94:D94"/>
    <mergeCell ref="C95:D95"/>
    <mergeCell ref="C96:D96"/>
    <mergeCell ref="C97:D97"/>
    <mergeCell ref="E132:E133"/>
    <mergeCell ref="A136:F136"/>
    <mergeCell ref="F137:F138"/>
    <mergeCell ref="A161:E161"/>
    <mergeCell ref="F161:F164"/>
    <mergeCell ref="E162:E163"/>
    <mergeCell ref="A166:E166"/>
    <mergeCell ref="F166:F169"/>
    <mergeCell ref="E167:E168"/>
    <mergeCell ref="A170:F170"/>
    <mergeCell ref="A171:E171"/>
    <mergeCell ref="F171:F174"/>
    <mergeCell ref="E172:E173"/>
    <mergeCell ref="B319:B320"/>
    <mergeCell ref="C340:C341"/>
    <mergeCell ref="C362:C363"/>
    <mergeCell ref="C394:C395"/>
    <mergeCell ref="A175:F175"/>
    <mergeCell ref="A176:F176"/>
    <mergeCell ref="F177:F178"/>
    <mergeCell ref="A180:F180"/>
    <mergeCell ref="A181:B184"/>
    <mergeCell ref="C181:D181"/>
    <mergeCell ref="E181:F184"/>
    <mergeCell ref="D182:D183"/>
    <mergeCell ref="E261:E262"/>
    <mergeCell ref="B281:B282"/>
    <mergeCell ref="F298:F299"/>
    <mergeCell ref="F314:F315"/>
    <mergeCell ref="A318:B318"/>
    <mergeCell ref="C415:C416"/>
    <mergeCell ref="F432:F433"/>
    <mergeCell ref="A620:H620"/>
    <mergeCell ref="F474:F475"/>
    <mergeCell ref="C500:C501"/>
    <mergeCell ref="D529:D530"/>
    <mergeCell ref="A569:G569"/>
    <mergeCell ref="G570:G571"/>
    <mergeCell ref="A574:G574"/>
    <mergeCell ref="G575:G576"/>
    <mergeCell ref="C457:C458"/>
    <mergeCell ref="A579:F579"/>
    <mergeCell ref="F580:F581"/>
    <mergeCell ref="A616:G616"/>
    <mergeCell ref="G617:G618"/>
    <mergeCell ref="G657:G658"/>
    <mergeCell ref="A621:G621"/>
    <mergeCell ref="G622:G623"/>
    <mergeCell ref="A625:H625"/>
    <mergeCell ref="A626:F626"/>
    <mergeCell ref="H626:H629"/>
    <mergeCell ref="F627:F628"/>
    <mergeCell ref="A630:H630"/>
    <mergeCell ref="A631:B633"/>
    <mergeCell ref="C631:E631"/>
    <mergeCell ref="C632:E632"/>
    <mergeCell ref="C633:E633"/>
  </mergeCells>
  <pageMargins left="0.511811024" right="0.511811024" top="0.78740157499999996" bottom="0.78740157499999996" header="0.31496062000000002" footer="0.31496062000000002"/>
  <pageSetup paperSize="9" scale="88" orientation="portrait" r:id="rId1"/>
  <rowBreaks count="14" manualBreakCount="14">
    <brk id="50" max="16383" man="1"/>
    <brk id="98" max="16383" man="1"/>
    <brk id="139" max="16383" man="1"/>
    <brk id="185" max="16383" man="1"/>
    <brk id="240" max="16383" man="1"/>
    <brk id="284" max="16383" man="1"/>
    <brk id="322" max="16383" man="1"/>
    <brk id="365" max="6" man="1"/>
    <brk id="418" max="16383" man="1"/>
    <brk id="460" max="16383" man="1"/>
    <brk id="503" max="16383" man="1"/>
    <brk id="532" max="16383" man="1"/>
    <brk id="582" max="16383" man="1"/>
    <brk id="634" max="16383" man="1"/>
  </rowBreaks>
  <drawing r:id="rId2"/>
  <legacyDrawing r:id="rId3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40">
    <pageSetUpPr fitToPage="1"/>
  </sheetPr>
  <dimension ref="A1:R74"/>
  <sheetViews>
    <sheetView showZeros="0" workbookViewId="0">
      <pane xSplit="5" ySplit="1" topLeftCell="F65" activePane="bottomRight" state="frozenSplit"/>
      <selection activeCell="D18" sqref="B13:I28"/>
      <selection pane="topRight" activeCell="D18" sqref="B13:I28"/>
      <selection pane="bottomLeft" activeCell="D18" sqref="B13:I28"/>
      <selection pane="bottomRight" activeCell="F2" sqref="F2"/>
    </sheetView>
  </sheetViews>
  <sheetFormatPr defaultColWidth="9" defaultRowHeight="18.75" x14ac:dyDescent="0.15"/>
  <cols>
    <col min="1" max="1" width="9.75" style="5" customWidth="1"/>
    <col min="2" max="2" width="12.375" style="5" customWidth="1"/>
    <col min="3" max="3" width="33.75" style="5" customWidth="1"/>
    <col min="4" max="4" width="4.125" style="981" hidden="1" customWidth="1"/>
    <col min="5" max="5" width="19.625" style="5" hidden="1" customWidth="1"/>
    <col min="6" max="9" width="12.625" style="5" customWidth="1"/>
    <col min="10" max="10" width="17.125" style="5" customWidth="1"/>
    <col min="11" max="16384" width="9" style="5"/>
  </cols>
  <sheetData>
    <row r="1" spans="1:10" s="10" customFormat="1" ht="60" customHeight="1" thickTop="1" thickBot="1" x14ac:dyDescent="0.2">
      <c r="A1" s="2512" t="s">
        <v>1923</v>
      </c>
      <c r="B1" s="2882" t="s">
        <v>1</v>
      </c>
      <c r="C1" s="2884"/>
      <c r="D1" s="1587"/>
      <c r="E1" s="1588" t="s">
        <v>587</v>
      </c>
      <c r="F1" s="212" t="s">
        <v>750</v>
      </c>
      <c r="G1" s="212" t="s">
        <v>749</v>
      </c>
      <c r="H1" s="212"/>
      <c r="I1" s="214" t="s">
        <v>0</v>
      </c>
      <c r="J1" s="1589" t="s">
        <v>693</v>
      </c>
    </row>
    <row r="2" spans="1:10" s="10" customFormat="1" ht="20.25" thickTop="1" thickBot="1" x14ac:dyDescent="0.2">
      <c r="A2" s="2627"/>
      <c r="B2" s="2533" t="s">
        <v>1908</v>
      </c>
      <c r="C2" s="3031"/>
      <c r="D2" s="1379"/>
      <c r="E2" s="450"/>
      <c r="F2" s="218"/>
      <c r="G2" s="218"/>
      <c r="H2" s="218"/>
      <c r="I2" s="415">
        <f>ROUND(SUM(F2:H2),2)</f>
        <v>0</v>
      </c>
      <c r="J2" s="1321">
        <f t="shared" ref="J2:J25" si="0">SUM(F2:I2)</f>
        <v>0</v>
      </c>
    </row>
    <row r="3" spans="1:10" s="10" customFormat="1" x14ac:dyDescent="0.15">
      <c r="A3" s="2513"/>
      <c r="B3" s="2727" t="s">
        <v>163</v>
      </c>
      <c r="C3" s="555" t="s">
        <v>161</v>
      </c>
      <c r="D3" s="1379"/>
      <c r="E3" s="450"/>
      <c r="F3" s="218"/>
      <c r="G3" s="218"/>
      <c r="H3" s="218"/>
      <c r="I3" s="1603">
        <f>COUNTA(F3:H3)</f>
        <v>0</v>
      </c>
      <c r="J3" s="1016">
        <f t="shared" si="0"/>
        <v>0</v>
      </c>
    </row>
    <row r="4" spans="1:10" s="10" customFormat="1" ht="19.5" thickBot="1" x14ac:dyDescent="0.2">
      <c r="A4" s="2513"/>
      <c r="B4" s="2728"/>
      <c r="C4" s="669" t="s">
        <v>162</v>
      </c>
      <c r="D4" s="1376"/>
      <c r="E4" s="1590"/>
      <c r="F4" s="1302"/>
      <c r="G4" s="1302"/>
      <c r="H4" s="1302"/>
      <c r="I4" s="1604">
        <f>COUNTA(F4:H4)</f>
        <v>0</v>
      </c>
      <c r="J4" s="1016">
        <f t="shared" si="0"/>
        <v>0</v>
      </c>
    </row>
    <row r="5" spans="1:10" ht="19.5" thickBot="1" x14ac:dyDescent="0.2">
      <c r="A5" s="2513"/>
      <c r="B5" s="2535" t="s">
        <v>658</v>
      </c>
      <c r="C5" s="2888"/>
      <c r="D5" s="1376"/>
      <c r="E5" s="1590"/>
      <c r="F5" s="1302"/>
      <c r="G5" s="1302"/>
      <c r="H5" s="1302"/>
      <c r="I5" s="429"/>
      <c r="J5" s="1321">
        <f t="shared" si="0"/>
        <v>0</v>
      </c>
    </row>
    <row r="6" spans="1:10" x14ac:dyDescent="0.15">
      <c r="A6" s="2513"/>
      <c r="B6" s="2727" t="s">
        <v>1906</v>
      </c>
      <c r="C6" s="541" t="s">
        <v>1909</v>
      </c>
      <c r="D6" s="1379"/>
      <c r="E6" s="450" t="s">
        <v>2037</v>
      </c>
      <c r="F6" s="218"/>
      <c r="G6" s="218"/>
      <c r="H6" s="218"/>
      <c r="I6" s="430"/>
      <c r="J6" s="1321">
        <f t="shared" si="0"/>
        <v>0</v>
      </c>
    </row>
    <row r="7" spans="1:10" x14ac:dyDescent="0.15">
      <c r="A7" s="2513"/>
      <c r="B7" s="2516"/>
      <c r="C7" s="542" t="s">
        <v>758</v>
      </c>
      <c r="E7" s="1591"/>
      <c r="F7" s="8">
        <f t="shared" ref="F7:G7" si="1">F6+F2</f>
        <v>0</v>
      </c>
      <c r="G7" s="8">
        <f t="shared" si="1"/>
        <v>0</v>
      </c>
      <c r="H7" s="8"/>
      <c r="I7" s="12"/>
      <c r="J7" s="1321">
        <f t="shared" si="0"/>
        <v>0</v>
      </c>
    </row>
    <row r="8" spans="1:10" x14ac:dyDescent="0.15">
      <c r="A8" s="2513"/>
      <c r="B8" s="2516"/>
      <c r="C8" s="542" t="s">
        <v>16</v>
      </c>
      <c r="E8" s="1591"/>
      <c r="F8" s="8">
        <f t="shared" ref="F8:G8" si="2">F14+F21+F32</f>
        <v>0</v>
      </c>
      <c r="G8" s="8">
        <f t="shared" si="2"/>
        <v>0</v>
      </c>
      <c r="H8" s="8"/>
      <c r="I8" s="12"/>
      <c r="J8" s="1321">
        <f t="shared" si="0"/>
        <v>0</v>
      </c>
    </row>
    <row r="9" spans="1:10" x14ac:dyDescent="0.15">
      <c r="A9" s="2513"/>
      <c r="B9" s="2516"/>
      <c r="C9" s="542" t="s">
        <v>58</v>
      </c>
      <c r="E9" s="1591"/>
      <c r="F9" s="8">
        <f t="shared" ref="F9:G9" si="3">F5</f>
        <v>0</v>
      </c>
      <c r="G9" s="8">
        <f t="shared" si="3"/>
        <v>0</v>
      </c>
      <c r="H9" s="8"/>
      <c r="I9" s="12"/>
      <c r="J9" s="1321">
        <f t="shared" si="0"/>
        <v>0</v>
      </c>
    </row>
    <row r="10" spans="1:10" x14ac:dyDescent="0.15">
      <c r="A10" s="2513"/>
      <c r="B10" s="2516"/>
      <c r="C10" s="542" t="s">
        <v>29</v>
      </c>
      <c r="E10" s="1591"/>
      <c r="F10" s="8">
        <f t="shared" ref="F10:G10" si="4">F7*F9</f>
        <v>0</v>
      </c>
      <c r="G10" s="8">
        <f t="shared" si="4"/>
        <v>0</v>
      </c>
      <c r="H10" s="8"/>
      <c r="I10" s="12">
        <f>ROUND(SUM(F10:H10),2)</f>
        <v>0</v>
      </c>
      <c r="J10" s="1321">
        <f t="shared" si="0"/>
        <v>0</v>
      </c>
    </row>
    <row r="11" spans="1:10" ht="19.5" thickBot="1" x14ac:dyDescent="0.2">
      <c r="A11" s="2513"/>
      <c r="B11" s="2516"/>
      <c r="C11" s="542" t="s">
        <v>1907</v>
      </c>
      <c r="E11" s="1591"/>
      <c r="F11" s="8">
        <f t="shared" ref="F11:G11" si="5">F10*F8</f>
        <v>0</v>
      </c>
      <c r="G11" s="8">
        <f t="shared" si="5"/>
        <v>0</v>
      </c>
      <c r="H11" s="8"/>
      <c r="I11" s="425">
        <f>ROUND(SUM(F11:H11),2)</f>
        <v>0</v>
      </c>
      <c r="J11" s="1321">
        <f t="shared" si="0"/>
        <v>0</v>
      </c>
    </row>
    <row r="12" spans="1:10" ht="19.5" thickBot="1" x14ac:dyDescent="0.2">
      <c r="A12" s="2513"/>
      <c r="B12" s="2714" t="s">
        <v>659</v>
      </c>
      <c r="C12" s="2716"/>
      <c r="D12" s="1287"/>
      <c r="E12" s="1592"/>
      <c r="F12" s="243">
        <f t="shared" ref="F12:G12" si="6">F10</f>
        <v>0</v>
      </c>
      <c r="G12" s="243">
        <f t="shared" si="6"/>
        <v>0</v>
      </c>
      <c r="H12" s="243"/>
      <c r="I12" s="1284">
        <f>ROUND(SUM(F12:H12),2)</f>
        <v>0</v>
      </c>
      <c r="J12" s="1321">
        <f t="shared" si="0"/>
        <v>0</v>
      </c>
    </row>
    <row r="13" spans="1:10" x14ac:dyDescent="0.15">
      <c r="A13" s="2513"/>
      <c r="B13" s="2727" t="s">
        <v>23</v>
      </c>
      <c r="C13" s="541" t="s">
        <v>3</v>
      </c>
      <c r="D13" s="1379"/>
      <c r="E13" s="1593" t="s">
        <v>1910</v>
      </c>
      <c r="F13" s="8">
        <f t="shared" ref="F13:G13" si="7">F7</f>
        <v>0</v>
      </c>
      <c r="G13" s="8">
        <f t="shared" si="7"/>
        <v>0</v>
      </c>
      <c r="H13" s="8"/>
      <c r="I13" s="430"/>
      <c r="J13" s="1321">
        <f t="shared" si="0"/>
        <v>0</v>
      </c>
    </row>
    <row r="14" spans="1:10" x14ac:dyDescent="0.15">
      <c r="A14" s="2513"/>
      <c r="B14" s="2516"/>
      <c r="C14" s="542" t="s">
        <v>16</v>
      </c>
      <c r="E14" s="1591"/>
      <c r="F14" s="162"/>
      <c r="G14" s="162"/>
      <c r="H14" s="162"/>
      <c r="I14" s="12"/>
      <c r="J14" s="1321">
        <f t="shared" si="0"/>
        <v>0</v>
      </c>
    </row>
    <row r="15" spans="1:10" x14ac:dyDescent="0.15">
      <c r="A15" s="2513"/>
      <c r="B15" s="2516"/>
      <c r="C15" s="542" t="s">
        <v>58</v>
      </c>
      <c r="E15" s="1591"/>
      <c r="F15" s="8">
        <f t="shared" ref="F15:G15" si="8">F5</f>
        <v>0</v>
      </c>
      <c r="G15" s="8">
        <f t="shared" si="8"/>
        <v>0</v>
      </c>
      <c r="H15" s="8"/>
      <c r="I15" s="12"/>
      <c r="J15" s="1321">
        <f t="shared" si="0"/>
        <v>0</v>
      </c>
    </row>
    <row r="16" spans="1:10" x14ac:dyDescent="0.15">
      <c r="A16" s="2513"/>
      <c r="B16" s="2516"/>
      <c r="C16" s="542" t="s">
        <v>29</v>
      </c>
      <c r="E16" s="1591"/>
      <c r="F16" s="8">
        <f t="shared" ref="F16:G16" si="9">F13*F15</f>
        <v>0</v>
      </c>
      <c r="G16" s="8">
        <f t="shared" si="9"/>
        <v>0</v>
      </c>
      <c r="H16" s="8"/>
      <c r="I16" s="12">
        <f>ROUND(SUM(F16:H16),2)</f>
        <v>0</v>
      </c>
      <c r="J16" s="1321">
        <f t="shared" si="0"/>
        <v>0</v>
      </c>
    </row>
    <row r="17" spans="1:18" x14ac:dyDescent="0.15">
      <c r="A17" s="2513"/>
      <c r="B17" s="2516"/>
      <c r="C17" s="542" t="s">
        <v>1916</v>
      </c>
      <c r="E17" s="1591"/>
      <c r="F17" s="8">
        <f t="shared" ref="F17:G17" si="10">F16*F14</f>
        <v>0</v>
      </c>
      <c r="G17" s="8">
        <f t="shared" si="10"/>
        <v>0</v>
      </c>
      <c r="H17" s="8"/>
      <c r="I17" s="425">
        <f>ROUND(SUM(F17:H17),2)</f>
        <v>0</v>
      </c>
      <c r="J17" s="1321">
        <f t="shared" si="0"/>
        <v>0</v>
      </c>
    </row>
    <row r="18" spans="1:18" ht="22.5" x14ac:dyDescent="0.15">
      <c r="A18" s="2513"/>
      <c r="B18" s="2516"/>
      <c r="C18" s="542" t="s">
        <v>904</v>
      </c>
      <c r="E18" s="1591"/>
      <c r="F18" s="8">
        <f t="shared" ref="F18:G18" si="11">F17*0.1</f>
        <v>0</v>
      </c>
      <c r="G18" s="8">
        <f t="shared" si="11"/>
        <v>0</v>
      </c>
      <c r="H18" s="8"/>
      <c r="I18" s="12">
        <f>ROUND(SUM(F18:H18),2)</f>
        <v>0</v>
      </c>
      <c r="J18" s="1321">
        <f t="shared" si="0"/>
        <v>0</v>
      </c>
    </row>
    <row r="19" spans="1:18" ht="19.5" thickBot="1" x14ac:dyDescent="0.2">
      <c r="A19" s="2513"/>
      <c r="B19" s="2728"/>
      <c r="C19" s="545" t="s">
        <v>905</v>
      </c>
      <c r="D19" s="1376"/>
      <c r="E19" s="1591"/>
      <c r="F19" s="8">
        <f t="shared" ref="F19:G19" si="12">F17*1.3</f>
        <v>0</v>
      </c>
      <c r="G19" s="8">
        <f t="shared" si="12"/>
        <v>0</v>
      </c>
      <c r="H19" s="8"/>
      <c r="I19" s="12">
        <f>ROUND(SUM(F19:H19),2)</f>
        <v>0</v>
      </c>
      <c r="J19" s="1321">
        <f t="shared" si="0"/>
        <v>0</v>
      </c>
    </row>
    <row r="20" spans="1:18" x14ac:dyDescent="0.15">
      <c r="A20" s="2513"/>
      <c r="B20" s="2828" t="s">
        <v>903</v>
      </c>
      <c r="C20" s="542" t="s">
        <v>758</v>
      </c>
      <c r="D20" s="1379"/>
      <c r="E20" s="450"/>
      <c r="F20" s="216">
        <f t="shared" ref="F20:G20" si="13">F7</f>
        <v>0</v>
      </c>
      <c r="G20" s="216">
        <f t="shared" si="13"/>
        <v>0</v>
      </c>
      <c r="H20" s="216"/>
      <c r="I20" s="430"/>
      <c r="J20" s="1321">
        <f t="shared" si="0"/>
        <v>0</v>
      </c>
    </row>
    <row r="21" spans="1:18" x14ac:dyDescent="0.15">
      <c r="A21" s="2513"/>
      <c r="B21" s="2833"/>
      <c r="C21" s="542" t="s">
        <v>16</v>
      </c>
      <c r="E21" s="1591"/>
      <c r="F21" s="162"/>
      <c r="G21" s="162"/>
      <c r="H21" s="162"/>
      <c r="I21" s="12"/>
      <c r="J21" s="1321">
        <f t="shared" si="0"/>
        <v>0</v>
      </c>
    </row>
    <row r="22" spans="1:18" x14ac:dyDescent="0.15">
      <c r="A22" s="2513"/>
      <c r="B22" s="2833"/>
      <c r="C22" s="542" t="s">
        <v>58</v>
      </c>
      <c r="E22" s="1591"/>
      <c r="F22" s="8">
        <f t="shared" ref="F22:G22" si="14">F5</f>
        <v>0</v>
      </c>
      <c r="G22" s="8">
        <f t="shared" si="14"/>
        <v>0</v>
      </c>
      <c r="H22" s="8"/>
      <c r="I22" s="12"/>
      <c r="J22" s="1321">
        <f t="shared" si="0"/>
        <v>0</v>
      </c>
    </row>
    <row r="23" spans="1:18" x14ac:dyDescent="0.15">
      <c r="A23" s="2513"/>
      <c r="B23" s="2829"/>
      <c r="C23" s="542" t="s">
        <v>29</v>
      </c>
      <c r="E23" s="1591"/>
      <c r="F23" s="8">
        <f t="shared" ref="F23:G24" si="15">F22*F20</f>
        <v>0</v>
      </c>
      <c r="G23" s="8">
        <f t="shared" si="15"/>
        <v>0</v>
      </c>
      <c r="H23" s="8"/>
      <c r="I23" s="12">
        <f>ROUND(SUM(F23:H23),2)</f>
        <v>0</v>
      </c>
      <c r="J23" s="1321">
        <f t="shared" si="0"/>
        <v>0</v>
      </c>
    </row>
    <row r="24" spans="1:18" x14ac:dyDescent="0.15">
      <c r="A24" s="2513"/>
      <c r="B24" s="2829"/>
      <c r="C24" s="556" t="s">
        <v>300</v>
      </c>
      <c r="E24" s="1591"/>
      <c r="F24" s="8">
        <f t="shared" si="15"/>
        <v>0</v>
      </c>
      <c r="G24" s="8">
        <f t="shared" si="15"/>
        <v>0</v>
      </c>
      <c r="H24" s="8"/>
      <c r="I24" s="425">
        <f>ROUND(SUM(F24:H24),2)</f>
        <v>0</v>
      </c>
      <c r="J24" s="1321">
        <f t="shared" si="0"/>
        <v>0</v>
      </c>
    </row>
    <row r="25" spans="1:18" x14ac:dyDescent="0.15">
      <c r="A25" s="2513"/>
      <c r="B25" s="2829"/>
      <c r="C25" s="1594" t="s">
        <v>1270</v>
      </c>
      <c r="E25" s="1591"/>
      <c r="F25" s="8">
        <f t="shared" ref="F25:G25" si="16">F24*88</f>
        <v>0</v>
      </c>
      <c r="G25" s="8">
        <f t="shared" si="16"/>
        <v>0</v>
      </c>
      <c r="H25" s="8"/>
      <c r="I25" s="425">
        <f>ROUND(SUM(F25:H25),2)</f>
        <v>0</v>
      </c>
      <c r="J25" s="1321">
        <f t="shared" si="0"/>
        <v>0</v>
      </c>
    </row>
    <row r="26" spans="1:18" x14ac:dyDescent="0.15">
      <c r="A26" s="2513"/>
      <c r="B26" s="2829"/>
      <c r="C26" s="542" t="s">
        <v>1905</v>
      </c>
      <c r="E26" s="1591"/>
      <c r="F26" s="1595"/>
      <c r="G26" s="1595"/>
      <c r="H26" s="1595"/>
      <c r="I26" s="12"/>
      <c r="J26" s="1016">
        <f>J25</f>
        <v>0</v>
      </c>
    </row>
    <row r="27" spans="1:18" x14ac:dyDescent="0.15">
      <c r="A27" s="2513"/>
      <c r="B27" s="2829"/>
      <c r="C27" s="1594" t="s">
        <v>1301</v>
      </c>
      <c r="E27" s="1591"/>
      <c r="F27" s="8">
        <f>IF(F26="BC",F24*1.375,0)</f>
        <v>0</v>
      </c>
      <c r="G27" s="8">
        <f t="shared" ref="G27" si="17">IF(G26="BC",G24*1.375,0)</f>
        <v>0</v>
      </c>
      <c r="H27" s="8"/>
      <c r="I27" s="425">
        <f>ROUND(SUM(F27:H27),2)</f>
        <v>0</v>
      </c>
      <c r="J27" s="1321">
        <f t="shared" ref="J27:J57" si="18">SUM(F27:I27)</f>
        <v>0</v>
      </c>
    </row>
    <row r="28" spans="1:18" ht="19.5" thickBot="1" x14ac:dyDescent="0.2">
      <c r="A28" s="2513"/>
      <c r="B28" s="2866"/>
      <c r="C28" s="545" t="s">
        <v>1056</v>
      </c>
      <c r="E28" s="1591"/>
      <c r="F28" s="8">
        <f>IF(F26="BG",F24*1.4667,0)</f>
        <v>0</v>
      </c>
      <c r="G28" s="8">
        <f t="shared" ref="G28" si="19">IF(G26="BG",G24*1.4667,0)</f>
        <v>0</v>
      </c>
      <c r="H28" s="8"/>
      <c r="I28" s="416">
        <f>ROUND(SUM(F28:H28),2)</f>
        <v>0</v>
      </c>
      <c r="J28" s="1321">
        <f t="shared" si="18"/>
        <v>0</v>
      </c>
    </row>
    <row r="29" spans="1:18" x14ac:dyDescent="0.15">
      <c r="A29" s="2513"/>
      <c r="B29" s="2835" t="s">
        <v>517</v>
      </c>
      <c r="C29" s="542" t="s">
        <v>29</v>
      </c>
      <c r="D29" s="1379"/>
      <c r="E29" s="450"/>
      <c r="F29" s="216">
        <f t="shared" ref="F29:G29" si="20">F23</f>
        <v>0</v>
      </c>
      <c r="G29" s="216">
        <f t="shared" si="20"/>
        <v>0</v>
      </c>
      <c r="H29" s="216"/>
      <c r="I29" s="415">
        <f>ROUND(SUM(F29:H29),2)</f>
        <v>0</v>
      </c>
      <c r="J29" s="1321">
        <f t="shared" si="18"/>
        <v>0</v>
      </c>
    </row>
    <row r="30" spans="1:18" ht="19.5" thickBot="1" x14ac:dyDescent="0.2">
      <c r="A30" s="2513"/>
      <c r="B30" s="2838"/>
      <c r="C30" s="545" t="s">
        <v>1399</v>
      </c>
      <c r="D30" s="1376"/>
      <c r="E30" s="1590"/>
      <c r="F30" s="1138">
        <f t="shared" ref="F30:G30" si="21">F29*0.0005</f>
        <v>0</v>
      </c>
      <c r="G30" s="1138">
        <f t="shared" si="21"/>
        <v>0</v>
      </c>
      <c r="H30" s="1138"/>
      <c r="I30" s="416">
        <f>ROUND(SUM(F30:H30),2)</f>
        <v>0</v>
      </c>
      <c r="J30" s="1321">
        <f t="shared" si="18"/>
        <v>0</v>
      </c>
    </row>
    <row r="31" spans="1:18" x14ac:dyDescent="0.15">
      <c r="A31" s="2513"/>
      <c r="B31" s="2828" t="s">
        <v>748</v>
      </c>
      <c r="C31" s="542" t="s">
        <v>758</v>
      </c>
      <c r="D31" s="1379"/>
      <c r="E31" s="450"/>
      <c r="F31" s="216">
        <f>F7</f>
        <v>0</v>
      </c>
      <c r="G31" s="216">
        <f t="shared" ref="G31" si="22">G7</f>
        <v>0</v>
      </c>
      <c r="H31" s="216"/>
      <c r="I31" s="430"/>
      <c r="J31" s="1321">
        <f t="shared" si="18"/>
        <v>0</v>
      </c>
      <c r="K31" s="2633" t="s">
        <v>1192</v>
      </c>
      <c r="L31" s="2635"/>
      <c r="M31" s="2633" t="s">
        <v>1193</v>
      </c>
      <c r="N31" s="2635"/>
      <c r="O31" s="2633" t="s">
        <v>1194</v>
      </c>
      <c r="P31" s="2635"/>
      <c r="Q31" s="2631" t="s">
        <v>1195</v>
      </c>
      <c r="R31" s="1236" t="s">
        <v>1182</v>
      </c>
    </row>
    <row r="32" spans="1:18" x14ac:dyDescent="0.15">
      <c r="A32" s="2513"/>
      <c r="B32" s="2833"/>
      <c r="C32" s="542" t="s">
        <v>16</v>
      </c>
      <c r="E32" s="1591"/>
      <c r="F32" s="162"/>
      <c r="G32" s="162"/>
      <c r="H32" s="162"/>
      <c r="I32" s="12"/>
      <c r="J32" s="1321">
        <f t="shared" si="18"/>
        <v>0</v>
      </c>
      <c r="K32" s="1023" t="s">
        <v>1178</v>
      </c>
      <c r="L32" s="1023" t="s">
        <v>1180</v>
      </c>
      <c r="M32" s="1023" t="s">
        <v>1178</v>
      </c>
      <c r="N32" s="1023" t="s">
        <v>1180</v>
      </c>
      <c r="O32" s="1023" t="s">
        <v>1178</v>
      </c>
      <c r="P32" s="1023" t="s">
        <v>1180</v>
      </c>
      <c r="Q32" s="2632"/>
      <c r="R32" s="1032" t="s">
        <v>1431</v>
      </c>
    </row>
    <row r="33" spans="1:18" x14ac:dyDescent="0.15">
      <c r="A33" s="2513"/>
      <c r="B33" s="2833"/>
      <c r="C33" s="542" t="s">
        <v>58</v>
      </c>
      <c r="E33" s="1591"/>
      <c r="F33" s="8">
        <f t="shared" ref="F33:G33" si="23">F5</f>
        <v>0</v>
      </c>
      <c r="G33" s="8">
        <f t="shared" si="23"/>
        <v>0</v>
      </c>
      <c r="H33" s="8"/>
      <c r="I33" s="12"/>
      <c r="J33" s="1321">
        <f t="shared" si="18"/>
        <v>0</v>
      </c>
      <c r="K33" s="1024">
        <v>94963</v>
      </c>
      <c r="L33" s="1024">
        <v>94965</v>
      </c>
      <c r="M33" s="1024">
        <v>94963</v>
      </c>
      <c r="N33" s="1024">
        <v>94965</v>
      </c>
      <c r="O33" s="1024">
        <v>94963</v>
      </c>
      <c r="P33" s="1024">
        <v>94965</v>
      </c>
      <c r="Q33" s="2632"/>
      <c r="R33" s="1024">
        <v>96542</v>
      </c>
    </row>
    <row r="34" spans="1:18" x14ac:dyDescent="0.15">
      <c r="A34" s="2513"/>
      <c r="B34" s="2829"/>
      <c r="C34" s="542" t="s">
        <v>29</v>
      </c>
      <c r="E34" s="1591"/>
      <c r="F34" s="8">
        <f t="shared" ref="F34:G35" si="24">F33*F31</f>
        <v>0</v>
      </c>
      <c r="G34" s="8">
        <f t="shared" si="24"/>
        <v>0</v>
      </c>
      <c r="H34" s="8"/>
      <c r="I34" s="425">
        <f>ROUND(SUM(F34:H34),2)</f>
        <v>0</v>
      </c>
      <c r="J34" s="1321">
        <f t="shared" si="18"/>
        <v>0</v>
      </c>
      <c r="K34" s="1025">
        <v>273.06</v>
      </c>
      <c r="L34" s="1025">
        <v>362.66</v>
      </c>
      <c r="M34" s="1026">
        <v>0.80500000000000005</v>
      </c>
      <c r="N34" s="1026">
        <v>0.72299999999999998</v>
      </c>
      <c r="O34" s="1026">
        <v>0.57899999999999996</v>
      </c>
      <c r="P34" s="1026">
        <v>0.59299999999999997</v>
      </c>
      <c r="Q34" s="2636"/>
      <c r="R34" s="1035">
        <v>0.1356</v>
      </c>
    </row>
    <row r="35" spans="1:18" ht="19.5" thickBot="1" x14ac:dyDescent="0.2">
      <c r="A35" s="2513"/>
      <c r="B35" s="2866"/>
      <c r="C35" s="669" t="s">
        <v>300</v>
      </c>
      <c r="D35" s="1376"/>
      <c r="E35" s="1590"/>
      <c r="F35" s="215">
        <f t="shared" si="24"/>
        <v>0</v>
      </c>
      <c r="G35" s="215">
        <f t="shared" si="24"/>
        <v>0</v>
      </c>
      <c r="H35" s="215"/>
      <c r="I35" s="12">
        <f>ROUND(SUM(F35:H35),2)</f>
        <v>0</v>
      </c>
      <c r="J35" s="1321">
        <f t="shared" si="18"/>
        <v>0</v>
      </c>
      <c r="K35" s="1233"/>
      <c r="L35" s="1234"/>
      <c r="M35" s="1233"/>
      <c r="N35" s="1234"/>
      <c r="O35" s="1233"/>
      <c r="P35" s="1234"/>
      <c r="Q35" s="1234"/>
      <c r="R35" s="1049"/>
    </row>
    <row r="36" spans="1:18" x14ac:dyDescent="0.15">
      <c r="A36" s="2513"/>
      <c r="B36" s="2533" t="s">
        <v>1351</v>
      </c>
      <c r="C36" s="549" t="s">
        <v>1401</v>
      </c>
      <c r="E36" s="1591"/>
      <c r="F36" s="8">
        <f t="shared" ref="F36:G36" si="25">F24*1.25</f>
        <v>0</v>
      </c>
      <c r="G36" s="8">
        <f t="shared" si="25"/>
        <v>0</v>
      </c>
      <c r="H36" s="8"/>
      <c r="I36" s="415">
        <f>ROUND(SUM(F36:H36),2)</f>
        <v>0</v>
      </c>
      <c r="J36" s="1321">
        <f t="shared" si="18"/>
        <v>0</v>
      </c>
      <c r="K36" s="1233"/>
      <c r="L36" s="1233"/>
      <c r="M36" s="1233"/>
      <c r="N36" s="1233"/>
      <c r="O36" s="1233"/>
      <c r="P36" s="1233"/>
      <c r="Q36" s="1233"/>
      <c r="R36" s="1233"/>
    </row>
    <row r="37" spans="1:18" ht="19.5" thickBot="1" x14ac:dyDescent="0.2">
      <c r="A37" s="2513"/>
      <c r="B37" s="2535"/>
      <c r="C37" s="565" t="s">
        <v>1368</v>
      </c>
      <c r="E37" s="1591"/>
      <c r="F37" s="8">
        <f t="shared" ref="F37:G37" si="26">F28</f>
        <v>0</v>
      </c>
      <c r="G37" s="8">
        <f t="shared" si="26"/>
        <v>0</v>
      </c>
      <c r="H37" s="8"/>
      <c r="I37" s="416">
        <f>ROUND(SUM(F37:H37),2)</f>
        <v>0</v>
      </c>
      <c r="J37" s="1321">
        <f t="shared" si="18"/>
        <v>0</v>
      </c>
      <c r="K37" s="1233"/>
      <c r="L37" s="1233"/>
      <c r="M37" s="1233"/>
      <c r="N37" s="1233"/>
      <c r="O37" s="1233"/>
      <c r="P37" s="1233"/>
      <c r="Q37" s="1233"/>
      <c r="R37" s="1233"/>
    </row>
    <row r="38" spans="1:18" x14ac:dyDescent="0.15">
      <c r="A38" s="2513"/>
      <c r="B38" s="2727" t="s">
        <v>947</v>
      </c>
      <c r="C38" s="542" t="s">
        <v>1914</v>
      </c>
      <c r="D38" s="1067"/>
      <c r="E38" s="1597"/>
      <c r="F38" s="1598"/>
      <c r="G38" s="1598"/>
      <c r="H38" s="1598"/>
      <c r="I38" s="1599">
        <f>ROUND(SUM(F38:H38),2)</f>
        <v>0</v>
      </c>
      <c r="J38" s="1321">
        <f t="shared" si="18"/>
        <v>0</v>
      </c>
    </row>
    <row r="39" spans="1:18" x14ac:dyDescent="0.15">
      <c r="A39" s="2513"/>
      <c r="B39" s="2516"/>
      <c r="C39" s="542" t="s">
        <v>1911</v>
      </c>
      <c r="D39" s="1063"/>
      <c r="E39" s="1600"/>
      <c r="F39" s="1601"/>
      <c r="G39" s="1601"/>
      <c r="H39" s="1601"/>
      <c r="I39" s="12"/>
      <c r="J39" s="1321">
        <f t="shared" si="18"/>
        <v>0</v>
      </c>
    </row>
    <row r="40" spans="1:18" x14ac:dyDescent="0.15">
      <c r="A40" s="2513"/>
      <c r="B40" s="2516"/>
      <c r="C40" s="668" t="s">
        <v>1912</v>
      </c>
      <c r="D40" s="1062"/>
      <c r="E40" s="1602"/>
      <c r="F40" s="1072">
        <f t="shared" ref="F40:G40" si="27">F38*F39</f>
        <v>0</v>
      </c>
      <c r="G40" s="1072">
        <f t="shared" si="27"/>
        <v>0</v>
      </c>
      <c r="H40" s="1072"/>
      <c r="I40" s="1281">
        <f>ROUND(SUM(F40:H40),2)</f>
        <v>0</v>
      </c>
      <c r="J40" s="1321">
        <f t="shared" si="18"/>
        <v>0</v>
      </c>
    </row>
    <row r="41" spans="1:18" x14ac:dyDescent="0.15">
      <c r="A41" s="2513"/>
      <c r="B41" s="2516"/>
      <c r="C41" s="668" t="s">
        <v>1921</v>
      </c>
      <c r="D41" s="1063"/>
      <c r="E41" s="1600"/>
      <c r="F41" s="162"/>
      <c r="G41" s="162"/>
      <c r="H41" s="162"/>
      <c r="I41" s="12"/>
      <c r="J41" s="1321">
        <f t="shared" si="18"/>
        <v>0</v>
      </c>
    </row>
    <row r="42" spans="1:18" x14ac:dyDescent="0.15">
      <c r="A42" s="2513"/>
      <c r="B42" s="2516"/>
      <c r="C42" s="668" t="s">
        <v>1920</v>
      </c>
      <c r="D42" s="1062"/>
      <c r="E42" s="1602"/>
      <c r="F42" s="1072">
        <f>F41*F38</f>
        <v>0</v>
      </c>
      <c r="G42" s="1072">
        <f t="shared" ref="G42" si="28">G41*G38</f>
        <v>0</v>
      </c>
      <c r="H42" s="1072"/>
      <c r="I42" s="1281">
        <f>ROUND(SUM(F42:H42),2)</f>
        <v>0</v>
      </c>
      <c r="J42" s="1321">
        <f t="shared" si="18"/>
        <v>0</v>
      </c>
    </row>
    <row r="43" spans="1:18" x14ac:dyDescent="0.15">
      <c r="A43" s="2513"/>
      <c r="B43" s="2516"/>
      <c r="C43" s="668" t="s">
        <v>1913</v>
      </c>
      <c r="D43" s="1061"/>
      <c r="E43" s="1591"/>
      <c r="F43" s="162"/>
      <c r="G43" s="162"/>
      <c r="H43" s="162"/>
      <c r="I43" s="12"/>
      <c r="J43" s="1321">
        <f t="shared" si="18"/>
        <v>0</v>
      </c>
    </row>
    <row r="44" spans="1:18" x14ac:dyDescent="0.15">
      <c r="A44" s="2513"/>
      <c r="B44" s="2516"/>
      <c r="C44" s="668" t="s">
        <v>1915</v>
      </c>
      <c r="D44" s="1062"/>
      <c r="E44" s="1602"/>
      <c r="F44" s="1072">
        <f>F43*F38</f>
        <v>0</v>
      </c>
      <c r="G44" s="1072">
        <f t="shared" ref="G44" si="29">G43*G38</f>
        <v>0</v>
      </c>
      <c r="H44" s="1072"/>
      <c r="I44" s="1281">
        <f t="shared" ref="I44:I59" si="30">ROUND(SUM(F44:H44),2)</f>
        <v>0</v>
      </c>
      <c r="J44" s="1321">
        <f t="shared" si="18"/>
        <v>0</v>
      </c>
    </row>
    <row r="45" spans="1:18" ht="19.5" thickBot="1" x14ac:dyDescent="0.2">
      <c r="A45" s="2513"/>
      <c r="B45" s="2728"/>
      <c r="C45" s="546" t="s">
        <v>948</v>
      </c>
      <c r="D45" s="982"/>
      <c r="E45" s="1590"/>
      <c r="F45" s="1302"/>
      <c r="G45" s="1302"/>
      <c r="H45" s="1302"/>
      <c r="I45" s="416">
        <f t="shared" si="30"/>
        <v>0</v>
      </c>
      <c r="J45" s="1321">
        <f t="shared" si="18"/>
        <v>0</v>
      </c>
    </row>
    <row r="46" spans="1:18" x14ac:dyDescent="0.15">
      <c r="A46" s="2513"/>
      <c r="B46" s="2533" t="s">
        <v>1924</v>
      </c>
      <c r="C46" s="806" t="s">
        <v>1919</v>
      </c>
      <c r="D46" s="1061"/>
      <c r="E46" s="1591"/>
      <c r="F46" s="8">
        <f t="shared" ref="F46:G46" si="31">F11*2.4</f>
        <v>0</v>
      </c>
      <c r="G46" s="8">
        <f t="shared" si="31"/>
        <v>0</v>
      </c>
      <c r="H46" s="8"/>
      <c r="I46" s="425">
        <f t="shared" si="30"/>
        <v>0</v>
      </c>
      <c r="J46" s="1321">
        <f t="shared" si="18"/>
        <v>0</v>
      </c>
    </row>
    <row r="47" spans="1:18" x14ac:dyDescent="0.15">
      <c r="A47" s="2513"/>
      <c r="B47" s="2534"/>
      <c r="C47" s="548" t="s">
        <v>7</v>
      </c>
      <c r="D47" s="1061"/>
      <c r="E47" s="1591"/>
      <c r="F47" s="8">
        <f t="shared" ref="F47:G47" si="32">F17*1.25</f>
        <v>0</v>
      </c>
      <c r="G47" s="8">
        <f t="shared" si="32"/>
        <v>0</v>
      </c>
      <c r="H47" s="8"/>
      <c r="I47" s="425">
        <f t="shared" si="30"/>
        <v>0</v>
      </c>
      <c r="J47" s="1321">
        <f t="shared" si="18"/>
        <v>0</v>
      </c>
    </row>
    <row r="48" spans="1:18" x14ac:dyDescent="0.15">
      <c r="A48" s="2513"/>
      <c r="B48" s="2534"/>
      <c r="C48" s="566" t="s">
        <v>1401</v>
      </c>
      <c r="D48" s="1061"/>
      <c r="E48" s="1591"/>
      <c r="F48" s="8">
        <f t="shared" ref="F48:G48" si="33">F36</f>
        <v>0</v>
      </c>
      <c r="G48" s="8">
        <f t="shared" si="33"/>
        <v>0</v>
      </c>
      <c r="H48" s="8"/>
      <c r="I48" s="425">
        <f t="shared" si="30"/>
        <v>0</v>
      </c>
      <c r="J48" s="1321">
        <f t="shared" si="18"/>
        <v>0</v>
      </c>
    </row>
    <row r="49" spans="1:10" x14ac:dyDescent="0.15">
      <c r="A49" s="2513"/>
      <c r="B49" s="2534"/>
      <c r="C49" s="566" t="s">
        <v>2001</v>
      </c>
      <c r="D49" s="1061"/>
      <c r="E49" s="1591"/>
      <c r="F49" s="8">
        <f t="shared" ref="F49:G49" si="34">F40*1.25</f>
        <v>0</v>
      </c>
      <c r="G49" s="8">
        <f t="shared" si="34"/>
        <v>0</v>
      </c>
      <c r="H49" s="8"/>
      <c r="I49" s="425">
        <f t="shared" si="30"/>
        <v>0</v>
      </c>
      <c r="J49" s="1321">
        <f t="shared" si="18"/>
        <v>0</v>
      </c>
    </row>
    <row r="50" spans="1:10" x14ac:dyDescent="0.15">
      <c r="A50" s="2513"/>
      <c r="B50" s="2534"/>
      <c r="C50" s="558" t="s">
        <v>1810</v>
      </c>
      <c r="D50" s="1061"/>
      <c r="E50" s="1591"/>
      <c r="F50" s="8">
        <f t="shared" ref="F50:G50" si="35">F18+F19</f>
        <v>0</v>
      </c>
      <c r="G50" s="8">
        <f t="shared" si="35"/>
        <v>0</v>
      </c>
      <c r="H50" s="8"/>
      <c r="I50" s="425">
        <f t="shared" si="30"/>
        <v>0</v>
      </c>
      <c r="J50" s="1321">
        <f t="shared" si="18"/>
        <v>0</v>
      </c>
    </row>
    <row r="51" spans="1:10" x14ac:dyDescent="0.15">
      <c r="A51" s="2513"/>
      <c r="B51" s="2534"/>
      <c r="C51" s="558" t="s">
        <v>1761</v>
      </c>
      <c r="D51" s="1061"/>
      <c r="E51" s="1591"/>
      <c r="F51" s="8">
        <f t="shared" ref="F51:G52" si="36">F27</f>
        <v>0</v>
      </c>
      <c r="G51" s="8">
        <f t="shared" si="36"/>
        <v>0</v>
      </c>
      <c r="H51" s="8"/>
      <c r="I51" s="425">
        <f t="shared" si="30"/>
        <v>0</v>
      </c>
      <c r="J51" s="1321">
        <f t="shared" si="18"/>
        <v>0</v>
      </c>
    </row>
    <row r="52" spans="1:10" x14ac:dyDescent="0.15">
      <c r="A52" s="2513"/>
      <c r="B52" s="2534"/>
      <c r="C52" s="566" t="s">
        <v>1368</v>
      </c>
      <c r="D52" s="1061"/>
      <c r="E52" s="1591"/>
      <c r="F52" s="8">
        <f t="shared" si="36"/>
        <v>0</v>
      </c>
      <c r="G52" s="8">
        <f t="shared" si="36"/>
        <v>0</v>
      </c>
      <c r="H52" s="8"/>
      <c r="I52" s="425">
        <f t="shared" si="30"/>
        <v>0</v>
      </c>
      <c r="J52" s="1321">
        <f t="shared" si="18"/>
        <v>0</v>
      </c>
    </row>
    <row r="53" spans="1:10" x14ac:dyDescent="0.15">
      <c r="A53" s="2513"/>
      <c r="B53" s="2534"/>
      <c r="C53" s="566" t="s">
        <v>1922</v>
      </c>
      <c r="D53" s="1061"/>
      <c r="E53" s="1591"/>
      <c r="F53" s="8">
        <f t="shared" ref="F53:G53" si="37">F42*1.13</f>
        <v>0</v>
      </c>
      <c r="G53" s="8">
        <f t="shared" si="37"/>
        <v>0</v>
      </c>
      <c r="H53" s="8"/>
      <c r="I53" s="425">
        <f t="shared" si="30"/>
        <v>0</v>
      </c>
      <c r="J53" s="1321">
        <f t="shared" si="18"/>
        <v>0</v>
      </c>
    </row>
    <row r="54" spans="1:10" x14ac:dyDescent="0.15">
      <c r="A54" s="2513"/>
      <c r="B54" s="2534"/>
      <c r="C54" s="558" t="s">
        <v>1917</v>
      </c>
      <c r="D54" s="1061"/>
      <c r="E54" s="1591"/>
      <c r="F54" s="8">
        <f t="shared" ref="F54:G54" si="38">F25/1000</f>
        <v>0</v>
      </c>
      <c r="G54" s="8">
        <f t="shared" si="38"/>
        <v>0</v>
      </c>
      <c r="H54" s="8"/>
      <c r="I54" s="425">
        <f t="shared" si="30"/>
        <v>0</v>
      </c>
      <c r="J54" s="1321">
        <f t="shared" si="18"/>
        <v>0</v>
      </c>
    </row>
    <row r="55" spans="1:10" x14ac:dyDescent="0.15">
      <c r="A55" s="2513"/>
      <c r="B55" s="2534"/>
      <c r="C55" s="558" t="s">
        <v>1918</v>
      </c>
      <c r="D55" s="1061"/>
      <c r="E55" s="1591"/>
      <c r="F55" s="8"/>
      <c r="G55" s="8"/>
      <c r="H55" s="8"/>
      <c r="I55" s="425">
        <f t="shared" si="30"/>
        <v>0</v>
      </c>
      <c r="J55" s="1321">
        <f t="shared" si="18"/>
        <v>0</v>
      </c>
    </row>
    <row r="56" spans="1:10" x14ac:dyDescent="0.15">
      <c r="A56" s="2513"/>
      <c r="B56" s="2534"/>
      <c r="C56" s="558" t="s">
        <v>1835</v>
      </c>
      <c r="D56" s="1061"/>
      <c r="E56" s="1591"/>
      <c r="F56" s="8"/>
      <c r="G56" s="8"/>
      <c r="H56" s="8"/>
      <c r="I56" s="425">
        <f t="shared" si="30"/>
        <v>0</v>
      </c>
      <c r="J56" s="1321">
        <f t="shared" si="18"/>
        <v>0</v>
      </c>
    </row>
    <row r="57" spans="1:10" x14ac:dyDescent="0.15">
      <c r="A57" s="2513"/>
      <c r="B57" s="2534"/>
      <c r="C57" s="558" t="s">
        <v>1600</v>
      </c>
      <c r="D57" s="1061"/>
      <c r="E57" s="1591"/>
      <c r="F57" s="8"/>
      <c r="G57" s="8"/>
      <c r="H57" s="8"/>
      <c r="I57" s="425">
        <f t="shared" si="30"/>
        <v>0</v>
      </c>
      <c r="J57" s="1321">
        <f t="shared" si="18"/>
        <v>0</v>
      </c>
    </row>
    <row r="58" spans="1:10" x14ac:dyDescent="0.15">
      <c r="A58" s="2513"/>
      <c r="B58" s="2534"/>
      <c r="C58" s="566" t="s">
        <v>1400</v>
      </c>
      <c r="D58" s="1061"/>
      <c r="E58" s="1591"/>
      <c r="F58" s="8">
        <f t="shared" ref="F58:G58" si="39">F30</f>
        <v>0</v>
      </c>
      <c r="G58" s="8">
        <f t="shared" si="39"/>
        <v>0</v>
      </c>
      <c r="H58" s="8"/>
      <c r="I58" s="425">
        <f t="shared" si="30"/>
        <v>0</v>
      </c>
      <c r="J58" s="1321">
        <f t="shared" ref="J58" si="40">SUM(F58:I58)</f>
        <v>0</v>
      </c>
    </row>
    <row r="59" spans="1:10" ht="19.5" thickBot="1" x14ac:dyDescent="0.2">
      <c r="A59" s="2513"/>
      <c r="B59" s="2535"/>
      <c r="C59" s="566" t="s">
        <v>1204</v>
      </c>
      <c r="D59" s="982"/>
      <c r="E59" s="1590"/>
      <c r="F59" s="215"/>
      <c r="G59" s="215"/>
      <c r="H59" s="215"/>
      <c r="I59" s="416">
        <f t="shared" si="30"/>
        <v>0</v>
      </c>
      <c r="J59" s="1321">
        <f>SUM(F59:I59)</f>
        <v>0</v>
      </c>
    </row>
    <row r="60" spans="1:10" x14ac:dyDescent="0.15">
      <c r="A60" s="2513"/>
      <c r="B60" s="2533" t="s">
        <v>1366</v>
      </c>
      <c r="C60" s="806" t="s">
        <v>1919</v>
      </c>
      <c r="D60" s="1061"/>
      <c r="E60" s="1591"/>
      <c r="F60" s="8"/>
      <c r="G60" s="8"/>
      <c r="H60" s="8"/>
      <c r="I60" s="425"/>
      <c r="J60" s="1321"/>
    </row>
    <row r="61" spans="1:10" x14ac:dyDescent="0.15">
      <c r="A61" s="2513"/>
      <c r="B61" s="2534"/>
      <c r="C61" s="548" t="s">
        <v>7</v>
      </c>
      <c r="D61" s="1061"/>
      <c r="E61" s="1591"/>
      <c r="F61" s="8"/>
      <c r="G61" s="8"/>
      <c r="H61" s="8"/>
      <c r="I61" s="425"/>
      <c r="J61" s="1321"/>
    </row>
    <row r="62" spans="1:10" x14ac:dyDescent="0.15">
      <c r="A62" s="2513"/>
      <c r="B62" s="2534"/>
      <c r="C62" s="566" t="s">
        <v>2001</v>
      </c>
      <c r="D62" s="1061"/>
      <c r="E62" s="1591"/>
      <c r="F62" s="8"/>
      <c r="G62" s="8"/>
      <c r="H62" s="8"/>
      <c r="I62" s="425"/>
      <c r="J62" s="1321"/>
    </row>
    <row r="63" spans="1:10" x14ac:dyDescent="0.15">
      <c r="A63" s="2513"/>
      <c r="B63" s="2534"/>
      <c r="C63" s="558" t="s">
        <v>1810</v>
      </c>
      <c r="D63" s="1061"/>
      <c r="E63" s="1591"/>
      <c r="F63" s="8"/>
      <c r="G63" s="8"/>
      <c r="H63" s="8"/>
      <c r="I63" s="425"/>
      <c r="J63" s="1321"/>
    </row>
    <row r="64" spans="1:10" x14ac:dyDescent="0.15">
      <c r="A64" s="2513"/>
      <c r="B64" s="2534"/>
      <c r="C64" s="558" t="s">
        <v>1761</v>
      </c>
      <c r="D64" s="1061"/>
      <c r="E64" s="1591"/>
      <c r="F64" s="8"/>
      <c r="G64" s="8"/>
      <c r="H64" s="8"/>
      <c r="I64" s="425"/>
      <c r="J64" s="1321"/>
    </row>
    <row r="65" spans="1:10" x14ac:dyDescent="0.15">
      <c r="A65" s="2513"/>
      <c r="B65" s="2534"/>
      <c r="C65" s="566" t="s">
        <v>1368</v>
      </c>
      <c r="D65" s="1061"/>
      <c r="E65" s="1591"/>
      <c r="F65" s="8"/>
      <c r="G65" s="8"/>
      <c r="H65" s="8"/>
      <c r="I65" s="425"/>
      <c r="J65" s="1321"/>
    </row>
    <row r="66" spans="1:10" x14ac:dyDescent="0.15">
      <c r="A66" s="2513"/>
      <c r="B66" s="2534"/>
      <c r="C66" s="566" t="s">
        <v>1922</v>
      </c>
      <c r="D66" s="1061"/>
      <c r="E66" s="1591"/>
      <c r="F66" s="8"/>
      <c r="G66" s="8"/>
      <c r="H66" s="8"/>
      <c r="I66" s="425"/>
      <c r="J66" s="1321"/>
    </row>
    <row r="67" spans="1:10" x14ac:dyDescent="0.15">
      <c r="A67" s="2513"/>
      <c r="B67" s="2534"/>
      <c r="C67" s="558" t="s">
        <v>1917</v>
      </c>
      <c r="D67" s="1061"/>
      <c r="E67" s="1591"/>
      <c r="F67" s="8"/>
      <c r="G67" s="8"/>
      <c r="H67" s="8"/>
      <c r="I67" s="425"/>
      <c r="J67" s="1321"/>
    </row>
    <row r="68" spans="1:10" x14ac:dyDescent="0.15">
      <c r="A68" s="2513"/>
      <c r="B68" s="2534"/>
      <c r="C68" s="558" t="s">
        <v>1918</v>
      </c>
      <c r="D68" s="1061"/>
      <c r="E68" s="1591"/>
      <c r="F68" s="8"/>
      <c r="G68" s="8"/>
      <c r="H68" s="8"/>
      <c r="I68" s="425"/>
      <c r="J68" s="1321"/>
    </row>
    <row r="69" spans="1:10" x14ac:dyDescent="0.15">
      <c r="A69" s="2513"/>
      <c r="B69" s="2534"/>
      <c r="C69" s="558" t="s">
        <v>1835</v>
      </c>
      <c r="D69" s="1061"/>
      <c r="E69" s="1591"/>
      <c r="F69" s="8"/>
      <c r="G69" s="8"/>
      <c r="H69" s="8"/>
      <c r="I69" s="425"/>
      <c r="J69" s="1321"/>
    </row>
    <row r="70" spans="1:10" x14ac:dyDescent="0.15">
      <c r="A70" s="2513"/>
      <c r="B70" s="2534"/>
      <c r="C70" s="558" t="s">
        <v>1600</v>
      </c>
      <c r="D70" s="1061"/>
      <c r="E70" s="1591"/>
      <c r="F70" s="8"/>
      <c r="G70" s="8"/>
      <c r="H70" s="8"/>
      <c r="I70" s="425"/>
      <c r="J70" s="1321"/>
    </row>
    <row r="71" spans="1:10" x14ac:dyDescent="0.15">
      <c r="A71" s="2513"/>
      <c r="B71" s="2534"/>
      <c r="C71" s="566" t="s">
        <v>1400</v>
      </c>
      <c r="D71" s="1061"/>
      <c r="E71" s="1591"/>
      <c r="F71" s="8"/>
      <c r="G71" s="8"/>
      <c r="H71" s="8"/>
      <c r="I71" s="425"/>
      <c r="J71" s="1321"/>
    </row>
    <row r="72" spans="1:10" ht="19.5" thickBot="1" x14ac:dyDescent="0.2">
      <c r="A72" s="2513"/>
      <c r="B72" s="2534"/>
      <c r="C72" s="567" t="s">
        <v>1204</v>
      </c>
      <c r="D72" s="1061"/>
      <c r="E72" s="1591"/>
      <c r="F72" s="8"/>
      <c r="G72" s="8"/>
      <c r="H72" s="8"/>
      <c r="I72" s="425"/>
      <c r="J72" s="1321"/>
    </row>
    <row r="73" spans="1:10" s="9" customFormat="1" ht="50.1" customHeight="1" thickBot="1" x14ac:dyDescent="0.2">
      <c r="A73" s="2659"/>
      <c r="B73" s="2720" t="s">
        <v>12</v>
      </c>
      <c r="C73" s="2721"/>
      <c r="D73" s="1397"/>
      <c r="E73" s="2058"/>
      <c r="F73" s="1877"/>
      <c r="G73" s="1877"/>
      <c r="H73" s="1877"/>
      <c r="I73" s="1339"/>
      <c r="J73" s="1596">
        <v>1</v>
      </c>
    </row>
    <row r="74" spans="1:10" ht="19.5" thickTop="1" x14ac:dyDescent="0.15"/>
  </sheetData>
  <autoFilter ref="J1:J74"/>
  <mergeCells count="20">
    <mergeCell ref="B46:B59"/>
    <mergeCell ref="B60:B72"/>
    <mergeCell ref="B36:B37"/>
    <mergeCell ref="B29:B30"/>
    <mergeCell ref="K31:L31"/>
    <mergeCell ref="M31:N31"/>
    <mergeCell ref="O31:P31"/>
    <mergeCell ref="Q31:Q34"/>
    <mergeCell ref="A1:A73"/>
    <mergeCell ref="B1:C1"/>
    <mergeCell ref="B3:B4"/>
    <mergeCell ref="B2:C2"/>
    <mergeCell ref="B5:C5"/>
    <mergeCell ref="B6:B11"/>
    <mergeCell ref="B12:C12"/>
    <mergeCell ref="B20:B28"/>
    <mergeCell ref="B73:C73"/>
    <mergeCell ref="B31:B35"/>
    <mergeCell ref="B13:B19"/>
    <mergeCell ref="B38:B45"/>
  </mergeCells>
  <conditionalFormatting sqref="F13:H13">
    <cfRule type="expression" dxfId="1" priority="2">
      <formula>F$13&gt;F$7</formula>
    </cfRule>
  </conditionalFormatting>
  <printOptions horizontalCentered="1"/>
  <pageMargins left="0.39370078740157483" right="0.39370078740157483" top="0.49" bottom="0.91" header="0.31496062992125984" footer="0.23622047244094491"/>
  <pageSetup paperSize="9" scale="54" fitToWidth="11" orientation="portrait" r:id="rId1"/>
  <headerFooter>
    <oddFooter>&amp;L&amp;"Arial,Normal"&amp;8&amp;F&amp;C&amp;"Arial,Normal"&amp;8&amp;P /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41">
    <tabColor theme="9" tint="0.59999389629810485"/>
  </sheetPr>
  <dimension ref="A1:BJ85"/>
  <sheetViews>
    <sheetView showZeros="0" workbookViewId="0">
      <selection activeCell="C18" sqref="B6:I30"/>
    </sheetView>
  </sheetViews>
  <sheetFormatPr defaultColWidth="9" defaultRowHeight="12.75" x14ac:dyDescent="0.2"/>
  <cols>
    <col min="1" max="1" width="10.75" style="289" customWidth="1"/>
    <col min="2" max="2" width="24.5" style="289" customWidth="1"/>
    <col min="3" max="3" width="9" style="289"/>
    <col min="4" max="4" width="12.25" style="289" customWidth="1"/>
    <col min="5" max="6" width="9" style="289"/>
    <col min="7" max="7" width="9.875" style="289" customWidth="1"/>
    <col min="8" max="8" width="11.75" style="289" customWidth="1"/>
    <col min="9" max="9" width="9" style="289"/>
    <col min="10" max="10" width="2.625" style="289" customWidth="1"/>
    <col min="11" max="11" width="9" style="289"/>
    <col min="12" max="12" width="13.125" style="289" customWidth="1"/>
    <col min="13" max="16384" width="9" style="289"/>
  </cols>
  <sheetData>
    <row r="1" spans="1:12" ht="37.5" customHeight="1" x14ac:dyDescent="0.2">
      <c r="A1" s="3039" t="s">
        <v>418</v>
      </c>
      <c r="B1" s="3041" t="s">
        <v>417</v>
      </c>
      <c r="C1" s="3043" t="s">
        <v>416</v>
      </c>
      <c r="D1" s="3032" t="s">
        <v>415</v>
      </c>
      <c r="E1" s="311" t="s">
        <v>414</v>
      </c>
      <c r="F1" s="311"/>
      <c r="G1" s="3034" t="s">
        <v>413</v>
      </c>
      <c r="H1" s="3034" t="s">
        <v>412</v>
      </c>
      <c r="I1" s="311" t="s">
        <v>411</v>
      </c>
      <c r="J1" s="310"/>
      <c r="K1" s="310"/>
      <c r="L1" s="309"/>
    </row>
    <row r="2" spans="1:12" ht="37.5" customHeight="1" thickBot="1" x14ac:dyDescent="0.25">
      <c r="A2" s="3040"/>
      <c r="B2" s="3042"/>
      <c r="C2" s="3044"/>
      <c r="D2" s="3033"/>
      <c r="E2" s="308" t="s">
        <v>52</v>
      </c>
      <c r="F2" s="308" t="s">
        <v>410</v>
      </c>
      <c r="G2" s="3035"/>
      <c r="H2" s="3035"/>
      <c r="I2" s="3036" t="s">
        <v>409</v>
      </c>
      <c r="J2" s="3037"/>
      <c r="K2" s="3038"/>
      <c r="L2" s="307" t="s">
        <v>408</v>
      </c>
    </row>
    <row r="3" spans="1:12" ht="28.5" customHeight="1" x14ac:dyDescent="0.2">
      <c r="A3" s="305" t="s">
        <v>368</v>
      </c>
      <c r="B3" s="306" t="s">
        <v>407</v>
      </c>
      <c r="C3" s="305" t="s">
        <v>402</v>
      </c>
      <c r="D3" s="305" t="s">
        <v>401</v>
      </c>
      <c r="E3" s="305" t="s">
        <v>400</v>
      </c>
      <c r="F3" s="305" t="s">
        <v>406</v>
      </c>
      <c r="G3" s="304">
        <v>10</v>
      </c>
      <c r="H3" s="303">
        <v>1.5</v>
      </c>
      <c r="I3" s="300" t="s">
        <v>405</v>
      </c>
      <c r="J3" s="302"/>
      <c r="K3" s="301"/>
      <c r="L3" s="312" t="s">
        <v>404</v>
      </c>
    </row>
    <row r="4" spans="1:12" ht="28.5" customHeight="1" x14ac:dyDescent="0.2">
      <c r="A4" s="297" t="s">
        <v>367</v>
      </c>
      <c r="B4" s="298" t="s">
        <v>403</v>
      </c>
      <c r="C4" s="297" t="s">
        <v>402</v>
      </c>
      <c r="D4" s="297" t="s">
        <v>401</v>
      </c>
      <c r="E4" s="297" t="s">
        <v>400</v>
      </c>
      <c r="F4" s="297" t="s">
        <v>399</v>
      </c>
      <c r="G4" s="296">
        <v>10</v>
      </c>
      <c r="H4" s="295">
        <v>1.5</v>
      </c>
      <c r="I4" s="293" t="s">
        <v>398</v>
      </c>
      <c r="J4" s="292"/>
      <c r="K4" s="294" t="s">
        <v>391</v>
      </c>
      <c r="L4" s="857" t="s">
        <v>397</v>
      </c>
    </row>
    <row r="5" spans="1:12" ht="28.5" customHeight="1" x14ac:dyDescent="0.2">
      <c r="A5" s="299" t="s">
        <v>226</v>
      </c>
      <c r="B5" s="298" t="s">
        <v>396</v>
      </c>
      <c r="C5" s="297" t="s">
        <v>395</v>
      </c>
      <c r="D5" s="297" t="s">
        <v>394</v>
      </c>
      <c r="E5" s="297" t="s">
        <v>393</v>
      </c>
      <c r="F5" s="297" t="s">
        <v>392</v>
      </c>
      <c r="G5" s="296">
        <v>10</v>
      </c>
      <c r="H5" s="295">
        <v>1.5</v>
      </c>
      <c r="I5" s="293" t="s">
        <v>391</v>
      </c>
      <c r="J5" s="292" t="s">
        <v>374</v>
      </c>
      <c r="K5" s="294" t="s">
        <v>390</v>
      </c>
      <c r="L5" s="857" t="s">
        <v>389</v>
      </c>
    </row>
    <row r="6" spans="1:12" ht="28.5" customHeight="1" x14ac:dyDescent="0.2">
      <c r="A6" s="299" t="s">
        <v>227</v>
      </c>
      <c r="B6" s="298" t="s">
        <v>388</v>
      </c>
      <c r="C6" s="297" t="s">
        <v>387</v>
      </c>
      <c r="D6" s="297" t="s">
        <v>386</v>
      </c>
      <c r="E6" s="297" t="s">
        <v>385</v>
      </c>
      <c r="F6" s="297" t="s">
        <v>384</v>
      </c>
      <c r="G6" s="296">
        <v>10</v>
      </c>
      <c r="H6" s="295">
        <v>2.2999999999999998</v>
      </c>
      <c r="I6" s="293" t="s">
        <v>383</v>
      </c>
      <c r="J6" s="292" t="s">
        <v>374</v>
      </c>
      <c r="K6" s="294" t="s">
        <v>382</v>
      </c>
      <c r="L6" s="857" t="s">
        <v>381</v>
      </c>
    </row>
    <row r="7" spans="1:12" ht="28.5" customHeight="1" x14ac:dyDescent="0.2">
      <c r="A7" s="299" t="s">
        <v>228</v>
      </c>
      <c r="B7" s="298" t="s">
        <v>380</v>
      </c>
      <c r="C7" s="297" t="s">
        <v>379</v>
      </c>
      <c r="D7" s="297" t="s">
        <v>378</v>
      </c>
      <c r="E7" s="297" t="s">
        <v>377</v>
      </c>
      <c r="F7" s="297" t="s">
        <v>376</v>
      </c>
      <c r="G7" s="296">
        <v>10</v>
      </c>
      <c r="H7" s="295">
        <v>5.9</v>
      </c>
      <c r="I7" s="293" t="s">
        <v>375</v>
      </c>
      <c r="J7" s="292" t="s">
        <v>374</v>
      </c>
      <c r="K7" s="294" t="s">
        <v>373</v>
      </c>
      <c r="L7" s="857" t="s">
        <v>372</v>
      </c>
    </row>
    <row r="8" spans="1:12" x14ac:dyDescent="0.2">
      <c r="A8" s="167"/>
      <c r="B8" s="167"/>
      <c r="C8" s="167"/>
      <c r="D8" s="167"/>
      <c r="E8" s="167"/>
      <c r="F8" s="167"/>
      <c r="G8" s="167"/>
      <c r="H8" s="167"/>
      <c r="I8" s="167"/>
      <c r="J8" s="167"/>
      <c r="K8" s="167"/>
      <c r="L8" s="167"/>
    </row>
    <row r="9" spans="1:12" x14ac:dyDescent="0.2">
      <c r="A9" s="166"/>
      <c r="B9" s="166"/>
      <c r="C9" s="166"/>
      <c r="D9" s="166"/>
      <c r="E9" s="166"/>
      <c r="F9" s="166"/>
      <c r="G9" s="166"/>
      <c r="H9" s="166"/>
      <c r="I9" s="166"/>
      <c r="J9" s="166"/>
      <c r="K9" s="166"/>
      <c r="L9" s="166"/>
    </row>
    <row r="10" spans="1:12" x14ac:dyDescent="0.2">
      <c r="A10" s="166"/>
      <c r="B10" s="166"/>
      <c r="C10" s="166"/>
      <c r="D10" s="166"/>
      <c r="E10" s="166"/>
      <c r="F10" s="166"/>
      <c r="G10" s="166"/>
      <c r="H10" s="166"/>
      <c r="I10" s="166"/>
      <c r="J10" s="166"/>
      <c r="K10" s="166"/>
      <c r="L10" s="166"/>
    </row>
    <row r="11" spans="1:12" x14ac:dyDescent="0.2">
      <c r="A11" s="291" t="s">
        <v>371</v>
      </c>
      <c r="B11" s="291" t="s">
        <v>370</v>
      </c>
      <c r="C11" s="889" t="s">
        <v>370</v>
      </c>
      <c r="D11" s="291"/>
      <c r="E11" s="167"/>
      <c r="G11" s="291"/>
      <c r="H11" s="291"/>
      <c r="K11" s="291" t="s">
        <v>369</v>
      </c>
      <c r="L11" s="291" t="s">
        <v>369</v>
      </c>
    </row>
    <row r="12" spans="1:12" x14ac:dyDescent="0.2">
      <c r="A12" s="292" t="s">
        <v>368</v>
      </c>
      <c r="B12" s="291">
        <v>1</v>
      </c>
      <c r="C12" s="291"/>
      <c r="D12" s="290"/>
      <c r="E12" s="173"/>
      <c r="G12" s="291"/>
      <c r="H12" s="291"/>
      <c r="I12" s="290">
        <f>(B12+B12*1.5)/2*H3*365*G3</f>
        <v>6843.75</v>
      </c>
      <c r="K12" s="290">
        <f>(C12+C12*1.5)/2*H3*365*G3</f>
        <v>0</v>
      </c>
      <c r="L12" s="890">
        <f>INT(+(I12+K12)/2)</f>
        <v>3421</v>
      </c>
    </row>
    <row r="13" spans="1:12" x14ac:dyDescent="0.2">
      <c r="A13" s="292" t="s">
        <v>367</v>
      </c>
      <c r="B13" s="291">
        <v>4</v>
      </c>
      <c r="C13" s="291"/>
      <c r="E13" s="173"/>
      <c r="G13" s="291"/>
      <c r="H13" s="291"/>
      <c r="I13" s="290">
        <f>(B13+B13*1.5)/2*H4*365*G4</f>
        <v>27375</v>
      </c>
      <c r="K13" s="290">
        <f>(C13+C13*1.5)/2*H4*365*G4</f>
        <v>0</v>
      </c>
      <c r="L13" s="890">
        <f>INT(+(I13+K13)/2)</f>
        <v>13687</v>
      </c>
    </row>
    <row r="14" spans="1:12" x14ac:dyDescent="0.2">
      <c r="A14" s="292" t="s">
        <v>226</v>
      </c>
      <c r="B14" s="291">
        <v>4</v>
      </c>
      <c r="C14" s="291">
        <v>20</v>
      </c>
      <c r="D14" s="290"/>
      <c r="E14" s="173"/>
      <c r="G14" s="291"/>
      <c r="H14" s="291"/>
      <c r="I14" s="290">
        <f>(B14+B14*1.5)/2*H5*365*G5</f>
        <v>27375</v>
      </c>
      <c r="K14" s="290">
        <f>(C14+C14*1.5)/2*H5*365*G5</f>
        <v>136875</v>
      </c>
      <c r="L14" s="890">
        <f>INT(+(I14+K14)/2)</f>
        <v>82125</v>
      </c>
    </row>
    <row r="15" spans="1:12" x14ac:dyDescent="0.2">
      <c r="A15" s="292" t="s">
        <v>227</v>
      </c>
      <c r="B15" s="291">
        <v>21</v>
      </c>
      <c r="C15" s="291">
        <v>1000</v>
      </c>
      <c r="D15" s="290"/>
      <c r="E15" s="166"/>
      <c r="G15" s="291"/>
      <c r="H15" s="291"/>
      <c r="I15" s="290">
        <f>(B15+B15*1.5)/2*H6*365*G6</f>
        <v>220368.74999999997</v>
      </c>
      <c r="K15" s="290">
        <f>(C15+C15*1.5)/2*H6*365*G6</f>
        <v>10493750</v>
      </c>
      <c r="L15" s="890">
        <f>INT(+(I15+K15)/2)</f>
        <v>5357059</v>
      </c>
    </row>
    <row r="16" spans="1:12" x14ac:dyDescent="0.2">
      <c r="A16" s="292" t="s">
        <v>228</v>
      </c>
      <c r="B16" s="291">
        <v>1001</v>
      </c>
      <c r="C16" s="291">
        <v>2000</v>
      </c>
      <c r="D16" s="290"/>
      <c r="E16" s="166"/>
      <c r="G16" s="291"/>
      <c r="H16" s="291"/>
      <c r="I16" s="290">
        <f>(B16+B16*1.5)/2*H7*365*G7</f>
        <v>26945668.75</v>
      </c>
      <c r="K16" s="290">
        <f>(C16+C16*1.5)/2*H7*365*G7</f>
        <v>53837500</v>
      </c>
      <c r="L16" s="890">
        <f>INT(+(I16+K16)/2)</f>
        <v>40391584</v>
      </c>
    </row>
    <row r="31" spans="1:26" s="859" customFormat="1" x14ac:dyDescent="0.2">
      <c r="A31" s="858" t="s">
        <v>918</v>
      </c>
      <c r="B31" s="172"/>
      <c r="C31" s="172"/>
      <c r="G31" s="199"/>
      <c r="H31" s="199"/>
      <c r="I31" s="199"/>
      <c r="J31" s="199"/>
      <c r="K31" s="167"/>
      <c r="L31" s="167"/>
      <c r="M31" s="167"/>
      <c r="N31" s="167"/>
      <c r="O31" s="167"/>
      <c r="P31" s="167"/>
      <c r="Q31" s="167"/>
      <c r="R31" s="167"/>
      <c r="S31" s="167"/>
      <c r="T31" s="173"/>
      <c r="U31" s="173"/>
      <c r="V31" s="166"/>
      <c r="W31" s="166"/>
      <c r="X31" s="166"/>
      <c r="Y31" s="166"/>
      <c r="Z31" s="166"/>
    </row>
    <row r="32" spans="1:26" s="859" customFormat="1" x14ac:dyDescent="0.2">
      <c r="A32" s="858" t="s">
        <v>919</v>
      </c>
      <c r="B32" s="172"/>
      <c r="C32" s="172"/>
      <c r="G32" s="199"/>
      <c r="H32" s="199"/>
      <c r="I32" s="199"/>
      <c r="J32" s="199"/>
      <c r="K32" s="167"/>
      <c r="L32" s="167"/>
      <c r="M32" s="167"/>
      <c r="N32" s="167"/>
      <c r="O32" s="167"/>
      <c r="P32" s="167"/>
      <c r="Q32" s="167"/>
      <c r="R32" s="167"/>
      <c r="S32" s="167"/>
      <c r="T32" s="173"/>
      <c r="U32" s="173"/>
      <c r="V32" s="166"/>
      <c r="W32" s="166"/>
      <c r="X32" s="166"/>
      <c r="Y32" s="166"/>
      <c r="Z32" s="166"/>
    </row>
    <row r="33" spans="1:62" s="859" customFormat="1" x14ac:dyDescent="0.2">
      <c r="A33" s="858" t="s">
        <v>920</v>
      </c>
      <c r="B33" s="172"/>
      <c r="C33" s="172"/>
      <c r="D33" s="171"/>
      <c r="E33" s="199"/>
      <c r="F33" s="199"/>
      <c r="G33" s="199"/>
      <c r="H33" s="199"/>
      <c r="I33" s="199"/>
      <c r="J33" s="199"/>
      <c r="K33" s="167"/>
      <c r="L33" s="167"/>
      <c r="M33" s="167"/>
      <c r="N33" s="167"/>
      <c r="O33" s="167"/>
      <c r="P33" s="167"/>
      <c r="Q33" s="167"/>
      <c r="R33" s="167"/>
      <c r="S33" s="167"/>
      <c r="T33" s="173"/>
      <c r="U33" s="173"/>
      <c r="V33" s="166"/>
      <c r="W33" s="166"/>
      <c r="X33" s="166"/>
      <c r="Y33" s="166"/>
      <c r="Z33" s="166"/>
    </row>
    <row r="34" spans="1:62" s="172" customFormat="1" x14ac:dyDescent="0.15">
      <c r="AZ34" s="203"/>
      <c r="BA34" s="203"/>
      <c r="BB34" s="203"/>
      <c r="BC34" s="203"/>
      <c r="BD34" s="203"/>
      <c r="BE34" s="203"/>
      <c r="BF34" s="203"/>
      <c r="BG34" s="203"/>
      <c r="BH34" s="203"/>
      <c r="BI34" s="203"/>
      <c r="BJ34" s="203"/>
    </row>
    <row r="35" spans="1:62" s="172" customFormat="1" x14ac:dyDescent="0.15">
      <c r="A35" s="860" t="s">
        <v>921</v>
      </c>
      <c r="AZ35" s="203"/>
      <c r="BA35" s="203"/>
      <c r="BB35" s="203"/>
      <c r="BC35" s="203"/>
      <c r="BD35" s="203"/>
      <c r="BE35" s="203"/>
      <c r="BF35" s="203"/>
      <c r="BG35" s="203"/>
      <c r="BH35" s="203"/>
      <c r="BI35" s="203"/>
      <c r="BJ35" s="203"/>
    </row>
    <row r="36" spans="1:62" s="172" customFormat="1" x14ac:dyDescent="0.15">
      <c r="A36" s="860" t="s">
        <v>922</v>
      </c>
      <c r="AZ36" s="203"/>
      <c r="BA36" s="203"/>
      <c r="BB36" s="203"/>
      <c r="BC36" s="203"/>
      <c r="BD36" s="203"/>
      <c r="BE36" s="203"/>
      <c r="BF36" s="203"/>
      <c r="BG36" s="203"/>
      <c r="BH36" s="203"/>
      <c r="BI36" s="203"/>
      <c r="BJ36" s="203"/>
    </row>
    <row r="37" spans="1:62" s="172" customFormat="1" x14ac:dyDescent="0.15">
      <c r="A37" s="860" t="s">
        <v>923</v>
      </c>
      <c r="AZ37" s="203"/>
      <c r="BA37" s="203"/>
      <c r="BB37" s="203"/>
      <c r="BC37" s="203"/>
      <c r="BD37" s="203"/>
      <c r="BE37" s="203"/>
      <c r="BF37" s="203"/>
      <c r="BG37" s="203"/>
      <c r="BH37" s="203"/>
      <c r="BI37" s="203"/>
      <c r="BJ37" s="203"/>
    </row>
    <row r="38" spans="1:62" s="172" customFormat="1" x14ac:dyDescent="0.15">
      <c r="A38" s="861" t="s">
        <v>924</v>
      </c>
      <c r="M38" s="203"/>
      <c r="N38" s="862"/>
      <c r="AZ38" s="203"/>
      <c r="BA38" s="203"/>
      <c r="BB38" s="203"/>
      <c r="BC38" s="203"/>
      <c r="BD38" s="203"/>
      <c r="BE38" s="203"/>
      <c r="BF38" s="203"/>
      <c r="BG38" s="203"/>
      <c r="BH38" s="203"/>
      <c r="BI38" s="203"/>
      <c r="BJ38" s="203"/>
    </row>
    <row r="39" spans="1:62" s="172" customFormat="1" x14ac:dyDescent="0.2">
      <c r="A39" s="863" t="s">
        <v>925</v>
      </c>
      <c r="AZ39" s="203"/>
      <c r="BA39" s="203"/>
      <c r="BB39" s="203"/>
      <c r="BC39" s="203"/>
      <c r="BD39" s="203"/>
      <c r="BE39" s="203"/>
      <c r="BF39" s="203"/>
      <c r="BG39" s="203"/>
      <c r="BH39" s="203"/>
      <c r="BI39" s="203"/>
      <c r="BJ39" s="203"/>
    </row>
    <row r="40" spans="1:62" s="172" customFormat="1" x14ac:dyDescent="0.2">
      <c r="A40" s="863" t="s">
        <v>926</v>
      </c>
    </row>
    <row r="41" spans="1:62" s="172" customFormat="1" x14ac:dyDescent="0.2">
      <c r="A41" s="863" t="s">
        <v>927</v>
      </c>
    </row>
    <row r="42" spans="1:62" s="172" customFormat="1" x14ac:dyDescent="0.2">
      <c r="A42" s="863" t="s">
        <v>928</v>
      </c>
    </row>
    <row r="43" spans="1:62" s="172" customFormat="1" x14ac:dyDescent="0.2">
      <c r="A43" s="863" t="s">
        <v>929</v>
      </c>
      <c r="B43" s="173"/>
      <c r="C43" s="173"/>
    </row>
    <row r="44" spans="1:62" s="172" customFormat="1" x14ac:dyDescent="0.2">
      <c r="A44" s="863" t="s">
        <v>930</v>
      </c>
      <c r="B44" s="166"/>
      <c r="C44" s="166"/>
    </row>
    <row r="45" spans="1:62" s="172" customFormat="1" x14ac:dyDescent="0.2">
      <c r="A45" s="863" t="s">
        <v>931</v>
      </c>
      <c r="B45" s="166"/>
      <c r="C45" s="166"/>
    </row>
    <row r="46" spans="1:62" s="173" customFormat="1" x14ac:dyDescent="0.2">
      <c r="A46" s="860" t="s">
        <v>932</v>
      </c>
      <c r="B46" s="166"/>
      <c r="C46" s="166"/>
    </row>
    <row r="47" spans="1:62" s="166" customFormat="1" x14ac:dyDescent="0.2"/>
    <row r="48" spans="1:62" s="166" customFormat="1" x14ac:dyDescent="0.2"/>
    <row r="49" spans="1:26" s="166" customFormat="1" x14ac:dyDescent="0.2"/>
    <row r="50" spans="1:26" s="166" customFormat="1" x14ac:dyDescent="0.2">
      <c r="A50" s="860"/>
    </row>
    <row r="51" spans="1:26" s="166" customFormat="1" x14ac:dyDescent="0.2"/>
    <row r="52" spans="1:26" s="166" customFormat="1" ht="18" x14ac:dyDescent="0.2">
      <c r="A52" s="858" t="s">
        <v>933</v>
      </c>
    </row>
    <row r="53" spans="1:26" s="166" customFormat="1" x14ac:dyDescent="0.2">
      <c r="A53" s="860" t="s">
        <v>921</v>
      </c>
    </row>
    <row r="54" spans="1:26" s="166" customFormat="1" x14ac:dyDescent="0.2">
      <c r="A54" s="861" t="s">
        <v>934</v>
      </c>
    </row>
    <row r="55" spans="1:26" s="166" customFormat="1" x14ac:dyDescent="0.2">
      <c r="A55" s="861" t="s">
        <v>935</v>
      </c>
    </row>
    <row r="56" spans="1:26" s="166" customFormat="1" x14ac:dyDescent="0.2">
      <c r="A56" s="861" t="s">
        <v>936</v>
      </c>
    </row>
    <row r="57" spans="1:26" s="859" customFormat="1" x14ac:dyDescent="0.2">
      <c r="A57" s="167"/>
      <c r="B57" s="167"/>
      <c r="C57" s="171"/>
      <c r="D57" s="171"/>
      <c r="E57" s="199"/>
      <c r="F57" s="199"/>
      <c r="G57" s="199"/>
      <c r="H57" s="199"/>
      <c r="I57" s="199"/>
      <c r="J57" s="199"/>
      <c r="K57" s="167"/>
      <c r="L57" s="167"/>
      <c r="M57" s="167"/>
      <c r="N57" s="167"/>
      <c r="O57" s="167"/>
      <c r="P57" s="167"/>
      <c r="Q57" s="167"/>
      <c r="R57" s="167"/>
      <c r="S57" s="167"/>
      <c r="T57" s="173"/>
      <c r="U57" s="173"/>
      <c r="V57" s="166"/>
      <c r="W57" s="166"/>
      <c r="X57" s="166"/>
      <c r="Y57" s="166"/>
      <c r="Z57" s="166"/>
    </row>
    <row r="58" spans="1:26" s="859" customFormat="1" x14ac:dyDescent="0.2">
      <c r="A58" s="167"/>
      <c r="B58" s="167"/>
      <c r="C58" s="171"/>
      <c r="D58" s="171"/>
      <c r="E58" s="199"/>
      <c r="F58" s="199"/>
      <c r="G58" s="199"/>
      <c r="H58" s="199"/>
      <c r="I58" s="199"/>
      <c r="J58" s="199"/>
      <c r="K58" s="167"/>
      <c r="L58" s="167"/>
      <c r="M58" s="167"/>
      <c r="N58" s="167"/>
      <c r="O58" s="167"/>
      <c r="P58" s="167"/>
      <c r="Q58" s="167"/>
      <c r="R58" s="167"/>
      <c r="S58" s="167"/>
      <c r="T58" s="173"/>
      <c r="U58" s="173"/>
      <c r="V58" s="166"/>
      <c r="W58" s="166"/>
      <c r="X58" s="166"/>
      <c r="Y58" s="166"/>
      <c r="Z58" s="166"/>
    </row>
    <row r="59" spans="1:26" s="859" customFormat="1" x14ac:dyDescent="0.2">
      <c r="A59" s="167"/>
      <c r="B59" s="167"/>
      <c r="C59" s="171"/>
      <c r="D59" s="171"/>
      <c r="E59" s="199"/>
      <c r="F59" s="199"/>
      <c r="G59" s="199"/>
      <c r="H59" s="199"/>
      <c r="I59" s="199"/>
      <c r="J59" s="199"/>
      <c r="K59" s="167"/>
      <c r="L59" s="167"/>
      <c r="M59" s="167"/>
      <c r="N59" s="167"/>
      <c r="O59" s="167"/>
      <c r="P59" s="167"/>
      <c r="Q59" s="167"/>
      <c r="R59" s="167"/>
      <c r="S59" s="167"/>
      <c r="T59" s="173"/>
      <c r="U59" s="173"/>
      <c r="V59" s="166"/>
      <c r="W59" s="166"/>
      <c r="X59" s="166"/>
      <c r="Y59" s="166"/>
      <c r="Z59" s="166"/>
    </row>
    <row r="60" spans="1:26" s="859" customFormat="1" x14ac:dyDescent="0.2">
      <c r="A60" s="167"/>
      <c r="B60" s="167"/>
      <c r="C60" s="171"/>
      <c r="D60" s="171"/>
      <c r="E60" s="199"/>
      <c r="F60" s="199"/>
      <c r="G60" s="199"/>
      <c r="H60" s="199"/>
      <c r="I60" s="199"/>
      <c r="J60" s="199"/>
      <c r="K60" s="167"/>
      <c r="L60" s="167"/>
      <c r="M60" s="167"/>
      <c r="N60" s="167"/>
      <c r="O60" s="167"/>
      <c r="P60" s="167"/>
      <c r="Q60" s="167"/>
      <c r="R60" s="167"/>
      <c r="S60" s="167"/>
      <c r="T60" s="173"/>
      <c r="U60" s="173"/>
      <c r="V60" s="166"/>
      <c r="W60" s="166"/>
      <c r="X60" s="166"/>
      <c r="Y60" s="166"/>
      <c r="Z60" s="166"/>
    </row>
    <row r="61" spans="1:26" s="859" customFormat="1" x14ac:dyDescent="0.2">
      <c r="A61" s="167"/>
      <c r="B61" s="167"/>
      <c r="C61" s="171"/>
      <c r="D61" s="171"/>
      <c r="E61" s="199"/>
      <c r="F61" s="199"/>
      <c r="G61" s="199"/>
      <c r="H61" s="199"/>
      <c r="I61" s="199"/>
      <c r="J61" s="199"/>
      <c r="K61" s="167"/>
      <c r="L61" s="167"/>
      <c r="M61" s="167"/>
      <c r="N61" s="167"/>
      <c r="O61" s="167"/>
      <c r="P61" s="167"/>
      <c r="Q61" s="167"/>
      <c r="R61" s="167"/>
      <c r="S61" s="167"/>
      <c r="T61" s="173"/>
      <c r="U61" s="173"/>
      <c r="V61" s="166"/>
      <c r="W61" s="166"/>
      <c r="X61" s="166"/>
      <c r="Y61" s="166"/>
      <c r="Z61" s="166"/>
    </row>
    <row r="62" spans="1:26" s="859" customFormat="1" x14ac:dyDescent="0.2">
      <c r="A62" s="167"/>
      <c r="B62" s="167"/>
      <c r="C62" s="171"/>
      <c r="D62" s="171"/>
      <c r="E62" s="199"/>
      <c r="F62" s="199"/>
      <c r="G62" s="199"/>
      <c r="H62" s="199"/>
      <c r="I62" s="199"/>
      <c r="J62" s="199"/>
      <c r="K62" s="167"/>
      <c r="L62" s="167"/>
      <c r="M62" s="167"/>
      <c r="N62" s="167"/>
      <c r="O62" s="167"/>
      <c r="P62" s="167"/>
      <c r="Q62" s="167"/>
      <c r="R62" s="167"/>
      <c r="S62" s="167"/>
      <c r="T62" s="173"/>
      <c r="U62" s="173"/>
      <c r="V62" s="166"/>
      <c r="W62" s="166"/>
      <c r="X62" s="166"/>
      <c r="Y62" s="166"/>
      <c r="Z62" s="166"/>
    </row>
    <row r="63" spans="1:26" s="859" customFormat="1" x14ac:dyDescent="0.2">
      <c r="A63" s="167"/>
      <c r="B63" s="167"/>
      <c r="C63" s="171"/>
      <c r="D63" s="171"/>
      <c r="E63" s="199"/>
      <c r="F63" s="199"/>
      <c r="G63" s="199"/>
      <c r="H63" s="199"/>
      <c r="I63" s="199"/>
      <c r="J63" s="199"/>
      <c r="K63" s="167"/>
      <c r="L63" s="167"/>
      <c r="M63" s="167"/>
      <c r="N63" s="167"/>
      <c r="O63" s="167"/>
      <c r="P63" s="167"/>
      <c r="Q63" s="167"/>
      <c r="R63" s="167"/>
      <c r="S63" s="167"/>
      <c r="T63" s="173"/>
      <c r="U63" s="173"/>
      <c r="V63" s="166"/>
      <c r="W63" s="166"/>
      <c r="X63" s="166"/>
      <c r="Y63" s="166"/>
      <c r="Z63" s="166"/>
    </row>
    <row r="64" spans="1:26" s="859" customFormat="1" x14ac:dyDescent="0.2">
      <c r="A64" s="167"/>
      <c r="B64" s="167"/>
      <c r="C64" s="171"/>
      <c r="D64" s="171"/>
      <c r="E64" s="199"/>
      <c r="F64" s="199"/>
      <c r="G64" s="199"/>
      <c r="H64" s="199"/>
      <c r="I64" s="199"/>
      <c r="J64" s="199"/>
      <c r="K64" s="167"/>
      <c r="L64" s="167"/>
      <c r="M64" s="167"/>
      <c r="N64" s="167"/>
      <c r="O64" s="167"/>
      <c r="P64" s="167"/>
      <c r="Q64" s="167"/>
      <c r="R64" s="167"/>
      <c r="S64" s="167"/>
      <c r="T64" s="173"/>
      <c r="U64" s="173"/>
      <c r="V64" s="166"/>
      <c r="W64" s="166"/>
      <c r="X64" s="166"/>
      <c r="Y64" s="166"/>
      <c r="Z64" s="166"/>
    </row>
    <row r="65" spans="1:26" s="859" customFormat="1" x14ac:dyDescent="0.2">
      <c r="A65" s="167"/>
      <c r="B65" s="167"/>
      <c r="C65" s="171"/>
      <c r="D65" s="171"/>
      <c r="E65" s="199"/>
      <c r="F65" s="199"/>
      <c r="G65" s="199"/>
      <c r="H65" s="199"/>
      <c r="I65" s="199"/>
      <c r="J65" s="199"/>
      <c r="K65" s="167"/>
      <c r="L65" s="167"/>
      <c r="M65" s="167"/>
      <c r="N65" s="167"/>
      <c r="O65" s="167"/>
      <c r="P65" s="167"/>
      <c r="Q65" s="167"/>
      <c r="R65" s="167"/>
      <c r="S65" s="167"/>
      <c r="T65" s="173"/>
      <c r="U65" s="173"/>
      <c r="V65" s="166"/>
      <c r="W65" s="166"/>
      <c r="X65" s="166"/>
      <c r="Y65" s="166"/>
      <c r="Z65" s="166"/>
    </row>
    <row r="66" spans="1:26" s="859" customFormat="1" x14ac:dyDescent="0.2">
      <c r="A66" s="167"/>
      <c r="B66" s="167"/>
      <c r="C66" s="171"/>
      <c r="D66" s="171"/>
      <c r="E66" s="199"/>
      <c r="F66" s="199"/>
      <c r="G66" s="199"/>
      <c r="H66" s="199"/>
      <c r="I66" s="199"/>
      <c r="J66" s="199"/>
      <c r="K66" s="167"/>
      <c r="L66" s="167"/>
      <c r="M66" s="167"/>
      <c r="N66" s="167"/>
      <c r="O66" s="167"/>
      <c r="P66" s="167"/>
      <c r="Q66" s="167"/>
      <c r="R66" s="167"/>
      <c r="S66" s="167"/>
      <c r="T66" s="173"/>
      <c r="U66" s="173"/>
      <c r="V66" s="166"/>
      <c r="W66" s="166"/>
      <c r="X66" s="166"/>
      <c r="Y66" s="166"/>
      <c r="Z66" s="166"/>
    </row>
    <row r="67" spans="1:26" s="859" customFormat="1" x14ac:dyDescent="0.2">
      <c r="A67" s="167"/>
      <c r="B67" s="167"/>
      <c r="C67" s="171"/>
      <c r="D67" s="171"/>
      <c r="E67" s="199"/>
      <c r="F67" s="199"/>
      <c r="G67" s="199"/>
      <c r="H67" s="199"/>
      <c r="I67" s="199"/>
      <c r="J67" s="199"/>
      <c r="K67" s="167"/>
      <c r="L67" s="167"/>
      <c r="M67" s="167"/>
      <c r="N67" s="167"/>
      <c r="O67" s="167"/>
      <c r="P67" s="167"/>
      <c r="Q67" s="167"/>
      <c r="R67" s="167"/>
      <c r="S67" s="167"/>
      <c r="T67" s="173"/>
      <c r="U67" s="173"/>
      <c r="V67" s="166"/>
      <c r="W67" s="166"/>
      <c r="X67" s="166"/>
      <c r="Y67" s="166"/>
      <c r="Z67" s="166"/>
    </row>
    <row r="68" spans="1:26" s="859" customFormat="1" x14ac:dyDescent="0.2">
      <c r="A68" s="167"/>
      <c r="B68" s="167"/>
      <c r="C68" s="171"/>
      <c r="D68" s="171"/>
      <c r="E68" s="199"/>
      <c r="F68" s="199"/>
      <c r="G68" s="199"/>
      <c r="H68" s="199"/>
      <c r="I68" s="199"/>
      <c r="J68" s="199"/>
      <c r="K68" s="167"/>
      <c r="L68" s="167"/>
      <c r="M68" s="167"/>
      <c r="N68" s="167"/>
      <c r="O68" s="167"/>
      <c r="P68" s="167"/>
      <c r="Q68" s="167"/>
      <c r="R68" s="167"/>
      <c r="S68" s="167"/>
      <c r="T68" s="173"/>
      <c r="U68" s="173"/>
      <c r="V68" s="166"/>
      <c r="W68" s="166"/>
      <c r="X68" s="166"/>
      <c r="Y68" s="166"/>
      <c r="Z68" s="166"/>
    </row>
    <row r="69" spans="1:26" s="859" customFormat="1" x14ac:dyDescent="0.2">
      <c r="A69" s="167"/>
      <c r="B69" s="167"/>
      <c r="C69" s="171"/>
      <c r="D69" s="171"/>
      <c r="E69" s="199"/>
      <c r="F69" s="199"/>
      <c r="G69" s="199"/>
      <c r="H69" s="199"/>
      <c r="I69" s="199"/>
      <c r="J69" s="199"/>
      <c r="K69" s="167"/>
      <c r="L69" s="167"/>
      <c r="M69" s="167"/>
      <c r="N69" s="167"/>
      <c r="O69" s="167"/>
      <c r="P69" s="167"/>
      <c r="Q69" s="167"/>
      <c r="R69" s="167"/>
      <c r="S69" s="167"/>
      <c r="T69" s="173"/>
      <c r="U69" s="173"/>
      <c r="V69" s="166"/>
      <c r="W69" s="166"/>
      <c r="X69" s="166"/>
      <c r="Y69" s="166"/>
      <c r="Z69" s="166"/>
    </row>
    <row r="70" spans="1:26" s="859" customFormat="1" x14ac:dyDescent="0.2">
      <c r="A70" s="167"/>
      <c r="B70" s="167"/>
      <c r="C70" s="171"/>
      <c r="D70" s="171"/>
      <c r="E70" s="199"/>
      <c r="F70" s="199"/>
      <c r="G70" s="199"/>
      <c r="H70" s="199"/>
      <c r="I70" s="199"/>
      <c r="J70" s="199"/>
      <c r="K70" s="167"/>
      <c r="L70" s="167"/>
      <c r="M70" s="167"/>
      <c r="N70" s="167"/>
      <c r="O70" s="167"/>
      <c r="P70" s="167"/>
      <c r="Q70" s="167"/>
      <c r="R70" s="167"/>
      <c r="S70" s="167"/>
      <c r="T70" s="173"/>
      <c r="U70" s="173"/>
      <c r="V70" s="166"/>
      <c r="W70" s="166"/>
      <c r="X70" s="166"/>
      <c r="Y70" s="166"/>
      <c r="Z70" s="166"/>
    </row>
    <row r="71" spans="1:26" s="859" customFormat="1" x14ac:dyDescent="0.2">
      <c r="A71" s="167"/>
      <c r="B71" s="167"/>
      <c r="C71" s="171"/>
      <c r="D71" s="171"/>
      <c r="E71" s="199"/>
      <c r="F71" s="199"/>
      <c r="G71" s="199"/>
      <c r="H71" s="199"/>
      <c r="I71" s="199"/>
      <c r="J71" s="199"/>
      <c r="K71" s="167"/>
      <c r="L71" s="167"/>
      <c r="M71" s="167"/>
      <c r="N71" s="167"/>
      <c r="O71" s="167"/>
      <c r="P71" s="167"/>
      <c r="Q71" s="167"/>
      <c r="R71" s="167"/>
      <c r="S71" s="167"/>
      <c r="T71" s="173"/>
      <c r="U71" s="173"/>
      <c r="V71" s="166"/>
      <c r="W71" s="166"/>
      <c r="X71" s="166"/>
      <c r="Y71" s="166"/>
      <c r="Z71" s="166"/>
    </row>
    <row r="72" spans="1:26" s="859" customFormat="1" x14ac:dyDescent="0.2">
      <c r="A72" s="167"/>
      <c r="B72" s="167"/>
      <c r="C72" s="171"/>
      <c r="D72" s="171"/>
      <c r="E72" s="199"/>
      <c r="F72" s="199"/>
      <c r="G72" s="199"/>
      <c r="H72" s="199"/>
      <c r="I72" s="199"/>
      <c r="J72" s="199"/>
      <c r="K72" s="167"/>
      <c r="L72" s="167"/>
      <c r="M72" s="167"/>
      <c r="N72" s="167"/>
      <c r="O72" s="167"/>
      <c r="P72" s="167"/>
      <c r="Q72" s="167"/>
      <c r="R72" s="167"/>
      <c r="S72" s="167"/>
      <c r="T72" s="173"/>
      <c r="U72" s="173"/>
      <c r="V72" s="166"/>
      <c r="W72" s="166"/>
      <c r="X72" s="166"/>
      <c r="Y72" s="166"/>
      <c r="Z72" s="166"/>
    </row>
    <row r="73" spans="1:26" s="859" customFormat="1" x14ac:dyDescent="0.2">
      <c r="A73" s="167"/>
      <c r="B73" s="167"/>
      <c r="C73" s="171"/>
      <c r="D73" s="171"/>
      <c r="E73" s="199"/>
      <c r="F73" s="199"/>
      <c r="G73" s="199"/>
      <c r="H73" s="199"/>
      <c r="I73" s="199"/>
      <c r="J73" s="199"/>
      <c r="K73" s="167"/>
      <c r="L73" s="167"/>
      <c r="M73" s="167"/>
      <c r="N73" s="167"/>
      <c r="O73" s="167"/>
      <c r="P73" s="167"/>
      <c r="Q73" s="167"/>
      <c r="R73" s="167"/>
      <c r="S73" s="167"/>
      <c r="T73" s="173"/>
      <c r="U73" s="173"/>
      <c r="V73" s="166"/>
      <c r="W73" s="166"/>
      <c r="X73" s="166"/>
      <c r="Y73" s="166"/>
      <c r="Z73" s="166"/>
    </row>
    <row r="74" spans="1:26" s="859" customFormat="1" x14ac:dyDescent="0.2">
      <c r="A74" s="167"/>
      <c r="B74" s="167"/>
      <c r="C74" s="171"/>
      <c r="D74" s="171"/>
      <c r="E74" s="199"/>
      <c r="F74" s="199"/>
      <c r="G74" s="199"/>
      <c r="H74" s="199"/>
      <c r="I74" s="199"/>
      <c r="J74" s="199"/>
      <c r="K74" s="167"/>
      <c r="L74" s="167"/>
      <c r="M74" s="167"/>
      <c r="N74" s="167"/>
      <c r="O74" s="167"/>
      <c r="P74" s="167"/>
      <c r="Q74" s="167"/>
      <c r="R74" s="167"/>
      <c r="S74" s="167"/>
      <c r="T74" s="173"/>
      <c r="U74" s="173"/>
      <c r="V74" s="166"/>
      <c r="W74" s="166"/>
      <c r="X74" s="166"/>
      <c r="Y74" s="166"/>
      <c r="Z74" s="166"/>
    </row>
    <row r="75" spans="1:26" s="859" customFormat="1" x14ac:dyDescent="0.2">
      <c r="A75" s="167"/>
      <c r="B75" s="167"/>
      <c r="C75" s="171"/>
      <c r="D75" s="171"/>
      <c r="E75" s="199"/>
      <c r="F75" s="199"/>
      <c r="G75" s="199"/>
      <c r="H75" s="199"/>
      <c r="I75" s="199"/>
      <c r="J75" s="199"/>
      <c r="K75" s="167"/>
      <c r="L75" s="167"/>
      <c r="M75" s="167"/>
      <c r="N75" s="167"/>
      <c r="O75" s="167"/>
      <c r="P75" s="167"/>
      <c r="Q75" s="167"/>
      <c r="R75" s="167"/>
      <c r="S75" s="167"/>
      <c r="T75" s="173"/>
      <c r="U75" s="173"/>
      <c r="V75" s="166"/>
      <c r="W75" s="166"/>
      <c r="X75" s="166"/>
      <c r="Y75" s="166"/>
      <c r="Z75" s="166"/>
    </row>
    <row r="76" spans="1:26" s="859" customFormat="1" x14ac:dyDescent="0.2">
      <c r="A76" s="167"/>
      <c r="B76" s="167"/>
      <c r="C76" s="171"/>
      <c r="D76" s="171"/>
      <c r="E76" s="199"/>
      <c r="F76" s="199"/>
      <c r="G76" s="199"/>
      <c r="H76" s="199"/>
      <c r="I76" s="199"/>
      <c r="J76" s="199"/>
      <c r="K76" s="167"/>
      <c r="L76" s="167"/>
      <c r="M76" s="167"/>
      <c r="N76" s="167"/>
      <c r="O76" s="167"/>
      <c r="P76" s="167"/>
      <c r="Q76" s="167"/>
      <c r="R76" s="167"/>
      <c r="S76" s="167"/>
      <c r="T76" s="173"/>
      <c r="U76" s="173"/>
      <c r="V76" s="166"/>
      <c r="W76" s="166"/>
      <c r="X76" s="166"/>
      <c r="Y76" s="166"/>
      <c r="Z76" s="166"/>
    </row>
    <row r="77" spans="1:26" s="859" customFormat="1" x14ac:dyDescent="0.2">
      <c r="A77" s="167"/>
      <c r="B77" s="167"/>
      <c r="C77" s="171"/>
      <c r="D77" s="171"/>
      <c r="E77" s="199"/>
      <c r="F77" s="199"/>
      <c r="G77" s="199"/>
      <c r="H77" s="199"/>
      <c r="I77" s="199"/>
      <c r="J77" s="199"/>
      <c r="K77" s="167"/>
      <c r="L77" s="167"/>
      <c r="M77" s="167"/>
      <c r="N77" s="167"/>
      <c r="O77" s="167"/>
      <c r="P77" s="167"/>
      <c r="Q77" s="167"/>
      <c r="R77" s="167"/>
      <c r="S77" s="167"/>
      <c r="T77" s="173"/>
      <c r="U77" s="173"/>
      <c r="V77" s="166"/>
      <c r="W77" s="166"/>
      <c r="X77" s="166"/>
      <c r="Y77" s="166"/>
      <c r="Z77" s="166"/>
    </row>
    <row r="78" spans="1:26" s="859" customFormat="1" x14ac:dyDescent="0.2">
      <c r="A78" s="167"/>
      <c r="B78" s="167"/>
      <c r="C78" s="171"/>
      <c r="D78" s="171"/>
      <c r="E78" s="199"/>
      <c r="F78" s="199"/>
      <c r="G78" s="199"/>
      <c r="H78" s="199"/>
      <c r="I78" s="199"/>
      <c r="J78" s="199"/>
      <c r="K78" s="167"/>
      <c r="L78" s="167"/>
      <c r="M78" s="167"/>
      <c r="N78" s="167"/>
      <c r="O78" s="167"/>
      <c r="P78" s="167"/>
      <c r="Q78" s="167"/>
      <c r="R78" s="167"/>
      <c r="S78" s="167"/>
      <c r="T78" s="173"/>
      <c r="U78" s="173"/>
      <c r="V78" s="166"/>
      <c r="W78" s="166"/>
      <c r="X78" s="166"/>
      <c r="Y78" s="166"/>
      <c r="Z78" s="166"/>
    </row>
    <row r="79" spans="1:26" s="859" customFormat="1" x14ac:dyDescent="0.2">
      <c r="A79" s="167"/>
      <c r="B79" s="167"/>
      <c r="C79" s="171"/>
      <c r="D79" s="171"/>
      <c r="E79" s="199"/>
      <c r="F79" s="199"/>
      <c r="G79" s="199"/>
      <c r="H79" s="199"/>
      <c r="I79" s="199"/>
      <c r="J79" s="199"/>
      <c r="K79" s="167"/>
      <c r="L79" s="167"/>
      <c r="M79" s="167"/>
      <c r="N79" s="167"/>
      <c r="O79" s="167"/>
      <c r="P79" s="167"/>
      <c r="Q79" s="167"/>
      <c r="R79" s="167"/>
      <c r="S79" s="167"/>
      <c r="T79" s="173"/>
      <c r="U79" s="173"/>
      <c r="V79" s="166"/>
      <c r="W79" s="166"/>
      <c r="X79" s="166"/>
      <c r="Y79" s="166"/>
      <c r="Z79" s="166"/>
    </row>
    <row r="80" spans="1:26" s="859" customFormat="1" x14ac:dyDescent="0.2">
      <c r="A80" s="167"/>
      <c r="B80" s="167"/>
      <c r="C80" s="171"/>
      <c r="D80" s="171"/>
      <c r="E80" s="199"/>
      <c r="F80" s="199"/>
      <c r="G80" s="199"/>
      <c r="H80" s="199"/>
      <c r="I80" s="199"/>
      <c r="J80" s="199"/>
      <c r="K80" s="167"/>
      <c r="L80" s="167"/>
      <c r="M80" s="167"/>
      <c r="N80" s="167"/>
      <c r="O80" s="167"/>
      <c r="P80" s="167"/>
      <c r="Q80" s="167"/>
      <c r="R80" s="167"/>
      <c r="S80" s="167"/>
      <c r="T80" s="173"/>
      <c r="U80" s="173"/>
      <c r="V80" s="166"/>
      <c r="W80" s="166"/>
      <c r="X80" s="166"/>
      <c r="Y80" s="166"/>
      <c r="Z80" s="166"/>
    </row>
    <row r="81" spans="1:26" s="859" customFormat="1" x14ac:dyDescent="0.2">
      <c r="A81" s="167"/>
      <c r="B81" s="167"/>
      <c r="C81" s="171"/>
      <c r="D81" s="171"/>
      <c r="E81" s="199"/>
      <c r="F81" s="199"/>
      <c r="G81" s="199"/>
      <c r="H81" s="199"/>
      <c r="I81" s="199"/>
      <c r="J81" s="199"/>
      <c r="K81" s="167"/>
      <c r="L81" s="167"/>
      <c r="M81" s="167"/>
      <c r="N81" s="167"/>
      <c r="O81" s="167"/>
      <c r="P81" s="167"/>
      <c r="Q81" s="167"/>
      <c r="R81" s="167"/>
      <c r="S81" s="167"/>
      <c r="T81" s="173"/>
      <c r="U81" s="173"/>
      <c r="V81" s="166"/>
      <c r="W81" s="166"/>
      <c r="X81" s="166"/>
      <c r="Y81" s="166"/>
      <c r="Z81" s="166"/>
    </row>
    <row r="82" spans="1:26" s="859" customFormat="1" x14ac:dyDescent="0.2">
      <c r="A82" s="167"/>
      <c r="B82" s="167"/>
      <c r="C82" s="171"/>
      <c r="D82" s="171"/>
      <c r="E82" s="199"/>
      <c r="F82" s="199"/>
      <c r="G82" s="199"/>
      <c r="H82" s="199"/>
      <c r="I82" s="199"/>
      <c r="J82" s="199"/>
      <c r="K82" s="167"/>
      <c r="L82" s="167"/>
      <c r="M82" s="167"/>
      <c r="N82" s="167"/>
      <c r="O82" s="167"/>
      <c r="P82" s="167"/>
      <c r="Q82" s="167"/>
      <c r="R82" s="167"/>
      <c r="S82" s="167"/>
      <c r="T82" s="173"/>
      <c r="U82" s="173"/>
      <c r="V82" s="166"/>
      <c r="W82" s="166"/>
      <c r="X82" s="166"/>
      <c r="Y82" s="166"/>
      <c r="Z82" s="166"/>
    </row>
    <row r="83" spans="1:26" s="859" customFormat="1" x14ac:dyDescent="0.2">
      <c r="A83" s="167"/>
      <c r="B83" s="167"/>
      <c r="C83" s="171"/>
      <c r="D83" s="171"/>
      <c r="E83" s="199"/>
      <c r="F83" s="199"/>
      <c r="G83" s="199"/>
      <c r="H83" s="199"/>
      <c r="I83" s="199"/>
      <c r="J83" s="199"/>
      <c r="K83" s="167"/>
      <c r="L83" s="167"/>
      <c r="M83" s="167"/>
      <c r="N83" s="167"/>
      <c r="O83" s="167"/>
      <c r="P83" s="167"/>
      <c r="Q83" s="167"/>
      <c r="R83" s="167"/>
      <c r="S83" s="167"/>
      <c r="T83" s="173"/>
      <c r="U83" s="173"/>
      <c r="V83" s="166"/>
      <c r="W83" s="166"/>
      <c r="X83" s="166"/>
      <c r="Y83" s="166"/>
      <c r="Z83" s="166"/>
    </row>
    <row r="84" spans="1:26" s="859" customFormat="1" x14ac:dyDescent="0.2">
      <c r="A84" s="167"/>
      <c r="B84" s="167"/>
      <c r="C84" s="171"/>
      <c r="D84" s="171"/>
      <c r="E84" s="199"/>
      <c r="F84" s="199"/>
      <c r="G84" s="199"/>
      <c r="H84" s="199"/>
      <c r="I84" s="199"/>
      <c r="J84" s="199"/>
      <c r="K84" s="167"/>
      <c r="L84" s="167"/>
      <c r="M84" s="167"/>
      <c r="N84" s="167"/>
      <c r="O84" s="167"/>
      <c r="P84" s="167"/>
      <c r="Q84" s="167"/>
      <c r="R84" s="167"/>
      <c r="S84" s="167"/>
      <c r="T84" s="173"/>
      <c r="U84" s="173"/>
      <c r="V84" s="166"/>
      <c r="W84" s="166"/>
      <c r="X84" s="166"/>
      <c r="Y84" s="166"/>
      <c r="Z84" s="166"/>
    </row>
    <row r="85" spans="1:26" s="859" customFormat="1" x14ac:dyDescent="0.2">
      <c r="A85" s="167"/>
      <c r="B85" s="167"/>
      <c r="C85" s="171"/>
      <c r="D85" s="171"/>
      <c r="E85" s="199"/>
      <c r="F85" s="199"/>
      <c r="G85" s="199"/>
      <c r="H85" s="199"/>
      <c r="I85" s="199"/>
      <c r="J85" s="199"/>
      <c r="K85" s="167"/>
      <c r="L85" s="167"/>
      <c r="M85" s="167"/>
      <c r="N85" s="167"/>
      <c r="O85" s="167"/>
      <c r="P85" s="167"/>
      <c r="Q85" s="167"/>
      <c r="R85" s="167"/>
      <c r="S85" s="167"/>
      <c r="T85" s="173"/>
      <c r="U85" s="173"/>
      <c r="V85" s="166"/>
      <c r="W85" s="166"/>
      <c r="X85" s="166"/>
      <c r="Y85" s="166"/>
      <c r="Z85" s="166"/>
    </row>
  </sheetData>
  <mergeCells count="7">
    <mergeCell ref="D1:D2"/>
    <mergeCell ref="H1:H2"/>
    <mergeCell ref="I2:K2"/>
    <mergeCell ref="A1:A2"/>
    <mergeCell ref="B1:B2"/>
    <mergeCell ref="C1:C2"/>
    <mergeCell ref="G1:G2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42">
    <tabColor theme="9" tint="0.59999389629810485"/>
    <pageSetUpPr fitToPage="1"/>
  </sheetPr>
  <dimension ref="A1:I62"/>
  <sheetViews>
    <sheetView showZeros="0" workbookViewId="0">
      <selection activeCell="C18" sqref="B6:I30"/>
    </sheetView>
  </sheetViews>
  <sheetFormatPr defaultColWidth="9" defaultRowHeight="12" x14ac:dyDescent="0.15"/>
  <cols>
    <col min="1" max="3" width="9.875" style="859" customWidth="1"/>
    <col min="4" max="4" width="11.25" style="859" customWidth="1"/>
    <col min="5" max="5" width="14" style="859" customWidth="1"/>
    <col min="6" max="6" width="11.75" style="886" customWidth="1"/>
    <col min="7" max="7" width="9.875" style="884" customWidth="1"/>
    <col min="8" max="8" width="9" style="885"/>
    <col min="9" max="9" width="30.375" style="859" bestFit="1" customWidth="1"/>
    <col min="10" max="16384" width="9" style="859"/>
  </cols>
  <sheetData>
    <row r="1" spans="1:9" ht="21.95" customHeight="1" x14ac:dyDescent="0.15">
      <c r="A1" s="3061" t="s">
        <v>954</v>
      </c>
      <c r="B1" s="3062"/>
      <c r="C1" s="3062"/>
      <c r="D1" s="3062"/>
      <c r="E1" s="3062"/>
      <c r="F1" s="3062"/>
      <c r="G1" s="3062"/>
      <c r="H1" s="3062"/>
      <c r="I1" s="3063"/>
    </row>
    <row r="2" spans="1:9" ht="35.1" customHeight="1" x14ac:dyDescent="0.15">
      <c r="A2" s="907" t="s">
        <v>955</v>
      </c>
      <c r="B2" s="3064" t="s">
        <v>956</v>
      </c>
      <c r="C2" s="3064"/>
      <c r="D2" s="908" t="s">
        <v>957</v>
      </c>
      <c r="E2" s="908" t="s">
        <v>958</v>
      </c>
      <c r="F2" s="909" t="s">
        <v>959</v>
      </c>
      <c r="G2" s="910" t="s">
        <v>960</v>
      </c>
      <c r="H2" s="911" t="s">
        <v>961</v>
      </c>
      <c r="I2" s="908" t="s">
        <v>962</v>
      </c>
    </row>
    <row r="3" spans="1:9" ht="14.25" x14ac:dyDescent="0.15">
      <c r="A3" s="3045" t="s">
        <v>963</v>
      </c>
      <c r="B3" s="3046"/>
      <c r="C3" s="3047"/>
      <c r="D3" s="3048"/>
      <c r="E3" s="3048"/>
      <c r="F3" s="3048"/>
      <c r="G3" s="3048"/>
      <c r="H3" s="3048"/>
      <c r="I3" s="3049"/>
    </row>
    <row r="4" spans="1:9" ht="12.75" x14ac:dyDescent="0.15">
      <c r="A4" s="3050" t="s">
        <v>1008</v>
      </c>
      <c r="B4" s="912">
        <v>0</v>
      </c>
      <c r="C4" s="912">
        <v>0.1</v>
      </c>
      <c r="D4" s="3052">
        <v>1.3</v>
      </c>
      <c r="E4" s="3054" t="s">
        <v>964</v>
      </c>
      <c r="F4" s="3055">
        <v>1753</v>
      </c>
      <c r="G4" s="3057">
        <v>17.7</v>
      </c>
      <c r="H4" s="3059">
        <v>16.8</v>
      </c>
      <c r="I4" s="907" t="s">
        <v>965</v>
      </c>
    </row>
    <row r="5" spans="1:9" ht="12.75" x14ac:dyDescent="0.15">
      <c r="A5" s="3051"/>
      <c r="B5" s="912">
        <v>0.1</v>
      </c>
      <c r="C5" s="912">
        <v>2</v>
      </c>
      <c r="D5" s="3053"/>
      <c r="E5" s="2462"/>
      <c r="F5" s="3056"/>
      <c r="G5" s="3058"/>
      <c r="H5" s="3060"/>
      <c r="I5" s="907" t="s">
        <v>966</v>
      </c>
    </row>
    <row r="6" spans="1:9" ht="14.25" x14ac:dyDescent="0.15">
      <c r="A6" s="3045" t="s">
        <v>967</v>
      </c>
      <c r="B6" s="3046"/>
      <c r="C6" s="3047"/>
      <c r="D6" s="3048"/>
      <c r="E6" s="3048"/>
      <c r="F6" s="3048"/>
      <c r="G6" s="3048"/>
      <c r="H6" s="3048"/>
      <c r="I6" s="3049"/>
    </row>
    <row r="7" spans="1:9" ht="15" customHeight="1" x14ac:dyDescent="0.15">
      <c r="A7" s="3050" t="s">
        <v>1009</v>
      </c>
      <c r="B7" s="912">
        <v>0</v>
      </c>
      <c r="C7" s="912">
        <v>0.1</v>
      </c>
      <c r="D7" s="3052">
        <v>0.9</v>
      </c>
      <c r="E7" s="3054" t="s">
        <v>964</v>
      </c>
      <c r="F7" s="3055">
        <v>1762</v>
      </c>
      <c r="G7" s="3057">
        <v>16.5</v>
      </c>
      <c r="H7" s="3059">
        <v>18.2</v>
      </c>
      <c r="I7" s="907" t="s">
        <v>965</v>
      </c>
    </row>
    <row r="8" spans="1:9" ht="12.75" x14ac:dyDescent="0.15">
      <c r="A8" s="3051"/>
      <c r="B8" s="912">
        <v>0.1</v>
      </c>
      <c r="C8" s="912">
        <v>2</v>
      </c>
      <c r="D8" s="3053"/>
      <c r="E8" s="2462"/>
      <c r="F8" s="3056"/>
      <c r="G8" s="3058"/>
      <c r="H8" s="3060"/>
      <c r="I8" s="907" t="s">
        <v>966</v>
      </c>
    </row>
    <row r="9" spans="1:9" ht="14.25" x14ac:dyDescent="0.15">
      <c r="A9" s="3045" t="s">
        <v>968</v>
      </c>
      <c r="B9" s="3046"/>
      <c r="C9" s="3047"/>
      <c r="D9" s="3048"/>
      <c r="E9" s="3048"/>
      <c r="F9" s="3048"/>
      <c r="G9" s="3048"/>
      <c r="H9" s="3048"/>
      <c r="I9" s="3049"/>
    </row>
    <row r="10" spans="1:9" ht="12.75" x14ac:dyDescent="0.15">
      <c r="A10" s="3050" t="s">
        <v>1010</v>
      </c>
      <c r="B10" s="912">
        <v>0</v>
      </c>
      <c r="C10" s="912">
        <v>0.1</v>
      </c>
      <c r="D10" s="3052">
        <v>0.6</v>
      </c>
      <c r="E10" s="3054" t="s">
        <v>964</v>
      </c>
      <c r="F10" s="3055">
        <v>1600</v>
      </c>
      <c r="G10" s="3057">
        <v>19.7</v>
      </c>
      <c r="H10" s="3059">
        <v>12.6</v>
      </c>
      <c r="I10" s="907" t="s">
        <v>965</v>
      </c>
    </row>
    <row r="11" spans="1:9" ht="12.75" x14ac:dyDescent="0.15">
      <c r="A11" s="3051"/>
      <c r="B11" s="912">
        <v>0.1</v>
      </c>
      <c r="C11" s="912">
        <v>2</v>
      </c>
      <c r="D11" s="3053"/>
      <c r="E11" s="2462"/>
      <c r="F11" s="3056"/>
      <c r="G11" s="3058"/>
      <c r="H11" s="3060"/>
      <c r="I11" s="907" t="s">
        <v>966</v>
      </c>
    </row>
    <row r="12" spans="1:9" ht="14.25" x14ac:dyDescent="0.15">
      <c r="A12" s="3045" t="s">
        <v>969</v>
      </c>
      <c r="B12" s="3046"/>
      <c r="C12" s="3047"/>
      <c r="D12" s="3048"/>
      <c r="E12" s="3048"/>
      <c r="F12" s="3048"/>
      <c r="G12" s="3048"/>
      <c r="H12" s="3048"/>
      <c r="I12" s="3049"/>
    </row>
    <row r="13" spans="1:9" ht="12.75" x14ac:dyDescent="0.15">
      <c r="A13" s="3050" t="s">
        <v>1011</v>
      </c>
      <c r="B13" s="912">
        <v>0</v>
      </c>
      <c r="C13" s="912">
        <v>0.1</v>
      </c>
      <c r="D13" s="3052">
        <v>1.2</v>
      </c>
      <c r="E13" s="3054" t="s">
        <v>964</v>
      </c>
      <c r="F13" s="3055">
        <v>1600</v>
      </c>
      <c r="G13" s="3057">
        <v>20.5</v>
      </c>
      <c r="H13" s="3059">
        <v>11.9</v>
      </c>
      <c r="I13" s="907" t="s">
        <v>965</v>
      </c>
    </row>
    <row r="14" spans="1:9" ht="12.75" x14ac:dyDescent="0.15">
      <c r="A14" s="3051"/>
      <c r="B14" s="912">
        <v>0.1</v>
      </c>
      <c r="C14" s="912">
        <v>2</v>
      </c>
      <c r="D14" s="3053"/>
      <c r="E14" s="2462"/>
      <c r="F14" s="3056"/>
      <c r="G14" s="3058"/>
      <c r="H14" s="3060"/>
      <c r="I14" s="907" t="s">
        <v>966</v>
      </c>
    </row>
    <row r="15" spans="1:9" ht="14.25" x14ac:dyDescent="0.15">
      <c r="A15" s="3045" t="s">
        <v>970</v>
      </c>
      <c r="B15" s="3046"/>
      <c r="C15" s="3047"/>
      <c r="D15" s="3048"/>
      <c r="E15" s="3048"/>
      <c r="F15" s="3048"/>
      <c r="G15" s="3048"/>
      <c r="H15" s="3048"/>
      <c r="I15" s="3049"/>
    </row>
    <row r="16" spans="1:9" ht="12.75" x14ac:dyDescent="0.15">
      <c r="A16" s="3050" t="s">
        <v>1012</v>
      </c>
      <c r="B16" s="912">
        <v>0</v>
      </c>
      <c r="C16" s="912">
        <v>0.1</v>
      </c>
      <c r="D16" s="913">
        <v>1.6</v>
      </c>
      <c r="E16" s="3054" t="s">
        <v>964</v>
      </c>
      <c r="F16" s="3055">
        <v>1610</v>
      </c>
      <c r="G16" s="3057">
        <v>22</v>
      </c>
      <c r="H16" s="3059">
        <v>13.6</v>
      </c>
      <c r="I16" s="907" t="s">
        <v>965</v>
      </c>
    </row>
    <row r="17" spans="1:9" ht="12.75" x14ac:dyDescent="0.15">
      <c r="A17" s="3051"/>
      <c r="B17" s="912">
        <v>0.1</v>
      </c>
      <c r="C17" s="912">
        <v>2</v>
      </c>
      <c r="D17" s="914"/>
      <c r="E17" s="2462"/>
      <c r="F17" s="3056"/>
      <c r="G17" s="3058"/>
      <c r="H17" s="3060"/>
      <c r="I17" s="907" t="s">
        <v>966</v>
      </c>
    </row>
    <row r="18" spans="1:9" ht="14.25" x14ac:dyDescent="0.15">
      <c r="A18" s="3045" t="s">
        <v>971</v>
      </c>
      <c r="B18" s="3046"/>
      <c r="C18" s="3047"/>
      <c r="D18" s="3048"/>
      <c r="E18" s="3048"/>
      <c r="F18" s="3048"/>
      <c r="G18" s="3048"/>
      <c r="H18" s="3048"/>
      <c r="I18" s="3049"/>
    </row>
    <row r="19" spans="1:9" ht="12.75" x14ac:dyDescent="0.15">
      <c r="A19" s="3050" t="s">
        <v>1013</v>
      </c>
      <c r="B19" s="912">
        <v>0</v>
      </c>
      <c r="C19" s="912">
        <v>0.1</v>
      </c>
      <c r="D19" s="3065">
        <v>1.1299999999999999</v>
      </c>
      <c r="E19" s="3065" t="s">
        <v>602</v>
      </c>
      <c r="F19" s="3066" t="s">
        <v>602</v>
      </c>
      <c r="G19" s="3067" t="s">
        <v>602</v>
      </c>
      <c r="H19" s="3068" t="s">
        <v>602</v>
      </c>
      <c r="I19" s="907" t="s">
        <v>965</v>
      </c>
    </row>
    <row r="20" spans="1:9" ht="12.75" x14ac:dyDescent="0.15">
      <c r="A20" s="3051"/>
      <c r="B20" s="912">
        <v>0.1</v>
      </c>
      <c r="C20" s="912">
        <v>2</v>
      </c>
      <c r="D20" s="3065"/>
      <c r="E20" s="3065"/>
      <c r="F20" s="3066"/>
      <c r="G20" s="3067"/>
      <c r="H20" s="3068"/>
      <c r="I20" s="907" t="s">
        <v>966</v>
      </c>
    </row>
    <row r="21" spans="1:9" ht="14.25" x14ac:dyDescent="0.15">
      <c r="A21" s="3045" t="s">
        <v>971</v>
      </c>
      <c r="B21" s="3046"/>
      <c r="C21" s="3047"/>
      <c r="D21" s="3048"/>
      <c r="E21" s="3048"/>
      <c r="F21" s="3048"/>
      <c r="G21" s="3048"/>
      <c r="H21" s="3048"/>
      <c r="I21" s="3049"/>
    </row>
    <row r="22" spans="1:9" ht="12.75" x14ac:dyDescent="0.15">
      <c r="A22" s="3050" t="s">
        <v>1014</v>
      </c>
      <c r="B22" s="912">
        <v>0</v>
      </c>
      <c r="C22" s="912">
        <v>0.1</v>
      </c>
      <c r="D22" s="3069">
        <v>1.1000000000000001</v>
      </c>
      <c r="E22" s="3065" t="s">
        <v>964</v>
      </c>
      <c r="F22" s="3066">
        <v>1558</v>
      </c>
      <c r="G22" s="3067">
        <v>26.1</v>
      </c>
      <c r="H22" s="3068">
        <v>15.4</v>
      </c>
      <c r="I22" s="907" t="s">
        <v>965</v>
      </c>
    </row>
    <row r="23" spans="1:9" ht="12.75" x14ac:dyDescent="0.15">
      <c r="A23" s="3051"/>
      <c r="B23" s="912">
        <v>0.1</v>
      </c>
      <c r="C23" s="912">
        <v>2</v>
      </c>
      <c r="D23" s="3069"/>
      <c r="E23" s="3065"/>
      <c r="F23" s="3066"/>
      <c r="G23" s="3067"/>
      <c r="H23" s="3068"/>
      <c r="I23" s="907" t="s">
        <v>966</v>
      </c>
    </row>
    <row r="24" spans="1:9" ht="14.25" x14ac:dyDescent="0.15">
      <c r="A24" s="3045" t="s">
        <v>971</v>
      </c>
      <c r="B24" s="3046"/>
      <c r="C24" s="3047"/>
      <c r="D24" s="3048"/>
      <c r="E24" s="3048"/>
      <c r="F24" s="3048"/>
      <c r="G24" s="3048"/>
      <c r="H24" s="3048"/>
      <c r="I24" s="3049"/>
    </row>
    <row r="25" spans="1:9" ht="12.75" x14ac:dyDescent="0.15">
      <c r="A25" s="3050" t="s">
        <v>1015</v>
      </c>
      <c r="B25" s="912">
        <v>0</v>
      </c>
      <c r="C25" s="912">
        <v>0.1</v>
      </c>
      <c r="D25" s="3065">
        <v>1.1499999999999999</v>
      </c>
      <c r="E25" s="3065" t="s">
        <v>602</v>
      </c>
      <c r="F25" s="3066" t="s">
        <v>602</v>
      </c>
      <c r="G25" s="3067" t="s">
        <v>602</v>
      </c>
      <c r="H25" s="3068" t="s">
        <v>602</v>
      </c>
      <c r="I25" s="907" t="s">
        <v>965</v>
      </c>
    </row>
    <row r="26" spans="1:9" ht="12.75" x14ac:dyDescent="0.15">
      <c r="A26" s="3051"/>
      <c r="B26" s="912">
        <v>0.1</v>
      </c>
      <c r="C26" s="912">
        <v>2</v>
      </c>
      <c r="D26" s="3065"/>
      <c r="E26" s="3065"/>
      <c r="F26" s="3066"/>
      <c r="G26" s="3067"/>
      <c r="H26" s="3068"/>
      <c r="I26" s="907" t="s">
        <v>966</v>
      </c>
    </row>
    <row r="27" spans="1:9" ht="14.25" x14ac:dyDescent="0.15">
      <c r="A27" s="3045" t="s">
        <v>972</v>
      </c>
      <c r="B27" s="3046"/>
      <c r="C27" s="3047"/>
      <c r="D27" s="3048"/>
      <c r="E27" s="3048"/>
      <c r="F27" s="3048"/>
      <c r="G27" s="3048"/>
      <c r="H27" s="3048"/>
      <c r="I27" s="3049"/>
    </row>
    <row r="28" spans="1:9" ht="12.75" x14ac:dyDescent="0.15">
      <c r="A28" s="3050" t="s">
        <v>1016</v>
      </c>
      <c r="B28" s="912">
        <v>0</v>
      </c>
      <c r="C28" s="912">
        <v>0.1</v>
      </c>
      <c r="D28" s="3069">
        <v>1.2</v>
      </c>
      <c r="E28" s="3065" t="s">
        <v>964</v>
      </c>
      <c r="F28" s="3066">
        <v>1590</v>
      </c>
      <c r="G28" s="3067">
        <v>25.8</v>
      </c>
      <c r="H28" s="3068">
        <v>16.100000000000001</v>
      </c>
      <c r="I28" s="907" t="s">
        <v>965</v>
      </c>
    </row>
    <row r="29" spans="1:9" ht="12.75" x14ac:dyDescent="0.15">
      <c r="A29" s="3051"/>
      <c r="B29" s="912">
        <v>0.1</v>
      </c>
      <c r="C29" s="912">
        <v>2</v>
      </c>
      <c r="D29" s="3069"/>
      <c r="E29" s="3065"/>
      <c r="F29" s="3066"/>
      <c r="G29" s="3067"/>
      <c r="H29" s="3068"/>
      <c r="I29" s="907" t="s">
        <v>966</v>
      </c>
    </row>
    <row r="30" spans="1:9" ht="14.25" x14ac:dyDescent="0.15">
      <c r="A30" s="3045" t="s">
        <v>973</v>
      </c>
      <c r="B30" s="3046"/>
      <c r="C30" s="3047"/>
      <c r="D30" s="3048"/>
      <c r="E30" s="3048"/>
      <c r="F30" s="3048"/>
      <c r="G30" s="3048"/>
      <c r="H30" s="3048"/>
      <c r="I30" s="3049"/>
    </row>
    <row r="31" spans="1:9" ht="12.75" x14ac:dyDescent="0.15">
      <c r="A31" s="3050" t="s">
        <v>1017</v>
      </c>
      <c r="B31" s="912">
        <v>0</v>
      </c>
      <c r="C31" s="912">
        <v>0.1</v>
      </c>
      <c r="D31" s="3065">
        <v>1.22</v>
      </c>
      <c r="E31" s="3065" t="s">
        <v>602</v>
      </c>
      <c r="F31" s="3066" t="s">
        <v>602</v>
      </c>
      <c r="G31" s="3067" t="s">
        <v>602</v>
      </c>
      <c r="H31" s="3068" t="s">
        <v>602</v>
      </c>
      <c r="I31" s="907" t="s">
        <v>965</v>
      </c>
    </row>
    <row r="32" spans="1:9" ht="12.75" x14ac:dyDescent="0.15">
      <c r="A32" s="3051"/>
      <c r="B32" s="912">
        <v>0.1</v>
      </c>
      <c r="C32" s="912">
        <v>2</v>
      </c>
      <c r="D32" s="3065"/>
      <c r="E32" s="3065"/>
      <c r="F32" s="3066"/>
      <c r="G32" s="3067"/>
      <c r="H32" s="3068"/>
      <c r="I32" s="907" t="s">
        <v>966</v>
      </c>
    </row>
    <row r="33" spans="1:9" ht="14.25" x14ac:dyDescent="0.15">
      <c r="A33" s="3045" t="s">
        <v>973</v>
      </c>
      <c r="B33" s="3046"/>
      <c r="C33" s="3047"/>
      <c r="D33" s="3048"/>
      <c r="E33" s="3048"/>
      <c r="F33" s="3048"/>
      <c r="G33" s="3048"/>
      <c r="H33" s="3048"/>
      <c r="I33" s="3049"/>
    </row>
    <row r="34" spans="1:9" ht="12.75" x14ac:dyDescent="0.15">
      <c r="A34" s="3050" t="s">
        <v>1018</v>
      </c>
      <c r="B34" s="912">
        <v>0</v>
      </c>
      <c r="C34" s="912">
        <v>0.1</v>
      </c>
      <c r="D34" s="3065">
        <v>1.1299999999999999</v>
      </c>
      <c r="E34" s="3065" t="s">
        <v>964</v>
      </c>
      <c r="F34" s="3066">
        <v>1537</v>
      </c>
      <c r="G34" s="3067">
        <v>24.9</v>
      </c>
      <c r="H34" s="3068">
        <v>14.8</v>
      </c>
      <c r="I34" s="907" t="s">
        <v>965</v>
      </c>
    </row>
    <row r="35" spans="1:9" ht="12.75" x14ac:dyDescent="0.15">
      <c r="A35" s="3051"/>
      <c r="B35" s="912">
        <v>0.1</v>
      </c>
      <c r="C35" s="912">
        <v>2</v>
      </c>
      <c r="D35" s="3065"/>
      <c r="E35" s="3065"/>
      <c r="F35" s="3066"/>
      <c r="G35" s="3067"/>
      <c r="H35" s="3068"/>
      <c r="I35" s="907" t="s">
        <v>966</v>
      </c>
    </row>
    <row r="36" spans="1:9" ht="14.25" x14ac:dyDescent="0.15">
      <c r="A36" s="3045" t="s">
        <v>973</v>
      </c>
      <c r="B36" s="3046"/>
      <c r="C36" s="3047"/>
      <c r="D36" s="3048"/>
      <c r="E36" s="3048"/>
      <c r="F36" s="3048"/>
      <c r="G36" s="3048"/>
      <c r="H36" s="3048"/>
      <c r="I36" s="3049"/>
    </row>
    <row r="37" spans="1:9" ht="12.75" x14ac:dyDescent="0.15">
      <c r="A37" s="3050" t="s">
        <v>1019</v>
      </c>
      <c r="B37" s="912">
        <v>0</v>
      </c>
      <c r="C37" s="912">
        <v>0.1</v>
      </c>
      <c r="D37" s="3065">
        <v>1.07</v>
      </c>
      <c r="E37" s="3065" t="s">
        <v>602</v>
      </c>
      <c r="F37" s="3066" t="s">
        <v>602</v>
      </c>
      <c r="G37" s="3067" t="s">
        <v>602</v>
      </c>
      <c r="H37" s="3068" t="s">
        <v>602</v>
      </c>
      <c r="I37" s="907" t="s">
        <v>965</v>
      </c>
    </row>
    <row r="38" spans="1:9" ht="12.75" x14ac:dyDescent="0.15">
      <c r="A38" s="3051"/>
      <c r="B38" s="912">
        <v>0.1</v>
      </c>
      <c r="C38" s="912">
        <v>2</v>
      </c>
      <c r="D38" s="3065"/>
      <c r="E38" s="3065"/>
      <c r="F38" s="3066"/>
      <c r="G38" s="3067"/>
      <c r="H38" s="3068"/>
      <c r="I38" s="907" t="s">
        <v>966</v>
      </c>
    </row>
    <row r="39" spans="1:9" ht="14.25" x14ac:dyDescent="0.15">
      <c r="A39" s="3045" t="s">
        <v>973</v>
      </c>
      <c r="B39" s="3046"/>
      <c r="C39" s="3047"/>
      <c r="D39" s="3048"/>
      <c r="E39" s="3048"/>
      <c r="F39" s="3048"/>
      <c r="G39" s="3048"/>
      <c r="H39" s="3048"/>
      <c r="I39" s="3049"/>
    </row>
    <row r="40" spans="1:9" ht="12.75" x14ac:dyDescent="0.15">
      <c r="A40" s="3050" t="s">
        <v>1020</v>
      </c>
      <c r="B40" s="912">
        <v>0</v>
      </c>
      <c r="C40" s="912">
        <v>0.1</v>
      </c>
      <c r="D40" s="3069">
        <v>1.1000000000000001</v>
      </c>
      <c r="E40" s="3065" t="s">
        <v>964</v>
      </c>
      <c r="F40" s="3066">
        <v>1605</v>
      </c>
      <c r="G40" s="3067">
        <v>24.9</v>
      </c>
      <c r="H40" s="3068">
        <v>17.2</v>
      </c>
      <c r="I40" s="907" t="s">
        <v>965</v>
      </c>
    </row>
    <row r="41" spans="1:9" ht="12.75" x14ac:dyDescent="0.15">
      <c r="A41" s="3051"/>
      <c r="B41" s="912">
        <v>0.1</v>
      </c>
      <c r="C41" s="912">
        <v>2</v>
      </c>
      <c r="D41" s="3069"/>
      <c r="E41" s="3065"/>
      <c r="F41" s="3066"/>
      <c r="G41" s="3067"/>
      <c r="H41" s="3068"/>
      <c r="I41" s="907" t="s">
        <v>966</v>
      </c>
    </row>
    <row r="42" spans="1:9" ht="14.25" x14ac:dyDescent="0.15">
      <c r="A42" s="3045" t="s">
        <v>973</v>
      </c>
      <c r="B42" s="3046"/>
      <c r="C42" s="3047"/>
      <c r="D42" s="3048"/>
      <c r="E42" s="3048"/>
      <c r="F42" s="3048"/>
      <c r="G42" s="3048"/>
      <c r="H42" s="3048"/>
      <c r="I42" s="3049"/>
    </row>
    <row r="43" spans="1:9" ht="12.75" x14ac:dyDescent="0.15">
      <c r="A43" s="3050" t="s">
        <v>1021</v>
      </c>
      <c r="B43" s="912">
        <v>0</v>
      </c>
      <c r="C43" s="912">
        <v>0.1</v>
      </c>
      <c r="D43" s="3069">
        <v>1</v>
      </c>
      <c r="E43" s="3065" t="s">
        <v>602</v>
      </c>
      <c r="F43" s="3066" t="s">
        <v>602</v>
      </c>
      <c r="G43" s="3067" t="s">
        <v>602</v>
      </c>
      <c r="H43" s="3068" t="s">
        <v>602</v>
      </c>
      <c r="I43" s="907" t="s">
        <v>965</v>
      </c>
    </row>
    <row r="44" spans="1:9" ht="12.75" x14ac:dyDescent="0.15">
      <c r="A44" s="3051"/>
      <c r="B44" s="912">
        <v>0.1</v>
      </c>
      <c r="C44" s="912">
        <v>2</v>
      </c>
      <c r="D44" s="3069"/>
      <c r="E44" s="3065"/>
      <c r="F44" s="3066"/>
      <c r="G44" s="3067"/>
      <c r="H44" s="3068"/>
      <c r="I44" s="907" t="s">
        <v>966</v>
      </c>
    </row>
    <row r="45" spans="1:9" ht="14.25" x14ac:dyDescent="0.15">
      <c r="A45" s="3045" t="s">
        <v>974</v>
      </c>
      <c r="B45" s="3046"/>
      <c r="C45" s="3047"/>
      <c r="D45" s="3048"/>
      <c r="E45" s="3048"/>
      <c r="F45" s="3048"/>
      <c r="G45" s="3048"/>
      <c r="H45" s="3048"/>
      <c r="I45" s="3049"/>
    </row>
    <row r="46" spans="1:9" ht="12.75" x14ac:dyDescent="0.15">
      <c r="A46" s="3050" t="s">
        <v>1022</v>
      </c>
      <c r="B46" s="912">
        <v>0</v>
      </c>
      <c r="C46" s="912">
        <v>0.1</v>
      </c>
      <c r="D46" s="3065">
        <v>1.05</v>
      </c>
      <c r="E46" s="3065" t="s">
        <v>964</v>
      </c>
      <c r="F46" s="3066">
        <v>1586</v>
      </c>
      <c r="G46" s="3067">
        <v>27.3</v>
      </c>
      <c r="H46" s="3068">
        <v>15.3</v>
      </c>
      <c r="I46" s="907" t="s">
        <v>965</v>
      </c>
    </row>
    <row r="47" spans="1:9" ht="12.75" x14ac:dyDescent="0.15">
      <c r="A47" s="3051"/>
      <c r="B47" s="912">
        <v>0.1</v>
      </c>
      <c r="C47" s="912">
        <v>2</v>
      </c>
      <c r="D47" s="3065"/>
      <c r="E47" s="3065"/>
      <c r="F47" s="3066"/>
      <c r="G47" s="3067"/>
      <c r="H47" s="3068"/>
      <c r="I47" s="907" t="s">
        <v>966</v>
      </c>
    </row>
    <row r="48" spans="1:9" ht="14.25" x14ac:dyDescent="0.15">
      <c r="A48" s="3045" t="s">
        <v>975</v>
      </c>
      <c r="B48" s="3046"/>
      <c r="C48" s="3047"/>
      <c r="D48" s="3048"/>
      <c r="E48" s="3048"/>
      <c r="F48" s="3048"/>
      <c r="G48" s="3048"/>
      <c r="H48" s="3048"/>
      <c r="I48" s="3049"/>
    </row>
    <row r="49" spans="1:9" ht="12.75" x14ac:dyDescent="0.15">
      <c r="A49" s="3050" t="s">
        <v>1023</v>
      </c>
      <c r="B49" s="912">
        <v>0</v>
      </c>
      <c r="C49" s="912">
        <v>0.1</v>
      </c>
      <c r="D49" s="3065">
        <v>1.8</v>
      </c>
      <c r="E49" s="3065" t="s">
        <v>964</v>
      </c>
      <c r="F49" s="3066">
        <v>1690</v>
      </c>
      <c r="G49" s="3067">
        <v>22.7</v>
      </c>
      <c r="H49" s="3068">
        <v>11.5</v>
      </c>
      <c r="I49" s="907" t="s">
        <v>965</v>
      </c>
    </row>
    <row r="50" spans="1:9" ht="12.75" x14ac:dyDescent="0.15">
      <c r="A50" s="3051"/>
      <c r="B50" s="912">
        <v>0.1</v>
      </c>
      <c r="C50" s="912">
        <v>2</v>
      </c>
      <c r="D50" s="3065"/>
      <c r="E50" s="3065"/>
      <c r="F50" s="3066"/>
      <c r="G50" s="3067"/>
      <c r="H50" s="3068"/>
      <c r="I50" s="907" t="s">
        <v>966</v>
      </c>
    </row>
    <row r="51" spans="1:9" ht="14.25" x14ac:dyDescent="0.15">
      <c r="A51" s="3045" t="s">
        <v>976</v>
      </c>
      <c r="B51" s="3046"/>
      <c r="C51" s="3047"/>
      <c r="D51" s="3048"/>
      <c r="E51" s="3048"/>
      <c r="F51" s="3048"/>
      <c r="G51" s="3048"/>
      <c r="H51" s="3048"/>
      <c r="I51" s="3049"/>
    </row>
    <row r="52" spans="1:9" ht="12.75" x14ac:dyDescent="0.15">
      <c r="A52" s="3050" t="s">
        <v>1024</v>
      </c>
      <c r="B52" s="912">
        <v>0</v>
      </c>
      <c r="C52" s="912">
        <v>0.1</v>
      </c>
      <c r="D52" s="3065">
        <v>1.8</v>
      </c>
      <c r="E52" s="3065" t="s">
        <v>964</v>
      </c>
      <c r="F52" s="3066">
        <v>1702</v>
      </c>
      <c r="G52" s="3067">
        <v>24.8</v>
      </c>
      <c r="H52" s="3068">
        <v>12.8</v>
      </c>
      <c r="I52" s="907" t="s">
        <v>965</v>
      </c>
    </row>
    <row r="53" spans="1:9" ht="12.75" x14ac:dyDescent="0.15">
      <c r="A53" s="3051"/>
      <c r="B53" s="912">
        <v>0.1</v>
      </c>
      <c r="C53" s="912">
        <v>2</v>
      </c>
      <c r="D53" s="3065"/>
      <c r="E53" s="3065"/>
      <c r="F53" s="3066"/>
      <c r="G53" s="3067"/>
      <c r="H53" s="3068"/>
      <c r="I53" s="907" t="s">
        <v>966</v>
      </c>
    </row>
    <row r="54" spans="1:9" ht="14.25" x14ac:dyDescent="0.15">
      <c r="A54" s="3045" t="s">
        <v>977</v>
      </c>
      <c r="B54" s="3046"/>
      <c r="C54" s="3047"/>
      <c r="D54" s="3048"/>
      <c r="E54" s="3048"/>
      <c r="F54" s="3048"/>
      <c r="G54" s="3048"/>
      <c r="H54" s="3048"/>
      <c r="I54" s="3049"/>
    </row>
    <row r="55" spans="1:9" ht="12.75" x14ac:dyDescent="0.15">
      <c r="A55" s="3050" t="s">
        <v>1025</v>
      </c>
      <c r="B55" s="912">
        <v>0</v>
      </c>
      <c r="C55" s="912">
        <v>0.1</v>
      </c>
      <c r="D55" s="3065">
        <v>1.8</v>
      </c>
      <c r="E55" s="3065" t="s">
        <v>964</v>
      </c>
      <c r="F55" s="3066">
        <v>1695</v>
      </c>
      <c r="G55" s="3067">
        <v>23.5</v>
      </c>
      <c r="H55" s="3068">
        <v>11.9</v>
      </c>
      <c r="I55" s="907" t="s">
        <v>965</v>
      </c>
    </row>
    <row r="56" spans="1:9" ht="12.75" x14ac:dyDescent="0.15">
      <c r="A56" s="3051"/>
      <c r="B56" s="912">
        <v>0.1</v>
      </c>
      <c r="C56" s="912">
        <v>2</v>
      </c>
      <c r="D56" s="3065"/>
      <c r="E56" s="3065"/>
      <c r="F56" s="3066"/>
      <c r="G56" s="3067"/>
      <c r="H56" s="3068"/>
      <c r="I56" s="907" t="s">
        <v>966</v>
      </c>
    </row>
    <row r="57" spans="1:9" ht="14.25" x14ac:dyDescent="0.15">
      <c r="A57" s="3045" t="s">
        <v>978</v>
      </c>
      <c r="B57" s="3046"/>
      <c r="C57" s="3047"/>
      <c r="D57" s="3048"/>
      <c r="E57" s="3048"/>
      <c r="F57" s="3048"/>
      <c r="G57" s="3048"/>
      <c r="H57" s="3048"/>
      <c r="I57" s="3049"/>
    </row>
    <row r="58" spans="1:9" ht="12.75" x14ac:dyDescent="0.15">
      <c r="A58" s="3050" t="s">
        <v>1026</v>
      </c>
      <c r="B58" s="912">
        <v>0</v>
      </c>
      <c r="C58" s="912">
        <v>0.1</v>
      </c>
      <c r="D58" s="3065">
        <v>1.8</v>
      </c>
      <c r="E58" s="3065" t="s">
        <v>964</v>
      </c>
      <c r="F58" s="3066">
        <v>1702</v>
      </c>
      <c r="G58" s="3067">
        <v>24.8</v>
      </c>
      <c r="H58" s="3068">
        <v>12.8</v>
      </c>
      <c r="I58" s="907" t="s">
        <v>965</v>
      </c>
    </row>
    <row r="59" spans="1:9" ht="12.75" x14ac:dyDescent="0.15">
      <c r="A59" s="3051"/>
      <c r="B59" s="912">
        <v>0.1</v>
      </c>
      <c r="C59" s="912">
        <v>2</v>
      </c>
      <c r="D59" s="3065"/>
      <c r="E59" s="3065"/>
      <c r="F59" s="3066"/>
      <c r="G59" s="3067"/>
      <c r="H59" s="3068"/>
      <c r="I59" s="907" t="s">
        <v>966</v>
      </c>
    </row>
    <row r="60" spans="1:9" ht="14.25" x14ac:dyDescent="0.15">
      <c r="A60" s="3045" t="s">
        <v>979</v>
      </c>
      <c r="B60" s="3046"/>
      <c r="C60" s="3047"/>
      <c r="D60" s="3048"/>
      <c r="E60" s="3048"/>
      <c r="F60" s="3048"/>
      <c r="G60" s="3048"/>
      <c r="H60" s="3048"/>
      <c r="I60" s="3049"/>
    </row>
    <row r="61" spans="1:9" ht="12.75" x14ac:dyDescent="0.15">
      <c r="A61" s="3050" t="s">
        <v>1027</v>
      </c>
      <c r="B61" s="912">
        <v>0</v>
      </c>
      <c r="C61" s="912">
        <v>0.1</v>
      </c>
      <c r="D61" s="3065">
        <v>1.05</v>
      </c>
      <c r="E61" s="3065" t="s">
        <v>964</v>
      </c>
      <c r="F61" s="3066">
        <v>1702</v>
      </c>
      <c r="G61" s="3067">
        <v>24.8</v>
      </c>
      <c r="H61" s="3068">
        <v>12.8</v>
      </c>
      <c r="I61" s="907" t="s">
        <v>965</v>
      </c>
    </row>
    <row r="62" spans="1:9" ht="12.75" x14ac:dyDescent="0.15">
      <c r="A62" s="3051"/>
      <c r="B62" s="912">
        <v>0.1</v>
      </c>
      <c r="C62" s="912">
        <v>2</v>
      </c>
      <c r="D62" s="3065"/>
      <c r="E62" s="3065"/>
      <c r="F62" s="3066"/>
      <c r="G62" s="3067"/>
      <c r="H62" s="3068"/>
      <c r="I62" s="907" t="s">
        <v>966</v>
      </c>
    </row>
  </sheetData>
  <mergeCells count="161">
    <mergeCell ref="A60:C60"/>
    <mergeCell ref="D60:I60"/>
    <mergeCell ref="A61:A62"/>
    <mergeCell ref="D61:D62"/>
    <mergeCell ref="E61:E62"/>
    <mergeCell ref="F61:F62"/>
    <mergeCell ref="G61:G62"/>
    <mergeCell ref="H61:H62"/>
    <mergeCell ref="A57:C57"/>
    <mergeCell ref="D57:I57"/>
    <mergeCell ref="A58:A59"/>
    <mergeCell ref="D58:D59"/>
    <mergeCell ref="E58:E59"/>
    <mergeCell ref="F58:F59"/>
    <mergeCell ref="G58:G59"/>
    <mergeCell ref="H58:H59"/>
    <mergeCell ref="A54:C54"/>
    <mergeCell ref="D54:I54"/>
    <mergeCell ref="A55:A56"/>
    <mergeCell ref="D55:D56"/>
    <mergeCell ref="E55:E56"/>
    <mergeCell ref="F55:F56"/>
    <mergeCell ref="G55:G56"/>
    <mergeCell ref="H55:H56"/>
    <mergeCell ref="A51:C51"/>
    <mergeCell ref="D51:I51"/>
    <mergeCell ref="A52:A53"/>
    <mergeCell ref="D52:D53"/>
    <mergeCell ref="E52:E53"/>
    <mergeCell ref="F52:F53"/>
    <mergeCell ref="G52:G53"/>
    <mergeCell ref="H52:H53"/>
    <mergeCell ref="A48:C48"/>
    <mergeCell ref="D48:I48"/>
    <mergeCell ref="A49:A50"/>
    <mergeCell ref="D49:D50"/>
    <mergeCell ref="E49:E50"/>
    <mergeCell ref="F49:F50"/>
    <mergeCell ref="G49:G50"/>
    <mergeCell ref="H49:H50"/>
    <mergeCell ref="A45:C45"/>
    <mergeCell ref="D45:I45"/>
    <mergeCell ref="A46:A47"/>
    <mergeCell ref="D46:D47"/>
    <mergeCell ref="E46:E47"/>
    <mergeCell ref="F46:F47"/>
    <mergeCell ref="G46:G47"/>
    <mergeCell ref="H46:H47"/>
    <mergeCell ref="A42:C42"/>
    <mergeCell ref="D42:I42"/>
    <mergeCell ref="A43:A44"/>
    <mergeCell ref="D43:D44"/>
    <mergeCell ref="E43:E44"/>
    <mergeCell ref="F43:F44"/>
    <mergeCell ref="G43:G44"/>
    <mergeCell ref="H43:H44"/>
    <mergeCell ref="A39:C39"/>
    <mergeCell ref="D39:I39"/>
    <mergeCell ref="A40:A41"/>
    <mergeCell ref="D40:D41"/>
    <mergeCell ref="E40:E41"/>
    <mergeCell ref="F40:F41"/>
    <mergeCell ref="G40:G41"/>
    <mergeCell ref="H40:H41"/>
    <mergeCell ref="A36:C36"/>
    <mergeCell ref="D36:I36"/>
    <mergeCell ref="A37:A38"/>
    <mergeCell ref="D37:D38"/>
    <mergeCell ref="E37:E38"/>
    <mergeCell ref="F37:F38"/>
    <mergeCell ref="G37:G38"/>
    <mergeCell ref="H37:H38"/>
    <mergeCell ref="A33:C33"/>
    <mergeCell ref="D33:I33"/>
    <mergeCell ref="A34:A35"/>
    <mergeCell ref="D34:D35"/>
    <mergeCell ref="E34:E35"/>
    <mergeCell ref="F34:F35"/>
    <mergeCell ref="G34:G35"/>
    <mergeCell ref="H34:H35"/>
    <mergeCell ref="A30:C30"/>
    <mergeCell ref="D30:I30"/>
    <mergeCell ref="A31:A32"/>
    <mergeCell ref="D31:D32"/>
    <mergeCell ref="E31:E32"/>
    <mergeCell ref="F31:F32"/>
    <mergeCell ref="G31:G32"/>
    <mergeCell ref="H31:H32"/>
    <mergeCell ref="A27:C27"/>
    <mergeCell ref="D27:I27"/>
    <mergeCell ref="A28:A29"/>
    <mergeCell ref="D28:D29"/>
    <mergeCell ref="E28:E29"/>
    <mergeCell ref="F28:F29"/>
    <mergeCell ref="G28:G29"/>
    <mergeCell ref="H28:H29"/>
    <mergeCell ref="A24:C24"/>
    <mergeCell ref="D24:I24"/>
    <mergeCell ref="A25:A26"/>
    <mergeCell ref="D25:D26"/>
    <mergeCell ref="E25:E26"/>
    <mergeCell ref="F25:F26"/>
    <mergeCell ref="G25:G26"/>
    <mergeCell ref="H25:H26"/>
    <mergeCell ref="A21:C21"/>
    <mergeCell ref="D21:I21"/>
    <mergeCell ref="A22:A23"/>
    <mergeCell ref="D22:D23"/>
    <mergeCell ref="E22:E23"/>
    <mergeCell ref="F22:F23"/>
    <mergeCell ref="G22:G23"/>
    <mergeCell ref="H22:H23"/>
    <mergeCell ref="A18:C18"/>
    <mergeCell ref="D18:I18"/>
    <mergeCell ref="A19:A20"/>
    <mergeCell ref="D19:D20"/>
    <mergeCell ref="E19:E20"/>
    <mergeCell ref="F19:F20"/>
    <mergeCell ref="G19:G20"/>
    <mergeCell ref="H19:H20"/>
    <mergeCell ref="A15:C15"/>
    <mergeCell ref="D15:I15"/>
    <mergeCell ref="A16:A17"/>
    <mergeCell ref="E16:E17"/>
    <mergeCell ref="F16:F17"/>
    <mergeCell ref="G16:G17"/>
    <mergeCell ref="H16:H17"/>
    <mergeCell ref="A12:C12"/>
    <mergeCell ref="D12:I12"/>
    <mergeCell ref="A13:A14"/>
    <mergeCell ref="D13:D14"/>
    <mergeCell ref="E13:E14"/>
    <mergeCell ref="F13:F14"/>
    <mergeCell ref="G13:G14"/>
    <mergeCell ref="H13:H14"/>
    <mergeCell ref="A9:C9"/>
    <mergeCell ref="D9:I9"/>
    <mergeCell ref="A10:A11"/>
    <mergeCell ref="D10:D11"/>
    <mergeCell ref="E10:E11"/>
    <mergeCell ref="F10:F11"/>
    <mergeCell ref="G10:G11"/>
    <mergeCell ref="H10:H11"/>
    <mergeCell ref="A6:C6"/>
    <mergeCell ref="D6:I6"/>
    <mergeCell ref="A7:A8"/>
    <mergeCell ref="D7:D8"/>
    <mergeCell ref="E7:E8"/>
    <mergeCell ref="F7:F8"/>
    <mergeCell ref="G7:G8"/>
    <mergeCell ref="H7:H8"/>
    <mergeCell ref="A1:I1"/>
    <mergeCell ref="B2:C2"/>
    <mergeCell ref="A3:C3"/>
    <mergeCell ref="D3:I3"/>
    <mergeCell ref="A4:A5"/>
    <mergeCell ref="D4:D5"/>
    <mergeCell ref="E4:E5"/>
    <mergeCell ref="F4:F5"/>
    <mergeCell ref="G4:G5"/>
    <mergeCell ref="H4:H5"/>
  </mergeCells>
  <pageMargins left="0.51181102362204722" right="0.51181102362204722" top="0.78740157480314965" bottom="0.78740157480314965" header="0.31496062992125984" footer="0.31496062992125984"/>
  <pageSetup paperSize="9" scale="81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43">
    <tabColor theme="9" tint="0.59999389629810485"/>
    <pageSetUpPr fitToPage="1"/>
  </sheetPr>
  <dimension ref="A1:AK77"/>
  <sheetViews>
    <sheetView showGridLines="0" showZeros="0" view="pageBreakPreview" topLeftCell="A54" zoomScale="60" zoomScaleNormal="100" workbookViewId="0">
      <selection activeCell="C18" sqref="B6:I30"/>
    </sheetView>
  </sheetViews>
  <sheetFormatPr defaultColWidth="9" defaultRowHeight="12.75" x14ac:dyDescent="0.15"/>
  <cols>
    <col min="1" max="1" width="10.625" style="5" customWidth="1"/>
    <col min="2" max="2" width="16.625" style="198" customWidth="1"/>
    <col min="3" max="3" width="14.125" style="198" customWidth="1"/>
    <col min="4" max="4" width="9.25" style="198" customWidth="1"/>
    <col min="5" max="5" width="13.375" style="198" hidden="1" customWidth="1"/>
    <col min="6" max="6" width="16.875" style="198" customWidth="1"/>
    <col min="7" max="8" width="16.875" style="198" hidden="1" customWidth="1"/>
    <col min="9" max="12" width="16.875" style="198" customWidth="1"/>
    <col min="13" max="21" width="16.875" style="198" hidden="1" customWidth="1"/>
    <col min="22" max="16384" width="9" style="198"/>
  </cols>
  <sheetData>
    <row r="1" spans="1:37" ht="96" customHeight="1" thickBot="1" x14ac:dyDescent="0.3">
      <c r="A1" s="3075" t="s">
        <v>223</v>
      </c>
      <c r="B1" s="3078" t="s">
        <v>348</v>
      </c>
      <c r="C1" s="3079"/>
      <c r="D1" s="3080"/>
      <c r="E1" s="603" t="s">
        <v>2069</v>
      </c>
      <c r="F1" s="604" t="s">
        <v>2084</v>
      </c>
      <c r="G1" s="604" t="s">
        <v>2070</v>
      </c>
      <c r="H1" s="604" t="s">
        <v>2071</v>
      </c>
      <c r="I1" s="604" t="s">
        <v>2072</v>
      </c>
      <c r="J1" s="604" t="s">
        <v>2086</v>
      </c>
      <c r="K1" s="604" t="s">
        <v>2073</v>
      </c>
      <c r="L1" s="604" t="s">
        <v>2074</v>
      </c>
      <c r="M1" s="604" t="s">
        <v>2075</v>
      </c>
      <c r="N1" s="604" t="s">
        <v>2076</v>
      </c>
      <c r="O1" s="604" t="s">
        <v>2077</v>
      </c>
      <c r="P1" s="604" t="s">
        <v>2078</v>
      </c>
      <c r="Q1" s="604" t="s">
        <v>2079</v>
      </c>
      <c r="R1" s="604" t="s">
        <v>2080</v>
      </c>
      <c r="S1" s="604" t="s">
        <v>2081</v>
      </c>
      <c r="T1" s="604" t="s">
        <v>2082</v>
      </c>
      <c r="U1" s="605" t="s">
        <v>2083</v>
      </c>
      <c r="V1" s="880"/>
      <c r="W1" s="245" t="s">
        <v>368</v>
      </c>
      <c r="X1" s="245" t="s">
        <v>367</v>
      </c>
      <c r="Y1" s="245" t="s">
        <v>226</v>
      </c>
      <c r="Z1" s="245" t="s">
        <v>227</v>
      </c>
      <c r="AA1" s="245" t="s">
        <v>228</v>
      </c>
      <c r="AB1" s="167"/>
      <c r="AC1" s="167"/>
      <c r="AD1" s="167"/>
      <c r="AE1" s="173"/>
      <c r="AF1" s="173"/>
      <c r="AG1" s="166"/>
      <c r="AH1" s="166"/>
      <c r="AI1" s="166"/>
      <c r="AJ1" s="166"/>
      <c r="AK1" s="166"/>
    </row>
    <row r="2" spans="1:37" ht="24.95" customHeight="1" x14ac:dyDescent="0.15">
      <c r="A2" s="3076"/>
      <c r="B2" s="3081" t="s">
        <v>224</v>
      </c>
      <c r="C2" s="3083" t="s">
        <v>225</v>
      </c>
      <c r="D2" s="3084"/>
      <c r="E2" s="606" t="s">
        <v>367</v>
      </c>
      <c r="F2" s="607" t="s">
        <v>227</v>
      </c>
      <c r="G2" s="607" t="s">
        <v>367</v>
      </c>
      <c r="H2" s="1789" t="s">
        <v>226</v>
      </c>
      <c r="I2" s="607" t="s">
        <v>227</v>
      </c>
      <c r="J2" s="607" t="s">
        <v>227</v>
      </c>
      <c r="K2" s="1789" t="s">
        <v>227</v>
      </c>
      <c r="L2" s="1789" t="s">
        <v>227</v>
      </c>
      <c r="M2" s="1789" t="s">
        <v>368</v>
      </c>
      <c r="N2" s="1789" t="s">
        <v>368</v>
      </c>
      <c r="O2" s="1789" t="s">
        <v>368</v>
      </c>
      <c r="P2" s="1789" t="s">
        <v>368</v>
      </c>
      <c r="Q2" s="1789" t="s">
        <v>368</v>
      </c>
      <c r="R2" s="1789" t="s">
        <v>226</v>
      </c>
      <c r="S2" s="1789" t="s">
        <v>227</v>
      </c>
      <c r="T2" s="1789" t="s">
        <v>367</v>
      </c>
      <c r="U2" s="1790" t="s">
        <v>367</v>
      </c>
      <c r="V2" s="174"/>
      <c r="W2" s="246">
        <v>1000</v>
      </c>
      <c r="X2" s="246">
        <v>100000</v>
      </c>
      <c r="Y2" s="246">
        <v>400000</v>
      </c>
      <c r="Z2" s="246">
        <v>2000000</v>
      </c>
      <c r="AA2" s="246">
        <v>50000000</v>
      </c>
      <c r="AB2" s="167"/>
      <c r="AC2" s="167"/>
      <c r="AD2" s="167"/>
      <c r="AE2" s="199"/>
      <c r="AF2" s="199"/>
    </row>
    <row r="3" spans="1:37" ht="42" customHeight="1" thickBot="1" x14ac:dyDescent="0.25">
      <c r="A3" s="3076"/>
      <c r="B3" s="3082"/>
      <c r="C3" s="3073" t="s">
        <v>229</v>
      </c>
      <c r="D3" s="3074"/>
      <c r="E3" s="608" t="str">
        <f>IF(E2=$W$1,$W$3,IF(E2=$X$1,$X$3,IF(E2=$Y$1,$Y$3,IF(E2=$Z$1,$Z$3,IF(E2=$AA$1,$AA$3,"erro")))))</f>
        <v>Local</v>
      </c>
      <c r="F3" s="609" t="str">
        <f t="shared" ref="F3" si="0">IF(F2=$W$1,$W$3,IF(F2=$X$1,$X$3,IF(F2=$Y$1,$Y$3,IF(F2=$Z$1,$Z$3,IF(F2=$AA$1,$AA$3,"erro")))))</f>
        <v>Arterial</v>
      </c>
      <c r="G3" s="609" t="str">
        <f t="shared" ref="G3" si="1">IF(G2=$W$1,$W$3,IF(G2=$X$1,$X$3,IF(G2=$Y$1,$Y$3,IF(G2=$Z$1,$Z$3,IF(G2=$AA$1,$AA$3,"erro")))))</f>
        <v>Local</v>
      </c>
      <c r="H3" s="609" t="str">
        <f t="shared" ref="H3" si="2">IF(H2=$W$1,$W$3,IF(H2=$X$1,$X$3,IF(H2=$Y$1,$Y$3,IF(H2=$Z$1,$Z$3,IF(H2=$AA$1,$AA$3,"erro")))))</f>
        <v>Coletora</v>
      </c>
      <c r="I3" s="609" t="str">
        <f t="shared" ref="I3" si="3">IF(I2=$W$1,$W$3,IF(I2=$X$1,$X$3,IF(I2=$Y$1,$Y$3,IF(I2=$Z$1,$Z$3,IF(I2=$AA$1,$AA$3,"erro")))))</f>
        <v>Arterial</v>
      </c>
      <c r="J3" s="609" t="str">
        <f t="shared" ref="J3" si="4">IF(J2=$W$1,$W$3,IF(J2=$X$1,$X$3,IF(J2=$Y$1,$Y$3,IF(J2=$Z$1,$Z$3,IF(J2=$AA$1,$AA$3,"erro")))))</f>
        <v>Arterial</v>
      </c>
      <c r="K3" s="609" t="str">
        <f t="shared" ref="K3" si="5">IF(K2=$W$1,$W$3,IF(K2=$X$1,$X$3,IF(K2=$Y$1,$Y$3,IF(K2=$Z$1,$Z$3,IF(K2=$AA$1,$AA$3,"erro")))))</f>
        <v>Arterial</v>
      </c>
      <c r="L3" s="609" t="str">
        <f t="shared" ref="L3" si="6">IF(L2=$W$1,$W$3,IF(L2=$X$1,$X$3,IF(L2=$Y$1,$Y$3,IF(L2=$Z$1,$Z$3,IF(L2=$AA$1,$AA$3,"erro")))))</f>
        <v>Arterial</v>
      </c>
      <c r="M3" s="609" t="str">
        <f t="shared" ref="M3" si="7">IF(M2=$W$1,$W$3,IF(M2=$X$1,$X$3,IF(M2=$Y$1,$Y$3,IF(M2=$Z$1,$Z$3,IF(M2=$AA$1,$AA$3,"erro")))))</f>
        <v>Interna</v>
      </c>
      <c r="N3" s="609" t="str">
        <f t="shared" ref="N3" si="8">IF(N2=$W$1,$W$3,IF(N2=$X$1,$X$3,IF(N2=$Y$1,$Y$3,IF(N2=$Z$1,$Z$3,IF(N2=$AA$1,$AA$3,"erro")))))</f>
        <v>Interna</v>
      </c>
      <c r="O3" s="609" t="str">
        <f t="shared" ref="O3" si="9">IF(O2=$W$1,$W$3,IF(O2=$X$1,$X$3,IF(O2=$Y$1,$Y$3,IF(O2=$Z$1,$Z$3,IF(O2=$AA$1,$AA$3,"erro")))))</f>
        <v>Interna</v>
      </c>
      <c r="P3" s="609" t="str">
        <f t="shared" ref="P3" si="10">IF(P2=$W$1,$W$3,IF(P2=$X$1,$X$3,IF(P2=$Y$1,$Y$3,IF(P2=$Z$1,$Z$3,IF(P2=$AA$1,$AA$3,"erro")))))</f>
        <v>Interna</v>
      </c>
      <c r="Q3" s="609" t="str">
        <f t="shared" ref="Q3" si="11">IF(Q2=$W$1,$W$3,IF(Q2=$X$1,$X$3,IF(Q2=$Y$1,$Y$3,IF(Q2=$Z$1,$Z$3,IF(Q2=$AA$1,$AA$3,"erro")))))</f>
        <v>Interna</v>
      </c>
      <c r="R3" s="609" t="str">
        <f t="shared" ref="R3" si="12">IF(R2=$W$1,$W$3,IF(R2=$X$1,$X$3,IF(R2=$Y$1,$Y$3,IF(R2=$Z$1,$Z$3,IF(R2=$AA$1,$AA$3,"erro")))))</f>
        <v>Coletora</v>
      </c>
      <c r="S3" s="609" t="str">
        <f t="shared" ref="S3" si="13">IF(S2=$W$1,$W$3,IF(S2=$X$1,$X$3,IF(S2=$Y$1,$Y$3,IF(S2=$Z$1,$Z$3,IF(S2=$AA$1,$AA$3,"erro")))))</f>
        <v>Arterial</v>
      </c>
      <c r="T3" s="609" t="str">
        <f t="shared" ref="T3" si="14">IF(T2=$W$1,$W$3,IF(T2=$X$1,$X$3,IF(T2=$Y$1,$Y$3,IF(T2=$Z$1,$Z$3,IF(T2=$AA$1,$AA$3,"erro")))))</f>
        <v>Local</v>
      </c>
      <c r="U3" s="610" t="str">
        <f>IF(U2=$W$1,$W$3,IF(U2=$X$1,$X$3,IF(U2=$Y$1,$Y$3,IF(U2=$Z$1,$Z$3,IF(U2=$AA$1,$AA$3,"erro")))))</f>
        <v>Local</v>
      </c>
      <c r="V3" s="641"/>
      <c r="W3" s="248" t="s">
        <v>716</v>
      </c>
      <c r="X3" s="248" t="s">
        <v>264</v>
      </c>
      <c r="Y3" s="248" t="s">
        <v>265</v>
      </c>
      <c r="Z3" s="248" t="s">
        <v>266</v>
      </c>
      <c r="AA3" s="247" t="s">
        <v>717</v>
      </c>
      <c r="AB3" s="167"/>
      <c r="AC3" s="167"/>
      <c r="AD3" s="167"/>
      <c r="AE3" s="166"/>
      <c r="AF3" s="166"/>
    </row>
    <row r="4" spans="1:37" ht="24.95" customHeight="1" thickBot="1" x14ac:dyDescent="0.25">
      <c r="A4" s="3076"/>
      <c r="B4" s="3070" t="s">
        <v>230</v>
      </c>
      <c r="C4" s="3071"/>
      <c r="D4" s="3072"/>
      <c r="E4" s="611">
        <f>IF(E2=$W$1,$W$4,IF(E2=$X$1,$X$4,IF(E2=$Y$1,$Y$4,IF(E2=$Z$1,$Z$4,IF(E2=$AA$1,$AA$4,"erro")))))</f>
        <v>10</v>
      </c>
      <c r="F4" s="612">
        <f>IF(F2=$W$1,$W$4,IF(F2=$X$1,$X$4,IF(F2=$Y$1,$Y$4,IF(F2=$Z$1,$Z$4,IF(F2=$AA$1,$AA$4,"erro")))))</f>
        <v>12</v>
      </c>
      <c r="G4" s="612">
        <f>IF(G2=$W$1,$W$4,IF(G2=$X$1,$X$4,IF(G2=$Y$1,$Y$4,IF(G2=$Z$1,$Z$4,IF(G2=$AA$1,$AA$4,"erro")))))</f>
        <v>10</v>
      </c>
      <c r="H4" s="612">
        <f t="shared" ref="H4:T4" si="15">IF(H2=$W$1,$W$4,IF(H2=$X$1,$X$4,IF(H2=$Y$1,$Y$4,IF(H2=$Z$1,$Z$4,IF(H2=$AA$1,$AA$4,"erro")))))</f>
        <v>10</v>
      </c>
      <c r="I4" s="612">
        <f t="shared" si="15"/>
        <v>12</v>
      </c>
      <c r="J4" s="612">
        <f t="shared" si="15"/>
        <v>12</v>
      </c>
      <c r="K4" s="612">
        <f t="shared" si="15"/>
        <v>12</v>
      </c>
      <c r="L4" s="612">
        <f t="shared" si="15"/>
        <v>12</v>
      </c>
      <c r="M4" s="612">
        <f t="shared" si="15"/>
        <v>10</v>
      </c>
      <c r="N4" s="612">
        <f t="shared" si="15"/>
        <v>10</v>
      </c>
      <c r="O4" s="612">
        <f t="shared" si="15"/>
        <v>10</v>
      </c>
      <c r="P4" s="612">
        <f t="shared" si="15"/>
        <v>10</v>
      </c>
      <c r="Q4" s="612">
        <f t="shared" si="15"/>
        <v>10</v>
      </c>
      <c r="R4" s="612">
        <f t="shared" si="15"/>
        <v>10</v>
      </c>
      <c r="S4" s="612">
        <f t="shared" si="15"/>
        <v>12</v>
      </c>
      <c r="T4" s="612">
        <f t="shared" si="15"/>
        <v>10</v>
      </c>
      <c r="U4" s="613">
        <f>IF(U2=$W$1,$W$4,IF(U2=$X$1,$X$4,IF(U2=$Y$1,$Y$4,IF(U2=$Z$1,$Z$4,IF(U2=$AA$1,$AA$4,"erro")))))</f>
        <v>10</v>
      </c>
      <c r="V4" s="644"/>
      <c r="W4" s="642">
        <v>10</v>
      </c>
      <c r="X4" s="642">
        <v>10</v>
      </c>
      <c r="Y4" s="642">
        <v>10</v>
      </c>
      <c r="Z4" s="642">
        <v>12</v>
      </c>
      <c r="AA4" s="643">
        <v>12</v>
      </c>
      <c r="AB4" s="167"/>
      <c r="AC4" s="167"/>
      <c r="AD4" s="167"/>
      <c r="AE4" s="173"/>
      <c r="AF4" s="173"/>
    </row>
    <row r="5" spans="1:37" ht="24.95" customHeight="1" x14ac:dyDescent="0.2">
      <c r="A5" s="3076"/>
      <c r="B5" s="3070" t="s">
        <v>231</v>
      </c>
      <c r="C5" s="3085"/>
      <c r="D5" s="3074"/>
      <c r="E5" s="608">
        <f>IF(E2=$W$1,$W$2,IF(E2=$X$1,$X$2,IF(E2=$Y$1,$Y$2,IF(E2=$Z$1,$Z$2,IF(E2=$AA$1,$AA$2,"erro")))))</f>
        <v>100000</v>
      </c>
      <c r="F5" s="609">
        <f>IF(F2=$W$1,$W$2,IF(F2=$X$1,$X$2,IF(F2=$Y$1,$Y$2,IF(F2=$Z$1,$Z$2,IF(F2=$AA$1,$AA$2,"erro")))))</f>
        <v>2000000</v>
      </c>
      <c r="G5" s="609">
        <f>IF(G2=$W$1,$W$2,IF(G2=$X$1,$X$2,IF(G2=$Y$1,$Y$2,IF(G2=$Z$1,$Z$2,IF(G2=$AA$1,$AA$2,"erro")))))</f>
        <v>100000</v>
      </c>
      <c r="H5" s="609">
        <f t="shared" ref="H5:T5" si="16">IF(H2=$W$1,$W$2,IF(H2=$X$1,$X$2,IF(H2=$Y$1,$Y$2,IF(H2=$Z$1,$Z$2,IF(H2=$AA$1,$AA$2,"erro")))))</f>
        <v>400000</v>
      </c>
      <c r="I5" s="609">
        <f t="shared" si="16"/>
        <v>2000000</v>
      </c>
      <c r="J5" s="609">
        <f t="shared" si="16"/>
        <v>2000000</v>
      </c>
      <c r="K5" s="609">
        <f t="shared" si="16"/>
        <v>2000000</v>
      </c>
      <c r="L5" s="609">
        <f t="shared" si="16"/>
        <v>2000000</v>
      </c>
      <c r="M5" s="609">
        <f t="shared" si="16"/>
        <v>1000</v>
      </c>
      <c r="N5" s="609">
        <f t="shared" si="16"/>
        <v>1000</v>
      </c>
      <c r="O5" s="609">
        <f t="shared" si="16"/>
        <v>1000</v>
      </c>
      <c r="P5" s="609">
        <f t="shared" si="16"/>
        <v>1000</v>
      </c>
      <c r="Q5" s="609">
        <f t="shared" si="16"/>
        <v>1000</v>
      </c>
      <c r="R5" s="609">
        <f t="shared" si="16"/>
        <v>400000</v>
      </c>
      <c r="S5" s="609">
        <f t="shared" si="16"/>
        <v>2000000</v>
      </c>
      <c r="T5" s="609">
        <f t="shared" si="16"/>
        <v>100000</v>
      </c>
      <c r="U5" s="610">
        <f>IF(U2=$W$1,$W$2,IF(U2=$X$1,$X$2,IF(U2=$Y$1,$Y$2,IF(U2=$Z$1,$Z$2,IF(U2=$AA$1,$AA$2,"erro")))))</f>
        <v>100000</v>
      </c>
      <c r="V5" s="645"/>
      <c r="W5" s="170"/>
      <c r="X5" s="170"/>
      <c r="Y5" s="170"/>
      <c r="Z5" s="170"/>
      <c r="AA5" s="170"/>
      <c r="AB5" s="167"/>
      <c r="AC5" s="167"/>
      <c r="AD5" s="167"/>
      <c r="AE5" s="173"/>
      <c r="AF5" s="173"/>
    </row>
    <row r="6" spans="1:37" ht="24.95" customHeight="1" x14ac:dyDescent="0.2">
      <c r="A6" s="3076"/>
      <c r="B6" s="3070" t="s">
        <v>232</v>
      </c>
      <c r="C6" s="3073" t="s">
        <v>233</v>
      </c>
      <c r="D6" s="3074"/>
      <c r="E6" s="611">
        <v>13.3</v>
      </c>
      <c r="F6" s="612"/>
      <c r="G6" s="612"/>
      <c r="H6" s="612"/>
      <c r="I6" s="612"/>
      <c r="J6" s="612"/>
      <c r="K6" s="612"/>
      <c r="L6" s="1791">
        <f>$E6</f>
        <v>13.3</v>
      </c>
      <c r="M6" s="1791">
        <f t="shared" ref="M6:Q6" si="17">$E6</f>
        <v>13.3</v>
      </c>
      <c r="N6" s="1791">
        <f t="shared" si="17"/>
        <v>13.3</v>
      </c>
      <c r="O6" s="1791">
        <f t="shared" si="17"/>
        <v>13.3</v>
      </c>
      <c r="P6" s="1791">
        <f t="shared" si="17"/>
        <v>13.3</v>
      </c>
      <c r="Q6" s="1791">
        <f t="shared" si="17"/>
        <v>13.3</v>
      </c>
      <c r="R6" s="612"/>
      <c r="S6" s="612"/>
      <c r="T6" s="612"/>
      <c r="U6" s="613"/>
      <c r="V6" s="200"/>
      <c r="W6" s="170"/>
      <c r="X6" s="170"/>
      <c r="Y6" s="170"/>
      <c r="Z6" s="167"/>
      <c r="AA6" s="167"/>
      <c r="AB6" s="246">
        <v>1710</v>
      </c>
      <c r="AC6" s="167"/>
      <c r="AD6" s="167"/>
      <c r="AE6" s="173"/>
      <c r="AF6" s="173"/>
    </row>
    <row r="7" spans="1:37" ht="24.95" customHeight="1" x14ac:dyDescent="0.2">
      <c r="A7" s="3076"/>
      <c r="B7" s="3086"/>
      <c r="C7" s="3073" t="s">
        <v>234</v>
      </c>
      <c r="D7" s="3074"/>
      <c r="E7" s="611">
        <v>20.6</v>
      </c>
      <c r="F7" s="612"/>
      <c r="G7" s="612"/>
      <c r="H7" s="612"/>
      <c r="I7" s="612"/>
      <c r="J7" s="1791">
        <f t="shared" ref="J7:L9" si="18">$E7</f>
        <v>20.6</v>
      </c>
      <c r="K7" s="1791">
        <f t="shared" si="18"/>
        <v>20.6</v>
      </c>
      <c r="L7" s="1791">
        <f t="shared" si="18"/>
        <v>20.6</v>
      </c>
      <c r="M7" s="612"/>
      <c r="N7" s="612"/>
      <c r="O7" s="612"/>
      <c r="P7" s="612"/>
      <c r="Q7" s="612"/>
      <c r="R7" s="612"/>
      <c r="S7" s="612"/>
      <c r="T7" s="612"/>
      <c r="U7" s="613"/>
      <c r="V7" s="200"/>
      <c r="W7" s="170"/>
      <c r="X7" s="170"/>
      <c r="Y7" s="170"/>
      <c r="Z7" s="167"/>
      <c r="AA7" s="167"/>
      <c r="AB7" s="246">
        <v>6843</v>
      </c>
      <c r="AC7" s="167"/>
      <c r="AD7" s="167"/>
      <c r="AE7" s="173"/>
      <c r="AF7" s="173"/>
    </row>
    <row r="8" spans="1:37" ht="24.95" customHeight="1" x14ac:dyDescent="0.2">
      <c r="A8" s="3076"/>
      <c r="B8" s="3086"/>
      <c r="C8" s="3073" t="s">
        <v>2048</v>
      </c>
      <c r="D8" s="3074"/>
      <c r="E8" s="611">
        <v>14.7</v>
      </c>
      <c r="F8" s="612"/>
      <c r="G8" s="612"/>
      <c r="H8" s="612"/>
      <c r="I8" s="612"/>
      <c r="J8" s="612"/>
      <c r="K8" s="1791">
        <f t="shared" si="18"/>
        <v>14.7</v>
      </c>
      <c r="L8" s="612"/>
      <c r="M8" s="612"/>
      <c r="N8" s="612"/>
      <c r="O8" s="612"/>
      <c r="P8" s="612"/>
      <c r="Q8" s="612"/>
      <c r="R8" s="612"/>
      <c r="S8" s="612"/>
      <c r="T8" s="612"/>
      <c r="U8" s="613"/>
      <c r="V8" s="200"/>
      <c r="W8" s="170"/>
      <c r="X8" s="170"/>
      <c r="Y8" s="170"/>
      <c r="Z8" s="167"/>
      <c r="AA8" s="167"/>
      <c r="AB8" s="246">
        <v>82125</v>
      </c>
      <c r="AC8" s="167"/>
      <c r="AD8" s="167"/>
      <c r="AE8" s="173"/>
      <c r="AF8" s="173"/>
    </row>
    <row r="9" spans="1:37" ht="24.95" customHeight="1" x14ac:dyDescent="0.2">
      <c r="A9" s="3076"/>
      <c r="B9" s="3086"/>
      <c r="C9" s="3073" t="s">
        <v>2049</v>
      </c>
      <c r="D9" s="3074"/>
      <c r="E9" s="611">
        <v>13.6</v>
      </c>
      <c r="F9" s="612"/>
      <c r="G9" s="612"/>
      <c r="H9" s="612"/>
      <c r="I9" s="612"/>
      <c r="J9" s="612"/>
      <c r="K9" s="1791">
        <f t="shared" si="18"/>
        <v>13.6</v>
      </c>
      <c r="L9" s="612"/>
      <c r="M9" s="612"/>
      <c r="N9" s="612"/>
      <c r="O9" s="612"/>
      <c r="P9" s="612"/>
      <c r="Q9" s="612"/>
      <c r="R9" s="612"/>
      <c r="S9" s="612"/>
      <c r="T9" s="612"/>
      <c r="U9" s="613"/>
      <c r="V9" s="200"/>
      <c r="W9" s="170"/>
      <c r="X9" s="170"/>
      <c r="Y9" s="170"/>
      <c r="Z9" s="167"/>
      <c r="AA9" s="167"/>
      <c r="AB9" s="246">
        <v>5357059</v>
      </c>
      <c r="AC9" s="167"/>
      <c r="AD9" s="167"/>
      <c r="AE9" s="173"/>
      <c r="AF9" s="173"/>
    </row>
    <row r="10" spans="1:37" ht="24.95" customHeight="1" x14ac:dyDescent="0.2">
      <c r="A10" s="3076"/>
      <c r="B10" s="3086"/>
      <c r="C10" s="3073" t="s">
        <v>2050</v>
      </c>
      <c r="D10" s="3074"/>
      <c r="E10" s="611">
        <v>12.8</v>
      </c>
      <c r="F10" s="612"/>
      <c r="G10" s="612"/>
      <c r="H10" s="612"/>
      <c r="I10" s="612"/>
      <c r="J10" s="1791">
        <f t="shared" ref="J10:J12" si="19">$E10</f>
        <v>12.8</v>
      </c>
      <c r="K10" s="612"/>
      <c r="L10" s="612"/>
      <c r="M10" s="612"/>
      <c r="N10" s="612"/>
      <c r="O10" s="612"/>
      <c r="P10" s="612"/>
      <c r="Q10" s="612"/>
      <c r="R10" s="612"/>
      <c r="S10" s="612"/>
      <c r="T10" s="612"/>
      <c r="U10" s="613"/>
      <c r="V10" s="200"/>
      <c r="W10" s="170"/>
      <c r="X10" s="170"/>
      <c r="Y10" s="170"/>
      <c r="Z10" s="167"/>
      <c r="AA10" s="167"/>
      <c r="AB10" s="246">
        <v>40391584</v>
      </c>
      <c r="AC10" s="167"/>
      <c r="AD10" s="167"/>
      <c r="AE10" s="173"/>
      <c r="AF10" s="173"/>
      <c r="AG10" s="166"/>
      <c r="AH10" s="166"/>
      <c r="AI10" s="166"/>
      <c r="AJ10" s="166"/>
      <c r="AK10" s="166"/>
    </row>
    <row r="11" spans="1:37" ht="24.95" customHeight="1" x14ac:dyDescent="0.2">
      <c r="A11" s="3076"/>
      <c r="B11" s="3086"/>
      <c r="C11" s="3073" t="s">
        <v>2051</v>
      </c>
      <c r="D11" s="3074"/>
      <c r="E11" s="611">
        <v>12.2</v>
      </c>
      <c r="F11" s="612"/>
      <c r="G11" s="612"/>
      <c r="H11" s="612"/>
      <c r="I11" s="612"/>
      <c r="J11" s="1791">
        <f t="shared" si="19"/>
        <v>12.2</v>
      </c>
      <c r="K11" s="612"/>
      <c r="L11" s="612"/>
      <c r="M11" s="612"/>
      <c r="N11" s="612"/>
      <c r="O11" s="612"/>
      <c r="P11" s="612"/>
      <c r="Q11" s="612"/>
      <c r="R11" s="612"/>
      <c r="S11" s="612"/>
      <c r="T11" s="612"/>
      <c r="U11" s="613"/>
      <c r="V11" s="200"/>
      <c r="W11" s="170"/>
      <c r="X11" s="170"/>
      <c r="Y11" s="170"/>
      <c r="Z11" s="167"/>
      <c r="AA11" s="167"/>
      <c r="AB11" s="167"/>
      <c r="AC11" s="167"/>
      <c r="AD11" s="167"/>
      <c r="AE11" s="173"/>
      <c r="AF11" s="173"/>
      <c r="AG11" s="166"/>
      <c r="AH11" s="166"/>
      <c r="AI11" s="166"/>
      <c r="AJ11" s="166"/>
      <c r="AK11" s="166"/>
    </row>
    <row r="12" spans="1:37" ht="24.95" customHeight="1" x14ac:dyDescent="0.2">
      <c r="A12" s="3076"/>
      <c r="B12" s="3086"/>
      <c r="C12" s="3073" t="s">
        <v>2052</v>
      </c>
      <c r="D12" s="3074"/>
      <c r="E12" s="611">
        <v>14</v>
      </c>
      <c r="F12" s="1791">
        <f>$E12</f>
        <v>14</v>
      </c>
      <c r="G12" s="612"/>
      <c r="H12" s="612"/>
      <c r="I12" s="612"/>
      <c r="J12" s="1791">
        <f t="shared" si="19"/>
        <v>14</v>
      </c>
      <c r="K12" s="612"/>
      <c r="L12" s="612"/>
      <c r="M12" s="612"/>
      <c r="N12" s="612"/>
      <c r="O12" s="612"/>
      <c r="P12" s="612"/>
      <c r="Q12" s="612"/>
      <c r="R12" s="612"/>
      <c r="S12" s="612"/>
      <c r="T12" s="612"/>
      <c r="U12" s="613"/>
      <c r="V12" s="200"/>
      <c r="AB12" s="167"/>
      <c r="AC12" s="167"/>
      <c r="AD12" s="168"/>
      <c r="AE12" s="173"/>
      <c r="AF12" s="173"/>
      <c r="AG12" s="166"/>
      <c r="AH12" s="166"/>
      <c r="AI12" s="166"/>
      <c r="AJ12" s="166"/>
      <c r="AK12" s="166"/>
    </row>
    <row r="13" spans="1:37" ht="24.95" customHeight="1" x14ac:dyDescent="0.2">
      <c r="A13" s="3076"/>
      <c r="B13" s="3086"/>
      <c r="C13" s="3073" t="s">
        <v>2053</v>
      </c>
      <c r="D13" s="3074"/>
      <c r="E13" s="611">
        <v>18.5</v>
      </c>
      <c r="F13" s="612"/>
      <c r="G13" s="612"/>
      <c r="H13" s="612"/>
      <c r="I13" s="1791">
        <f t="shared" ref="I13:I18" si="20">$E13</f>
        <v>18.5</v>
      </c>
      <c r="J13" s="612"/>
      <c r="K13" s="612"/>
      <c r="L13" s="612"/>
      <c r="M13" s="612"/>
      <c r="N13" s="612"/>
      <c r="O13" s="612"/>
      <c r="P13" s="612"/>
      <c r="Q13" s="612"/>
      <c r="R13" s="612"/>
      <c r="S13" s="612"/>
      <c r="T13" s="612"/>
      <c r="U13" s="613"/>
      <c r="V13" s="200"/>
      <c r="AB13" s="167"/>
      <c r="AC13" s="167"/>
      <c r="AD13" s="168"/>
      <c r="AE13" s="173"/>
      <c r="AF13" s="173"/>
      <c r="AG13" s="166"/>
      <c r="AH13" s="166"/>
      <c r="AI13" s="166"/>
      <c r="AJ13" s="166"/>
      <c r="AK13" s="166"/>
    </row>
    <row r="14" spans="1:37" ht="24.95" customHeight="1" x14ac:dyDescent="0.2">
      <c r="A14" s="3076"/>
      <c r="B14" s="3086"/>
      <c r="C14" s="3073" t="s">
        <v>2054</v>
      </c>
      <c r="D14" s="3074"/>
      <c r="E14" s="611"/>
      <c r="F14" s="612"/>
      <c r="G14" s="612"/>
      <c r="H14" s="612"/>
      <c r="I14" s="612"/>
      <c r="J14" s="612"/>
      <c r="K14" s="612"/>
      <c r="L14" s="612"/>
      <c r="M14" s="612"/>
      <c r="N14" s="612"/>
      <c r="O14" s="612"/>
      <c r="P14" s="612"/>
      <c r="Q14" s="612"/>
      <c r="R14" s="612"/>
      <c r="S14" s="612"/>
      <c r="T14" s="612"/>
      <c r="U14" s="613"/>
      <c r="V14" s="200"/>
      <c r="Y14" s="170"/>
      <c r="Z14" s="170"/>
      <c r="AA14" s="168"/>
      <c r="AB14" s="167"/>
      <c r="AC14" s="167"/>
      <c r="AD14" s="168"/>
      <c r="AE14" s="173"/>
      <c r="AF14" s="173"/>
      <c r="AG14" s="166"/>
      <c r="AH14" s="166"/>
      <c r="AI14" s="166"/>
      <c r="AJ14" s="166"/>
      <c r="AK14" s="166"/>
    </row>
    <row r="15" spans="1:37" ht="24.95" customHeight="1" x14ac:dyDescent="0.2">
      <c r="A15" s="3076"/>
      <c r="B15" s="3086"/>
      <c r="C15" s="3073" t="s">
        <v>2054</v>
      </c>
      <c r="D15" s="3074"/>
      <c r="E15" s="611">
        <v>24.2</v>
      </c>
      <c r="F15" s="612"/>
      <c r="G15" s="612"/>
      <c r="H15" s="612"/>
      <c r="I15" s="1791">
        <f t="shared" si="20"/>
        <v>24.2</v>
      </c>
      <c r="J15" s="612"/>
      <c r="K15" s="612"/>
      <c r="L15" s="612"/>
      <c r="M15" s="612"/>
      <c r="N15" s="612"/>
      <c r="O15" s="612"/>
      <c r="P15" s="612"/>
      <c r="Q15" s="612"/>
      <c r="R15" s="612"/>
      <c r="S15" s="612"/>
      <c r="T15" s="612"/>
      <c r="U15" s="613"/>
      <c r="V15" s="200"/>
      <c r="W15" s="170"/>
      <c r="X15" s="170"/>
      <c r="Y15" s="170"/>
      <c r="Z15" s="170"/>
      <c r="AA15" s="168"/>
      <c r="AB15" s="167"/>
      <c r="AC15" s="167"/>
      <c r="AD15" s="168"/>
      <c r="AE15" s="173"/>
      <c r="AF15" s="173"/>
      <c r="AG15" s="166"/>
      <c r="AH15" s="166"/>
      <c r="AI15" s="166"/>
      <c r="AJ15" s="166"/>
      <c r="AK15" s="166"/>
    </row>
    <row r="16" spans="1:37" ht="24.95" customHeight="1" x14ac:dyDescent="0.2">
      <c r="A16" s="3076"/>
      <c r="B16" s="3086"/>
      <c r="C16" s="3073" t="s">
        <v>2055</v>
      </c>
      <c r="D16" s="3074"/>
      <c r="E16" s="611">
        <v>21.2</v>
      </c>
      <c r="F16" s="612"/>
      <c r="G16" s="612"/>
      <c r="H16" s="612"/>
      <c r="I16" s="1791">
        <f t="shared" si="20"/>
        <v>21.2</v>
      </c>
      <c r="J16" s="612"/>
      <c r="K16" s="612"/>
      <c r="L16" s="612"/>
      <c r="M16" s="612"/>
      <c r="N16" s="612"/>
      <c r="O16" s="612"/>
      <c r="P16" s="612"/>
      <c r="Q16" s="612"/>
      <c r="R16" s="612"/>
      <c r="S16" s="612"/>
      <c r="T16" s="612"/>
      <c r="U16" s="613"/>
      <c r="V16" s="200"/>
      <c r="W16" s="170"/>
      <c r="X16" s="170"/>
      <c r="Y16" s="170"/>
      <c r="Z16" s="170"/>
      <c r="AA16" s="168"/>
      <c r="AB16" s="167"/>
      <c r="AC16" s="167"/>
      <c r="AD16" s="168"/>
      <c r="AE16" s="173"/>
      <c r="AF16" s="173"/>
      <c r="AG16" s="166"/>
      <c r="AH16" s="166"/>
      <c r="AI16" s="166"/>
      <c r="AJ16" s="166"/>
      <c r="AK16" s="166"/>
    </row>
    <row r="17" spans="1:37" ht="24.95" customHeight="1" x14ac:dyDescent="0.2">
      <c r="A17" s="3076"/>
      <c r="B17" s="3086"/>
      <c r="C17" s="3073" t="s">
        <v>2056</v>
      </c>
      <c r="D17" s="3074"/>
      <c r="E17" s="611">
        <v>23.3</v>
      </c>
      <c r="F17" s="612"/>
      <c r="G17" s="1791">
        <f t="shared" ref="G17:H17" si="21">$E17</f>
        <v>23.3</v>
      </c>
      <c r="H17" s="1791">
        <f t="shared" si="21"/>
        <v>23.3</v>
      </c>
      <c r="I17" s="1791">
        <f t="shared" si="20"/>
        <v>23.3</v>
      </c>
      <c r="J17" s="612"/>
      <c r="K17" s="612"/>
      <c r="L17" s="612"/>
      <c r="M17" s="612"/>
      <c r="N17" s="612"/>
      <c r="O17" s="612"/>
      <c r="P17" s="612"/>
      <c r="Q17" s="612"/>
      <c r="R17" s="612"/>
      <c r="S17" s="612"/>
      <c r="T17" s="612"/>
      <c r="U17" s="613"/>
      <c r="V17" s="200"/>
      <c r="W17" s="170"/>
      <c r="X17" s="170"/>
      <c r="Y17" s="170"/>
      <c r="Z17" s="170"/>
      <c r="AA17" s="168"/>
      <c r="AB17" s="167"/>
      <c r="AC17" s="167"/>
      <c r="AD17" s="168"/>
      <c r="AE17" s="173"/>
      <c r="AF17" s="173"/>
      <c r="AG17" s="166"/>
      <c r="AH17" s="166"/>
      <c r="AI17" s="166"/>
      <c r="AJ17" s="166"/>
      <c r="AK17" s="166"/>
    </row>
    <row r="18" spans="1:37" ht="24.95" customHeight="1" x14ac:dyDescent="0.2">
      <c r="A18" s="3076"/>
      <c r="B18" s="3086"/>
      <c r="C18" s="3073" t="s">
        <v>2057</v>
      </c>
      <c r="D18" s="3074"/>
      <c r="E18" s="611">
        <v>23.2</v>
      </c>
      <c r="F18" s="1791">
        <f t="shared" ref="F18:F25" si="22">$E18</f>
        <v>23.2</v>
      </c>
      <c r="G18" s="612"/>
      <c r="H18" s="612"/>
      <c r="I18" s="1791">
        <f t="shared" si="20"/>
        <v>23.2</v>
      </c>
      <c r="J18" s="612"/>
      <c r="K18" s="612"/>
      <c r="L18" s="612"/>
      <c r="M18" s="612"/>
      <c r="N18" s="612"/>
      <c r="O18" s="612"/>
      <c r="P18" s="612"/>
      <c r="Q18" s="612"/>
      <c r="R18" s="612"/>
      <c r="S18" s="612"/>
      <c r="T18" s="612"/>
      <c r="U18" s="613"/>
      <c r="V18" s="200"/>
      <c r="W18" s="170"/>
      <c r="X18" s="170"/>
      <c r="Y18" s="170"/>
      <c r="Z18" s="170"/>
      <c r="AA18" s="168"/>
      <c r="AB18" s="167"/>
      <c r="AC18" s="167"/>
      <c r="AD18" s="168"/>
      <c r="AE18" s="173"/>
      <c r="AF18" s="173"/>
      <c r="AG18" s="166"/>
      <c r="AH18" s="166"/>
      <c r="AI18" s="166"/>
      <c r="AJ18" s="166"/>
      <c r="AK18" s="166"/>
    </row>
    <row r="19" spans="1:37" ht="24.95" customHeight="1" x14ac:dyDescent="0.2">
      <c r="A19" s="3076"/>
      <c r="B19" s="3087"/>
      <c r="C19" s="3073" t="s">
        <v>2058</v>
      </c>
      <c r="D19" s="3074"/>
      <c r="E19" s="611">
        <v>13.6</v>
      </c>
      <c r="F19" s="1791">
        <f t="shared" si="22"/>
        <v>13.6</v>
      </c>
      <c r="G19" s="612"/>
      <c r="H19" s="612"/>
      <c r="I19" s="612"/>
      <c r="J19" s="612"/>
      <c r="K19" s="612"/>
      <c r="L19" s="612"/>
      <c r="M19" s="612"/>
      <c r="N19" s="612"/>
      <c r="O19" s="612"/>
      <c r="P19" s="612"/>
      <c r="Q19" s="612"/>
      <c r="R19" s="612"/>
      <c r="S19" s="612"/>
      <c r="T19" s="612"/>
      <c r="U19" s="613"/>
      <c r="V19" s="200"/>
      <c r="W19" s="170"/>
      <c r="X19" s="170"/>
      <c r="Y19" s="170"/>
      <c r="Z19" s="170"/>
      <c r="AA19" s="168"/>
      <c r="AB19" s="167"/>
      <c r="AC19" s="167"/>
      <c r="AD19" s="168"/>
      <c r="AE19" s="173"/>
      <c r="AF19" s="173"/>
      <c r="AG19" s="166"/>
      <c r="AH19" s="166"/>
      <c r="AI19" s="166"/>
      <c r="AJ19" s="166"/>
      <c r="AK19" s="166"/>
    </row>
    <row r="20" spans="1:37" ht="24.95" customHeight="1" x14ac:dyDescent="0.2">
      <c r="A20" s="3076"/>
      <c r="B20" s="3087"/>
      <c r="C20" s="3073" t="s">
        <v>2059</v>
      </c>
      <c r="D20" s="3074"/>
      <c r="E20" s="611">
        <v>19.5</v>
      </c>
      <c r="F20" s="1791">
        <f t="shared" si="22"/>
        <v>19.5</v>
      </c>
      <c r="G20" s="612"/>
      <c r="H20" s="612"/>
      <c r="I20" s="612"/>
      <c r="J20" s="612"/>
      <c r="K20" s="612"/>
      <c r="L20" s="612"/>
      <c r="M20" s="612"/>
      <c r="N20" s="612"/>
      <c r="O20" s="612"/>
      <c r="P20" s="612"/>
      <c r="Q20" s="612"/>
      <c r="R20" s="612"/>
      <c r="S20" s="612"/>
      <c r="T20" s="612"/>
      <c r="U20" s="613"/>
      <c r="V20" s="200"/>
      <c r="W20" s="170"/>
      <c r="X20" s="170"/>
      <c r="Y20" s="170"/>
      <c r="Z20" s="170"/>
      <c r="AA20" s="168"/>
      <c r="AB20" s="167"/>
      <c r="AC20" s="167"/>
      <c r="AD20" s="168"/>
      <c r="AE20" s="173"/>
      <c r="AF20" s="173"/>
      <c r="AG20" s="166"/>
      <c r="AH20" s="166"/>
      <c r="AI20" s="166"/>
      <c r="AJ20" s="166"/>
      <c r="AK20" s="166"/>
    </row>
    <row r="21" spans="1:37" ht="24.95" customHeight="1" x14ac:dyDescent="0.2">
      <c r="A21" s="3076"/>
      <c r="B21" s="3087"/>
      <c r="C21" s="3073" t="s">
        <v>2060</v>
      </c>
      <c r="D21" s="3074"/>
      <c r="E21" s="611">
        <v>22.1</v>
      </c>
      <c r="F21" s="1791">
        <f t="shared" si="22"/>
        <v>22.1</v>
      </c>
      <c r="G21" s="612"/>
      <c r="H21" s="612"/>
      <c r="I21" s="612"/>
      <c r="J21" s="612"/>
      <c r="K21" s="612"/>
      <c r="L21" s="612"/>
      <c r="M21" s="612"/>
      <c r="N21" s="612"/>
      <c r="O21" s="612"/>
      <c r="P21" s="612"/>
      <c r="Q21" s="612"/>
      <c r="R21" s="612"/>
      <c r="S21" s="612"/>
      <c r="T21" s="612"/>
      <c r="U21" s="613"/>
      <c r="V21" s="200"/>
      <c r="W21" s="170"/>
      <c r="X21" s="170"/>
      <c r="Y21" s="170"/>
      <c r="Z21" s="170"/>
      <c r="AA21" s="168"/>
      <c r="AB21" s="167"/>
      <c r="AC21" s="167"/>
      <c r="AD21" s="168"/>
      <c r="AE21" s="173"/>
      <c r="AF21" s="173"/>
      <c r="AG21" s="166"/>
      <c r="AH21" s="166"/>
      <c r="AI21" s="166"/>
      <c r="AJ21" s="166"/>
      <c r="AK21" s="166"/>
    </row>
    <row r="22" spans="1:37" ht="24.95" customHeight="1" x14ac:dyDescent="0.2">
      <c r="A22" s="3076"/>
      <c r="B22" s="3086"/>
      <c r="C22" s="3073" t="s">
        <v>2061</v>
      </c>
      <c r="D22" s="3074"/>
      <c r="E22" s="611">
        <v>24.9</v>
      </c>
      <c r="F22" s="1791">
        <f t="shared" si="22"/>
        <v>24.9</v>
      </c>
      <c r="G22" s="612"/>
      <c r="H22" s="612"/>
      <c r="I22" s="612"/>
      <c r="J22" s="612"/>
      <c r="K22" s="612"/>
      <c r="L22" s="612"/>
      <c r="M22" s="612"/>
      <c r="N22" s="612"/>
      <c r="O22" s="612"/>
      <c r="P22" s="612"/>
      <c r="Q22" s="612"/>
      <c r="R22" s="612"/>
      <c r="S22" s="612"/>
      <c r="T22" s="612"/>
      <c r="U22" s="613"/>
      <c r="V22" s="200"/>
      <c r="W22" s="170"/>
      <c r="X22" s="170"/>
      <c r="Y22" s="170"/>
      <c r="Z22" s="170"/>
      <c r="AA22" s="168"/>
      <c r="AB22" s="167"/>
      <c r="AC22" s="167"/>
      <c r="AD22" s="168"/>
      <c r="AE22" s="173"/>
      <c r="AF22" s="173"/>
      <c r="AG22" s="166"/>
      <c r="AH22" s="166"/>
      <c r="AI22" s="166"/>
      <c r="AJ22" s="166"/>
      <c r="AK22" s="166"/>
    </row>
    <row r="23" spans="1:37" ht="24.95" customHeight="1" x14ac:dyDescent="0.2">
      <c r="A23" s="3076"/>
      <c r="B23" s="3087"/>
      <c r="C23" s="3073" t="s">
        <v>2062</v>
      </c>
      <c r="D23" s="3074"/>
      <c r="E23" s="611">
        <v>16.2</v>
      </c>
      <c r="F23" s="1791">
        <f t="shared" si="22"/>
        <v>16.2</v>
      </c>
      <c r="G23" s="612"/>
      <c r="H23" s="612"/>
      <c r="I23" s="612"/>
      <c r="J23" s="612"/>
      <c r="K23" s="612"/>
      <c r="L23" s="612"/>
      <c r="M23" s="612"/>
      <c r="N23" s="612"/>
      <c r="O23" s="612"/>
      <c r="P23" s="612"/>
      <c r="Q23" s="612"/>
      <c r="R23" s="612"/>
      <c r="S23" s="612"/>
      <c r="T23" s="612"/>
      <c r="U23" s="613"/>
      <c r="V23" s="200"/>
      <c r="W23" s="170"/>
      <c r="X23" s="170"/>
      <c r="Y23" s="170"/>
      <c r="Z23" s="170"/>
      <c r="AA23" s="168"/>
      <c r="AB23" s="167"/>
      <c r="AC23" s="167"/>
      <c r="AD23" s="168"/>
      <c r="AE23" s="173"/>
      <c r="AF23" s="173"/>
      <c r="AG23" s="166"/>
      <c r="AH23" s="166"/>
      <c r="AI23" s="166"/>
      <c r="AJ23" s="166"/>
      <c r="AK23" s="166"/>
    </row>
    <row r="24" spans="1:37" ht="24.95" customHeight="1" x14ac:dyDescent="0.2">
      <c r="A24" s="3076"/>
      <c r="B24" s="3087"/>
      <c r="C24" s="3073" t="s">
        <v>2063</v>
      </c>
      <c r="D24" s="3074"/>
      <c r="E24" s="611">
        <v>19.600000000000001</v>
      </c>
      <c r="F24" s="1791">
        <f t="shared" si="22"/>
        <v>19.600000000000001</v>
      </c>
      <c r="G24" s="612"/>
      <c r="H24" s="612"/>
      <c r="I24" s="612"/>
      <c r="J24" s="612"/>
      <c r="K24" s="612"/>
      <c r="L24" s="612"/>
      <c r="M24" s="612"/>
      <c r="N24" s="612"/>
      <c r="O24" s="612"/>
      <c r="P24" s="612"/>
      <c r="Q24" s="612"/>
      <c r="R24" s="1791">
        <f>$E24</f>
        <v>19.600000000000001</v>
      </c>
      <c r="S24" s="612"/>
      <c r="T24" s="612"/>
      <c r="U24" s="613"/>
      <c r="V24" s="200"/>
      <c r="W24" s="170"/>
      <c r="X24" s="170"/>
      <c r="Y24" s="170"/>
      <c r="Z24" s="170"/>
      <c r="AA24" s="168"/>
      <c r="AB24" s="167"/>
      <c r="AC24" s="167"/>
      <c r="AD24" s="168"/>
      <c r="AE24" s="173"/>
      <c r="AF24" s="173"/>
      <c r="AG24" s="166"/>
      <c r="AH24" s="166"/>
      <c r="AI24" s="166"/>
      <c r="AJ24" s="166"/>
      <c r="AK24" s="166"/>
    </row>
    <row r="25" spans="1:37" ht="24.95" customHeight="1" x14ac:dyDescent="0.2">
      <c r="A25" s="3076"/>
      <c r="B25" s="3087"/>
      <c r="C25" s="3073" t="s">
        <v>2064</v>
      </c>
      <c r="D25" s="3074"/>
      <c r="E25" s="611">
        <v>19.2</v>
      </c>
      <c r="F25" s="1791">
        <f t="shared" si="22"/>
        <v>19.2</v>
      </c>
      <c r="G25" s="612"/>
      <c r="H25" s="612"/>
      <c r="I25" s="612"/>
      <c r="J25" s="612"/>
      <c r="K25" s="612"/>
      <c r="L25" s="612"/>
      <c r="M25" s="612"/>
      <c r="N25" s="612"/>
      <c r="O25" s="612"/>
      <c r="P25" s="612"/>
      <c r="Q25" s="612"/>
      <c r="R25" s="612"/>
      <c r="S25" s="612"/>
      <c r="T25" s="612"/>
      <c r="U25" s="613"/>
      <c r="V25" s="200"/>
      <c r="W25" s="170"/>
      <c r="X25" s="170"/>
      <c r="Y25" s="170"/>
      <c r="Z25" s="170"/>
      <c r="AA25" s="168"/>
      <c r="AB25" s="167"/>
      <c r="AC25" s="167"/>
      <c r="AD25" s="168"/>
      <c r="AE25" s="173"/>
      <c r="AF25" s="173"/>
      <c r="AG25" s="166"/>
      <c r="AH25" s="166"/>
      <c r="AI25" s="166"/>
      <c r="AJ25" s="166"/>
      <c r="AK25" s="166"/>
    </row>
    <row r="26" spans="1:37" ht="24.95" hidden="1" customHeight="1" x14ac:dyDescent="0.2">
      <c r="A26" s="3076"/>
      <c r="B26" s="3087"/>
      <c r="C26" s="3073" t="s">
        <v>2065</v>
      </c>
      <c r="D26" s="3074"/>
      <c r="E26" s="611">
        <v>18.399999999999999</v>
      </c>
      <c r="F26" s="612"/>
      <c r="G26" s="612"/>
      <c r="H26" s="612"/>
      <c r="I26" s="612"/>
      <c r="J26" s="612"/>
      <c r="K26" s="612"/>
      <c r="L26" s="612"/>
      <c r="M26" s="612"/>
      <c r="N26" s="612"/>
      <c r="O26" s="612"/>
      <c r="P26" s="612"/>
      <c r="Q26" s="612"/>
      <c r="R26" s="1791">
        <f>$E26</f>
        <v>18.399999999999999</v>
      </c>
      <c r="S26" s="612"/>
      <c r="T26" s="1791">
        <f>$E26</f>
        <v>18.399999999999999</v>
      </c>
      <c r="U26" s="613"/>
      <c r="V26" s="200"/>
      <c r="W26" s="170"/>
      <c r="X26" s="170"/>
      <c r="Y26" s="170"/>
      <c r="Z26" s="170"/>
      <c r="AA26" s="168"/>
      <c r="AB26" s="167"/>
      <c r="AC26" s="167"/>
      <c r="AD26" s="168"/>
      <c r="AE26" s="173"/>
      <c r="AF26" s="173"/>
      <c r="AG26" s="166"/>
      <c r="AH26" s="166"/>
      <c r="AI26" s="166"/>
      <c r="AJ26" s="166"/>
      <c r="AK26" s="166"/>
    </row>
    <row r="27" spans="1:37" ht="24.95" hidden="1" customHeight="1" x14ac:dyDescent="0.2">
      <c r="A27" s="3076"/>
      <c r="B27" s="3087"/>
      <c r="C27" s="3073" t="s">
        <v>2066</v>
      </c>
      <c r="D27" s="3074"/>
      <c r="E27" s="611">
        <v>16.8</v>
      </c>
      <c r="F27" s="612"/>
      <c r="G27" s="612"/>
      <c r="H27" s="612"/>
      <c r="I27" s="612"/>
      <c r="J27" s="612"/>
      <c r="K27" s="612"/>
      <c r="L27" s="612"/>
      <c r="M27" s="612"/>
      <c r="N27" s="612"/>
      <c r="O27" s="612"/>
      <c r="P27" s="612"/>
      <c r="Q27" s="612"/>
      <c r="R27" s="612"/>
      <c r="S27" s="612"/>
      <c r="T27" s="612"/>
      <c r="U27" s="1792">
        <f>$E27</f>
        <v>16.8</v>
      </c>
      <c r="V27" s="200"/>
      <c r="W27" s="170"/>
      <c r="X27" s="170"/>
      <c r="Y27" s="170"/>
      <c r="Z27" s="170"/>
      <c r="AA27" s="168"/>
      <c r="AB27" s="167"/>
      <c r="AC27" s="167"/>
      <c r="AD27" s="168"/>
      <c r="AE27" s="173"/>
      <c r="AF27" s="173"/>
      <c r="AG27" s="166"/>
      <c r="AH27" s="166"/>
      <c r="AI27" s="166"/>
      <c r="AJ27" s="166"/>
      <c r="AK27" s="166"/>
    </row>
    <row r="28" spans="1:37" ht="24.95" hidden="1" customHeight="1" x14ac:dyDescent="0.2">
      <c r="A28" s="3076"/>
      <c r="B28" s="3087"/>
      <c r="C28" s="3073" t="s">
        <v>2067</v>
      </c>
      <c r="D28" s="3074"/>
      <c r="E28" s="611">
        <v>15.5</v>
      </c>
      <c r="F28" s="612"/>
      <c r="G28" s="612"/>
      <c r="H28" s="612"/>
      <c r="I28" s="612"/>
      <c r="J28" s="612"/>
      <c r="K28" s="612"/>
      <c r="L28" s="612"/>
      <c r="M28" s="612"/>
      <c r="N28" s="612"/>
      <c r="O28" s="612"/>
      <c r="P28" s="612"/>
      <c r="Q28" s="612"/>
      <c r="R28" s="612"/>
      <c r="S28" s="1791">
        <f t="shared" ref="S28:S29" si="23">$E28</f>
        <v>15.5</v>
      </c>
      <c r="T28" s="612"/>
      <c r="U28" s="613"/>
      <c r="V28" s="200"/>
      <c r="W28" s="170"/>
      <c r="X28" s="170"/>
      <c r="Y28" s="170"/>
      <c r="Z28" s="170"/>
      <c r="AA28" s="168"/>
      <c r="AB28" s="167"/>
      <c r="AC28" s="167"/>
      <c r="AD28" s="168"/>
      <c r="AE28" s="173"/>
      <c r="AF28" s="173"/>
      <c r="AG28" s="166"/>
      <c r="AH28" s="166"/>
      <c r="AI28" s="166"/>
      <c r="AJ28" s="166"/>
      <c r="AK28" s="166"/>
    </row>
    <row r="29" spans="1:37" ht="24.95" hidden="1" customHeight="1" x14ac:dyDescent="0.2">
      <c r="A29" s="3076"/>
      <c r="B29" s="3086"/>
      <c r="C29" s="3073" t="s">
        <v>2068</v>
      </c>
      <c r="D29" s="3074"/>
      <c r="E29" s="611">
        <v>18.2</v>
      </c>
      <c r="F29" s="612"/>
      <c r="G29" s="612"/>
      <c r="H29" s="612"/>
      <c r="I29" s="612"/>
      <c r="J29" s="612"/>
      <c r="K29" s="612"/>
      <c r="L29" s="612"/>
      <c r="M29" s="612"/>
      <c r="N29" s="612"/>
      <c r="O29" s="612"/>
      <c r="P29" s="612"/>
      <c r="Q29" s="612"/>
      <c r="R29" s="612"/>
      <c r="S29" s="1791">
        <f t="shared" si="23"/>
        <v>18.2</v>
      </c>
      <c r="T29" s="612"/>
      <c r="U29" s="1792">
        <f>$E29</f>
        <v>18.2</v>
      </c>
      <c r="V29" s="200"/>
      <c r="W29" s="170"/>
      <c r="X29" s="170"/>
      <c r="Y29" s="170"/>
      <c r="Z29" s="170"/>
      <c r="AA29" s="168"/>
      <c r="AB29" s="167"/>
      <c r="AC29" s="167"/>
      <c r="AD29" s="168"/>
      <c r="AE29" s="173"/>
      <c r="AF29" s="173"/>
      <c r="AG29" s="166"/>
      <c r="AH29" s="166"/>
      <c r="AI29" s="166"/>
      <c r="AJ29" s="166"/>
      <c r="AK29" s="166"/>
    </row>
    <row r="30" spans="1:37" ht="24.95" customHeight="1" x14ac:dyDescent="0.2">
      <c r="A30" s="3076"/>
      <c r="B30" s="3086"/>
      <c r="C30" s="3073" t="s">
        <v>235</v>
      </c>
      <c r="D30" s="3074"/>
      <c r="E30" s="614">
        <f>AVERAGE(E6:E29)</f>
        <v>18.069565217391304</v>
      </c>
      <c r="F30" s="615">
        <f t="shared" ref="F30:U30" si="24">AVERAGE(F6:F29)</f>
        <v>19.144444444444442</v>
      </c>
      <c r="G30" s="615">
        <f t="shared" si="24"/>
        <v>23.3</v>
      </c>
      <c r="H30" s="615">
        <f t="shared" si="24"/>
        <v>23.3</v>
      </c>
      <c r="I30" s="615">
        <f t="shared" si="24"/>
        <v>22.080000000000002</v>
      </c>
      <c r="J30" s="615">
        <f t="shared" si="24"/>
        <v>14.900000000000002</v>
      </c>
      <c r="K30" s="615">
        <f t="shared" si="24"/>
        <v>16.3</v>
      </c>
      <c r="L30" s="615">
        <f t="shared" si="24"/>
        <v>16.950000000000003</v>
      </c>
      <c r="M30" s="615">
        <f t="shared" si="24"/>
        <v>13.3</v>
      </c>
      <c r="N30" s="615">
        <f t="shared" si="24"/>
        <v>13.3</v>
      </c>
      <c r="O30" s="615">
        <f t="shared" si="24"/>
        <v>13.3</v>
      </c>
      <c r="P30" s="615">
        <f t="shared" si="24"/>
        <v>13.3</v>
      </c>
      <c r="Q30" s="615">
        <f t="shared" si="24"/>
        <v>13.3</v>
      </c>
      <c r="R30" s="615">
        <f t="shared" si="24"/>
        <v>19</v>
      </c>
      <c r="S30" s="615">
        <f t="shared" si="24"/>
        <v>16.850000000000001</v>
      </c>
      <c r="T30" s="615">
        <f t="shared" si="24"/>
        <v>18.399999999999999</v>
      </c>
      <c r="U30" s="616">
        <f t="shared" si="24"/>
        <v>17.5</v>
      </c>
      <c r="V30" s="200"/>
      <c r="W30" s="170"/>
      <c r="X30" s="170"/>
      <c r="Y30" s="170"/>
      <c r="Z30" s="170"/>
      <c r="AA30" s="170"/>
      <c r="AB30" s="170"/>
      <c r="AC30" s="167"/>
      <c r="AD30" s="168"/>
      <c r="AE30" s="173"/>
      <c r="AF30" s="173"/>
      <c r="AG30" s="166"/>
      <c r="AH30" s="166"/>
      <c r="AI30" s="166"/>
      <c r="AJ30" s="166"/>
      <c r="AK30" s="166"/>
    </row>
    <row r="31" spans="1:37" ht="24.95" hidden="1" customHeight="1" x14ac:dyDescent="0.2">
      <c r="A31" s="3076"/>
      <c r="B31" s="3070" t="s">
        <v>236</v>
      </c>
      <c r="C31" s="3071"/>
      <c r="D31" s="3072"/>
      <c r="E31" s="614">
        <f>_xlfn.STDEV.S(E6:E29)</f>
        <v>3.9363613542791627</v>
      </c>
      <c r="F31" s="1793"/>
      <c r="G31" s="1793"/>
      <c r="H31" s="1793"/>
      <c r="I31" s="1793"/>
      <c r="J31" s="1793"/>
      <c r="K31" s="1793"/>
      <c r="L31" s="1793"/>
      <c r="M31" s="1793"/>
      <c r="N31" s="1793"/>
      <c r="O31" s="1793"/>
      <c r="P31" s="1793"/>
      <c r="Q31" s="1793"/>
      <c r="R31" s="1793"/>
      <c r="S31" s="1793"/>
      <c r="T31" s="1793"/>
      <c r="U31" s="1794"/>
      <c r="V31" s="200"/>
      <c r="W31" s="170"/>
      <c r="X31" s="170"/>
      <c r="Y31" s="170"/>
      <c r="Z31" s="170"/>
      <c r="AA31" s="170"/>
      <c r="AB31" s="170"/>
      <c r="AC31" s="167"/>
      <c r="AD31" s="168"/>
      <c r="AE31" s="173"/>
      <c r="AF31" s="173"/>
      <c r="AG31" s="166"/>
      <c r="AH31" s="166"/>
      <c r="AI31" s="166"/>
      <c r="AJ31" s="166"/>
      <c r="AK31" s="166"/>
    </row>
    <row r="32" spans="1:37" ht="24.95" customHeight="1" x14ac:dyDescent="0.2">
      <c r="A32" s="3076"/>
      <c r="B32" s="3070" t="s">
        <v>237</v>
      </c>
      <c r="C32" s="3071"/>
      <c r="D32" s="3072"/>
      <c r="E32" s="632">
        <f t="shared" ref="E32:U32" si="25">E30-1.29*E31/COUNT(E6:E29)^0.5-0.68*E31</f>
        <v>14.334022871598753</v>
      </c>
      <c r="F32" s="633">
        <f t="shared" si="25"/>
        <v>19.144444444444442</v>
      </c>
      <c r="G32" s="633">
        <f t="shared" si="25"/>
        <v>23.3</v>
      </c>
      <c r="H32" s="633">
        <f t="shared" si="25"/>
        <v>23.3</v>
      </c>
      <c r="I32" s="633">
        <f t="shared" si="25"/>
        <v>22.080000000000002</v>
      </c>
      <c r="J32" s="633">
        <f t="shared" si="25"/>
        <v>14.900000000000002</v>
      </c>
      <c r="K32" s="633">
        <f t="shared" si="25"/>
        <v>16.3</v>
      </c>
      <c r="L32" s="633">
        <f t="shared" si="25"/>
        <v>16.950000000000003</v>
      </c>
      <c r="M32" s="633">
        <f t="shared" si="25"/>
        <v>13.3</v>
      </c>
      <c r="N32" s="633">
        <f t="shared" si="25"/>
        <v>13.3</v>
      </c>
      <c r="O32" s="633">
        <f t="shared" si="25"/>
        <v>13.3</v>
      </c>
      <c r="P32" s="633">
        <f t="shared" si="25"/>
        <v>13.3</v>
      </c>
      <c r="Q32" s="633">
        <f t="shared" si="25"/>
        <v>13.3</v>
      </c>
      <c r="R32" s="633">
        <f t="shared" si="25"/>
        <v>19</v>
      </c>
      <c r="S32" s="633">
        <f t="shared" si="25"/>
        <v>16.850000000000001</v>
      </c>
      <c r="T32" s="633">
        <f t="shared" si="25"/>
        <v>18.399999999999999</v>
      </c>
      <c r="U32" s="634">
        <f t="shared" si="25"/>
        <v>17.5</v>
      </c>
      <c r="V32" s="201"/>
      <c r="W32" s="170"/>
      <c r="X32" s="170"/>
      <c r="Y32" s="170"/>
      <c r="Z32" s="170"/>
      <c r="AA32" s="170"/>
      <c r="AB32" s="170"/>
      <c r="AC32" s="167"/>
      <c r="AD32" s="168"/>
      <c r="AE32" s="173"/>
      <c r="AF32" s="173"/>
      <c r="AG32" s="166"/>
      <c r="AH32" s="166"/>
      <c r="AI32" s="166"/>
      <c r="AJ32" s="166"/>
      <c r="AK32" s="166"/>
    </row>
    <row r="33" spans="1:37" ht="24.95" hidden="1" customHeight="1" x14ac:dyDescent="0.2">
      <c r="A33" s="3076"/>
      <c r="B33" s="3102" t="s">
        <v>238</v>
      </c>
      <c r="C33" s="3103"/>
      <c r="D33" s="3104"/>
      <c r="E33" s="652">
        <f>IF(E30&gt;20,20,E32)</f>
        <v>14.334022871598753</v>
      </c>
      <c r="F33" s="653">
        <f>IF(F30&gt;20,20,F32)</f>
        <v>19.144444444444442</v>
      </c>
      <c r="G33" s="653">
        <f>IF(G30&gt;20,20,G32)</f>
        <v>20</v>
      </c>
      <c r="H33" s="653">
        <f t="shared" ref="H33:T33" si="26">IF(H30&gt;20,20,H32)</f>
        <v>20</v>
      </c>
      <c r="I33" s="653">
        <f t="shared" si="26"/>
        <v>20</v>
      </c>
      <c r="J33" s="653">
        <f t="shared" si="26"/>
        <v>14.900000000000002</v>
      </c>
      <c r="K33" s="653">
        <f t="shared" si="26"/>
        <v>16.3</v>
      </c>
      <c r="L33" s="653">
        <f t="shared" si="26"/>
        <v>16.950000000000003</v>
      </c>
      <c r="M33" s="653">
        <f t="shared" si="26"/>
        <v>13.3</v>
      </c>
      <c r="N33" s="653">
        <f t="shared" si="26"/>
        <v>13.3</v>
      </c>
      <c r="O33" s="653">
        <f t="shared" si="26"/>
        <v>13.3</v>
      </c>
      <c r="P33" s="653">
        <f t="shared" si="26"/>
        <v>13.3</v>
      </c>
      <c r="Q33" s="653">
        <f t="shared" si="26"/>
        <v>13.3</v>
      </c>
      <c r="R33" s="653">
        <f t="shared" si="26"/>
        <v>19</v>
      </c>
      <c r="S33" s="653">
        <f t="shared" si="26"/>
        <v>16.850000000000001</v>
      </c>
      <c r="T33" s="653">
        <f t="shared" si="26"/>
        <v>18.399999999999999</v>
      </c>
      <c r="U33" s="654">
        <f>IF(U30&gt;20,20,U32)</f>
        <v>17.5</v>
      </c>
      <c r="V33" s="202"/>
      <c r="W33" s="170"/>
      <c r="X33" s="170"/>
      <c r="Y33" s="170"/>
      <c r="Z33" s="170"/>
      <c r="AA33" s="170"/>
      <c r="AB33" s="170"/>
      <c r="AC33" s="167"/>
      <c r="AD33" s="168"/>
      <c r="AE33" s="173"/>
      <c r="AF33" s="173"/>
      <c r="AG33" s="166"/>
      <c r="AH33" s="166"/>
      <c r="AI33" s="166"/>
      <c r="AJ33" s="166"/>
      <c r="AK33" s="166"/>
    </row>
    <row r="34" spans="1:37" ht="24.95" customHeight="1" x14ac:dyDescent="0.2">
      <c r="A34" s="3076"/>
      <c r="B34" s="3070" t="s">
        <v>239</v>
      </c>
      <c r="C34" s="3073" t="s">
        <v>240</v>
      </c>
      <c r="D34" s="3074"/>
      <c r="E34" s="881">
        <f>ROUND(77.67*((E5)^0.0482)*(20^(-0.598))*IF(E5&gt;9900000,1.2,1),0)</f>
        <v>23</v>
      </c>
      <c r="F34" s="882">
        <f t="shared" ref="F34:U34" si="27">ROUND(77.67*((F5)^0.0482)*(20^(-0.598))*IF(F5&gt;9900000,1.2,1),0)</f>
        <v>26</v>
      </c>
      <c r="G34" s="882">
        <f t="shared" si="27"/>
        <v>23</v>
      </c>
      <c r="H34" s="882">
        <f t="shared" si="27"/>
        <v>24</v>
      </c>
      <c r="I34" s="882">
        <f t="shared" si="27"/>
        <v>26</v>
      </c>
      <c r="J34" s="882">
        <f t="shared" si="27"/>
        <v>26</v>
      </c>
      <c r="K34" s="882">
        <f t="shared" si="27"/>
        <v>26</v>
      </c>
      <c r="L34" s="882">
        <f t="shared" si="27"/>
        <v>26</v>
      </c>
      <c r="M34" s="882">
        <f t="shared" si="27"/>
        <v>18</v>
      </c>
      <c r="N34" s="882">
        <f t="shared" si="27"/>
        <v>18</v>
      </c>
      <c r="O34" s="882">
        <f t="shared" si="27"/>
        <v>18</v>
      </c>
      <c r="P34" s="882">
        <f t="shared" si="27"/>
        <v>18</v>
      </c>
      <c r="Q34" s="882">
        <f t="shared" si="27"/>
        <v>18</v>
      </c>
      <c r="R34" s="882">
        <f t="shared" si="27"/>
        <v>24</v>
      </c>
      <c r="S34" s="882">
        <f t="shared" si="27"/>
        <v>26</v>
      </c>
      <c r="T34" s="882">
        <f t="shared" si="27"/>
        <v>23</v>
      </c>
      <c r="U34" s="883">
        <f t="shared" si="27"/>
        <v>23</v>
      </c>
      <c r="V34" s="200"/>
      <c r="W34" s="170"/>
      <c r="X34" s="170"/>
      <c r="Y34" s="170"/>
      <c r="Z34" s="170"/>
      <c r="AA34" s="170"/>
      <c r="AB34" s="170"/>
      <c r="AC34" s="167"/>
      <c r="AD34" s="168"/>
      <c r="AE34" s="173"/>
      <c r="AF34" s="173"/>
      <c r="AG34" s="166"/>
      <c r="AH34" s="166"/>
      <c r="AI34" s="166"/>
      <c r="AJ34" s="166"/>
      <c r="AK34" s="166"/>
    </row>
    <row r="35" spans="1:37" ht="24.95" customHeight="1" x14ac:dyDescent="0.2">
      <c r="A35" s="3076"/>
      <c r="B35" s="3086"/>
      <c r="C35" s="3073" t="s">
        <v>241</v>
      </c>
      <c r="D35" s="3074"/>
      <c r="E35" s="614">
        <f>ROUND(77.67*((E5)^0.0482)*(E50^(-0.598)),0)</f>
        <v>27</v>
      </c>
      <c r="F35" s="615">
        <f t="shared" ref="F35:U35" si="28">ROUND(77.67*((F5)^0.0482)*(F50^(-0.598)),0)</f>
        <v>27</v>
      </c>
      <c r="G35" s="615">
        <f t="shared" si="28"/>
        <v>23</v>
      </c>
      <c r="H35" s="615">
        <f t="shared" si="28"/>
        <v>24</v>
      </c>
      <c r="I35" s="615">
        <f t="shared" si="28"/>
        <v>26</v>
      </c>
      <c r="J35" s="615">
        <f t="shared" si="28"/>
        <v>31</v>
      </c>
      <c r="K35" s="615">
        <f t="shared" si="28"/>
        <v>29</v>
      </c>
      <c r="L35" s="615">
        <f t="shared" si="28"/>
        <v>29</v>
      </c>
      <c r="M35" s="615">
        <f t="shared" si="28"/>
        <v>23</v>
      </c>
      <c r="N35" s="615">
        <f t="shared" si="28"/>
        <v>23</v>
      </c>
      <c r="O35" s="615">
        <f t="shared" si="28"/>
        <v>23</v>
      </c>
      <c r="P35" s="615">
        <f t="shared" si="28"/>
        <v>23</v>
      </c>
      <c r="Q35" s="615">
        <f t="shared" si="28"/>
        <v>23</v>
      </c>
      <c r="R35" s="615">
        <f t="shared" si="28"/>
        <v>25</v>
      </c>
      <c r="S35" s="615">
        <f t="shared" si="28"/>
        <v>29</v>
      </c>
      <c r="T35" s="615">
        <f t="shared" si="28"/>
        <v>24</v>
      </c>
      <c r="U35" s="616">
        <f t="shared" si="28"/>
        <v>24</v>
      </c>
      <c r="V35" s="170"/>
      <c r="W35" s="170"/>
      <c r="X35" s="170"/>
      <c r="Y35" s="170"/>
      <c r="Z35" s="170"/>
      <c r="AA35" s="170"/>
      <c r="AB35" s="170"/>
      <c r="AC35" s="167"/>
      <c r="AD35" s="168"/>
      <c r="AE35" s="173"/>
      <c r="AF35" s="173"/>
      <c r="AG35" s="166"/>
      <c r="AH35" s="166"/>
      <c r="AI35" s="166"/>
      <c r="AJ35" s="166"/>
      <c r="AK35" s="166"/>
    </row>
    <row r="36" spans="1:37" ht="24.95" customHeight="1" x14ac:dyDescent="0.2">
      <c r="A36" s="3076"/>
      <c r="B36" s="3086"/>
      <c r="C36" s="3073" t="s">
        <v>242</v>
      </c>
      <c r="D36" s="3074"/>
      <c r="E36" s="649">
        <f>ROUND(77.67*((E5)^0.0482)*(E33^(-0.598)),0)</f>
        <v>28</v>
      </c>
      <c r="F36" s="650">
        <f t="shared" ref="F36:U36" si="29">ROUND(77.67*((F5)^0.0482)*(F33^(-0.598)),0)</f>
        <v>27</v>
      </c>
      <c r="G36" s="650">
        <f t="shared" si="29"/>
        <v>23</v>
      </c>
      <c r="H36" s="650">
        <f t="shared" si="29"/>
        <v>24</v>
      </c>
      <c r="I36" s="650">
        <f t="shared" si="29"/>
        <v>26</v>
      </c>
      <c r="J36" s="650">
        <f t="shared" si="29"/>
        <v>31</v>
      </c>
      <c r="K36" s="650">
        <f t="shared" si="29"/>
        <v>29</v>
      </c>
      <c r="L36" s="650">
        <f t="shared" si="29"/>
        <v>29</v>
      </c>
      <c r="M36" s="650">
        <f t="shared" si="29"/>
        <v>23</v>
      </c>
      <c r="N36" s="650">
        <f t="shared" si="29"/>
        <v>23</v>
      </c>
      <c r="O36" s="650">
        <f t="shared" si="29"/>
        <v>23</v>
      </c>
      <c r="P36" s="650">
        <f t="shared" si="29"/>
        <v>23</v>
      </c>
      <c r="Q36" s="650">
        <f t="shared" si="29"/>
        <v>23</v>
      </c>
      <c r="R36" s="650">
        <f t="shared" si="29"/>
        <v>25</v>
      </c>
      <c r="S36" s="650">
        <f t="shared" si="29"/>
        <v>29</v>
      </c>
      <c r="T36" s="650">
        <f t="shared" si="29"/>
        <v>24</v>
      </c>
      <c r="U36" s="651">
        <f t="shared" si="29"/>
        <v>24</v>
      </c>
      <c r="V36" s="170"/>
      <c r="W36" s="170"/>
      <c r="X36" s="170"/>
      <c r="Y36" s="170"/>
      <c r="Z36" s="170"/>
      <c r="AA36" s="170"/>
      <c r="AB36" s="170"/>
      <c r="AC36" s="167"/>
      <c r="AD36" s="169"/>
      <c r="AE36" s="173"/>
      <c r="AF36" s="173"/>
      <c r="AG36" s="166"/>
      <c r="AH36" s="166"/>
      <c r="AI36" s="166"/>
      <c r="AJ36" s="166"/>
      <c r="AK36" s="166"/>
    </row>
    <row r="37" spans="1:37" ht="24.95" customHeight="1" x14ac:dyDescent="0.2">
      <c r="A37" s="3076"/>
      <c r="B37" s="3070" t="s">
        <v>243</v>
      </c>
      <c r="C37" s="3073" t="s">
        <v>244</v>
      </c>
      <c r="D37" s="452" t="s">
        <v>225</v>
      </c>
      <c r="E37" s="611" t="s">
        <v>245</v>
      </c>
      <c r="F37" s="612" t="s">
        <v>245</v>
      </c>
      <c r="G37" s="612" t="s">
        <v>245</v>
      </c>
      <c r="H37" s="612" t="s">
        <v>245</v>
      </c>
      <c r="I37" s="612" t="s">
        <v>245</v>
      </c>
      <c r="J37" s="612" t="s">
        <v>245</v>
      </c>
      <c r="K37" s="612" t="s">
        <v>245</v>
      </c>
      <c r="L37" s="612" t="s">
        <v>245</v>
      </c>
      <c r="M37" s="612" t="s">
        <v>245</v>
      </c>
      <c r="N37" s="612" t="s">
        <v>245</v>
      </c>
      <c r="O37" s="612" t="s">
        <v>245</v>
      </c>
      <c r="P37" s="612" t="s">
        <v>245</v>
      </c>
      <c r="Q37" s="612" t="s">
        <v>245</v>
      </c>
      <c r="R37" s="612" t="s">
        <v>245</v>
      </c>
      <c r="S37" s="612" t="s">
        <v>245</v>
      </c>
      <c r="T37" s="612" t="s">
        <v>245</v>
      </c>
      <c r="U37" s="613" t="s">
        <v>245</v>
      </c>
      <c r="V37" s="170"/>
      <c r="W37" s="170"/>
      <c r="X37" s="170"/>
      <c r="Y37" s="170"/>
      <c r="Z37" s="170"/>
      <c r="AA37" s="170"/>
      <c r="AB37" s="170"/>
      <c r="AC37" s="167"/>
      <c r="AD37" s="169"/>
      <c r="AE37" s="173"/>
      <c r="AF37" s="173"/>
      <c r="AG37" s="166"/>
      <c r="AH37" s="166"/>
      <c r="AI37" s="166"/>
      <c r="AJ37" s="166"/>
      <c r="AK37" s="166"/>
    </row>
    <row r="38" spans="1:37" ht="24.95" customHeight="1" x14ac:dyDescent="0.2">
      <c r="A38" s="3076"/>
      <c r="B38" s="3086"/>
      <c r="C38" s="3085"/>
      <c r="D38" s="453" t="s">
        <v>246</v>
      </c>
      <c r="E38" s="611">
        <v>4</v>
      </c>
      <c r="F38" s="612">
        <v>4</v>
      </c>
      <c r="G38" s="612">
        <v>3</v>
      </c>
      <c r="H38" s="612">
        <v>3</v>
      </c>
      <c r="I38" s="612">
        <v>4</v>
      </c>
      <c r="J38" s="612">
        <v>4</v>
      </c>
      <c r="K38" s="612">
        <v>4</v>
      </c>
      <c r="L38" s="612">
        <v>4</v>
      </c>
      <c r="M38" s="612">
        <v>3</v>
      </c>
      <c r="N38" s="612">
        <v>3</v>
      </c>
      <c r="O38" s="612">
        <v>3</v>
      </c>
      <c r="P38" s="612">
        <v>3</v>
      </c>
      <c r="Q38" s="612">
        <v>3</v>
      </c>
      <c r="R38" s="612">
        <v>4</v>
      </c>
      <c r="S38" s="612">
        <v>4</v>
      </c>
      <c r="T38" s="612">
        <v>3</v>
      </c>
      <c r="U38" s="613">
        <v>3</v>
      </c>
      <c r="V38" s="170"/>
      <c r="W38" s="170"/>
      <c r="X38" s="170"/>
      <c r="Y38" s="170"/>
      <c r="Z38" s="170"/>
      <c r="AA38" s="170"/>
      <c r="AB38" s="170"/>
      <c r="AC38" s="167"/>
      <c r="AD38" s="169"/>
      <c r="AE38" s="173"/>
      <c r="AF38" s="173"/>
      <c r="AG38" s="166"/>
      <c r="AH38" s="166"/>
      <c r="AI38" s="166"/>
      <c r="AJ38" s="166"/>
      <c r="AK38" s="166"/>
    </row>
    <row r="39" spans="1:37" ht="24.95" customHeight="1" x14ac:dyDescent="0.2">
      <c r="A39" s="3076"/>
      <c r="B39" s="3086"/>
      <c r="C39" s="3085"/>
      <c r="D39" s="453" t="s">
        <v>247</v>
      </c>
      <c r="E39" s="620">
        <f>IF(E37="CBUQ",2,IF(E37="PMQ",1.7,IF(E37="PMF",1.4,1.2)))</f>
        <v>2</v>
      </c>
      <c r="F39" s="621">
        <f>IF(F37="CBUQ",2,IF(F37="PMQ",1.7,IF(F37="PMF",1.4,1.2)))</f>
        <v>2</v>
      </c>
      <c r="G39" s="621">
        <f t="shared" ref="G39:L39" si="30">IF(G37="CBUQ",2,IF(G37="PMQ",1.7,IF(G37="PMF",1.4,1.2)))</f>
        <v>2</v>
      </c>
      <c r="H39" s="621">
        <f t="shared" si="30"/>
        <v>2</v>
      </c>
      <c r="I39" s="621">
        <f t="shared" si="30"/>
        <v>2</v>
      </c>
      <c r="J39" s="621">
        <f t="shared" ref="J39" si="31">IF(J37="CBUQ",2,IF(J37="PMQ",1.7,IF(J37="PMF",1.4,1.2)))</f>
        <v>2</v>
      </c>
      <c r="K39" s="621">
        <f t="shared" si="30"/>
        <v>2</v>
      </c>
      <c r="L39" s="621">
        <f t="shared" si="30"/>
        <v>2</v>
      </c>
      <c r="M39" s="621">
        <f t="shared" ref="M39:S39" si="32">IF(M37="CBUQ",2,IF(M37="PMQ",1.7,IF(M37="PMF",1.4,1.2)))</f>
        <v>2</v>
      </c>
      <c r="N39" s="621">
        <f t="shared" si="32"/>
        <v>2</v>
      </c>
      <c r="O39" s="621">
        <f t="shared" si="32"/>
        <v>2</v>
      </c>
      <c r="P39" s="621">
        <f t="shared" si="32"/>
        <v>2</v>
      </c>
      <c r="Q39" s="621">
        <f t="shared" si="32"/>
        <v>2</v>
      </c>
      <c r="R39" s="621">
        <f t="shared" si="32"/>
        <v>2</v>
      </c>
      <c r="S39" s="621">
        <f t="shared" si="32"/>
        <v>2</v>
      </c>
      <c r="T39" s="621">
        <f t="shared" ref="T39:U39" si="33">IF(T37="CBUQ",2,IF(T37="PMQ",1.7,IF(T37="PMF",1.4,1.2)))</f>
        <v>2</v>
      </c>
      <c r="U39" s="622">
        <f t="shared" si="33"/>
        <v>2</v>
      </c>
      <c r="V39" s="170"/>
      <c r="W39" s="170"/>
      <c r="X39" s="170"/>
      <c r="Y39" s="170"/>
      <c r="Z39" s="170"/>
      <c r="AA39" s="170"/>
      <c r="AB39" s="170"/>
      <c r="AC39" s="167"/>
      <c r="AD39" s="169"/>
      <c r="AE39" s="173"/>
      <c r="AF39" s="173"/>
      <c r="AG39" s="166"/>
      <c r="AH39" s="166"/>
      <c r="AI39" s="166"/>
      <c r="AJ39" s="166"/>
      <c r="AK39" s="166"/>
    </row>
    <row r="40" spans="1:37" ht="24.95" customHeight="1" x14ac:dyDescent="0.2">
      <c r="A40" s="3076"/>
      <c r="B40" s="3086"/>
      <c r="C40" s="3091" t="s">
        <v>59</v>
      </c>
      <c r="D40" s="452" t="s">
        <v>225</v>
      </c>
      <c r="E40" s="623" t="s">
        <v>248</v>
      </c>
      <c r="F40" s="624" t="s">
        <v>248</v>
      </c>
      <c r="G40" s="624" t="s">
        <v>248</v>
      </c>
      <c r="H40" s="624" t="s">
        <v>248</v>
      </c>
      <c r="I40" s="624" t="s">
        <v>248</v>
      </c>
      <c r="J40" s="624" t="s">
        <v>248</v>
      </c>
      <c r="K40" s="624" t="s">
        <v>248</v>
      </c>
      <c r="L40" s="624" t="s">
        <v>248</v>
      </c>
      <c r="M40" s="624" t="s">
        <v>248</v>
      </c>
      <c r="N40" s="624" t="s">
        <v>248</v>
      </c>
      <c r="O40" s="624" t="s">
        <v>248</v>
      </c>
      <c r="P40" s="624" t="s">
        <v>248</v>
      </c>
      <c r="Q40" s="624" t="s">
        <v>248</v>
      </c>
      <c r="R40" s="624" t="s">
        <v>248</v>
      </c>
      <c r="S40" s="624" t="s">
        <v>248</v>
      </c>
      <c r="T40" s="624" t="s">
        <v>248</v>
      </c>
      <c r="U40" s="625" t="s">
        <v>248</v>
      </c>
      <c r="V40" s="170"/>
      <c r="W40" s="170"/>
      <c r="X40" s="170"/>
      <c r="Y40" s="170"/>
      <c r="Z40" s="170"/>
      <c r="AA40" s="170"/>
      <c r="AB40" s="170"/>
      <c r="AC40" s="167"/>
      <c r="AD40" s="168"/>
      <c r="AE40" s="173"/>
      <c r="AF40" s="173"/>
      <c r="AG40" s="166"/>
      <c r="AH40" s="166"/>
      <c r="AI40" s="166"/>
      <c r="AJ40" s="166"/>
      <c r="AK40" s="166"/>
    </row>
    <row r="41" spans="1:37" ht="24.95" customHeight="1" x14ac:dyDescent="0.2">
      <c r="A41" s="3076"/>
      <c r="B41" s="3086"/>
      <c r="C41" s="3085"/>
      <c r="D41" s="452" t="s">
        <v>249</v>
      </c>
      <c r="E41" s="626" t="str">
        <f>CONCATENATE("≥ ",IF(E5&gt;1000000,80,60))</f>
        <v>≥ 60</v>
      </c>
      <c r="F41" s="627" t="str">
        <f>CONCATENATE("≥ ",IF(F5&gt;1000000,80,60))</f>
        <v>≥ 80</v>
      </c>
      <c r="G41" s="627" t="str">
        <f>CONCATENATE("≥ ",IF(G5&gt;1000000,80,60))</f>
        <v>≥ 60</v>
      </c>
      <c r="H41" s="627" t="str">
        <f t="shared" ref="H41:L41" si="34">CONCATENATE("≥ ",IF(H5&gt;1000000,80,60))</f>
        <v>≥ 60</v>
      </c>
      <c r="I41" s="627" t="str">
        <f t="shared" si="34"/>
        <v>≥ 80</v>
      </c>
      <c r="J41" s="627" t="str">
        <f t="shared" ref="J41" si="35">CONCATENATE("≥ ",IF(J5&gt;1000000,80,60))</f>
        <v>≥ 80</v>
      </c>
      <c r="K41" s="627" t="str">
        <f t="shared" si="34"/>
        <v>≥ 80</v>
      </c>
      <c r="L41" s="627" t="str">
        <f t="shared" si="34"/>
        <v>≥ 80</v>
      </c>
      <c r="M41" s="627" t="str">
        <f>CONCATENATE("≥ ",IF(M5&gt;1000000,80,60))</f>
        <v>≥ 60</v>
      </c>
      <c r="N41" s="627" t="str">
        <f>CONCATENATE("≥ ",IF(N5&gt;1000000,80,60))</f>
        <v>≥ 60</v>
      </c>
      <c r="O41" s="627" t="str">
        <f>CONCATENATE("≥ ",IF(O5&gt;1000000,80,60))</f>
        <v>≥ 60</v>
      </c>
      <c r="P41" s="627" t="str">
        <f>CONCATENATE("≥ ",IF(P5&gt;1000000,80,60))</f>
        <v>≥ 60</v>
      </c>
      <c r="Q41" s="627" t="str">
        <f>CONCATENATE("≥ ",IF(Q5&gt;1000000,80,60))</f>
        <v>≥ 60</v>
      </c>
      <c r="R41" s="627" t="str">
        <f t="shared" ref="R41:U41" si="36">CONCATENATE("≥ ",IF(R5&gt;1000000,80,60))</f>
        <v>≥ 60</v>
      </c>
      <c r="S41" s="627" t="str">
        <f t="shared" si="36"/>
        <v>≥ 80</v>
      </c>
      <c r="T41" s="627" t="str">
        <f t="shared" si="36"/>
        <v>≥ 60</v>
      </c>
      <c r="U41" s="628" t="str">
        <f t="shared" si="36"/>
        <v>≥ 60</v>
      </c>
      <c r="V41" s="170"/>
      <c r="W41" s="170"/>
      <c r="X41" s="170"/>
      <c r="Y41" s="170"/>
      <c r="Z41" s="170"/>
      <c r="AA41" s="170"/>
      <c r="AB41" s="170"/>
      <c r="AC41" s="167"/>
      <c r="AD41" s="168"/>
      <c r="AE41" s="173"/>
      <c r="AF41" s="173"/>
      <c r="AG41" s="166"/>
      <c r="AH41" s="166"/>
      <c r="AI41" s="166"/>
      <c r="AJ41" s="166"/>
      <c r="AK41" s="166"/>
    </row>
    <row r="42" spans="1:37" ht="24.95" customHeight="1" x14ac:dyDescent="0.2">
      <c r="A42" s="3076"/>
      <c r="B42" s="3086"/>
      <c r="C42" s="3085"/>
      <c r="D42" s="453" t="s">
        <v>246</v>
      </c>
      <c r="E42" s="629">
        <v>20</v>
      </c>
      <c r="F42" s="630">
        <v>20</v>
      </c>
      <c r="G42" s="630">
        <v>18</v>
      </c>
      <c r="H42" s="630">
        <v>18</v>
      </c>
      <c r="I42" s="630">
        <v>20</v>
      </c>
      <c r="J42" s="630">
        <v>25</v>
      </c>
      <c r="K42" s="630">
        <v>25</v>
      </c>
      <c r="L42" s="630">
        <v>25</v>
      </c>
      <c r="M42" s="630">
        <v>18</v>
      </c>
      <c r="N42" s="630">
        <v>18</v>
      </c>
      <c r="O42" s="630">
        <v>18</v>
      </c>
      <c r="P42" s="630">
        <v>18</v>
      </c>
      <c r="Q42" s="630">
        <v>18</v>
      </c>
      <c r="R42" s="630">
        <v>20</v>
      </c>
      <c r="S42" s="630">
        <v>25</v>
      </c>
      <c r="T42" s="630">
        <v>20</v>
      </c>
      <c r="U42" s="631">
        <v>20</v>
      </c>
      <c r="V42" s="170"/>
      <c r="W42" s="170"/>
      <c r="X42" s="170"/>
      <c r="Y42" s="170"/>
      <c r="Z42" s="170"/>
      <c r="AA42" s="170"/>
      <c r="AB42" s="170"/>
      <c r="AC42" s="167"/>
      <c r="AD42" s="168"/>
      <c r="AE42" s="173"/>
      <c r="AF42" s="173"/>
      <c r="AG42" s="166"/>
      <c r="AH42" s="166"/>
      <c r="AI42" s="166"/>
      <c r="AJ42" s="166"/>
      <c r="AK42" s="166"/>
    </row>
    <row r="43" spans="1:37" ht="24.95" customHeight="1" x14ac:dyDescent="0.2">
      <c r="A43" s="3076"/>
      <c r="B43" s="3086"/>
      <c r="C43" s="3085"/>
      <c r="D43" s="453" t="s">
        <v>247</v>
      </c>
      <c r="E43" s="626">
        <v>1</v>
      </c>
      <c r="F43" s="627">
        <v>1</v>
      </c>
      <c r="G43" s="627">
        <v>1</v>
      </c>
      <c r="H43" s="627">
        <v>1</v>
      </c>
      <c r="I43" s="627">
        <v>1</v>
      </c>
      <c r="J43" s="627">
        <v>1</v>
      </c>
      <c r="K43" s="627">
        <v>1</v>
      </c>
      <c r="L43" s="627">
        <v>1</v>
      </c>
      <c r="M43" s="627">
        <v>1</v>
      </c>
      <c r="N43" s="627">
        <v>1</v>
      </c>
      <c r="O43" s="627">
        <v>1</v>
      </c>
      <c r="P43" s="627">
        <v>1</v>
      </c>
      <c r="Q43" s="627">
        <v>1</v>
      </c>
      <c r="R43" s="627">
        <v>1</v>
      </c>
      <c r="S43" s="627">
        <v>1</v>
      </c>
      <c r="T43" s="627">
        <v>1</v>
      </c>
      <c r="U43" s="628">
        <v>1</v>
      </c>
      <c r="V43" s="170"/>
      <c r="W43" s="170"/>
      <c r="X43" s="170"/>
      <c r="Y43" s="170"/>
      <c r="Z43" s="170"/>
      <c r="AA43" s="170"/>
      <c r="AB43" s="170"/>
      <c r="AC43" s="167"/>
      <c r="AD43" s="168"/>
      <c r="AE43" s="173"/>
      <c r="AF43" s="173"/>
      <c r="AG43" s="166"/>
      <c r="AH43" s="166"/>
      <c r="AI43" s="166"/>
      <c r="AJ43" s="166"/>
      <c r="AK43" s="166"/>
    </row>
    <row r="44" spans="1:37" ht="24.95" hidden="1" customHeight="1" x14ac:dyDescent="0.2">
      <c r="A44" s="3076"/>
      <c r="B44" s="3086"/>
      <c r="C44" s="3091" t="s">
        <v>250</v>
      </c>
      <c r="D44" s="452" t="s">
        <v>225</v>
      </c>
      <c r="E44" s="623" t="s">
        <v>251</v>
      </c>
      <c r="F44" s="624" t="s">
        <v>251</v>
      </c>
      <c r="G44" s="624" t="s">
        <v>251</v>
      </c>
      <c r="H44" s="624" t="s">
        <v>251</v>
      </c>
      <c r="I44" s="624" t="s">
        <v>251</v>
      </c>
      <c r="J44" s="624" t="s">
        <v>251</v>
      </c>
      <c r="K44" s="624" t="s">
        <v>251</v>
      </c>
      <c r="L44" s="624" t="s">
        <v>251</v>
      </c>
      <c r="M44" s="624" t="s">
        <v>251</v>
      </c>
      <c r="N44" s="624" t="s">
        <v>251</v>
      </c>
      <c r="O44" s="624" t="s">
        <v>251</v>
      </c>
      <c r="P44" s="624" t="s">
        <v>251</v>
      </c>
      <c r="Q44" s="624" t="s">
        <v>251</v>
      </c>
      <c r="R44" s="624" t="s">
        <v>251</v>
      </c>
      <c r="S44" s="624" t="s">
        <v>251</v>
      </c>
      <c r="T44" s="624" t="s">
        <v>251</v>
      </c>
      <c r="U44" s="625" t="s">
        <v>251</v>
      </c>
      <c r="V44" s="170"/>
      <c r="W44" s="170"/>
      <c r="X44" s="170"/>
      <c r="Y44" s="170"/>
      <c r="Z44" s="170"/>
      <c r="AA44" s="170"/>
      <c r="AB44" s="170"/>
      <c r="AC44" s="167"/>
      <c r="AD44" s="168"/>
      <c r="AE44" s="173"/>
      <c r="AF44" s="173"/>
      <c r="AG44" s="166"/>
      <c r="AH44" s="166"/>
      <c r="AI44" s="166"/>
      <c r="AJ44" s="166"/>
      <c r="AK44" s="166"/>
    </row>
    <row r="45" spans="1:37" ht="24.95" hidden="1" customHeight="1" x14ac:dyDescent="0.2">
      <c r="A45" s="3076"/>
      <c r="B45" s="3086"/>
      <c r="C45" s="3085"/>
      <c r="D45" s="3093" t="s">
        <v>249</v>
      </c>
      <c r="E45" s="626" t="s">
        <v>252</v>
      </c>
      <c r="F45" s="627" t="s">
        <v>252</v>
      </c>
      <c r="G45" s="627" t="s">
        <v>252</v>
      </c>
      <c r="H45" s="627" t="s">
        <v>252</v>
      </c>
      <c r="I45" s="627" t="s">
        <v>252</v>
      </c>
      <c r="J45" s="627" t="s">
        <v>252</v>
      </c>
      <c r="K45" s="627" t="s">
        <v>252</v>
      </c>
      <c r="L45" s="627" t="s">
        <v>252</v>
      </c>
      <c r="M45" s="627" t="s">
        <v>252</v>
      </c>
      <c r="N45" s="627" t="s">
        <v>252</v>
      </c>
      <c r="O45" s="627" t="s">
        <v>252</v>
      </c>
      <c r="P45" s="627" t="s">
        <v>252</v>
      </c>
      <c r="Q45" s="627" t="s">
        <v>252</v>
      </c>
      <c r="R45" s="627" t="s">
        <v>252</v>
      </c>
      <c r="S45" s="627" t="s">
        <v>252</v>
      </c>
      <c r="T45" s="627" t="s">
        <v>252</v>
      </c>
      <c r="U45" s="628" t="s">
        <v>252</v>
      </c>
      <c r="V45" s="170"/>
      <c r="W45" s="170"/>
      <c r="X45" s="170"/>
      <c r="Y45" s="170"/>
      <c r="Z45" s="170"/>
      <c r="AA45" s="170"/>
      <c r="AB45" s="170"/>
      <c r="AC45" s="167"/>
      <c r="AD45" s="168"/>
      <c r="AE45" s="173"/>
      <c r="AF45" s="173"/>
      <c r="AG45" s="166"/>
      <c r="AH45" s="166"/>
      <c r="AI45" s="166"/>
      <c r="AJ45" s="166"/>
      <c r="AK45" s="166"/>
    </row>
    <row r="46" spans="1:37" ht="24.95" hidden="1" customHeight="1" x14ac:dyDescent="0.2">
      <c r="A46" s="3076"/>
      <c r="B46" s="3086"/>
      <c r="C46" s="3085"/>
      <c r="D46" s="3074"/>
      <c r="E46" s="623">
        <v>15</v>
      </c>
      <c r="F46" s="624"/>
      <c r="G46" s="624"/>
      <c r="H46" s="624"/>
      <c r="I46" s="624"/>
      <c r="J46" s="624">
        <v>20</v>
      </c>
      <c r="K46" s="624"/>
      <c r="L46" s="624">
        <v>20</v>
      </c>
      <c r="M46" s="624">
        <v>20</v>
      </c>
      <c r="N46" s="624">
        <v>20</v>
      </c>
      <c r="O46" s="624">
        <v>20</v>
      </c>
      <c r="P46" s="624">
        <v>20</v>
      </c>
      <c r="Q46" s="624">
        <v>20</v>
      </c>
      <c r="R46" s="624"/>
      <c r="S46" s="624">
        <v>20</v>
      </c>
      <c r="T46" s="624">
        <v>20</v>
      </c>
      <c r="U46" s="625">
        <v>20</v>
      </c>
      <c r="V46" s="170"/>
      <c r="W46" s="170"/>
      <c r="X46" s="170"/>
      <c r="Y46" s="170"/>
      <c r="Z46" s="170"/>
      <c r="AA46" s="170"/>
      <c r="AB46" s="170"/>
      <c r="AC46" s="167"/>
      <c r="AD46" s="168"/>
      <c r="AE46" s="173"/>
      <c r="AF46" s="173"/>
      <c r="AG46" s="166"/>
      <c r="AH46" s="166"/>
      <c r="AI46" s="166"/>
      <c r="AJ46" s="166"/>
      <c r="AK46" s="166"/>
    </row>
    <row r="47" spans="1:37" ht="24.95" hidden="1" customHeight="1" x14ac:dyDescent="0.2">
      <c r="A47" s="3076"/>
      <c r="B47" s="3086"/>
      <c r="C47" s="3085"/>
      <c r="D47" s="453" t="s">
        <v>246</v>
      </c>
      <c r="E47" s="629">
        <v>15</v>
      </c>
      <c r="F47" s="630"/>
      <c r="G47" s="630"/>
      <c r="H47" s="630"/>
      <c r="I47" s="630"/>
      <c r="J47" s="630"/>
      <c r="K47" s="630"/>
      <c r="L47" s="630"/>
      <c r="M47" s="630"/>
      <c r="N47" s="630"/>
      <c r="O47" s="630"/>
      <c r="P47" s="630"/>
      <c r="Q47" s="630"/>
      <c r="R47" s="630"/>
      <c r="S47" s="630"/>
      <c r="T47" s="630"/>
      <c r="U47" s="631"/>
      <c r="V47" s="170"/>
      <c r="W47" s="170"/>
      <c r="X47" s="170"/>
      <c r="Y47" s="170"/>
      <c r="Z47" s="170"/>
      <c r="AA47" s="170"/>
      <c r="AB47" s="170"/>
      <c r="AC47" s="167"/>
      <c r="AD47" s="168"/>
      <c r="AE47" s="173"/>
      <c r="AF47" s="173"/>
      <c r="AG47" s="166"/>
      <c r="AH47" s="166"/>
      <c r="AI47" s="166"/>
      <c r="AJ47" s="166"/>
      <c r="AK47" s="166"/>
    </row>
    <row r="48" spans="1:37" ht="24.95" hidden="1" customHeight="1" x14ac:dyDescent="0.2">
      <c r="A48" s="3076"/>
      <c r="B48" s="3086"/>
      <c r="C48" s="3085"/>
      <c r="D48" s="453" t="s">
        <v>247</v>
      </c>
      <c r="E48" s="626">
        <v>1</v>
      </c>
      <c r="F48" s="627">
        <v>1</v>
      </c>
      <c r="G48" s="627">
        <v>1</v>
      </c>
      <c r="H48" s="627">
        <v>1</v>
      </c>
      <c r="I48" s="627">
        <v>1</v>
      </c>
      <c r="J48" s="627">
        <v>1</v>
      </c>
      <c r="K48" s="627">
        <v>1</v>
      </c>
      <c r="L48" s="627">
        <v>1</v>
      </c>
      <c r="M48" s="627">
        <v>1</v>
      </c>
      <c r="N48" s="627">
        <v>1</v>
      </c>
      <c r="O48" s="627">
        <v>1</v>
      </c>
      <c r="P48" s="627">
        <v>1</v>
      </c>
      <c r="Q48" s="627">
        <v>1</v>
      </c>
      <c r="R48" s="627">
        <v>1</v>
      </c>
      <c r="S48" s="627">
        <v>1</v>
      </c>
      <c r="T48" s="627">
        <v>1</v>
      </c>
      <c r="U48" s="628">
        <v>1</v>
      </c>
      <c r="V48" s="170"/>
      <c r="W48" s="170"/>
      <c r="X48" s="170"/>
      <c r="Y48" s="170"/>
      <c r="Z48" s="170"/>
      <c r="AA48" s="170"/>
      <c r="AB48" s="170"/>
      <c r="AC48" s="167"/>
      <c r="AD48" s="167"/>
      <c r="AE48" s="173"/>
      <c r="AF48" s="173"/>
      <c r="AG48" s="166"/>
      <c r="AH48" s="166"/>
      <c r="AI48" s="166"/>
      <c r="AJ48" s="166"/>
      <c r="AK48" s="166"/>
    </row>
    <row r="49" spans="1:37" ht="24.95" hidden="1" customHeight="1" x14ac:dyDescent="0.2">
      <c r="A49" s="3076"/>
      <c r="B49" s="3086"/>
      <c r="C49" s="3091" t="s">
        <v>253</v>
      </c>
      <c r="D49" s="3093" t="s">
        <v>249</v>
      </c>
      <c r="E49" s="626" t="str">
        <f>CONCATENATE("≥ ",INT(E30))</f>
        <v>≥ 18</v>
      </c>
      <c r="F49" s="627" t="str">
        <f>CONCATENATE("≥ ",INT(F30))</f>
        <v>≥ 19</v>
      </c>
      <c r="G49" s="627" t="str">
        <f t="shared" ref="G49:L49" si="37">CONCATENATE("≥ ",INT(G30))</f>
        <v>≥ 23</v>
      </c>
      <c r="H49" s="627" t="str">
        <f t="shared" si="37"/>
        <v>≥ 23</v>
      </c>
      <c r="I49" s="627" t="str">
        <f t="shared" si="37"/>
        <v>≥ 22</v>
      </c>
      <c r="J49" s="627" t="str">
        <f t="shared" si="37"/>
        <v>≥ 14</v>
      </c>
      <c r="K49" s="627" t="str">
        <f t="shared" si="37"/>
        <v>≥ 16</v>
      </c>
      <c r="L49" s="627" t="str">
        <f t="shared" si="37"/>
        <v>≥ 16</v>
      </c>
      <c r="M49" s="627" t="str">
        <f t="shared" ref="M49" si="38">CONCATENATE("≥ ",INT(M30))</f>
        <v>≥ 13</v>
      </c>
      <c r="N49" s="627" t="str">
        <f t="shared" ref="N49:O49" si="39">CONCATENATE("≥ ",INT(N30))</f>
        <v>≥ 13</v>
      </c>
      <c r="O49" s="627" t="str">
        <f t="shared" si="39"/>
        <v>≥ 13</v>
      </c>
      <c r="P49" s="627" t="str">
        <f t="shared" ref="P49:S49" si="40">CONCATENATE("≥ ",INT(P30))</f>
        <v>≥ 13</v>
      </c>
      <c r="Q49" s="627" t="str">
        <f t="shared" si="40"/>
        <v>≥ 13</v>
      </c>
      <c r="R49" s="627" t="str">
        <f t="shared" si="40"/>
        <v>≥ 19</v>
      </c>
      <c r="S49" s="627" t="str">
        <f t="shared" si="40"/>
        <v>≥ 16</v>
      </c>
      <c r="T49" s="627" t="str">
        <f t="shared" ref="T49:U49" si="41">CONCATENATE("≥ ",INT(T30))</f>
        <v>≥ 18</v>
      </c>
      <c r="U49" s="628" t="str">
        <f t="shared" si="41"/>
        <v>≥ 17</v>
      </c>
      <c r="V49" s="170"/>
      <c r="W49" s="170"/>
      <c r="X49" s="170"/>
      <c r="Y49" s="170"/>
      <c r="Z49" s="170"/>
      <c r="AA49" s="170"/>
      <c r="AB49" s="170"/>
      <c r="AC49" s="167"/>
      <c r="AD49" s="168"/>
      <c r="AE49" s="173"/>
      <c r="AF49" s="173"/>
      <c r="AG49" s="166"/>
      <c r="AH49" s="166"/>
      <c r="AI49" s="166"/>
      <c r="AJ49" s="166"/>
      <c r="AK49" s="166"/>
    </row>
    <row r="50" spans="1:37" ht="24.95" hidden="1" customHeight="1" x14ac:dyDescent="0.2">
      <c r="A50" s="3076"/>
      <c r="B50" s="3086"/>
      <c r="C50" s="3085"/>
      <c r="D50" s="3074"/>
      <c r="E50" s="623">
        <v>15</v>
      </c>
      <c r="F50" s="624">
        <f t="shared" ref="F50:U50" si="42">F33</f>
        <v>19.144444444444442</v>
      </c>
      <c r="G50" s="624">
        <f t="shared" si="42"/>
        <v>20</v>
      </c>
      <c r="H50" s="624">
        <f t="shared" si="42"/>
        <v>20</v>
      </c>
      <c r="I50" s="624">
        <f t="shared" si="42"/>
        <v>20</v>
      </c>
      <c r="J50" s="624">
        <f t="shared" si="42"/>
        <v>14.900000000000002</v>
      </c>
      <c r="K50" s="624">
        <f t="shared" si="42"/>
        <v>16.3</v>
      </c>
      <c r="L50" s="624">
        <f t="shared" si="42"/>
        <v>16.950000000000003</v>
      </c>
      <c r="M50" s="624">
        <f t="shared" si="42"/>
        <v>13.3</v>
      </c>
      <c r="N50" s="624">
        <f t="shared" si="42"/>
        <v>13.3</v>
      </c>
      <c r="O50" s="624">
        <f t="shared" si="42"/>
        <v>13.3</v>
      </c>
      <c r="P50" s="624">
        <f t="shared" si="42"/>
        <v>13.3</v>
      </c>
      <c r="Q50" s="624">
        <f t="shared" si="42"/>
        <v>13.3</v>
      </c>
      <c r="R50" s="624">
        <f t="shared" si="42"/>
        <v>19</v>
      </c>
      <c r="S50" s="624">
        <f t="shared" si="42"/>
        <v>16.850000000000001</v>
      </c>
      <c r="T50" s="624">
        <f t="shared" si="42"/>
        <v>18.399999999999999</v>
      </c>
      <c r="U50" s="625">
        <f t="shared" si="42"/>
        <v>17.5</v>
      </c>
      <c r="V50" s="170"/>
      <c r="W50" s="170"/>
      <c r="X50" s="170"/>
      <c r="Y50" s="170"/>
      <c r="Z50" s="170"/>
      <c r="AA50" s="170"/>
      <c r="AB50" s="170"/>
      <c r="AC50" s="167"/>
      <c r="AD50" s="168"/>
      <c r="AE50" s="173"/>
      <c r="AF50" s="173"/>
      <c r="AG50" s="166"/>
      <c r="AH50" s="166"/>
      <c r="AI50" s="166"/>
      <c r="AJ50" s="166"/>
      <c r="AK50" s="166"/>
    </row>
    <row r="51" spans="1:37" ht="24.95" hidden="1" customHeight="1" x14ac:dyDescent="0.2">
      <c r="A51" s="3076"/>
      <c r="B51" s="3087"/>
      <c r="C51" s="3092"/>
      <c r="D51" s="453" t="s">
        <v>90</v>
      </c>
      <c r="E51" s="623"/>
      <c r="F51" s="624"/>
      <c r="G51" s="624"/>
      <c r="H51" s="624"/>
      <c r="I51" s="624"/>
      <c r="J51" s="624"/>
      <c r="K51" s="624"/>
      <c r="L51" s="624"/>
      <c r="M51" s="624" t="s">
        <v>2085</v>
      </c>
      <c r="N51" s="624" t="s">
        <v>2085</v>
      </c>
      <c r="O51" s="624" t="s">
        <v>2085</v>
      </c>
      <c r="P51" s="624" t="s">
        <v>2085</v>
      </c>
      <c r="Q51" s="624" t="s">
        <v>2085</v>
      </c>
      <c r="R51" s="624"/>
      <c r="S51" s="624"/>
      <c r="T51" s="624" t="s">
        <v>2085</v>
      </c>
      <c r="U51" s="625" t="s">
        <v>2085</v>
      </c>
      <c r="V51" s="170"/>
      <c r="W51" s="170"/>
      <c r="X51" s="170"/>
      <c r="Y51" s="170"/>
      <c r="Z51" s="170"/>
      <c r="AA51" s="170"/>
      <c r="AB51" s="170"/>
      <c r="AC51" s="167"/>
      <c r="AD51" s="168"/>
      <c r="AE51" s="173"/>
      <c r="AF51" s="173"/>
      <c r="AG51" s="166"/>
      <c r="AH51" s="166"/>
      <c r="AI51" s="166"/>
      <c r="AJ51" s="166"/>
      <c r="AK51" s="166"/>
    </row>
    <row r="52" spans="1:37" ht="24.95" hidden="1" customHeight="1" x14ac:dyDescent="0.2">
      <c r="A52" s="3076"/>
      <c r="B52" s="3086"/>
      <c r="C52" s="3085"/>
      <c r="D52" s="453" t="s">
        <v>246</v>
      </c>
      <c r="E52" s="629"/>
      <c r="F52" s="630"/>
      <c r="G52" s="630"/>
      <c r="H52" s="630"/>
      <c r="I52" s="630"/>
      <c r="J52" s="630"/>
      <c r="K52" s="630"/>
      <c r="L52" s="630"/>
      <c r="M52" s="630"/>
      <c r="N52" s="630"/>
      <c r="O52" s="630"/>
      <c r="P52" s="630"/>
      <c r="Q52" s="630"/>
      <c r="R52" s="630"/>
      <c r="S52" s="630"/>
      <c r="T52" s="630"/>
      <c r="U52" s="631"/>
      <c r="V52" s="170"/>
      <c r="W52" s="170"/>
      <c r="X52" s="170"/>
      <c r="Y52" s="170"/>
      <c r="Z52" s="170"/>
      <c r="AA52" s="170"/>
      <c r="AB52" s="170"/>
      <c r="AC52" s="167"/>
      <c r="AD52" s="168"/>
      <c r="AE52" s="173"/>
      <c r="AF52" s="173"/>
      <c r="AG52" s="166"/>
      <c r="AH52" s="166"/>
      <c r="AI52" s="166"/>
      <c r="AJ52" s="166"/>
      <c r="AK52" s="166"/>
    </row>
    <row r="53" spans="1:37" ht="24.95" hidden="1" customHeight="1" x14ac:dyDescent="0.2">
      <c r="A53" s="3076"/>
      <c r="B53" s="3086"/>
      <c r="C53" s="3085"/>
      <c r="D53" s="453" t="s">
        <v>247</v>
      </c>
      <c r="E53" s="626">
        <v>1</v>
      </c>
      <c r="F53" s="627">
        <v>1</v>
      </c>
      <c r="G53" s="627">
        <v>1</v>
      </c>
      <c r="H53" s="627">
        <v>1</v>
      </c>
      <c r="I53" s="627">
        <v>1</v>
      </c>
      <c r="J53" s="627">
        <v>1</v>
      </c>
      <c r="K53" s="627">
        <v>1</v>
      </c>
      <c r="L53" s="627">
        <v>1</v>
      </c>
      <c r="M53" s="627">
        <v>1</v>
      </c>
      <c r="N53" s="627">
        <v>1</v>
      </c>
      <c r="O53" s="627">
        <v>1</v>
      </c>
      <c r="P53" s="627">
        <v>1</v>
      </c>
      <c r="Q53" s="627">
        <v>1</v>
      </c>
      <c r="R53" s="627">
        <v>1</v>
      </c>
      <c r="S53" s="627">
        <v>1</v>
      </c>
      <c r="T53" s="627">
        <v>1</v>
      </c>
      <c r="U53" s="628">
        <v>1</v>
      </c>
      <c r="V53" s="170"/>
      <c r="W53" s="170"/>
      <c r="X53" s="170"/>
      <c r="Y53" s="170"/>
      <c r="Z53" s="170"/>
      <c r="AA53" s="170"/>
      <c r="AB53" s="170"/>
      <c r="AC53" s="167"/>
      <c r="AD53" s="167"/>
      <c r="AE53" s="173"/>
      <c r="AF53" s="173"/>
      <c r="AG53" s="166"/>
      <c r="AH53" s="166"/>
      <c r="AI53" s="166"/>
      <c r="AJ53" s="166"/>
      <c r="AK53" s="166"/>
    </row>
    <row r="54" spans="1:37" ht="24.95" customHeight="1" x14ac:dyDescent="0.2">
      <c r="A54" s="3076"/>
      <c r="B54" s="3086"/>
      <c r="C54" s="3091" t="s">
        <v>254</v>
      </c>
      <c r="D54" s="452" t="s">
        <v>249</v>
      </c>
      <c r="E54" s="626">
        <f>E32</f>
        <v>14.334022871598753</v>
      </c>
      <c r="F54" s="627">
        <f>F32</f>
        <v>19.144444444444442</v>
      </c>
      <c r="G54" s="627">
        <f t="shared" ref="G54:L54" si="43">G32</f>
        <v>23.3</v>
      </c>
      <c r="H54" s="627">
        <f t="shared" si="43"/>
        <v>23.3</v>
      </c>
      <c r="I54" s="627">
        <f t="shared" si="43"/>
        <v>22.080000000000002</v>
      </c>
      <c r="J54" s="627">
        <f t="shared" si="43"/>
        <v>14.900000000000002</v>
      </c>
      <c r="K54" s="627">
        <f t="shared" si="43"/>
        <v>16.3</v>
      </c>
      <c r="L54" s="627">
        <f t="shared" si="43"/>
        <v>16.950000000000003</v>
      </c>
      <c r="M54" s="627">
        <f t="shared" ref="M54:S54" si="44">M32</f>
        <v>13.3</v>
      </c>
      <c r="N54" s="627">
        <f t="shared" si="44"/>
        <v>13.3</v>
      </c>
      <c r="O54" s="627">
        <f t="shared" si="44"/>
        <v>13.3</v>
      </c>
      <c r="P54" s="627">
        <f t="shared" si="44"/>
        <v>13.3</v>
      </c>
      <c r="Q54" s="627">
        <f t="shared" si="44"/>
        <v>13.3</v>
      </c>
      <c r="R54" s="627">
        <f t="shared" si="44"/>
        <v>19</v>
      </c>
      <c r="S54" s="627">
        <f t="shared" si="44"/>
        <v>16.850000000000001</v>
      </c>
      <c r="T54" s="627">
        <f t="shared" ref="T54:U54" si="45">T32</f>
        <v>18.399999999999999</v>
      </c>
      <c r="U54" s="628">
        <f t="shared" si="45"/>
        <v>17.5</v>
      </c>
      <c r="V54" s="170"/>
      <c r="W54" s="170"/>
      <c r="X54" s="170"/>
      <c r="Y54" s="170"/>
      <c r="Z54" s="170"/>
      <c r="AA54" s="170"/>
      <c r="AB54" s="170"/>
      <c r="AC54" s="167"/>
      <c r="AD54" s="167"/>
      <c r="AE54" s="173"/>
      <c r="AF54" s="173"/>
      <c r="AG54" s="166"/>
      <c r="AH54" s="166"/>
      <c r="AI54" s="166"/>
      <c r="AJ54" s="166"/>
      <c r="AK54" s="166"/>
    </row>
    <row r="55" spans="1:37" ht="24.95" customHeight="1" x14ac:dyDescent="0.2">
      <c r="A55" s="3076"/>
      <c r="B55" s="3086"/>
      <c r="C55" s="3085"/>
      <c r="D55" s="453" t="s">
        <v>246</v>
      </c>
      <c r="E55" s="629"/>
      <c r="F55" s="630">
        <v>20</v>
      </c>
      <c r="G55" s="630">
        <v>20</v>
      </c>
      <c r="H55" s="630">
        <v>20</v>
      </c>
      <c r="I55" s="630">
        <v>20</v>
      </c>
      <c r="J55" s="630">
        <v>20</v>
      </c>
      <c r="K55" s="630">
        <v>20</v>
      </c>
      <c r="L55" s="630">
        <v>20</v>
      </c>
      <c r="M55" s="630">
        <v>20</v>
      </c>
      <c r="N55" s="630">
        <v>20</v>
      </c>
      <c r="O55" s="630">
        <v>20</v>
      </c>
      <c r="P55" s="630">
        <v>20</v>
      </c>
      <c r="Q55" s="630">
        <v>20</v>
      </c>
      <c r="R55" s="630">
        <v>20</v>
      </c>
      <c r="S55" s="630">
        <v>20</v>
      </c>
      <c r="T55" s="630">
        <v>20</v>
      </c>
      <c r="U55" s="631">
        <v>20</v>
      </c>
      <c r="V55" s="170"/>
      <c r="W55" s="170"/>
      <c r="X55" s="170"/>
      <c r="Y55" s="170"/>
      <c r="Z55" s="170"/>
      <c r="AA55" s="170"/>
      <c r="AB55" s="170"/>
      <c r="AC55" s="167"/>
      <c r="AD55" s="167"/>
      <c r="AE55" s="173"/>
      <c r="AF55" s="173"/>
      <c r="AG55" s="166"/>
      <c r="AH55" s="166"/>
      <c r="AI55" s="166"/>
      <c r="AJ55" s="166"/>
      <c r="AK55" s="166"/>
    </row>
    <row r="56" spans="1:37" ht="24.95" customHeight="1" x14ac:dyDescent="0.2">
      <c r="A56" s="3076"/>
      <c r="B56" s="3086"/>
      <c r="C56" s="3085"/>
      <c r="D56" s="453" t="s">
        <v>247</v>
      </c>
      <c r="E56" s="646">
        <v>0.77</v>
      </c>
      <c r="F56" s="647">
        <v>0.77</v>
      </c>
      <c r="G56" s="647">
        <v>0.77</v>
      </c>
      <c r="H56" s="647">
        <v>0.77</v>
      </c>
      <c r="I56" s="647">
        <v>0.77</v>
      </c>
      <c r="J56" s="647">
        <v>0.77</v>
      </c>
      <c r="K56" s="647">
        <v>0.77</v>
      </c>
      <c r="L56" s="647">
        <v>0.77</v>
      </c>
      <c r="M56" s="647">
        <v>0.77</v>
      </c>
      <c r="N56" s="647">
        <v>0.77</v>
      </c>
      <c r="O56" s="647">
        <v>0.77</v>
      </c>
      <c r="P56" s="647">
        <v>0.77</v>
      </c>
      <c r="Q56" s="647">
        <v>0.77</v>
      </c>
      <c r="R56" s="647">
        <v>0.77</v>
      </c>
      <c r="S56" s="647">
        <v>0.77</v>
      </c>
      <c r="T56" s="647">
        <v>0.77</v>
      </c>
      <c r="U56" s="648">
        <v>0.77</v>
      </c>
      <c r="V56" s="170"/>
      <c r="W56" s="170"/>
      <c r="X56" s="170"/>
      <c r="Y56" s="170"/>
      <c r="Z56" s="170"/>
      <c r="AA56" s="170"/>
      <c r="AB56" s="170"/>
      <c r="AC56" s="167"/>
      <c r="AD56" s="167"/>
      <c r="AE56" s="173"/>
      <c r="AF56" s="173"/>
      <c r="AG56" s="166"/>
      <c r="AH56" s="166"/>
      <c r="AI56" s="166"/>
      <c r="AJ56" s="166"/>
      <c r="AK56" s="166"/>
    </row>
    <row r="57" spans="1:37" ht="24.95" customHeight="1" x14ac:dyDescent="0.2">
      <c r="A57" s="3076"/>
      <c r="B57" s="3070" t="s">
        <v>255</v>
      </c>
      <c r="C57" s="3100" t="s">
        <v>256</v>
      </c>
      <c r="D57" s="454" t="s">
        <v>257</v>
      </c>
      <c r="E57" s="655">
        <f>E38*E39+E42*E43</f>
        <v>28</v>
      </c>
      <c r="F57" s="656">
        <f>F38*F39+F42*F43</f>
        <v>28</v>
      </c>
      <c r="G57" s="656">
        <f t="shared" ref="G57:L57" si="46">G38*G39+G42*G43</f>
        <v>24</v>
      </c>
      <c r="H57" s="656">
        <f t="shared" si="46"/>
        <v>24</v>
      </c>
      <c r="I57" s="656">
        <f t="shared" si="46"/>
        <v>28</v>
      </c>
      <c r="J57" s="656">
        <f t="shared" si="46"/>
        <v>33</v>
      </c>
      <c r="K57" s="656">
        <f t="shared" si="46"/>
        <v>33</v>
      </c>
      <c r="L57" s="656">
        <f t="shared" si="46"/>
        <v>33</v>
      </c>
      <c r="M57" s="656">
        <f t="shared" ref="M57:T57" si="47">M38*M39+M42*M43</f>
        <v>24</v>
      </c>
      <c r="N57" s="656">
        <f t="shared" si="47"/>
        <v>24</v>
      </c>
      <c r="O57" s="656">
        <f t="shared" si="47"/>
        <v>24</v>
      </c>
      <c r="P57" s="656">
        <f t="shared" si="47"/>
        <v>24</v>
      </c>
      <c r="Q57" s="656">
        <f t="shared" si="47"/>
        <v>24</v>
      </c>
      <c r="R57" s="656">
        <f t="shared" si="47"/>
        <v>28</v>
      </c>
      <c r="S57" s="656">
        <f t="shared" si="47"/>
        <v>33</v>
      </c>
      <c r="T57" s="656">
        <f t="shared" si="47"/>
        <v>26</v>
      </c>
      <c r="U57" s="658">
        <f>U38*U39+U42*U43</f>
        <v>26</v>
      </c>
      <c r="V57" s="170"/>
      <c r="W57" s="659" t="s">
        <v>718</v>
      </c>
      <c r="X57" s="170"/>
      <c r="Y57" s="170"/>
      <c r="Z57" s="170"/>
      <c r="AA57" s="170"/>
      <c r="AB57" s="170"/>
      <c r="AC57" s="167"/>
      <c r="AD57" s="168"/>
      <c r="AE57" s="173"/>
      <c r="AF57" s="173"/>
      <c r="AG57" s="166"/>
      <c r="AH57" s="166"/>
      <c r="AI57" s="166"/>
      <c r="AJ57" s="166"/>
      <c r="AK57" s="166"/>
    </row>
    <row r="58" spans="1:37" ht="24.95" customHeight="1" x14ac:dyDescent="0.2">
      <c r="A58" s="3076"/>
      <c r="B58" s="3086"/>
      <c r="C58" s="3106"/>
      <c r="D58" s="454" t="s">
        <v>258</v>
      </c>
      <c r="E58" s="617" t="str">
        <f>IF(E57&gt;=E34,"SIM","NÃO")</f>
        <v>SIM</v>
      </c>
      <c r="F58" s="618" t="str">
        <f>IF(F57&gt;=F34,"SIM","NÃO")</f>
        <v>SIM</v>
      </c>
      <c r="G58" s="618" t="str">
        <f t="shared" ref="G58:T58" si="48">IF(G57&gt;=G34,"SIM","NÃO")</f>
        <v>SIM</v>
      </c>
      <c r="H58" s="618" t="str">
        <f t="shared" si="48"/>
        <v>SIM</v>
      </c>
      <c r="I58" s="618" t="str">
        <f t="shared" si="48"/>
        <v>SIM</v>
      </c>
      <c r="J58" s="618" t="str">
        <f t="shared" si="48"/>
        <v>SIM</v>
      </c>
      <c r="K58" s="618" t="str">
        <f t="shared" si="48"/>
        <v>SIM</v>
      </c>
      <c r="L58" s="618" t="str">
        <f t="shared" si="48"/>
        <v>SIM</v>
      </c>
      <c r="M58" s="618" t="str">
        <f t="shared" si="48"/>
        <v>SIM</v>
      </c>
      <c r="N58" s="618" t="str">
        <f t="shared" si="48"/>
        <v>SIM</v>
      </c>
      <c r="O58" s="618" t="str">
        <f t="shared" si="48"/>
        <v>SIM</v>
      </c>
      <c r="P58" s="618" t="str">
        <f t="shared" si="48"/>
        <v>SIM</v>
      </c>
      <c r="Q58" s="618" t="str">
        <f t="shared" si="48"/>
        <v>SIM</v>
      </c>
      <c r="R58" s="618" t="str">
        <f t="shared" si="48"/>
        <v>SIM</v>
      </c>
      <c r="S58" s="618" t="str">
        <f t="shared" si="48"/>
        <v>SIM</v>
      </c>
      <c r="T58" s="618" t="str">
        <f t="shared" si="48"/>
        <v>SIM</v>
      </c>
      <c r="U58" s="619" t="str">
        <f>IF(U57&gt;=U34,"SIM","NÃO")</f>
        <v>SIM</v>
      </c>
      <c r="V58" s="201"/>
      <c r="W58" s="170"/>
      <c r="X58" s="170"/>
      <c r="Y58" s="170"/>
      <c r="Z58" s="170"/>
      <c r="AA58" s="170"/>
      <c r="AB58" s="170"/>
      <c r="AC58" s="167"/>
      <c r="AD58" s="167"/>
      <c r="AE58" s="173"/>
      <c r="AF58" s="173"/>
      <c r="AG58" s="166"/>
      <c r="AH58" s="166"/>
      <c r="AI58" s="166"/>
      <c r="AJ58" s="166"/>
      <c r="AK58" s="166"/>
    </row>
    <row r="59" spans="1:37" ht="24.95" customHeight="1" x14ac:dyDescent="0.2">
      <c r="A59" s="3076"/>
      <c r="B59" s="3086"/>
      <c r="C59" s="3100" t="s">
        <v>259</v>
      </c>
      <c r="D59" s="454" t="s">
        <v>260</v>
      </c>
      <c r="E59" s="617">
        <f>E57+E47*E48</f>
        <v>43</v>
      </c>
      <c r="F59" s="618">
        <f>F57+F47*F48</f>
        <v>28</v>
      </c>
      <c r="G59" s="618">
        <f t="shared" ref="G59:L59" si="49">G57+G47*G48</f>
        <v>24</v>
      </c>
      <c r="H59" s="618">
        <f t="shared" si="49"/>
        <v>24</v>
      </c>
      <c r="I59" s="618">
        <f t="shared" si="49"/>
        <v>28</v>
      </c>
      <c r="J59" s="618">
        <f t="shared" si="49"/>
        <v>33</v>
      </c>
      <c r="K59" s="618">
        <f t="shared" si="49"/>
        <v>33</v>
      </c>
      <c r="L59" s="618">
        <f t="shared" si="49"/>
        <v>33</v>
      </c>
      <c r="M59" s="618">
        <f t="shared" ref="M59:T59" si="50">M57+M47*M48</f>
        <v>24</v>
      </c>
      <c r="N59" s="618">
        <f t="shared" si="50"/>
        <v>24</v>
      </c>
      <c r="O59" s="618">
        <f t="shared" si="50"/>
        <v>24</v>
      </c>
      <c r="P59" s="618">
        <f t="shared" si="50"/>
        <v>24</v>
      </c>
      <c r="Q59" s="618">
        <f t="shared" si="50"/>
        <v>24</v>
      </c>
      <c r="R59" s="618">
        <f t="shared" si="50"/>
        <v>28</v>
      </c>
      <c r="S59" s="618">
        <f t="shared" si="50"/>
        <v>33</v>
      </c>
      <c r="T59" s="618">
        <f t="shared" si="50"/>
        <v>26</v>
      </c>
      <c r="U59" s="619">
        <f>U57+U47*U48</f>
        <v>26</v>
      </c>
      <c r="V59" s="201"/>
      <c r="W59" s="170"/>
      <c r="X59" s="170"/>
      <c r="Y59" s="170"/>
      <c r="Z59" s="170"/>
      <c r="AA59" s="170"/>
      <c r="AB59" s="170"/>
      <c r="AC59" s="167"/>
      <c r="AD59" s="167"/>
      <c r="AE59" s="173"/>
      <c r="AF59" s="173"/>
      <c r="AG59" s="166"/>
      <c r="AH59" s="166"/>
      <c r="AI59" s="166"/>
      <c r="AJ59" s="166"/>
      <c r="AK59" s="166"/>
    </row>
    <row r="60" spans="1:37" ht="24.95" customHeight="1" thickBot="1" x14ac:dyDescent="0.25">
      <c r="A60" s="3076"/>
      <c r="B60" s="3086"/>
      <c r="C60" s="3106"/>
      <c r="D60" s="454" t="s">
        <v>258</v>
      </c>
      <c r="E60" s="617" t="str">
        <f>IF(E58="NÃO","NÃO",IF(E59&gt;=E35,"SIM","NÃO"))</f>
        <v>SIM</v>
      </c>
      <c r="F60" s="618" t="str">
        <f>IF(F58="NÃO","NÃO",IF(F59&gt;=F35,"SIM","NÃO"))</f>
        <v>SIM</v>
      </c>
      <c r="G60" s="618" t="str">
        <f t="shared" ref="G60:T60" si="51">IF(G58="NÃO","NÃO",IF(G59&gt;=G35,"SIM","NÃO"))</f>
        <v>SIM</v>
      </c>
      <c r="H60" s="618" t="str">
        <f t="shared" si="51"/>
        <v>SIM</v>
      </c>
      <c r="I60" s="618" t="str">
        <f t="shared" si="51"/>
        <v>SIM</v>
      </c>
      <c r="J60" s="618" t="str">
        <f t="shared" si="51"/>
        <v>SIM</v>
      </c>
      <c r="K60" s="618" t="str">
        <f t="shared" si="51"/>
        <v>SIM</v>
      </c>
      <c r="L60" s="618" t="str">
        <f t="shared" si="51"/>
        <v>SIM</v>
      </c>
      <c r="M60" s="618" t="str">
        <f t="shared" si="51"/>
        <v>SIM</v>
      </c>
      <c r="N60" s="618" t="str">
        <f t="shared" si="51"/>
        <v>SIM</v>
      </c>
      <c r="O60" s="618" t="str">
        <f t="shared" si="51"/>
        <v>SIM</v>
      </c>
      <c r="P60" s="618" t="str">
        <f t="shared" si="51"/>
        <v>SIM</v>
      </c>
      <c r="Q60" s="618" t="str">
        <f t="shared" si="51"/>
        <v>SIM</v>
      </c>
      <c r="R60" s="618" t="str">
        <f t="shared" si="51"/>
        <v>SIM</v>
      </c>
      <c r="S60" s="618" t="str">
        <f t="shared" si="51"/>
        <v>SIM</v>
      </c>
      <c r="T60" s="618" t="str">
        <f t="shared" si="51"/>
        <v>SIM</v>
      </c>
      <c r="U60" s="619" t="str">
        <f>IF(U58="NÃO","NÃO",IF(U59&gt;=U35,"SIM","NÃO"))</f>
        <v>SIM</v>
      </c>
      <c r="V60" s="201"/>
      <c r="W60" s="167"/>
      <c r="X60" s="167"/>
      <c r="Y60" s="167"/>
      <c r="Z60" s="167"/>
      <c r="AA60" s="167"/>
      <c r="AB60" s="167"/>
      <c r="AC60" s="167"/>
      <c r="AD60" s="167"/>
      <c r="AE60" s="173"/>
      <c r="AF60" s="173"/>
      <c r="AG60" s="166"/>
      <c r="AH60" s="166"/>
      <c r="AI60" s="166"/>
      <c r="AJ60" s="166"/>
      <c r="AK60" s="166"/>
    </row>
    <row r="61" spans="1:37" ht="24.95" customHeight="1" x14ac:dyDescent="0.2">
      <c r="A61" s="3076"/>
      <c r="B61" s="3086"/>
      <c r="C61" s="3100" t="s">
        <v>261</v>
      </c>
      <c r="D61" s="454" t="s">
        <v>260</v>
      </c>
      <c r="E61" s="635">
        <f>E59+E52*E53</f>
        <v>43</v>
      </c>
      <c r="F61" s="636">
        <f>F59+F52*F53</f>
        <v>28</v>
      </c>
      <c r="G61" s="636">
        <f t="shared" ref="G61:L61" si="52">G59+G52*G53</f>
        <v>24</v>
      </c>
      <c r="H61" s="636">
        <f t="shared" si="52"/>
        <v>24</v>
      </c>
      <c r="I61" s="636">
        <f t="shared" si="52"/>
        <v>28</v>
      </c>
      <c r="J61" s="636">
        <f t="shared" si="52"/>
        <v>33</v>
      </c>
      <c r="K61" s="636">
        <f t="shared" si="52"/>
        <v>33</v>
      </c>
      <c r="L61" s="636">
        <f t="shared" si="52"/>
        <v>33</v>
      </c>
      <c r="M61" s="636">
        <f t="shared" ref="M61:T61" si="53">M59+M52*M53</f>
        <v>24</v>
      </c>
      <c r="N61" s="636">
        <f t="shared" si="53"/>
        <v>24</v>
      </c>
      <c r="O61" s="636">
        <f t="shared" si="53"/>
        <v>24</v>
      </c>
      <c r="P61" s="636">
        <f t="shared" si="53"/>
        <v>24</v>
      </c>
      <c r="Q61" s="636">
        <f t="shared" si="53"/>
        <v>24</v>
      </c>
      <c r="R61" s="636">
        <f t="shared" si="53"/>
        <v>28</v>
      </c>
      <c r="S61" s="636">
        <f t="shared" si="53"/>
        <v>33</v>
      </c>
      <c r="T61" s="636">
        <f t="shared" si="53"/>
        <v>26</v>
      </c>
      <c r="U61" s="637">
        <f>U59+U52*U53</f>
        <v>26</v>
      </c>
      <c r="V61" s="657"/>
      <c r="W61" s="3094" t="s">
        <v>719</v>
      </c>
      <c r="X61" s="3095"/>
      <c r="Y61" s="3095"/>
      <c r="Z61" s="3095"/>
      <c r="AA61" s="3096"/>
      <c r="AB61" s="167"/>
      <c r="AC61" s="167"/>
      <c r="AD61" s="167"/>
      <c r="AE61" s="173"/>
      <c r="AF61" s="173"/>
      <c r="AG61" s="166"/>
      <c r="AH61" s="166"/>
      <c r="AI61" s="166"/>
      <c r="AJ61" s="166"/>
      <c r="AK61" s="166"/>
    </row>
    <row r="62" spans="1:37" ht="24.95" customHeight="1" thickBot="1" x14ac:dyDescent="0.25">
      <c r="A62" s="3076"/>
      <c r="B62" s="3086"/>
      <c r="C62" s="3106"/>
      <c r="D62" s="454" t="s">
        <v>258</v>
      </c>
      <c r="E62" s="617" t="str">
        <f>IF(E60="NÃO","NÃO",IF(E61&gt;=E36,"SIM","NÃO"))</f>
        <v>SIM</v>
      </c>
      <c r="F62" s="618" t="str">
        <f>IF(F60="NÃO","NÃO",IF(F61&gt;=F36,"SIM","NÃO"))</f>
        <v>SIM</v>
      </c>
      <c r="G62" s="618" t="str">
        <f t="shared" ref="G62:T62" si="54">IF(G60="NÃO","NÃO",IF(G61&gt;=G36,"SIM","NÃO"))</f>
        <v>SIM</v>
      </c>
      <c r="H62" s="618" t="str">
        <f t="shared" si="54"/>
        <v>SIM</v>
      </c>
      <c r="I62" s="618" t="str">
        <f t="shared" si="54"/>
        <v>SIM</v>
      </c>
      <c r="J62" s="618" t="str">
        <f t="shared" si="54"/>
        <v>SIM</v>
      </c>
      <c r="K62" s="618" t="str">
        <f t="shared" si="54"/>
        <v>SIM</v>
      </c>
      <c r="L62" s="618" t="str">
        <f t="shared" si="54"/>
        <v>SIM</v>
      </c>
      <c r="M62" s="618" t="str">
        <f t="shared" si="54"/>
        <v>SIM</v>
      </c>
      <c r="N62" s="618" t="str">
        <f t="shared" si="54"/>
        <v>SIM</v>
      </c>
      <c r="O62" s="618" t="str">
        <f t="shared" si="54"/>
        <v>SIM</v>
      </c>
      <c r="P62" s="618" t="str">
        <f t="shared" si="54"/>
        <v>SIM</v>
      </c>
      <c r="Q62" s="618" t="str">
        <f t="shared" si="54"/>
        <v>SIM</v>
      </c>
      <c r="R62" s="618" t="str">
        <f t="shared" si="54"/>
        <v>SIM</v>
      </c>
      <c r="S62" s="618" t="str">
        <f t="shared" si="54"/>
        <v>SIM</v>
      </c>
      <c r="T62" s="618" t="str">
        <f t="shared" si="54"/>
        <v>SIM</v>
      </c>
      <c r="U62" s="619" t="str">
        <f>IF(U60="NÃO","NÃO",IF(U61&gt;=U36,"SIM","NÃO"))</f>
        <v>SIM</v>
      </c>
      <c r="V62" s="201"/>
      <c r="W62" s="3097"/>
      <c r="X62" s="3098"/>
      <c r="Y62" s="3098"/>
      <c r="Z62" s="3098"/>
      <c r="AA62" s="3099"/>
      <c r="AB62" s="167"/>
      <c r="AC62" s="167"/>
      <c r="AD62" s="167"/>
      <c r="AE62" s="173"/>
      <c r="AF62" s="173"/>
      <c r="AG62" s="166"/>
      <c r="AH62" s="166"/>
      <c r="AI62" s="166"/>
      <c r="AJ62" s="166"/>
      <c r="AK62" s="166"/>
    </row>
    <row r="63" spans="1:37" ht="24.95" customHeight="1" x14ac:dyDescent="0.2">
      <c r="A63" s="3076"/>
      <c r="B63" s="3086"/>
      <c r="C63" s="3100" t="s">
        <v>262</v>
      </c>
      <c r="D63" s="454" t="s">
        <v>263</v>
      </c>
      <c r="E63" s="635">
        <f>E57+E55*E56</f>
        <v>28</v>
      </c>
      <c r="F63" s="636">
        <f>F57+F55*F56</f>
        <v>43.4</v>
      </c>
      <c r="G63" s="636">
        <f t="shared" ref="G63:L63" si="55">G57+G55*G56</f>
        <v>39.4</v>
      </c>
      <c r="H63" s="636">
        <f t="shared" si="55"/>
        <v>39.4</v>
      </c>
      <c r="I63" s="636">
        <f t="shared" si="55"/>
        <v>43.4</v>
      </c>
      <c r="J63" s="636">
        <f t="shared" si="55"/>
        <v>48.4</v>
      </c>
      <c r="K63" s="636">
        <f t="shared" si="55"/>
        <v>48.4</v>
      </c>
      <c r="L63" s="636">
        <f t="shared" si="55"/>
        <v>48.4</v>
      </c>
      <c r="M63" s="636">
        <f t="shared" ref="M63:T63" si="56">M57+M55*M56</f>
        <v>39.4</v>
      </c>
      <c r="N63" s="636">
        <f t="shared" si="56"/>
        <v>39.4</v>
      </c>
      <c r="O63" s="636">
        <f t="shared" si="56"/>
        <v>39.4</v>
      </c>
      <c r="P63" s="636">
        <f t="shared" si="56"/>
        <v>39.4</v>
      </c>
      <c r="Q63" s="636">
        <f t="shared" si="56"/>
        <v>39.4</v>
      </c>
      <c r="R63" s="636">
        <f t="shared" si="56"/>
        <v>43.4</v>
      </c>
      <c r="S63" s="636">
        <f t="shared" si="56"/>
        <v>48.4</v>
      </c>
      <c r="T63" s="636">
        <f t="shared" si="56"/>
        <v>41.4</v>
      </c>
      <c r="U63" s="637">
        <f>U57+U55*U56</f>
        <v>41.4</v>
      </c>
      <c r="V63" s="657"/>
      <c r="W63" s="167"/>
      <c r="X63" s="167"/>
      <c r="Y63" s="167"/>
      <c r="Z63" s="167"/>
      <c r="AA63" s="167"/>
      <c r="AB63" s="167"/>
      <c r="AC63" s="167"/>
      <c r="AD63" s="167"/>
      <c r="AE63" s="173"/>
      <c r="AF63" s="173"/>
      <c r="AG63" s="166"/>
      <c r="AH63" s="166"/>
      <c r="AI63" s="166"/>
      <c r="AJ63" s="166"/>
      <c r="AK63" s="166"/>
    </row>
    <row r="64" spans="1:37" ht="24.95" customHeight="1" x14ac:dyDescent="0.2">
      <c r="A64" s="3076"/>
      <c r="B64" s="3105"/>
      <c r="C64" s="3101"/>
      <c r="D64" s="455" t="s">
        <v>258</v>
      </c>
      <c r="E64" s="632" t="str">
        <f>IF(E62="NÃO","NÃO",IF(E63&gt;=E36,"SIM","NÃO"))</f>
        <v>SIM</v>
      </c>
      <c r="F64" s="633" t="str">
        <f>IF(F62="NÃO","NÃO",IF(F63&gt;=F36,"SIM","NÃO"))</f>
        <v>SIM</v>
      </c>
      <c r="G64" s="633" t="str">
        <f t="shared" ref="G64:T64" si="57">IF(G62="NÃO","NÃO",IF(G63&gt;=G36,"SIM","NÃO"))</f>
        <v>SIM</v>
      </c>
      <c r="H64" s="633" t="str">
        <f t="shared" si="57"/>
        <v>SIM</v>
      </c>
      <c r="I64" s="633" t="str">
        <f t="shared" si="57"/>
        <v>SIM</v>
      </c>
      <c r="J64" s="633" t="str">
        <f t="shared" si="57"/>
        <v>SIM</v>
      </c>
      <c r="K64" s="633" t="str">
        <f t="shared" si="57"/>
        <v>SIM</v>
      </c>
      <c r="L64" s="633" t="str">
        <f t="shared" si="57"/>
        <v>SIM</v>
      </c>
      <c r="M64" s="633" t="str">
        <f t="shared" si="57"/>
        <v>SIM</v>
      </c>
      <c r="N64" s="633" t="str">
        <f t="shared" si="57"/>
        <v>SIM</v>
      </c>
      <c r="O64" s="633" t="str">
        <f t="shared" si="57"/>
        <v>SIM</v>
      </c>
      <c r="P64" s="633" t="str">
        <f t="shared" si="57"/>
        <v>SIM</v>
      </c>
      <c r="Q64" s="633" t="str">
        <f t="shared" si="57"/>
        <v>SIM</v>
      </c>
      <c r="R64" s="633" t="str">
        <f t="shared" si="57"/>
        <v>SIM</v>
      </c>
      <c r="S64" s="633" t="str">
        <f t="shared" si="57"/>
        <v>SIM</v>
      </c>
      <c r="T64" s="633" t="str">
        <f t="shared" si="57"/>
        <v>SIM</v>
      </c>
      <c r="U64" s="634" t="str">
        <f>IF(U62="NÃO","NÃO",IF(U63&gt;=U36,"SIM","NÃO"))</f>
        <v>SIM</v>
      </c>
      <c r="V64" s="201"/>
      <c r="W64" s="167"/>
      <c r="X64" s="167"/>
      <c r="Y64" s="167"/>
      <c r="Z64" s="167"/>
      <c r="AA64" s="167"/>
      <c r="AB64" s="167"/>
      <c r="AC64" s="167"/>
      <c r="AD64" s="167"/>
      <c r="AE64" s="173"/>
      <c r="AF64" s="173"/>
      <c r="AG64" s="166"/>
      <c r="AH64" s="166"/>
      <c r="AI64" s="166"/>
      <c r="AJ64" s="166"/>
      <c r="AK64" s="166"/>
    </row>
    <row r="65" spans="1:37" ht="50.1" customHeight="1" thickBot="1" x14ac:dyDescent="0.25">
      <c r="A65" s="3077"/>
      <c r="B65" s="3088" t="s">
        <v>12</v>
      </c>
      <c r="C65" s="3089"/>
      <c r="D65" s="3090"/>
      <c r="E65" s="638"/>
      <c r="F65" s="639"/>
      <c r="G65" s="639"/>
      <c r="H65" s="639"/>
      <c r="I65" s="639"/>
      <c r="J65" s="639"/>
      <c r="K65" s="639"/>
      <c r="L65" s="639"/>
      <c r="M65" s="639"/>
      <c r="N65" s="639"/>
      <c r="O65" s="639"/>
      <c r="P65" s="639"/>
      <c r="Q65" s="639"/>
      <c r="R65" s="639"/>
      <c r="S65" s="639"/>
      <c r="T65" s="639"/>
      <c r="U65" s="640"/>
      <c r="V65" s="199"/>
      <c r="W65" s="167"/>
      <c r="X65" s="167"/>
      <c r="Y65" s="167"/>
      <c r="Z65" s="167"/>
      <c r="AA65" s="167"/>
      <c r="AB65" s="167"/>
      <c r="AC65" s="167"/>
      <c r="AD65" s="167"/>
      <c r="AE65" s="173"/>
      <c r="AF65" s="173"/>
      <c r="AG65" s="166"/>
      <c r="AH65" s="166"/>
      <c r="AI65" s="203"/>
      <c r="AJ65" s="203"/>
      <c r="AK65" s="203"/>
    </row>
    <row r="66" spans="1:37" ht="24.95" customHeight="1" x14ac:dyDescent="0.2">
      <c r="A66" s="167"/>
      <c r="B66" s="167"/>
      <c r="C66" s="167"/>
      <c r="D66" s="167"/>
      <c r="E66" s="199"/>
      <c r="F66" s="199"/>
      <c r="G66" s="199"/>
      <c r="H66" s="199"/>
      <c r="I66" s="199"/>
      <c r="J66" s="199"/>
      <c r="K66" s="199"/>
      <c r="L66" s="199"/>
      <c r="M66" s="199"/>
      <c r="N66" s="199"/>
      <c r="O66" s="199"/>
      <c r="P66" s="199"/>
      <c r="Q66" s="199"/>
      <c r="R66" s="199"/>
      <c r="S66" s="199"/>
      <c r="T66" s="199"/>
      <c r="U66" s="199"/>
      <c r="V66" s="199"/>
      <c r="W66" s="167"/>
      <c r="X66" s="167"/>
      <c r="Y66" s="167"/>
      <c r="Z66" s="167"/>
      <c r="AA66" s="167"/>
      <c r="AB66" s="167"/>
      <c r="AC66" s="167"/>
      <c r="AD66" s="167"/>
      <c r="AE66" s="173"/>
      <c r="AF66" s="173"/>
      <c r="AG66" s="166"/>
      <c r="AH66" s="166"/>
      <c r="AI66" s="203"/>
      <c r="AJ66" s="203"/>
      <c r="AK66" s="203"/>
    </row>
    <row r="67" spans="1:37" ht="24.95" customHeight="1" x14ac:dyDescent="0.2">
      <c r="A67" s="167"/>
      <c r="B67" s="167"/>
      <c r="C67" s="167"/>
      <c r="D67" s="167"/>
      <c r="E67" s="199"/>
      <c r="F67" s="199"/>
      <c r="G67" s="199"/>
      <c r="H67" s="199"/>
      <c r="I67" s="199"/>
      <c r="J67" s="199"/>
      <c r="K67" s="199"/>
      <c r="L67" s="199"/>
      <c r="M67" s="199"/>
      <c r="N67" s="199"/>
      <c r="O67" s="199"/>
      <c r="P67" s="199"/>
      <c r="Q67" s="199"/>
      <c r="R67" s="199"/>
      <c r="S67" s="199"/>
      <c r="T67" s="199"/>
      <c r="U67" s="199"/>
      <c r="V67" s="199"/>
      <c r="W67" s="167"/>
      <c r="X67" s="167"/>
      <c r="Y67" s="167"/>
      <c r="Z67" s="167"/>
      <c r="AA67" s="167"/>
      <c r="AB67" s="167"/>
      <c r="AC67" s="167"/>
      <c r="AD67" s="167"/>
      <c r="AE67" s="173"/>
      <c r="AF67" s="173"/>
      <c r="AG67" s="166"/>
      <c r="AH67" s="166"/>
      <c r="AI67" s="203"/>
      <c r="AJ67" s="203"/>
      <c r="AK67" s="203"/>
    </row>
    <row r="68" spans="1:37" x14ac:dyDescent="0.2">
      <c r="A68" s="167"/>
      <c r="B68" s="167"/>
      <c r="C68" s="204"/>
      <c r="D68" s="204"/>
      <c r="E68" s="205"/>
      <c r="F68" s="205"/>
      <c r="G68" s="205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5"/>
      <c r="S68" s="205"/>
      <c r="T68" s="205"/>
      <c r="U68" s="205"/>
      <c r="V68" s="204"/>
      <c r="W68" s="167"/>
      <c r="X68" s="167"/>
      <c r="Y68" s="167"/>
      <c r="Z68" s="167"/>
      <c r="AA68" s="167"/>
      <c r="AB68" s="167"/>
      <c r="AC68" s="167"/>
      <c r="AD68" s="167"/>
      <c r="AE68" s="173"/>
      <c r="AF68" s="173"/>
      <c r="AG68" s="166"/>
      <c r="AH68" s="166"/>
      <c r="AI68" s="203"/>
      <c r="AJ68" s="203"/>
      <c r="AK68" s="203"/>
    </row>
    <row r="69" spans="1:37" x14ac:dyDescent="0.2">
      <c r="A69" s="167"/>
      <c r="B69" s="167"/>
      <c r="C69" s="171"/>
      <c r="D69" s="171"/>
      <c r="E69" s="199"/>
      <c r="F69" s="199"/>
      <c r="G69" s="199"/>
      <c r="H69" s="199"/>
      <c r="I69" s="199"/>
      <c r="J69" s="199"/>
      <c r="K69" s="199"/>
      <c r="L69" s="199"/>
      <c r="M69" s="199"/>
      <c r="N69" s="199"/>
      <c r="O69" s="199"/>
      <c r="P69" s="199"/>
      <c r="Q69" s="199"/>
      <c r="R69" s="199"/>
      <c r="S69" s="199"/>
      <c r="T69" s="199"/>
      <c r="U69" s="199"/>
      <c r="V69" s="199"/>
      <c r="W69" s="167"/>
      <c r="X69" s="167"/>
      <c r="Y69" s="167"/>
      <c r="Z69" s="167"/>
      <c r="AA69" s="167"/>
      <c r="AB69" s="167"/>
      <c r="AC69" s="167"/>
      <c r="AD69" s="167"/>
      <c r="AE69" s="173"/>
      <c r="AF69" s="173"/>
      <c r="AG69" s="166"/>
      <c r="AH69" s="166"/>
      <c r="AI69" s="203"/>
      <c r="AJ69" s="203"/>
      <c r="AK69" s="203"/>
    </row>
    <row r="70" spans="1:37" x14ac:dyDescent="0.2">
      <c r="A70" s="167"/>
      <c r="B70" s="167"/>
      <c r="C70" s="171"/>
      <c r="D70" s="171"/>
      <c r="E70" s="199"/>
      <c r="F70" s="199"/>
      <c r="G70" s="199"/>
      <c r="H70" s="199"/>
      <c r="I70" s="199"/>
      <c r="J70" s="199"/>
      <c r="K70" s="199"/>
      <c r="L70" s="199"/>
      <c r="M70" s="199"/>
      <c r="N70" s="199"/>
      <c r="O70" s="199"/>
      <c r="P70" s="199"/>
      <c r="Q70" s="199"/>
      <c r="R70" s="199"/>
      <c r="S70" s="199"/>
      <c r="T70" s="199"/>
      <c r="U70" s="199"/>
      <c r="V70" s="199"/>
      <c r="W70" s="167"/>
      <c r="X70" s="167"/>
      <c r="Y70" s="167"/>
      <c r="Z70" s="167"/>
      <c r="AA70" s="167"/>
      <c r="AB70" s="167"/>
      <c r="AC70" s="167"/>
      <c r="AD70" s="167"/>
      <c r="AE70" s="173"/>
      <c r="AF70" s="173"/>
      <c r="AG70" s="166"/>
      <c r="AH70" s="166"/>
      <c r="AI70" s="166"/>
      <c r="AJ70" s="166"/>
      <c r="AK70" s="166"/>
    </row>
    <row r="71" spans="1:37" x14ac:dyDescent="0.2">
      <c r="A71" s="167"/>
      <c r="B71" s="167"/>
      <c r="C71" s="171"/>
      <c r="D71" s="171"/>
      <c r="E71" s="199"/>
      <c r="F71" s="199"/>
      <c r="G71" s="199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199"/>
      <c r="S71" s="199"/>
      <c r="T71" s="199"/>
      <c r="U71" s="199"/>
      <c r="V71" s="199"/>
      <c r="W71" s="167"/>
      <c r="X71" s="167"/>
      <c r="Y71" s="167"/>
      <c r="Z71" s="167"/>
      <c r="AA71" s="167"/>
      <c r="AB71" s="167"/>
      <c r="AC71" s="167"/>
      <c r="AD71" s="167"/>
      <c r="AE71" s="173"/>
      <c r="AF71" s="173"/>
      <c r="AG71" s="166"/>
      <c r="AH71" s="166"/>
      <c r="AI71" s="166"/>
      <c r="AJ71" s="166"/>
      <c r="AK71" s="166"/>
    </row>
    <row r="72" spans="1:37" x14ac:dyDescent="0.2">
      <c r="B72" s="167"/>
      <c r="C72" s="171"/>
      <c r="D72" s="171"/>
      <c r="E72" s="199"/>
      <c r="F72" s="199"/>
      <c r="G72" s="199"/>
      <c r="H72" s="199"/>
      <c r="I72" s="199"/>
      <c r="J72" s="199"/>
      <c r="K72" s="199"/>
      <c r="L72" s="199"/>
      <c r="M72" s="199"/>
      <c r="N72" s="199"/>
      <c r="O72" s="199"/>
      <c r="P72" s="199"/>
      <c r="Q72" s="199"/>
      <c r="R72" s="199"/>
      <c r="S72" s="199"/>
      <c r="T72" s="199"/>
      <c r="U72" s="199"/>
      <c r="V72" s="199"/>
      <c r="W72" s="167"/>
      <c r="X72" s="167"/>
      <c r="Y72" s="167"/>
      <c r="Z72" s="167"/>
      <c r="AA72" s="167"/>
      <c r="AB72" s="167"/>
      <c r="AC72" s="167"/>
      <c r="AD72" s="167"/>
      <c r="AE72" s="173"/>
      <c r="AF72" s="173"/>
      <c r="AG72" s="166"/>
      <c r="AH72" s="166"/>
      <c r="AI72" s="166"/>
      <c r="AJ72" s="166"/>
      <c r="AK72" s="166"/>
    </row>
    <row r="73" spans="1:37" x14ac:dyDescent="0.2">
      <c r="G73" s="199"/>
      <c r="H73" s="199"/>
      <c r="I73" s="199"/>
      <c r="J73" s="199"/>
      <c r="K73" s="199"/>
      <c r="L73" s="199"/>
      <c r="M73" s="199"/>
      <c r="N73" s="199"/>
      <c r="O73" s="199"/>
      <c r="P73" s="199"/>
      <c r="Q73" s="199"/>
      <c r="R73" s="199"/>
      <c r="S73" s="199"/>
      <c r="T73" s="199"/>
      <c r="U73" s="199"/>
      <c r="V73" s="199"/>
      <c r="W73" s="167"/>
      <c r="X73" s="167"/>
      <c r="Y73" s="167"/>
      <c r="Z73" s="167"/>
      <c r="AA73" s="167"/>
      <c r="AB73" s="167"/>
      <c r="AC73" s="167"/>
      <c r="AD73" s="167"/>
      <c r="AE73" s="173"/>
      <c r="AF73" s="173"/>
      <c r="AG73" s="166"/>
      <c r="AH73" s="166"/>
      <c r="AI73" s="166"/>
      <c r="AJ73" s="166"/>
      <c r="AK73" s="166"/>
    </row>
    <row r="74" spans="1:37" x14ac:dyDescent="0.2">
      <c r="G74" s="199"/>
      <c r="H74" s="199"/>
      <c r="I74" s="199"/>
      <c r="J74" s="199"/>
      <c r="K74" s="199"/>
      <c r="L74" s="199"/>
      <c r="M74" s="199"/>
      <c r="N74" s="199"/>
      <c r="O74" s="199"/>
      <c r="P74" s="199"/>
      <c r="Q74" s="199"/>
      <c r="R74" s="199"/>
      <c r="S74" s="199"/>
      <c r="T74" s="199"/>
      <c r="U74" s="199"/>
      <c r="V74" s="199"/>
      <c r="W74" s="167"/>
      <c r="X74" s="167"/>
      <c r="Y74" s="167"/>
      <c r="Z74" s="167"/>
      <c r="AA74" s="167"/>
      <c r="AB74" s="167"/>
      <c r="AC74" s="167"/>
      <c r="AD74" s="167"/>
      <c r="AE74" s="173"/>
      <c r="AF74" s="173"/>
      <c r="AG74" s="166"/>
      <c r="AH74" s="166"/>
      <c r="AI74" s="166"/>
      <c r="AJ74" s="166"/>
      <c r="AK74" s="166"/>
    </row>
    <row r="75" spans="1:37" s="207" customFormat="1" x14ac:dyDescent="0.15">
      <c r="G75" s="199"/>
      <c r="H75" s="199"/>
      <c r="I75" s="199"/>
      <c r="J75" s="199"/>
      <c r="K75" s="199"/>
      <c r="L75" s="199"/>
      <c r="M75" s="199"/>
      <c r="N75" s="199"/>
      <c r="O75" s="199"/>
      <c r="P75" s="199"/>
      <c r="Q75" s="199"/>
      <c r="R75" s="199"/>
      <c r="S75" s="199"/>
      <c r="T75" s="199"/>
      <c r="U75" s="199"/>
      <c r="V75" s="199"/>
      <c r="W75" s="167"/>
      <c r="X75" s="167"/>
      <c r="Y75" s="167"/>
      <c r="Z75" s="167"/>
      <c r="AA75" s="167"/>
      <c r="AB75" s="167"/>
      <c r="AC75" s="167"/>
      <c r="AD75" s="167"/>
      <c r="AE75" s="172"/>
      <c r="AF75" s="172"/>
      <c r="AG75" s="206"/>
      <c r="AH75" s="206"/>
      <c r="AI75" s="206"/>
      <c r="AJ75" s="206"/>
      <c r="AK75" s="206"/>
    </row>
    <row r="76" spans="1:37" x14ac:dyDescent="0.2">
      <c r="A76" s="167"/>
      <c r="B76" s="167"/>
      <c r="C76" s="171"/>
      <c r="D76" s="171"/>
      <c r="E76" s="199"/>
      <c r="F76" s="199"/>
      <c r="G76" s="199"/>
      <c r="H76" s="199"/>
      <c r="I76" s="199"/>
      <c r="J76" s="199"/>
      <c r="K76" s="199"/>
      <c r="L76" s="199"/>
      <c r="M76" s="199"/>
      <c r="N76" s="199"/>
      <c r="O76" s="199"/>
      <c r="P76" s="199"/>
      <c r="Q76" s="199"/>
      <c r="R76" s="199"/>
      <c r="S76" s="199"/>
      <c r="T76" s="199"/>
      <c r="U76" s="199"/>
      <c r="V76" s="199"/>
      <c r="W76" s="167"/>
      <c r="X76" s="167"/>
      <c r="Y76" s="167"/>
      <c r="Z76" s="167"/>
      <c r="AA76" s="167"/>
      <c r="AB76" s="167"/>
      <c r="AC76" s="167"/>
      <c r="AD76" s="167"/>
      <c r="AE76" s="173"/>
      <c r="AF76" s="173"/>
      <c r="AG76" s="166"/>
      <c r="AH76" s="166"/>
      <c r="AI76" s="166"/>
      <c r="AJ76" s="166"/>
      <c r="AK76" s="166"/>
    </row>
    <row r="77" spans="1:37" x14ac:dyDescent="0.15">
      <c r="G77" s="199"/>
      <c r="H77" s="199"/>
      <c r="I77" s="199"/>
      <c r="J77" s="199"/>
      <c r="K77" s="199"/>
      <c r="L77" s="199"/>
      <c r="M77" s="199"/>
      <c r="N77" s="199"/>
      <c r="O77" s="199"/>
      <c r="P77" s="199"/>
      <c r="Q77" s="199"/>
      <c r="R77" s="199"/>
      <c r="S77" s="199"/>
      <c r="T77" s="199"/>
      <c r="U77" s="199"/>
    </row>
  </sheetData>
  <mergeCells count="55">
    <mergeCell ref="C24:D24"/>
    <mergeCell ref="C22:D22"/>
    <mergeCell ref="W61:AA62"/>
    <mergeCell ref="C63:C64"/>
    <mergeCell ref="C30:D30"/>
    <mergeCell ref="B33:D33"/>
    <mergeCell ref="B34:B36"/>
    <mergeCell ref="C34:D34"/>
    <mergeCell ref="C35:D35"/>
    <mergeCell ref="C36:D36"/>
    <mergeCell ref="B57:B64"/>
    <mergeCell ref="C57:C58"/>
    <mergeCell ref="C59:C60"/>
    <mergeCell ref="C61:C62"/>
    <mergeCell ref="B31:D31"/>
    <mergeCell ref="B37:B56"/>
    <mergeCell ref="C37:C39"/>
    <mergeCell ref="C49:C53"/>
    <mergeCell ref="D49:D50"/>
    <mergeCell ref="D45:D46"/>
    <mergeCell ref="C54:C56"/>
    <mergeCell ref="C40:C43"/>
    <mergeCell ref="C44:C48"/>
    <mergeCell ref="A1:A65"/>
    <mergeCell ref="B1:D1"/>
    <mergeCell ref="B2:B3"/>
    <mergeCell ref="C2:D2"/>
    <mergeCell ref="C3:D3"/>
    <mergeCell ref="B4:D4"/>
    <mergeCell ref="B5:D5"/>
    <mergeCell ref="B6:B30"/>
    <mergeCell ref="C6:D6"/>
    <mergeCell ref="C7:D7"/>
    <mergeCell ref="C8:D8"/>
    <mergeCell ref="C9:D9"/>
    <mergeCell ref="C29:D29"/>
    <mergeCell ref="B65:D65"/>
    <mergeCell ref="C14:D14"/>
    <mergeCell ref="C15:D15"/>
    <mergeCell ref="B32:D32"/>
    <mergeCell ref="C10:D10"/>
    <mergeCell ref="C11:D11"/>
    <mergeCell ref="C12:D12"/>
    <mergeCell ref="C13:D13"/>
    <mergeCell ref="C16:D16"/>
    <mergeCell ref="C17:D17"/>
    <mergeCell ref="C18:D18"/>
    <mergeCell ref="C25:D25"/>
    <mergeCell ref="C27:D27"/>
    <mergeCell ref="C28:D28"/>
    <mergeCell ref="C26:D26"/>
    <mergeCell ref="C19:D19"/>
    <mergeCell ref="C20:D20"/>
    <mergeCell ref="C21:D21"/>
    <mergeCell ref="C23:D23"/>
  </mergeCells>
  <conditionalFormatting sqref="E58:U58 E60:U60 E62:U62 E64:U64">
    <cfRule type="cellIs" dxfId="0" priority="1" operator="equal">
      <formula>"NÃO"</formula>
    </cfRule>
  </conditionalFormatting>
  <hyperlinks>
    <hyperlink ref="B1:D1" location="PAINEL!A1" display="VIAS"/>
  </hyperlinks>
  <printOptions horizontalCentered="1" gridLines="1"/>
  <pageMargins left="0.19685039370078741" right="0.39370078740157483" top="0.55118110236220474" bottom="0.55118110236220474" header="0.51181102362204722" footer="0.51181102362204722"/>
  <pageSetup paperSize="8" scale="52" orientation="landscape" r:id="rId1"/>
  <headerFooter alignWithMargins="0"/>
  <drawing r:id="rId2"/>
  <legacyDrawing r:id="rId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44">
    <tabColor theme="5" tint="0.59999389629810485"/>
  </sheetPr>
  <dimension ref="A1:P49"/>
  <sheetViews>
    <sheetView showZeros="0" zoomScaleNormal="100" zoomScaleSheetLayoutView="100" workbookViewId="0">
      <selection activeCell="A17" sqref="A17"/>
    </sheetView>
  </sheetViews>
  <sheetFormatPr defaultColWidth="9" defaultRowHeight="12.75" x14ac:dyDescent="0.2"/>
  <cols>
    <col min="1" max="1" width="8.625" style="73" customWidth="1"/>
    <col min="2" max="3" width="10.625" style="73" customWidth="1"/>
    <col min="4" max="4" width="13.625" style="73" customWidth="1"/>
    <col min="5" max="5" width="10.625" style="71" customWidth="1"/>
    <col min="6" max="6" width="10.625" style="1764" customWidth="1"/>
    <col min="7" max="7" width="7.625" style="71" customWidth="1"/>
    <col min="8" max="10" width="7.625" style="74" customWidth="1"/>
    <col min="11" max="11" width="7.625" style="73" customWidth="1"/>
    <col min="12" max="12" width="14.625" style="69" customWidth="1"/>
    <col min="13" max="14" width="14.625" style="75" customWidth="1"/>
    <col min="15" max="16384" width="9" style="63"/>
  </cols>
  <sheetData>
    <row r="1" spans="1:16" ht="24.95" customHeight="1" x14ac:dyDescent="0.15">
      <c r="A1" s="484" t="str">
        <f>Orçamento_Não_Deson!B1</f>
        <v>PREFEITURA MUNICIPAL DE CAMPO GRANDE - MS</v>
      </c>
      <c r="B1" s="484"/>
      <c r="C1" s="484"/>
      <c r="D1" s="484"/>
      <c r="E1" s="484"/>
      <c r="F1" s="1759"/>
      <c r="G1" s="484"/>
      <c r="H1" s="484"/>
      <c r="I1" s="484"/>
      <c r="J1" s="484"/>
      <c r="K1" s="484"/>
      <c r="L1" s="195"/>
      <c r="M1" s="196" t="s">
        <v>115</v>
      </c>
      <c r="N1" s="197" t="str">
        <f>IF(N4+N3=N2,"OK","NÃO")</f>
        <v>NÃO</v>
      </c>
    </row>
    <row r="2" spans="1:16" s="64" customFormat="1" ht="24.95" customHeight="1" x14ac:dyDescent="0.15">
      <c r="A2" s="488" t="s">
        <v>30</v>
      </c>
      <c r="B2" s="487" t="str">
        <f>Orçamento_Não_Deson!C5</f>
        <v xml:space="preserve">INFRAESTRUTURA URBANA - PAVIMENTAÇÃO ASFÁLTICA E DRENAGEM DE ÁGUAS PLUVIAIS </v>
      </c>
      <c r="C2" s="485"/>
      <c r="D2" s="485"/>
      <c r="E2" s="485"/>
      <c r="F2" s="1760"/>
      <c r="G2" s="485"/>
      <c r="H2" s="485"/>
      <c r="I2" s="485"/>
      <c r="J2" s="485"/>
      <c r="K2" s="485"/>
      <c r="L2" s="192"/>
      <c r="M2" s="196" t="s">
        <v>116</v>
      </c>
      <c r="N2" s="70">
        <f>SUM(A9:A12)</f>
        <v>10</v>
      </c>
    </row>
    <row r="3" spans="1:16" s="64" customFormat="1" ht="24.95" customHeight="1" x14ac:dyDescent="0.15">
      <c r="A3" s="488" t="s">
        <v>220</v>
      </c>
      <c r="B3" s="487" t="str">
        <f>Orçamento_Não_Deson!C6</f>
        <v>JARDIM NASHIVILLE - ETAPA "B" - FASE 2</v>
      </c>
      <c r="C3" s="485"/>
      <c r="D3" s="485"/>
      <c r="E3" s="485"/>
      <c r="F3" s="1760"/>
      <c r="G3" s="485"/>
      <c r="H3" s="485"/>
      <c r="I3" s="485"/>
      <c r="J3" s="485"/>
      <c r="K3" s="485"/>
      <c r="L3" s="192"/>
      <c r="M3" s="196" t="s">
        <v>117</v>
      </c>
      <c r="N3" s="70">
        <f>SUM(L9:L12)</f>
        <v>0</v>
      </c>
    </row>
    <row r="4" spans="1:16" ht="24.95" customHeight="1" x14ac:dyDescent="0.15">
      <c r="A4" s="489" t="s">
        <v>222</v>
      </c>
      <c r="B4" s="746" t="str">
        <f>Orçamento_Não_Deson!J1</f>
        <v>Agosto/2023</v>
      </c>
      <c r="C4" s="486"/>
      <c r="D4" s="486"/>
      <c r="E4" s="486"/>
      <c r="F4" s="1761"/>
      <c r="G4" s="486"/>
      <c r="H4" s="486"/>
      <c r="I4" s="486"/>
      <c r="J4" s="486"/>
      <c r="K4" s="486"/>
      <c r="L4" s="195"/>
      <c r="M4" s="196" t="s">
        <v>118</v>
      </c>
      <c r="N4" s="153">
        <f>SUM(I9:K12)</f>
        <v>6</v>
      </c>
    </row>
    <row r="5" spans="1:16" ht="24.95" customHeight="1" thickBot="1" x14ac:dyDescent="0.2">
      <c r="A5" s="193"/>
      <c r="B5" s="194"/>
      <c r="C5" s="194"/>
      <c r="D5" s="67"/>
      <c r="E5" s="67"/>
      <c r="F5" s="1762"/>
      <c r="G5" s="67"/>
      <c r="H5" s="67"/>
      <c r="I5" s="67"/>
      <c r="J5" s="67"/>
      <c r="K5" s="67"/>
      <c r="L5" s="195"/>
      <c r="M5" s="196" t="s">
        <v>119</v>
      </c>
      <c r="N5" s="70">
        <f>N2-N3-N4</f>
        <v>4</v>
      </c>
    </row>
    <row r="6" spans="1:16" s="60" customFormat="1" ht="30" customHeight="1" thickTop="1" x14ac:dyDescent="0.15">
      <c r="A6" s="3108" t="s">
        <v>144</v>
      </c>
      <c r="B6" s="3119" t="s">
        <v>2219</v>
      </c>
      <c r="C6" s="3120"/>
      <c r="D6" s="3121"/>
      <c r="E6" s="3111" t="s">
        <v>145</v>
      </c>
      <c r="F6" s="1763" t="s">
        <v>146</v>
      </c>
      <c r="G6" s="257"/>
      <c r="H6" s="258" t="s">
        <v>120</v>
      </c>
      <c r="I6" s="259"/>
      <c r="J6" s="258"/>
      <c r="K6" s="260"/>
      <c r="L6" s="3107" t="s">
        <v>147</v>
      </c>
      <c r="M6" s="72"/>
      <c r="N6" s="72"/>
    </row>
    <row r="7" spans="1:16" s="60" customFormat="1" ht="30" customHeight="1" x14ac:dyDescent="0.15">
      <c r="A7" s="3109"/>
      <c r="B7" s="3124" t="s">
        <v>2220</v>
      </c>
      <c r="C7" s="3124"/>
      <c r="D7" s="3122" t="s">
        <v>2656</v>
      </c>
      <c r="E7" s="3112"/>
      <c r="F7" s="3114" t="s">
        <v>148</v>
      </c>
      <c r="G7" s="3116" t="s">
        <v>149</v>
      </c>
      <c r="H7" s="3116" t="s">
        <v>76</v>
      </c>
      <c r="I7" s="261" t="s">
        <v>75</v>
      </c>
      <c r="J7" s="262"/>
      <c r="K7" s="263"/>
      <c r="L7" s="3107"/>
      <c r="M7" s="72"/>
      <c r="N7" s="72"/>
    </row>
    <row r="8" spans="1:16" s="60" customFormat="1" ht="30" customHeight="1" thickBot="1" x14ac:dyDescent="0.2">
      <c r="A8" s="3110"/>
      <c r="B8" s="1852" t="s">
        <v>75</v>
      </c>
      <c r="C8" s="1852" t="s">
        <v>143</v>
      </c>
      <c r="D8" s="3123"/>
      <c r="E8" s="3113"/>
      <c r="F8" s="3115"/>
      <c r="G8" s="3117"/>
      <c r="H8" s="3118"/>
      <c r="I8" s="264" t="s">
        <v>74</v>
      </c>
      <c r="J8" s="265" t="s">
        <v>73</v>
      </c>
      <c r="K8" s="266" t="s">
        <v>72</v>
      </c>
      <c r="L8" s="3107"/>
      <c r="M8" s="191"/>
      <c r="N8" s="72"/>
    </row>
    <row r="9" spans="1:16" ht="20.100000000000001" customHeight="1" thickTop="1" x14ac:dyDescent="0.2">
      <c r="A9" s="2103">
        <v>1</v>
      </c>
      <c r="B9" s="2059">
        <v>518.51700000000005</v>
      </c>
      <c r="C9" s="2060"/>
      <c r="D9" s="2061">
        <v>518.84199999999998</v>
      </c>
      <c r="E9" s="2062">
        <v>45.04</v>
      </c>
      <c r="F9" s="2226">
        <v>0.80230000000000001</v>
      </c>
      <c r="G9" s="2063">
        <v>0.6</v>
      </c>
      <c r="H9" s="2064">
        <v>2</v>
      </c>
      <c r="I9" s="2064"/>
      <c r="J9" s="2064"/>
      <c r="K9" s="2065"/>
      <c r="L9" s="490">
        <f>IF(C9&gt;0,A9,0)</f>
        <v>0</v>
      </c>
      <c r="M9" s="1291"/>
      <c r="N9" s="191"/>
      <c r="O9" s="191"/>
      <c r="P9" s="191"/>
    </row>
    <row r="10" spans="1:16" ht="20.100000000000001" customHeight="1" x14ac:dyDescent="0.2">
      <c r="A10" s="2104">
        <v>2</v>
      </c>
      <c r="B10" s="2059">
        <v>516.09199999999998</v>
      </c>
      <c r="C10" s="2059"/>
      <c r="D10" s="2061">
        <v>516.21199999999999</v>
      </c>
      <c r="E10" s="2062">
        <v>45.04</v>
      </c>
      <c r="F10" s="2226">
        <v>0.1469</v>
      </c>
      <c r="G10" s="2063">
        <v>0.6</v>
      </c>
      <c r="H10" s="2066">
        <v>3</v>
      </c>
      <c r="I10" s="2066">
        <v>1</v>
      </c>
      <c r="J10" s="2066"/>
      <c r="K10" s="2067"/>
      <c r="L10" s="490">
        <f t="shared" ref="L10:L48" si="0">IF(C10&gt;0,A10,0)</f>
        <v>0</v>
      </c>
      <c r="M10" s="1291"/>
      <c r="N10" s="191"/>
      <c r="O10" s="191"/>
      <c r="P10" s="191"/>
    </row>
    <row r="11" spans="1:16" ht="20.100000000000001" customHeight="1" x14ac:dyDescent="0.2">
      <c r="A11" s="2104">
        <v>3</v>
      </c>
      <c r="B11" s="2059">
        <v>513.79700000000003</v>
      </c>
      <c r="C11" s="2059"/>
      <c r="D11" s="2061">
        <v>513.79700000000003</v>
      </c>
      <c r="E11" s="2062">
        <v>60.43</v>
      </c>
      <c r="F11" s="2226">
        <v>1.3438000000000001</v>
      </c>
      <c r="G11" s="2063">
        <v>0.6</v>
      </c>
      <c r="H11" s="2066">
        <v>4</v>
      </c>
      <c r="I11" s="2066">
        <v>2</v>
      </c>
      <c r="J11" s="2066"/>
      <c r="K11" s="2067"/>
      <c r="L11" s="490">
        <f t="shared" si="0"/>
        <v>0</v>
      </c>
      <c r="M11" s="1291"/>
      <c r="N11" s="191"/>
      <c r="O11" s="191"/>
      <c r="P11" s="191"/>
    </row>
    <row r="12" spans="1:16" ht="20.100000000000001" customHeight="1" x14ac:dyDescent="0.2">
      <c r="A12" s="2104">
        <v>4</v>
      </c>
      <c r="B12" s="2059">
        <v>514.61300000000006</v>
      </c>
      <c r="C12" s="2059"/>
      <c r="D12" s="2061">
        <v>514.61300000000006</v>
      </c>
      <c r="E12" s="2062">
        <v>60.43</v>
      </c>
      <c r="F12" s="2226">
        <v>0.4506</v>
      </c>
      <c r="G12" s="2063">
        <v>0.6</v>
      </c>
      <c r="H12" s="2066">
        <v>5</v>
      </c>
      <c r="I12" s="2066">
        <v>3</v>
      </c>
      <c r="J12" s="2066"/>
      <c r="K12" s="2067"/>
      <c r="L12" s="490">
        <f t="shared" si="0"/>
        <v>0</v>
      </c>
      <c r="M12" s="1291"/>
      <c r="N12" s="191"/>
      <c r="O12" s="191"/>
      <c r="P12" s="191"/>
    </row>
    <row r="13" spans="1:16" ht="20.100000000000001" customHeight="1" x14ac:dyDescent="0.2">
      <c r="A13" s="2104">
        <v>5</v>
      </c>
      <c r="B13" s="2059">
        <v>515.80499999999995</v>
      </c>
      <c r="C13" s="2059"/>
      <c r="D13" s="2061">
        <v>516.04700000000003</v>
      </c>
      <c r="E13" s="2062">
        <v>60.43</v>
      </c>
      <c r="F13" s="2226">
        <v>0.01</v>
      </c>
      <c r="G13" s="2063">
        <v>0.6</v>
      </c>
      <c r="H13" s="2066">
        <v>6</v>
      </c>
      <c r="I13" s="2066">
        <v>4</v>
      </c>
      <c r="J13" s="2066"/>
      <c r="K13" s="2067"/>
      <c r="L13" s="490">
        <f t="shared" si="0"/>
        <v>0</v>
      </c>
      <c r="M13" s="1291"/>
      <c r="N13" s="191"/>
      <c r="O13" s="191"/>
      <c r="P13" s="191"/>
    </row>
    <row r="14" spans="1:16" ht="20.100000000000001" customHeight="1" x14ac:dyDescent="0.2">
      <c r="A14" s="2104">
        <v>6</v>
      </c>
      <c r="B14" s="2059">
        <v>515.55499999999995</v>
      </c>
      <c r="C14" s="2059"/>
      <c r="D14" s="2061">
        <v>515.55499999999995</v>
      </c>
      <c r="E14" s="2062">
        <v>50.73</v>
      </c>
      <c r="F14" s="2226">
        <v>0.60399999999999998</v>
      </c>
      <c r="G14" s="2063">
        <v>0.6</v>
      </c>
      <c r="H14" s="2066">
        <v>7</v>
      </c>
      <c r="I14" s="2066">
        <v>5</v>
      </c>
      <c r="J14" s="2066"/>
      <c r="K14" s="2067"/>
      <c r="L14" s="490">
        <f t="shared" si="0"/>
        <v>0</v>
      </c>
      <c r="M14" s="1291"/>
      <c r="N14" s="191"/>
      <c r="O14" s="191"/>
      <c r="P14" s="191"/>
    </row>
    <row r="15" spans="1:16" ht="20.100000000000001" customHeight="1" x14ac:dyDescent="0.2">
      <c r="A15" s="2104">
        <v>7</v>
      </c>
      <c r="B15" s="2059">
        <v>515.197</v>
      </c>
      <c r="C15" s="2059">
        <v>514.65</v>
      </c>
      <c r="D15" s="2061">
        <f t="shared" ref="D15:D26" si="1">B15</f>
        <v>515.197</v>
      </c>
      <c r="E15" s="2062">
        <v>26.37</v>
      </c>
      <c r="F15" s="2226">
        <v>0.26138</v>
      </c>
      <c r="G15" s="2063">
        <v>0.6</v>
      </c>
      <c r="H15" s="2066"/>
      <c r="I15" s="2066">
        <v>6</v>
      </c>
      <c r="J15" s="2066"/>
      <c r="K15" s="2067"/>
      <c r="L15" s="490">
        <f t="shared" si="0"/>
        <v>7</v>
      </c>
      <c r="M15" s="1291"/>
      <c r="N15" s="191"/>
      <c r="O15" s="191"/>
      <c r="P15" s="191"/>
    </row>
    <row r="16" spans="1:16" ht="20.100000000000001" customHeight="1" x14ac:dyDescent="0.2">
      <c r="A16" s="2104">
        <v>8</v>
      </c>
      <c r="B16" s="2059"/>
      <c r="C16" s="2059"/>
      <c r="D16" s="2061">
        <f t="shared" si="1"/>
        <v>0</v>
      </c>
      <c r="E16" s="2062"/>
      <c r="F16" s="2226"/>
      <c r="G16" s="2063"/>
      <c r="H16" s="2066"/>
      <c r="I16" s="2066">
        <v>0</v>
      </c>
      <c r="J16" s="2066"/>
      <c r="K16" s="2067"/>
      <c r="L16" s="490">
        <f t="shared" si="0"/>
        <v>0</v>
      </c>
      <c r="M16" s="1291"/>
      <c r="N16" s="191"/>
      <c r="O16" s="191"/>
      <c r="P16" s="191"/>
    </row>
    <row r="17" spans="1:16" ht="20.100000000000001" customHeight="1" x14ac:dyDescent="0.2">
      <c r="A17" s="2104">
        <v>9</v>
      </c>
      <c r="B17" s="2059"/>
      <c r="C17" s="2059"/>
      <c r="D17" s="2061">
        <f t="shared" si="1"/>
        <v>0</v>
      </c>
      <c r="E17" s="2062"/>
      <c r="F17" s="2226"/>
      <c r="G17" s="2063"/>
      <c r="H17" s="2066"/>
      <c r="I17" s="2066">
        <v>0</v>
      </c>
      <c r="J17" s="2066"/>
      <c r="K17" s="2067"/>
      <c r="L17" s="490">
        <f t="shared" si="0"/>
        <v>0</v>
      </c>
      <c r="M17" s="1291"/>
      <c r="N17" s="191"/>
      <c r="O17" s="191"/>
      <c r="P17" s="191"/>
    </row>
    <row r="18" spans="1:16" ht="20.100000000000001" customHeight="1" x14ac:dyDescent="0.2">
      <c r="A18" s="2104">
        <v>10</v>
      </c>
      <c r="B18" s="2059"/>
      <c r="C18" s="2059"/>
      <c r="D18" s="2061"/>
      <c r="E18" s="2062"/>
      <c r="F18" s="2226"/>
      <c r="G18" s="2063"/>
      <c r="H18" s="2066"/>
      <c r="I18" s="2066"/>
      <c r="J18" s="2066"/>
      <c r="K18" s="2067"/>
      <c r="L18" s="490">
        <f t="shared" si="0"/>
        <v>0</v>
      </c>
      <c r="M18" s="1291"/>
      <c r="N18" s="191"/>
      <c r="O18" s="191"/>
      <c r="P18" s="191"/>
    </row>
    <row r="19" spans="1:16" ht="20.100000000000001" customHeight="1" x14ac:dyDescent="0.2">
      <c r="A19" s="2104">
        <v>11</v>
      </c>
      <c r="B19" s="2059"/>
      <c r="C19" s="2059"/>
      <c r="D19" s="2061"/>
      <c r="E19" s="2062"/>
      <c r="F19" s="2226"/>
      <c r="G19" s="2063"/>
      <c r="H19" s="2066"/>
      <c r="I19" s="2066"/>
      <c r="J19" s="2066"/>
      <c r="K19" s="2067"/>
      <c r="L19" s="490">
        <f t="shared" si="0"/>
        <v>0</v>
      </c>
      <c r="M19" s="1291"/>
      <c r="N19" s="191"/>
      <c r="O19" s="191"/>
      <c r="P19" s="191"/>
    </row>
    <row r="20" spans="1:16" ht="20.100000000000001" customHeight="1" x14ac:dyDescent="0.2">
      <c r="A20" s="2104">
        <v>12</v>
      </c>
      <c r="B20" s="2059"/>
      <c r="C20" s="2059"/>
      <c r="D20" s="2061"/>
      <c r="E20" s="2062"/>
      <c r="F20" s="2226"/>
      <c r="G20" s="2063"/>
      <c r="H20" s="2066"/>
      <c r="I20" s="2066"/>
      <c r="J20" s="2066"/>
      <c r="K20" s="2067"/>
      <c r="L20" s="490">
        <f t="shared" si="0"/>
        <v>0</v>
      </c>
      <c r="M20" s="1291"/>
      <c r="N20" s="191"/>
      <c r="O20" s="191"/>
      <c r="P20" s="191"/>
    </row>
    <row r="21" spans="1:16" ht="20.100000000000001" customHeight="1" x14ac:dyDescent="0.2">
      <c r="A21" s="2104">
        <v>13</v>
      </c>
      <c r="B21" s="2059"/>
      <c r="C21" s="2059"/>
      <c r="D21" s="2061"/>
      <c r="E21" s="2062"/>
      <c r="F21" s="2226"/>
      <c r="G21" s="2063"/>
      <c r="H21" s="2066"/>
      <c r="I21" s="2066"/>
      <c r="J21" s="2066"/>
      <c r="K21" s="2067"/>
      <c r="L21" s="490">
        <f t="shared" si="0"/>
        <v>0</v>
      </c>
      <c r="M21" s="1291"/>
      <c r="N21" s="191"/>
      <c r="O21" s="191"/>
      <c r="P21" s="191"/>
    </row>
    <row r="22" spans="1:16" ht="20.100000000000001" customHeight="1" x14ac:dyDescent="0.2">
      <c r="A22" s="2104">
        <v>14</v>
      </c>
      <c r="B22" s="2059"/>
      <c r="C22" s="2059"/>
      <c r="D22" s="2061"/>
      <c r="E22" s="2062"/>
      <c r="F22" s="2226"/>
      <c r="G22" s="2063"/>
      <c r="H22" s="2066"/>
      <c r="I22" s="2066"/>
      <c r="J22" s="2066"/>
      <c r="K22" s="2067"/>
      <c r="L22" s="490">
        <f t="shared" si="0"/>
        <v>0</v>
      </c>
      <c r="M22" s="1291"/>
      <c r="N22" s="191"/>
      <c r="O22" s="191"/>
      <c r="P22" s="191"/>
    </row>
    <row r="23" spans="1:16" ht="20.100000000000001" customHeight="1" x14ac:dyDescent="0.2">
      <c r="A23" s="2104">
        <v>15</v>
      </c>
      <c r="B23" s="2059"/>
      <c r="C23" s="2059"/>
      <c r="D23" s="2061">
        <f t="shared" si="1"/>
        <v>0</v>
      </c>
      <c r="E23" s="2062"/>
      <c r="F23" s="2226"/>
      <c r="G23" s="2063"/>
      <c r="H23" s="2066"/>
      <c r="I23" s="2066">
        <v>0</v>
      </c>
      <c r="J23" s="2066"/>
      <c r="K23" s="2067"/>
      <c r="L23" s="490">
        <f t="shared" si="0"/>
        <v>0</v>
      </c>
      <c r="M23" s="1291"/>
      <c r="N23" s="191"/>
      <c r="O23" s="191"/>
      <c r="P23" s="191"/>
    </row>
    <row r="24" spans="1:16" ht="20.100000000000001" customHeight="1" x14ac:dyDescent="0.2">
      <c r="A24" s="2104">
        <v>16</v>
      </c>
      <c r="B24" s="2059"/>
      <c r="C24" s="2059"/>
      <c r="D24" s="2061">
        <f t="shared" si="1"/>
        <v>0</v>
      </c>
      <c r="E24" s="2062"/>
      <c r="F24" s="2226"/>
      <c r="G24" s="2063"/>
      <c r="H24" s="2066"/>
      <c r="I24" s="2066">
        <v>0</v>
      </c>
      <c r="J24" s="2066"/>
      <c r="K24" s="2067"/>
      <c r="L24" s="490">
        <f t="shared" si="0"/>
        <v>0</v>
      </c>
      <c r="M24" s="1291"/>
      <c r="N24" s="191"/>
      <c r="O24" s="191"/>
      <c r="P24" s="191"/>
    </row>
    <row r="25" spans="1:16" ht="20.100000000000001" customHeight="1" x14ac:dyDescent="0.2">
      <c r="A25" s="2104">
        <v>17</v>
      </c>
      <c r="B25" s="2059"/>
      <c r="C25" s="2059"/>
      <c r="D25" s="2061">
        <f t="shared" si="1"/>
        <v>0</v>
      </c>
      <c r="E25" s="2062"/>
      <c r="F25" s="2226"/>
      <c r="G25" s="2063"/>
      <c r="H25" s="2066"/>
      <c r="I25" s="2066">
        <v>0</v>
      </c>
      <c r="J25" s="2066"/>
      <c r="K25" s="2067"/>
      <c r="L25" s="490">
        <f t="shared" si="0"/>
        <v>0</v>
      </c>
      <c r="M25" s="1291"/>
      <c r="N25" s="191"/>
      <c r="O25" s="191"/>
      <c r="P25" s="191"/>
    </row>
    <row r="26" spans="1:16" ht="20.100000000000001" customHeight="1" x14ac:dyDescent="0.2">
      <c r="A26" s="2104">
        <v>18</v>
      </c>
      <c r="B26" s="2059"/>
      <c r="C26" s="2059"/>
      <c r="D26" s="2061">
        <f t="shared" si="1"/>
        <v>0</v>
      </c>
      <c r="E26" s="2062"/>
      <c r="F26" s="2226"/>
      <c r="G26" s="2063"/>
      <c r="H26" s="2066"/>
      <c r="I26" s="2066">
        <v>0</v>
      </c>
      <c r="J26" s="2066"/>
      <c r="K26" s="2067"/>
      <c r="L26" s="490">
        <f t="shared" si="0"/>
        <v>0</v>
      </c>
      <c r="M26" s="1291"/>
      <c r="N26" s="191"/>
      <c r="O26" s="191"/>
      <c r="P26" s="191"/>
    </row>
    <row r="27" spans="1:16" ht="20.100000000000001" customHeight="1" x14ac:dyDescent="0.2">
      <c r="A27" s="2104">
        <v>19</v>
      </c>
      <c r="B27" s="2059"/>
      <c r="C27" s="2059"/>
      <c r="D27" s="2061"/>
      <c r="E27" s="2062"/>
      <c r="F27" s="2226"/>
      <c r="G27" s="2063"/>
      <c r="H27" s="2066"/>
      <c r="I27" s="2066">
        <v>0</v>
      </c>
      <c r="J27" s="2066"/>
      <c r="K27" s="2067"/>
      <c r="L27" s="490">
        <f t="shared" si="0"/>
        <v>0</v>
      </c>
      <c r="M27" s="1291"/>
      <c r="N27" s="191"/>
      <c r="O27" s="191"/>
      <c r="P27" s="191"/>
    </row>
    <row r="28" spans="1:16" ht="20.100000000000001" customHeight="1" x14ac:dyDescent="0.2">
      <c r="A28" s="2104">
        <v>20</v>
      </c>
      <c r="B28" s="2059"/>
      <c r="C28" s="2059"/>
      <c r="D28" s="2061">
        <f t="shared" ref="D28:D37" si="2">B28</f>
        <v>0</v>
      </c>
      <c r="E28" s="2062"/>
      <c r="F28" s="2226"/>
      <c r="G28" s="2063"/>
      <c r="H28" s="2066"/>
      <c r="I28" s="2066">
        <v>0</v>
      </c>
      <c r="J28" s="2066"/>
      <c r="K28" s="2067"/>
      <c r="L28" s="490">
        <f t="shared" si="0"/>
        <v>0</v>
      </c>
      <c r="M28" s="1291"/>
      <c r="N28" s="191"/>
      <c r="O28" s="191"/>
      <c r="P28" s="191"/>
    </row>
    <row r="29" spans="1:16" ht="20.100000000000001" customHeight="1" x14ac:dyDescent="0.2">
      <c r="A29" s="2104">
        <v>21</v>
      </c>
      <c r="B29" s="2059"/>
      <c r="C29" s="2059"/>
      <c r="D29" s="2061">
        <f t="shared" si="2"/>
        <v>0</v>
      </c>
      <c r="E29" s="2062"/>
      <c r="F29" s="2226"/>
      <c r="G29" s="2063"/>
      <c r="H29" s="2066"/>
      <c r="I29" s="2066">
        <v>0</v>
      </c>
      <c r="J29" s="2066"/>
      <c r="K29" s="2067"/>
      <c r="L29" s="490">
        <f t="shared" si="0"/>
        <v>0</v>
      </c>
      <c r="M29" s="1291"/>
      <c r="N29" s="191"/>
      <c r="O29" s="191"/>
      <c r="P29" s="191"/>
    </row>
    <row r="30" spans="1:16" ht="20.100000000000001" customHeight="1" x14ac:dyDescent="0.2">
      <c r="A30" s="2104">
        <v>22</v>
      </c>
      <c r="B30" s="2059"/>
      <c r="C30" s="2059"/>
      <c r="D30" s="2061">
        <f t="shared" si="2"/>
        <v>0</v>
      </c>
      <c r="E30" s="2062"/>
      <c r="F30" s="2226"/>
      <c r="G30" s="2063"/>
      <c r="H30" s="2066"/>
      <c r="I30" s="2066">
        <v>0</v>
      </c>
      <c r="J30" s="2066"/>
      <c r="K30" s="2067"/>
      <c r="L30" s="490">
        <f t="shared" si="0"/>
        <v>0</v>
      </c>
      <c r="M30" s="1291"/>
      <c r="N30" s="191"/>
      <c r="O30" s="191"/>
      <c r="P30" s="191"/>
    </row>
    <row r="31" spans="1:16" ht="20.100000000000001" customHeight="1" x14ac:dyDescent="0.2">
      <c r="A31" s="2104">
        <v>23</v>
      </c>
      <c r="B31" s="2059"/>
      <c r="C31" s="2059"/>
      <c r="D31" s="2061">
        <f t="shared" si="2"/>
        <v>0</v>
      </c>
      <c r="E31" s="2062"/>
      <c r="F31" s="2226"/>
      <c r="G31" s="2063"/>
      <c r="H31" s="2066"/>
      <c r="I31" s="2066"/>
      <c r="J31" s="2066"/>
      <c r="K31" s="2067"/>
      <c r="L31" s="490">
        <f t="shared" si="0"/>
        <v>0</v>
      </c>
      <c r="M31" s="1291"/>
      <c r="N31" s="191"/>
      <c r="O31" s="191"/>
      <c r="P31" s="191"/>
    </row>
    <row r="32" spans="1:16" ht="20.100000000000001" customHeight="1" x14ac:dyDescent="0.2">
      <c r="A32" s="2104">
        <v>24</v>
      </c>
      <c r="B32" s="2059"/>
      <c r="C32" s="2059"/>
      <c r="D32" s="2061">
        <f t="shared" si="2"/>
        <v>0</v>
      </c>
      <c r="E32" s="2062"/>
      <c r="F32" s="2226"/>
      <c r="G32" s="2063"/>
      <c r="H32" s="2066"/>
      <c r="I32" s="2066"/>
      <c r="J32" s="2066"/>
      <c r="K32" s="2067"/>
      <c r="L32" s="490">
        <f t="shared" si="0"/>
        <v>0</v>
      </c>
      <c r="M32" s="1291"/>
      <c r="N32" s="191"/>
      <c r="O32" s="191"/>
      <c r="P32" s="191"/>
    </row>
    <row r="33" spans="1:16" ht="20.100000000000001" customHeight="1" x14ac:dyDescent="0.2">
      <c r="A33" s="2104">
        <v>25</v>
      </c>
      <c r="B33" s="2059"/>
      <c r="C33" s="2059"/>
      <c r="D33" s="2061">
        <f t="shared" si="2"/>
        <v>0</v>
      </c>
      <c r="E33" s="2062"/>
      <c r="F33" s="2226"/>
      <c r="G33" s="2063"/>
      <c r="H33" s="2066"/>
      <c r="I33" s="2066">
        <v>0</v>
      </c>
      <c r="J33" s="2066"/>
      <c r="K33" s="2067"/>
      <c r="L33" s="490">
        <f t="shared" si="0"/>
        <v>0</v>
      </c>
      <c r="M33" s="1291"/>
      <c r="N33" s="191"/>
      <c r="O33" s="191"/>
      <c r="P33" s="191"/>
    </row>
    <row r="34" spans="1:16" ht="20.100000000000001" customHeight="1" x14ac:dyDescent="0.2">
      <c r="A34" s="2104">
        <v>26</v>
      </c>
      <c r="B34" s="2059"/>
      <c r="C34" s="2059"/>
      <c r="D34" s="2061">
        <f t="shared" si="2"/>
        <v>0</v>
      </c>
      <c r="E34" s="2062"/>
      <c r="F34" s="2226"/>
      <c r="G34" s="2063"/>
      <c r="H34" s="2066"/>
      <c r="I34" s="2066">
        <v>0</v>
      </c>
      <c r="J34" s="2066"/>
      <c r="K34" s="2067"/>
      <c r="L34" s="490">
        <f t="shared" si="0"/>
        <v>0</v>
      </c>
      <c r="M34" s="1291"/>
      <c r="N34" s="191"/>
      <c r="O34" s="191"/>
      <c r="P34" s="191"/>
    </row>
    <row r="35" spans="1:16" ht="20.100000000000001" customHeight="1" x14ac:dyDescent="0.2">
      <c r="A35" s="2104">
        <v>27</v>
      </c>
      <c r="B35" s="2059"/>
      <c r="C35" s="2059"/>
      <c r="D35" s="2061">
        <f t="shared" si="2"/>
        <v>0</v>
      </c>
      <c r="E35" s="2062"/>
      <c r="F35" s="2226"/>
      <c r="G35" s="2063"/>
      <c r="H35" s="2066"/>
      <c r="I35" s="2066">
        <v>0</v>
      </c>
      <c r="J35" s="2066"/>
      <c r="K35" s="2067"/>
      <c r="L35" s="490">
        <f t="shared" si="0"/>
        <v>0</v>
      </c>
      <c r="M35" s="1291"/>
      <c r="N35" s="191"/>
      <c r="O35" s="191"/>
      <c r="P35" s="191"/>
    </row>
    <row r="36" spans="1:16" ht="20.100000000000001" customHeight="1" x14ac:dyDescent="0.2">
      <c r="A36" s="2104">
        <v>28</v>
      </c>
      <c r="B36" s="2059"/>
      <c r="C36" s="2059"/>
      <c r="D36" s="2061">
        <f t="shared" si="2"/>
        <v>0</v>
      </c>
      <c r="E36" s="2062"/>
      <c r="F36" s="2226"/>
      <c r="G36" s="2063"/>
      <c r="H36" s="2066"/>
      <c r="I36" s="2066">
        <v>0</v>
      </c>
      <c r="J36" s="2066"/>
      <c r="K36" s="2067"/>
      <c r="L36" s="490">
        <f t="shared" si="0"/>
        <v>0</v>
      </c>
      <c r="M36" s="1291"/>
      <c r="N36" s="191"/>
      <c r="O36" s="191"/>
      <c r="P36" s="191"/>
    </row>
    <row r="37" spans="1:16" ht="20.100000000000001" customHeight="1" x14ac:dyDescent="0.2">
      <c r="A37" s="2104">
        <v>29</v>
      </c>
      <c r="B37" s="2059"/>
      <c r="C37" s="2059"/>
      <c r="D37" s="2061">
        <f t="shared" si="2"/>
        <v>0</v>
      </c>
      <c r="E37" s="2062"/>
      <c r="F37" s="2226"/>
      <c r="G37" s="2063"/>
      <c r="H37" s="2066"/>
      <c r="I37" s="2066">
        <v>0</v>
      </c>
      <c r="J37" s="2066"/>
      <c r="K37" s="2067"/>
      <c r="L37" s="490">
        <f t="shared" si="0"/>
        <v>0</v>
      </c>
      <c r="M37" s="1291"/>
      <c r="N37" s="191"/>
      <c r="O37" s="191"/>
      <c r="P37" s="191"/>
    </row>
    <row r="38" spans="1:16" ht="20.100000000000001" customHeight="1" x14ac:dyDescent="0.2">
      <c r="A38" s="2104">
        <v>30</v>
      </c>
      <c r="B38" s="2059"/>
      <c r="C38" s="2059"/>
      <c r="D38" s="2061"/>
      <c r="E38" s="2062"/>
      <c r="F38" s="2226"/>
      <c r="G38" s="2063"/>
      <c r="H38" s="2066"/>
      <c r="I38" s="2066"/>
      <c r="J38" s="2066"/>
      <c r="K38" s="2067"/>
      <c r="L38" s="490">
        <f t="shared" si="0"/>
        <v>0</v>
      </c>
      <c r="M38" s="1291"/>
      <c r="N38" s="191"/>
      <c r="O38" s="191"/>
      <c r="P38" s="191"/>
    </row>
    <row r="39" spans="1:16" ht="20.100000000000001" customHeight="1" x14ac:dyDescent="0.2">
      <c r="A39" s="2104">
        <v>31</v>
      </c>
      <c r="B39" s="2059"/>
      <c r="C39" s="2059"/>
      <c r="D39" s="2061"/>
      <c r="E39" s="2062"/>
      <c r="F39" s="2226"/>
      <c r="G39" s="2063"/>
      <c r="H39" s="2066"/>
      <c r="I39" s="2066"/>
      <c r="J39" s="2066"/>
      <c r="K39" s="2067"/>
      <c r="L39" s="490">
        <f t="shared" si="0"/>
        <v>0</v>
      </c>
      <c r="M39" s="1291"/>
      <c r="N39" s="191"/>
      <c r="O39" s="191"/>
      <c r="P39" s="191"/>
    </row>
    <row r="40" spans="1:16" ht="20.100000000000001" customHeight="1" x14ac:dyDescent="0.2">
      <c r="A40" s="2104">
        <v>32</v>
      </c>
      <c r="B40" s="2059"/>
      <c r="C40" s="2059"/>
      <c r="D40" s="2061"/>
      <c r="E40" s="2062"/>
      <c r="F40" s="2226"/>
      <c r="G40" s="2063"/>
      <c r="H40" s="2066"/>
      <c r="I40" s="2066"/>
      <c r="J40" s="2066"/>
      <c r="K40" s="2067"/>
      <c r="L40" s="490">
        <f t="shared" si="0"/>
        <v>0</v>
      </c>
      <c r="M40" s="1291"/>
      <c r="N40" s="191"/>
      <c r="O40" s="191"/>
      <c r="P40" s="191"/>
    </row>
    <row r="41" spans="1:16" ht="20.100000000000001" customHeight="1" x14ac:dyDescent="0.2">
      <c r="A41" s="2104">
        <v>33</v>
      </c>
      <c r="B41" s="2059"/>
      <c r="C41" s="2059"/>
      <c r="D41" s="2061"/>
      <c r="E41" s="2062"/>
      <c r="F41" s="2226"/>
      <c r="G41" s="2063"/>
      <c r="H41" s="2066"/>
      <c r="I41" s="2066"/>
      <c r="J41" s="2066"/>
      <c r="K41" s="2067"/>
      <c r="L41" s="490">
        <f t="shared" si="0"/>
        <v>0</v>
      </c>
      <c r="M41" s="1291"/>
      <c r="N41" s="191"/>
      <c r="O41" s="191"/>
      <c r="P41" s="191"/>
    </row>
    <row r="42" spans="1:16" ht="20.100000000000001" customHeight="1" x14ac:dyDescent="0.2">
      <c r="A42" s="2104">
        <v>34</v>
      </c>
      <c r="B42" s="2059"/>
      <c r="C42" s="2059"/>
      <c r="D42" s="2061"/>
      <c r="E42" s="2062"/>
      <c r="F42" s="2226"/>
      <c r="G42" s="2063"/>
      <c r="H42" s="2066"/>
      <c r="I42" s="2066"/>
      <c r="J42" s="2066"/>
      <c r="K42" s="2067"/>
      <c r="L42" s="490">
        <f t="shared" si="0"/>
        <v>0</v>
      </c>
      <c r="M42" s="1291"/>
      <c r="N42" s="191"/>
      <c r="O42" s="191"/>
      <c r="P42" s="191"/>
    </row>
    <row r="43" spans="1:16" ht="20.100000000000001" customHeight="1" x14ac:dyDescent="0.2">
      <c r="A43" s="2104">
        <v>35</v>
      </c>
      <c r="B43" s="2059"/>
      <c r="C43" s="2059"/>
      <c r="D43" s="2061"/>
      <c r="E43" s="2062"/>
      <c r="F43" s="2226"/>
      <c r="G43" s="2063"/>
      <c r="H43" s="2066"/>
      <c r="I43" s="2066"/>
      <c r="J43" s="2066"/>
      <c r="K43" s="2067"/>
      <c r="L43" s="490">
        <f t="shared" si="0"/>
        <v>0</v>
      </c>
      <c r="M43" s="1291"/>
      <c r="N43" s="191"/>
      <c r="O43" s="191"/>
      <c r="P43" s="191"/>
    </row>
    <row r="44" spans="1:16" ht="20.100000000000001" customHeight="1" x14ac:dyDescent="0.2">
      <c r="A44" s="2104">
        <v>36</v>
      </c>
      <c r="B44" s="2059"/>
      <c r="C44" s="2059"/>
      <c r="D44" s="2061"/>
      <c r="E44" s="2062"/>
      <c r="F44" s="2226"/>
      <c r="G44" s="2063"/>
      <c r="H44" s="2066"/>
      <c r="I44" s="2066"/>
      <c r="J44" s="2066"/>
      <c r="K44" s="2067"/>
      <c r="L44" s="490">
        <f t="shared" si="0"/>
        <v>0</v>
      </c>
      <c r="M44" s="1291"/>
      <c r="N44" s="191"/>
      <c r="O44" s="191"/>
      <c r="P44" s="191"/>
    </row>
    <row r="45" spans="1:16" ht="20.100000000000001" customHeight="1" x14ac:dyDescent="0.2">
      <c r="A45" s="2104">
        <v>37</v>
      </c>
      <c r="B45" s="2059"/>
      <c r="C45" s="2059"/>
      <c r="D45" s="2061"/>
      <c r="E45" s="2062"/>
      <c r="F45" s="2226"/>
      <c r="G45" s="2063"/>
      <c r="H45" s="2066"/>
      <c r="I45" s="2066"/>
      <c r="J45" s="2066"/>
      <c r="K45" s="2067"/>
      <c r="L45" s="490">
        <f t="shared" si="0"/>
        <v>0</v>
      </c>
      <c r="M45" s="1291"/>
      <c r="N45" s="191"/>
      <c r="O45" s="191"/>
      <c r="P45" s="191"/>
    </row>
    <row r="46" spans="1:16" ht="20.100000000000001" customHeight="1" x14ac:dyDescent="0.2">
      <c r="A46" s="2104">
        <v>38</v>
      </c>
      <c r="B46" s="2059"/>
      <c r="C46" s="2059"/>
      <c r="D46" s="2061"/>
      <c r="E46" s="2062"/>
      <c r="F46" s="2226"/>
      <c r="G46" s="2063"/>
      <c r="H46" s="2066"/>
      <c r="I46" s="2066"/>
      <c r="J46" s="2066"/>
      <c r="K46" s="2067"/>
      <c r="L46" s="490">
        <f t="shared" si="0"/>
        <v>0</v>
      </c>
      <c r="M46" s="1291"/>
      <c r="N46" s="191"/>
      <c r="O46" s="191"/>
      <c r="P46" s="191"/>
    </row>
    <row r="47" spans="1:16" ht="20.100000000000001" customHeight="1" x14ac:dyDescent="0.2">
      <c r="A47" s="2104">
        <v>39</v>
      </c>
      <c r="B47" s="2059"/>
      <c r="C47" s="2059"/>
      <c r="D47" s="2061"/>
      <c r="E47" s="2062"/>
      <c r="F47" s="2226"/>
      <c r="G47" s="2063"/>
      <c r="H47" s="2066"/>
      <c r="I47" s="2066"/>
      <c r="J47" s="2066"/>
      <c r="K47" s="2067"/>
      <c r="L47" s="490">
        <f t="shared" si="0"/>
        <v>0</v>
      </c>
      <c r="M47" s="1291"/>
      <c r="N47" s="191"/>
      <c r="O47" s="191"/>
      <c r="P47" s="191"/>
    </row>
    <row r="48" spans="1:16" ht="20.100000000000001" customHeight="1" x14ac:dyDescent="0.2">
      <c r="A48" s="2104">
        <v>40</v>
      </c>
      <c r="B48" s="2059"/>
      <c r="C48" s="2059"/>
      <c r="D48" s="2061"/>
      <c r="E48" s="2062"/>
      <c r="F48" s="2226"/>
      <c r="G48" s="2063"/>
      <c r="H48" s="2066"/>
      <c r="I48" s="2066"/>
      <c r="J48" s="2066"/>
      <c r="K48" s="2067"/>
      <c r="L48" s="490">
        <f t="shared" si="0"/>
        <v>0</v>
      </c>
      <c r="M48" s="1291"/>
      <c r="N48" s="191"/>
      <c r="O48" s="191"/>
      <c r="P48" s="191"/>
    </row>
    <row r="49" spans="1:16" ht="20.100000000000001" customHeight="1" x14ac:dyDescent="0.2">
      <c r="A49" s="2104"/>
      <c r="B49" s="2059"/>
      <c r="C49" s="2059"/>
      <c r="D49" s="2061"/>
      <c r="E49" s="2062"/>
      <c r="F49" s="2226"/>
      <c r="G49" s="2063"/>
      <c r="H49" s="2066"/>
      <c r="I49" s="2066"/>
      <c r="J49" s="2066"/>
      <c r="K49" s="2067"/>
      <c r="L49" s="490"/>
      <c r="M49" s="1291"/>
      <c r="N49" s="191"/>
      <c r="O49" s="191"/>
      <c r="P49" s="191"/>
    </row>
  </sheetData>
  <sheetProtection formatCells="0" formatColumns="0" formatRows="0"/>
  <protectedRanges>
    <protectedRange sqref="B4:D4" name="data_1_1"/>
  </protectedRanges>
  <autoFilter ref="A5:K12"/>
  <mergeCells count="9">
    <mergeCell ref="L6:L8"/>
    <mergeCell ref="A6:A8"/>
    <mergeCell ref="E6:E8"/>
    <mergeCell ref="F7:F8"/>
    <mergeCell ref="G7:G8"/>
    <mergeCell ref="H7:H8"/>
    <mergeCell ref="B6:D6"/>
    <mergeCell ref="D7:D8"/>
    <mergeCell ref="B7:C7"/>
  </mergeCells>
  <dataValidations disablePrompts="1" count="2">
    <dataValidation allowBlank="1" showInputMessage="1" showErrorMessage="1" prompt="Limpar todas as linhas e colunas que não forem ser utilizadas" sqref="E6:K8 A6:A8 B6 B8:C8"/>
    <dataValidation allowBlank="1" showInputMessage="1" showErrorMessage="1" prompt="digitar_x000a_run-off" sqref="G9:G49"/>
  </dataValidations>
  <hyperlinks>
    <hyperlink ref="A6:A8" location="PAINEL!A1" display="Trecho   No."/>
  </hyperlinks>
  <printOptions horizontalCentered="1"/>
  <pageMargins left="0.6692913385826772" right="0.23622047244094491" top="1.299212598425197" bottom="0.74803149606299213" header="0.31496062992125984" footer="0.31496062992125984"/>
  <pageSetup paperSize="9" scale="105" orientation="portrait" verticalDpi="300" r:id="rId1"/>
  <headerFooter alignWithMargins="0"/>
  <ignoredErrors>
    <ignoredError sqref="E2:K2 E3:K3 E4:K4 C4 C3 C2 A1:B4 L9 D15:D17 L10:L48 D23:D37" unlockedFormula="1"/>
  </ignoredErrors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45">
    <tabColor theme="5" tint="0.59999389629810485"/>
    <pageSetUpPr fitToPage="1"/>
  </sheetPr>
  <dimension ref="A1:EJ17"/>
  <sheetViews>
    <sheetView showGridLines="0" showZeros="0" tabSelected="1" zoomScale="115" zoomScaleNormal="115" workbookViewId="0">
      <pane ySplit="10" topLeftCell="A11" activePane="bottomLeft" state="frozen"/>
      <selection activeCell="CG25" sqref="CG25"/>
      <selection pane="bottomLeft" activeCell="V14" sqref="V14:W14"/>
    </sheetView>
  </sheetViews>
  <sheetFormatPr defaultColWidth="9" defaultRowHeight="12.75" x14ac:dyDescent="0.2"/>
  <cols>
    <col min="1" max="1" width="11.375" style="22" bestFit="1" customWidth="1"/>
    <col min="2" max="2" width="9.625" style="30" customWidth="1"/>
    <col min="3" max="3" width="7.625" style="30" hidden="1" customWidth="1"/>
    <col min="4" max="4" width="9.625" style="30" customWidth="1"/>
    <col min="5" max="5" width="7.125" style="20" customWidth="1"/>
    <col min="6" max="7" width="9.625" style="29" customWidth="1"/>
    <col min="8" max="8" width="7.625" style="20" bestFit="1" customWidth="1"/>
    <col min="9" max="9" width="6.625" style="28" hidden="1" customWidth="1"/>
    <col min="10" max="12" width="6.625" style="27" hidden="1" customWidth="1"/>
    <col min="13" max="13" width="6.625" style="26" hidden="1" customWidth="1"/>
    <col min="14" max="14" width="7.625" style="25" customWidth="1"/>
    <col min="15" max="16" width="7.625" style="23" customWidth="1"/>
    <col min="17" max="19" width="8.625" style="25" customWidth="1"/>
    <col min="20" max="20" width="9.375" style="25" customWidth="1"/>
    <col min="21" max="23" width="8.625" style="25" customWidth="1"/>
    <col min="24" max="27" width="8.625" style="23" customWidth="1"/>
    <col min="28" max="28" width="6.625" style="23" hidden="1" customWidth="1"/>
    <col min="29" max="30" width="8.625" style="23" customWidth="1"/>
    <col min="31" max="31" width="6.125" style="24" hidden="1" customWidth="1"/>
    <col min="32" max="32" width="6.125" style="23" hidden="1" customWidth="1"/>
    <col min="33" max="33" width="6.75" style="23" hidden="1" customWidth="1"/>
    <col min="34" max="34" width="8.25" style="23" hidden="1" customWidth="1"/>
    <col min="35" max="37" width="8.625" style="23" customWidth="1"/>
    <col min="38" max="38" width="10.625" style="23" customWidth="1"/>
    <col min="39" max="39" width="3.75" style="86" hidden="1" customWidth="1"/>
    <col min="40" max="43" width="4.875" style="87" hidden="1" customWidth="1"/>
    <col min="44" max="46" width="11.125" style="88" hidden="1" customWidth="1"/>
    <col min="47" max="49" width="4.25" style="88" hidden="1" customWidth="1"/>
    <col min="50" max="50" width="6.375" style="93" hidden="1" customWidth="1"/>
    <col min="51" max="51" width="6.875" style="93" hidden="1" customWidth="1"/>
    <col min="52" max="52" width="5.125" style="93" hidden="1" customWidth="1"/>
    <col min="53" max="53" width="9.625" style="93" hidden="1" customWidth="1"/>
    <col min="54" max="54" width="5.125" style="93" hidden="1" customWidth="1"/>
    <col min="55" max="55" width="6.875" style="93" hidden="1" customWidth="1"/>
    <col min="56" max="56" width="5.125" style="93" hidden="1" customWidth="1"/>
    <col min="57" max="62" width="8.5" style="93" hidden="1" customWidth="1"/>
    <col min="63" max="68" width="8.5" style="21" hidden="1" customWidth="1"/>
    <col min="69" max="69" width="10.125" style="21" hidden="1" customWidth="1"/>
    <col min="70" max="70" width="8.5" style="1868" hidden="1" customWidth="1"/>
    <col min="71" max="71" width="8.5" style="21" hidden="1" customWidth="1"/>
    <col min="72" max="72" width="9.25" style="21" hidden="1" customWidth="1"/>
    <col min="73" max="73" width="9" style="21" hidden="1" customWidth="1"/>
    <col min="74" max="74" width="0" style="21" hidden="1" customWidth="1"/>
    <col min="75" max="80" width="9" style="21" hidden="1" customWidth="1"/>
    <col min="81" max="140" width="9" style="21"/>
    <col min="141" max="16384" width="9" style="20"/>
  </cols>
  <sheetData>
    <row r="1" spans="1:140" s="31" customFormat="1" ht="20.100000000000001" customHeight="1" thickTop="1" x14ac:dyDescent="0.15">
      <c r="A1" s="2075"/>
      <c r="B1" s="313" t="s">
        <v>30</v>
      </c>
      <c r="C1" s="343"/>
      <c r="D1" s="343" t="s">
        <v>2657</v>
      </c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  <c r="S1" s="343"/>
      <c r="T1" s="1435"/>
      <c r="U1" s="1438" t="s">
        <v>1710</v>
      </c>
      <c r="V1" s="1438" t="s">
        <v>1711</v>
      </c>
      <c r="W1" s="1768" t="s">
        <v>1712</v>
      </c>
      <c r="X1" s="1768" t="s">
        <v>1713</v>
      </c>
      <c r="Y1" s="1768" t="s">
        <v>1714</v>
      </c>
      <c r="Z1" s="1768" t="s">
        <v>1715</v>
      </c>
      <c r="AA1" s="1768" t="s">
        <v>1716</v>
      </c>
      <c r="AB1" s="1769"/>
      <c r="AC1" s="1770" t="s">
        <v>1717</v>
      </c>
      <c r="AD1" s="51"/>
      <c r="AE1" s="58"/>
      <c r="AF1" s="32"/>
      <c r="AG1" s="32"/>
      <c r="AH1" s="32"/>
      <c r="AI1" s="3164" t="s">
        <v>817</v>
      </c>
      <c r="AJ1" s="3165"/>
      <c r="AK1" s="3165"/>
      <c r="AL1" s="3166"/>
      <c r="AM1" s="76"/>
      <c r="AN1" s="77"/>
      <c r="AO1" s="77"/>
      <c r="AP1" s="77"/>
      <c r="AQ1" s="77"/>
      <c r="AR1" s="77"/>
      <c r="AS1" s="77"/>
      <c r="AT1" s="77"/>
      <c r="AU1" s="77"/>
      <c r="AV1" s="77"/>
      <c r="AW1" s="77"/>
      <c r="AX1" s="78"/>
      <c r="AY1" s="78"/>
      <c r="AZ1" s="78"/>
      <c r="BB1" s="78"/>
      <c r="BC1" s="78"/>
      <c r="BD1" s="79"/>
      <c r="BE1" s="79"/>
      <c r="BF1" s="79"/>
      <c r="BG1" s="79"/>
      <c r="BH1" s="79"/>
      <c r="BI1" s="79"/>
      <c r="BJ1" s="79"/>
      <c r="BK1" s="35"/>
      <c r="BL1" s="35"/>
      <c r="BM1" s="35"/>
      <c r="BN1" s="35"/>
      <c r="BO1" s="35"/>
      <c r="BP1" s="35"/>
      <c r="BQ1" s="35"/>
      <c r="BR1" s="1865"/>
      <c r="BS1" s="35"/>
      <c r="BT1" s="35"/>
      <c r="BU1" s="35"/>
      <c r="BW1" s="1853" t="s">
        <v>2204</v>
      </c>
      <c r="BX1" s="1854">
        <v>0.6</v>
      </c>
      <c r="BY1" s="1854">
        <v>0.8</v>
      </c>
      <c r="BZ1" s="1854">
        <v>1</v>
      </c>
      <c r="CA1" s="1854">
        <v>1.2</v>
      </c>
      <c r="CB1" s="1854">
        <v>1.5</v>
      </c>
      <c r="CC1" s="35"/>
      <c r="CD1" s="35"/>
      <c r="CE1" s="35"/>
      <c r="CF1" s="35"/>
      <c r="CG1" s="35"/>
      <c r="CH1" s="35"/>
      <c r="CI1" s="35"/>
      <c r="CJ1" s="35"/>
      <c r="CK1" s="35"/>
      <c r="CL1" s="35"/>
      <c r="CM1" s="35"/>
      <c r="CN1" s="35"/>
      <c r="CO1" s="35"/>
      <c r="CP1" s="35"/>
      <c r="CQ1" s="35"/>
      <c r="CR1" s="35"/>
      <c r="CS1" s="35"/>
      <c r="CT1" s="35"/>
      <c r="CU1" s="35"/>
      <c r="CV1" s="35"/>
      <c r="CW1" s="35"/>
      <c r="CX1" s="35"/>
      <c r="CY1" s="35"/>
      <c r="CZ1" s="35"/>
      <c r="DA1" s="35"/>
      <c r="DB1" s="35"/>
      <c r="DC1" s="35"/>
      <c r="DD1" s="35"/>
      <c r="DE1" s="35"/>
      <c r="DF1" s="35"/>
      <c r="DG1" s="35"/>
      <c r="DH1" s="35"/>
      <c r="DI1" s="35"/>
      <c r="DJ1" s="35"/>
      <c r="DK1" s="35"/>
      <c r="DL1" s="35"/>
      <c r="DM1" s="35"/>
      <c r="DN1" s="35"/>
      <c r="DO1" s="35"/>
      <c r="DP1" s="35"/>
      <c r="DQ1" s="35"/>
      <c r="DR1" s="35"/>
      <c r="DS1" s="35"/>
      <c r="DT1" s="35"/>
      <c r="DU1" s="35"/>
      <c r="DV1" s="35"/>
      <c r="DW1" s="35"/>
      <c r="DX1" s="35"/>
      <c r="DY1" s="35"/>
      <c r="DZ1" s="35"/>
      <c r="EA1" s="35"/>
      <c r="EB1" s="35"/>
      <c r="EC1" s="35"/>
      <c r="ED1" s="35"/>
      <c r="EE1" s="35"/>
      <c r="EF1" s="35"/>
      <c r="EG1" s="35"/>
      <c r="EH1" s="35"/>
      <c r="EI1" s="35"/>
      <c r="EJ1" s="35"/>
    </row>
    <row r="2" spans="1:140" s="31" customFormat="1" ht="20.100000000000001" customHeight="1" x14ac:dyDescent="0.15">
      <c r="B2" s="313" t="s">
        <v>220</v>
      </c>
      <c r="C2" s="343"/>
      <c r="D2" s="343" t="s">
        <v>2833</v>
      </c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1436" t="s">
        <v>1718</v>
      </c>
      <c r="U2" s="2219" t="s">
        <v>2630</v>
      </c>
      <c r="V2" s="2217" t="s">
        <v>1628</v>
      </c>
      <c r="W2" s="2219" t="s">
        <v>2630</v>
      </c>
      <c r="X2" s="2217" t="s">
        <v>1628</v>
      </c>
      <c r="Y2" s="2219" t="s">
        <v>2630</v>
      </c>
      <c r="Z2" s="2217" t="s">
        <v>1628</v>
      </c>
      <c r="AA2" s="2217" t="s">
        <v>1628</v>
      </c>
      <c r="AB2" s="1767"/>
      <c r="AC2" s="1766" t="s">
        <v>1628</v>
      </c>
      <c r="AD2" s="51"/>
      <c r="AE2" s="57"/>
      <c r="AF2" s="32"/>
      <c r="AG2" s="32"/>
      <c r="AH2" s="32"/>
      <c r="AI2" s="56" t="s">
        <v>2781</v>
      </c>
      <c r="AJ2" s="55"/>
      <c r="AK2" s="55"/>
      <c r="AL2" s="54"/>
      <c r="AM2" s="81"/>
      <c r="AN2" s="82"/>
      <c r="AO2" s="77"/>
      <c r="AP2" s="77"/>
      <c r="AQ2" s="77"/>
      <c r="AR2" s="77"/>
      <c r="AS2" s="77"/>
      <c r="AT2" s="77"/>
      <c r="AU2" s="77"/>
      <c r="AV2" s="77"/>
      <c r="AW2" s="77"/>
      <c r="AX2" s="78"/>
      <c r="AY2" s="78"/>
      <c r="AZ2" s="78"/>
      <c r="BA2" s="78"/>
      <c r="BC2" s="78"/>
      <c r="BD2" s="79"/>
      <c r="BE2" s="79"/>
      <c r="BF2" s="79"/>
      <c r="BG2" s="79"/>
      <c r="BH2" s="79"/>
      <c r="BI2" s="79"/>
      <c r="BJ2" s="79"/>
      <c r="BK2" s="35"/>
      <c r="BL2" s="35"/>
      <c r="BM2" s="35"/>
      <c r="BN2" s="35"/>
      <c r="BO2" s="35"/>
      <c r="BP2" s="35"/>
      <c r="BQ2" s="35"/>
      <c r="BR2" s="1865"/>
      <c r="BS2" s="35"/>
      <c r="BT2" s="35"/>
      <c r="BU2" s="35"/>
      <c r="BW2" s="1853" t="s">
        <v>2211</v>
      </c>
      <c r="BX2" s="1855">
        <v>1.1619999999999999</v>
      </c>
      <c r="BY2" s="1855">
        <v>1.4460000000000002</v>
      </c>
      <c r="BZ2" s="1855">
        <v>1.73</v>
      </c>
      <c r="CA2" s="1855">
        <v>2.0139999999999998</v>
      </c>
      <c r="CB2" s="1855">
        <v>2.4420000000000002</v>
      </c>
      <c r="CC2" s="35"/>
      <c r="CD2" s="35"/>
      <c r="CE2" s="35"/>
      <c r="CF2" s="35"/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5"/>
      <c r="DA2" s="35"/>
      <c r="DB2" s="35"/>
      <c r="DC2" s="35"/>
      <c r="DD2" s="35"/>
      <c r="DE2" s="35"/>
      <c r="DF2" s="35"/>
      <c r="DG2" s="35"/>
      <c r="DH2" s="35"/>
      <c r="DI2" s="35"/>
      <c r="DJ2" s="35"/>
      <c r="DK2" s="35"/>
      <c r="DL2" s="35"/>
      <c r="DM2" s="35"/>
      <c r="DN2" s="35"/>
      <c r="DO2" s="35"/>
      <c r="DP2" s="35"/>
      <c r="DQ2" s="35"/>
      <c r="DR2" s="35"/>
      <c r="DS2" s="35"/>
      <c r="DT2" s="35"/>
      <c r="DU2" s="35"/>
      <c r="DV2" s="35"/>
      <c r="DW2" s="35"/>
      <c r="DX2" s="35"/>
      <c r="DY2" s="35"/>
      <c r="DZ2" s="35"/>
      <c r="EA2" s="35"/>
      <c r="EB2" s="35"/>
      <c r="EC2" s="35"/>
      <c r="ED2" s="35"/>
      <c r="EE2" s="35"/>
      <c r="EF2" s="35"/>
      <c r="EG2" s="35"/>
      <c r="EH2" s="35"/>
      <c r="EI2" s="35"/>
      <c r="EJ2" s="35"/>
    </row>
    <row r="3" spans="1:140" s="31" customFormat="1" ht="20.100000000000001" customHeight="1" thickBot="1" x14ac:dyDescent="0.2">
      <c r="B3" s="313" t="s">
        <v>2658</v>
      </c>
      <c r="C3" s="343"/>
      <c r="D3" s="343" t="s">
        <v>2812</v>
      </c>
      <c r="E3" s="343"/>
      <c r="F3" s="343"/>
      <c r="G3" s="343"/>
      <c r="H3" s="343"/>
      <c r="I3" s="343"/>
      <c r="J3" s="343"/>
      <c r="K3" s="343"/>
      <c r="L3" s="343"/>
      <c r="M3" s="343"/>
      <c r="N3" s="343"/>
      <c r="O3" s="343"/>
      <c r="P3" s="343"/>
      <c r="Q3" s="343"/>
      <c r="R3" s="343"/>
      <c r="S3" s="343"/>
      <c r="T3" s="1437" t="s">
        <v>894</v>
      </c>
      <c r="U3" s="2218" t="s">
        <v>1628</v>
      </c>
      <c r="V3" s="2218" t="s">
        <v>1628</v>
      </c>
      <c r="W3" s="2218" t="s">
        <v>1628</v>
      </c>
      <c r="X3" s="2218" t="s">
        <v>1628</v>
      </c>
      <c r="Y3" s="2218" t="s">
        <v>1628</v>
      </c>
      <c r="Z3" s="2218" t="s">
        <v>1628</v>
      </c>
      <c r="AA3" s="2218" t="s">
        <v>1628</v>
      </c>
      <c r="AB3" s="1767"/>
      <c r="AC3" s="1765" t="s">
        <v>1628</v>
      </c>
      <c r="AD3" s="51"/>
      <c r="AE3" s="42"/>
      <c r="AF3" s="53"/>
      <c r="AG3" s="53"/>
      <c r="AH3" s="53"/>
      <c r="AI3" s="249" t="s">
        <v>2780</v>
      </c>
      <c r="AJ3" s="250">
        <v>1973.15</v>
      </c>
      <c r="AK3" s="251" t="s">
        <v>106</v>
      </c>
      <c r="AL3" s="252">
        <v>22</v>
      </c>
      <c r="AM3" s="76"/>
      <c r="AN3" s="77"/>
      <c r="AO3" s="77"/>
      <c r="AP3" s="77"/>
      <c r="AQ3" s="77"/>
      <c r="AR3" s="77"/>
      <c r="AS3" s="77"/>
      <c r="AT3" s="77"/>
      <c r="AU3" s="77"/>
      <c r="AV3" s="77"/>
      <c r="AW3" s="77"/>
      <c r="AX3" s="78"/>
      <c r="AY3" s="78"/>
      <c r="AZ3" s="78"/>
      <c r="BA3" s="78"/>
      <c r="BB3" s="78"/>
      <c r="BD3" s="79"/>
      <c r="BE3" s="79"/>
      <c r="BF3" s="79"/>
      <c r="BG3" s="79"/>
      <c r="BH3" s="79"/>
      <c r="BI3" s="79"/>
      <c r="BJ3" s="79"/>
      <c r="BK3" s="35"/>
      <c r="BL3" s="35"/>
      <c r="BM3" s="35"/>
      <c r="BN3" s="35"/>
      <c r="BO3" s="35"/>
      <c r="BP3" s="35"/>
      <c r="BQ3" s="35"/>
      <c r="BR3" s="1865"/>
      <c r="BS3" s="35"/>
      <c r="BT3" s="35"/>
      <c r="BU3" s="35"/>
      <c r="BW3" s="1853" t="s">
        <v>2205</v>
      </c>
      <c r="BX3" s="1855">
        <v>0.252</v>
      </c>
      <c r="BY3" s="1855">
        <v>0.33600000000000002</v>
      </c>
      <c r="BZ3" s="1855">
        <v>0.42</v>
      </c>
      <c r="CA3" s="1855">
        <v>0.504</v>
      </c>
      <c r="CB3" s="1855">
        <v>0.63200000000000001</v>
      </c>
      <c r="CC3" s="35"/>
      <c r="CD3" s="35"/>
      <c r="CE3" s="35"/>
      <c r="CF3" s="35"/>
      <c r="CG3" s="35"/>
      <c r="CH3" s="35"/>
      <c r="CI3" s="35"/>
      <c r="CJ3" s="35"/>
      <c r="CK3" s="35"/>
      <c r="CL3" s="35"/>
      <c r="CM3" s="35"/>
      <c r="CN3" s="35"/>
      <c r="CO3" s="35"/>
      <c r="CP3" s="35"/>
      <c r="CQ3" s="35"/>
      <c r="CR3" s="35"/>
      <c r="CS3" s="35"/>
      <c r="CT3" s="35"/>
      <c r="CU3" s="35"/>
      <c r="CV3" s="35"/>
      <c r="CW3" s="35"/>
      <c r="CX3" s="35"/>
      <c r="CY3" s="35"/>
      <c r="CZ3" s="35"/>
      <c r="DA3" s="35"/>
      <c r="DB3" s="35"/>
      <c r="DC3" s="35"/>
      <c r="DD3" s="35"/>
      <c r="DE3" s="35"/>
      <c r="DF3" s="35"/>
      <c r="DG3" s="35"/>
      <c r="DH3" s="35"/>
      <c r="DI3" s="35"/>
      <c r="DJ3" s="35"/>
      <c r="DK3" s="35"/>
      <c r="DL3" s="35"/>
      <c r="DM3" s="35"/>
      <c r="DN3" s="35"/>
      <c r="DO3" s="35"/>
      <c r="DP3" s="35"/>
      <c r="DQ3" s="35"/>
      <c r="DR3" s="35"/>
      <c r="DS3" s="35"/>
      <c r="DT3" s="35"/>
      <c r="DU3" s="35"/>
      <c r="DV3" s="35"/>
      <c r="DW3" s="35"/>
      <c r="DX3" s="35"/>
      <c r="DY3" s="35"/>
      <c r="DZ3" s="35"/>
      <c r="EA3" s="35"/>
      <c r="EB3" s="35"/>
      <c r="EC3" s="35"/>
      <c r="ED3" s="35"/>
      <c r="EE3" s="35"/>
      <c r="EF3" s="35"/>
      <c r="EG3" s="35"/>
      <c r="EH3" s="35"/>
      <c r="EI3" s="35"/>
      <c r="EJ3" s="35"/>
    </row>
    <row r="4" spans="1:140" s="31" customFormat="1" ht="20.100000000000001" customHeight="1" thickTop="1" x14ac:dyDescent="0.15">
      <c r="A4" s="52"/>
      <c r="B4" s="313" t="s">
        <v>772</v>
      </c>
      <c r="C4" s="714"/>
      <c r="D4" s="3132" t="s">
        <v>2834</v>
      </c>
      <c r="E4" s="3132"/>
      <c r="F4" s="714"/>
      <c r="G4" s="714"/>
      <c r="H4" s="714"/>
      <c r="I4" s="714"/>
      <c r="J4" s="714"/>
      <c r="K4" s="714"/>
      <c r="L4" s="714"/>
      <c r="M4" s="714"/>
      <c r="N4" s="714"/>
      <c r="O4" s="714"/>
      <c r="P4" s="714"/>
      <c r="Q4" s="714"/>
      <c r="R4" s="51"/>
      <c r="S4" s="51"/>
      <c r="T4" s="51"/>
      <c r="U4" s="51"/>
      <c r="V4" s="51"/>
      <c r="AB4" s="32"/>
      <c r="AC4" s="32"/>
      <c r="AD4" s="32"/>
      <c r="AE4" s="50"/>
      <c r="AF4" s="33"/>
      <c r="AG4" s="33"/>
      <c r="AH4" s="33"/>
      <c r="AI4" s="249" t="s">
        <v>104</v>
      </c>
      <c r="AJ4" s="250">
        <v>0.17799999999999999</v>
      </c>
      <c r="AK4" s="251" t="s">
        <v>105</v>
      </c>
      <c r="AL4" s="253">
        <v>0.85799999999999998</v>
      </c>
      <c r="AM4" s="83"/>
      <c r="AN4" s="84"/>
      <c r="AO4" s="84"/>
      <c r="AP4" s="77"/>
      <c r="AQ4" s="77"/>
      <c r="AR4" s="77"/>
      <c r="AS4" s="77"/>
      <c r="AT4" s="77"/>
      <c r="AU4" s="77"/>
      <c r="AV4" s="77"/>
      <c r="AW4" s="77"/>
      <c r="AX4" s="78"/>
      <c r="AY4" s="78"/>
      <c r="AZ4" s="78"/>
      <c r="BA4" s="78"/>
      <c r="BB4" s="78"/>
      <c r="BC4" s="78"/>
      <c r="BD4" s="79"/>
      <c r="BE4" s="79"/>
      <c r="BF4" s="79"/>
      <c r="BG4" s="79"/>
      <c r="BH4" s="79"/>
      <c r="BI4" s="79"/>
      <c r="BJ4" s="79"/>
      <c r="BK4" s="35"/>
      <c r="BL4" s="35"/>
      <c r="BM4" s="35"/>
      <c r="BN4" s="35"/>
      <c r="BO4" s="35"/>
      <c r="BP4" s="35"/>
      <c r="BQ4" s="35"/>
      <c r="BR4" s="1865"/>
      <c r="BS4" s="35"/>
      <c r="BT4" s="35"/>
      <c r="BU4" s="35"/>
      <c r="BW4" s="1853" t="s">
        <v>2206</v>
      </c>
      <c r="BX4" s="1855">
        <v>0.19</v>
      </c>
      <c r="BY4" s="1855">
        <v>0.19</v>
      </c>
      <c r="BZ4" s="1855">
        <v>0.19</v>
      </c>
      <c r="CA4" s="1855">
        <v>0.19</v>
      </c>
      <c r="CB4" s="1855">
        <v>0.19</v>
      </c>
      <c r="CC4" s="35"/>
      <c r="CD4" s="35"/>
      <c r="CE4" s="35"/>
      <c r="CF4" s="35"/>
      <c r="CG4" s="35"/>
      <c r="CH4" s="35"/>
      <c r="CI4" s="35"/>
      <c r="CJ4" s="35"/>
      <c r="CK4" s="35"/>
      <c r="CL4" s="35"/>
      <c r="CM4" s="35"/>
      <c r="CN4" s="35"/>
      <c r="CO4" s="35"/>
      <c r="CP4" s="35"/>
      <c r="CQ4" s="35"/>
      <c r="CR4" s="35"/>
      <c r="CS4" s="35"/>
      <c r="CT4" s="35"/>
      <c r="CU4" s="35"/>
      <c r="CV4" s="35"/>
      <c r="CW4" s="35"/>
      <c r="CX4" s="35"/>
      <c r="CY4" s="35"/>
      <c r="CZ4" s="35"/>
      <c r="DA4" s="35"/>
      <c r="DB4" s="35"/>
      <c r="DC4" s="35"/>
      <c r="DD4" s="35"/>
      <c r="DE4" s="35"/>
      <c r="DF4" s="35"/>
      <c r="DG4" s="35"/>
      <c r="DH4" s="35"/>
      <c r="DI4" s="35"/>
      <c r="DJ4" s="35"/>
      <c r="DK4" s="35"/>
      <c r="DL4" s="35"/>
      <c r="DM4" s="35"/>
      <c r="DN4" s="35"/>
      <c r="DO4" s="35"/>
      <c r="DP4" s="35"/>
      <c r="DQ4" s="35"/>
      <c r="DR4" s="35"/>
      <c r="DS4" s="35"/>
      <c r="DT4" s="35"/>
      <c r="DU4" s="35"/>
      <c r="DV4" s="35"/>
      <c r="DW4" s="35"/>
      <c r="DX4" s="35"/>
      <c r="DY4" s="35"/>
      <c r="DZ4" s="35"/>
      <c r="EA4" s="35"/>
      <c r="EB4" s="35"/>
      <c r="EC4" s="35"/>
      <c r="ED4" s="35"/>
      <c r="EE4" s="35"/>
      <c r="EF4" s="35"/>
      <c r="EG4" s="35"/>
      <c r="EH4" s="35"/>
      <c r="EI4" s="35"/>
      <c r="EJ4" s="35"/>
    </row>
    <row r="5" spans="1:140" s="31" customFormat="1" ht="20.100000000000001" customHeight="1" thickBot="1" x14ac:dyDescent="0.2">
      <c r="A5" s="41"/>
      <c r="B5" s="49"/>
      <c r="C5" s="49"/>
      <c r="D5" s="46"/>
      <c r="E5" s="46"/>
      <c r="F5" s="46"/>
      <c r="G5" s="46"/>
      <c r="H5" s="46"/>
      <c r="I5" s="46"/>
      <c r="J5" s="46"/>
      <c r="K5" s="46"/>
      <c r="L5" s="46"/>
      <c r="M5" s="48"/>
      <c r="N5" s="47"/>
      <c r="O5" s="46"/>
      <c r="P5" s="45"/>
      <c r="Q5" s="43"/>
      <c r="R5" s="43"/>
      <c r="S5" s="44"/>
      <c r="T5" s="43"/>
      <c r="U5" s="43"/>
      <c r="V5" s="43"/>
      <c r="AB5" s="33"/>
      <c r="AC5" s="33"/>
      <c r="AD5" s="33"/>
      <c r="AE5" s="42"/>
      <c r="AF5" s="33"/>
      <c r="AG5" s="33"/>
      <c r="AH5" s="33"/>
      <c r="AI5" s="254" t="s">
        <v>103</v>
      </c>
      <c r="AJ5" s="255">
        <v>3</v>
      </c>
      <c r="AK5" s="2367" t="s">
        <v>2779</v>
      </c>
      <c r="AL5" s="256"/>
      <c r="AM5" s="83"/>
      <c r="AN5" s="85"/>
      <c r="AO5" s="84"/>
      <c r="AP5" s="77"/>
      <c r="AQ5" s="77"/>
      <c r="AR5" s="77"/>
      <c r="AS5" s="77"/>
      <c r="AT5" s="77"/>
      <c r="AU5" s="77"/>
      <c r="AV5" s="77"/>
      <c r="AW5" s="77"/>
      <c r="AX5" s="78"/>
      <c r="AY5" s="78"/>
      <c r="AZ5" s="78"/>
      <c r="BA5" s="78"/>
      <c r="BB5" s="78"/>
      <c r="BC5" s="78"/>
      <c r="BD5" s="78"/>
      <c r="BE5" s="78"/>
      <c r="BF5" s="78"/>
      <c r="BG5" s="78"/>
      <c r="BH5" s="78"/>
      <c r="BI5" s="78"/>
      <c r="BJ5" s="78"/>
      <c r="BK5" s="35"/>
      <c r="BL5" s="35"/>
      <c r="BM5" s="35"/>
      <c r="BN5" s="35"/>
      <c r="BO5" s="35"/>
      <c r="BP5" s="35"/>
      <c r="BQ5" s="35"/>
      <c r="BR5" s="1865"/>
      <c r="BS5" s="35"/>
      <c r="BT5" s="35"/>
      <c r="BU5" s="35"/>
      <c r="BW5" s="1853" t="s">
        <v>2207</v>
      </c>
      <c r="BX5" s="1855">
        <v>0.12</v>
      </c>
      <c r="BY5" s="1855">
        <v>0.12</v>
      </c>
      <c r="BZ5" s="1855">
        <v>0.12</v>
      </c>
      <c r="CA5" s="1855">
        <v>0.12</v>
      </c>
      <c r="CB5" s="1855">
        <v>0.12</v>
      </c>
      <c r="CC5" s="35"/>
      <c r="CD5" s="35"/>
      <c r="CE5" s="35"/>
      <c r="CF5" s="35"/>
      <c r="CG5" s="35"/>
      <c r="CH5" s="35"/>
      <c r="CI5" s="35"/>
      <c r="CJ5" s="35"/>
      <c r="CK5" s="35"/>
      <c r="CL5" s="35"/>
      <c r="CM5" s="35"/>
      <c r="CN5" s="35"/>
      <c r="CO5" s="35"/>
      <c r="CP5" s="35"/>
      <c r="CQ5" s="35"/>
      <c r="CR5" s="35"/>
      <c r="CS5" s="35"/>
      <c r="CT5" s="35"/>
      <c r="CU5" s="35"/>
      <c r="CV5" s="35"/>
      <c r="CW5" s="35"/>
      <c r="CX5" s="35"/>
      <c r="CY5" s="35"/>
      <c r="CZ5" s="35"/>
      <c r="DA5" s="35"/>
      <c r="DB5" s="35"/>
      <c r="DC5" s="35"/>
      <c r="DD5" s="35"/>
      <c r="DE5" s="35"/>
      <c r="DF5" s="35"/>
      <c r="DG5" s="35"/>
      <c r="DH5" s="35"/>
      <c r="DI5" s="35"/>
      <c r="DJ5" s="35"/>
      <c r="DK5" s="35"/>
      <c r="DL5" s="35"/>
      <c r="DM5" s="35"/>
      <c r="DN5" s="35"/>
      <c r="DO5" s="35"/>
      <c r="DP5" s="35"/>
      <c r="DQ5" s="35"/>
      <c r="DR5" s="35"/>
      <c r="DS5" s="35"/>
      <c r="DT5" s="35"/>
      <c r="DU5" s="35"/>
      <c r="DV5" s="35"/>
      <c r="DW5" s="35"/>
      <c r="DX5" s="35"/>
      <c r="DY5" s="35"/>
      <c r="DZ5" s="35"/>
      <c r="EA5" s="35"/>
      <c r="EB5" s="35"/>
      <c r="EC5" s="35"/>
      <c r="ED5" s="35"/>
      <c r="EE5" s="35"/>
      <c r="EF5" s="35"/>
      <c r="EG5" s="35"/>
      <c r="EH5" s="35"/>
      <c r="EI5" s="35"/>
      <c r="EJ5" s="35"/>
    </row>
    <row r="6" spans="1:140" s="31" customFormat="1" ht="20.100000000000001" customHeight="1" thickTop="1" x14ac:dyDescent="0.15">
      <c r="A6" s="36" t="s">
        <v>102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AB6" s="39"/>
      <c r="AC6" s="40"/>
      <c r="AD6" s="39"/>
      <c r="AE6" s="39"/>
      <c r="AF6" s="39"/>
      <c r="AG6" s="39"/>
      <c r="AH6" s="39"/>
      <c r="AJ6" s="38"/>
      <c r="AK6" s="38"/>
      <c r="AL6" s="37" t="s">
        <v>899</v>
      </c>
      <c r="AM6" s="83"/>
      <c r="AN6" s="84"/>
      <c r="AO6" s="84"/>
      <c r="AP6" s="77"/>
      <c r="AQ6" s="77"/>
      <c r="AR6" s="77"/>
      <c r="AS6" s="77"/>
      <c r="AT6" s="77"/>
      <c r="AU6" s="77"/>
      <c r="AV6" s="77"/>
      <c r="AW6" s="77"/>
      <c r="AX6" s="78"/>
      <c r="AY6" s="78"/>
      <c r="AZ6" s="78"/>
      <c r="BA6" s="78"/>
      <c r="BB6" s="78"/>
      <c r="BC6" s="78"/>
      <c r="BD6" s="78"/>
      <c r="BE6" s="78"/>
      <c r="BF6" s="78"/>
      <c r="BG6" s="78"/>
      <c r="BH6" s="78"/>
      <c r="BI6" s="78"/>
      <c r="BJ6" s="78"/>
      <c r="BK6" s="35"/>
      <c r="BL6" s="35"/>
      <c r="BM6" s="35"/>
      <c r="BN6" s="35"/>
      <c r="BO6" s="35"/>
      <c r="BP6" s="35"/>
      <c r="BQ6" s="35"/>
      <c r="BR6" s="1865"/>
      <c r="BS6" s="35"/>
      <c r="BT6" s="35"/>
      <c r="BU6" s="35"/>
      <c r="BW6" s="1853" t="s">
        <v>2208</v>
      </c>
      <c r="BX6" s="1855">
        <v>0.6</v>
      </c>
      <c r="BY6" s="1855">
        <v>0.8</v>
      </c>
      <c r="BZ6" s="1855">
        <v>1</v>
      </c>
      <c r="CA6" s="1855">
        <v>1.2</v>
      </c>
      <c r="CB6" s="1855">
        <v>1.5</v>
      </c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5"/>
      <c r="CP6" s="35"/>
      <c r="CQ6" s="35"/>
      <c r="CR6" s="35"/>
      <c r="CS6" s="35"/>
      <c r="CT6" s="35"/>
      <c r="CU6" s="35"/>
      <c r="CV6" s="35"/>
      <c r="CW6" s="35"/>
      <c r="CX6" s="35"/>
      <c r="CY6" s="35"/>
      <c r="CZ6" s="35"/>
      <c r="DA6" s="35"/>
      <c r="DB6" s="35"/>
      <c r="DC6" s="35"/>
      <c r="DD6" s="35"/>
      <c r="DE6" s="35"/>
      <c r="DF6" s="35"/>
      <c r="DG6" s="35"/>
      <c r="DH6" s="35"/>
      <c r="DI6" s="35"/>
      <c r="DJ6" s="35"/>
      <c r="DK6" s="35"/>
      <c r="DL6" s="35"/>
      <c r="DM6" s="35"/>
      <c r="DN6" s="35"/>
      <c r="DO6" s="35"/>
      <c r="DP6" s="35"/>
      <c r="DQ6" s="35"/>
      <c r="DR6" s="35"/>
      <c r="DS6" s="35"/>
      <c r="DT6" s="35"/>
      <c r="DU6" s="35"/>
      <c r="DV6" s="35"/>
      <c r="DW6" s="35"/>
      <c r="DX6" s="35"/>
      <c r="DY6" s="35"/>
      <c r="DZ6" s="35"/>
      <c r="EA6" s="35"/>
      <c r="EB6" s="35"/>
      <c r="EC6" s="35"/>
      <c r="ED6" s="35"/>
      <c r="EE6" s="35"/>
      <c r="EF6" s="35"/>
      <c r="EG6" s="35"/>
      <c r="EH6" s="35"/>
      <c r="EI6" s="35"/>
      <c r="EJ6" s="35"/>
    </row>
    <row r="7" spans="1:140" ht="20.100000000000001" customHeight="1" thickBot="1" x14ac:dyDescent="0.25">
      <c r="A7" s="749" t="s">
        <v>852</v>
      </c>
      <c r="B7" s="750" t="s">
        <v>853</v>
      </c>
      <c r="C7" s="749" t="s">
        <v>854</v>
      </c>
      <c r="D7" s="750" t="s">
        <v>855</v>
      </c>
      <c r="E7" s="749" t="s">
        <v>856</v>
      </c>
      <c r="F7" s="750" t="s">
        <v>857</v>
      </c>
      <c r="G7" s="749" t="s">
        <v>858</v>
      </c>
      <c r="H7" s="750" t="s">
        <v>859</v>
      </c>
      <c r="I7" s="749" t="s">
        <v>860</v>
      </c>
      <c r="J7" s="750" t="s">
        <v>861</v>
      </c>
      <c r="K7" s="749" t="s">
        <v>862</v>
      </c>
      <c r="L7" s="750" t="s">
        <v>863</v>
      </c>
      <c r="M7" s="749" t="s">
        <v>864</v>
      </c>
      <c r="N7" s="750" t="s">
        <v>865</v>
      </c>
      <c r="O7" s="749" t="s">
        <v>866</v>
      </c>
      <c r="P7" s="750" t="s">
        <v>867</v>
      </c>
      <c r="Q7" s="749" t="s">
        <v>868</v>
      </c>
      <c r="R7" s="750" t="s">
        <v>869</v>
      </c>
      <c r="S7" s="749" t="s">
        <v>870</v>
      </c>
      <c r="T7" s="750" t="s">
        <v>871</v>
      </c>
      <c r="U7" s="749" t="s">
        <v>872</v>
      </c>
      <c r="V7" s="750" t="s">
        <v>873</v>
      </c>
      <c r="W7" s="749" t="s">
        <v>874</v>
      </c>
      <c r="X7" s="750" t="s">
        <v>875</v>
      </c>
      <c r="Y7" s="749" t="s">
        <v>876</v>
      </c>
      <c r="Z7" s="750" t="s">
        <v>877</v>
      </c>
      <c r="AA7" s="749" t="s">
        <v>878</v>
      </c>
      <c r="AB7" s="750" t="s">
        <v>879</v>
      </c>
      <c r="AC7" s="749" t="s">
        <v>880</v>
      </c>
      <c r="AD7" s="750" t="s">
        <v>881</v>
      </c>
      <c r="AE7" s="749" t="s">
        <v>882</v>
      </c>
      <c r="AF7" s="750" t="s">
        <v>883</v>
      </c>
      <c r="AG7" s="749" t="s">
        <v>884</v>
      </c>
      <c r="AH7" s="750" t="s">
        <v>885</v>
      </c>
      <c r="AI7" s="749" t="s">
        <v>886</v>
      </c>
      <c r="AJ7" s="750" t="s">
        <v>887</v>
      </c>
      <c r="AK7" s="749" t="s">
        <v>888</v>
      </c>
      <c r="AL7" s="750" t="s">
        <v>889</v>
      </c>
      <c r="AM7" s="750" t="s">
        <v>1138</v>
      </c>
      <c r="AN7" s="749" t="s">
        <v>1139</v>
      </c>
      <c r="AO7" s="750" t="s">
        <v>1140</v>
      </c>
      <c r="AP7" s="750" t="s">
        <v>1141</v>
      </c>
      <c r="AQ7" s="749" t="s">
        <v>1142</v>
      </c>
      <c r="AR7" s="750" t="s">
        <v>1143</v>
      </c>
      <c r="AS7" s="750" t="s">
        <v>1144</v>
      </c>
      <c r="AT7" s="1859" t="s">
        <v>1145</v>
      </c>
      <c r="AU7" s="750" t="s">
        <v>1146</v>
      </c>
      <c r="AV7" s="750" t="s">
        <v>1147</v>
      </c>
      <c r="AW7" s="1859" t="s">
        <v>1148</v>
      </c>
      <c r="AX7" s="750" t="s">
        <v>1149</v>
      </c>
      <c r="AY7" s="750" t="s">
        <v>1150</v>
      </c>
      <c r="AZ7" s="1859" t="s">
        <v>1151</v>
      </c>
      <c r="BA7" s="750" t="s">
        <v>1152</v>
      </c>
      <c r="BB7" s="750" t="s">
        <v>1153</v>
      </c>
      <c r="BC7" s="1859" t="s">
        <v>1154</v>
      </c>
      <c r="BD7" s="750" t="s">
        <v>1155</v>
      </c>
      <c r="BE7" s="750" t="s">
        <v>1156</v>
      </c>
      <c r="BF7" s="750" t="s">
        <v>1157</v>
      </c>
      <c r="BG7" s="750" t="s">
        <v>1158</v>
      </c>
      <c r="BH7" s="750" t="s">
        <v>1159</v>
      </c>
      <c r="BI7" s="750" t="s">
        <v>1160</v>
      </c>
      <c r="BJ7" s="750" t="s">
        <v>1161</v>
      </c>
      <c r="BK7" s="750" t="s">
        <v>1162</v>
      </c>
      <c r="BL7" s="750" t="s">
        <v>1163</v>
      </c>
      <c r="BM7" s="750" t="s">
        <v>1164</v>
      </c>
      <c r="BN7" s="750" t="s">
        <v>1165</v>
      </c>
      <c r="BO7" s="750" t="s">
        <v>1166</v>
      </c>
      <c r="BP7" s="750" t="s">
        <v>1167</v>
      </c>
      <c r="BQ7" s="750" t="s">
        <v>1168</v>
      </c>
      <c r="BR7" s="1866" t="s">
        <v>2214</v>
      </c>
      <c r="BS7" s="750" t="s">
        <v>2229</v>
      </c>
      <c r="BT7" s="750" t="s">
        <v>2230</v>
      </c>
      <c r="BV7" s="20"/>
      <c r="BW7" s="1853" t="s">
        <v>2209</v>
      </c>
      <c r="BX7" s="1855">
        <v>0.2</v>
      </c>
      <c r="BY7" s="1855">
        <v>0.2</v>
      </c>
      <c r="BZ7" s="1855">
        <v>0.2</v>
      </c>
      <c r="CA7" s="1855">
        <v>0.2</v>
      </c>
      <c r="CB7" s="1855">
        <v>0.2</v>
      </c>
    </row>
    <row r="8" spans="1:140" s="31" customFormat="1" ht="25.5" customHeight="1" thickTop="1" x14ac:dyDescent="0.15">
      <c r="A8" s="3125" t="s">
        <v>1</v>
      </c>
      <c r="B8" s="3133" t="s">
        <v>101</v>
      </c>
      <c r="C8" s="3134"/>
      <c r="D8" s="3134"/>
      <c r="E8" s="3134"/>
      <c r="F8" s="3134"/>
      <c r="G8" s="3134"/>
      <c r="H8" s="3135"/>
      <c r="I8" s="273" t="s">
        <v>100</v>
      </c>
      <c r="J8" s="273"/>
      <c r="K8" s="273"/>
      <c r="L8" s="273"/>
      <c r="M8" s="274"/>
      <c r="N8" s="3128" t="s">
        <v>178</v>
      </c>
      <c r="O8" s="3161" t="s">
        <v>99</v>
      </c>
      <c r="P8" s="3163"/>
      <c r="Q8" s="3128" t="s">
        <v>177</v>
      </c>
      <c r="R8" s="3128" t="s">
        <v>176</v>
      </c>
      <c r="S8" s="3128" t="s">
        <v>175</v>
      </c>
      <c r="T8" s="3128" t="s">
        <v>181</v>
      </c>
      <c r="U8" s="3128" t="s">
        <v>182</v>
      </c>
      <c r="V8" s="3128" t="s">
        <v>355</v>
      </c>
      <c r="W8" s="3128" t="s">
        <v>356</v>
      </c>
      <c r="X8" s="3161" t="s">
        <v>98</v>
      </c>
      <c r="Y8" s="3162"/>
      <c r="Z8" s="3163"/>
      <c r="AA8" s="3161" t="s">
        <v>97</v>
      </c>
      <c r="AB8" s="3162"/>
      <c r="AC8" s="3162"/>
      <c r="AD8" s="3162"/>
      <c r="AE8" s="3162"/>
      <c r="AF8" s="3162"/>
      <c r="AG8" s="3162"/>
      <c r="AH8" s="3163"/>
      <c r="AI8" s="3174" t="s">
        <v>183</v>
      </c>
      <c r="AJ8" s="3175"/>
      <c r="AK8" s="3128" t="s">
        <v>357</v>
      </c>
      <c r="AL8" s="3169" t="s">
        <v>185</v>
      </c>
      <c r="AM8" s="83"/>
      <c r="AN8" s="89" t="s">
        <v>120</v>
      </c>
      <c r="AO8" s="89"/>
      <c r="AP8" s="89"/>
      <c r="AQ8" s="89"/>
      <c r="AR8" s="1860" t="s">
        <v>121</v>
      </c>
      <c r="AS8" s="1860"/>
      <c r="AT8" s="1860"/>
      <c r="AU8" s="1860" t="s">
        <v>96</v>
      </c>
      <c r="AV8" s="1860"/>
      <c r="AW8" s="1860"/>
      <c r="AX8" s="1860" t="s">
        <v>122</v>
      </c>
      <c r="AY8" s="1860"/>
      <c r="AZ8" s="1860"/>
      <c r="BA8" s="1860" t="s">
        <v>92</v>
      </c>
      <c r="BB8" s="3142" t="s">
        <v>123</v>
      </c>
      <c r="BC8" s="3142"/>
      <c r="BD8" s="3143"/>
      <c r="BE8" s="3144" t="s">
        <v>1122</v>
      </c>
      <c r="BF8" s="3145"/>
      <c r="BG8" s="3145"/>
      <c r="BH8" s="3145"/>
      <c r="BI8" s="3145"/>
      <c r="BJ8" s="3145"/>
      <c r="BK8" s="3145"/>
      <c r="BL8" s="3145"/>
      <c r="BM8" s="3145"/>
      <c r="BN8" s="3145"/>
      <c r="BO8" s="3145"/>
      <c r="BP8" s="3145"/>
      <c r="BQ8" s="3145"/>
      <c r="BR8" s="3145"/>
      <c r="BS8" s="3145"/>
      <c r="BT8" s="3146"/>
      <c r="BU8" s="35"/>
      <c r="BW8" s="1853" t="s">
        <v>2210</v>
      </c>
      <c r="BX8" s="1856">
        <v>1.3619999999999999</v>
      </c>
      <c r="BY8" s="1856">
        <v>1.6460000000000001</v>
      </c>
      <c r="BZ8" s="1856">
        <v>1.93</v>
      </c>
      <c r="CA8" s="1856">
        <v>2.214</v>
      </c>
      <c r="CB8" s="1856">
        <v>2.6420000000000003</v>
      </c>
      <c r="CC8" s="35"/>
      <c r="CD8" s="35"/>
      <c r="CE8" s="35"/>
      <c r="CF8" s="35"/>
      <c r="CG8" s="35"/>
      <c r="CH8" s="35"/>
      <c r="CI8" s="35"/>
      <c r="CJ8" s="35"/>
      <c r="CK8" s="35"/>
      <c r="CL8" s="35"/>
      <c r="CM8" s="35"/>
      <c r="CN8" s="35"/>
      <c r="CO8" s="35"/>
      <c r="CP8" s="35"/>
      <c r="CQ8" s="35"/>
      <c r="CR8" s="35"/>
      <c r="CS8" s="35"/>
      <c r="CT8" s="35"/>
      <c r="CU8" s="35"/>
      <c r="CV8" s="35"/>
      <c r="CW8" s="35"/>
      <c r="CX8" s="35"/>
      <c r="CY8" s="35"/>
      <c r="CZ8" s="35"/>
      <c r="DA8" s="35"/>
      <c r="DB8" s="35"/>
      <c r="DC8" s="35"/>
      <c r="DD8" s="35"/>
      <c r="DE8" s="35"/>
      <c r="DF8" s="35"/>
      <c r="DG8" s="35"/>
      <c r="DH8" s="35"/>
      <c r="DI8" s="35"/>
      <c r="DJ8" s="35"/>
      <c r="DK8" s="35"/>
      <c r="DL8" s="35"/>
      <c r="DM8" s="35"/>
      <c r="DN8" s="35"/>
      <c r="DO8" s="35"/>
      <c r="DP8" s="35"/>
      <c r="DQ8" s="35"/>
      <c r="DR8" s="35"/>
      <c r="DS8" s="35"/>
      <c r="DT8" s="35"/>
      <c r="DU8" s="35"/>
      <c r="DV8" s="35"/>
      <c r="DW8" s="35"/>
      <c r="DX8" s="35"/>
      <c r="DY8" s="35"/>
      <c r="DZ8" s="35"/>
      <c r="EA8" s="35"/>
      <c r="EB8" s="35"/>
      <c r="EC8" s="35"/>
      <c r="ED8" s="35"/>
      <c r="EE8" s="35"/>
      <c r="EF8" s="35"/>
      <c r="EG8" s="35"/>
      <c r="EH8" s="35"/>
      <c r="EI8" s="35"/>
      <c r="EJ8" s="35"/>
    </row>
    <row r="9" spans="1:140" s="31" customFormat="1" ht="25.5" customHeight="1" x14ac:dyDescent="0.15">
      <c r="A9" s="3126"/>
      <c r="B9" s="3136" t="s">
        <v>75</v>
      </c>
      <c r="C9" s="3137"/>
      <c r="D9" s="3137"/>
      <c r="E9" s="3138"/>
      <c r="F9" s="3139" t="s">
        <v>76</v>
      </c>
      <c r="G9" s="3140"/>
      <c r="H9" s="3141"/>
      <c r="I9" s="275" t="s">
        <v>95</v>
      </c>
      <c r="J9" s="276" t="s">
        <v>94</v>
      </c>
      <c r="K9" s="276"/>
      <c r="L9" s="276"/>
      <c r="M9" s="277" t="s">
        <v>93</v>
      </c>
      <c r="N9" s="3129"/>
      <c r="O9" s="3131" t="s">
        <v>179</v>
      </c>
      <c r="P9" s="3131" t="s">
        <v>180</v>
      </c>
      <c r="Q9" s="3129"/>
      <c r="R9" s="3180"/>
      <c r="S9" s="3180"/>
      <c r="T9" s="3129"/>
      <c r="U9" s="3129"/>
      <c r="V9" s="3129"/>
      <c r="W9" s="3129"/>
      <c r="X9" s="3131" t="s">
        <v>184</v>
      </c>
      <c r="Y9" s="3172" t="s">
        <v>91</v>
      </c>
      <c r="Z9" s="3173"/>
      <c r="AA9" s="3167" t="s">
        <v>90</v>
      </c>
      <c r="AB9" s="3178" t="s">
        <v>898</v>
      </c>
      <c r="AC9" s="3167" t="s">
        <v>41</v>
      </c>
      <c r="AD9" s="3167" t="s">
        <v>89</v>
      </c>
      <c r="AE9" s="329" t="s">
        <v>88</v>
      </c>
      <c r="AF9" s="278"/>
      <c r="AG9" s="278"/>
      <c r="AH9" s="278"/>
      <c r="AI9" s="3176"/>
      <c r="AJ9" s="3177"/>
      <c r="AK9" s="3129"/>
      <c r="AL9" s="3170"/>
      <c r="AM9" s="83"/>
      <c r="AN9" s="90" t="s">
        <v>124</v>
      </c>
      <c r="AO9" s="91" t="s">
        <v>75</v>
      </c>
      <c r="AP9" s="91"/>
      <c r="AQ9" s="91"/>
      <c r="AR9" s="1861" t="s">
        <v>125</v>
      </c>
      <c r="AS9" s="1861"/>
      <c r="AT9" s="1861"/>
      <c r="AU9" s="1861" t="s">
        <v>126</v>
      </c>
      <c r="AV9" s="1861"/>
      <c r="AW9" s="1861"/>
      <c r="AX9" s="165" t="s">
        <v>127</v>
      </c>
      <c r="AY9" s="165" t="s">
        <v>128</v>
      </c>
      <c r="AZ9" s="165" t="s">
        <v>129</v>
      </c>
      <c r="BA9" s="1861" t="s">
        <v>87</v>
      </c>
      <c r="BB9" s="165" t="s">
        <v>130</v>
      </c>
      <c r="BC9" s="165" t="s">
        <v>131</v>
      </c>
      <c r="BD9" s="1862" t="s">
        <v>132</v>
      </c>
      <c r="BE9" s="3147" t="s">
        <v>1123</v>
      </c>
      <c r="BF9" s="3148"/>
      <c r="BG9" s="3149"/>
      <c r="BH9" s="3149"/>
      <c r="BI9" s="3156" t="s">
        <v>1129</v>
      </c>
      <c r="BJ9" s="3157"/>
      <c r="BK9" s="3157"/>
      <c r="BL9" s="3157"/>
      <c r="BM9" s="3158"/>
      <c r="BN9" s="3149" t="s">
        <v>1132</v>
      </c>
      <c r="BO9" s="3149"/>
      <c r="BP9" s="3149"/>
      <c r="BQ9" s="3150" t="s">
        <v>1133</v>
      </c>
      <c r="BR9" s="3152" t="s">
        <v>1135</v>
      </c>
      <c r="BS9" s="3159" t="s">
        <v>2216</v>
      </c>
      <c r="BT9" s="3154" t="s">
        <v>1136</v>
      </c>
      <c r="BU9" s="35"/>
      <c r="CC9" s="35"/>
      <c r="CD9" s="35"/>
      <c r="CE9" s="35"/>
      <c r="CF9" s="35"/>
      <c r="CG9" s="35"/>
      <c r="CH9" s="35"/>
      <c r="CI9" s="35"/>
      <c r="CJ9" s="35"/>
      <c r="CK9" s="35"/>
      <c r="CL9" s="35"/>
      <c r="CM9" s="35"/>
      <c r="CN9" s="35"/>
      <c r="CO9" s="35"/>
      <c r="CP9" s="35"/>
      <c r="CQ9" s="35"/>
      <c r="CR9" s="35"/>
      <c r="CS9" s="35"/>
      <c r="CT9" s="35"/>
      <c r="CU9" s="35"/>
      <c r="CV9" s="35"/>
      <c r="CW9" s="35"/>
      <c r="CX9" s="35"/>
      <c r="CY9" s="35"/>
      <c r="CZ9" s="35"/>
      <c r="DA9" s="35"/>
      <c r="DB9" s="35"/>
      <c r="DC9" s="35"/>
      <c r="DD9" s="35"/>
      <c r="DE9" s="35"/>
      <c r="DF9" s="35"/>
      <c r="DG9" s="35"/>
      <c r="DH9" s="35"/>
      <c r="DI9" s="35"/>
      <c r="DJ9" s="35"/>
      <c r="DK9" s="35"/>
      <c r="DL9" s="35"/>
      <c r="DM9" s="35"/>
      <c r="DN9" s="35"/>
      <c r="DO9" s="35"/>
      <c r="DP9" s="35"/>
      <c r="DQ9" s="35"/>
      <c r="DR9" s="35"/>
      <c r="DS9" s="35"/>
      <c r="DT9" s="35"/>
      <c r="DU9" s="35"/>
      <c r="DV9" s="35"/>
      <c r="DW9" s="35"/>
      <c r="DX9" s="35"/>
      <c r="DY9" s="35"/>
      <c r="DZ9" s="35"/>
      <c r="EA9" s="35"/>
      <c r="EB9" s="35"/>
      <c r="EC9" s="35"/>
      <c r="ED9" s="35"/>
      <c r="EE9" s="35"/>
      <c r="EF9" s="35"/>
      <c r="EG9" s="35"/>
      <c r="EH9" s="35"/>
      <c r="EI9" s="35"/>
      <c r="EJ9" s="35"/>
    </row>
    <row r="10" spans="1:140" s="34" customFormat="1" ht="39" customHeight="1" thickBot="1" x14ac:dyDescent="0.2">
      <c r="A10" s="3127"/>
      <c r="B10" s="279" t="s">
        <v>85</v>
      </c>
      <c r="C10" s="280" t="s">
        <v>86</v>
      </c>
      <c r="D10" s="279" t="s">
        <v>84</v>
      </c>
      <c r="E10" s="281" t="s">
        <v>83</v>
      </c>
      <c r="F10" s="282" t="s">
        <v>85</v>
      </c>
      <c r="G10" s="282" t="s">
        <v>84</v>
      </c>
      <c r="H10" s="283" t="s">
        <v>83</v>
      </c>
      <c r="I10" s="284" t="s">
        <v>82</v>
      </c>
      <c r="J10" s="284" t="s">
        <v>74</v>
      </c>
      <c r="K10" s="284" t="s">
        <v>73</v>
      </c>
      <c r="L10" s="284" t="s">
        <v>72</v>
      </c>
      <c r="M10" s="285" t="s">
        <v>81</v>
      </c>
      <c r="N10" s="3130"/>
      <c r="O10" s="3130"/>
      <c r="P10" s="3130"/>
      <c r="Q10" s="3130"/>
      <c r="R10" s="3181"/>
      <c r="S10" s="3181"/>
      <c r="T10" s="3130"/>
      <c r="U10" s="3130"/>
      <c r="V10" s="3130"/>
      <c r="W10" s="3130"/>
      <c r="X10" s="3130"/>
      <c r="Y10" s="286" t="s">
        <v>80</v>
      </c>
      <c r="Z10" s="287" t="s">
        <v>358</v>
      </c>
      <c r="AA10" s="3168"/>
      <c r="AB10" s="3179"/>
      <c r="AC10" s="3168"/>
      <c r="AD10" s="3168"/>
      <c r="AE10" s="286" t="s">
        <v>59</v>
      </c>
      <c r="AF10" s="287" t="s">
        <v>621</v>
      </c>
      <c r="AG10" s="288" t="s">
        <v>79</v>
      </c>
      <c r="AH10" s="288" t="s">
        <v>78</v>
      </c>
      <c r="AI10" s="287" t="s">
        <v>359</v>
      </c>
      <c r="AJ10" s="286" t="s">
        <v>77</v>
      </c>
      <c r="AK10" s="3130"/>
      <c r="AL10" s="3171"/>
      <c r="AM10" s="83"/>
      <c r="AN10" s="90"/>
      <c r="AO10" s="90" t="s">
        <v>74</v>
      </c>
      <c r="AP10" s="90" t="s">
        <v>73</v>
      </c>
      <c r="AQ10" s="90" t="s">
        <v>72</v>
      </c>
      <c r="AR10" s="1863" t="s">
        <v>74</v>
      </c>
      <c r="AS10" s="1863" t="s">
        <v>73</v>
      </c>
      <c r="AT10" s="1863" t="s">
        <v>72</v>
      </c>
      <c r="AU10" s="1863" t="s">
        <v>74</v>
      </c>
      <c r="AV10" s="1863" t="s">
        <v>73</v>
      </c>
      <c r="AW10" s="1863" t="s">
        <v>72</v>
      </c>
      <c r="AX10" s="92" t="s">
        <v>133</v>
      </c>
      <c r="AY10" s="92" t="s">
        <v>134</v>
      </c>
      <c r="AZ10" s="92" t="s">
        <v>135</v>
      </c>
      <c r="BA10" s="1863" t="s">
        <v>136</v>
      </c>
      <c r="BB10" s="92" t="s">
        <v>133</v>
      </c>
      <c r="BC10" s="92" t="s">
        <v>134</v>
      </c>
      <c r="BD10" s="1864" t="s">
        <v>135</v>
      </c>
      <c r="BE10" s="964" t="s">
        <v>2217</v>
      </c>
      <c r="BF10" s="1858" t="s">
        <v>2218</v>
      </c>
      <c r="BG10" s="965" t="s">
        <v>1128</v>
      </c>
      <c r="BH10" s="965" t="s">
        <v>1124</v>
      </c>
      <c r="BI10" s="965" t="s">
        <v>2213</v>
      </c>
      <c r="BJ10" s="965" t="s">
        <v>2212</v>
      </c>
      <c r="BK10" s="965" t="s">
        <v>1126</v>
      </c>
      <c r="BL10" s="965" t="s">
        <v>1127</v>
      </c>
      <c r="BM10" s="965" t="s">
        <v>1125</v>
      </c>
      <c r="BN10" s="965" t="s">
        <v>1130</v>
      </c>
      <c r="BO10" s="965" t="s">
        <v>1131</v>
      </c>
      <c r="BP10" s="965" t="s">
        <v>1137</v>
      </c>
      <c r="BQ10" s="3151"/>
      <c r="BR10" s="3153"/>
      <c r="BS10" s="3160"/>
      <c r="BT10" s="3155"/>
      <c r="BU10" s="962" t="s">
        <v>2215</v>
      </c>
    </row>
    <row r="11" spans="1:140" s="31" customFormat="1" ht="32.25" customHeight="1" thickTop="1" x14ac:dyDescent="0.15">
      <c r="A11" s="921">
        <v>1</v>
      </c>
      <c r="B11" s="143">
        <v>518.51700000000005</v>
      </c>
      <c r="C11" s="142"/>
      <c r="D11" s="143">
        <v>516.41700000000003</v>
      </c>
      <c r="E11" s="144">
        <v>2.1000000000000227</v>
      </c>
      <c r="F11" s="141">
        <v>516.09199999999998</v>
      </c>
      <c r="G11" s="140">
        <v>514.00736000000006</v>
      </c>
      <c r="H11" s="144">
        <v>2.0846399999999221</v>
      </c>
      <c r="I11" s="139">
        <v>516.54258238751129</v>
      </c>
      <c r="J11" s="138" t="s">
        <v>2835</v>
      </c>
      <c r="K11" s="138" t="s">
        <v>2835</v>
      </c>
      <c r="L11" s="138" t="s">
        <v>2835</v>
      </c>
      <c r="M11" s="137" t="s">
        <v>2835</v>
      </c>
      <c r="N11" s="136">
        <v>45.04</v>
      </c>
      <c r="O11" s="145">
        <v>0.80230000000000001</v>
      </c>
      <c r="P11" s="136">
        <v>0.6</v>
      </c>
      <c r="Q11" s="33">
        <v>0.80230000000000001</v>
      </c>
      <c r="R11" s="146">
        <v>1</v>
      </c>
      <c r="S11" s="146">
        <v>15</v>
      </c>
      <c r="T11" s="146">
        <v>108.28557473103957</v>
      </c>
      <c r="U11" s="146">
        <v>0.48614693199185754</v>
      </c>
      <c r="V11" s="146">
        <v>117.32949160132723</v>
      </c>
      <c r="W11" s="33">
        <v>117.32949160132723</v>
      </c>
      <c r="X11" s="146">
        <v>5.3841030195383395</v>
      </c>
      <c r="Y11" s="146">
        <v>5.35</v>
      </c>
      <c r="Z11" s="146">
        <v>4.5776138437315213E-2</v>
      </c>
      <c r="AA11" s="146" t="s">
        <v>72</v>
      </c>
      <c r="AB11" s="147">
        <v>1.4999999999999999E-2</v>
      </c>
      <c r="AC11" s="148">
        <v>1</v>
      </c>
      <c r="AD11" s="146">
        <v>0.6</v>
      </c>
      <c r="AE11" s="146"/>
      <c r="AF11" s="32"/>
      <c r="AG11" s="149"/>
      <c r="AH11" s="150" t="e">
        <v>#DIV/0!</v>
      </c>
      <c r="AI11" s="146">
        <v>0.12558238751124309</v>
      </c>
      <c r="AJ11" s="146">
        <v>0.21934290966040748</v>
      </c>
      <c r="AK11" s="146">
        <v>2.7311896676922687</v>
      </c>
      <c r="AL11" s="146">
        <v>15.27484970214498</v>
      </c>
      <c r="AM11" s="151">
        <v>1</v>
      </c>
      <c r="AN11" s="152">
        <v>2</v>
      </c>
      <c r="AO11" s="153">
        <v>0</v>
      </c>
      <c r="AP11" s="154">
        <v>0</v>
      </c>
      <c r="AQ11" s="152">
        <v>0</v>
      </c>
      <c r="AR11" s="165">
        <v>10000</v>
      </c>
      <c r="AS11" s="165">
        <v>10000</v>
      </c>
      <c r="AT11" s="165">
        <v>10000</v>
      </c>
      <c r="AU11" s="165">
        <v>15</v>
      </c>
      <c r="AV11" s="165">
        <v>0</v>
      </c>
      <c r="AW11" s="165">
        <v>0</v>
      </c>
      <c r="AX11" s="155">
        <v>0.12558238751124309</v>
      </c>
      <c r="AY11" s="155">
        <v>0.14953355358136466</v>
      </c>
      <c r="AZ11" s="155">
        <v>1.095715505971033E-3</v>
      </c>
      <c r="BA11" s="155">
        <v>119.33087559001891</v>
      </c>
      <c r="BB11" s="155">
        <v>0.21813642504174396</v>
      </c>
      <c r="BC11" s="155">
        <v>0.21934290966040748</v>
      </c>
      <c r="BD11" s="155">
        <v>0.3677708920189327</v>
      </c>
      <c r="BE11" s="963">
        <v>518.51700000000005</v>
      </c>
      <c r="BF11" s="963">
        <v>518.84199999999998</v>
      </c>
      <c r="BG11" s="963">
        <v>516.41700000000003</v>
      </c>
      <c r="BH11" s="963">
        <v>2.4249999999999545</v>
      </c>
      <c r="BI11" s="963">
        <v>514.73336000000006</v>
      </c>
      <c r="BJ11" s="963">
        <v>517.14300000000003</v>
      </c>
      <c r="BK11" s="963">
        <v>0</v>
      </c>
      <c r="BL11" s="963">
        <v>0</v>
      </c>
      <c r="BM11" s="963">
        <v>0</v>
      </c>
      <c r="BN11" s="963">
        <v>0.91599999999999904</v>
      </c>
      <c r="BO11" s="963">
        <v>1.5</v>
      </c>
      <c r="BP11" s="963">
        <v>1.5</v>
      </c>
      <c r="BQ11" s="963">
        <v>0</v>
      </c>
      <c r="BR11" s="1867">
        <v>0</v>
      </c>
      <c r="BS11" s="963">
        <v>0.32</v>
      </c>
      <c r="BT11" s="963">
        <v>0.60499999999995446</v>
      </c>
      <c r="BU11" s="47" t="s">
        <v>2836</v>
      </c>
      <c r="BV11" s="35"/>
      <c r="BW11" s="35"/>
      <c r="BX11" s="35"/>
      <c r="BY11" s="35"/>
      <c r="BZ11" s="35"/>
      <c r="CA11" s="35"/>
      <c r="CB11" s="35"/>
      <c r="CC11" s="35"/>
      <c r="CD11" s="35"/>
      <c r="CE11" s="35"/>
      <c r="CF11" s="35"/>
      <c r="CG11" s="35"/>
      <c r="CH11" s="35"/>
      <c r="CI11" s="35"/>
      <c r="CJ11" s="35"/>
      <c r="CK11" s="35"/>
      <c r="CL11" s="35"/>
      <c r="CM11" s="35"/>
      <c r="CN11" s="35"/>
      <c r="CO11" s="35"/>
      <c r="CP11" s="35"/>
      <c r="CQ11" s="35"/>
      <c r="CR11" s="35"/>
      <c r="CS11" s="35"/>
      <c r="CT11" s="35"/>
      <c r="CU11" s="35"/>
      <c r="CV11" s="35"/>
      <c r="CW11" s="35"/>
      <c r="CX11" s="35"/>
      <c r="CY11" s="35"/>
      <c r="CZ11" s="35"/>
      <c r="DA11" s="35"/>
      <c r="DB11" s="35"/>
      <c r="DC11" s="35"/>
      <c r="DD11" s="35"/>
      <c r="DE11" s="35"/>
      <c r="DF11" s="35"/>
      <c r="DG11" s="35"/>
      <c r="DH11" s="35"/>
      <c r="DI11" s="35"/>
      <c r="DJ11" s="35"/>
      <c r="DK11" s="35"/>
      <c r="DL11" s="35"/>
      <c r="DM11" s="35"/>
      <c r="DN11" s="35"/>
      <c r="DO11" s="35"/>
      <c r="DP11" s="35"/>
      <c r="DQ11" s="35"/>
      <c r="DR11" s="35"/>
      <c r="DS11" s="35"/>
      <c r="DT11" s="35"/>
      <c r="DU11" s="35"/>
      <c r="DV11" s="35"/>
      <c r="DW11" s="35"/>
      <c r="DX11" s="35"/>
      <c r="DY11" s="35"/>
      <c r="DZ11" s="35"/>
      <c r="EA11" s="35"/>
      <c r="EB11" s="35"/>
      <c r="EC11" s="35"/>
      <c r="ED11" s="35"/>
      <c r="EE11" s="35"/>
      <c r="EF11" s="35"/>
      <c r="EG11" s="35"/>
      <c r="EH11" s="35"/>
      <c r="EI11" s="35"/>
      <c r="EJ11" s="35"/>
    </row>
    <row r="12" spans="1:140" s="31" customFormat="1" ht="24.95" customHeight="1" x14ac:dyDescent="0.15">
      <c r="A12" s="921">
        <v>2</v>
      </c>
      <c r="B12" s="143">
        <v>516.09199999999998</v>
      </c>
      <c r="C12" s="142"/>
      <c r="D12" s="143">
        <v>514.00736000000006</v>
      </c>
      <c r="E12" s="144">
        <v>2.0846399999999221</v>
      </c>
      <c r="F12" s="141">
        <v>513.79700000000003</v>
      </c>
      <c r="G12" s="140">
        <v>512.44699999999989</v>
      </c>
      <c r="H12" s="144">
        <v>1.3500000000001364</v>
      </c>
      <c r="I12" s="139">
        <v>514.15855241000088</v>
      </c>
      <c r="J12" s="138">
        <v>514.13294238751132</v>
      </c>
      <c r="K12" s="138" t="s">
        <v>2835</v>
      </c>
      <c r="L12" s="138" t="s">
        <v>2835</v>
      </c>
      <c r="M12" s="137" t="s">
        <v>2835</v>
      </c>
      <c r="N12" s="136">
        <v>45.04</v>
      </c>
      <c r="O12" s="145">
        <v>0.1469</v>
      </c>
      <c r="P12" s="136">
        <v>0.6</v>
      </c>
      <c r="Q12" s="33">
        <v>0.94920000000000004</v>
      </c>
      <c r="R12" s="146">
        <v>1</v>
      </c>
      <c r="S12" s="146">
        <v>15.27484970214498</v>
      </c>
      <c r="T12" s="146">
        <v>107.60014141713148</v>
      </c>
      <c r="U12" s="146">
        <v>0.48806409215846064</v>
      </c>
      <c r="V12" s="146">
        <v>21.43106414794741</v>
      </c>
      <c r="W12" s="33">
        <v>138.76055574927466</v>
      </c>
      <c r="X12" s="146">
        <v>5.0954706927174938</v>
      </c>
      <c r="Y12" s="146">
        <v>3.4643872113679985</v>
      </c>
      <c r="Z12" s="146">
        <v>6.4026068851339088E-2</v>
      </c>
      <c r="AA12" s="146" t="s">
        <v>72</v>
      </c>
      <c r="AB12" s="147">
        <v>1.4999999999999999E-2</v>
      </c>
      <c r="AC12" s="148">
        <v>1</v>
      </c>
      <c r="AD12" s="146">
        <v>0.6</v>
      </c>
      <c r="AE12" s="146"/>
      <c r="AF12" s="32"/>
      <c r="AG12" s="149"/>
      <c r="AH12" s="150" t="e">
        <v>#DIV/0!</v>
      </c>
      <c r="AI12" s="146">
        <v>0.15119241000080397</v>
      </c>
      <c r="AJ12" s="146">
        <v>0.23917262863597522</v>
      </c>
      <c r="AK12" s="146">
        <v>2.4824308007638911</v>
      </c>
      <c r="AL12" s="146">
        <v>15.577241481378332</v>
      </c>
      <c r="AM12" s="151">
        <v>2</v>
      </c>
      <c r="AN12" s="152">
        <v>3</v>
      </c>
      <c r="AO12" s="153">
        <v>1</v>
      </c>
      <c r="AP12" s="154">
        <v>0</v>
      </c>
      <c r="AQ12" s="152">
        <v>0</v>
      </c>
      <c r="AR12" s="165">
        <v>514.00736000000006</v>
      </c>
      <c r="AS12" s="165">
        <v>10000</v>
      </c>
      <c r="AT12" s="165">
        <v>10000</v>
      </c>
      <c r="AU12" s="165">
        <v>15.27484970214498</v>
      </c>
      <c r="AV12" s="165">
        <v>0</v>
      </c>
      <c r="AW12" s="165">
        <v>0</v>
      </c>
      <c r="AX12" s="155">
        <v>0.15119241000080397</v>
      </c>
      <c r="AY12" s="155">
        <v>0.16603692826030997</v>
      </c>
      <c r="AZ12" s="155">
        <v>2.94803436113892E-3</v>
      </c>
      <c r="BA12" s="155">
        <v>155.26958015257486</v>
      </c>
      <c r="BB12" s="155">
        <v>0.23764966248232042</v>
      </c>
      <c r="BC12" s="155">
        <v>0.23917262863597522</v>
      </c>
      <c r="BD12" s="155">
        <v>0.38751405077298889</v>
      </c>
      <c r="BE12" s="963">
        <v>516.09199999999998</v>
      </c>
      <c r="BF12" s="963">
        <v>516.21199999999999</v>
      </c>
      <c r="BG12" s="963">
        <v>514.00736000000006</v>
      </c>
      <c r="BH12" s="963">
        <v>2.2046399999999267</v>
      </c>
      <c r="BI12" s="963">
        <v>513.17299999999989</v>
      </c>
      <c r="BJ12" s="963">
        <v>514.73336000000006</v>
      </c>
      <c r="BK12" s="963">
        <v>514.73336000000006</v>
      </c>
      <c r="BL12" s="963">
        <v>0</v>
      </c>
      <c r="BM12" s="963">
        <v>0</v>
      </c>
      <c r="BN12" s="963">
        <v>0.91599999999999904</v>
      </c>
      <c r="BO12" s="963">
        <v>1.5</v>
      </c>
      <c r="BP12" s="963">
        <v>1.5</v>
      </c>
      <c r="BQ12" s="963">
        <v>0</v>
      </c>
      <c r="BR12" s="1867">
        <v>0</v>
      </c>
      <c r="BS12" s="963">
        <v>0.32</v>
      </c>
      <c r="BT12" s="963">
        <v>0.38463999999992665</v>
      </c>
      <c r="BU12" s="47" t="s">
        <v>2836</v>
      </c>
      <c r="BV12" s="35"/>
      <c r="BW12" s="35"/>
      <c r="BX12" s="35"/>
      <c r="BY12" s="35"/>
      <c r="BZ12" s="35"/>
      <c r="CA12" s="35"/>
      <c r="CB12" s="35"/>
      <c r="CC12" s="35"/>
      <c r="CD12" s="35"/>
      <c r="CE12" s="35"/>
      <c r="CF12" s="35"/>
      <c r="CG12" s="35"/>
      <c r="CH12" s="35"/>
      <c r="CI12" s="35"/>
      <c r="CJ12" s="35"/>
      <c r="CK12" s="35"/>
      <c r="CL12" s="35"/>
      <c r="CM12" s="35"/>
      <c r="CN12" s="35"/>
      <c r="CO12" s="35"/>
      <c r="CP12" s="35"/>
      <c r="CQ12" s="35"/>
      <c r="CR12" s="35"/>
      <c r="CS12" s="35"/>
      <c r="CT12" s="35"/>
      <c r="CU12" s="35"/>
      <c r="CV12" s="35"/>
      <c r="CW12" s="35"/>
      <c r="CX12" s="35"/>
      <c r="CY12" s="35"/>
      <c r="CZ12" s="35"/>
      <c r="DA12" s="35"/>
      <c r="DB12" s="35"/>
      <c r="DC12" s="35"/>
      <c r="DD12" s="35"/>
      <c r="DE12" s="35"/>
      <c r="DF12" s="35"/>
      <c r="DG12" s="35"/>
      <c r="DH12" s="35"/>
      <c r="DI12" s="35"/>
      <c r="DJ12" s="35"/>
      <c r="DK12" s="35"/>
      <c r="DL12" s="35"/>
      <c r="DM12" s="35"/>
      <c r="DN12" s="35"/>
      <c r="DO12" s="35"/>
      <c r="DP12" s="35"/>
      <c r="DQ12" s="35"/>
      <c r="DR12" s="35"/>
      <c r="DS12" s="35"/>
      <c r="DT12" s="35"/>
      <c r="DU12" s="35"/>
      <c r="DV12" s="35"/>
      <c r="DW12" s="35"/>
      <c r="DX12" s="35"/>
      <c r="DY12" s="35"/>
      <c r="DZ12" s="35"/>
      <c r="EA12" s="35"/>
      <c r="EB12" s="35"/>
      <c r="EC12" s="35"/>
      <c r="ED12" s="35"/>
      <c r="EE12" s="35"/>
      <c r="EF12" s="35"/>
      <c r="EG12" s="35"/>
      <c r="EH12" s="35"/>
      <c r="EI12" s="35"/>
      <c r="EJ12" s="35"/>
    </row>
    <row r="13" spans="1:140" s="31" customFormat="1" ht="24.95" customHeight="1" x14ac:dyDescent="0.15">
      <c r="A13" s="921">
        <v>3</v>
      </c>
      <c r="B13" s="143">
        <v>513.79700000000003</v>
      </c>
      <c r="C13" s="142"/>
      <c r="D13" s="143">
        <v>512.44699999999989</v>
      </c>
      <c r="E13" s="144">
        <v>1.3500000000001364</v>
      </c>
      <c r="F13" s="141">
        <v>514.61300000000006</v>
      </c>
      <c r="G13" s="140">
        <v>512.2657099999999</v>
      </c>
      <c r="H13" s="144">
        <v>2.3472900000001573</v>
      </c>
      <c r="I13" s="139">
        <v>512.97553016752488</v>
      </c>
      <c r="J13" s="138">
        <v>512.59819241000071</v>
      </c>
      <c r="K13" s="138" t="s">
        <v>2835</v>
      </c>
      <c r="L13" s="138" t="s">
        <v>2835</v>
      </c>
      <c r="M13" s="137">
        <v>-0.37733775752417387</v>
      </c>
      <c r="N13" s="136">
        <v>60.43</v>
      </c>
      <c r="O13" s="145">
        <v>1.3438000000000001</v>
      </c>
      <c r="P13" s="136">
        <v>0.6</v>
      </c>
      <c r="Q13" s="33">
        <v>2.2930000000000001</v>
      </c>
      <c r="R13" s="146">
        <v>0.86267671967284354</v>
      </c>
      <c r="S13" s="146">
        <v>15.577241481378332</v>
      </c>
      <c r="T13" s="146">
        <v>106.85679022617219</v>
      </c>
      <c r="U13" s="146">
        <v>0.49012985062996889</v>
      </c>
      <c r="V13" s="146">
        <v>168.66626755451742</v>
      </c>
      <c r="W13" s="33">
        <v>307.42682330379205</v>
      </c>
      <c r="X13" s="146">
        <v>-1.3503226874069683</v>
      </c>
      <c r="Y13" s="2381">
        <v>0.3</v>
      </c>
      <c r="Z13" s="146">
        <v>0.31427388271590412</v>
      </c>
      <c r="AA13" s="146" t="s">
        <v>72</v>
      </c>
      <c r="AB13" s="147">
        <v>1.4999999999999999E-2</v>
      </c>
      <c r="AC13" s="148">
        <v>1</v>
      </c>
      <c r="AD13" s="146">
        <v>0.6</v>
      </c>
      <c r="AE13" s="146"/>
      <c r="AF13" s="32"/>
      <c r="AG13" s="149"/>
      <c r="AH13" s="150" t="e">
        <v>#DIV/0!</v>
      </c>
      <c r="AI13" s="146">
        <v>0.52853016752495052</v>
      </c>
      <c r="AJ13" s="146">
        <v>0.36053082651975227</v>
      </c>
      <c r="AK13" s="146">
        <v>1.1656833057144669</v>
      </c>
      <c r="AL13" s="146">
        <v>16.441255456468554</v>
      </c>
      <c r="AM13" s="151">
        <v>3</v>
      </c>
      <c r="AN13" s="152">
        <v>4</v>
      </c>
      <c r="AO13" s="153">
        <v>2</v>
      </c>
      <c r="AP13" s="154">
        <v>0</v>
      </c>
      <c r="AQ13" s="152">
        <v>0</v>
      </c>
      <c r="AR13" s="165">
        <v>512.44699999999989</v>
      </c>
      <c r="AS13" s="165">
        <v>10000</v>
      </c>
      <c r="AT13" s="165">
        <v>10000</v>
      </c>
      <c r="AU13" s="165">
        <v>15.577241481378332</v>
      </c>
      <c r="AV13" s="165">
        <v>0</v>
      </c>
      <c r="AW13" s="165">
        <v>0</v>
      </c>
      <c r="AX13" s="155">
        <v>0.400048859436066</v>
      </c>
      <c r="AY13" s="155">
        <v>0.50319250576841457</v>
      </c>
      <c r="AZ13" s="155">
        <v>0.52853016752495052</v>
      </c>
      <c r="BA13" s="155">
        <v>732.58610969184338</v>
      </c>
      <c r="BB13" s="155">
        <v>0.35675630365094801</v>
      </c>
      <c r="BC13" s="155">
        <v>0.36053082651975227</v>
      </c>
      <c r="BD13" s="155">
        <v>0.49656057831136236</v>
      </c>
      <c r="BE13" s="963">
        <v>513.79700000000003</v>
      </c>
      <c r="BF13" s="963">
        <v>513.79700000000003</v>
      </c>
      <c r="BG13" s="963">
        <v>512.44699999999989</v>
      </c>
      <c r="BH13" s="963">
        <v>1.3500000000001364</v>
      </c>
      <c r="BI13" s="963">
        <v>512.9917099999999</v>
      </c>
      <c r="BJ13" s="963">
        <v>513.17299999999989</v>
      </c>
      <c r="BK13" s="963">
        <v>513.17299999999989</v>
      </c>
      <c r="BL13" s="963">
        <v>0</v>
      </c>
      <c r="BM13" s="963">
        <v>0</v>
      </c>
      <c r="BN13" s="963">
        <v>0.91599999999999904</v>
      </c>
      <c r="BO13" s="963">
        <v>1.5</v>
      </c>
      <c r="BP13" s="963">
        <v>1.5</v>
      </c>
      <c r="BQ13" s="963">
        <v>0</v>
      </c>
      <c r="BR13" s="1867">
        <v>0</v>
      </c>
      <c r="BS13" s="963">
        <v>0.32</v>
      </c>
      <c r="BT13" s="963">
        <v>0</v>
      </c>
      <c r="BU13" s="47" t="s">
        <v>2630</v>
      </c>
      <c r="BV13" s="35"/>
      <c r="BW13" s="35"/>
      <c r="BX13" s="35"/>
      <c r="BY13" s="35"/>
      <c r="BZ13" s="35"/>
      <c r="CA13" s="35"/>
      <c r="CB13" s="35"/>
      <c r="CC13" s="35"/>
      <c r="CD13" s="35"/>
      <c r="CE13" s="35"/>
      <c r="CF13" s="35"/>
      <c r="CG13" s="35"/>
      <c r="CH13" s="35"/>
      <c r="CI13" s="35"/>
      <c r="CJ13" s="35"/>
      <c r="CK13" s="35"/>
      <c r="CL13" s="35"/>
      <c r="CM13" s="35"/>
      <c r="CN13" s="35"/>
      <c r="CO13" s="35"/>
      <c r="CP13" s="35"/>
      <c r="CQ13" s="35"/>
      <c r="CR13" s="35"/>
      <c r="CS13" s="35"/>
      <c r="CT13" s="35"/>
      <c r="CU13" s="35"/>
      <c r="CV13" s="35"/>
      <c r="CW13" s="35"/>
      <c r="CX13" s="35"/>
      <c r="CY13" s="35"/>
      <c r="CZ13" s="35"/>
      <c r="DA13" s="35"/>
      <c r="DB13" s="35"/>
      <c r="DC13" s="35"/>
      <c r="DD13" s="35"/>
      <c r="DE13" s="35"/>
      <c r="DF13" s="35"/>
      <c r="DG13" s="35"/>
      <c r="DH13" s="35"/>
      <c r="DI13" s="35"/>
      <c r="DJ13" s="35"/>
      <c r="DK13" s="35"/>
      <c r="DL13" s="35"/>
      <c r="DM13" s="35"/>
      <c r="DN13" s="35"/>
      <c r="DO13" s="35"/>
      <c r="DP13" s="35"/>
      <c r="DQ13" s="35"/>
      <c r="DR13" s="35"/>
      <c r="DS13" s="35"/>
      <c r="DT13" s="35"/>
      <c r="DU13" s="35"/>
      <c r="DV13" s="35"/>
      <c r="DW13" s="35"/>
      <c r="DX13" s="35"/>
      <c r="DY13" s="35"/>
      <c r="DZ13" s="35"/>
      <c r="EA13" s="35"/>
      <c r="EB13" s="35"/>
      <c r="EC13" s="35"/>
      <c r="ED13" s="35"/>
      <c r="EE13" s="35"/>
      <c r="EF13" s="35"/>
      <c r="EG13" s="35"/>
      <c r="EH13" s="35"/>
      <c r="EI13" s="35"/>
      <c r="EJ13" s="35"/>
    </row>
    <row r="14" spans="1:140" s="31" customFormat="1" ht="24.95" customHeight="1" x14ac:dyDescent="0.15">
      <c r="A14" s="921">
        <v>4</v>
      </c>
      <c r="B14" s="143">
        <v>514.61300000000006</v>
      </c>
      <c r="C14" s="142"/>
      <c r="D14" s="143">
        <v>512.2657099999999</v>
      </c>
      <c r="E14" s="144">
        <v>2.3472900000001573</v>
      </c>
      <c r="F14" s="141">
        <v>515.80499999999995</v>
      </c>
      <c r="G14" s="140">
        <v>512.08441999999991</v>
      </c>
      <c r="H14" s="144">
        <v>3.7205800000000409</v>
      </c>
      <c r="I14" s="139">
        <v>512.70149495033195</v>
      </c>
      <c r="J14" s="138">
        <v>512.79424016752489</v>
      </c>
      <c r="K14" s="138" t="s">
        <v>2835</v>
      </c>
      <c r="L14" s="138" t="s">
        <v>2835</v>
      </c>
      <c r="M14" s="137" t="s">
        <v>2835</v>
      </c>
      <c r="N14" s="136">
        <v>60.43</v>
      </c>
      <c r="O14" s="145">
        <v>0.4506</v>
      </c>
      <c r="P14" s="136">
        <v>0.6</v>
      </c>
      <c r="Q14" s="33">
        <v>2.7436000000000003</v>
      </c>
      <c r="R14" s="146">
        <v>0.83556241919804908</v>
      </c>
      <c r="S14" s="146">
        <v>16.441255456468554</v>
      </c>
      <c r="T14" s="146">
        <v>104.79278349694624</v>
      </c>
      <c r="U14" s="146">
        <v>0.49579526958354586</v>
      </c>
      <c r="V14" s="146">
        <v>54.342058098975613</v>
      </c>
      <c r="W14" s="33">
        <v>361.76888140276765</v>
      </c>
      <c r="X14" s="146">
        <v>-1.9725302002314968</v>
      </c>
      <c r="Y14" s="2381">
        <v>0.3</v>
      </c>
      <c r="Z14" s="146">
        <v>9.3831198089049495E-2</v>
      </c>
      <c r="AA14" s="146" t="s">
        <v>72</v>
      </c>
      <c r="AB14" s="147">
        <v>1.4999999999999999E-2</v>
      </c>
      <c r="AC14" s="148">
        <v>1</v>
      </c>
      <c r="AD14" s="146">
        <v>0.8</v>
      </c>
      <c r="AE14" s="146"/>
      <c r="AF14" s="32"/>
      <c r="AG14" s="149"/>
      <c r="AH14" s="150" t="e">
        <v>#DIV/0!</v>
      </c>
      <c r="AI14" s="146">
        <v>0.43578495033204451</v>
      </c>
      <c r="AJ14" s="146">
        <v>0.36075830622693689</v>
      </c>
      <c r="AK14" s="146">
        <v>1.2924141853489155</v>
      </c>
      <c r="AL14" s="146">
        <v>17.220546397471928</v>
      </c>
      <c r="AM14" s="151">
        <v>4</v>
      </c>
      <c r="AN14" s="152">
        <v>5</v>
      </c>
      <c r="AO14" s="153">
        <v>3</v>
      </c>
      <c r="AP14" s="154">
        <v>0</v>
      </c>
      <c r="AQ14" s="152">
        <v>0</v>
      </c>
      <c r="AR14" s="165">
        <v>512.2657099999999</v>
      </c>
      <c r="AS14" s="165">
        <v>10000</v>
      </c>
      <c r="AT14" s="165">
        <v>10000</v>
      </c>
      <c r="AU14" s="165">
        <v>16.441255456468554</v>
      </c>
      <c r="AV14" s="165">
        <v>0</v>
      </c>
      <c r="AW14" s="165">
        <v>0</v>
      </c>
      <c r="AX14" s="155">
        <v>0.39863718861074193</v>
      </c>
      <c r="AY14" s="155">
        <v>0.43578495033204451</v>
      </c>
      <c r="AZ14" s="155">
        <v>0.14899480096352569</v>
      </c>
      <c r="BA14" s="155">
        <v>437.37052997388673</v>
      </c>
      <c r="BB14" s="155">
        <v>0.35800551355824906</v>
      </c>
      <c r="BC14" s="155">
        <v>0.36075830622693689</v>
      </c>
      <c r="BD14" s="155">
        <v>0.49022412363814316</v>
      </c>
      <c r="BE14" s="963">
        <v>514.61300000000006</v>
      </c>
      <c r="BF14" s="963">
        <v>514.61300000000006</v>
      </c>
      <c r="BG14" s="963">
        <v>512.2657099999999</v>
      </c>
      <c r="BH14" s="963">
        <v>2.3472900000001573</v>
      </c>
      <c r="BI14" s="963">
        <v>513.05241999999987</v>
      </c>
      <c r="BJ14" s="963">
        <v>513.23370999999986</v>
      </c>
      <c r="BK14" s="963">
        <v>512.9917099999999</v>
      </c>
      <c r="BL14" s="963">
        <v>0</v>
      </c>
      <c r="BM14" s="963">
        <v>0</v>
      </c>
      <c r="BN14" s="963">
        <v>1.1579999999999608</v>
      </c>
      <c r="BO14" s="963">
        <v>1.5</v>
      </c>
      <c r="BP14" s="963">
        <v>1.5</v>
      </c>
      <c r="BQ14" s="963">
        <v>0</v>
      </c>
      <c r="BR14" s="1867">
        <v>0</v>
      </c>
      <c r="BS14" s="963">
        <v>0.32</v>
      </c>
      <c r="BT14" s="963">
        <v>0.52729000000015724</v>
      </c>
      <c r="BU14" s="47" t="s">
        <v>2836</v>
      </c>
      <c r="BV14" s="35"/>
      <c r="BW14" s="35"/>
      <c r="BX14" s="35"/>
      <c r="BY14" s="35"/>
      <c r="BZ14" s="35"/>
      <c r="CA14" s="35"/>
      <c r="CB14" s="35"/>
      <c r="CC14" s="35"/>
      <c r="CD14" s="35"/>
      <c r="CE14" s="35"/>
      <c r="CF14" s="35"/>
      <c r="CG14" s="35"/>
      <c r="CH14" s="35"/>
      <c r="CI14" s="35"/>
      <c r="CJ14" s="35"/>
      <c r="CK14" s="35"/>
      <c r="CL14" s="35"/>
      <c r="CM14" s="35"/>
      <c r="CN14" s="35"/>
      <c r="CO14" s="35"/>
      <c r="CP14" s="35"/>
      <c r="CQ14" s="35"/>
      <c r="CR14" s="35"/>
      <c r="CS14" s="35"/>
      <c r="CT14" s="35"/>
      <c r="CU14" s="35"/>
      <c r="CV14" s="35"/>
      <c r="CW14" s="35"/>
      <c r="CX14" s="35"/>
      <c r="CY14" s="35"/>
      <c r="CZ14" s="35"/>
      <c r="DA14" s="35"/>
      <c r="DB14" s="35"/>
      <c r="DC14" s="35"/>
      <c r="DD14" s="35"/>
      <c r="DE14" s="35"/>
      <c r="DF14" s="35"/>
      <c r="DG14" s="35"/>
      <c r="DH14" s="35"/>
      <c r="DI14" s="35"/>
      <c r="DJ14" s="35"/>
      <c r="DK14" s="35"/>
      <c r="DL14" s="35"/>
      <c r="DM14" s="35"/>
      <c r="DN14" s="35"/>
      <c r="DO14" s="35"/>
      <c r="DP14" s="35"/>
      <c r="DQ14" s="35"/>
      <c r="DR14" s="35"/>
      <c r="DS14" s="35"/>
      <c r="DT14" s="35"/>
      <c r="DU14" s="35"/>
      <c r="DV14" s="35"/>
      <c r="DW14" s="35"/>
      <c r="DX14" s="35"/>
      <c r="DY14" s="35"/>
      <c r="DZ14" s="35"/>
      <c r="EA14" s="35"/>
      <c r="EB14" s="35"/>
      <c r="EC14" s="35"/>
      <c r="ED14" s="35"/>
      <c r="EE14" s="35"/>
      <c r="EF14" s="35"/>
      <c r="EG14" s="35"/>
      <c r="EH14" s="35"/>
      <c r="EI14" s="35"/>
      <c r="EJ14" s="35"/>
    </row>
    <row r="15" spans="1:140" s="31" customFormat="1" ht="24.95" customHeight="1" x14ac:dyDescent="0.15">
      <c r="A15" s="921">
        <v>5</v>
      </c>
      <c r="B15" s="143">
        <v>515.80499999999995</v>
      </c>
      <c r="C15" s="142"/>
      <c r="D15" s="143">
        <v>512.08441999999991</v>
      </c>
      <c r="E15" s="144">
        <v>3.7205800000000409</v>
      </c>
      <c r="F15" s="141">
        <v>515.55499999999995</v>
      </c>
      <c r="G15" s="140">
        <v>511.90312999999992</v>
      </c>
      <c r="H15" s="144">
        <v>3.6518700000000308</v>
      </c>
      <c r="I15" s="139">
        <v>512.52114153232583</v>
      </c>
      <c r="J15" s="138">
        <v>512.52020495033196</v>
      </c>
      <c r="K15" s="138" t="s">
        <v>2835</v>
      </c>
      <c r="L15" s="138" t="s">
        <v>2835</v>
      </c>
      <c r="M15" s="137" t="s">
        <v>2835</v>
      </c>
      <c r="N15" s="136">
        <v>60.43</v>
      </c>
      <c r="O15" s="145">
        <v>0.01</v>
      </c>
      <c r="P15" s="136">
        <v>0.6</v>
      </c>
      <c r="Q15" s="33">
        <v>2.7536</v>
      </c>
      <c r="R15" s="146">
        <v>0.83502148153533684</v>
      </c>
      <c r="S15" s="146">
        <v>17.220546397471928</v>
      </c>
      <c r="T15" s="146">
        <v>103.00373723642812</v>
      </c>
      <c r="U15" s="146">
        <v>0.50062618817667293</v>
      </c>
      <c r="V15" s="146">
        <v>1.1961797225335669</v>
      </c>
      <c r="W15" s="33">
        <v>362.96506112530119</v>
      </c>
      <c r="X15" s="146">
        <v>0.41370180373986432</v>
      </c>
      <c r="Y15" s="2381">
        <v>0.3</v>
      </c>
      <c r="Z15" s="146">
        <v>9.4452724925398607E-2</v>
      </c>
      <c r="AA15" s="146" t="s">
        <v>72</v>
      </c>
      <c r="AB15" s="147">
        <v>1.4999999999999999E-2</v>
      </c>
      <c r="AC15" s="148">
        <v>1</v>
      </c>
      <c r="AD15" s="146">
        <v>0.8</v>
      </c>
      <c r="AE15" s="146"/>
      <c r="AF15" s="32"/>
      <c r="AG15" s="149"/>
      <c r="AH15" s="150" t="e">
        <v>#DIV/0!</v>
      </c>
      <c r="AI15" s="146">
        <v>0.43672153232588573</v>
      </c>
      <c r="AJ15" s="146">
        <v>0.36137319978743454</v>
      </c>
      <c r="AK15" s="146">
        <v>1.2932400998220157</v>
      </c>
      <c r="AL15" s="146">
        <v>17.999339652340286</v>
      </c>
      <c r="AM15" s="151">
        <v>5</v>
      </c>
      <c r="AN15" s="152">
        <v>6</v>
      </c>
      <c r="AO15" s="153">
        <v>4</v>
      </c>
      <c r="AP15" s="154">
        <v>0</v>
      </c>
      <c r="AQ15" s="152">
        <v>0</v>
      </c>
      <c r="AR15" s="165">
        <v>512.08441999999991</v>
      </c>
      <c r="AS15" s="165">
        <v>10000</v>
      </c>
      <c r="AT15" s="165">
        <v>10000</v>
      </c>
      <c r="AU15" s="165">
        <v>17.220546397471928</v>
      </c>
      <c r="AV15" s="165">
        <v>0</v>
      </c>
      <c r="AW15" s="165">
        <v>0</v>
      </c>
      <c r="AX15" s="155">
        <v>0.39927196186666153</v>
      </c>
      <c r="AY15" s="155">
        <v>0.43672153232588573</v>
      </c>
      <c r="AZ15" s="155">
        <v>0.15026468958202693</v>
      </c>
      <c r="BA15" s="155">
        <v>438.53643889200123</v>
      </c>
      <c r="BB15" s="155">
        <v>0.35860955943250272</v>
      </c>
      <c r="BC15" s="155">
        <v>0.36137319978743454</v>
      </c>
      <c r="BD15" s="155">
        <v>0.49072878860013619</v>
      </c>
      <c r="BE15" s="963">
        <v>515.80499999999995</v>
      </c>
      <c r="BF15" s="963">
        <v>516.04700000000003</v>
      </c>
      <c r="BG15" s="963">
        <v>512.08441999999991</v>
      </c>
      <c r="BH15" s="963">
        <v>3.9625800000001163</v>
      </c>
      <c r="BI15" s="963">
        <v>512.87112999999988</v>
      </c>
      <c r="BJ15" s="963">
        <v>513.05241999999987</v>
      </c>
      <c r="BK15" s="963">
        <v>513.05241999999987</v>
      </c>
      <c r="BL15" s="963">
        <v>0</v>
      </c>
      <c r="BM15" s="963">
        <v>0</v>
      </c>
      <c r="BN15" s="963">
        <v>1.1579999999999608</v>
      </c>
      <c r="BO15" s="963">
        <v>1.5</v>
      </c>
      <c r="BP15" s="963">
        <v>1.5</v>
      </c>
      <c r="BQ15" s="963">
        <v>0</v>
      </c>
      <c r="BR15" s="1867">
        <v>1</v>
      </c>
      <c r="BS15" s="963">
        <v>0.44</v>
      </c>
      <c r="BT15" s="963">
        <v>0.5225800000001164</v>
      </c>
      <c r="BU15" s="47" t="s">
        <v>2836</v>
      </c>
      <c r="BV15" s="35"/>
      <c r="BW15" s="35"/>
      <c r="BX15" s="35"/>
      <c r="BY15" s="35"/>
      <c r="BZ15" s="35"/>
      <c r="CA15" s="35"/>
      <c r="CB15" s="35"/>
      <c r="CC15" s="35"/>
      <c r="CD15" s="35"/>
      <c r="CE15" s="35"/>
      <c r="CF15" s="35"/>
      <c r="CG15" s="35"/>
      <c r="CH15" s="35"/>
      <c r="CI15" s="35"/>
      <c r="CJ15" s="35"/>
      <c r="CK15" s="35"/>
      <c r="CL15" s="35"/>
      <c r="CM15" s="35"/>
      <c r="CN15" s="35"/>
      <c r="CO15" s="35"/>
      <c r="CP15" s="35"/>
      <c r="CQ15" s="35"/>
      <c r="CR15" s="35"/>
      <c r="CS15" s="35"/>
      <c r="CT15" s="35"/>
      <c r="CU15" s="35"/>
      <c r="CV15" s="35"/>
      <c r="CW15" s="35"/>
      <c r="CX15" s="35"/>
      <c r="CY15" s="35"/>
      <c r="CZ15" s="35"/>
      <c r="DA15" s="35"/>
      <c r="DB15" s="35"/>
      <c r="DC15" s="35"/>
      <c r="DD15" s="35"/>
      <c r="DE15" s="35"/>
      <c r="DF15" s="35"/>
      <c r="DG15" s="35"/>
      <c r="DH15" s="35"/>
      <c r="DI15" s="35"/>
      <c r="DJ15" s="35"/>
      <c r="DK15" s="35"/>
      <c r="DL15" s="35"/>
      <c r="DM15" s="35"/>
      <c r="DN15" s="35"/>
      <c r="DO15" s="35"/>
      <c r="DP15" s="35"/>
      <c r="DQ15" s="35"/>
      <c r="DR15" s="35"/>
      <c r="DS15" s="35"/>
      <c r="DT15" s="35"/>
      <c r="DU15" s="35"/>
      <c r="DV15" s="35"/>
      <c r="DW15" s="35"/>
      <c r="DX15" s="35"/>
      <c r="DY15" s="35"/>
      <c r="DZ15" s="35"/>
      <c r="EA15" s="35"/>
      <c r="EB15" s="35"/>
      <c r="EC15" s="35"/>
      <c r="ED15" s="35"/>
      <c r="EE15" s="35"/>
      <c r="EF15" s="35"/>
      <c r="EG15" s="35"/>
      <c r="EH15" s="35"/>
      <c r="EI15" s="35"/>
      <c r="EJ15" s="35"/>
    </row>
    <row r="16" spans="1:140" s="31" customFormat="1" ht="24.95" customHeight="1" x14ac:dyDescent="0.15">
      <c r="A16" s="921">
        <v>6</v>
      </c>
      <c r="B16" s="143">
        <v>515.55499999999995</v>
      </c>
      <c r="C16" s="142"/>
      <c r="D16" s="143">
        <v>511.90312999999992</v>
      </c>
      <c r="E16" s="144">
        <v>3.6518700000000308</v>
      </c>
      <c r="F16" s="141">
        <v>515.16999999999996</v>
      </c>
      <c r="G16" s="140">
        <v>511.72180999999989</v>
      </c>
      <c r="H16" s="144">
        <v>3.4481900000000678</v>
      </c>
      <c r="I16" s="139">
        <v>512.39403743731816</v>
      </c>
      <c r="J16" s="138">
        <v>512.33985153232584</v>
      </c>
      <c r="K16" s="138" t="s">
        <v>2835</v>
      </c>
      <c r="L16" s="138" t="s">
        <v>2835</v>
      </c>
      <c r="M16" s="137" t="s">
        <v>2835</v>
      </c>
      <c r="N16" s="136">
        <v>60.44</v>
      </c>
      <c r="O16" s="145">
        <v>0.60399999999999998</v>
      </c>
      <c r="P16" s="136">
        <v>0.6</v>
      </c>
      <c r="Q16" s="33">
        <v>3.3576000000000001</v>
      </c>
      <c r="R16" s="146">
        <v>0.80605902666554885</v>
      </c>
      <c r="S16" s="146">
        <v>17.999339652340286</v>
      </c>
      <c r="T16" s="146">
        <v>101.28062301774222</v>
      </c>
      <c r="U16" s="146">
        <v>0.50521306513483144</v>
      </c>
      <c r="V16" s="146">
        <v>69.204918763294984</v>
      </c>
      <c r="W16" s="33">
        <v>432.16997988859617</v>
      </c>
      <c r="X16" s="146">
        <v>0.6369953673064046</v>
      </c>
      <c r="Y16" s="2381">
        <v>0.3</v>
      </c>
      <c r="Z16" s="146">
        <v>0.13390415074310399</v>
      </c>
      <c r="AA16" s="146" t="s">
        <v>72</v>
      </c>
      <c r="AB16" s="147">
        <v>1.4999999999999999E-2</v>
      </c>
      <c r="AC16" s="148">
        <v>1</v>
      </c>
      <c r="AD16" s="146">
        <v>0.8</v>
      </c>
      <c r="AE16" s="146"/>
      <c r="AF16" s="32"/>
      <c r="AG16" s="149"/>
      <c r="AH16" s="150" t="e">
        <v>#DIV/0!</v>
      </c>
      <c r="AI16" s="146">
        <v>0.49090743731820452</v>
      </c>
      <c r="AJ16" s="146">
        <v>0.39541749960697475</v>
      </c>
      <c r="AK16" s="146">
        <v>1.3362402714085952</v>
      </c>
      <c r="AL16" s="146">
        <v>18.753196091849816</v>
      </c>
      <c r="AM16" s="151">
        <v>6</v>
      </c>
      <c r="AN16" s="152">
        <v>0</v>
      </c>
      <c r="AO16" s="153">
        <v>5</v>
      </c>
      <c r="AP16" s="154">
        <v>0</v>
      </c>
      <c r="AQ16" s="152">
        <v>0</v>
      </c>
      <c r="AR16" s="165">
        <v>511.90312999999992</v>
      </c>
      <c r="AS16" s="165">
        <v>10000</v>
      </c>
      <c r="AT16" s="165">
        <v>10000</v>
      </c>
      <c r="AU16" s="165">
        <v>17.999339652340286</v>
      </c>
      <c r="AV16" s="165">
        <v>0</v>
      </c>
      <c r="AW16" s="165">
        <v>0</v>
      </c>
      <c r="AX16" s="155">
        <v>0.43430965561653612</v>
      </c>
      <c r="AY16" s="155">
        <v>0.49090743731820452</v>
      </c>
      <c r="AZ16" s="155">
        <v>0.23534904868542944</v>
      </c>
      <c r="BA16" s="155">
        <v>505.34743490712287</v>
      </c>
      <c r="BB16" s="155">
        <v>0.39203758015827428</v>
      </c>
      <c r="BC16" s="155">
        <v>0.39541749960697475</v>
      </c>
      <c r="BD16" s="155">
        <v>0.51816158096743736</v>
      </c>
      <c r="BE16" s="963">
        <v>515.55499999999995</v>
      </c>
      <c r="BF16" s="963">
        <v>515.55499999999995</v>
      </c>
      <c r="BG16" s="963">
        <v>511.90312999999992</v>
      </c>
      <c r="BH16" s="963">
        <v>3.6518700000000308</v>
      </c>
      <c r="BI16" s="963">
        <v>512.68980999999985</v>
      </c>
      <c r="BJ16" s="963">
        <v>512.87112999999988</v>
      </c>
      <c r="BK16" s="963">
        <v>512.87112999999988</v>
      </c>
      <c r="BL16" s="963">
        <v>0</v>
      </c>
      <c r="BM16" s="963">
        <v>0</v>
      </c>
      <c r="BN16" s="963">
        <v>1.1579999999999608</v>
      </c>
      <c r="BO16" s="963">
        <v>1.5</v>
      </c>
      <c r="BP16" s="963">
        <v>1.5</v>
      </c>
      <c r="BQ16" s="963">
        <v>0</v>
      </c>
      <c r="BR16" s="1867">
        <v>1</v>
      </c>
      <c r="BS16" s="963">
        <v>0.44</v>
      </c>
      <c r="BT16" s="963">
        <v>0.21187000000003081</v>
      </c>
      <c r="BU16" s="47" t="s">
        <v>2836</v>
      </c>
      <c r="BV16" s="35"/>
      <c r="BW16" s="35"/>
      <c r="BX16" s="35"/>
      <c r="BY16" s="35"/>
      <c r="BZ16" s="35"/>
      <c r="CA16" s="35"/>
      <c r="CB16" s="35"/>
      <c r="CC16" s="35"/>
      <c r="CD16" s="35"/>
      <c r="CE16" s="35"/>
      <c r="CF16" s="35"/>
      <c r="CG16" s="35"/>
      <c r="CH16" s="35"/>
      <c r="CI16" s="35"/>
      <c r="CJ16" s="35"/>
      <c r="CK16" s="35"/>
      <c r="CL16" s="35"/>
      <c r="CM16" s="35"/>
      <c r="CN16" s="35"/>
      <c r="CO16" s="35"/>
      <c r="CP16" s="35"/>
      <c r="CQ16" s="35"/>
      <c r="CR16" s="35"/>
      <c r="CS16" s="35"/>
      <c r="CT16" s="35"/>
      <c r="CU16" s="35"/>
      <c r="CV16" s="35"/>
      <c r="CW16" s="35"/>
      <c r="CX16" s="35"/>
      <c r="CY16" s="35"/>
      <c r="CZ16" s="35"/>
      <c r="DA16" s="35"/>
      <c r="DB16" s="35"/>
      <c r="DC16" s="35"/>
      <c r="DD16" s="35"/>
      <c r="DE16" s="35"/>
      <c r="DF16" s="35"/>
      <c r="DG16" s="35"/>
      <c r="DH16" s="35"/>
      <c r="DI16" s="35"/>
      <c r="DJ16" s="35"/>
      <c r="DK16" s="35"/>
      <c r="DL16" s="35"/>
      <c r="DM16" s="35"/>
      <c r="DN16" s="35"/>
      <c r="DO16" s="35"/>
      <c r="DP16" s="35"/>
      <c r="DQ16" s="35"/>
      <c r="DR16" s="35"/>
      <c r="DS16" s="35"/>
      <c r="DT16" s="35"/>
      <c r="DU16" s="35"/>
      <c r="DV16" s="35"/>
      <c r="DW16" s="35"/>
      <c r="DX16" s="35"/>
      <c r="DY16" s="35"/>
      <c r="DZ16" s="35"/>
      <c r="EA16" s="35"/>
      <c r="EB16" s="35"/>
      <c r="EC16" s="35"/>
      <c r="ED16" s="35"/>
      <c r="EE16" s="35"/>
      <c r="EF16" s="35"/>
      <c r="EG16" s="35"/>
      <c r="EH16" s="35"/>
      <c r="EI16" s="35"/>
      <c r="EJ16" s="35"/>
    </row>
    <row r="17" spans="8:8" ht="15" x14ac:dyDescent="0.3">
      <c r="H17" s="2382"/>
    </row>
  </sheetData>
  <mergeCells count="37">
    <mergeCell ref="T8:T10"/>
    <mergeCell ref="S8:S10"/>
    <mergeCell ref="R8:R10"/>
    <mergeCell ref="Q8:Q10"/>
    <mergeCell ref="O8:P8"/>
    <mergeCell ref="AA8:AH8"/>
    <mergeCell ref="AI1:AL1"/>
    <mergeCell ref="U8:U10"/>
    <mergeCell ref="V8:V10"/>
    <mergeCell ref="W8:W10"/>
    <mergeCell ref="AC9:AC10"/>
    <mergeCell ref="AD9:AD10"/>
    <mergeCell ref="AK8:AK10"/>
    <mergeCell ref="X8:Z8"/>
    <mergeCell ref="AL8:AL10"/>
    <mergeCell ref="Y9:Z9"/>
    <mergeCell ref="AI8:AJ9"/>
    <mergeCell ref="AB9:AB10"/>
    <mergeCell ref="AA9:AA10"/>
    <mergeCell ref="X9:X10"/>
    <mergeCell ref="BB8:BD8"/>
    <mergeCell ref="BE8:BT8"/>
    <mergeCell ref="BE9:BH9"/>
    <mergeCell ref="BN9:BP9"/>
    <mergeCell ref="BQ9:BQ10"/>
    <mergeCell ref="BR9:BR10"/>
    <mergeCell ref="BT9:BT10"/>
    <mergeCell ref="BI9:BM9"/>
    <mergeCell ref="BS9:BS10"/>
    <mergeCell ref="A8:A10"/>
    <mergeCell ref="N8:N10"/>
    <mergeCell ref="O9:O10"/>
    <mergeCell ref="P9:P10"/>
    <mergeCell ref="D4:E4"/>
    <mergeCell ref="B8:H8"/>
    <mergeCell ref="B9:E9"/>
    <mergeCell ref="F9:H9"/>
  </mergeCells>
  <phoneticPr fontId="140" type="noConversion"/>
  <dataValidations disablePrompts="1" count="2">
    <dataValidation allowBlank="1" showInputMessage="1" showErrorMessage="1" prompt="Se está rosa A&gt;6_x000a_Usar Área x Descarga" sqref="O11:O16"/>
    <dataValidation allowBlank="1" showInputMessage="1" showErrorMessage="1" prompt="Se está_x000a_verde_x000a_Verificar N.A._x000a_coluna &quot;M&quot;" sqref="C11:C16"/>
  </dataValidations>
  <hyperlinks>
    <hyperlink ref="A8:A10" location="PAINEL!A1" display="TRECHO"/>
  </hyperlinks>
  <printOptions horizontalCentered="1"/>
  <pageMargins left="0.39370078740157483" right="0.39370078740157483" top="0.39370078740157483" bottom="0.59055118110236227" header="0.31496062992125984" footer="0.23622047244094491"/>
  <pageSetup paperSize="9" scale="54" orientation="landscape" r:id="rId1"/>
  <headerFooter>
    <oddFooter>&amp;L&amp;"Arial,Normal"&amp;8&amp;F&amp;C&amp;"Arial,Normal"&amp;8&amp;P / &amp;N&amp;R&amp;"Cambria,Regular"&amp;8Ricardo Schettini Figueiredo&amp;10
&amp;8Eng. Civil - CREA-RJ 52.656/D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A87"/>
  <sheetViews>
    <sheetView showGridLines="0" showZeros="0" zoomScaleNormal="100" workbookViewId="0"/>
  </sheetViews>
  <sheetFormatPr defaultColWidth="10" defaultRowHeight="15" customHeight="1" x14ac:dyDescent="0.2"/>
  <cols>
    <col min="1" max="1" width="6.75" style="717" customWidth="1"/>
    <col min="2" max="2" width="11.875" style="717" customWidth="1"/>
    <col min="3" max="12" width="10.5" style="717" customWidth="1"/>
    <col min="13" max="15" width="10" style="717"/>
    <col min="16" max="16" width="10.375" style="717" customWidth="1"/>
    <col min="17" max="17" width="11.875" style="717" customWidth="1"/>
    <col min="18" max="251" width="10" style="717"/>
    <col min="252" max="252" width="6.75" style="717" customWidth="1"/>
    <col min="253" max="263" width="10.5" style="717" customWidth="1"/>
    <col min="264" max="267" width="10" style="717"/>
    <col min="268" max="268" width="10.75" style="717" bestFit="1" customWidth="1"/>
    <col min="269" max="507" width="10" style="717"/>
    <col min="508" max="508" width="6.75" style="717" customWidth="1"/>
    <col min="509" max="519" width="10.5" style="717" customWidth="1"/>
    <col min="520" max="523" width="10" style="717"/>
    <col min="524" max="524" width="10.75" style="717" bestFit="1" customWidth="1"/>
    <col min="525" max="763" width="10" style="717"/>
    <col min="764" max="764" width="6.75" style="717" customWidth="1"/>
    <col min="765" max="775" width="10.5" style="717" customWidth="1"/>
    <col min="776" max="779" width="10" style="717"/>
    <col min="780" max="780" width="10.75" style="717" bestFit="1" customWidth="1"/>
    <col min="781" max="1019" width="10" style="717"/>
    <col min="1020" max="1020" width="6.75" style="717" customWidth="1"/>
    <col min="1021" max="1031" width="10.5" style="717" customWidth="1"/>
    <col min="1032" max="1035" width="10" style="717"/>
    <col min="1036" max="1036" width="10.75" style="717" bestFit="1" customWidth="1"/>
    <col min="1037" max="1275" width="10" style="717"/>
    <col min="1276" max="1276" width="6.75" style="717" customWidth="1"/>
    <col min="1277" max="1287" width="10.5" style="717" customWidth="1"/>
    <col min="1288" max="1291" width="10" style="717"/>
    <col min="1292" max="1292" width="10.75" style="717" bestFit="1" customWidth="1"/>
    <col min="1293" max="1531" width="10" style="717"/>
    <col min="1532" max="1532" width="6.75" style="717" customWidth="1"/>
    <col min="1533" max="1543" width="10.5" style="717" customWidth="1"/>
    <col min="1544" max="1547" width="10" style="717"/>
    <col min="1548" max="1548" width="10.75" style="717" bestFit="1" customWidth="1"/>
    <col min="1549" max="1787" width="10" style="717"/>
    <col min="1788" max="1788" width="6.75" style="717" customWidth="1"/>
    <col min="1789" max="1799" width="10.5" style="717" customWidth="1"/>
    <col min="1800" max="1803" width="10" style="717"/>
    <col min="1804" max="1804" width="10.75" style="717" bestFit="1" customWidth="1"/>
    <col min="1805" max="2043" width="10" style="717"/>
    <col min="2044" max="2044" width="6.75" style="717" customWidth="1"/>
    <col min="2045" max="2055" width="10.5" style="717" customWidth="1"/>
    <col min="2056" max="2059" width="10" style="717"/>
    <col min="2060" max="2060" width="10.75" style="717" bestFit="1" customWidth="1"/>
    <col min="2061" max="2299" width="10" style="717"/>
    <col min="2300" max="2300" width="6.75" style="717" customWidth="1"/>
    <col min="2301" max="2311" width="10.5" style="717" customWidth="1"/>
    <col min="2312" max="2315" width="10" style="717"/>
    <col min="2316" max="2316" width="10.75" style="717" bestFit="1" customWidth="1"/>
    <col min="2317" max="2555" width="10" style="717"/>
    <col min="2556" max="2556" width="6.75" style="717" customWidth="1"/>
    <col min="2557" max="2567" width="10.5" style="717" customWidth="1"/>
    <col min="2568" max="2571" width="10" style="717"/>
    <col min="2572" max="2572" width="10.75" style="717" bestFit="1" customWidth="1"/>
    <col min="2573" max="2811" width="10" style="717"/>
    <col min="2812" max="2812" width="6.75" style="717" customWidth="1"/>
    <col min="2813" max="2823" width="10.5" style="717" customWidth="1"/>
    <col min="2824" max="2827" width="10" style="717"/>
    <col min="2828" max="2828" width="10.75" style="717" bestFit="1" customWidth="1"/>
    <col min="2829" max="3067" width="10" style="717"/>
    <col min="3068" max="3068" width="6.75" style="717" customWidth="1"/>
    <col min="3069" max="3079" width="10.5" style="717" customWidth="1"/>
    <col min="3080" max="3083" width="10" style="717"/>
    <col min="3084" max="3084" width="10.75" style="717" bestFit="1" customWidth="1"/>
    <col min="3085" max="3323" width="10" style="717"/>
    <col min="3324" max="3324" width="6.75" style="717" customWidth="1"/>
    <col min="3325" max="3335" width="10.5" style="717" customWidth="1"/>
    <col min="3336" max="3339" width="10" style="717"/>
    <col min="3340" max="3340" width="10.75" style="717" bestFit="1" customWidth="1"/>
    <col min="3341" max="3579" width="10" style="717"/>
    <col min="3580" max="3580" width="6.75" style="717" customWidth="1"/>
    <col min="3581" max="3591" width="10.5" style="717" customWidth="1"/>
    <col min="3592" max="3595" width="10" style="717"/>
    <col min="3596" max="3596" width="10.75" style="717" bestFit="1" customWidth="1"/>
    <col min="3597" max="3835" width="10" style="717"/>
    <col min="3836" max="3836" width="6.75" style="717" customWidth="1"/>
    <col min="3837" max="3847" width="10.5" style="717" customWidth="1"/>
    <col min="3848" max="3851" width="10" style="717"/>
    <col min="3852" max="3852" width="10.75" style="717" bestFit="1" customWidth="1"/>
    <col min="3853" max="4091" width="10" style="717"/>
    <col min="4092" max="4092" width="6.75" style="717" customWidth="1"/>
    <col min="4093" max="4103" width="10.5" style="717" customWidth="1"/>
    <col min="4104" max="4107" width="10" style="717"/>
    <col min="4108" max="4108" width="10.75" style="717" bestFit="1" customWidth="1"/>
    <col min="4109" max="4347" width="10" style="717"/>
    <col min="4348" max="4348" width="6.75" style="717" customWidth="1"/>
    <col min="4349" max="4359" width="10.5" style="717" customWidth="1"/>
    <col min="4360" max="4363" width="10" style="717"/>
    <col min="4364" max="4364" width="10.75" style="717" bestFit="1" customWidth="1"/>
    <col min="4365" max="4603" width="10" style="717"/>
    <col min="4604" max="4604" width="6.75" style="717" customWidth="1"/>
    <col min="4605" max="4615" width="10.5" style="717" customWidth="1"/>
    <col min="4616" max="4619" width="10" style="717"/>
    <col min="4620" max="4620" width="10.75" style="717" bestFit="1" customWidth="1"/>
    <col min="4621" max="4859" width="10" style="717"/>
    <col min="4860" max="4860" width="6.75" style="717" customWidth="1"/>
    <col min="4861" max="4871" width="10.5" style="717" customWidth="1"/>
    <col min="4872" max="4875" width="10" style="717"/>
    <col min="4876" max="4876" width="10.75" style="717" bestFit="1" customWidth="1"/>
    <col min="4877" max="5115" width="10" style="717"/>
    <col min="5116" max="5116" width="6.75" style="717" customWidth="1"/>
    <col min="5117" max="5127" width="10.5" style="717" customWidth="1"/>
    <col min="5128" max="5131" width="10" style="717"/>
    <col min="5132" max="5132" width="10.75" style="717" bestFit="1" customWidth="1"/>
    <col min="5133" max="5371" width="10" style="717"/>
    <col min="5372" max="5372" width="6.75" style="717" customWidth="1"/>
    <col min="5373" max="5383" width="10.5" style="717" customWidth="1"/>
    <col min="5384" max="5387" width="10" style="717"/>
    <col min="5388" max="5388" width="10.75" style="717" bestFit="1" customWidth="1"/>
    <col min="5389" max="5627" width="10" style="717"/>
    <col min="5628" max="5628" width="6.75" style="717" customWidth="1"/>
    <col min="5629" max="5639" width="10.5" style="717" customWidth="1"/>
    <col min="5640" max="5643" width="10" style="717"/>
    <col min="5644" max="5644" width="10.75" style="717" bestFit="1" customWidth="1"/>
    <col min="5645" max="5883" width="10" style="717"/>
    <col min="5884" max="5884" width="6.75" style="717" customWidth="1"/>
    <col min="5885" max="5895" width="10.5" style="717" customWidth="1"/>
    <col min="5896" max="5899" width="10" style="717"/>
    <col min="5900" max="5900" width="10.75" style="717" bestFit="1" customWidth="1"/>
    <col min="5901" max="6139" width="10" style="717"/>
    <col min="6140" max="6140" width="6.75" style="717" customWidth="1"/>
    <col min="6141" max="6151" width="10.5" style="717" customWidth="1"/>
    <col min="6152" max="6155" width="10" style="717"/>
    <col min="6156" max="6156" width="10.75" style="717" bestFit="1" customWidth="1"/>
    <col min="6157" max="6395" width="10" style="717"/>
    <col min="6396" max="6396" width="6.75" style="717" customWidth="1"/>
    <col min="6397" max="6407" width="10.5" style="717" customWidth="1"/>
    <col min="6408" max="6411" width="10" style="717"/>
    <col min="6412" max="6412" width="10.75" style="717" bestFit="1" customWidth="1"/>
    <col min="6413" max="6651" width="10" style="717"/>
    <col min="6652" max="6652" width="6.75" style="717" customWidth="1"/>
    <col min="6653" max="6663" width="10.5" style="717" customWidth="1"/>
    <col min="6664" max="6667" width="10" style="717"/>
    <col min="6668" max="6668" width="10.75" style="717" bestFit="1" customWidth="1"/>
    <col min="6669" max="6907" width="10" style="717"/>
    <col min="6908" max="6908" width="6.75" style="717" customWidth="1"/>
    <col min="6909" max="6919" width="10.5" style="717" customWidth="1"/>
    <col min="6920" max="6923" width="10" style="717"/>
    <col min="6924" max="6924" width="10.75" style="717" bestFit="1" customWidth="1"/>
    <col min="6925" max="7163" width="10" style="717"/>
    <col min="7164" max="7164" width="6.75" style="717" customWidth="1"/>
    <col min="7165" max="7175" width="10.5" style="717" customWidth="1"/>
    <col min="7176" max="7179" width="10" style="717"/>
    <col min="7180" max="7180" width="10.75" style="717" bestFit="1" customWidth="1"/>
    <col min="7181" max="7419" width="10" style="717"/>
    <col min="7420" max="7420" width="6.75" style="717" customWidth="1"/>
    <col min="7421" max="7431" width="10.5" style="717" customWidth="1"/>
    <col min="7432" max="7435" width="10" style="717"/>
    <col min="7436" max="7436" width="10.75" style="717" bestFit="1" customWidth="1"/>
    <col min="7437" max="7675" width="10" style="717"/>
    <col min="7676" max="7676" width="6.75" style="717" customWidth="1"/>
    <col min="7677" max="7687" width="10.5" style="717" customWidth="1"/>
    <col min="7688" max="7691" width="10" style="717"/>
    <col min="7692" max="7692" width="10.75" style="717" bestFit="1" customWidth="1"/>
    <col min="7693" max="7931" width="10" style="717"/>
    <col min="7932" max="7932" width="6.75" style="717" customWidth="1"/>
    <col min="7933" max="7943" width="10.5" style="717" customWidth="1"/>
    <col min="7944" max="7947" width="10" style="717"/>
    <col min="7948" max="7948" width="10.75" style="717" bestFit="1" customWidth="1"/>
    <col min="7949" max="8187" width="10" style="717"/>
    <col min="8188" max="8188" width="6.75" style="717" customWidth="1"/>
    <col min="8189" max="8199" width="10.5" style="717" customWidth="1"/>
    <col min="8200" max="8203" width="10" style="717"/>
    <col min="8204" max="8204" width="10.75" style="717" bestFit="1" customWidth="1"/>
    <col min="8205" max="8443" width="10" style="717"/>
    <col min="8444" max="8444" width="6.75" style="717" customWidth="1"/>
    <col min="8445" max="8455" width="10.5" style="717" customWidth="1"/>
    <col min="8456" max="8459" width="10" style="717"/>
    <col min="8460" max="8460" width="10.75" style="717" bestFit="1" customWidth="1"/>
    <col min="8461" max="8699" width="10" style="717"/>
    <col min="8700" max="8700" width="6.75" style="717" customWidth="1"/>
    <col min="8701" max="8711" width="10.5" style="717" customWidth="1"/>
    <col min="8712" max="8715" width="10" style="717"/>
    <col min="8716" max="8716" width="10.75" style="717" bestFit="1" customWidth="1"/>
    <col min="8717" max="8955" width="10" style="717"/>
    <col min="8956" max="8956" width="6.75" style="717" customWidth="1"/>
    <col min="8957" max="8967" width="10.5" style="717" customWidth="1"/>
    <col min="8968" max="8971" width="10" style="717"/>
    <col min="8972" max="8972" width="10.75" style="717" bestFit="1" customWidth="1"/>
    <col min="8973" max="9211" width="10" style="717"/>
    <col min="9212" max="9212" width="6.75" style="717" customWidth="1"/>
    <col min="9213" max="9223" width="10.5" style="717" customWidth="1"/>
    <col min="9224" max="9227" width="10" style="717"/>
    <col min="9228" max="9228" width="10.75" style="717" bestFit="1" customWidth="1"/>
    <col min="9229" max="9467" width="10" style="717"/>
    <col min="9468" max="9468" width="6.75" style="717" customWidth="1"/>
    <col min="9469" max="9479" width="10.5" style="717" customWidth="1"/>
    <col min="9480" max="9483" width="10" style="717"/>
    <col min="9484" max="9484" width="10.75" style="717" bestFit="1" customWidth="1"/>
    <col min="9485" max="9723" width="10" style="717"/>
    <col min="9724" max="9724" width="6.75" style="717" customWidth="1"/>
    <col min="9725" max="9735" width="10.5" style="717" customWidth="1"/>
    <col min="9736" max="9739" width="10" style="717"/>
    <col min="9740" max="9740" width="10.75" style="717" bestFit="1" customWidth="1"/>
    <col min="9741" max="9979" width="10" style="717"/>
    <col min="9980" max="9980" width="6.75" style="717" customWidth="1"/>
    <col min="9981" max="9991" width="10.5" style="717" customWidth="1"/>
    <col min="9992" max="9995" width="10" style="717"/>
    <col min="9996" max="9996" width="10.75" style="717" bestFit="1" customWidth="1"/>
    <col min="9997" max="10235" width="10" style="717"/>
    <col min="10236" max="10236" width="6.75" style="717" customWidth="1"/>
    <col min="10237" max="10247" width="10.5" style="717" customWidth="1"/>
    <col min="10248" max="10251" width="10" style="717"/>
    <col min="10252" max="10252" width="10.75" style="717" bestFit="1" customWidth="1"/>
    <col min="10253" max="10491" width="10" style="717"/>
    <col min="10492" max="10492" width="6.75" style="717" customWidth="1"/>
    <col min="10493" max="10503" width="10.5" style="717" customWidth="1"/>
    <col min="10504" max="10507" width="10" style="717"/>
    <col min="10508" max="10508" width="10.75" style="717" bestFit="1" customWidth="1"/>
    <col min="10509" max="10747" width="10" style="717"/>
    <col min="10748" max="10748" width="6.75" style="717" customWidth="1"/>
    <col min="10749" max="10759" width="10.5" style="717" customWidth="1"/>
    <col min="10760" max="10763" width="10" style="717"/>
    <col min="10764" max="10764" width="10.75" style="717" bestFit="1" customWidth="1"/>
    <col min="10765" max="11003" width="10" style="717"/>
    <col min="11004" max="11004" width="6.75" style="717" customWidth="1"/>
    <col min="11005" max="11015" width="10.5" style="717" customWidth="1"/>
    <col min="11016" max="11019" width="10" style="717"/>
    <col min="11020" max="11020" width="10.75" style="717" bestFit="1" customWidth="1"/>
    <col min="11021" max="11259" width="10" style="717"/>
    <col min="11260" max="11260" width="6.75" style="717" customWidth="1"/>
    <col min="11261" max="11271" width="10.5" style="717" customWidth="1"/>
    <col min="11272" max="11275" width="10" style="717"/>
    <col min="11276" max="11276" width="10.75" style="717" bestFit="1" customWidth="1"/>
    <col min="11277" max="11515" width="10" style="717"/>
    <col min="11516" max="11516" width="6.75" style="717" customWidth="1"/>
    <col min="11517" max="11527" width="10.5" style="717" customWidth="1"/>
    <col min="11528" max="11531" width="10" style="717"/>
    <col min="11532" max="11532" width="10.75" style="717" bestFit="1" customWidth="1"/>
    <col min="11533" max="11771" width="10" style="717"/>
    <col min="11772" max="11772" width="6.75" style="717" customWidth="1"/>
    <col min="11773" max="11783" width="10.5" style="717" customWidth="1"/>
    <col min="11784" max="11787" width="10" style="717"/>
    <col min="11788" max="11788" width="10.75" style="717" bestFit="1" customWidth="1"/>
    <col min="11789" max="12027" width="10" style="717"/>
    <col min="12028" max="12028" width="6.75" style="717" customWidth="1"/>
    <col min="12029" max="12039" width="10.5" style="717" customWidth="1"/>
    <col min="12040" max="12043" width="10" style="717"/>
    <col min="12044" max="12044" width="10.75" style="717" bestFit="1" customWidth="1"/>
    <col min="12045" max="12283" width="10" style="717"/>
    <col min="12284" max="12284" width="6.75" style="717" customWidth="1"/>
    <col min="12285" max="12295" width="10.5" style="717" customWidth="1"/>
    <col min="12296" max="12299" width="10" style="717"/>
    <col min="12300" max="12300" width="10.75" style="717" bestFit="1" customWidth="1"/>
    <col min="12301" max="12539" width="10" style="717"/>
    <col min="12540" max="12540" width="6.75" style="717" customWidth="1"/>
    <col min="12541" max="12551" width="10.5" style="717" customWidth="1"/>
    <col min="12552" max="12555" width="10" style="717"/>
    <col min="12556" max="12556" width="10.75" style="717" bestFit="1" customWidth="1"/>
    <col min="12557" max="12795" width="10" style="717"/>
    <col min="12796" max="12796" width="6.75" style="717" customWidth="1"/>
    <col min="12797" max="12807" width="10.5" style="717" customWidth="1"/>
    <col min="12808" max="12811" width="10" style="717"/>
    <col min="12812" max="12812" width="10.75" style="717" bestFit="1" customWidth="1"/>
    <col min="12813" max="13051" width="10" style="717"/>
    <col min="13052" max="13052" width="6.75" style="717" customWidth="1"/>
    <col min="13053" max="13063" width="10.5" style="717" customWidth="1"/>
    <col min="13064" max="13067" width="10" style="717"/>
    <col min="13068" max="13068" width="10.75" style="717" bestFit="1" customWidth="1"/>
    <col min="13069" max="13307" width="10" style="717"/>
    <col min="13308" max="13308" width="6.75" style="717" customWidth="1"/>
    <col min="13309" max="13319" width="10.5" style="717" customWidth="1"/>
    <col min="13320" max="13323" width="10" style="717"/>
    <col min="13324" max="13324" width="10.75" style="717" bestFit="1" customWidth="1"/>
    <col min="13325" max="13563" width="10" style="717"/>
    <col min="13564" max="13564" width="6.75" style="717" customWidth="1"/>
    <col min="13565" max="13575" width="10.5" style="717" customWidth="1"/>
    <col min="13576" max="13579" width="10" style="717"/>
    <col min="13580" max="13580" width="10.75" style="717" bestFit="1" customWidth="1"/>
    <col min="13581" max="13819" width="10" style="717"/>
    <col min="13820" max="13820" width="6.75" style="717" customWidth="1"/>
    <col min="13821" max="13831" width="10.5" style="717" customWidth="1"/>
    <col min="13832" max="13835" width="10" style="717"/>
    <col min="13836" max="13836" width="10.75" style="717" bestFit="1" customWidth="1"/>
    <col min="13837" max="14075" width="10" style="717"/>
    <col min="14076" max="14076" width="6.75" style="717" customWidth="1"/>
    <col min="14077" max="14087" width="10.5" style="717" customWidth="1"/>
    <col min="14088" max="14091" width="10" style="717"/>
    <col min="14092" max="14092" width="10.75" style="717" bestFit="1" customWidth="1"/>
    <col min="14093" max="14331" width="10" style="717"/>
    <col min="14332" max="14332" width="6.75" style="717" customWidth="1"/>
    <col min="14333" max="14343" width="10.5" style="717" customWidth="1"/>
    <col min="14344" max="14347" width="10" style="717"/>
    <col min="14348" max="14348" width="10.75" style="717" bestFit="1" customWidth="1"/>
    <col min="14349" max="14587" width="10" style="717"/>
    <col min="14588" max="14588" width="6.75" style="717" customWidth="1"/>
    <col min="14589" max="14599" width="10.5" style="717" customWidth="1"/>
    <col min="14600" max="14603" width="10" style="717"/>
    <col min="14604" max="14604" width="10.75" style="717" bestFit="1" customWidth="1"/>
    <col min="14605" max="14843" width="10" style="717"/>
    <col min="14844" max="14844" width="6.75" style="717" customWidth="1"/>
    <col min="14845" max="14855" width="10.5" style="717" customWidth="1"/>
    <col min="14856" max="14859" width="10" style="717"/>
    <col min="14860" max="14860" width="10.75" style="717" bestFit="1" customWidth="1"/>
    <col min="14861" max="15099" width="10" style="717"/>
    <col min="15100" max="15100" width="6.75" style="717" customWidth="1"/>
    <col min="15101" max="15111" width="10.5" style="717" customWidth="1"/>
    <col min="15112" max="15115" width="10" style="717"/>
    <col min="15116" max="15116" width="10.75" style="717" bestFit="1" customWidth="1"/>
    <col min="15117" max="15355" width="10" style="717"/>
    <col min="15356" max="15356" width="6.75" style="717" customWidth="1"/>
    <col min="15357" max="15367" width="10.5" style="717" customWidth="1"/>
    <col min="15368" max="15371" width="10" style="717"/>
    <col min="15372" max="15372" width="10.75" style="717" bestFit="1" customWidth="1"/>
    <col min="15373" max="15611" width="10" style="717"/>
    <col min="15612" max="15612" width="6.75" style="717" customWidth="1"/>
    <col min="15613" max="15623" width="10.5" style="717" customWidth="1"/>
    <col min="15624" max="15627" width="10" style="717"/>
    <col min="15628" max="15628" width="10.75" style="717" bestFit="1" customWidth="1"/>
    <col min="15629" max="15867" width="10" style="717"/>
    <col min="15868" max="15868" width="6.75" style="717" customWidth="1"/>
    <col min="15869" max="15879" width="10.5" style="717" customWidth="1"/>
    <col min="15880" max="15883" width="10" style="717"/>
    <col min="15884" max="15884" width="10.75" style="717" bestFit="1" customWidth="1"/>
    <col min="15885" max="16123" width="10" style="717"/>
    <col min="16124" max="16124" width="6.75" style="717" customWidth="1"/>
    <col min="16125" max="16135" width="10.5" style="717" customWidth="1"/>
    <col min="16136" max="16139" width="10" style="717"/>
    <col min="16140" max="16140" width="10.75" style="717" bestFit="1" customWidth="1"/>
    <col min="16141" max="16384" width="10" style="717"/>
  </cols>
  <sheetData>
    <row r="1" spans="1:34" ht="15" customHeight="1" x14ac:dyDescent="0.2">
      <c r="A1" s="80" t="s">
        <v>901</v>
      </c>
    </row>
    <row r="2" spans="1:34" s="716" customFormat="1" ht="15" customHeight="1" x14ac:dyDescent="0.2">
      <c r="A2" s="792" t="s">
        <v>2</v>
      </c>
      <c r="B2" s="792" t="str">
        <f>Orçamento_Deson!C6</f>
        <v>JARDIM NASHIVILLE - ETAPA "B" - FASE 2</v>
      </c>
      <c r="N2" s="717"/>
      <c r="O2" s="717"/>
      <c r="P2" s="717"/>
      <c r="Q2" s="717"/>
      <c r="R2" s="717"/>
      <c r="S2" s="717"/>
      <c r="T2" s="717"/>
      <c r="U2" s="717"/>
      <c r="V2" s="3"/>
      <c r="W2" s="3"/>
      <c r="X2" s="3"/>
      <c r="Y2" s="3"/>
      <c r="Z2" s="3"/>
      <c r="AA2" s="3"/>
      <c r="AB2" s="3"/>
      <c r="AC2" s="3"/>
      <c r="AD2" s="718"/>
    </row>
    <row r="3" spans="1:34" s="716" customFormat="1" ht="15" customHeight="1" x14ac:dyDescent="0.2">
      <c r="A3" s="792" t="s">
        <v>771</v>
      </c>
      <c r="B3" s="792" t="s">
        <v>834</v>
      </c>
      <c r="E3" s="719"/>
      <c r="F3" s="715"/>
      <c r="N3" s="717"/>
      <c r="O3" s="717"/>
      <c r="P3" s="717"/>
      <c r="Q3" s="717"/>
      <c r="R3" s="717"/>
      <c r="S3" s="717"/>
      <c r="T3" s="717"/>
      <c r="U3" s="717"/>
      <c r="V3" s="3"/>
      <c r="W3" s="3"/>
      <c r="X3" s="3"/>
      <c r="Y3" s="3"/>
      <c r="Z3" s="3"/>
      <c r="AA3" s="3"/>
      <c r="AB3" s="3"/>
      <c r="AC3" s="3"/>
      <c r="AD3" s="720"/>
    </row>
    <row r="4" spans="1:34" s="716" customFormat="1" ht="15" customHeight="1" x14ac:dyDescent="0.2">
      <c r="A4" s="792" t="s">
        <v>772</v>
      </c>
      <c r="B4" s="2184" t="str">
        <f>Dren_Dados!B4</f>
        <v>Agosto/2023</v>
      </c>
      <c r="E4" s="719"/>
      <c r="F4" s="715"/>
      <c r="N4" s="717"/>
      <c r="O4" s="717"/>
      <c r="P4" s="717"/>
      <c r="Q4" s="717"/>
      <c r="R4" s="717"/>
      <c r="S4" s="717"/>
      <c r="T4" s="717"/>
      <c r="U4" s="717"/>
      <c r="V4" s="3"/>
      <c r="W4" s="3"/>
      <c r="X4" s="3"/>
      <c r="Y4" s="3"/>
      <c r="Z4" s="3"/>
      <c r="AA4" s="3"/>
      <c r="AB4" s="3"/>
      <c r="AC4" s="3"/>
      <c r="AD4" s="721"/>
    </row>
    <row r="5" spans="1:34" s="716" customFormat="1" ht="15" customHeight="1" x14ac:dyDescent="0.2">
      <c r="O5" s="717"/>
      <c r="P5" s="717"/>
      <c r="Q5" s="717"/>
      <c r="R5" s="717"/>
      <c r="S5" s="717"/>
      <c r="T5" s="717"/>
      <c r="U5" s="717"/>
      <c r="V5" s="3"/>
      <c r="W5" s="3"/>
      <c r="X5" s="3"/>
      <c r="Y5" s="3"/>
      <c r="Z5" s="3"/>
      <c r="AA5" s="3"/>
      <c r="AB5" s="3"/>
      <c r="AC5" s="3"/>
      <c r="AD5" s="721"/>
    </row>
    <row r="6" spans="1:34" s="716" customFormat="1" ht="15" customHeight="1" x14ac:dyDescent="0.2">
      <c r="A6" s="747" t="s">
        <v>773</v>
      </c>
      <c r="B6" s="747" t="s">
        <v>774</v>
      </c>
      <c r="C6" s="747"/>
      <c r="D6" s="748"/>
      <c r="E6" s="748"/>
      <c r="F6" s="748"/>
      <c r="G6" s="748"/>
      <c r="H6" s="748"/>
      <c r="I6" s="748"/>
      <c r="J6" s="748"/>
      <c r="K6" s="748"/>
      <c r="L6" s="748"/>
      <c r="O6" s="717"/>
      <c r="P6" s="717"/>
      <c r="Q6" s="717"/>
      <c r="R6" s="717"/>
      <c r="S6"/>
      <c r="T6"/>
      <c r="U6" s="717"/>
      <c r="V6" s="3"/>
      <c r="W6" s="3"/>
      <c r="X6" s="3"/>
      <c r="Y6" s="3"/>
      <c r="Z6" s="3"/>
      <c r="AA6" s="3"/>
      <c r="AB6" s="3"/>
      <c r="AC6" s="3"/>
      <c r="AD6" s="723"/>
    </row>
    <row r="7" spans="1:34" s="716" customFormat="1" ht="15" customHeight="1" thickBot="1" x14ac:dyDescent="0.25">
      <c r="O7" s="717"/>
      <c r="P7" s="717"/>
      <c r="Q7" s="717"/>
      <c r="R7" s="717"/>
      <c r="S7" s="726"/>
      <c r="T7" s="726"/>
      <c r="U7" s="717"/>
      <c r="V7" s="3"/>
      <c r="W7" s="3"/>
      <c r="X7" s="3"/>
      <c r="Y7" s="3"/>
      <c r="Z7" s="3"/>
      <c r="AA7" s="3"/>
      <c r="AB7" s="3"/>
      <c r="AC7" s="3"/>
      <c r="AD7" s="727"/>
      <c r="AE7" s="3"/>
      <c r="AF7" s="3"/>
      <c r="AG7" s="3"/>
      <c r="AH7" s="3"/>
    </row>
    <row r="8" spans="1:34" s="716" customFormat="1" ht="15" customHeight="1" thickTop="1" x14ac:dyDescent="0.2">
      <c r="B8" s="3182" t="s">
        <v>817</v>
      </c>
      <c r="C8" s="3183"/>
      <c r="D8" s="3183"/>
      <c r="E8" s="3184"/>
      <c r="F8" s="767" t="s">
        <v>107</v>
      </c>
      <c r="G8" s="768">
        <f>Dren_Dim!AJ3</f>
        <v>1973.15</v>
      </c>
      <c r="H8" s="767" t="s">
        <v>106</v>
      </c>
      <c r="I8" s="769">
        <f>Dren_Dim!AL3</f>
        <v>22</v>
      </c>
      <c r="O8" s="717"/>
      <c r="P8" s="717"/>
      <c r="Q8" s="717"/>
      <c r="R8" s="717"/>
      <c r="S8" s="726"/>
      <c r="T8" s="726"/>
      <c r="U8" s="717"/>
      <c r="V8" s="3"/>
      <c r="W8" s="3"/>
      <c r="X8" s="3"/>
      <c r="Y8" s="3"/>
      <c r="Z8" s="3"/>
      <c r="AA8" s="3"/>
      <c r="AB8" s="3"/>
      <c r="AC8" s="3"/>
      <c r="AD8" s="727"/>
      <c r="AE8" s="3"/>
      <c r="AF8" s="3"/>
      <c r="AG8" s="3"/>
      <c r="AH8" s="3"/>
    </row>
    <row r="9" spans="1:34" s="716" customFormat="1" ht="15" customHeight="1" x14ac:dyDescent="0.2">
      <c r="B9" s="3185" t="s">
        <v>354</v>
      </c>
      <c r="C9" s="3186"/>
      <c r="D9" s="3186"/>
      <c r="E9" s="3187"/>
      <c r="F9" s="770" t="s">
        <v>105</v>
      </c>
      <c r="G9" s="771">
        <f>Dren_Dim!AJ4</f>
        <v>0.17799999999999999</v>
      </c>
      <c r="H9" s="770" t="s">
        <v>104</v>
      </c>
      <c r="I9" s="771">
        <f>Dren_Dim!AL4</f>
        <v>0.85799999999999998</v>
      </c>
      <c r="O9" s="717"/>
      <c r="P9" s="717"/>
      <c r="Q9" s="717"/>
      <c r="R9" s="717"/>
      <c r="S9" s="726"/>
      <c r="T9" s="726"/>
      <c r="U9" s="717"/>
      <c r="V9" s="3"/>
      <c r="W9" s="3"/>
      <c r="X9" s="3"/>
      <c r="Y9" s="3"/>
      <c r="Z9" s="3"/>
      <c r="AA9" s="3"/>
      <c r="AB9" s="3"/>
      <c r="AC9" s="3"/>
      <c r="AD9" s="727"/>
      <c r="AE9" s="3"/>
      <c r="AF9" s="3"/>
      <c r="AG9" s="3"/>
      <c r="AH9" s="3"/>
    </row>
    <row r="10" spans="1:34" s="716" customFormat="1" ht="15" customHeight="1" thickBot="1" x14ac:dyDescent="0.25">
      <c r="B10" s="3188"/>
      <c r="C10" s="3189"/>
      <c r="D10" s="3189"/>
      <c r="E10" s="3190"/>
      <c r="F10" s="770" t="s">
        <v>103</v>
      </c>
      <c r="G10" s="772">
        <f>Dren_Dim!AJ5</f>
        <v>3</v>
      </c>
      <c r="H10" s="773" t="s">
        <v>818</v>
      </c>
      <c r="I10" s="2215">
        <f>Dren_Dim!AL5</f>
        <v>0</v>
      </c>
      <c r="O10" s="717"/>
      <c r="P10" s="717"/>
      <c r="Q10" s="717"/>
      <c r="R10" s="717"/>
      <c r="S10" s="726"/>
      <c r="T10" s="726"/>
      <c r="U10" s="717"/>
      <c r="V10" s="3"/>
      <c r="W10" s="3"/>
      <c r="X10" s="3"/>
      <c r="Y10" s="3"/>
      <c r="Z10" s="3"/>
      <c r="AA10" s="3"/>
      <c r="AB10" s="3"/>
      <c r="AC10" s="3"/>
      <c r="AD10" s="727"/>
      <c r="AE10" s="3"/>
      <c r="AF10" s="3"/>
      <c r="AG10" s="3"/>
      <c r="AH10" s="3"/>
    </row>
    <row r="11" spans="1:34" s="716" customFormat="1" ht="15" customHeight="1" thickTop="1" x14ac:dyDescent="0.2">
      <c r="O11" s="717"/>
      <c r="P11" s="717"/>
      <c r="Q11" s="717"/>
      <c r="R11" s="717"/>
      <c r="S11" s="726"/>
      <c r="T11" s="726"/>
      <c r="U11" s="717"/>
      <c r="V11" s="3"/>
      <c r="W11" s="3"/>
      <c r="X11" s="3"/>
      <c r="Y11" s="3"/>
      <c r="Z11" s="3"/>
      <c r="AA11" s="3"/>
      <c r="AB11" s="3"/>
      <c r="AC11" s="3"/>
      <c r="AD11" s="727"/>
      <c r="AE11" s="3"/>
      <c r="AF11" s="3"/>
      <c r="AG11" s="3"/>
      <c r="AH11" s="3"/>
    </row>
    <row r="12" spans="1:34" s="716" customFormat="1" ht="15" customHeight="1" thickBot="1" x14ac:dyDescent="0.25">
      <c r="A12" s="716" t="s">
        <v>775</v>
      </c>
      <c r="B12" s="716" t="s">
        <v>823</v>
      </c>
      <c r="O12" s="717"/>
      <c r="P12" s="717"/>
      <c r="Q12" s="717"/>
      <c r="R12" s="717"/>
      <c r="S12" s="726"/>
      <c r="T12" s="726"/>
      <c r="U12" s="717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</row>
    <row r="13" spans="1:34" s="716" customFormat="1" ht="13.5" customHeight="1" thickTop="1" x14ac:dyDescent="0.2">
      <c r="A13" s="728"/>
      <c r="B13" s="3191" t="s">
        <v>819</v>
      </c>
      <c r="C13" s="3194" t="s">
        <v>821</v>
      </c>
      <c r="D13" s="3194" t="s">
        <v>809</v>
      </c>
      <c r="E13" s="3194" t="s">
        <v>822</v>
      </c>
      <c r="F13" s="3194" t="s">
        <v>2625</v>
      </c>
      <c r="G13" s="3194" t="s">
        <v>2628</v>
      </c>
      <c r="H13" s="3194" t="s">
        <v>2627</v>
      </c>
      <c r="I13" s="3194" t="s">
        <v>2626</v>
      </c>
      <c r="J13" s="3194" t="s">
        <v>2663</v>
      </c>
      <c r="K13" s="3200" t="s">
        <v>2664</v>
      </c>
      <c r="O13" s="717"/>
      <c r="P13" s="717"/>
      <c r="Q13" s="717"/>
      <c r="R13" s="717"/>
      <c r="S13" s="38"/>
      <c r="T13" s="38"/>
      <c r="U13" s="717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</row>
    <row r="14" spans="1:34" s="716" customFormat="1" ht="12.75" x14ac:dyDescent="0.2">
      <c r="B14" s="3192"/>
      <c r="C14" s="3195"/>
      <c r="D14" s="3195"/>
      <c r="E14" s="3195"/>
      <c r="F14" s="3195"/>
      <c r="G14" s="3195"/>
      <c r="H14" s="3195"/>
      <c r="I14" s="3195"/>
      <c r="J14" s="3195"/>
      <c r="K14" s="3201"/>
      <c r="O14" s="717"/>
      <c r="P14" s="717"/>
      <c r="Q14" s="717"/>
      <c r="R14" s="717"/>
      <c r="S14" s="37"/>
      <c r="T14" s="729"/>
      <c r="U14" s="717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</row>
    <row r="15" spans="1:34" s="716" customFormat="1" ht="13.5" thickBot="1" x14ac:dyDescent="0.25">
      <c r="A15" s="728"/>
      <c r="B15" s="3193"/>
      <c r="C15" s="3196"/>
      <c r="D15" s="3196"/>
      <c r="E15" s="3196"/>
      <c r="F15" s="3196"/>
      <c r="G15" s="3196"/>
      <c r="H15" s="3196"/>
      <c r="I15" s="3196"/>
      <c r="J15" s="3196"/>
      <c r="K15" s="3202"/>
      <c r="M15" s="723"/>
      <c r="O15" s="717"/>
      <c r="P15" s="717"/>
      <c r="Q15" s="717"/>
      <c r="R15" s="717"/>
      <c r="S15" s="37"/>
      <c r="T15" s="730"/>
      <c r="U15" s="717"/>
    </row>
    <row r="16" spans="1:34" s="716" customFormat="1" ht="15" customHeight="1" thickTop="1" x14ac:dyDescent="0.2">
      <c r="B16" s="761">
        <v>15</v>
      </c>
      <c r="C16" s="757" t="e">
        <f>IF(B16=0,0,VLOOKUP(B16,Dren_Dim!A:W,17,"falso"))</f>
        <v>#N/A</v>
      </c>
      <c r="D16" s="757" t="e">
        <f>IF(B16=0,0,VLOOKUP(B16,Dren_Dim!A:W,23,"falso")/1000)</f>
        <v>#N/A</v>
      </c>
      <c r="E16" s="755" t="e">
        <f>IF(B16=0,0,VLOOKUP(B16,Dren_Dim!A:AL,38,"falso"))</f>
        <v>#N/A</v>
      </c>
      <c r="F16" s="755" t="e">
        <f t="shared" ref="F16:F22" si="0">IF(B16=0,0,+$E$23-E16)</f>
        <v>#N/A</v>
      </c>
      <c r="G16" s="755" t="e">
        <f>IF(B16=0,0,VLOOKUP(B16,Dren_Dim!A:AL,6,"falso"))</f>
        <v>#N/A</v>
      </c>
      <c r="H16" s="755" t="e">
        <f>IF(B16=0,"",VLOOKUP(B16,Dren_Dim!A:AL,7,"falso"))</f>
        <v>#N/A</v>
      </c>
      <c r="I16" s="755" t="e">
        <f>IF(B16=0,0,VLOOKUP(B16,Dren_Dim!A:AL,8,"falso"))</f>
        <v>#N/A</v>
      </c>
      <c r="J16" s="757" t="e">
        <f>IF(B16=0,0,VLOOKUP(B16,Dren_Dim!A:AL,35,0))</f>
        <v>#N/A</v>
      </c>
      <c r="K16" s="755" t="e">
        <f>IF(B16=0,0,J16+H16)</f>
        <v>#N/A</v>
      </c>
      <c r="M16" s="727"/>
      <c r="O16" s="717"/>
      <c r="P16" s="717"/>
      <c r="Q16" s="717"/>
      <c r="R16" s="717"/>
      <c r="S16" s="732"/>
      <c r="T16" s="733"/>
      <c r="U16" s="717"/>
    </row>
    <row r="17" spans="1:34" s="716" customFormat="1" ht="15" customHeight="1" x14ac:dyDescent="0.2">
      <c r="A17" s="722"/>
      <c r="B17" s="756"/>
      <c r="C17" s="757">
        <f>IF(B17=0,0,VLOOKUP(B17,Dren_Dim!A:W,17,"falso"))</f>
        <v>0</v>
      </c>
      <c r="D17" s="757">
        <f>IF(B17=0,0,VLOOKUP(B17,Dren_Dim!A:W,23,"falso")/1000)</f>
        <v>0</v>
      </c>
      <c r="E17" s="755">
        <f>IF(B17=0,0,VLOOKUP(B17,Dren_Dim!A:AL,38,"falso"))</f>
        <v>0</v>
      </c>
      <c r="F17" s="755">
        <f t="shared" si="0"/>
        <v>0</v>
      </c>
      <c r="G17" s="755">
        <f>IF(B17=0,0,VLOOKUP(B17,Dren_Dim!A:AL,6,"falso"))</f>
        <v>0</v>
      </c>
      <c r="H17" s="755" t="str">
        <f>IF(B17=0,"",VLOOKUP(B17,Dren_Dim!A:AL,7,"falso"))</f>
        <v/>
      </c>
      <c r="I17" s="755">
        <f>IF(B17=0,0,VLOOKUP(B17,Dren_Dim!A:AL,8,"falso"))</f>
        <v>0</v>
      </c>
      <c r="J17" s="757">
        <f>IF(B17=0,0,VLOOKUP(B17,Dren_Dim!A:AL,35,0))</f>
        <v>0</v>
      </c>
      <c r="K17" s="755">
        <f t="shared" ref="K17:K22" si="1">IF(B17=0,0,J17+H17)</f>
        <v>0</v>
      </c>
      <c r="O17" s="717"/>
      <c r="P17" s="717"/>
      <c r="Q17" s="717"/>
      <c r="R17" s="717"/>
      <c r="S17" s="717"/>
      <c r="T17" s="717"/>
      <c r="U17" s="717"/>
    </row>
    <row r="18" spans="1:34" s="716" customFormat="1" ht="15" customHeight="1" x14ac:dyDescent="0.2">
      <c r="A18" s="722"/>
      <c r="B18" s="756"/>
      <c r="C18" s="757">
        <f>IF(B18=0,0,VLOOKUP(B18,Dren_Dim!A:W,17,"falso"))</f>
        <v>0</v>
      </c>
      <c r="D18" s="757">
        <f>IF(B18=0,0,VLOOKUP(B18,Dren_Dim!A:W,23,"falso")/1000)</f>
        <v>0</v>
      </c>
      <c r="E18" s="755">
        <f>IF(B18=0,0,VLOOKUP(B18,Dren_Dim!A:AL,38,"falso"))</f>
        <v>0</v>
      </c>
      <c r="F18" s="755">
        <f t="shared" si="0"/>
        <v>0</v>
      </c>
      <c r="G18" s="755">
        <f>IF(B18=0,0,VLOOKUP(B18,Dren_Dim!A:AL,6,"falso"))</f>
        <v>0</v>
      </c>
      <c r="H18" s="755" t="str">
        <f>IF(B18=0,"",VLOOKUP(B18,Dren_Dim!A:AL,7,"falso"))</f>
        <v/>
      </c>
      <c r="I18" s="755">
        <f>IF(B18=0,0,VLOOKUP(B18,Dren_Dim!A:AL,8,"falso"))</f>
        <v>0</v>
      </c>
      <c r="J18" s="757">
        <f>IF(B18=0,0,VLOOKUP(B18,Dren_Dim!A:AL,35,0))</f>
        <v>0</v>
      </c>
      <c r="K18" s="755">
        <f t="shared" si="1"/>
        <v>0</v>
      </c>
      <c r="O18" s="717"/>
      <c r="P18" s="717"/>
      <c r="Q18" s="717"/>
      <c r="R18" s="717"/>
      <c r="S18" s="717"/>
      <c r="T18" s="717"/>
      <c r="U18" s="717"/>
    </row>
    <row r="19" spans="1:34" s="716" customFormat="1" ht="15" customHeight="1" x14ac:dyDescent="0.2">
      <c r="A19" s="722"/>
      <c r="B19" s="756"/>
      <c r="C19" s="757">
        <f>IF(B19=0,0,VLOOKUP(B19,Dren_Dim!A:W,17,"falso"))</f>
        <v>0</v>
      </c>
      <c r="D19" s="757">
        <f>IF(B19=0,0,VLOOKUP(B19,Dren_Dim!A:W,23,"falso")/1000)</f>
        <v>0</v>
      </c>
      <c r="E19" s="755">
        <f>IF(B19=0,0,VLOOKUP(B19,Dren_Dim!A:AL,38,"falso"))</f>
        <v>0</v>
      </c>
      <c r="F19" s="755">
        <f t="shared" si="0"/>
        <v>0</v>
      </c>
      <c r="G19" s="755">
        <f>IF(B19=0,0,VLOOKUP(B19,Dren_Dim!A:AL,6,"falso"))</f>
        <v>0</v>
      </c>
      <c r="H19" s="755" t="str">
        <f>IF(B19=0,"",VLOOKUP(B19,Dren_Dim!A:AL,7,"falso"))</f>
        <v/>
      </c>
      <c r="I19" s="755">
        <f>IF(B19=0,0,VLOOKUP(B19,Dren_Dim!A:AL,8,"falso"))</f>
        <v>0</v>
      </c>
      <c r="J19" s="757">
        <f>IF(B19=0,0,VLOOKUP(B19,Dren_Dim!A:AL,35,0))</f>
        <v>0</v>
      </c>
      <c r="K19" s="755">
        <f t="shared" si="1"/>
        <v>0</v>
      </c>
      <c r="O19" s="717"/>
      <c r="P19" s="717"/>
      <c r="Q19" s="717"/>
      <c r="R19" s="717"/>
      <c r="S19" s="717"/>
      <c r="T19" s="717"/>
      <c r="U19" s="717"/>
    </row>
    <row r="20" spans="1:34" s="716" customFormat="1" ht="15" customHeight="1" x14ac:dyDescent="0.2">
      <c r="A20" s="722"/>
      <c r="B20" s="756"/>
      <c r="C20" s="757">
        <f>IF(B20=0,0,VLOOKUP(B20,Dren_Dim!A:W,17,"falso"))</f>
        <v>0</v>
      </c>
      <c r="D20" s="757">
        <f>IF(B20=0,0,VLOOKUP(B20,Dren_Dim!A:W,23,"falso")/1000)</f>
        <v>0</v>
      </c>
      <c r="E20" s="755">
        <f>IF(B20=0,0,VLOOKUP(B20,Dren_Dim!A:AL,38,"falso"))</f>
        <v>0</v>
      </c>
      <c r="F20" s="755">
        <f t="shared" si="0"/>
        <v>0</v>
      </c>
      <c r="G20" s="755">
        <f>IF(B20=0,0,VLOOKUP(B20,Dren_Dim!A:AL,6,"falso"))</f>
        <v>0</v>
      </c>
      <c r="H20" s="755" t="str">
        <f>IF(B20=0,"",VLOOKUP(B20,Dren_Dim!A:AL,7,"falso"))</f>
        <v/>
      </c>
      <c r="I20" s="755">
        <f>IF(B20=0,0,VLOOKUP(B20,Dren_Dim!A:AL,8,"falso"))</f>
        <v>0</v>
      </c>
      <c r="J20" s="757">
        <f>IF(B20=0,0,VLOOKUP(B20,Dren_Dim!A:AL,35,0))</f>
        <v>0</v>
      </c>
      <c r="K20" s="755">
        <f t="shared" si="1"/>
        <v>0</v>
      </c>
      <c r="L20" s="2209"/>
      <c r="O20" s="717"/>
      <c r="P20" s="717"/>
      <c r="Q20" s="717"/>
      <c r="R20" s="717"/>
      <c r="S20" s="717"/>
      <c r="T20" s="717"/>
      <c r="U20" s="717"/>
    </row>
    <row r="21" spans="1:34" s="716" customFormat="1" ht="15" customHeight="1" x14ac:dyDescent="0.2">
      <c r="A21" s="722"/>
      <c r="B21" s="756"/>
      <c r="C21" s="757">
        <f>IF(B21=0,0,VLOOKUP(B21,Dren_Dim!A:W,17,"falso"))</f>
        <v>0</v>
      </c>
      <c r="D21" s="757">
        <f>IF(B21=0,0,VLOOKUP(B21,Dren_Dim!A:W,23,"falso")/1000)</f>
        <v>0</v>
      </c>
      <c r="E21" s="755">
        <f>IF(B21=0,0,VLOOKUP(B21,Dren_Dim!A:AL,38,"falso"))</f>
        <v>0</v>
      </c>
      <c r="F21" s="755">
        <f t="shared" si="0"/>
        <v>0</v>
      </c>
      <c r="G21" s="755">
        <f>IF(B21=0,0,VLOOKUP(B21,Dren_Dim!A:AL,6,"falso"))</f>
        <v>0</v>
      </c>
      <c r="H21" s="755" t="str">
        <f>IF(B21=0,"",VLOOKUP(B21,Dren_Dim!A:AL,7,"falso"))</f>
        <v/>
      </c>
      <c r="I21" s="755">
        <f>IF(B21=0,0,VLOOKUP(B21,Dren_Dim!A:AL,8,"falso"))</f>
        <v>0</v>
      </c>
      <c r="J21" s="757">
        <f>IF(B21=0,0,VLOOKUP(B21,Dren_Dim!A:AL,35,0))</f>
        <v>0</v>
      </c>
      <c r="K21" s="755">
        <f t="shared" si="1"/>
        <v>0</v>
      </c>
      <c r="O21" s="717"/>
      <c r="P21" s="717"/>
      <c r="Q21" s="717"/>
      <c r="R21" s="717"/>
      <c r="S21" s="717"/>
      <c r="T21" s="717"/>
      <c r="U21" s="717"/>
    </row>
    <row r="22" spans="1:34" s="716" customFormat="1" ht="15" customHeight="1" x14ac:dyDescent="0.2">
      <c r="A22" s="722"/>
      <c r="B22" s="756"/>
      <c r="C22" s="757">
        <f>IF(B22=0,0,VLOOKUP(B22,Dren_Dim!A:W,17,"falso"))</f>
        <v>0</v>
      </c>
      <c r="D22" s="757">
        <f>IF(B22=0,0,VLOOKUP(B22,Dren_Dim!A:W,23,"falso")/1000)</f>
        <v>0</v>
      </c>
      <c r="E22" s="755">
        <f>IF(B22=0,0,VLOOKUP(B22,Dren_Dim!A:AL,38,"falso"))</f>
        <v>0</v>
      </c>
      <c r="F22" s="755">
        <f t="shared" si="0"/>
        <v>0</v>
      </c>
      <c r="G22" s="755">
        <f>IF(B22=0,0,VLOOKUP(B22,Dren_Dim!A:AL,6,"falso"))</f>
        <v>0</v>
      </c>
      <c r="H22" s="755" t="str">
        <f>IF(B22=0,"",VLOOKUP(B22,Dren_Dim!A:AL,7,"falso"))</f>
        <v/>
      </c>
      <c r="I22" s="755">
        <f>IF(B22=0,0,VLOOKUP(B22,Dren_Dim!A:AL,8,"falso"))</f>
        <v>0</v>
      </c>
      <c r="J22" s="757">
        <f>IF(B22=0,0,VLOOKUP(B22,Dren_Dim!A:AL,35,0))</f>
        <v>0</v>
      </c>
      <c r="K22" s="755">
        <f t="shared" si="1"/>
        <v>0</v>
      </c>
      <c r="O22" s="717"/>
      <c r="P22" s="717"/>
      <c r="Q22" s="717"/>
      <c r="R22" s="717"/>
      <c r="S22" s="717"/>
      <c r="T22" s="717"/>
      <c r="U22" s="717"/>
    </row>
    <row r="23" spans="1:34" s="716" customFormat="1" ht="15" customHeight="1" x14ac:dyDescent="0.2">
      <c r="A23" s="722"/>
      <c r="B23" s="756" t="s">
        <v>820</v>
      </c>
      <c r="C23" s="757" t="e">
        <f>SUM(C16:C22)</f>
        <v>#N/A</v>
      </c>
      <c r="D23" s="757" t="e">
        <f>SUM(D16:D22)</f>
        <v>#N/A</v>
      </c>
      <c r="E23" s="755" t="e">
        <f>MAX(E16:E22)</f>
        <v>#N/A</v>
      </c>
      <c r="F23" s="755"/>
      <c r="G23" s="755"/>
      <c r="H23" s="755" t="e">
        <f>MIN(H16:H22)</f>
        <v>#N/A</v>
      </c>
      <c r="I23" s="3203" t="s">
        <v>2665</v>
      </c>
      <c r="J23" s="3203"/>
      <c r="K23" s="3203"/>
      <c r="L23" s="3203"/>
      <c r="O23" s="717"/>
      <c r="P23" s="717"/>
      <c r="Q23" s="717"/>
      <c r="R23" s="717"/>
      <c r="S23" s="717"/>
      <c r="T23" s="717"/>
      <c r="U23" s="717"/>
    </row>
    <row r="24" spans="1:34" s="716" customFormat="1" ht="15" customHeight="1" x14ac:dyDescent="0.2">
      <c r="A24" s="722"/>
      <c r="B24" s="2275"/>
      <c r="C24" s="2275"/>
      <c r="D24" s="2275"/>
      <c r="E24" s="2275"/>
      <c r="F24" s="2275"/>
      <c r="G24" s="2276"/>
      <c r="H24" s="756" t="s">
        <v>2666</v>
      </c>
      <c r="I24" s="755" t="s">
        <v>2667</v>
      </c>
      <c r="J24" s="755" t="s">
        <v>2668</v>
      </c>
      <c r="K24" s="755" t="s">
        <v>79</v>
      </c>
      <c r="L24" s="756" t="s">
        <v>793</v>
      </c>
      <c r="O24" s="717"/>
      <c r="P24" s="717"/>
      <c r="Q24" s="717"/>
      <c r="R24" s="717"/>
      <c r="S24" s="717"/>
      <c r="T24" s="717"/>
      <c r="U24" s="717"/>
    </row>
    <row r="25" spans="1:34" s="716" customFormat="1" ht="15" customHeight="1" x14ac:dyDescent="0.2">
      <c r="A25" s="722"/>
      <c r="E25" s="2275"/>
      <c r="F25" s="2275"/>
      <c r="G25" s="2276"/>
      <c r="H25" s="755"/>
      <c r="I25" s="755"/>
      <c r="J25" s="755"/>
      <c r="K25" s="755"/>
      <c r="L25" s="2313"/>
      <c r="N25" s="717"/>
      <c r="O25" s="734"/>
      <c r="P25" s="717"/>
      <c r="Q25" s="717"/>
      <c r="R25" s="717"/>
      <c r="S25" s="717"/>
      <c r="T25" s="717"/>
      <c r="U25" s="717"/>
    </row>
    <row r="26" spans="1:34" s="716" customFormat="1" ht="15" customHeight="1" x14ac:dyDescent="0.2">
      <c r="A26" s="722"/>
      <c r="B26" s="756" t="s">
        <v>2624</v>
      </c>
      <c r="C26" s="757" t="e">
        <f>C23</f>
        <v>#N/A</v>
      </c>
      <c r="D26" s="757" t="e">
        <f>$D23*+(100-L26)/100</f>
        <v>#N/A</v>
      </c>
      <c r="E26" s="757" t="e">
        <f>E23*(1+LOG(1/(+(100-L26)/100)))</f>
        <v>#N/A</v>
      </c>
      <c r="F26" s="757"/>
      <c r="G26" s="2276" t="s">
        <v>2669</v>
      </c>
      <c r="H26" s="2284">
        <v>571.16999999999996</v>
      </c>
      <c r="I26" s="757" t="e">
        <f>_xlfn.XLOOKUP(L26,C38:L38,C37:L37)</f>
        <v>#N/A</v>
      </c>
      <c r="J26" s="757" t="e">
        <f>_xlfn.XLOOKUP(L26,C38:L38,C42:L42)</f>
        <v>#N/A</v>
      </c>
      <c r="K26" s="757" t="e">
        <f>H26+J26</f>
        <v>#N/A</v>
      </c>
      <c r="L26" s="2313">
        <v>99.94</v>
      </c>
      <c r="N26" s="717"/>
      <c r="O26" s="734"/>
      <c r="P26" s="717"/>
      <c r="Q26" s="717"/>
      <c r="R26" s="717"/>
      <c r="S26" s="717"/>
      <c r="T26" s="717"/>
      <c r="U26" s="717"/>
    </row>
    <row r="27" spans="1:34" s="716" customFormat="1" ht="15" customHeight="1" x14ac:dyDescent="0.2">
      <c r="A27" s="722"/>
      <c r="B27" s="722"/>
      <c r="C27" s="722"/>
      <c r="D27" s="722"/>
      <c r="E27" s="722"/>
      <c r="F27" s="722"/>
      <c r="G27" s="2277"/>
      <c r="I27" s="2279"/>
      <c r="N27" s="717"/>
      <c r="O27" s="734"/>
      <c r="P27" s="717"/>
      <c r="Q27" s="717"/>
      <c r="R27" s="717"/>
      <c r="S27" s="717"/>
      <c r="T27" s="717"/>
      <c r="U27" s="717"/>
    </row>
    <row r="28" spans="1:34" s="716" customFormat="1" ht="15" customHeight="1" x14ac:dyDescent="0.2">
      <c r="A28" s="722"/>
      <c r="B28" s="722"/>
      <c r="C28" s="722"/>
      <c r="D28" s="722"/>
      <c r="E28" s="722"/>
      <c r="F28" s="722"/>
      <c r="G28" s="722"/>
      <c r="H28" s="3204"/>
      <c r="I28" s="3204"/>
      <c r="J28" s="2314"/>
      <c r="N28" s="717"/>
      <c r="O28" s="734"/>
      <c r="P28" s="717"/>
      <c r="Q28" s="717"/>
      <c r="R28" s="717"/>
      <c r="S28" s="717"/>
      <c r="T28" s="717"/>
      <c r="U28" s="717"/>
    </row>
    <row r="29" spans="1:34" s="716" customFormat="1" ht="15" customHeight="1" x14ac:dyDescent="0.2">
      <c r="A29" s="747" t="s">
        <v>776</v>
      </c>
      <c r="B29" s="747" t="s">
        <v>777</v>
      </c>
      <c r="C29" s="747"/>
      <c r="D29" s="748"/>
      <c r="E29" s="748"/>
      <c r="F29" s="748"/>
      <c r="G29" s="748"/>
      <c r="H29" s="748"/>
      <c r="I29" s="748"/>
      <c r="J29" s="748"/>
      <c r="K29" s="748"/>
      <c r="L29" s="748"/>
      <c r="O29" s="722"/>
      <c r="P29" s="722"/>
      <c r="Q29" s="722"/>
      <c r="R29"/>
      <c r="S29"/>
      <c r="T29"/>
      <c r="U29" s="717"/>
      <c r="V29" s="3"/>
      <c r="W29" s="3"/>
      <c r="X29" s="3"/>
      <c r="Y29" s="3"/>
      <c r="Z29" s="3"/>
      <c r="AA29" s="3"/>
      <c r="AB29" s="3"/>
      <c r="AC29" s="3"/>
      <c r="AD29" s="723"/>
    </row>
    <row r="30" spans="1:34" s="716" customFormat="1" ht="15" customHeight="1" x14ac:dyDescent="0.2">
      <c r="O30" s="722"/>
      <c r="P30" s="725"/>
      <c r="Q30" s="725"/>
      <c r="R30" s="726"/>
      <c r="S30" s="726"/>
      <c r="T30" s="726"/>
      <c r="U30" s="717"/>
      <c r="V30" s="3"/>
      <c r="W30" s="3"/>
      <c r="X30" s="3"/>
      <c r="Y30" s="3"/>
      <c r="Z30" s="3"/>
      <c r="AA30" s="3"/>
      <c r="AB30" s="3"/>
      <c r="AC30" s="3"/>
      <c r="AD30" s="727"/>
      <c r="AE30" s="3"/>
      <c r="AF30" s="3"/>
      <c r="AG30" s="3"/>
      <c r="AH30" s="3"/>
    </row>
    <row r="31" spans="1:34" s="716" customFormat="1" ht="15" customHeight="1" x14ac:dyDescent="0.2">
      <c r="A31" s="716" t="s">
        <v>778</v>
      </c>
      <c r="B31" s="716" t="s">
        <v>779</v>
      </c>
      <c r="D31" s="735" t="s">
        <v>780</v>
      </c>
      <c r="F31" s="724" t="s">
        <v>851</v>
      </c>
      <c r="J31" s="724"/>
      <c r="K31" s="736"/>
      <c r="N31" s="717"/>
      <c r="O31" s="717"/>
      <c r="P31" s="717"/>
      <c r="Q31" s="717"/>
      <c r="R31" s="717"/>
      <c r="S31" s="717"/>
      <c r="T31" s="717"/>
      <c r="U31" s="717"/>
    </row>
    <row r="32" spans="1:34" s="716" customFormat="1" ht="15" customHeight="1" x14ac:dyDescent="0.2">
      <c r="D32" s="735"/>
      <c r="F32" s="724"/>
      <c r="J32" s="3205"/>
      <c r="K32" s="3205"/>
      <c r="L32" s="3205"/>
      <c r="N32" s="717"/>
      <c r="O32" s="717"/>
      <c r="P32" s="717"/>
      <c r="Q32" s="717"/>
      <c r="R32" s="717"/>
      <c r="S32" s="717"/>
      <c r="T32" s="717"/>
      <c r="U32" s="717"/>
    </row>
    <row r="33" spans="1:21" s="716" customFormat="1" ht="15" customHeight="1" x14ac:dyDescent="0.2">
      <c r="A33" s="716" t="s">
        <v>781</v>
      </c>
      <c r="B33" s="716" t="s">
        <v>850</v>
      </c>
      <c r="E33" s="724" t="s">
        <v>825</v>
      </c>
      <c r="F33" s="752">
        <v>35</v>
      </c>
      <c r="G33" s="724" t="s">
        <v>824</v>
      </c>
      <c r="H33" s="752">
        <v>35</v>
      </c>
      <c r="I33" s="724" t="s">
        <v>826</v>
      </c>
      <c r="J33" s="753">
        <f>H33*F33</f>
        <v>1225</v>
      </c>
      <c r="K33" s="736"/>
      <c r="L33" s="2315"/>
      <c r="N33" s="717"/>
      <c r="O33" s="717"/>
      <c r="P33" s="717"/>
      <c r="Q33" s="717"/>
      <c r="R33" s="717"/>
      <c r="S33" s="717"/>
      <c r="T33" s="717"/>
      <c r="U33" s="717"/>
    </row>
    <row r="34" spans="1:21" s="716" customFormat="1" ht="15" customHeight="1" x14ac:dyDescent="0.2">
      <c r="E34" s="735"/>
      <c r="J34" s="724"/>
      <c r="K34" s="736"/>
      <c r="N34" s="717"/>
      <c r="O34" s="717"/>
      <c r="P34" s="717"/>
      <c r="Q34" s="717"/>
      <c r="R34" s="717"/>
      <c r="S34" s="717"/>
      <c r="T34" s="717"/>
      <c r="U34" s="717"/>
    </row>
    <row r="35" spans="1:21" ht="15" customHeight="1" thickBot="1" x14ac:dyDescent="0.25">
      <c r="A35" s="716" t="s">
        <v>781</v>
      </c>
      <c r="B35" s="716" t="s">
        <v>2670</v>
      </c>
      <c r="C35" s="737"/>
    </row>
    <row r="36" spans="1:21" s="716" customFormat="1" ht="15" customHeight="1" thickTop="1" thickBot="1" x14ac:dyDescent="0.25">
      <c r="B36" s="764" t="s">
        <v>833</v>
      </c>
      <c r="C36" s="765" t="s">
        <v>783</v>
      </c>
      <c r="D36" s="765" t="s">
        <v>784</v>
      </c>
      <c r="E36" s="765" t="s">
        <v>785</v>
      </c>
      <c r="F36" s="765" t="s">
        <v>786</v>
      </c>
      <c r="G36" s="765" t="s">
        <v>787</v>
      </c>
      <c r="H36" s="765" t="s">
        <v>368</v>
      </c>
      <c r="I36" s="765" t="s">
        <v>788</v>
      </c>
      <c r="J36" s="765" t="s">
        <v>789</v>
      </c>
      <c r="K36" s="765" t="s">
        <v>790</v>
      </c>
      <c r="L36" s="766" t="s">
        <v>791</v>
      </c>
      <c r="N36" s="717"/>
      <c r="O36" s="717"/>
      <c r="P36" s="717"/>
      <c r="Q36" s="717"/>
      <c r="R36" s="717"/>
      <c r="S36" s="717"/>
      <c r="T36" s="717"/>
      <c r="U36" s="717"/>
    </row>
    <row r="37" spans="1:21" ht="15" customHeight="1" thickTop="1" x14ac:dyDescent="0.2">
      <c r="B37" s="2327" t="s">
        <v>792</v>
      </c>
      <c r="C37" s="763" t="e">
        <f>D23</f>
        <v>#N/A</v>
      </c>
      <c r="D37" s="763" t="e">
        <f t="shared" ref="D37:L37" si="2">$C37*D39</f>
        <v>#N/A</v>
      </c>
      <c r="E37" s="763" t="e">
        <f t="shared" si="2"/>
        <v>#N/A</v>
      </c>
      <c r="F37" s="763" t="e">
        <f t="shared" si="2"/>
        <v>#N/A</v>
      </c>
      <c r="G37" s="763" t="e">
        <f t="shared" si="2"/>
        <v>#N/A</v>
      </c>
      <c r="H37" s="763" t="e">
        <f t="shared" si="2"/>
        <v>#N/A</v>
      </c>
      <c r="I37" s="763" t="e">
        <f t="shared" si="2"/>
        <v>#N/A</v>
      </c>
      <c r="J37" s="763" t="e">
        <f t="shared" si="2"/>
        <v>#N/A</v>
      </c>
      <c r="K37" s="763" t="e">
        <f t="shared" si="2"/>
        <v>#N/A</v>
      </c>
      <c r="L37" s="2330" t="e">
        <f t="shared" si="2"/>
        <v>#N/A</v>
      </c>
    </row>
    <row r="38" spans="1:21" ht="15" customHeight="1" x14ac:dyDescent="0.2">
      <c r="B38" s="2328" t="s">
        <v>793</v>
      </c>
      <c r="C38" s="759">
        <v>0</v>
      </c>
      <c r="D38" s="759">
        <v>10</v>
      </c>
      <c r="E38" s="759">
        <v>16.947001241079278</v>
      </c>
      <c r="F38" s="759">
        <v>30</v>
      </c>
      <c r="G38" s="759">
        <v>40</v>
      </c>
      <c r="H38" s="759">
        <v>50</v>
      </c>
      <c r="I38" s="759">
        <v>60</v>
      </c>
      <c r="J38" s="759">
        <v>70</v>
      </c>
      <c r="K38" s="759">
        <v>80</v>
      </c>
      <c r="L38" s="2331">
        <v>78.074485983622807</v>
      </c>
    </row>
    <row r="39" spans="1:21" ht="15" customHeight="1" x14ac:dyDescent="0.2">
      <c r="B39" s="2328" t="s">
        <v>794</v>
      </c>
      <c r="C39" s="759">
        <f t="shared" ref="C39:L39" si="3">(100-C38)/100</f>
        <v>1</v>
      </c>
      <c r="D39" s="759">
        <f t="shared" si="3"/>
        <v>0.9</v>
      </c>
      <c r="E39" s="759">
        <f t="shared" si="3"/>
        <v>0.83052998758920726</v>
      </c>
      <c r="F39" s="759">
        <f t="shared" si="3"/>
        <v>0.7</v>
      </c>
      <c r="G39" s="759">
        <f t="shared" si="3"/>
        <v>0.6</v>
      </c>
      <c r="H39" s="759">
        <f t="shared" si="3"/>
        <v>0.5</v>
      </c>
      <c r="I39" s="759">
        <f t="shared" si="3"/>
        <v>0.4</v>
      </c>
      <c r="J39" s="759">
        <f t="shared" si="3"/>
        <v>0.3</v>
      </c>
      <c r="K39" s="759">
        <f t="shared" si="3"/>
        <v>0.2</v>
      </c>
      <c r="L39" s="2331">
        <f t="shared" si="3"/>
        <v>0.21925514016377193</v>
      </c>
    </row>
    <row r="40" spans="1:21" ht="15" customHeight="1" x14ac:dyDescent="0.2">
      <c r="B40" s="2328" t="s">
        <v>795</v>
      </c>
      <c r="C40" s="759">
        <f t="shared" ref="C40:L40" si="4">LOG(1/C39)</f>
        <v>0</v>
      </c>
      <c r="D40" s="759">
        <f t="shared" si="4"/>
        <v>4.5757490560675143E-2</v>
      </c>
      <c r="E40" s="759">
        <f t="shared" si="4"/>
        <v>8.0644682045338686E-2</v>
      </c>
      <c r="F40" s="759">
        <f t="shared" si="4"/>
        <v>0.15490195998574319</v>
      </c>
      <c r="G40" s="759">
        <f t="shared" si="4"/>
        <v>0.22184874961635639</v>
      </c>
      <c r="H40" s="759">
        <f t="shared" si="4"/>
        <v>0.3010299956639812</v>
      </c>
      <c r="I40" s="759">
        <f t="shared" si="4"/>
        <v>0.3979400086720376</v>
      </c>
      <c r="J40" s="759">
        <f t="shared" si="4"/>
        <v>0.52287874528033762</v>
      </c>
      <c r="K40" s="759">
        <f t="shared" si="4"/>
        <v>0.69897000433601886</v>
      </c>
      <c r="L40" s="2331">
        <f t="shared" si="4"/>
        <v>0.65905021634917504</v>
      </c>
    </row>
    <row r="41" spans="1:21" ht="15" customHeight="1" x14ac:dyDescent="0.2">
      <c r="B41" s="2328" t="s">
        <v>796</v>
      </c>
      <c r="C41" s="759" t="e">
        <f t="shared" ref="C41:L41" si="5">$C37*$E$23*60*C40</f>
        <v>#N/A</v>
      </c>
      <c r="D41" s="759" t="e">
        <f t="shared" si="5"/>
        <v>#N/A</v>
      </c>
      <c r="E41" s="759" t="e">
        <f t="shared" si="5"/>
        <v>#N/A</v>
      </c>
      <c r="F41" s="759" t="e">
        <f t="shared" si="5"/>
        <v>#N/A</v>
      </c>
      <c r="G41" s="759" t="e">
        <f t="shared" si="5"/>
        <v>#N/A</v>
      </c>
      <c r="H41" s="759" t="e">
        <f t="shared" si="5"/>
        <v>#N/A</v>
      </c>
      <c r="I41" s="759" t="e">
        <f t="shared" si="5"/>
        <v>#N/A</v>
      </c>
      <c r="J41" s="759" t="e">
        <f t="shared" si="5"/>
        <v>#N/A</v>
      </c>
      <c r="K41" s="759" t="e">
        <f t="shared" si="5"/>
        <v>#N/A</v>
      </c>
      <c r="L41" s="2331" t="e">
        <f t="shared" si="5"/>
        <v>#N/A</v>
      </c>
    </row>
    <row r="42" spans="1:21" ht="15" customHeight="1" x14ac:dyDescent="0.2">
      <c r="B42" s="2328" t="s">
        <v>827</v>
      </c>
      <c r="C42" s="759" t="e">
        <f t="shared" ref="C42:L42" si="6">C41/$J$33</f>
        <v>#N/A</v>
      </c>
      <c r="D42" s="759" t="e">
        <f t="shared" si="6"/>
        <v>#N/A</v>
      </c>
      <c r="E42" s="759" t="e">
        <f t="shared" si="6"/>
        <v>#N/A</v>
      </c>
      <c r="F42" s="759" t="e">
        <f t="shared" si="6"/>
        <v>#N/A</v>
      </c>
      <c r="G42" s="759" t="e">
        <f t="shared" si="6"/>
        <v>#N/A</v>
      </c>
      <c r="H42" s="759" t="e">
        <f t="shared" si="6"/>
        <v>#N/A</v>
      </c>
      <c r="I42" s="759" t="e">
        <f t="shared" si="6"/>
        <v>#N/A</v>
      </c>
      <c r="J42" s="759" t="e">
        <f t="shared" si="6"/>
        <v>#N/A</v>
      </c>
      <c r="K42" s="759" t="e">
        <f t="shared" si="6"/>
        <v>#N/A</v>
      </c>
      <c r="L42" s="2331" t="e">
        <f t="shared" si="6"/>
        <v>#N/A</v>
      </c>
    </row>
    <row r="43" spans="1:21" ht="29.25" customHeight="1" x14ac:dyDescent="0.2">
      <c r="B43" s="2329" t="s">
        <v>797</v>
      </c>
      <c r="C43" s="759" t="e">
        <f t="shared" ref="C43:L43" si="7">C41/$D$23/60</f>
        <v>#N/A</v>
      </c>
      <c r="D43" s="759" t="e">
        <f t="shared" si="7"/>
        <v>#N/A</v>
      </c>
      <c r="E43" s="759" t="e">
        <f t="shared" si="7"/>
        <v>#N/A</v>
      </c>
      <c r="F43" s="759" t="e">
        <f t="shared" si="7"/>
        <v>#N/A</v>
      </c>
      <c r="G43" s="759" t="e">
        <f t="shared" si="7"/>
        <v>#N/A</v>
      </c>
      <c r="H43" s="759" t="e">
        <f t="shared" si="7"/>
        <v>#N/A</v>
      </c>
      <c r="I43" s="759" t="e">
        <f t="shared" si="7"/>
        <v>#N/A</v>
      </c>
      <c r="J43" s="759" t="e">
        <f t="shared" si="7"/>
        <v>#N/A</v>
      </c>
      <c r="K43" s="759" t="e">
        <f t="shared" si="7"/>
        <v>#N/A</v>
      </c>
      <c r="L43" s="2331" t="e">
        <f t="shared" si="7"/>
        <v>#N/A</v>
      </c>
    </row>
    <row r="44" spans="1:21" ht="12.75" x14ac:dyDescent="0.2">
      <c r="B44" s="2280"/>
      <c r="C44" s="2278"/>
      <c r="D44" s="2278"/>
      <c r="E44" s="2278"/>
      <c r="F44" s="2278"/>
      <c r="G44" s="2278"/>
      <c r="H44" s="2278"/>
      <c r="I44" s="2278"/>
      <c r="J44" s="2278"/>
      <c r="K44" s="2278"/>
      <c r="L44" s="2278"/>
      <c r="P44" s="717">
        <v>572.07799999999997</v>
      </c>
      <c r="Q44" s="717">
        <v>573.18200000000002</v>
      </c>
    </row>
    <row r="45" spans="1:21" ht="15" hidden="1" customHeight="1" x14ac:dyDescent="0.2">
      <c r="A45" s="716" t="s">
        <v>2671</v>
      </c>
      <c r="B45" s="716" t="s">
        <v>2672</v>
      </c>
      <c r="C45" s="737"/>
    </row>
    <row r="46" spans="1:21" s="716" customFormat="1" ht="15" hidden="1" customHeight="1" thickBot="1" x14ac:dyDescent="0.25">
      <c r="B46" s="764" t="s">
        <v>833</v>
      </c>
      <c r="C46" s="765" t="s">
        <v>783</v>
      </c>
      <c r="D46" s="765" t="s">
        <v>784</v>
      </c>
      <c r="E46" s="765" t="s">
        <v>785</v>
      </c>
      <c r="F46" s="765" t="s">
        <v>786</v>
      </c>
      <c r="G46" s="765" t="s">
        <v>787</v>
      </c>
      <c r="H46" s="765" t="s">
        <v>368</v>
      </c>
      <c r="I46" s="765" t="s">
        <v>788</v>
      </c>
      <c r="J46" s="765" t="s">
        <v>789</v>
      </c>
      <c r="K46" s="765" t="s">
        <v>790</v>
      </c>
      <c r="L46" s="766" t="s">
        <v>791</v>
      </c>
      <c r="N46" s="717"/>
      <c r="O46" s="717"/>
      <c r="P46" s="717"/>
      <c r="Q46" s="717"/>
      <c r="R46" s="717"/>
      <c r="S46" s="717"/>
      <c r="T46" s="717"/>
      <c r="U46" s="717"/>
    </row>
    <row r="47" spans="1:21" ht="15" hidden="1" customHeight="1" thickTop="1" thickBot="1" x14ac:dyDescent="0.25">
      <c r="B47" s="762" t="s">
        <v>792</v>
      </c>
      <c r="C47" s="763" t="e">
        <f>I26</f>
        <v>#N/A</v>
      </c>
      <c r="D47" s="763" t="e">
        <f t="shared" ref="D47:L47" si="8">$C47*D49</f>
        <v>#N/A</v>
      </c>
      <c r="E47" s="763" t="e">
        <f t="shared" si="8"/>
        <v>#N/A</v>
      </c>
      <c r="F47" s="763" t="e">
        <f t="shared" si="8"/>
        <v>#N/A</v>
      </c>
      <c r="G47" s="2316" t="e">
        <f t="shared" si="8"/>
        <v>#N/A</v>
      </c>
      <c r="H47" s="763" t="e">
        <f t="shared" si="8"/>
        <v>#N/A</v>
      </c>
      <c r="I47" s="763" t="e">
        <f t="shared" si="8"/>
        <v>#N/A</v>
      </c>
      <c r="J47" s="763" t="e">
        <f t="shared" si="8"/>
        <v>#N/A</v>
      </c>
      <c r="K47" s="763" t="e">
        <f t="shared" si="8"/>
        <v>#N/A</v>
      </c>
      <c r="L47" s="763" t="e">
        <f t="shared" si="8"/>
        <v>#N/A</v>
      </c>
    </row>
    <row r="48" spans="1:21" ht="15" hidden="1" customHeight="1" thickTop="1" x14ac:dyDescent="0.2">
      <c r="B48" s="758" t="s">
        <v>793</v>
      </c>
      <c r="C48" s="759">
        <v>0</v>
      </c>
      <c r="D48" s="759">
        <v>10</v>
      </c>
      <c r="E48" s="759">
        <v>20</v>
      </c>
      <c r="F48" s="759">
        <v>30</v>
      </c>
      <c r="G48" s="2317">
        <v>40</v>
      </c>
      <c r="H48" s="759">
        <v>50</v>
      </c>
      <c r="I48" s="759">
        <v>60</v>
      </c>
      <c r="J48" s="759">
        <v>70</v>
      </c>
      <c r="K48" s="759">
        <v>80</v>
      </c>
      <c r="L48" s="759">
        <v>90</v>
      </c>
    </row>
    <row r="49" spans="1:53" ht="15" hidden="1" customHeight="1" x14ac:dyDescent="0.2">
      <c r="B49" s="758" t="s">
        <v>794</v>
      </c>
      <c r="C49" s="759">
        <f t="shared" ref="C49:L49" si="9">(100-C48)/100</f>
        <v>1</v>
      </c>
      <c r="D49" s="759">
        <f t="shared" si="9"/>
        <v>0.9</v>
      </c>
      <c r="E49" s="759">
        <f t="shared" si="9"/>
        <v>0.8</v>
      </c>
      <c r="F49" s="759">
        <f t="shared" si="9"/>
        <v>0.7</v>
      </c>
      <c r="G49" s="2317">
        <f t="shared" si="9"/>
        <v>0.6</v>
      </c>
      <c r="H49" s="759">
        <f t="shared" si="9"/>
        <v>0.5</v>
      </c>
      <c r="I49" s="759">
        <f t="shared" si="9"/>
        <v>0.4</v>
      </c>
      <c r="J49" s="759">
        <f t="shared" si="9"/>
        <v>0.3</v>
      </c>
      <c r="K49" s="759">
        <f t="shared" si="9"/>
        <v>0.2</v>
      </c>
      <c r="L49" s="759">
        <f t="shared" si="9"/>
        <v>0.1</v>
      </c>
    </row>
    <row r="50" spans="1:53" ht="15" hidden="1" customHeight="1" x14ac:dyDescent="0.2">
      <c r="B50" s="758" t="s">
        <v>795</v>
      </c>
      <c r="C50" s="759">
        <f t="shared" ref="C50:L50" si="10">LOG(1/C49)</f>
        <v>0</v>
      </c>
      <c r="D50" s="759">
        <f t="shared" si="10"/>
        <v>4.5757490560675143E-2</v>
      </c>
      <c r="E50" s="759">
        <f t="shared" si="10"/>
        <v>9.691001300805642E-2</v>
      </c>
      <c r="F50" s="759">
        <f t="shared" si="10"/>
        <v>0.15490195998574319</v>
      </c>
      <c r="G50" s="2317">
        <f t="shared" si="10"/>
        <v>0.22184874961635639</v>
      </c>
      <c r="H50" s="759">
        <f t="shared" si="10"/>
        <v>0.3010299956639812</v>
      </c>
      <c r="I50" s="759">
        <f t="shared" si="10"/>
        <v>0.3979400086720376</v>
      </c>
      <c r="J50" s="759">
        <f t="shared" si="10"/>
        <v>0.52287874528033762</v>
      </c>
      <c r="K50" s="759">
        <f t="shared" si="10"/>
        <v>0.69897000433601886</v>
      </c>
      <c r="L50" s="759">
        <f t="shared" si="10"/>
        <v>1</v>
      </c>
    </row>
    <row r="51" spans="1:53" ht="15" hidden="1" customHeight="1" x14ac:dyDescent="0.2">
      <c r="B51" s="758" t="s">
        <v>796</v>
      </c>
      <c r="C51" s="759" t="e">
        <f t="shared" ref="C51:L51" si="11">$C47*$E$23*60*C50</f>
        <v>#N/A</v>
      </c>
      <c r="D51" s="759" t="e">
        <f t="shared" si="11"/>
        <v>#N/A</v>
      </c>
      <c r="E51" s="759" t="e">
        <f t="shared" si="11"/>
        <v>#N/A</v>
      </c>
      <c r="F51" s="759" t="e">
        <f t="shared" si="11"/>
        <v>#N/A</v>
      </c>
      <c r="G51" s="2317" t="e">
        <f t="shared" si="11"/>
        <v>#N/A</v>
      </c>
      <c r="H51" s="759" t="e">
        <f t="shared" si="11"/>
        <v>#N/A</v>
      </c>
      <c r="I51" s="759" t="e">
        <f t="shared" si="11"/>
        <v>#N/A</v>
      </c>
      <c r="J51" s="759" t="e">
        <f t="shared" si="11"/>
        <v>#N/A</v>
      </c>
      <c r="K51" s="759" t="e">
        <f t="shared" si="11"/>
        <v>#N/A</v>
      </c>
      <c r="L51" s="759" t="e">
        <f t="shared" si="11"/>
        <v>#N/A</v>
      </c>
    </row>
    <row r="52" spans="1:53" ht="15" hidden="1" customHeight="1" x14ac:dyDescent="0.2">
      <c r="B52" s="758" t="s">
        <v>827</v>
      </c>
      <c r="C52" s="759" t="e">
        <f t="shared" ref="C52:L52" si="12">C51/$J$33</f>
        <v>#N/A</v>
      </c>
      <c r="D52" s="759" t="e">
        <f t="shared" si="12"/>
        <v>#N/A</v>
      </c>
      <c r="E52" s="759" t="e">
        <f t="shared" si="12"/>
        <v>#N/A</v>
      </c>
      <c r="F52" s="759" t="e">
        <f t="shared" si="12"/>
        <v>#N/A</v>
      </c>
      <c r="G52" s="2317" t="e">
        <f t="shared" si="12"/>
        <v>#N/A</v>
      </c>
      <c r="H52" s="759" t="e">
        <f t="shared" si="12"/>
        <v>#N/A</v>
      </c>
      <c r="I52" s="759" t="e">
        <f t="shared" si="12"/>
        <v>#N/A</v>
      </c>
      <c r="J52" s="759" t="e">
        <f t="shared" si="12"/>
        <v>#N/A</v>
      </c>
      <c r="K52" s="759" t="e">
        <f t="shared" si="12"/>
        <v>#N/A</v>
      </c>
      <c r="L52" s="759" t="e">
        <f t="shared" si="12"/>
        <v>#N/A</v>
      </c>
    </row>
    <row r="53" spans="1:53" ht="29.25" hidden="1" customHeight="1" x14ac:dyDescent="0.2">
      <c r="B53" s="760" t="s">
        <v>797</v>
      </c>
      <c r="C53" s="759" t="e">
        <f t="shared" ref="C53:L53" si="13">C51/$D$23/60</f>
        <v>#N/A</v>
      </c>
      <c r="D53" s="759" t="e">
        <f t="shared" si="13"/>
        <v>#N/A</v>
      </c>
      <c r="E53" s="759" t="e">
        <f t="shared" si="13"/>
        <v>#N/A</v>
      </c>
      <c r="F53" s="759" t="e">
        <f t="shared" si="13"/>
        <v>#N/A</v>
      </c>
      <c r="G53" s="2317" t="e">
        <f t="shared" si="13"/>
        <v>#N/A</v>
      </c>
      <c r="H53" s="759" t="e">
        <f t="shared" si="13"/>
        <v>#N/A</v>
      </c>
      <c r="I53" s="759" t="e">
        <f t="shared" si="13"/>
        <v>#N/A</v>
      </c>
      <c r="J53" s="759" t="e">
        <f t="shared" si="13"/>
        <v>#N/A</v>
      </c>
      <c r="K53" s="759" t="e">
        <f t="shared" si="13"/>
        <v>#N/A</v>
      </c>
      <c r="L53" s="759" t="e">
        <f t="shared" si="13"/>
        <v>#N/A</v>
      </c>
    </row>
    <row r="54" spans="1:53" ht="15" customHeight="1" x14ac:dyDescent="0.2">
      <c r="F54" s="717" t="s">
        <v>798</v>
      </c>
      <c r="N54" s="731"/>
      <c r="O54" s="731"/>
      <c r="P54" s="717">
        <f>+P44-1.9</f>
        <v>570.178</v>
      </c>
      <c r="Q54" s="717">
        <f>+Q44-2.5</f>
        <v>570.68200000000002</v>
      </c>
    </row>
    <row r="55" spans="1:53" s="716" customFormat="1" ht="15" customHeight="1" x14ac:dyDescent="0.2">
      <c r="A55" s="747" t="s">
        <v>799</v>
      </c>
      <c r="B55" s="747" t="s">
        <v>800</v>
      </c>
      <c r="C55" s="747"/>
      <c r="D55" s="748"/>
      <c r="E55" s="748"/>
      <c r="F55" s="748"/>
      <c r="G55" s="748"/>
      <c r="H55" s="748"/>
      <c r="I55" s="748"/>
      <c r="J55" s="748"/>
      <c r="K55" s="748"/>
      <c r="L55" s="748"/>
      <c r="O55" s="722"/>
      <c r="P55" s="722"/>
      <c r="Q55" s="722"/>
      <c r="R55"/>
      <c r="S55"/>
      <c r="T55"/>
      <c r="U55" s="717"/>
      <c r="V55" s="3"/>
      <c r="W55" s="3"/>
      <c r="X55" s="3"/>
      <c r="Y55" s="3"/>
      <c r="Z55" s="3"/>
      <c r="AA55" s="3"/>
      <c r="AB55" s="3"/>
      <c r="AC55" s="3"/>
      <c r="AD55" s="723"/>
    </row>
    <row r="56" spans="1:53" s="739" customFormat="1" ht="15" customHeight="1" thickBot="1" x14ac:dyDescent="0.25">
      <c r="D56" s="717"/>
      <c r="E56" s="717"/>
      <c r="F56" s="717"/>
      <c r="G56" s="717"/>
      <c r="H56" s="717"/>
      <c r="I56" s="717"/>
      <c r="J56" s="717"/>
      <c r="K56" s="725"/>
      <c r="L56" s="717"/>
      <c r="M56" s="717"/>
      <c r="N56" s="717"/>
      <c r="O56" s="717"/>
      <c r="P56" s="717"/>
      <c r="Q56" s="717"/>
      <c r="R56" s="717"/>
    </row>
    <row r="57" spans="1:53" s="739" customFormat="1" ht="15" customHeight="1" thickTop="1" x14ac:dyDescent="0.2">
      <c r="B57" s="774" t="s">
        <v>801</v>
      </c>
      <c r="C57" s="2202"/>
      <c r="D57" s="2202"/>
      <c r="E57" s="2202"/>
      <c r="F57" s="2318"/>
      <c r="G57" s="2202"/>
      <c r="H57" s="2319"/>
      <c r="I57" s="717"/>
      <c r="J57" s="717"/>
      <c r="K57" s="717"/>
      <c r="L57" s="785" t="s">
        <v>838</v>
      </c>
      <c r="M57" s="717"/>
      <c r="N57" s="717"/>
      <c r="O57" s="717"/>
      <c r="P57" s="717"/>
      <c r="Q57" s="717"/>
      <c r="R57" s="717"/>
    </row>
    <row r="58" spans="1:53" ht="29.25" customHeight="1" thickBot="1" x14ac:dyDescent="0.25">
      <c r="B58" s="786" t="s">
        <v>841</v>
      </c>
      <c r="C58" s="776" t="s">
        <v>803</v>
      </c>
      <c r="D58" s="776" t="s">
        <v>804</v>
      </c>
      <c r="E58" s="776" t="s">
        <v>805</v>
      </c>
      <c r="F58" s="776" t="s">
        <v>806</v>
      </c>
      <c r="G58" s="777" t="s">
        <v>807</v>
      </c>
      <c r="H58" s="778" t="s">
        <v>808</v>
      </c>
      <c r="K58" s="784" t="s">
        <v>845</v>
      </c>
      <c r="AP58" s="739"/>
      <c r="AQ58" s="739"/>
      <c r="AR58" s="739"/>
      <c r="AS58" s="739"/>
      <c r="AT58" s="739"/>
      <c r="AU58" s="739"/>
      <c r="AV58" s="739"/>
      <c r="AW58" s="739"/>
      <c r="AX58" s="739"/>
      <c r="AY58" s="739"/>
      <c r="AZ58" s="739"/>
      <c r="BA58" s="739"/>
    </row>
    <row r="59" spans="1:53" ht="15" customHeight="1" thickTop="1" x14ac:dyDescent="0.2">
      <c r="B59" s="2194"/>
      <c r="C59" s="2200"/>
      <c r="D59" s="2200"/>
      <c r="E59" s="2200"/>
      <c r="F59" s="2200"/>
      <c r="G59" s="2194">
        <f>SUM(C59:F59)</f>
        <v>0</v>
      </c>
      <c r="H59" s="2194">
        <f>1.71*G59*B59^1.5</f>
        <v>0</v>
      </c>
      <c r="J59" s="731"/>
      <c r="AP59" s="739"/>
      <c r="AQ59" s="739"/>
      <c r="AR59" s="739"/>
      <c r="AS59" s="739"/>
      <c r="AT59" s="739"/>
      <c r="AU59" s="739"/>
      <c r="AV59" s="739"/>
      <c r="AW59" s="739"/>
      <c r="AX59" s="739"/>
      <c r="AY59" s="739"/>
      <c r="AZ59" s="739"/>
      <c r="BA59" s="739"/>
    </row>
    <row r="60" spans="1:53" ht="15" customHeight="1" x14ac:dyDescent="0.2">
      <c r="A60" s="738"/>
      <c r="B60" s="741"/>
      <c r="C60" s="741"/>
      <c r="D60" s="741"/>
      <c r="E60" s="741"/>
      <c r="F60" s="741"/>
      <c r="AP60" s="739"/>
      <c r="AQ60" s="739"/>
      <c r="AR60" s="739"/>
      <c r="AS60" s="739"/>
      <c r="AT60" s="739"/>
      <c r="AU60" s="739"/>
      <c r="AV60" s="739"/>
      <c r="AW60" s="739"/>
      <c r="AX60" s="739"/>
      <c r="AY60" s="739"/>
      <c r="AZ60" s="739"/>
      <c r="BA60" s="739"/>
    </row>
    <row r="61" spans="1:53" ht="15" customHeight="1" thickBot="1" x14ac:dyDescent="0.25">
      <c r="A61" s="738"/>
      <c r="B61" s="741"/>
      <c r="C61" s="741"/>
      <c r="D61" s="741"/>
      <c r="E61" s="741"/>
      <c r="F61" s="741"/>
      <c r="AP61" s="739"/>
      <c r="AQ61" s="739"/>
      <c r="AR61" s="739"/>
      <c r="AS61" s="739"/>
      <c r="AT61" s="739"/>
      <c r="AU61" s="739"/>
      <c r="AV61" s="739"/>
      <c r="AW61" s="739"/>
      <c r="AX61" s="739"/>
      <c r="AY61" s="739"/>
      <c r="AZ61" s="739"/>
      <c r="BA61" s="739"/>
    </row>
    <row r="62" spans="1:53" ht="15" customHeight="1" thickTop="1" x14ac:dyDescent="0.2">
      <c r="A62" s="738"/>
      <c r="B62" s="774" t="s">
        <v>840</v>
      </c>
      <c r="C62" s="2202"/>
      <c r="D62" s="2202"/>
      <c r="E62" s="2202"/>
      <c r="F62" s="2318"/>
      <c r="G62" s="2202"/>
      <c r="H62" s="2319"/>
      <c r="L62" s="785" t="s">
        <v>838</v>
      </c>
      <c r="AP62" s="739"/>
      <c r="AQ62" s="739"/>
      <c r="AR62" s="739"/>
      <c r="AS62" s="739"/>
      <c r="AT62" s="739"/>
      <c r="AU62" s="739"/>
      <c r="AV62" s="739"/>
      <c r="AW62" s="739"/>
      <c r="AX62" s="739"/>
      <c r="AY62" s="739"/>
      <c r="AZ62" s="739"/>
      <c r="BA62" s="739"/>
    </row>
    <row r="63" spans="1:53" ht="29.25" customHeight="1" thickBot="1" x14ac:dyDescent="0.25">
      <c r="A63" s="738"/>
      <c r="B63" s="786" t="s">
        <v>841</v>
      </c>
      <c r="C63" s="776" t="s">
        <v>803</v>
      </c>
      <c r="D63" s="776" t="s">
        <v>804</v>
      </c>
      <c r="E63" s="776" t="s">
        <v>805</v>
      </c>
      <c r="F63" s="776" t="s">
        <v>806</v>
      </c>
      <c r="G63" s="777" t="s">
        <v>807</v>
      </c>
      <c r="H63" s="778" t="s">
        <v>808</v>
      </c>
      <c r="K63" s="784" t="s">
        <v>839</v>
      </c>
      <c r="O63" s="754"/>
      <c r="AP63" s="739"/>
      <c r="AQ63" s="739"/>
      <c r="AR63" s="739"/>
      <c r="AS63" s="739"/>
      <c r="AT63" s="739"/>
      <c r="AU63" s="739"/>
      <c r="AV63" s="739"/>
      <c r="AW63" s="739"/>
      <c r="AX63" s="739"/>
      <c r="AY63" s="739"/>
      <c r="AZ63" s="739"/>
      <c r="BA63" s="739"/>
    </row>
    <row r="64" spans="1:53" ht="15" customHeight="1" thickTop="1" x14ac:dyDescent="0.2">
      <c r="A64" s="738"/>
      <c r="B64" s="2194"/>
      <c r="C64" s="2200"/>
      <c r="D64" s="2200"/>
      <c r="E64" s="2200"/>
      <c r="F64" s="2200"/>
      <c r="G64" s="2194">
        <f>SUM(C64:F64)</f>
        <v>0</v>
      </c>
      <c r="H64" s="787">
        <f>1.55*G64*B64^1.42</f>
        <v>0</v>
      </c>
      <c r="AP64" s="739"/>
      <c r="AQ64" s="739"/>
      <c r="AR64" s="739"/>
      <c r="AS64" s="739"/>
      <c r="AT64" s="739"/>
      <c r="AU64" s="739"/>
      <c r="AV64" s="739"/>
      <c r="AW64" s="739"/>
      <c r="AX64" s="739"/>
      <c r="AY64" s="739"/>
      <c r="AZ64" s="739"/>
      <c r="BA64" s="739"/>
    </row>
    <row r="65" spans="1:53" ht="15" customHeight="1" x14ac:dyDescent="0.2">
      <c r="A65" s="738"/>
      <c r="B65" s="741"/>
      <c r="C65" s="741"/>
      <c r="D65" s="741"/>
      <c r="E65" s="741"/>
      <c r="F65" s="741"/>
      <c r="AP65" s="739"/>
      <c r="AQ65" s="739"/>
      <c r="AR65" s="739"/>
      <c r="AS65" s="739"/>
      <c r="AT65" s="739"/>
      <c r="AU65" s="739"/>
      <c r="AV65" s="739"/>
      <c r="AW65" s="739"/>
      <c r="AX65" s="739"/>
      <c r="AY65" s="739"/>
      <c r="AZ65" s="739"/>
      <c r="BA65" s="739"/>
    </row>
    <row r="66" spans="1:53" ht="15" customHeight="1" thickBot="1" x14ac:dyDescent="0.25">
      <c r="A66" s="738"/>
      <c r="B66" s="741"/>
      <c r="C66" s="741"/>
      <c r="D66" s="741"/>
      <c r="E66" s="741"/>
      <c r="F66" s="741"/>
      <c r="AP66" s="739"/>
      <c r="AQ66" s="739"/>
      <c r="AR66" s="739"/>
      <c r="AS66" s="739"/>
      <c r="AT66" s="739"/>
      <c r="AU66" s="739"/>
      <c r="AV66" s="739"/>
      <c r="AW66" s="739"/>
      <c r="AX66" s="739"/>
      <c r="AY66" s="739"/>
      <c r="AZ66" s="739"/>
      <c r="BA66" s="739"/>
    </row>
    <row r="67" spans="1:53" ht="15" customHeight="1" thickTop="1" x14ac:dyDescent="0.2">
      <c r="A67" s="738"/>
      <c r="B67" s="3206" t="s">
        <v>828</v>
      </c>
      <c r="C67" s="3207"/>
      <c r="D67" s="3207"/>
      <c r="E67" s="3207"/>
      <c r="F67" s="3207"/>
      <c r="G67" s="3207"/>
      <c r="H67" s="3208"/>
      <c r="I67" s="3"/>
      <c r="L67" s="785" t="s">
        <v>842</v>
      </c>
      <c r="AP67" s="739"/>
      <c r="AQ67" s="739"/>
      <c r="AR67" s="739"/>
      <c r="AS67" s="739"/>
      <c r="AT67" s="739"/>
      <c r="AU67" s="739"/>
      <c r="AV67" s="739"/>
      <c r="AW67" s="739"/>
      <c r="AX67" s="739"/>
      <c r="AY67" s="739"/>
      <c r="AZ67" s="739"/>
      <c r="BA67" s="739"/>
    </row>
    <row r="68" spans="1:53" ht="38.25" customHeight="1" thickBot="1" x14ac:dyDescent="0.25">
      <c r="A68" s="738"/>
      <c r="B68" s="786" t="s">
        <v>841</v>
      </c>
      <c r="C68" s="776" t="s">
        <v>816</v>
      </c>
      <c r="D68" s="776" t="s">
        <v>802</v>
      </c>
      <c r="E68" s="779" t="s">
        <v>844</v>
      </c>
      <c r="F68" s="779" t="s">
        <v>835</v>
      </c>
      <c r="G68" s="779" t="s">
        <v>836</v>
      </c>
      <c r="H68" s="783" t="s">
        <v>837</v>
      </c>
      <c r="K68" s="784" t="s">
        <v>843</v>
      </c>
      <c r="AP68" s="739"/>
      <c r="AQ68" s="739"/>
      <c r="AR68" s="739"/>
      <c r="AS68" s="739"/>
      <c r="AT68" s="739"/>
      <c r="AU68" s="739"/>
      <c r="AV68" s="739"/>
      <c r="AW68" s="739"/>
      <c r="AX68" s="739"/>
      <c r="AY68" s="739"/>
      <c r="AZ68" s="739"/>
      <c r="BA68" s="739"/>
    </row>
    <row r="69" spans="1:53" ht="15" customHeight="1" thickTop="1" x14ac:dyDescent="0.2">
      <c r="A69" s="738"/>
      <c r="B69" s="2194" t="e">
        <f>I26</f>
        <v>#N/A</v>
      </c>
      <c r="C69" s="2194">
        <v>1</v>
      </c>
      <c r="D69" s="2194">
        <v>1.1270870440513192</v>
      </c>
      <c r="E69" s="2200" t="e">
        <f>B69-D69/2</f>
        <v>#N/A</v>
      </c>
      <c r="F69" s="2199">
        <v>1</v>
      </c>
      <c r="G69" s="2194" t="e">
        <f>(2.791*C69*D69*E69^0.5)*F69</f>
        <v>#N/A</v>
      </c>
      <c r="H69" s="2198" t="e">
        <f>G69</f>
        <v>#N/A</v>
      </c>
      <c r="M69" s="2216" t="e">
        <f>D26</f>
        <v>#N/A</v>
      </c>
      <c r="AP69" s="739"/>
      <c r="AQ69" s="739"/>
      <c r="AR69" s="739"/>
      <c r="AS69" s="739"/>
      <c r="AT69" s="739"/>
      <c r="AU69" s="739"/>
      <c r="AV69" s="739"/>
      <c r="AW69" s="739"/>
      <c r="AX69" s="739"/>
      <c r="AY69" s="739"/>
      <c r="AZ69" s="739"/>
      <c r="BA69" s="739"/>
    </row>
    <row r="70" spans="1:53" ht="15" customHeight="1" x14ac:dyDescent="0.2">
      <c r="A70" s="738"/>
      <c r="B70" s="780"/>
      <c r="C70" s="780"/>
      <c r="D70" s="780"/>
      <c r="E70" s="781"/>
      <c r="F70" s="782"/>
      <c r="G70" s="780"/>
      <c r="H70" s="757"/>
      <c r="L70" s="731"/>
      <c r="AP70" s="739"/>
      <c r="AQ70" s="739"/>
      <c r="AR70" s="739"/>
      <c r="AS70" s="739"/>
      <c r="AT70" s="739"/>
      <c r="AU70" s="739"/>
      <c r="AV70" s="739"/>
      <c r="AW70" s="739"/>
      <c r="AX70" s="739"/>
      <c r="AY70" s="739"/>
      <c r="AZ70" s="739"/>
      <c r="BA70" s="739"/>
    </row>
    <row r="71" spans="1:53" ht="15" customHeight="1" x14ac:dyDescent="0.2">
      <c r="A71" s="738"/>
      <c r="B71" s="780"/>
      <c r="C71" s="780"/>
      <c r="D71" s="780"/>
      <c r="E71" s="781"/>
      <c r="F71" s="782"/>
      <c r="G71" s="780"/>
      <c r="H71" s="757"/>
      <c r="AP71" s="739"/>
      <c r="AQ71" s="739"/>
      <c r="AR71" s="739"/>
      <c r="AS71" s="739"/>
      <c r="AT71" s="739"/>
      <c r="AU71" s="739"/>
      <c r="AV71" s="739"/>
      <c r="AW71" s="739"/>
      <c r="AX71" s="739"/>
      <c r="AY71" s="739"/>
      <c r="AZ71" s="739"/>
      <c r="BA71" s="739"/>
    </row>
    <row r="72" spans="1:53" ht="15" customHeight="1" x14ac:dyDescent="0.2">
      <c r="A72" s="738"/>
      <c r="B72" s="780"/>
      <c r="C72" s="780"/>
      <c r="D72" s="780"/>
      <c r="E72" s="781"/>
      <c r="F72" s="782"/>
      <c r="G72" s="780"/>
      <c r="H72" s="757"/>
      <c r="AP72" s="739"/>
      <c r="AQ72" s="739"/>
      <c r="AR72" s="739"/>
      <c r="AS72" s="739"/>
      <c r="AT72" s="739"/>
      <c r="AU72" s="739"/>
      <c r="AV72" s="739"/>
      <c r="AW72" s="739"/>
      <c r="AX72" s="739"/>
      <c r="AY72" s="739"/>
      <c r="AZ72" s="739"/>
      <c r="BA72" s="739"/>
    </row>
    <row r="73" spans="1:53" ht="15" customHeight="1" x14ac:dyDescent="0.2">
      <c r="A73" s="738"/>
      <c r="B73" s="780"/>
      <c r="C73" s="780"/>
      <c r="D73" s="780"/>
      <c r="E73" s="781"/>
      <c r="F73" s="782"/>
      <c r="G73" s="780"/>
      <c r="H73" s="757"/>
      <c r="K73" s="740"/>
      <c r="AP73" s="739"/>
      <c r="AQ73" s="739"/>
      <c r="AR73" s="739"/>
      <c r="AS73" s="739"/>
      <c r="AT73" s="739"/>
      <c r="AU73" s="739"/>
      <c r="AV73" s="739"/>
      <c r="AW73" s="739"/>
      <c r="AX73" s="739"/>
      <c r="AY73" s="739"/>
      <c r="AZ73" s="739"/>
      <c r="BA73" s="739"/>
    </row>
    <row r="74" spans="1:53" ht="15" customHeight="1" x14ac:dyDescent="0.2">
      <c r="A74" s="738"/>
      <c r="B74" s="741"/>
      <c r="C74" s="741"/>
      <c r="D74" s="742"/>
      <c r="E74" s="743"/>
      <c r="F74" s="742"/>
      <c r="G74" s="741"/>
      <c r="H74" s="741"/>
      <c r="I74" s="744"/>
      <c r="AP74" s="739"/>
      <c r="AQ74" s="739"/>
      <c r="AR74" s="739"/>
      <c r="AS74" s="739"/>
      <c r="AT74" s="739"/>
      <c r="AU74" s="739"/>
      <c r="AV74" s="739"/>
      <c r="AW74" s="739"/>
      <c r="AX74" s="739"/>
      <c r="AY74" s="739"/>
      <c r="AZ74" s="739"/>
      <c r="BA74" s="739"/>
    </row>
    <row r="75" spans="1:53" ht="15" customHeight="1" x14ac:dyDescent="0.2">
      <c r="A75" s="738"/>
      <c r="B75" s="741"/>
      <c r="C75" s="741"/>
      <c r="D75" s="742"/>
      <c r="E75" s="743"/>
      <c r="F75" s="742"/>
      <c r="G75" s="741"/>
      <c r="H75" s="741"/>
      <c r="I75" s="744"/>
      <c r="AP75" s="739"/>
      <c r="AQ75" s="739"/>
      <c r="AR75" s="739"/>
      <c r="AS75" s="739"/>
      <c r="AT75" s="739"/>
      <c r="AU75" s="739"/>
      <c r="AV75" s="739"/>
      <c r="AW75" s="739"/>
      <c r="AX75" s="739"/>
      <c r="AY75" s="739"/>
      <c r="AZ75" s="739"/>
      <c r="BA75" s="739"/>
    </row>
    <row r="76" spans="1:53" s="716" customFormat="1" ht="15" customHeight="1" x14ac:dyDescent="0.2">
      <c r="A76" s="747" t="s">
        <v>829</v>
      </c>
      <c r="B76" s="747" t="s">
        <v>830</v>
      </c>
      <c r="C76" s="747"/>
      <c r="D76" s="748"/>
      <c r="E76" s="748"/>
      <c r="F76" s="748"/>
      <c r="G76" s="748"/>
      <c r="H76" s="748"/>
      <c r="I76" s="748"/>
      <c r="J76" s="748"/>
      <c r="K76" s="748"/>
      <c r="L76" s="748"/>
      <c r="O76" s="722"/>
      <c r="P76" s="722"/>
      <c r="Q76" s="722"/>
      <c r="R76"/>
      <c r="S76"/>
      <c r="T76"/>
      <c r="U76" s="717"/>
      <c r="V76" s="3"/>
      <c r="W76" s="3"/>
      <c r="X76" s="3"/>
      <c r="Y76" s="3"/>
      <c r="Z76" s="3"/>
      <c r="AA76" s="3"/>
      <c r="AB76" s="3"/>
      <c r="AC76" s="3"/>
      <c r="AD76" s="723"/>
    </row>
    <row r="77" spans="1:53" s="739" customFormat="1" ht="15" customHeight="1" x14ac:dyDescent="0.2">
      <c r="H77" s="717"/>
      <c r="I77" s="717"/>
      <c r="J77" s="717"/>
      <c r="K77" s="717"/>
      <c r="L77" s="717"/>
      <c r="M77" s="717"/>
    </row>
    <row r="78" spans="1:53" s="739" customFormat="1" ht="15" customHeight="1" thickBot="1" x14ac:dyDescent="0.25">
      <c r="B78" s="791" t="s">
        <v>846</v>
      </c>
      <c r="F78" s="751" t="s">
        <v>847</v>
      </c>
      <c r="H78" s="791" t="s">
        <v>846</v>
      </c>
      <c r="I78" s="717"/>
      <c r="J78" s="717"/>
      <c r="K78" s="717"/>
      <c r="L78" s="751" t="s">
        <v>843</v>
      </c>
      <c r="M78" s="717"/>
    </row>
    <row r="79" spans="1:53" s="3" customFormat="1" ht="15" customHeight="1" thickTop="1" x14ac:dyDescent="0.2">
      <c r="B79" s="788" t="s">
        <v>810</v>
      </c>
      <c r="C79" s="2320"/>
      <c r="D79" s="2320"/>
      <c r="E79" s="2320"/>
      <c r="F79" s="2281"/>
      <c r="G79" s="3197" t="s">
        <v>831</v>
      </c>
      <c r="H79" s="3198"/>
      <c r="I79" s="3198"/>
      <c r="J79" s="3198"/>
      <c r="K79" s="3198"/>
      <c r="L79" s="3199"/>
      <c r="AP79" s="739"/>
      <c r="AQ79" s="739"/>
      <c r="AR79" s="739"/>
      <c r="AS79" s="739"/>
      <c r="AT79" s="739"/>
      <c r="AU79" s="739"/>
      <c r="AV79" s="739"/>
      <c r="AW79" s="739"/>
      <c r="AX79" s="739"/>
      <c r="AY79" s="739"/>
      <c r="AZ79" s="739"/>
      <c r="BA79" s="739"/>
    </row>
    <row r="80" spans="1:53" s="3" customFormat="1" ht="29.25" customHeight="1" thickBot="1" x14ac:dyDescent="0.25">
      <c r="B80" s="775" t="s">
        <v>811</v>
      </c>
      <c r="C80" s="776" t="s">
        <v>812</v>
      </c>
      <c r="D80" s="779" t="s">
        <v>844</v>
      </c>
      <c r="E80" s="777" t="s">
        <v>813</v>
      </c>
      <c r="F80" s="778" t="s">
        <v>808</v>
      </c>
      <c r="G80" s="775" t="s">
        <v>811</v>
      </c>
      <c r="H80" s="776" t="s">
        <v>816</v>
      </c>
      <c r="I80" s="776" t="s">
        <v>802</v>
      </c>
      <c r="J80" s="779" t="s">
        <v>844</v>
      </c>
      <c r="K80" s="790" t="s">
        <v>813</v>
      </c>
      <c r="L80" s="778" t="s">
        <v>808</v>
      </c>
      <c r="AP80" s="739"/>
      <c r="AQ80" s="739"/>
      <c r="AR80" s="739"/>
      <c r="AS80" s="739"/>
      <c r="AT80" s="739"/>
      <c r="AU80" s="739"/>
      <c r="AV80" s="739"/>
      <c r="AW80" s="739"/>
      <c r="AX80" s="739"/>
      <c r="AY80" s="739"/>
      <c r="AZ80" s="739"/>
      <c r="BA80" s="739"/>
    </row>
    <row r="81" spans="2:13" s="739" customFormat="1" ht="15" customHeight="1" thickTop="1" x14ac:dyDescent="0.2">
      <c r="B81" s="2195">
        <v>1</v>
      </c>
      <c r="C81" s="2194">
        <v>1.5</v>
      </c>
      <c r="D81" s="2194">
        <v>1.2214189870885843</v>
      </c>
      <c r="E81" s="2194">
        <f>2.79*D81^0.5</f>
        <v>3.08344734629866</v>
      </c>
      <c r="F81" s="2192">
        <f>IF(D81=0,+B81*C81^2.5*1.533,2.192*C81^2*D81^0.5*B81)</f>
        <v>5.4507391799085996</v>
      </c>
      <c r="G81" s="789">
        <v>1</v>
      </c>
      <c r="H81" s="787">
        <v>1.5</v>
      </c>
      <c r="I81" s="787">
        <v>1.5</v>
      </c>
      <c r="J81" s="787">
        <v>0.75323311010636329</v>
      </c>
      <c r="K81" s="787">
        <f>2.79*J81^0.5</f>
        <v>2.4214131932363263</v>
      </c>
      <c r="L81" s="787">
        <f>IF(J81=0,+G81*H81*I81^1.5*1.705,2.791*H81*I81*J81^0.5*G81)</f>
        <v>5.450132437356924</v>
      </c>
      <c r="M81" s="717"/>
    </row>
    <row r="84" spans="2:13" ht="15" customHeight="1" thickBot="1" x14ac:dyDescent="0.25">
      <c r="B84" s="791" t="s">
        <v>846</v>
      </c>
      <c r="F84" s="751" t="s">
        <v>849</v>
      </c>
      <c r="H84" s="791" t="s">
        <v>846</v>
      </c>
      <c r="I84" s="739"/>
      <c r="J84" s="739"/>
      <c r="K84" s="739"/>
      <c r="L84" s="751" t="s">
        <v>848</v>
      </c>
      <c r="M84" s="739"/>
    </row>
    <row r="85" spans="2:13" ht="15" customHeight="1" thickTop="1" x14ac:dyDescent="0.2">
      <c r="B85" s="788" t="s">
        <v>814</v>
      </c>
      <c r="C85" s="2320"/>
      <c r="D85" s="2320"/>
      <c r="E85" s="2320"/>
      <c r="F85" s="2281"/>
      <c r="G85" s="3197" t="s">
        <v>832</v>
      </c>
      <c r="H85" s="3198"/>
      <c r="I85" s="3198"/>
      <c r="J85" s="3198"/>
      <c r="K85" s="3198"/>
      <c r="L85" s="3199"/>
      <c r="M85" s="3"/>
    </row>
    <row r="86" spans="2:13" ht="29.25" customHeight="1" thickBot="1" x14ac:dyDescent="0.25">
      <c r="B86" s="775" t="s">
        <v>811</v>
      </c>
      <c r="C86" s="776" t="s">
        <v>812</v>
      </c>
      <c r="D86" s="777" t="s">
        <v>815</v>
      </c>
      <c r="E86" s="777" t="s">
        <v>813</v>
      </c>
      <c r="F86" s="778" t="s">
        <v>808</v>
      </c>
      <c r="G86" s="775" t="s">
        <v>811</v>
      </c>
      <c r="H86" s="776" t="s">
        <v>816</v>
      </c>
      <c r="I86" s="776" t="s">
        <v>802</v>
      </c>
      <c r="J86" s="790" t="s">
        <v>815</v>
      </c>
      <c r="K86" s="790" t="s">
        <v>813</v>
      </c>
      <c r="L86" s="778" t="s">
        <v>808</v>
      </c>
      <c r="M86" s="3"/>
    </row>
    <row r="87" spans="2:13" ht="15" customHeight="1" thickTop="1" x14ac:dyDescent="0.2">
      <c r="B87" s="2195">
        <f>B81</f>
        <v>1</v>
      </c>
      <c r="C87" s="2194">
        <f>C81</f>
        <v>1.5</v>
      </c>
      <c r="D87" s="2194">
        <f>0.739/C87^(0.333333333333333)</f>
        <v>0.64557596344012502</v>
      </c>
      <c r="E87" s="2194">
        <f>2.56*C87^0.5</f>
        <v>3.1353468707624677</v>
      </c>
      <c r="F87" s="2194">
        <f>B87*1.533*C87^2.5</f>
        <v>4.2244512476474387</v>
      </c>
      <c r="G87" s="2193">
        <f>G81</f>
        <v>1</v>
      </c>
      <c r="H87" s="2192">
        <f>H81</f>
        <v>1.5</v>
      </c>
      <c r="I87" s="2192">
        <f>I81</f>
        <v>1.5</v>
      </c>
      <c r="J87" s="2192">
        <f>IF(H87=0,0,0.0585/I87^0.333333333333333*(3+4*I87/H87)^(1.33333333333333))</f>
        <v>0.68431516812266135</v>
      </c>
      <c r="K87" s="2192">
        <f>2.56*I87^0.5</f>
        <v>3.1353468707624677</v>
      </c>
      <c r="L87" s="2192">
        <f>G87*H87*I87^1.5*1.705</f>
        <v>4.6984275128759831</v>
      </c>
      <c r="M87" s="745"/>
    </row>
  </sheetData>
  <mergeCells count="18">
    <mergeCell ref="G79:L79"/>
    <mergeCell ref="G85:L85"/>
    <mergeCell ref="K13:K15"/>
    <mergeCell ref="I23:L23"/>
    <mergeCell ref="H28:I28"/>
    <mergeCell ref="J32:L32"/>
    <mergeCell ref="B67:H67"/>
    <mergeCell ref="F13:F15"/>
    <mergeCell ref="G13:G15"/>
    <mergeCell ref="H13:H15"/>
    <mergeCell ref="I13:I15"/>
    <mergeCell ref="J13:J15"/>
    <mergeCell ref="B8:E8"/>
    <mergeCell ref="B9:E10"/>
    <mergeCell ref="B13:B15"/>
    <mergeCell ref="C13:C15"/>
    <mergeCell ref="D13:D15"/>
    <mergeCell ref="E13:E15"/>
  </mergeCells>
  <dataValidations disablePrompts="1" count="2">
    <dataValidation allowBlank="1" showInputMessage="1" showErrorMessage="1" prompt="contribuição_x000a_extra" sqref="WVI1048572:WVI1048573 WLM1048572:WLM1048573 WBQ1048572:WBQ1048573 VRU1048572:VRU1048573 VHY1048572:VHY1048573 UYC1048572:UYC1048573 UOG1048572:UOG1048573 UEK1048572:UEK1048573 TUO1048572:TUO1048573 TKS1048572:TKS1048573 TAW1048572:TAW1048573 SRA1048572:SRA1048573 SHE1048572:SHE1048573 RXI1048572:RXI1048573 RNM1048572:RNM1048573 RDQ1048572:RDQ1048573 QTU1048572:QTU1048573 QJY1048572:QJY1048573 QAC1048572:QAC1048573 PQG1048572:PQG1048573 PGK1048572:PGK1048573 OWO1048572:OWO1048573 OMS1048572:OMS1048573 OCW1048572:OCW1048573 NTA1048572:NTA1048573 NJE1048572:NJE1048573 MZI1048572:MZI1048573 MPM1048572:MPM1048573 MFQ1048572:MFQ1048573 LVU1048572:LVU1048573 LLY1048572:LLY1048573 LCC1048572:LCC1048573 KSG1048572:KSG1048573 KIK1048572:KIK1048573 JYO1048572:JYO1048573 JOS1048572:JOS1048573 JEW1048572:JEW1048573 IVA1048572:IVA1048573 ILE1048572:ILE1048573 IBI1048572:IBI1048573 HRM1048572:HRM1048573 HHQ1048572:HHQ1048573 GXU1048572:GXU1048573 GNY1048572:GNY1048573 GEC1048572:GEC1048573 FUG1048572:FUG1048573 FKK1048572:FKK1048573 FAO1048572:FAO1048573 EQS1048572:EQS1048573 EGW1048572:EGW1048573 DXA1048572:DXA1048573 DNE1048572:DNE1048573 DDI1048572:DDI1048573 CTM1048572:CTM1048573 CJQ1048572:CJQ1048573 BZU1048572:BZU1048573 BPY1048572:BPY1048573 BGC1048572:BGC1048573 AWG1048572:AWG1048573 AMK1048572:AMK1048573 ACO1048572:ACO1048573 SS1048572:SS1048573 IW1048572:IW1048573 WVI983036:WVI983037 WLM983036:WLM983037 WBQ983036:WBQ983037 VRU983036:VRU983037 VHY983036:VHY983037 UYC983036:UYC983037 UOG983036:UOG983037 UEK983036:UEK983037 TUO983036:TUO983037 TKS983036:TKS983037 TAW983036:TAW983037 SRA983036:SRA983037 SHE983036:SHE983037 RXI983036:RXI983037 RNM983036:RNM983037 RDQ983036:RDQ983037 QTU983036:QTU983037 QJY983036:QJY983037 QAC983036:QAC983037 PQG983036:PQG983037 PGK983036:PGK983037 OWO983036:OWO983037 OMS983036:OMS983037 OCW983036:OCW983037 NTA983036:NTA983037 NJE983036:NJE983037 MZI983036:MZI983037 MPM983036:MPM983037 MFQ983036:MFQ983037 LVU983036:LVU983037 LLY983036:LLY983037 LCC983036:LCC983037 KSG983036:KSG983037 KIK983036:KIK983037 JYO983036:JYO983037 JOS983036:JOS983037 JEW983036:JEW983037 IVA983036:IVA983037 ILE983036:ILE983037 IBI983036:IBI983037 HRM983036:HRM983037 HHQ983036:HHQ983037 GXU983036:GXU983037 GNY983036:GNY983037 GEC983036:GEC983037 FUG983036:FUG983037 FKK983036:FKK983037 FAO983036:FAO983037 EQS983036:EQS983037 EGW983036:EGW983037 DXA983036:DXA983037 DNE983036:DNE983037 DDI983036:DDI983037 CTM983036:CTM983037 CJQ983036:CJQ983037 BZU983036:BZU983037 BPY983036:BPY983037 BGC983036:BGC983037 AWG983036:AWG983037 AMK983036:AMK983037 ACO983036:ACO983037 SS983036:SS983037 IW983036:IW983037 WVI917500:WVI917501 WLM917500:WLM917501 WBQ917500:WBQ917501 VRU917500:VRU917501 VHY917500:VHY917501 UYC917500:UYC917501 UOG917500:UOG917501 UEK917500:UEK917501 TUO917500:TUO917501 TKS917500:TKS917501 TAW917500:TAW917501 SRA917500:SRA917501 SHE917500:SHE917501 RXI917500:RXI917501 RNM917500:RNM917501 RDQ917500:RDQ917501 QTU917500:QTU917501 QJY917500:QJY917501 QAC917500:QAC917501 PQG917500:PQG917501 PGK917500:PGK917501 OWO917500:OWO917501 OMS917500:OMS917501 OCW917500:OCW917501 NTA917500:NTA917501 NJE917500:NJE917501 MZI917500:MZI917501 MPM917500:MPM917501 MFQ917500:MFQ917501 LVU917500:LVU917501 LLY917500:LLY917501 LCC917500:LCC917501 KSG917500:KSG917501 KIK917500:KIK917501 JYO917500:JYO917501 JOS917500:JOS917501 JEW917500:JEW917501 IVA917500:IVA917501 ILE917500:ILE917501 IBI917500:IBI917501 HRM917500:HRM917501 HHQ917500:HHQ917501 GXU917500:GXU917501 GNY917500:GNY917501 GEC917500:GEC917501 FUG917500:FUG917501 FKK917500:FKK917501 FAO917500:FAO917501 EQS917500:EQS917501 EGW917500:EGW917501 DXA917500:DXA917501 DNE917500:DNE917501 DDI917500:DDI917501 CTM917500:CTM917501 CJQ917500:CJQ917501 BZU917500:BZU917501 BPY917500:BPY917501 BGC917500:BGC917501 AWG917500:AWG917501 AMK917500:AMK917501 ACO917500:ACO917501 SS917500:SS917501 IW917500:IW917501 WVI851964:WVI851965 WLM851964:WLM851965 WBQ851964:WBQ851965 VRU851964:VRU851965 VHY851964:VHY851965 UYC851964:UYC851965 UOG851964:UOG851965 UEK851964:UEK851965 TUO851964:TUO851965 TKS851964:TKS851965 TAW851964:TAW851965 SRA851964:SRA851965 SHE851964:SHE851965 RXI851964:RXI851965 RNM851964:RNM851965 RDQ851964:RDQ851965 QTU851964:QTU851965 QJY851964:QJY851965 QAC851964:QAC851965 PQG851964:PQG851965 PGK851964:PGK851965 OWO851964:OWO851965 OMS851964:OMS851965 OCW851964:OCW851965 NTA851964:NTA851965 NJE851964:NJE851965 MZI851964:MZI851965 MPM851964:MPM851965 MFQ851964:MFQ851965 LVU851964:LVU851965 LLY851964:LLY851965 LCC851964:LCC851965 KSG851964:KSG851965 KIK851964:KIK851965 JYO851964:JYO851965 JOS851964:JOS851965 JEW851964:JEW851965 IVA851964:IVA851965 ILE851964:ILE851965 IBI851964:IBI851965 HRM851964:HRM851965 HHQ851964:HHQ851965 GXU851964:GXU851965 GNY851964:GNY851965 GEC851964:GEC851965 FUG851964:FUG851965 FKK851964:FKK851965 FAO851964:FAO851965 EQS851964:EQS851965 EGW851964:EGW851965 DXA851964:DXA851965 DNE851964:DNE851965 DDI851964:DDI851965 CTM851964:CTM851965 CJQ851964:CJQ851965 BZU851964:BZU851965 BPY851964:BPY851965 BGC851964:BGC851965 AWG851964:AWG851965 AMK851964:AMK851965 ACO851964:ACO851965 SS851964:SS851965 IW851964:IW851965 WVI786428:WVI786429 WLM786428:WLM786429 WBQ786428:WBQ786429 VRU786428:VRU786429 VHY786428:VHY786429 UYC786428:UYC786429 UOG786428:UOG786429 UEK786428:UEK786429 TUO786428:TUO786429 TKS786428:TKS786429 TAW786428:TAW786429 SRA786428:SRA786429 SHE786428:SHE786429 RXI786428:RXI786429 RNM786428:RNM786429 RDQ786428:RDQ786429 QTU786428:QTU786429 QJY786428:QJY786429 QAC786428:QAC786429 PQG786428:PQG786429 PGK786428:PGK786429 OWO786428:OWO786429 OMS786428:OMS786429 OCW786428:OCW786429 NTA786428:NTA786429 NJE786428:NJE786429 MZI786428:MZI786429 MPM786428:MPM786429 MFQ786428:MFQ786429 LVU786428:LVU786429 LLY786428:LLY786429 LCC786428:LCC786429 KSG786428:KSG786429 KIK786428:KIK786429 JYO786428:JYO786429 JOS786428:JOS786429 JEW786428:JEW786429 IVA786428:IVA786429 ILE786428:ILE786429 IBI786428:IBI786429 HRM786428:HRM786429 HHQ786428:HHQ786429 GXU786428:GXU786429 GNY786428:GNY786429 GEC786428:GEC786429 FUG786428:FUG786429 FKK786428:FKK786429 FAO786428:FAO786429 EQS786428:EQS786429 EGW786428:EGW786429 DXA786428:DXA786429 DNE786428:DNE786429 DDI786428:DDI786429 CTM786428:CTM786429 CJQ786428:CJQ786429 BZU786428:BZU786429 BPY786428:BPY786429 BGC786428:BGC786429 AWG786428:AWG786429 AMK786428:AMK786429 ACO786428:ACO786429 SS786428:SS786429 IW786428:IW786429 WVI720892:WVI720893 WLM720892:WLM720893 WBQ720892:WBQ720893 VRU720892:VRU720893 VHY720892:VHY720893 UYC720892:UYC720893 UOG720892:UOG720893 UEK720892:UEK720893 TUO720892:TUO720893 TKS720892:TKS720893 TAW720892:TAW720893 SRA720892:SRA720893 SHE720892:SHE720893 RXI720892:RXI720893 RNM720892:RNM720893 RDQ720892:RDQ720893 QTU720892:QTU720893 QJY720892:QJY720893 QAC720892:QAC720893 PQG720892:PQG720893 PGK720892:PGK720893 OWO720892:OWO720893 OMS720892:OMS720893 OCW720892:OCW720893 NTA720892:NTA720893 NJE720892:NJE720893 MZI720892:MZI720893 MPM720892:MPM720893 MFQ720892:MFQ720893 LVU720892:LVU720893 LLY720892:LLY720893 LCC720892:LCC720893 KSG720892:KSG720893 KIK720892:KIK720893 JYO720892:JYO720893 JOS720892:JOS720893 JEW720892:JEW720893 IVA720892:IVA720893 ILE720892:ILE720893 IBI720892:IBI720893 HRM720892:HRM720893 HHQ720892:HHQ720893 GXU720892:GXU720893 GNY720892:GNY720893 GEC720892:GEC720893 FUG720892:FUG720893 FKK720892:FKK720893 FAO720892:FAO720893 EQS720892:EQS720893 EGW720892:EGW720893 DXA720892:DXA720893 DNE720892:DNE720893 DDI720892:DDI720893 CTM720892:CTM720893 CJQ720892:CJQ720893 BZU720892:BZU720893 BPY720892:BPY720893 BGC720892:BGC720893 AWG720892:AWG720893 AMK720892:AMK720893 ACO720892:ACO720893 SS720892:SS720893 IW720892:IW720893 WVI655356:WVI655357 WLM655356:WLM655357 WBQ655356:WBQ655357 VRU655356:VRU655357 VHY655356:VHY655357 UYC655356:UYC655357 UOG655356:UOG655357 UEK655356:UEK655357 TUO655356:TUO655357 TKS655356:TKS655357 TAW655356:TAW655357 SRA655356:SRA655357 SHE655356:SHE655357 RXI655356:RXI655357 RNM655356:RNM655357 RDQ655356:RDQ655357 QTU655356:QTU655357 QJY655356:QJY655357 QAC655356:QAC655357 PQG655356:PQG655357 PGK655356:PGK655357 OWO655356:OWO655357 OMS655356:OMS655357 OCW655356:OCW655357 NTA655356:NTA655357 NJE655356:NJE655357 MZI655356:MZI655357 MPM655356:MPM655357 MFQ655356:MFQ655357 LVU655356:LVU655357 LLY655356:LLY655357 LCC655356:LCC655357 KSG655356:KSG655357 KIK655356:KIK655357 JYO655356:JYO655357 JOS655356:JOS655357 JEW655356:JEW655357 IVA655356:IVA655357 ILE655356:ILE655357 IBI655356:IBI655357 HRM655356:HRM655357 HHQ655356:HHQ655357 GXU655356:GXU655357 GNY655356:GNY655357 GEC655356:GEC655357 FUG655356:FUG655357 FKK655356:FKK655357 FAO655356:FAO655357 EQS655356:EQS655357 EGW655356:EGW655357 DXA655356:DXA655357 DNE655356:DNE655357 DDI655356:DDI655357 CTM655356:CTM655357 CJQ655356:CJQ655357 BZU655356:BZU655357 BPY655356:BPY655357 BGC655356:BGC655357 AWG655356:AWG655357 AMK655356:AMK655357 ACO655356:ACO655357 SS655356:SS655357 IW655356:IW655357 WVI589820:WVI589821 WLM589820:WLM589821 WBQ589820:WBQ589821 VRU589820:VRU589821 VHY589820:VHY589821 UYC589820:UYC589821 UOG589820:UOG589821 UEK589820:UEK589821 TUO589820:TUO589821 TKS589820:TKS589821 TAW589820:TAW589821 SRA589820:SRA589821 SHE589820:SHE589821 RXI589820:RXI589821 RNM589820:RNM589821 RDQ589820:RDQ589821 QTU589820:QTU589821 QJY589820:QJY589821 QAC589820:QAC589821 PQG589820:PQG589821 PGK589820:PGK589821 OWO589820:OWO589821 OMS589820:OMS589821 OCW589820:OCW589821 NTA589820:NTA589821 NJE589820:NJE589821 MZI589820:MZI589821 MPM589820:MPM589821 MFQ589820:MFQ589821 LVU589820:LVU589821 LLY589820:LLY589821 LCC589820:LCC589821 KSG589820:KSG589821 KIK589820:KIK589821 JYO589820:JYO589821 JOS589820:JOS589821 JEW589820:JEW589821 IVA589820:IVA589821 ILE589820:ILE589821 IBI589820:IBI589821 HRM589820:HRM589821 HHQ589820:HHQ589821 GXU589820:GXU589821 GNY589820:GNY589821 GEC589820:GEC589821 FUG589820:FUG589821 FKK589820:FKK589821 FAO589820:FAO589821 EQS589820:EQS589821 EGW589820:EGW589821 DXA589820:DXA589821 DNE589820:DNE589821 DDI589820:DDI589821 CTM589820:CTM589821 CJQ589820:CJQ589821 BZU589820:BZU589821 BPY589820:BPY589821 BGC589820:BGC589821 AWG589820:AWG589821 AMK589820:AMK589821 ACO589820:ACO589821 SS589820:SS589821 IW589820:IW589821 WVI524284:WVI524285 WLM524284:WLM524285 WBQ524284:WBQ524285 VRU524284:VRU524285 VHY524284:VHY524285 UYC524284:UYC524285 UOG524284:UOG524285 UEK524284:UEK524285 TUO524284:TUO524285 TKS524284:TKS524285 TAW524284:TAW524285 SRA524284:SRA524285 SHE524284:SHE524285 RXI524284:RXI524285 RNM524284:RNM524285 RDQ524284:RDQ524285 QTU524284:QTU524285 QJY524284:QJY524285 QAC524284:QAC524285 PQG524284:PQG524285 PGK524284:PGK524285 OWO524284:OWO524285 OMS524284:OMS524285 OCW524284:OCW524285 NTA524284:NTA524285 NJE524284:NJE524285 MZI524284:MZI524285 MPM524284:MPM524285 MFQ524284:MFQ524285 LVU524284:LVU524285 LLY524284:LLY524285 LCC524284:LCC524285 KSG524284:KSG524285 KIK524284:KIK524285 JYO524284:JYO524285 JOS524284:JOS524285 JEW524284:JEW524285 IVA524284:IVA524285 ILE524284:ILE524285 IBI524284:IBI524285 HRM524284:HRM524285 HHQ524284:HHQ524285 GXU524284:GXU524285 GNY524284:GNY524285 GEC524284:GEC524285 FUG524284:FUG524285 FKK524284:FKK524285 FAO524284:FAO524285 EQS524284:EQS524285 EGW524284:EGW524285 DXA524284:DXA524285 DNE524284:DNE524285 DDI524284:DDI524285 CTM524284:CTM524285 CJQ524284:CJQ524285 BZU524284:BZU524285 BPY524284:BPY524285 BGC524284:BGC524285 AWG524284:AWG524285 AMK524284:AMK524285 ACO524284:ACO524285 SS524284:SS524285 IW524284:IW524285 WVI458748:WVI458749 WLM458748:WLM458749 WBQ458748:WBQ458749 VRU458748:VRU458749 VHY458748:VHY458749 UYC458748:UYC458749 UOG458748:UOG458749 UEK458748:UEK458749 TUO458748:TUO458749 TKS458748:TKS458749 TAW458748:TAW458749 SRA458748:SRA458749 SHE458748:SHE458749 RXI458748:RXI458749 RNM458748:RNM458749 RDQ458748:RDQ458749 QTU458748:QTU458749 QJY458748:QJY458749 QAC458748:QAC458749 PQG458748:PQG458749 PGK458748:PGK458749 OWO458748:OWO458749 OMS458748:OMS458749 OCW458748:OCW458749 NTA458748:NTA458749 NJE458748:NJE458749 MZI458748:MZI458749 MPM458748:MPM458749 MFQ458748:MFQ458749 LVU458748:LVU458749 LLY458748:LLY458749 LCC458748:LCC458749 KSG458748:KSG458749 KIK458748:KIK458749 JYO458748:JYO458749 JOS458748:JOS458749 JEW458748:JEW458749 IVA458748:IVA458749 ILE458748:ILE458749 IBI458748:IBI458749 HRM458748:HRM458749 HHQ458748:HHQ458749 GXU458748:GXU458749 GNY458748:GNY458749 GEC458748:GEC458749 FUG458748:FUG458749 FKK458748:FKK458749 FAO458748:FAO458749 EQS458748:EQS458749 EGW458748:EGW458749 DXA458748:DXA458749 DNE458748:DNE458749 DDI458748:DDI458749 CTM458748:CTM458749 CJQ458748:CJQ458749 BZU458748:BZU458749 BPY458748:BPY458749 BGC458748:BGC458749 AWG458748:AWG458749 AMK458748:AMK458749 ACO458748:ACO458749 SS458748:SS458749 IW458748:IW458749 WVI393212:WVI393213 WLM393212:WLM393213 WBQ393212:WBQ393213 VRU393212:VRU393213 VHY393212:VHY393213 UYC393212:UYC393213 UOG393212:UOG393213 UEK393212:UEK393213 TUO393212:TUO393213 TKS393212:TKS393213 TAW393212:TAW393213 SRA393212:SRA393213 SHE393212:SHE393213 RXI393212:RXI393213 RNM393212:RNM393213 RDQ393212:RDQ393213 QTU393212:QTU393213 QJY393212:QJY393213 QAC393212:QAC393213 PQG393212:PQG393213 PGK393212:PGK393213 OWO393212:OWO393213 OMS393212:OMS393213 OCW393212:OCW393213 NTA393212:NTA393213 NJE393212:NJE393213 MZI393212:MZI393213 MPM393212:MPM393213 MFQ393212:MFQ393213 LVU393212:LVU393213 LLY393212:LLY393213 LCC393212:LCC393213 KSG393212:KSG393213 KIK393212:KIK393213 JYO393212:JYO393213 JOS393212:JOS393213 JEW393212:JEW393213 IVA393212:IVA393213 ILE393212:ILE393213 IBI393212:IBI393213 HRM393212:HRM393213 HHQ393212:HHQ393213 GXU393212:GXU393213 GNY393212:GNY393213 GEC393212:GEC393213 FUG393212:FUG393213 FKK393212:FKK393213 FAO393212:FAO393213 EQS393212:EQS393213 EGW393212:EGW393213 DXA393212:DXA393213 DNE393212:DNE393213 DDI393212:DDI393213 CTM393212:CTM393213 CJQ393212:CJQ393213 BZU393212:BZU393213 BPY393212:BPY393213 BGC393212:BGC393213 AWG393212:AWG393213 AMK393212:AMK393213 ACO393212:ACO393213 SS393212:SS393213 IW393212:IW393213 WVI327676:WVI327677 WLM327676:WLM327677 WBQ327676:WBQ327677 VRU327676:VRU327677 VHY327676:VHY327677 UYC327676:UYC327677 UOG327676:UOG327677 UEK327676:UEK327677 TUO327676:TUO327677 TKS327676:TKS327677 TAW327676:TAW327677 SRA327676:SRA327677 SHE327676:SHE327677 RXI327676:RXI327677 RNM327676:RNM327677 RDQ327676:RDQ327677 QTU327676:QTU327677 QJY327676:QJY327677 QAC327676:QAC327677 PQG327676:PQG327677 PGK327676:PGK327677 OWO327676:OWO327677 OMS327676:OMS327677 OCW327676:OCW327677 NTA327676:NTA327677 NJE327676:NJE327677 MZI327676:MZI327677 MPM327676:MPM327677 MFQ327676:MFQ327677 LVU327676:LVU327677 LLY327676:LLY327677 LCC327676:LCC327677 KSG327676:KSG327677 KIK327676:KIK327677 JYO327676:JYO327677 JOS327676:JOS327677 JEW327676:JEW327677 IVA327676:IVA327677 ILE327676:ILE327677 IBI327676:IBI327677 HRM327676:HRM327677 HHQ327676:HHQ327677 GXU327676:GXU327677 GNY327676:GNY327677 GEC327676:GEC327677 FUG327676:FUG327677 FKK327676:FKK327677 FAO327676:FAO327677 EQS327676:EQS327677 EGW327676:EGW327677 DXA327676:DXA327677 DNE327676:DNE327677 DDI327676:DDI327677 CTM327676:CTM327677 CJQ327676:CJQ327677 BZU327676:BZU327677 BPY327676:BPY327677 BGC327676:BGC327677 AWG327676:AWG327677 AMK327676:AMK327677 ACO327676:ACO327677 SS327676:SS327677 IW327676:IW327677 WVI262140:WVI262141 WLM262140:WLM262141 WBQ262140:WBQ262141 VRU262140:VRU262141 VHY262140:VHY262141 UYC262140:UYC262141 UOG262140:UOG262141 UEK262140:UEK262141 TUO262140:TUO262141 TKS262140:TKS262141 TAW262140:TAW262141 SRA262140:SRA262141 SHE262140:SHE262141 RXI262140:RXI262141 RNM262140:RNM262141 RDQ262140:RDQ262141 QTU262140:QTU262141 QJY262140:QJY262141 QAC262140:QAC262141 PQG262140:PQG262141 PGK262140:PGK262141 OWO262140:OWO262141 OMS262140:OMS262141 OCW262140:OCW262141 NTA262140:NTA262141 NJE262140:NJE262141 MZI262140:MZI262141 MPM262140:MPM262141 MFQ262140:MFQ262141 LVU262140:LVU262141 LLY262140:LLY262141 LCC262140:LCC262141 KSG262140:KSG262141 KIK262140:KIK262141 JYO262140:JYO262141 JOS262140:JOS262141 JEW262140:JEW262141 IVA262140:IVA262141 ILE262140:ILE262141 IBI262140:IBI262141 HRM262140:HRM262141 HHQ262140:HHQ262141 GXU262140:GXU262141 GNY262140:GNY262141 GEC262140:GEC262141 FUG262140:FUG262141 FKK262140:FKK262141 FAO262140:FAO262141 EQS262140:EQS262141 EGW262140:EGW262141 DXA262140:DXA262141 DNE262140:DNE262141 DDI262140:DDI262141 CTM262140:CTM262141 CJQ262140:CJQ262141 BZU262140:BZU262141 BPY262140:BPY262141 BGC262140:BGC262141 AWG262140:AWG262141 AMK262140:AMK262141 ACO262140:ACO262141 SS262140:SS262141 IW262140:IW262141 WVI196604:WVI196605 WLM196604:WLM196605 WBQ196604:WBQ196605 VRU196604:VRU196605 VHY196604:VHY196605 UYC196604:UYC196605 UOG196604:UOG196605 UEK196604:UEK196605 TUO196604:TUO196605 TKS196604:TKS196605 TAW196604:TAW196605 SRA196604:SRA196605 SHE196604:SHE196605 RXI196604:RXI196605 RNM196604:RNM196605 RDQ196604:RDQ196605 QTU196604:QTU196605 QJY196604:QJY196605 QAC196604:QAC196605 PQG196604:PQG196605 PGK196604:PGK196605 OWO196604:OWO196605 OMS196604:OMS196605 OCW196604:OCW196605 NTA196604:NTA196605 NJE196604:NJE196605 MZI196604:MZI196605 MPM196604:MPM196605 MFQ196604:MFQ196605 LVU196604:LVU196605 LLY196604:LLY196605 LCC196604:LCC196605 KSG196604:KSG196605 KIK196604:KIK196605 JYO196604:JYO196605 JOS196604:JOS196605 JEW196604:JEW196605 IVA196604:IVA196605 ILE196604:ILE196605 IBI196604:IBI196605 HRM196604:HRM196605 HHQ196604:HHQ196605 GXU196604:GXU196605 GNY196604:GNY196605 GEC196604:GEC196605 FUG196604:FUG196605 FKK196604:FKK196605 FAO196604:FAO196605 EQS196604:EQS196605 EGW196604:EGW196605 DXA196604:DXA196605 DNE196604:DNE196605 DDI196604:DDI196605 CTM196604:CTM196605 CJQ196604:CJQ196605 BZU196604:BZU196605 BPY196604:BPY196605 BGC196604:BGC196605 AWG196604:AWG196605 AMK196604:AMK196605 ACO196604:ACO196605 SS196604:SS196605 IW196604:IW196605 WVI131068:WVI131069 WLM131068:WLM131069 WBQ131068:WBQ131069 VRU131068:VRU131069 VHY131068:VHY131069 UYC131068:UYC131069 UOG131068:UOG131069 UEK131068:UEK131069 TUO131068:TUO131069 TKS131068:TKS131069 TAW131068:TAW131069 SRA131068:SRA131069 SHE131068:SHE131069 RXI131068:RXI131069 RNM131068:RNM131069 RDQ131068:RDQ131069 QTU131068:QTU131069 QJY131068:QJY131069 QAC131068:QAC131069 PQG131068:PQG131069 PGK131068:PGK131069 OWO131068:OWO131069 OMS131068:OMS131069 OCW131068:OCW131069 NTA131068:NTA131069 NJE131068:NJE131069 MZI131068:MZI131069 MPM131068:MPM131069 MFQ131068:MFQ131069 LVU131068:LVU131069 LLY131068:LLY131069 LCC131068:LCC131069 KSG131068:KSG131069 KIK131068:KIK131069 JYO131068:JYO131069 JOS131068:JOS131069 JEW131068:JEW131069 IVA131068:IVA131069 ILE131068:ILE131069 IBI131068:IBI131069 HRM131068:HRM131069 HHQ131068:HHQ131069 GXU131068:GXU131069 GNY131068:GNY131069 GEC131068:GEC131069 FUG131068:FUG131069 FKK131068:FKK131069 FAO131068:FAO131069 EQS131068:EQS131069 EGW131068:EGW131069 DXA131068:DXA131069 DNE131068:DNE131069 DDI131068:DDI131069 CTM131068:CTM131069 CJQ131068:CJQ131069 BZU131068:BZU131069 BPY131068:BPY131069 BGC131068:BGC131069 AWG131068:AWG131069 AMK131068:AMK131069 ACO131068:ACO131069 SS131068:SS131069 IW131068:IW131069 WVI65532:WVI65533 WLM65532:WLM65533 WBQ65532:WBQ65533 VRU65532:VRU65533 VHY65532:VHY65533 UYC65532:UYC65533 UOG65532:UOG65533 UEK65532:UEK65533 TUO65532:TUO65533 TKS65532:TKS65533 TAW65532:TAW65533 SRA65532:SRA65533 SHE65532:SHE65533 RXI65532:RXI65533 RNM65532:RNM65533 RDQ65532:RDQ65533 QTU65532:QTU65533 QJY65532:QJY65533 QAC65532:QAC65533 PQG65532:PQG65533 PGK65532:PGK65533 OWO65532:OWO65533 OMS65532:OMS65533 OCW65532:OCW65533 NTA65532:NTA65533 NJE65532:NJE65533 MZI65532:MZI65533 MPM65532:MPM65533 MFQ65532:MFQ65533 LVU65532:LVU65533 LLY65532:LLY65533 LCC65532:LCC65533 KSG65532:KSG65533 KIK65532:KIK65533 JYO65532:JYO65533 JOS65532:JOS65533 JEW65532:JEW65533 IVA65532:IVA65533 ILE65532:ILE65533 IBI65532:IBI65533 HRM65532:HRM65533 HHQ65532:HHQ65533 GXU65532:GXU65533 GNY65532:GNY65533 GEC65532:GEC65533 FUG65532:FUG65533 FKK65532:FKK65533 FAO65532:FAO65533 EQS65532:EQS65533 EGW65532:EGW65533 DXA65532:DXA65533 DNE65532:DNE65533 DDI65532:DDI65533 CTM65532:CTM65533 CJQ65532:CJQ65533 BZU65532:BZU65533 BPY65532:BPY65533 BGC65532:BGC65533 AWG65532:AWG65533 AMK65532:AMK65533 ACO65532:ACO65533 SS65532:SS65533 IW65532:IW65533 F131068:F131069 F196604:F196605 F262140:F262141 F327676:F327677 F393212:F393213 F458748:F458749 F524284:F524285 F589820:F589821 F655356:F655357 F720892:F720893 F786428:F786429 F851964:F851965 F917500:F917501 F983036:F983037 F1048572:F1048573 F65532:F65533"/>
    <dataValidation allowBlank="1" showInputMessage="1" showErrorMessage="1" prompt="saída sem_x000a_passar pela_x000a_obra de arte" sqref="WVJ1048572:WVJ1048573 WLN1048572:WLN1048573 WBR1048572:WBR1048573 VRV1048572:VRV1048573 VHZ1048572:VHZ1048573 UYD1048572:UYD1048573 UOH1048572:UOH1048573 UEL1048572:UEL1048573 TUP1048572:TUP1048573 TKT1048572:TKT1048573 TAX1048572:TAX1048573 SRB1048572:SRB1048573 SHF1048572:SHF1048573 RXJ1048572:RXJ1048573 RNN1048572:RNN1048573 RDR1048572:RDR1048573 QTV1048572:QTV1048573 QJZ1048572:QJZ1048573 QAD1048572:QAD1048573 PQH1048572:PQH1048573 PGL1048572:PGL1048573 OWP1048572:OWP1048573 OMT1048572:OMT1048573 OCX1048572:OCX1048573 NTB1048572:NTB1048573 NJF1048572:NJF1048573 MZJ1048572:MZJ1048573 MPN1048572:MPN1048573 MFR1048572:MFR1048573 LVV1048572:LVV1048573 LLZ1048572:LLZ1048573 LCD1048572:LCD1048573 KSH1048572:KSH1048573 KIL1048572:KIL1048573 JYP1048572:JYP1048573 JOT1048572:JOT1048573 JEX1048572:JEX1048573 IVB1048572:IVB1048573 ILF1048572:ILF1048573 IBJ1048572:IBJ1048573 HRN1048572:HRN1048573 HHR1048572:HHR1048573 GXV1048572:GXV1048573 GNZ1048572:GNZ1048573 GED1048572:GED1048573 FUH1048572:FUH1048573 FKL1048572:FKL1048573 FAP1048572:FAP1048573 EQT1048572:EQT1048573 EGX1048572:EGX1048573 DXB1048572:DXB1048573 DNF1048572:DNF1048573 DDJ1048572:DDJ1048573 CTN1048572:CTN1048573 CJR1048572:CJR1048573 BZV1048572:BZV1048573 BPZ1048572:BPZ1048573 BGD1048572:BGD1048573 AWH1048572:AWH1048573 AML1048572:AML1048573 ACP1048572:ACP1048573 ST1048572:ST1048573 IX1048572:IX1048573 WVJ983036:WVJ983037 WLN983036:WLN983037 WBR983036:WBR983037 VRV983036:VRV983037 VHZ983036:VHZ983037 UYD983036:UYD983037 UOH983036:UOH983037 UEL983036:UEL983037 TUP983036:TUP983037 TKT983036:TKT983037 TAX983036:TAX983037 SRB983036:SRB983037 SHF983036:SHF983037 RXJ983036:RXJ983037 RNN983036:RNN983037 RDR983036:RDR983037 QTV983036:QTV983037 QJZ983036:QJZ983037 QAD983036:QAD983037 PQH983036:PQH983037 PGL983036:PGL983037 OWP983036:OWP983037 OMT983036:OMT983037 OCX983036:OCX983037 NTB983036:NTB983037 NJF983036:NJF983037 MZJ983036:MZJ983037 MPN983036:MPN983037 MFR983036:MFR983037 LVV983036:LVV983037 LLZ983036:LLZ983037 LCD983036:LCD983037 KSH983036:KSH983037 KIL983036:KIL983037 JYP983036:JYP983037 JOT983036:JOT983037 JEX983036:JEX983037 IVB983036:IVB983037 ILF983036:ILF983037 IBJ983036:IBJ983037 HRN983036:HRN983037 HHR983036:HHR983037 GXV983036:GXV983037 GNZ983036:GNZ983037 GED983036:GED983037 FUH983036:FUH983037 FKL983036:FKL983037 FAP983036:FAP983037 EQT983036:EQT983037 EGX983036:EGX983037 DXB983036:DXB983037 DNF983036:DNF983037 DDJ983036:DDJ983037 CTN983036:CTN983037 CJR983036:CJR983037 BZV983036:BZV983037 BPZ983036:BPZ983037 BGD983036:BGD983037 AWH983036:AWH983037 AML983036:AML983037 ACP983036:ACP983037 ST983036:ST983037 IX983036:IX983037 WVJ917500:WVJ917501 WLN917500:WLN917501 WBR917500:WBR917501 VRV917500:VRV917501 VHZ917500:VHZ917501 UYD917500:UYD917501 UOH917500:UOH917501 UEL917500:UEL917501 TUP917500:TUP917501 TKT917500:TKT917501 TAX917500:TAX917501 SRB917500:SRB917501 SHF917500:SHF917501 RXJ917500:RXJ917501 RNN917500:RNN917501 RDR917500:RDR917501 QTV917500:QTV917501 QJZ917500:QJZ917501 QAD917500:QAD917501 PQH917500:PQH917501 PGL917500:PGL917501 OWP917500:OWP917501 OMT917500:OMT917501 OCX917500:OCX917501 NTB917500:NTB917501 NJF917500:NJF917501 MZJ917500:MZJ917501 MPN917500:MPN917501 MFR917500:MFR917501 LVV917500:LVV917501 LLZ917500:LLZ917501 LCD917500:LCD917501 KSH917500:KSH917501 KIL917500:KIL917501 JYP917500:JYP917501 JOT917500:JOT917501 JEX917500:JEX917501 IVB917500:IVB917501 ILF917500:ILF917501 IBJ917500:IBJ917501 HRN917500:HRN917501 HHR917500:HHR917501 GXV917500:GXV917501 GNZ917500:GNZ917501 GED917500:GED917501 FUH917500:FUH917501 FKL917500:FKL917501 FAP917500:FAP917501 EQT917500:EQT917501 EGX917500:EGX917501 DXB917500:DXB917501 DNF917500:DNF917501 DDJ917500:DDJ917501 CTN917500:CTN917501 CJR917500:CJR917501 BZV917500:BZV917501 BPZ917500:BPZ917501 BGD917500:BGD917501 AWH917500:AWH917501 AML917500:AML917501 ACP917500:ACP917501 ST917500:ST917501 IX917500:IX917501 WVJ851964:WVJ851965 WLN851964:WLN851965 WBR851964:WBR851965 VRV851964:VRV851965 VHZ851964:VHZ851965 UYD851964:UYD851965 UOH851964:UOH851965 UEL851964:UEL851965 TUP851964:TUP851965 TKT851964:TKT851965 TAX851964:TAX851965 SRB851964:SRB851965 SHF851964:SHF851965 RXJ851964:RXJ851965 RNN851964:RNN851965 RDR851964:RDR851965 QTV851964:QTV851965 QJZ851964:QJZ851965 QAD851964:QAD851965 PQH851964:PQH851965 PGL851964:PGL851965 OWP851964:OWP851965 OMT851964:OMT851965 OCX851964:OCX851965 NTB851964:NTB851965 NJF851964:NJF851965 MZJ851964:MZJ851965 MPN851964:MPN851965 MFR851964:MFR851965 LVV851964:LVV851965 LLZ851964:LLZ851965 LCD851964:LCD851965 KSH851964:KSH851965 KIL851964:KIL851965 JYP851964:JYP851965 JOT851964:JOT851965 JEX851964:JEX851965 IVB851964:IVB851965 ILF851964:ILF851965 IBJ851964:IBJ851965 HRN851964:HRN851965 HHR851964:HHR851965 GXV851964:GXV851965 GNZ851964:GNZ851965 GED851964:GED851965 FUH851964:FUH851965 FKL851964:FKL851965 FAP851964:FAP851965 EQT851964:EQT851965 EGX851964:EGX851965 DXB851964:DXB851965 DNF851964:DNF851965 DDJ851964:DDJ851965 CTN851964:CTN851965 CJR851964:CJR851965 BZV851964:BZV851965 BPZ851964:BPZ851965 BGD851964:BGD851965 AWH851964:AWH851965 AML851964:AML851965 ACP851964:ACP851965 ST851964:ST851965 IX851964:IX851965 WVJ786428:WVJ786429 WLN786428:WLN786429 WBR786428:WBR786429 VRV786428:VRV786429 VHZ786428:VHZ786429 UYD786428:UYD786429 UOH786428:UOH786429 UEL786428:UEL786429 TUP786428:TUP786429 TKT786428:TKT786429 TAX786428:TAX786429 SRB786428:SRB786429 SHF786428:SHF786429 RXJ786428:RXJ786429 RNN786428:RNN786429 RDR786428:RDR786429 QTV786428:QTV786429 QJZ786428:QJZ786429 QAD786428:QAD786429 PQH786428:PQH786429 PGL786428:PGL786429 OWP786428:OWP786429 OMT786428:OMT786429 OCX786428:OCX786429 NTB786428:NTB786429 NJF786428:NJF786429 MZJ786428:MZJ786429 MPN786428:MPN786429 MFR786428:MFR786429 LVV786428:LVV786429 LLZ786428:LLZ786429 LCD786428:LCD786429 KSH786428:KSH786429 KIL786428:KIL786429 JYP786428:JYP786429 JOT786428:JOT786429 JEX786428:JEX786429 IVB786428:IVB786429 ILF786428:ILF786429 IBJ786428:IBJ786429 HRN786428:HRN786429 HHR786428:HHR786429 GXV786428:GXV786429 GNZ786428:GNZ786429 GED786428:GED786429 FUH786428:FUH786429 FKL786428:FKL786429 FAP786428:FAP786429 EQT786428:EQT786429 EGX786428:EGX786429 DXB786428:DXB786429 DNF786428:DNF786429 DDJ786428:DDJ786429 CTN786428:CTN786429 CJR786428:CJR786429 BZV786428:BZV786429 BPZ786428:BPZ786429 BGD786428:BGD786429 AWH786428:AWH786429 AML786428:AML786429 ACP786428:ACP786429 ST786428:ST786429 IX786428:IX786429 WVJ720892:WVJ720893 WLN720892:WLN720893 WBR720892:WBR720893 VRV720892:VRV720893 VHZ720892:VHZ720893 UYD720892:UYD720893 UOH720892:UOH720893 UEL720892:UEL720893 TUP720892:TUP720893 TKT720892:TKT720893 TAX720892:TAX720893 SRB720892:SRB720893 SHF720892:SHF720893 RXJ720892:RXJ720893 RNN720892:RNN720893 RDR720892:RDR720893 QTV720892:QTV720893 QJZ720892:QJZ720893 QAD720892:QAD720893 PQH720892:PQH720893 PGL720892:PGL720893 OWP720892:OWP720893 OMT720892:OMT720893 OCX720892:OCX720893 NTB720892:NTB720893 NJF720892:NJF720893 MZJ720892:MZJ720893 MPN720892:MPN720893 MFR720892:MFR720893 LVV720892:LVV720893 LLZ720892:LLZ720893 LCD720892:LCD720893 KSH720892:KSH720893 KIL720892:KIL720893 JYP720892:JYP720893 JOT720892:JOT720893 JEX720892:JEX720893 IVB720892:IVB720893 ILF720892:ILF720893 IBJ720892:IBJ720893 HRN720892:HRN720893 HHR720892:HHR720893 GXV720892:GXV720893 GNZ720892:GNZ720893 GED720892:GED720893 FUH720892:FUH720893 FKL720892:FKL720893 FAP720892:FAP720893 EQT720892:EQT720893 EGX720892:EGX720893 DXB720892:DXB720893 DNF720892:DNF720893 DDJ720892:DDJ720893 CTN720892:CTN720893 CJR720892:CJR720893 BZV720892:BZV720893 BPZ720892:BPZ720893 BGD720892:BGD720893 AWH720892:AWH720893 AML720892:AML720893 ACP720892:ACP720893 ST720892:ST720893 IX720892:IX720893 WVJ655356:WVJ655357 WLN655356:WLN655357 WBR655356:WBR655357 VRV655356:VRV655357 VHZ655356:VHZ655357 UYD655356:UYD655357 UOH655356:UOH655357 UEL655356:UEL655357 TUP655356:TUP655357 TKT655356:TKT655357 TAX655356:TAX655357 SRB655356:SRB655357 SHF655356:SHF655357 RXJ655356:RXJ655357 RNN655356:RNN655357 RDR655356:RDR655357 QTV655356:QTV655357 QJZ655356:QJZ655357 QAD655356:QAD655357 PQH655356:PQH655357 PGL655356:PGL655357 OWP655356:OWP655357 OMT655356:OMT655357 OCX655356:OCX655357 NTB655356:NTB655357 NJF655356:NJF655357 MZJ655356:MZJ655357 MPN655356:MPN655357 MFR655356:MFR655357 LVV655356:LVV655357 LLZ655356:LLZ655357 LCD655356:LCD655357 KSH655356:KSH655357 KIL655356:KIL655357 JYP655356:JYP655357 JOT655356:JOT655357 JEX655356:JEX655357 IVB655356:IVB655357 ILF655356:ILF655357 IBJ655356:IBJ655357 HRN655356:HRN655357 HHR655356:HHR655357 GXV655356:GXV655357 GNZ655356:GNZ655357 GED655356:GED655357 FUH655356:FUH655357 FKL655356:FKL655357 FAP655356:FAP655357 EQT655356:EQT655357 EGX655356:EGX655357 DXB655356:DXB655357 DNF655356:DNF655357 DDJ655356:DDJ655357 CTN655356:CTN655357 CJR655356:CJR655357 BZV655356:BZV655357 BPZ655356:BPZ655357 BGD655356:BGD655357 AWH655356:AWH655357 AML655356:AML655357 ACP655356:ACP655357 ST655356:ST655357 IX655356:IX655357 WVJ589820:WVJ589821 WLN589820:WLN589821 WBR589820:WBR589821 VRV589820:VRV589821 VHZ589820:VHZ589821 UYD589820:UYD589821 UOH589820:UOH589821 UEL589820:UEL589821 TUP589820:TUP589821 TKT589820:TKT589821 TAX589820:TAX589821 SRB589820:SRB589821 SHF589820:SHF589821 RXJ589820:RXJ589821 RNN589820:RNN589821 RDR589820:RDR589821 QTV589820:QTV589821 QJZ589820:QJZ589821 QAD589820:QAD589821 PQH589820:PQH589821 PGL589820:PGL589821 OWP589820:OWP589821 OMT589820:OMT589821 OCX589820:OCX589821 NTB589820:NTB589821 NJF589820:NJF589821 MZJ589820:MZJ589821 MPN589820:MPN589821 MFR589820:MFR589821 LVV589820:LVV589821 LLZ589820:LLZ589821 LCD589820:LCD589821 KSH589820:KSH589821 KIL589820:KIL589821 JYP589820:JYP589821 JOT589820:JOT589821 JEX589820:JEX589821 IVB589820:IVB589821 ILF589820:ILF589821 IBJ589820:IBJ589821 HRN589820:HRN589821 HHR589820:HHR589821 GXV589820:GXV589821 GNZ589820:GNZ589821 GED589820:GED589821 FUH589820:FUH589821 FKL589820:FKL589821 FAP589820:FAP589821 EQT589820:EQT589821 EGX589820:EGX589821 DXB589820:DXB589821 DNF589820:DNF589821 DDJ589820:DDJ589821 CTN589820:CTN589821 CJR589820:CJR589821 BZV589820:BZV589821 BPZ589820:BPZ589821 BGD589820:BGD589821 AWH589820:AWH589821 AML589820:AML589821 ACP589820:ACP589821 ST589820:ST589821 IX589820:IX589821 WVJ524284:WVJ524285 WLN524284:WLN524285 WBR524284:WBR524285 VRV524284:VRV524285 VHZ524284:VHZ524285 UYD524284:UYD524285 UOH524284:UOH524285 UEL524284:UEL524285 TUP524284:TUP524285 TKT524284:TKT524285 TAX524284:TAX524285 SRB524284:SRB524285 SHF524284:SHF524285 RXJ524284:RXJ524285 RNN524284:RNN524285 RDR524284:RDR524285 QTV524284:QTV524285 QJZ524284:QJZ524285 QAD524284:QAD524285 PQH524284:PQH524285 PGL524284:PGL524285 OWP524284:OWP524285 OMT524284:OMT524285 OCX524284:OCX524285 NTB524284:NTB524285 NJF524284:NJF524285 MZJ524284:MZJ524285 MPN524284:MPN524285 MFR524284:MFR524285 LVV524284:LVV524285 LLZ524284:LLZ524285 LCD524284:LCD524285 KSH524284:KSH524285 KIL524284:KIL524285 JYP524284:JYP524285 JOT524284:JOT524285 JEX524284:JEX524285 IVB524284:IVB524285 ILF524284:ILF524285 IBJ524284:IBJ524285 HRN524284:HRN524285 HHR524284:HHR524285 GXV524284:GXV524285 GNZ524284:GNZ524285 GED524284:GED524285 FUH524284:FUH524285 FKL524284:FKL524285 FAP524284:FAP524285 EQT524284:EQT524285 EGX524284:EGX524285 DXB524284:DXB524285 DNF524284:DNF524285 DDJ524284:DDJ524285 CTN524284:CTN524285 CJR524284:CJR524285 BZV524284:BZV524285 BPZ524284:BPZ524285 BGD524284:BGD524285 AWH524284:AWH524285 AML524284:AML524285 ACP524284:ACP524285 ST524284:ST524285 IX524284:IX524285 WVJ458748:WVJ458749 WLN458748:WLN458749 WBR458748:WBR458749 VRV458748:VRV458749 VHZ458748:VHZ458749 UYD458748:UYD458749 UOH458748:UOH458749 UEL458748:UEL458749 TUP458748:TUP458749 TKT458748:TKT458749 TAX458748:TAX458749 SRB458748:SRB458749 SHF458748:SHF458749 RXJ458748:RXJ458749 RNN458748:RNN458749 RDR458748:RDR458749 QTV458748:QTV458749 QJZ458748:QJZ458749 QAD458748:QAD458749 PQH458748:PQH458749 PGL458748:PGL458749 OWP458748:OWP458749 OMT458748:OMT458749 OCX458748:OCX458749 NTB458748:NTB458749 NJF458748:NJF458749 MZJ458748:MZJ458749 MPN458748:MPN458749 MFR458748:MFR458749 LVV458748:LVV458749 LLZ458748:LLZ458749 LCD458748:LCD458749 KSH458748:KSH458749 KIL458748:KIL458749 JYP458748:JYP458749 JOT458748:JOT458749 JEX458748:JEX458749 IVB458748:IVB458749 ILF458748:ILF458749 IBJ458748:IBJ458749 HRN458748:HRN458749 HHR458748:HHR458749 GXV458748:GXV458749 GNZ458748:GNZ458749 GED458748:GED458749 FUH458748:FUH458749 FKL458748:FKL458749 FAP458748:FAP458749 EQT458748:EQT458749 EGX458748:EGX458749 DXB458748:DXB458749 DNF458748:DNF458749 DDJ458748:DDJ458749 CTN458748:CTN458749 CJR458748:CJR458749 BZV458748:BZV458749 BPZ458748:BPZ458749 BGD458748:BGD458749 AWH458748:AWH458749 AML458748:AML458749 ACP458748:ACP458749 ST458748:ST458749 IX458748:IX458749 WVJ393212:WVJ393213 WLN393212:WLN393213 WBR393212:WBR393213 VRV393212:VRV393213 VHZ393212:VHZ393213 UYD393212:UYD393213 UOH393212:UOH393213 UEL393212:UEL393213 TUP393212:TUP393213 TKT393212:TKT393213 TAX393212:TAX393213 SRB393212:SRB393213 SHF393212:SHF393213 RXJ393212:RXJ393213 RNN393212:RNN393213 RDR393212:RDR393213 QTV393212:QTV393213 QJZ393212:QJZ393213 QAD393212:QAD393213 PQH393212:PQH393213 PGL393212:PGL393213 OWP393212:OWP393213 OMT393212:OMT393213 OCX393212:OCX393213 NTB393212:NTB393213 NJF393212:NJF393213 MZJ393212:MZJ393213 MPN393212:MPN393213 MFR393212:MFR393213 LVV393212:LVV393213 LLZ393212:LLZ393213 LCD393212:LCD393213 KSH393212:KSH393213 KIL393212:KIL393213 JYP393212:JYP393213 JOT393212:JOT393213 JEX393212:JEX393213 IVB393212:IVB393213 ILF393212:ILF393213 IBJ393212:IBJ393213 HRN393212:HRN393213 HHR393212:HHR393213 GXV393212:GXV393213 GNZ393212:GNZ393213 GED393212:GED393213 FUH393212:FUH393213 FKL393212:FKL393213 FAP393212:FAP393213 EQT393212:EQT393213 EGX393212:EGX393213 DXB393212:DXB393213 DNF393212:DNF393213 DDJ393212:DDJ393213 CTN393212:CTN393213 CJR393212:CJR393213 BZV393212:BZV393213 BPZ393212:BPZ393213 BGD393212:BGD393213 AWH393212:AWH393213 AML393212:AML393213 ACP393212:ACP393213 ST393212:ST393213 IX393212:IX393213 WVJ327676:WVJ327677 WLN327676:WLN327677 WBR327676:WBR327677 VRV327676:VRV327677 VHZ327676:VHZ327677 UYD327676:UYD327677 UOH327676:UOH327677 UEL327676:UEL327677 TUP327676:TUP327677 TKT327676:TKT327677 TAX327676:TAX327677 SRB327676:SRB327677 SHF327676:SHF327677 RXJ327676:RXJ327677 RNN327676:RNN327677 RDR327676:RDR327677 QTV327676:QTV327677 QJZ327676:QJZ327677 QAD327676:QAD327677 PQH327676:PQH327677 PGL327676:PGL327677 OWP327676:OWP327677 OMT327676:OMT327677 OCX327676:OCX327677 NTB327676:NTB327677 NJF327676:NJF327677 MZJ327676:MZJ327677 MPN327676:MPN327677 MFR327676:MFR327677 LVV327676:LVV327677 LLZ327676:LLZ327677 LCD327676:LCD327677 KSH327676:KSH327677 KIL327676:KIL327677 JYP327676:JYP327677 JOT327676:JOT327677 JEX327676:JEX327677 IVB327676:IVB327677 ILF327676:ILF327677 IBJ327676:IBJ327677 HRN327676:HRN327677 HHR327676:HHR327677 GXV327676:GXV327677 GNZ327676:GNZ327677 GED327676:GED327677 FUH327676:FUH327677 FKL327676:FKL327677 FAP327676:FAP327677 EQT327676:EQT327677 EGX327676:EGX327677 DXB327676:DXB327677 DNF327676:DNF327677 DDJ327676:DDJ327677 CTN327676:CTN327677 CJR327676:CJR327677 BZV327676:BZV327677 BPZ327676:BPZ327677 BGD327676:BGD327677 AWH327676:AWH327677 AML327676:AML327677 ACP327676:ACP327677 ST327676:ST327677 IX327676:IX327677 WVJ262140:WVJ262141 WLN262140:WLN262141 WBR262140:WBR262141 VRV262140:VRV262141 VHZ262140:VHZ262141 UYD262140:UYD262141 UOH262140:UOH262141 UEL262140:UEL262141 TUP262140:TUP262141 TKT262140:TKT262141 TAX262140:TAX262141 SRB262140:SRB262141 SHF262140:SHF262141 RXJ262140:RXJ262141 RNN262140:RNN262141 RDR262140:RDR262141 QTV262140:QTV262141 QJZ262140:QJZ262141 QAD262140:QAD262141 PQH262140:PQH262141 PGL262140:PGL262141 OWP262140:OWP262141 OMT262140:OMT262141 OCX262140:OCX262141 NTB262140:NTB262141 NJF262140:NJF262141 MZJ262140:MZJ262141 MPN262140:MPN262141 MFR262140:MFR262141 LVV262140:LVV262141 LLZ262140:LLZ262141 LCD262140:LCD262141 KSH262140:KSH262141 KIL262140:KIL262141 JYP262140:JYP262141 JOT262140:JOT262141 JEX262140:JEX262141 IVB262140:IVB262141 ILF262140:ILF262141 IBJ262140:IBJ262141 HRN262140:HRN262141 HHR262140:HHR262141 GXV262140:GXV262141 GNZ262140:GNZ262141 GED262140:GED262141 FUH262140:FUH262141 FKL262140:FKL262141 FAP262140:FAP262141 EQT262140:EQT262141 EGX262140:EGX262141 DXB262140:DXB262141 DNF262140:DNF262141 DDJ262140:DDJ262141 CTN262140:CTN262141 CJR262140:CJR262141 BZV262140:BZV262141 BPZ262140:BPZ262141 BGD262140:BGD262141 AWH262140:AWH262141 AML262140:AML262141 ACP262140:ACP262141 ST262140:ST262141 IX262140:IX262141 WVJ196604:WVJ196605 WLN196604:WLN196605 WBR196604:WBR196605 VRV196604:VRV196605 VHZ196604:VHZ196605 UYD196604:UYD196605 UOH196604:UOH196605 UEL196604:UEL196605 TUP196604:TUP196605 TKT196604:TKT196605 TAX196604:TAX196605 SRB196604:SRB196605 SHF196604:SHF196605 RXJ196604:RXJ196605 RNN196604:RNN196605 RDR196604:RDR196605 QTV196604:QTV196605 QJZ196604:QJZ196605 QAD196604:QAD196605 PQH196604:PQH196605 PGL196604:PGL196605 OWP196604:OWP196605 OMT196604:OMT196605 OCX196604:OCX196605 NTB196604:NTB196605 NJF196604:NJF196605 MZJ196604:MZJ196605 MPN196604:MPN196605 MFR196604:MFR196605 LVV196604:LVV196605 LLZ196604:LLZ196605 LCD196604:LCD196605 KSH196604:KSH196605 KIL196604:KIL196605 JYP196604:JYP196605 JOT196604:JOT196605 JEX196604:JEX196605 IVB196604:IVB196605 ILF196604:ILF196605 IBJ196604:IBJ196605 HRN196604:HRN196605 HHR196604:HHR196605 GXV196604:GXV196605 GNZ196604:GNZ196605 GED196604:GED196605 FUH196604:FUH196605 FKL196604:FKL196605 FAP196604:FAP196605 EQT196604:EQT196605 EGX196604:EGX196605 DXB196604:DXB196605 DNF196604:DNF196605 DDJ196604:DDJ196605 CTN196604:CTN196605 CJR196604:CJR196605 BZV196604:BZV196605 BPZ196604:BPZ196605 BGD196604:BGD196605 AWH196604:AWH196605 AML196604:AML196605 ACP196604:ACP196605 ST196604:ST196605 IX196604:IX196605 WVJ131068:WVJ131069 WLN131068:WLN131069 WBR131068:WBR131069 VRV131068:VRV131069 VHZ131068:VHZ131069 UYD131068:UYD131069 UOH131068:UOH131069 UEL131068:UEL131069 TUP131068:TUP131069 TKT131068:TKT131069 TAX131068:TAX131069 SRB131068:SRB131069 SHF131068:SHF131069 RXJ131068:RXJ131069 RNN131068:RNN131069 RDR131068:RDR131069 QTV131068:QTV131069 QJZ131068:QJZ131069 QAD131068:QAD131069 PQH131068:PQH131069 PGL131068:PGL131069 OWP131068:OWP131069 OMT131068:OMT131069 OCX131068:OCX131069 NTB131068:NTB131069 NJF131068:NJF131069 MZJ131068:MZJ131069 MPN131068:MPN131069 MFR131068:MFR131069 LVV131068:LVV131069 LLZ131068:LLZ131069 LCD131068:LCD131069 KSH131068:KSH131069 KIL131068:KIL131069 JYP131068:JYP131069 JOT131068:JOT131069 JEX131068:JEX131069 IVB131068:IVB131069 ILF131068:ILF131069 IBJ131068:IBJ131069 HRN131068:HRN131069 HHR131068:HHR131069 GXV131068:GXV131069 GNZ131068:GNZ131069 GED131068:GED131069 FUH131068:FUH131069 FKL131068:FKL131069 FAP131068:FAP131069 EQT131068:EQT131069 EGX131068:EGX131069 DXB131068:DXB131069 DNF131068:DNF131069 DDJ131068:DDJ131069 CTN131068:CTN131069 CJR131068:CJR131069 BZV131068:BZV131069 BPZ131068:BPZ131069 BGD131068:BGD131069 AWH131068:AWH131069 AML131068:AML131069 ACP131068:ACP131069 ST131068:ST131069 IX131068:IX131069 WVJ65532:WVJ65533 WLN65532:WLN65533 WBR65532:WBR65533 VRV65532:VRV65533 VHZ65532:VHZ65533 UYD65532:UYD65533 UOH65532:UOH65533 UEL65532:UEL65533 TUP65532:TUP65533 TKT65532:TKT65533 TAX65532:TAX65533 SRB65532:SRB65533 SHF65532:SHF65533 RXJ65532:RXJ65533 RNN65532:RNN65533 RDR65532:RDR65533 QTV65532:QTV65533 QJZ65532:QJZ65533 QAD65532:QAD65533 PQH65532:PQH65533 PGL65532:PGL65533 OWP65532:OWP65533 OMT65532:OMT65533 OCX65532:OCX65533 NTB65532:NTB65533 NJF65532:NJF65533 MZJ65532:MZJ65533 MPN65532:MPN65533 MFR65532:MFR65533 LVV65532:LVV65533 LLZ65532:LLZ65533 LCD65532:LCD65533 KSH65532:KSH65533 KIL65532:KIL65533 JYP65532:JYP65533 JOT65532:JOT65533 JEX65532:JEX65533 IVB65532:IVB65533 ILF65532:ILF65533 IBJ65532:IBJ65533 HRN65532:HRN65533 HHR65532:HHR65533 GXV65532:GXV65533 GNZ65532:GNZ65533 GED65532:GED65533 FUH65532:FUH65533 FKL65532:FKL65533 FAP65532:FAP65533 EQT65532:EQT65533 EGX65532:EGX65533 DXB65532:DXB65533 DNF65532:DNF65533 DDJ65532:DDJ65533 CTN65532:CTN65533 CJR65532:CJR65533 BZV65532:BZV65533 BPZ65532:BPZ65533 BGD65532:BGD65533 AWH65532:AWH65533 AML65532:AML65533 ACP65532:ACP65533 ST65532:ST65533 IX65532:IX65533 G131068:G131069 G196604:G196605 G262140:G262141 G327676:G327677 G393212:G393213 G458748:G458749 G524284:G524285 G589820:G589821 G655356:G655357 G720892:G720893 G786428:G786429 G851964:G851965 G917500:G917501 G983036:G983037 G1048572:G1048573 G65532:G65533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76"/>
  <sheetViews>
    <sheetView showZeros="0" workbookViewId="0">
      <selection activeCell="B13" sqref="B13"/>
    </sheetView>
  </sheetViews>
  <sheetFormatPr defaultColWidth="10" defaultRowHeight="15" customHeight="1" x14ac:dyDescent="0.2"/>
  <cols>
    <col min="1" max="1" width="6.75" style="717" customWidth="1"/>
    <col min="2" max="12" width="10.5" style="717" customWidth="1"/>
    <col min="13" max="15" width="10" style="717"/>
    <col min="16" max="16" width="10.375" style="717" customWidth="1"/>
    <col min="17" max="17" width="11.875" style="717" customWidth="1"/>
    <col min="18" max="251" width="10" style="717"/>
    <col min="252" max="252" width="6.75" style="717" customWidth="1"/>
    <col min="253" max="263" width="10.5" style="717" customWidth="1"/>
    <col min="264" max="267" width="10" style="717"/>
    <col min="268" max="268" width="10.75" style="717" bestFit="1" customWidth="1"/>
    <col min="269" max="507" width="10" style="717"/>
    <col min="508" max="508" width="6.75" style="717" customWidth="1"/>
    <col min="509" max="519" width="10.5" style="717" customWidth="1"/>
    <col min="520" max="523" width="10" style="717"/>
    <col min="524" max="524" width="10.75" style="717" bestFit="1" customWidth="1"/>
    <col min="525" max="763" width="10" style="717"/>
    <col min="764" max="764" width="6.75" style="717" customWidth="1"/>
    <col min="765" max="775" width="10.5" style="717" customWidth="1"/>
    <col min="776" max="779" width="10" style="717"/>
    <col min="780" max="780" width="10.75" style="717" bestFit="1" customWidth="1"/>
    <col min="781" max="1019" width="10" style="717"/>
    <col min="1020" max="1020" width="6.75" style="717" customWidth="1"/>
    <col min="1021" max="1031" width="10.5" style="717" customWidth="1"/>
    <col min="1032" max="1035" width="10" style="717"/>
    <col min="1036" max="1036" width="10.75" style="717" bestFit="1" customWidth="1"/>
    <col min="1037" max="1275" width="10" style="717"/>
    <col min="1276" max="1276" width="6.75" style="717" customWidth="1"/>
    <col min="1277" max="1287" width="10.5" style="717" customWidth="1"/>
    <col min="1288" max="1291" width="10" style="717"/>
    <col min="1292" max="1292" width="10.75" style="717" bestFit="1" customWidth="1"/>
    <col min="1293" max="1531" width="10" style="717"/>
    <col min="1532" max="1532" width="6.75" style="717" customWidth="1"/>
    <col min="1533" max="1543" width="10.5" style="717" customWidth="1"/>
    <col min="1544" max="1547" width="10" style="717"/>
    <col min="1548" max="1548" width="10.75" style="717" bestFit="1" customWidth="1"/>
    <col min="1549" max="1787" width="10" style="717"/>
    <col min="1788" max="1788" width="6.75" style="717" customWidth="1"/>
    <col min="1789" max="1799" width="10.5" style="717" customWidth="1"/>
    <col min="1800" max="1803" width="10" style="717"/>
    <col min="1804" max="1804" width="10.75" style="717" bestFit="1" customWidth="1"/>
    <col min="1805" max="2043" width="10" style="717"/>
    <col min="2044" max="2044" width="6.75" style="717" customWidth="1"/>
    <col min="2045" max="2055" width="10.5" style="717" customWidth="1"/>
    <col min="2056" max="2059" width="10" style="717"/>
    <col min="2060" max="2060" width="10.75" style="717" bestFit="1" customWidth="1"/>
    <col min="2061" max="2299" width="10" style="717"/>
    <col min="2300" max="2300" width="6.75" style="717" customWidth="1"/>
    <col min="2301" max="2311" width="10.5" style="717" customWidth="1"/>
    <col min="2312" max="2315" width="10" style="717"/>
    <col min="2316" max="2316" width="10.75" style="717" bestFit="1" customWidth="1"/>
    <col min="2317" max="2555" width="10" style="717"/>
    <col min="2556" max="2556" width="6.75" style="717" customWidth="1"/>
    <col min="2557" max="2567" width="10.5" style="717" customWidth="1"/>
    <col min="2568" max="2571" width="10" style="717"/>
    <col min="2572" max="2572" width="10.75" style="717" bestFit="1" customWidth="1"/>
    <col min="2573" max="2811" width="10" style="717"/>
    <col min="2812" max="2812" width="6.75" style="717" customWidth="1"/>
    <col min="2813" max="2823" width="10.5" style="717" customWidth="1"/>
    <col min="2824" max="2827" width="10" style="717"/>
    <col min="2828" max="2828" width="10.75" style="717" bestFit="1" customWidth="1"/>
    <col min="2829" max="3067" width="10" style="717"/>
    <col min="3068" max="3068" width="6.75" style="717" customWidth="1"/>
    <col min="3069" max="3079" width="10.5" style="717" customWidth="1"/>
    <col min="3080" max="3083" width="10" style="717"/>
    <col min="3084" max="3084" width="10.75" style="717" bestFit="1" customWidth="1"/>
    <col min="3085" max="3323" width="10" style="717"/>
    <col min="3324" max="3324" width="6.75" style="717" customWidth="1"/>
    <col min="3325" max="3335" width="10.5" style="717" customWidth="1"/>
    <col min="3336" max="3339" width="10" style="717"/>
    <col min="3340" max="3340" width="10.75" style="717" bestFit="1" customWidth="1"/>
    <col min="3341" max="3579" width="10" style="717"/>
    <col min="3580" max="3580" width="6.75" style="717" customWidth="1"/>
    <col min="3581" max="3591" width="10.5" style="717" customWidth="1"/>
    <col min="3592" max="3595" width="10" style="717"/>
    <col min="3596" max="3596" width="10.75" style="717" bestFit="1" customWidth="1"/>
    <col min="3597" max="3835" width="10" style="717"/>
    <col min="3836" max="3836" width="6.75" style="717" customWidth="1"/>
    <col min="3837" max="3847" width="10.5" style="717" customWidth="1"/>
    <col min="3848" max="3851" width="10" style="717"/>
    <col min="3852" max="3852" width="10.75" style="717" bestFit="1" customWidth="1"/>
    <col min="3853" max="4091" width="10" style="717"/>
    <col min="4092" max="4092" width="6.75" style="717" customWidth="1"/>
    <col min="4093" max="4103" width="10.5" style="717" customWidth="1"/>
    <col min="4104" max="4107" width="10" style="717"/>
    <col min="4108" max="4108" width="10.75" style="717" bestFit="1" customWidth="1"/>
    <col min="4109" max="4347" width="10" style="717"/>
    <col min="4348" max="4348" width="6.75" style="717" customWidth="1"/>
    <col min="4349" max="4359" width="10.5" style="717" customWidth="1"/>
    <col min="4360" max="4363" width="10" style="717"/>
    <col min="4364" max="4364" width="10.75" style="717" bestFit="1" customWidth="1"/>
    <col min="4365" max="4603" width="10" style="717"/>
    <col min="4604" max="4604" width="6.75" style="717" customWidth="1"/>
    <col min="4605" max="4615" width="10.5" style="717" customWidth="1"/>
    <col min="4616" max="4619" width="10" style="717"/>
    <col min="4620" max="4620" width="10.75" style="717" bestFit="1" customWidth="1"/>
    <col min="4621" max="4859" width="10" style="717"/>
    <col min="4860" max="4860" width="6.75" style="717" customWidth="1"/>
    <col min="4861" max="4871" width="10.5" style="717" customWidth="1"/>
    <col min="4872" max="4875" width="10" style="717"/>
    <col min="4876" max="4876" width="10.75" style="717" bestFit="1" customWidth="1"/>
    <col min="4877" max="5115" width="10" style="717"/>
    <col min="5116" max="5116" width="6.75" style="717" customWidth="1"/>
    <col min="5117" max="5127" width="10.5" style="717" customWidth="1"/>
    <col min="5128" max="5131" width="10" style="717"/>
    <col min="5132" max="5132" width="10.75" style="717" bestFit="1" customWidth="1"/>
    <col min="5133" max="5371" width="10" style="717"/>
    <col min="5372" max="5372" width="6.75" style="717" customWidth="1"/>
    <col min="5373" max="5383" width="10.5" style="717" customWidth="1"/>
    <col min="5384" max="5387" width="10" style="717"/>
    <col min="5388" max="5388" width="10.75" style="717" bestFit="1" customWidth="1"/>
    <col min="5389" max="5627" width="10" style="717"/>
    <col min="5628" max="5628" width="6.75" style="717" customWidth="1"/>
    <col min="5629" max="5639" width="10.5" style="717" customWidth="1"/>
    <col min="5640" max="5643" width="10" style="717"/>
    <col min="5644" max="5644" width="10.75" style="717" bestFit="1" customWidth="1"/>
    <col min="5645" max="5883" width="10" style="717"/>
    <col min="5884" max="5884" width="6.75" style="717" customWidth="1"/>
    <col min="5885" max="5895" width="10.5" style="717" customWidth="1"/>
    <col min="5896" max="5899" width="10" style="717"/>
    <col min="5900" max="5900" width="10.75" style="717" bestFit="1" customWidth="1"/>
    <col min="5901" max="6139" width="10" style="717"/>
    <col min="6140" max="6140" width="6.75" style="717" customWidth="1"/>
    <col min="6141" max="6151" width="10.5" style="717" customWidth="1"/>
    <col min="6152" max="6155" width="10" style="717"/>
    <col min="6156" max="6156" width="10.75" style="717" bestFit="1" customWidth="1"/>
    <col min="6157" max="6395" width="10" style="717"/>
    <col min="6396" max="6396" width="6.75" style="717" customWidth="1"/>
    <col min="6397" max="6407" width="10.5" style="717" customWidth="1"/>
    <col min="6408" max="6411" width="10" style="717"/>
    <col min="6412" max="6412" width="10.75" style="717" bestFit="1" customWidth="1"/>
    <col min="6413" max="6651" width="10" style="717"/>
    <col min="6652" max="6652" width="6.75" style="717" customWidth="1"/>
    <col min="6653" max="6663" width="10.5" style="717" customWidth="1"/>
    <col min="6664" max="6667" width="10" style="717"/>
    <col min="6668" max="6668" width="10.75" style="717" bestFit="1" customWidth="1"/>
    <col min="6669" max="6907" width="10" style="717"/>
    <col min="6908" max="6908" width="6.75" style="717" customWidth="1"/>
    <col min="6909" max="6919" width="10.5" style="717" customWidth="1"/>
    <col min="6920" max="6923" width="10" style="717"/>
    <col min="6924" max="6924" width="10.75" style="717" bestFit="1" customWidth="1"/>
    <col min="6925" max="7163" width="10" style="717"/>
    <col min="7164" max="7164" width="6.75" style="717" customWidth="1"/>
    <col min="7165" max="7175" width="10.5" style="717" customWidth="1"/>
    <col min="7176" max="7179" width="10" style="717"/>
    <col min="7180" max="7180" width="10.75" style="717" bestFit="1" customWidth="1"/>
    <col min="7181" max="7419" width="10" style="717"/>
    <col min="7420" max="7420" width="6.75" style="717" customWidth="1"/>
    <col min="7421" max="7431" width="10.5" style="717" customWidth="1"/>
    <col min="7432" max="7435" width="10" style="717"/>
    <col min="7436" max="7436" width="10.75" style="717" bestFit="1" customWidth="1"/>
    <col min="7437" max="7675" width="10" style="717"/>
    <col min="7676" max="7676" width="6.75" style="717" customWidth="1"/>
    <col min="7677" max="7687" width="10.5" style="717" customWidth="1"/>
    <col min="7688" max="7691" width="10" style="717"/>
    <col min="7692" max="7692" width="10.75" style="717" bestFit="1" customWidth="1"/>
    <col min="7693" max="7931" width="10" style="717"/>
    <col min="7932" max="7932" width="6.75" style="717" customWidth="1"/>
    <col min="7933" max="7943" width="10.5" style="717" customWidth="1"/>
    <col min="7944" max="7947" width="10" style="717"/>
    <col min="7948" max="7948" width="10.75" style="717" bestFit="1" customWidth="1"/>
    <col min="7949" max="8187" width="10" style="717"/>
    <col min="8188" max="8188" width="6.75" style="717" customWidth="1"/>
    <col min="8189" max="8199" width="10.5" style="717" customWidth="1"/>
    <col min="8200" max="8203" width="10" style="717"/>
    <col min="8204" max="8204" width="10.75" style="717" bestFit="1" customWidth="1"/>
    <col min="8205" max="8443" width="10" style="717"/>
    <col min="8444" max="8444" width="6.75" style="717" customWidth="1"/>
    <col min="8445" max="8455" width="10.5" style="717" customWidth="1"/>
    <col min="8456" max="8459" width="10" style="717"/>
    <col min="8460" max="8460" width="10.75" style="717" bestFit="1" customWidth="1"/>
    <col min="8461" max="8699" width="10" style="717"/>
    <col min="8700" max="8700" width="6.75" style="717" customWidth="1"/>
    <col min="8701" max="8711" width="10.5" style="717" customWidth="1"/>
    <col min="8712" max="8715" width="10" style="717"/>
    <col min="8716" max="8716" width="10.75" style="717" bestFit="1" customWidth="1"/>
    <col min="8717" max="8955" width="10" style="717"/>
    <col min="8956" max="8956" width="6.75" style="717" customWidth="1"/>
    <col min="8957" max="8967" width="10.5" style="717" customWidth="1"/>
    <col min="8968" max="8971" width="10" style="717"/>
    <col min="8972" max="8972" width="10.75" style="717" bestFit="1" customWidth="1"/>
    <col min="8973" max="9211" width="10" style="717"/>
    <col min="9212" max="9212" width="6.75" style="717" customWidth="1"/>
    <col min="9213" max="9223" width="10.5" style="717" customWidth="1"/>
    <col min="9224" max="9227" width="10" style="717"/>
    <col min="9228" max="9228" width="10.75" style="717" bestFit="1" customWidth="1"/>
    <col min="9229" max="9467" width="10" style="717"/>
    <col min="9468" max="9468" width="6.75" style="717" customWidth="1"/>
    <col min="9469" max="9479" width="10.5" style="717" customWidth="1"/>
    <col min="9480" max="9483" width="10" style="717"/>
    <col min="9484" max="9484" width="10.75" style="717" bestFit="1" customWidth="1"/>
    <col min="9485" max="9723" width="10" style="717"/>
    <col min="9724" max="9724" width="6.75" style="717" customWidth="1"/>
    <col min="9725" max="9735" width="10.5" style="717" customWidth="1"/>
    <col min="9736" max="9739" width="10" style="717"/>
    <col min="9740" max="9740" width="10.75" style="717" bestFit="1" customWidth="1"/>
    <col min="9741" max="9979" width="10" style="717"/>
    <col min="9980" max="9980" width="6.75" style="717" customWidth="1"/>
    <col min="9981" max="9991" width="10.5" style="717" customWidth="1"/>
    <col min="9992" max="9995" width="10" style="717"/>
    <col min="9996" max="9996" width="10.75" style="717" bestFit="1" customWidth="1"/>
    <col min="9997" max="10235" width="10" style="717"/>
    <col min="10236" max="10236" width="6.75" style="717" customWidth="1"/>
    <col min="10237" max="10247" width="10.5" style="717" customWidth="1"/>
    <col min="10248" max="10251" width="10" style="717"/>
    <col min="10252" max="10252" width="10.75" style="717" bestFit="1" customWidth="1"/>
    <col min="10253" max="10491" width="10" style="717"/>
    <col min="10492" max="10492" width="6.75" style="717" customWidth="1"/>
    <col min="10493" max="10503" width="10.5" style="717" customWidth="1"/>
    <col min="10504" max="10507" width="10" style="717"/>
    <col min="10508" max="10508" width="10.75" style="717" bestFit="1" customWidth="1"/>
    <col min="10509" max="10747" width="10" style="717"/>
    <col min="10748" max="10748" width="6.75" style="717" customWidth="1"/>
    <col min="10749" max="10759" width="10.5" style="717" customWidth="1"/>
    <col min="10760" max="10763" width="10" style="717"/>
    <col min="10764" max="10764" width="10.75" style="717" bestFit="1" customWidth="1"/>
    <col min="10765" max="11003" width="10" style="717"/>
    <col min="11004" max="11004" width="6.75" style="717" customWidth="1"/>
    <col min="11005" max="11015" width="10.5" style="717" customWidth="1"/>
    <col min="11016" max="11019" width="10" style="717"/>
    <col min="11020" max="11020" width="10.75" style="717" bestFit="1" customWidth="1"/>
    <col min="11021" max="11259" width="10" style="717"/>
    <col min="11260" max="11260" width="6.75" style="717" customWidth="1"/>
    <col min="11261" max="11271" width="10.5" style="717" customWidth="1"/>
    <col min="11272" max="11275" width="10" style="717"/>
    <col min="11276" max="11276" width="10.75" style="717" bestFit="1" customWidth="1"/>
    <col min="11277" max="11515" width="10" style="717"/>
    <col min="11516" max="11516" width="6.75" style="717" customWidth="1"/>
    <col min="11517" max="11527" width="10.5" style="717" customWidth="1"/>
    <col min="11528" max="11531" width="10" style="717"/>
    <col min="11532" max="11532" width="10.75" style="717" bestFit="1" customWidth="1"/>
    <col min="11533" max="11771" width="10" style="717"/>
    <col min="11772" max="11772" width="6.75" style="717" customWidth="1"/>
    <col min="11773" max="11783" width="10.5" style="717" customWidth="1"/>
    <col min="11784" max="11787" width="10" style="717"/>
    <col min="11788" max="11788" width="10.75" style="717" bestFit="1" customWidth="1"/>
    <col min="11789" max="12027" width="10" style="717"/>
    <col min="12028" max="12028" width="6.75" style="717" customWidth="1"/>
    <col min="12029" max="12039" width="10.5" style="717" customWidth="1"/>
    <col min="12040" max="12043" width="10" style="717"/>
    <col min="12044" max="12044" width="10.75" style="717" bestFit="1" customWidth="1"/>
    <col min="12045" max="12283" width="10" style="717"/>
    <col min="12284" max="12284" width="6.75" style="717" customWidth="1"/>
    <col min="12285" max="12295" width="10.5" style="717" customWidth="1"/>
    <col min="12296" max="12299" width="10" style="717"/>
    <col min="12300" max="12300" width="10.75" style="717" bestFit="1" customWidth="1"/>
    <col min="12301" max="12539" width="10" style="717"/>
    <col min="12540" max="12540" width="6.75" style="717" customWidth="1"/>
    <col min="12541" max="12551" width="10.5" style="717" customWidth="1"/>
    <col min="12552" max="12555" width="10" style="717"/>
    <col min="12556" max="12556" width="10.75" style="717" bestFit="1" customWidth="1"/>
    <col min="12557" max="12795" width="10" style="717"/>
    <col min="12796" max="12796" width="6.75" style="717" customWidth="1"/>
    <col min="12797" max="12807" width="10.5" style="717" customWidth="1"/>
    <col min="12808" max="12811" width="10" style="717"/>
    <col min="12812" max="12812" width="10.75" style="717" bestFit="1" customWidth="1"/>
    <col min="12813" max="13051" width="10" style="717"/>
    <col min="13052" max="13052" width="6.75" style="717" customWidth="1"/>
    <col min="13053" max="13063" width="10.5" style="717" customWidth="1"/>
    <col min="13064" max="13067" width="10" style="717"/>
    <col min="13068" max="13068" width="10.75" style="717" bestFit="1" customWidth="1"/>
    <col min="13069" max="13307" width="10" style="717"/>
    <col min="13308" max="13308" width="6.75" style="717" customWidth="1"/>
    <col min="13309" max="13319" width="10.5" style="717" customWidth="1"/>
    <col min="13320" max="13323" width="10" style="717"/>
    <col min="13324" max="13324" width="10.75" style="717" bestFit="1" customWidth="1"/>
    <col min="13325" max="13563" width="10" style="717"/>
    <col min="13564" max="13564" width="6.75" style="717" customWidth="1"/>
    <col min="13565" max="13575" width="10.5" style="717" customWidth="1"/>
    <col min="13576" max="13579" width="10" style="717"/>
    <col min="13580" max="13580" width="10.75" style="717" bestFit="1" customWidth="1"/>
    <col min="13581" max="13819" width="10" style="717"/>
    <col min="13820" max="13820" width="6.75" style="717" customWidth="1"/>
    <col min="13821" max="13831" width="10.5" style="717" customWidth="1"/>
    <col min="13832" max="13835" width="10" style="717"/>
    <col min="13836" max="13836" width="10.75" style="717" bestFit="1" customWidth="1"/>
    <col min="13837" max="14075" width="10" style="717"/>
    <col min="14076" max="14076" width="6.75" style="717" customWidth="1"/>
    <col min="14077" max="14087" width="10.5" style="717" customWidth="1"/>
    <col min="14088" max="14091" width="10" style="717"/>
    <col min="14092" max="14092" width="10.75" style="717" bestFit="1" customWidth="1"/>
    <col min="14093" max="14331" width="10" style="717"/>
    <col min="14332" max="14332" width="6.75" style="717" customWidth="1"/>
    <col min="14333" max="14343" width="10.5" style="717" customWidth="1"/>
    <col min="14344" max="14347" width="10" style="717"/>
    <col min="14348" max="14348" width="10.75" style="717" bestFit="1" customWidth="1"/>
    <col min="14349" max="14587" width="10" style="717"/>
    <col min="14588" max="14588" width="6.75" style="717" customWidth="1"/>
    <col min="14589" max="14599" width="10.5" style="717" customWidth="1"/>
    <col min="14600" max="14603" width="10" style="717"/>
    <col min="14604" max="14604" width="10.75" style="717" bestFit="1" customWidth="1"/>
    <col min="14605" max="14843" width="10" style="717"/>
    <col min="14844" max="14844" width="6.75" style="717" customWidth="1"/>
    <col min="14845" max="14855" width="10.5" style="717" customWidth="1"/>
    <col min="14856" max="14859" width="10" style="717"/>
    <col min="14860" max="14860" width="10.75" style="717" bestFit="1" customWidth="1"/>
    <col min="14861" max="15099" width="10" style="717"/>
    <col min="15100" max="15100" width="6.75" style="717" customWidth="1"/>
    <col min="15101" max="15111" width="10.5" style="717" customWidth="1"/>
    <col min="15112" max="15115" width="10" style="717"/>
    <col min="15116" max="15116" width="10.75" style="717" bestFit="1" customWidth="1"/>
    <col min="15117" max="15355" width="10" style="717"/>
    <col min="15356" max="15356" width="6.75" style="717" customWidth="1"/>
    <col min="15357" max="15367" width="10.5" style="717" customWidth="1"/>
    <col min="15368" max="15371" width="10" style="717"/>
    <col min="15372" max="15372" width="10.75" style="717" bestFit="1" customWidth="1"/>
    <col min="15373" max="15611" width="10" style="717"/>
    <col min="15612" max="15612" width="6.75" style="717" customWidth="1"/>
    <col min="15613" max="15623" width="10.5" style="717" customWidth="1"/>
    <col min="15624" max="15627" width="10" style="717"/>
    <col min="15628" max="15628" width="10.75" style="717" bestFit="1" customWidth="1"/>
    <col min="15629" max="15867" width="10" style="717"/>
    <col min="15868" max="15868" width="6.75" style="717" customWidth="1"/>
    <col min="15869" max="15879" width="10.5" style="717" customWidth="1"/>
    <col min="15880" max="15883" width="10" style="717"/>
    <col min="15884" max="15884" width="10.75" style="717" bestFit="1" customWidth="1"/>
    <col min="15885" max="16123" width="10" style="717"/>
    <col min="16124" max="16124" width="6.75" style="717" customWidth="1"/>
    <col min="16125" max="16135" width="10.5" style="717" customWidth="1"/>
    <col min="16136" max="16139" width="10" style="717"/>
    <col min="16140" max="16140" width="10.75" style="717" bestFit="1" customWidth="1"/>
    <col min="16141" max="16384" width="10" style="717"/>
  </cols>
  <sheetData>
    <row r="1" spans="1:34" ht="15" customHeight="1" x14ac:dyDescent="0.2">
      <c r="A1" s="80" t="s">
        <v>901</v>
      </c>
    </row>
    <row r="2" spans="1:34" s="716" customFormat="1" ht="15" customHeight="1" x14ac:dyDescent="0.2">
      <c r="A2" s="792" t="s">
        <v>2</v>
      </c>
      <c r="B2" s="792" t="str">
        <f>Orçamento_Deson!C6</f>
        <v>JARDIM NASHIVILLE - ETAPA "B" - FASE 2</v>
      </c>
      <c r="N2" s="717"/>
      <c r="O2" s="717"/>
      <c r="P2" s="717"/>
      <c r="Q2" s="717"/>
      <c r="R2" s="717"/>
      <c r="S2" s="717"/>
      <c r="T2" s="717"/>
      <c r="U2" s="717"/>
      <c r="V2" s="3"/>
      <c r="W2" s="3"/>
      <c r="X2" s="3"/>
      <c r="Y2" s="3"/>
      <c r="Z2" s="3"/>
      <c r="AA2" s="3"/>
      <c r="AB2" s="3"/>
      <c r="AC2" s="3"/>
      <c r="AD2" s="718"/>
    </row>
    <row r="3" spans="1:34" s="716" customFormat="1" ht="15" customHeight="1" x14ac:dyDescent="0.2">
      <c r="A3" s="792" t="s">
        <v>771</v>
      </c>
      <c r="B3" s="792" t="s">
        <v>834</v>
      </c>
      <c r="E3" s="719"/>
      <c r="F3" s="715"/>
      <c r="N3" s="717"/>
      <c r="O3" s="717"/>
      <c r="P3" s="717"/>
      <c r="Q3" s="717"/>
      <c r="R3" s="717"/>
      <c r="S3" s="717"/>
      <c r="T3" s="717"/>
      <c r="U3" s="717"/>
      <c r="V3" s="3"/>
      <c r="W3" s="3"/>
      <c r="X3" s="3"/>
      <c r="Y3" s="3"/>
      <c r="Z3" s="3"/>
      <c r="AA3" s="3"/>
      <c r="AB3" s="3"/>
      <c r="AC3" s="3"/>
      <c r="AD3" s="720"/>
    </row>
    <row r="4" spans="1:34" s="716" customFormat="1" ht="15" customHeight="1" x14ac:dyDescent="0.2">
      <c r="A4" s="792" t="s">
        <v>772</v>
      </c>
      <c r="B4" s="2184" t="str">
        <f>Dren_Dados!B4</f>
        <v>Agosto/2023</v>
      </c>
      <c r="E4" s="719"/>
      <c r="F4" s="715"/>
      <c r="N4" s="717"/>
      <c r="O4" s="717"/>
      <c r="P4" s="717"/>
      <c r="Q4" s="717"/>
      <c r="R4" s="717"/>
      <c r="S4" s="717"/>
      <c r="T4" s="717"/>
      <c r="U4" s="717"/>
      <c r="V4" s="3"/>
      <c r="W4" s="3"/>
      <c r="X4" s="3"/>
      <c r="Y4" s="3"/>
      <c r="Z4" s="3"/>
      <c r="AA4" s="3"/>
      <c r="AB4" s="3"/>
      <c r="AC4" s="3"/>
      <c r="AD4" s="721"/>
    </row>
    <row r="5" spans="1:34" s="716" customFormat="1" ht="15" customHeight="1" x14ac:dyDescent="0.2">
      <c r="O5" s="717"/>
      <c r="P5" s="717"/>
      <c r="Q5" s="717"/>
      <c r="R5" s="717"/>
      <c r="S5" s="717"/>
      <c r="T5" s="717"/>
      <c r="U5" s="717"/>
      <c r="V5" s="3"/>
      <c r="W5" s="3"/>
      <c r="X5" s="3"/>
      <c r="Y5" s="3"/>
      <c r="Z5" s="3"/>
      <c r="AA5" s="3"/>
      <c r="AB5" s="3"/>
      <c r="AC5" s="3"/>
      <c r="AD5" s="721"/>
    </row>
    <row r="6" spans="1:34" s="716" customFormat="1" ht="15" customHeight="1" x14ac:dyDescent="0.2">
      <c r="A6" s="747" t="s">
        <v>773</v>
      </c>
      <c r="B6" s="747" t="s">
        <v>774</v>
      </c>
      <c r="C6" s="747"/>
      <c r="D6" s="748"/>
      <c r="E6" s="748"/>
      <c r="F6" s="748"/>
      <c r="G6" s="748"/>
      <c r="H6" s="748"/>
      <c r="I6" s="748"/>
      <c r="J6" s="748"/>
      <c r="K6" s="748"/>
      <c r="L6" s="748"/>
      <c r="O6" s="717"/>
      <c r="P6" s="717"/>
      <c r="Q6" s="717"/>
      <c r="R6" s="717"/>
      <c r="S6"/>
      <c r="T6"/>
      <c r="U6" s="717"/>
      <c r="V6" s="3"/>
      <c r="W6" s="3"/>
      <c r="X6" s="3"/>
      <c r="Y6" s="3"/>
      <c r="Z6" s="3"/>
      <c r="AA6" s="3"/>
      <c r="AB6" s="3"/>
      <c r="AC6" s="3"/>
      <c r="AD6" s="723"/>
    </row>
    <row r="7" spans="1:34" s="716" customFormat="1" ht="15" customHeight="1" x14ac:dyDescent="0.2">
      <c r="O7" s="717"/>
      <c r="P7" s="717"/>
      <c r="Q7" s="717"/>
      <c r="R7" s="717"/>
      <c r="S7" s="726"/>
      <c r="T7" s="726"/>
      <c r="U7" s="717"/>
      <c r="V7" s="3"/>
      <c r="W7" s="3"/>
      <c r="X7" s="3"/>
      <c r="Y7" s="3"/>
      <c r="Z7" s="3"/>
      <c r="AA7" s="3"/>
      <c r="AB7" s="3"/>
      <c r="AC7" s="3"/>
      <c r="AD7" s="727"/>
      <c r="AE7" s="3"/>
      <c r="AF7" s="3"/>
      <c r="AG7" s="3"/>
      <c r="AH7" s="3"/>
    </row>
    <row r="8" spans="1:34" s="716" customFormat="1" ht="15" customHeight="1" thickBot="1" x14ac:dyDescent="0.25">
      <c r="A8" s="716" t="s">
        <v>775</v>
      </c>
      <c r="B8" s="716" t="s">
        <v>823</v>
      </c>
      <c r="O8" s="717"/>
      <c r="P8" s="717"/>
      <c r="Q8" s="717"/>
      <c r="R8" s="717"/>
      <c r="S8" s="726"/>
      <c r="T8" s="726"/>
      <c r="U8" s="717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</row>
    <row r="9" spans="1:34" s="716" customFormat="1" ht="13.5" customHeight="1" thickTop="1" x14ac:dyDescent="0.2">
      <c r="A9" s="728"/>
      <c r="B9" s="3191" t="s">
        <v>819</v>
      </c>
      <c r="C9" s="3194" t="s">
        <v>821</v>
      </c>
      <c r="D9" s="3194" t="s">
        <v>809</v>
      </c>
      <c r="E9" s="3194" t="s">
        <v>822</v>
      </c>
      <c r="F9" s="3194" t="s">
        <v>2628</v>
      </c>
      <c r="G9" s="3194" t="s">
        <v>2627</v>
      </c>
      <c r="H9" s="3200" t="s">
        <v>2626</v>
      </c>
      <c r="I9" s="3182" t="s">
        <v>817</v>
      </c>
      <c r="J9" s="3183"/>
      <c r="K9" s="3183"/>
      <c r="L9" s="3184"/>
      <c r="O9" s="717"/>
      <c r="P9" s="717"/>
      <c r="Q9" s="717"/>
      <c r="R9" s="717"/>
      <c r="S9" s="38"/>
      <c r="T9" s="38"/>
      <c r="U9" s="717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</row>
    <row r="10" spans="1:34" s="716" customFormat="1" ht="12.75" x14ac:dyDescent="0.2">
      <c r="B10" s="3192"/>
      <c r="C10" s="3195"/>
      <c r="D10" s="3195"/>
      <c r="E10" s="3195"/>
      <c r="F10" s="3195"/>
      <c r="G10" s="3195"/>
      <c r="H10" s="3201"/>
      <c r="I10" s="3185" t="s">
        <v>354</v>
      </c>
      <c r="J10" s="3186"/>
      <c r="K10" s="3186"/>
      <c r="L10" s="3187"/>
      <c r="O10" s="717"/>
      <c r="P10" s="717"/>
      <c r="Q10" s="717"/>
      <c r="R10" s="717"/>
      <c r="S10" s="37"/>
      <c r="T10" s="729"/>
      <c r="U10" s="717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 s="716" customFormat="1" ht="13.5" thickBot="1" x14ac:dyDescent="0.25">
      <c r="A11" s="728"/>
      <c r="B11" s="3193"/>
      <c r="C11" s="3196"/>
      <c r="D11" s="3196"/>
      <c r="E11" s="3196"/>
      <c r="F11" s="3196"/>
      <c r="G11" s="3196"/>
      <c r="H11" s="3202"/>
      <c r="I11" s="3211"/>
      <c r="J11" s="3212"/>
      <c r="K11" s="3212"/>
      <c r="L11" s="3213"/>
      <c r="M11" s="723"/>
      <c r="O11" s="717"/>
      <c r="P11" s="717"/>
      <c r="Q11" s="717"/>
      <c r="R11" s="717"/>
      <c r="S11" s="37"/>
      <c r="T11" s="730"/>
      <c r="U11" s="717"/>
    </row>
    <row r="12" spans="1:34" s="716" customFormat="1" ht="15" customHeight="1" thickTop="1" x14ac:dyDescent="0.2">
      <c r="B12" s="761">
        <v>60</v>
      </c>
      <c r="C12" s="757" t="e">
        <f>IF(B12=0,0,VLOOKUP(B12,Dren_Dim!A:W,17,"falso"))</f>
        <v>#N/A</v>
      </c>
      <c r="D12" s="757" t="e">
        <f>IF(B12=0,0,VLOOKUP(B12,Dren_Dim!A:W,23,"falso")/1000)</f>
        <v>#N/A</v>
      </c>
      <c r="E12" s="755" t="e">
        <f>IF(B12=0,0,VLOOKUP(B12,Dren_Dim!A:AL,38,"falso"))</f>
        <v>#N/A</v>
      </c>
      <c r="F12" s="755" t="e">
        <f>IF(B12=0,0,VLOOKUP(B12,Dren_Dim!A:AL,6,"falso"))</f>
        <v>#N/A</v>
      </c>
      <c r="G12" s="755" t="e">
        <f>IF(B12=0,0,VLOOKUP(B12,Dren_Dim!A:AL,7,"falso"))</f>
        <v>#N/A</v>
      </c>
      <c r="H12" s="755" t="e">
        <f>IF(B12=0,0,VLOOKUP(B12,Dren_Dim!A:AL,8,"falso"))</f>
        <v>#N/A</v>
      </c>
      <c r="I12" s="767" t="s">
        <v>107</v>
      </c>
      <c r="J12" s="768">
        <f>Dren_Dim!AJ3</f>
        <v>1973.15</v>
      </c>
      <c r="K12" s="767" t="s">
        <v>106</v>
      </c>
      <c r="L12" s="769">
        <f>Dren_Dim!AL3</f>
        <v>22</v>
      </c>
      <c r="M12" s="727"/>
      <c r="O12" s="717"/>
      <c r="P12" s="717"/>
      <c r="Q12" s="717"/>
      <c r="R12" s="717"/>
      <c r="S12" s="732"/>
      <c r="T12" s="733"/>
      <c r="U12" s="717"/>
    </row>
    <row r="13" spans="1:34" s="716" customFormat="1" ht="15" customHeight="1" x14ac:dyDescent="0.2">
      <c r="A13" s="722"/>
      <c r="B13" s="756">
        <v>63</v>
      </c>
      <c r="C13" s="757" t="e">
        <f>IF(B13=0,0,VLOOKUP(B13,Dren_Dim!A:W,17,"falso"))</f>
        <v>#N/A</v>
      </c>
      <c r="D13" s="757" t="e">
        <f>IF(B13=0,0,VLOOKUP(B13,Dren_Dim!A:W,23,"falso")/1000)</f>
        <v>#N/A</v>
      </c>
      <c r="E13" s="755" t="e">
        <f>IF(B13=0,0,VLOOKUP(B13,Dren_Dim!A:AL,38,"falso"))</f>
        <v>#N/A</v>
      </c>
      <c r="F13" s="755" t="e">
        <f>IF(B13=0,0,VLOOKUP(B13,Dren_Dim!A:AL,6,"falso"))</f>
        <v>#N/A</v>
      </c>
      <c r="G13" s="755" t="e">
        <f>IF(B13=0,0,VLOOKUP(B13,Dren_Dim!A:AL,7,"falso"))</f>
        <v>#N/A</v>
      </c>
      <c r="H13" s="755" t="e">
        <f>IF(B13=0,0,VLOOKUP(B13,Dren_Dim!A:AL,8,"falso"))</f>
        <v>#N/A</v>
      </c>
      <c r="I13" s="770" t="s">
        <v>105</v>
      </c>
      <c r="J13" s="771">
        <f>Dren_Dim!AJ4</f>
        <v>0.17799999999999999</v>
      </c>
      <c r="K13" s="770" t="s">
        <v>104</v>
      </c>
      <c r="L13" s="771">
        <f>Dren_Dim!AL4</f>
        <v>0.85799999999999998</v>
      </c>
      <c r="O13" s="717"/>
      <c r="P13" s="717"/>
      <c r="Q13" s="717"/>
      <c r="R13" s="717"/>
      <c r="S13" s="717"/>
      <c r="T13" s="717"/>
      <c r="U13" s="717"/>
    </row>
    <row r="14" spans="1:34" s="716" customFormat="1" ht="15" customHeight="1" x14ac:dyDescent="0.2">
      <c r="A14" s="722"/>
      <c r="B14" s="756"/>
      <c r="C14" s="757">
        <f>IF(B14=0,0,VLOOKUP(B14,Dren_Dim!A:W,17,"falso"))</f>
        <v>0</v>
      </c>
      <c r="D14" s="757">
        <f>IF(B14=0,0,VLOOKUP(B14,Dren_Dim!A:W,23,"falso")/1000)</f>
        <v>0</v>
      </c>
      <c r="E14" s="755">
        <f>IF(B14=0,0,VLOOKUP(B14,Dren_Dim!A:AL,38,"falso"))</f>
        <v>0</v>
      </c>
      <c r="F14" s="755">
        <f>IF(B14=0,0,VLOOKUP(B14,Dren_Dim!A:AL,6,"falso"))</f>
        <v>0</v>
      </c>
      <c r="G14" s="755">
        <f>IF(B14=0,0,VLOOKUP(B14,Dren_Dim!A:AL,7,"falso"))</f>
        <v>0</v>
      </c>
      <c r="H14" s="755">
        <f>IF(B14=0,0,VLOOKUP(B14,Dren_Dim!A:AL,8,"falso"))</f>
        <v>0</v>
      </c>
      <c r="I14" s="770" t="s">
        <v>103</v>
      </c>
      <c r="J14" s="772">
        <f>Dren_Dim!AJ5</f>
        <v>3</v>
      </c>
      <c r="K14" s="773" t="s">
        <v>818</v>
      </c>
      <c r="L14" s="2215">
        <f>Dren_Dim!AL5</f>
        <v>0</v>
      </c>
      <c r="O14" s="717"/>
      <c r="P14" s="717"/>
      <c r="Q14" s="717"/>
      <c r="R14" s="717"/>
      <c r="S14" s="717"/>
      <c r="T14" s="717"/>
      <c r="U14" s="717"/>
    </row>
    <row r="15" spans="1:34" s="716" customFormat="1" ht="15" customHeight="1" thickBot="1" x14ac:dyDescent="0.25">
      <c r="A15" s="722"/>
      <c r="B15" s="756"/>
      <c r="C15" s="757">
        <f>IF(B15=0,0,VLOOKUP(B15,Dren_Dim!A:W,17,"falso"))</f>
        <v>0</v>
      </c>
      <c r="D15" s="757">
        <f>IF(B15=0,0,VLOOKUP(B15,Dren_Dim!A:W,23,"falso")/1000)</f>
        <v>0</v>
      </c>
      <c r="E15" s="755">
        <f>IF(B15=0,0,VLOOKUP(B15,Dren_Dim!A:AL,38,"falso"))</f>
        <v>0</v>
      </c>
      <c r="F15" s="755">
        <f>IF(B15=0,0,VLOOKUP(B15,Dren_Dim!A:AL,6,"falso"))</f>
        <v>0</v>
      </c>
      <c r="G15" s="755">
        <f>IF(B15=0,0,VLOOKUP(B15,Dren_Dim!A:AL,7,"falso"))</f>
        <v>0</v>
      </c>
      <c r="H15" s="755">
        <f>IF(B15=0,0,VLOOKUP(B15,Dren_Dim!A:AL,8,"falso"))</f>
        <v>0</v>
      </c>
      <c r="I15" s="2210"/>
      <c r="J15" s="2214"/>
      <c r="K15" s="2213"/>
      <c r="L15" s="2209"/>
      <c r="O15" s="717"/>
      <c r="P15" s="717"/>
      <c r="Q15" s="717"/>
      <c r="R15" s="717"/>
      <c r="S15" s="717"/>
      <c r="T15" s="717"/>
      <c r="U15" s="717"/>
    </row>
    <row r="16" spans="1:34" s="716" customFormat="1" ht="15" customHeight="1" thickTop="1" thickBot="1" x14ac:dyDescent="0.25">
      <c r="A16" s="722"/>
      <c r="B16" s="756"/>
      <c r="C16" s="757">
        <f>IF(B16=0,0,VLOOKUP(B16,Dren_Dim!A:W,17,"falso"))</f>
        <v>0</v>
      </c>
      <c r="D16" s="757">
        <f>IF(B16=0,0,VLOOKUP(B16,Dren_Dim!A:W,23,"falso")/1000)</f>
        <v>0</v>
      </c>
      <c r="E16" s="755">
        <f>IF(B16=0,0,VLOOKUP(B16,Dren_Dim!A:AL,38,"falso"))</f>
        <v>0</v>
      </c>
      <c r="F16" s="755">
        <f>IF(B16=0,0,VLOOKUP(B16,Dren_Dim!A:AL,6,"falso"))</f>
        <v>0</v>
      </c>
      <c r="G16" s="755">
        <f>IF(B16=0,0,VLOOKUP(B16,Dren_Dim!A:AL,7,"falso"))</f>
        <v>0</v>
      </c>
      <c r="H16" s="755">
        <f>IF(B16=0,0,VLOOKUP(B16,Dren_Dim!A:AL,8,"falso"))</f>
        <v>0</v>
      </c>
      <c r="I16" s="2210"/>
      <c r="J16" s="764" t="s">
        <v>819</v>
      </c>
      <c r="K16" s="766" t="s">
        <v>2625</v>
      </c>
      <c r="L16" s="2209"/>
      <c r="O16" s="717"/>
      <c r="P16" s="717"/>
      <c r="Q16" s="717"/>
      <c r="R16" s="717"/>
      <c r="S16" s="717"/>
      <c r="T16" s="717"/>
      <c r="U16" s="717"/>
    </row>
    <row r="17" spans="1:34" s="716" customFormat="1" ht="15" customHeight="1" thickTop="1" x14ac:dyDescent="0.2">
      <c r="A17" s="722"/>
      <c r="B17" s="756"/>
      <c r="C17" s="757">
        <f>IF(B17=0,0,VLOOKUP(B17,Dren_Dim!A:W,17,"falso"))</f>
        <v>0</v>
      </c>
      <c r="D17" s="757">
        <f>IF(B17=0,0,VLOOKUP(B17,Dren_Dim!A:W,23,"falso")/1000)</f>
        <v>0</v>
      </c>
      <c r="E17" s="755">
        <f>IF(B17=0,0,VLOOKUP(B17,Dren_Dim!A:AL,38,"falso"))</f>
        <v>0</v>
      </c>
      <c r="F17" s="755">
        <f>IF(B17=0,0,VLOOKUP(B17,Dren_Dim!A:AL,6,"falso"))</f>
        <v>0</v>
      </c>
      <c r="G17" s="755">
        <f>IF(B17=0,0,VLOOKUP(B17,Dren_Dim!A:AL,7,"falso"))</f>
        <v>0</v>
      </c>
      <c r="H17" s="755">
        <f>IF(B17=0,0,VLOOKUP(B17,Dren_Dim!A:AL,8,"falso"))</f>
        <v>0</v>
      </c>
      <c r="I17" s="2210"/>
      <c r="J17" s="2212">
        <f t="shared" ref="J17:J23" si="0">B12</f>
        <v>60</v>
      </c>
      <c r="K17" s="2211" t="e">
        <f>IF(J17=0,0,+$E$25-E12)</f>
        <v>#N/A</v>
      </c>
      <c r="L17" s="2209"/>
      <c r="O17" s="717"/>
      <c r="P17" s="717"/>
      <c r="Q17" s="717"/>
      <c r="R17" s="717"/>
      <c r="S17" s="717"/>
      <c r="T17" s="717"/>
      <c r="U17" s="717"/>
    </row>
    <row r="18" spans="1:34" s="716" customFormat="1" ht="15" customHeight="1" x14ac:dyDescent="0.2">
      <c r="A18" s="722"/>
      <c r="B18" s="756"/>
      <c r="C18" s="757">
        <f>IF(B18=0,0,VLOOKUP(B18,Dren_Dim!A:W,17,"falso"))</f>
        <v>0</v>
      </c>
      <c r="D18" s="757">
        <f>IF(B18=0,0,VLOOKUP(B18,Dren_Dim!A:W,23,"falso")/1000)</f>
        <v>0</v>
      </c>
      <c r="E18" s="755">
        <f>IF(B18=0,0,VLOOKUP(B18,Dren_Dim!A:AL,38,"falso"))</f>
        <v>0</v>
      </c>
      <c r="F18" s="755">
        <f>IF(B18=0,0,VLOOKUP(B18,Dren_Dim!A:AL,6,"falso"))</f>
        <v>0</v>
      </c>
      <c r="G18" s="755">
        <f>IF(B18=0,0,VLOOKUP(B18,Dren_Dim!A:AL,7,"falso"))</f>
        <v>0</v>
      </c>
      <c r="H18" s="755">
        <f>IF(B18=0,0,VLOOKUP(B18,Dren_Dim!A:AL,8,"falso"))</f>
        <v>0</v>
      </c>
      <c r="I18" s="2210"/>
      <c r="J18" s="2208">
        <f t="shared" si="0"/>
        <v>63</v>
      </c>
      <c r="K18" s="2207" t="e">
        <f t="shared" ref="K18:K22" si="1">IF(J18=0,0,+$E$25-E13)</f>
        <v>#N/A</v>
      </c>
      <c r="L18" s="2209"/>
      <c r="O18" s="717"/>
      <c r="P18" s="717"/>
      <c r="Q18" s="717"/>
      <c r="R18" s="717"/>
      <c r="S18" s="717"/>
      <c r="T18" s="717"/>
      <c r="U18" s="717"/>
    </row>
    <row r="19" spans="1:34" s="716" customFormat="1" ht="15" customHeight="1" x14ac:dyDescent="0.2">
      <c r="A19" s="722"/>
      <c r="B19" s="756"/>
      <c r="C19" s="757">
        <f>IF(B19=0,0,VLOOKUP(B19,Dren_Dim!A:W,17,"falso"))</f>
        <v>0</v>
      </c>
      <c r="D19" s="757">
        <f>IF(B19=0,0,VLOOKUP(B19,Dren_Dim!A:W,23,"falso")/1000)</f>
        <v>0</v>
      </c>
      <c r="E19" s="755">
        <f>IF(B19=0,0,VLOOKUP(B19,Dren_Dim!A:AL,38,"falso"))</f>
        <v>0</v>
      </c>
      <c r="F19" s="755">
        <f>IF(B19=0,0,VLOOKUP(B19,Dren_Dim!A:AL,6,"falso"))</f>
        <v>0</v>
      </c>
      <c r="G19" s="755">
        <f>IF(B19=0,0,VLOOKUP(B19,Dren_Dim!A:AL,7,"falso"))</f>
        <v>0</v>
      </c>
      <c r="H19" s="755">
        <f>IF(B19=0,0,VLOOKUP(B19,Dren_Dim!A:AL,8,"falso"))</f>
        <v>0</v>
      </c>
      <c r="J19" s="2208">
        <f t="shared" si="0"/>
        <v>0</v>
      </c>
      <c r="K19" s="2207">
        <f t="shared" si="1"/>
        <v>0</v>
      </c>
      <c r="L19" s="2209"/>
      <c r="O19" s="717"/>
      <c r="P19" s="717"/>
      <c r="Q19" s="717"/>
      <c r="R19" s="717"/>
      <c r="S19" s="717"/>
      <c r="T19" s="717"/>
      <c r="U19" s="717"/>
    </row>
    <row r="20" spans="1:34" s="716" customFormat="1" ht="15" customHeight="1" x14ac:dyDescent="0.2">
      <c r="A20" s="722"/>
      <c r="B20" s="756"/>
      <c r="C20" s="757">
        <f>IF(B20=0,0,VLOOKUP(B20,Dren_Dim!A:W,17,"falso"))</f>
        <v>0</v>
      </c>
      <c r="D20" s="757">
        <f>IF(B20=0,0,VLOOKUP(B20,Dren_Dim!A:W,23,"falso")/1000)</f>
        <v>0</v>
      </c>
      <c r="E20" s="755">
        <f>IF(B20=0,0,VLOOKUP(B20,Dren_Dim!A:AL,38,"falso"))</f>
        <v>0</v>
      </c>
      <c r="F20" s="755">
        <f>IF(B20=0,0,VLOOKUP(B20,Dren_Dim!A:AL,6,"falso"))</f>
        <v>0</v>
      </c>
      <c r="G20" s="755">
        <f>IF(B20=0,0,VLOOKUP(B20,Dren_Dim!A:AL,7,"falso"))</f>
        <v>0</v>
      </c>
      <c r="H20" s="755">
        <f>IF(B20=0,0,VLOOKUP(B20,Dren_Dim!A:AL,8,"falso"))</f>
        <v>0</v>
      </c>
      <c r="J20" s="2208">
        <f t="shared" si="0"/>
        <v>0</v>
      </c>
      <c r="K20" s="2207">
        <f t="shared" si="1"/>
        <v>0</v>
      </c>
      <c r="L20" s="2209"/>
      <c r="O20" s="717"/>
      <c r="P20" s="717"/>
      <c r="Q20" s="717"/>
      <c r="R20" s="717"/>
      <c r="S20" s="717"/>
      <c r="T20" s="717"/>
      <c r="U20" s="717"/>
    </row>
    <row r="21" spans="1:34" s="716" customFormat="1" ht="15" customHeight="1" x14ac:dyDescent="0.2">
      <c r="A21" s="722"/>
      <c r="B21" s="756"/>
      <c r="C21" s="757">
        <f>IF(B21=0,0,VLOOKUP(B21,Dren_Dim!A:W,17,"falso"))</f>
        <v>0</v>
      </c>
      <c r="D21" s="757">
        <f>IF(B21=0,0,VLOOKUP(B21,Dren_Dim!A:W,23,"falso")/1000)</f>
        <v>0</v>
      </c>
      <c r="E21" s="755">
        <f>IF(B21=0,0,VLOOKUP(B21,Dren_Dim!A:AL,38,"falso"))</f>
        <v>0</v>
      </c>
      <c r="F21" s="755">
        <f>IF(B21=0,0,VLOOKUP(B21,Dren_Dim!A:AL,6,"falso"))</f>
        <v>0</v>
      </c>
      <c r="G21" s="755">
        <f>IF(B21=0,0,VLOOKUP(B21,Dren_Dim!A:AL,7,"falso"))</f>
        <v>0</v>
      </c>
      <c r="H21" s="755">
        <f>IF(B21=0,0,VLOOKUP(B21,Dren_Dim!A:AL,8,"falso"))</f>
        <v>0</v>
      </c>
      <c r="J21" s="2208">
        <f t="shared" si="0"/>
        <v>0</v>
      </c>
      <c r="K21" s="2207">
        <f t="shared" si="1"/>
        <v>0</v>
      </c>
      <c r="O21" s="717"/>
      <c r="P21" s="717"/>
      <c r="Q21" s="717"/>
      <c r="R21" s="717"/>
      <c r="S21" s="717"/>
      <c r="T21" s="717"/>
      <c r="U21" s="717"/>
    </row>
    <row r="22" spans="1:34" s="716" customFormat="1" ht="15" customHeight="1" x14ac:dyDescent="0.2">
      <c r="A22" s="722"/>
      <c r="B22" s="756"/>
      <c r="C22" s="757">
        <f>IF(B22=0,0,VLOOKUP(B22,Dren_Dim!A:W,17,"falso"))</f>
        <v>0</v>
      </c>
      <c r="D22" s="757">
        <f>IF(B22=0,0,VLOOKUP(B22,Dren_Dim!A:W,23,"falso")/1000)</f>
        <v>0</v>
      </c>
      <c r="E22" s="755">
        <f>IF(B22=0,0,VLOOKUP(B22,Dren_Dim!A:AL,38,"falso"))</f>
        <v>0</v>
      </c>
      <c r="F22" s="755">
        <f>IF(B22=0,0,VLOOKUP(B22,Dren_Dim!A:AL,6,"falso"))</f>
        <v>0</v>
      </c>
      <c r="G22" s="755">
        <f>IF(B22=0,0,VLOOKUP(B22,Dren_Dim!A:AL,7,"falso"))</f>
        <v>0</v>
      </c>
      <c r="H22" s="755">
        <f>IF(B22=0,0,VLOOKUP(B22,Dren_Dim!A:AL,8,"falso"))</f>
        <v>0</v>
      </c>
      <c r="J22" s="2208">
        <f t="shared" si="0"/>
        <v>0</v>
      </c>
      <c r="K22" s="2207">
        <f t="shared" si="1"/>
        <v>0</v>
      </c>
      <c r="O22" s="717"/>
      <c r="P22" s="717"/>
      <c r="Q22" s="717"/>
      <c r="R22" s="717"/>
      <c r="S22" s="717"/>
      <c r="T22" s="717"/>
      <c r="U22" s="717"/>
    </row>
    <row r="23" spans="1:34" s="716" customFormat="1" ht="15" customHeight="1" thickBot="1" x14ac:dyDescent="0.25">
      <c r="A23" s="722"/>
      <c r="B23" s="756"/>
      <c r="C23" s="757"/>
      <c r="D23" s="757"/>
      <c r="E23" s="755"/>
      <c r="F23" s="755"/>
      <c r="G23" s="755"/>
      <c r="H23" s="755"/>
      <c r="J23" s="2206">
        <f t="shared" si="0"/>
        <v>0</v>
      </c>
      <c r="K23" s="2205">
        <f>IF(J23=0,0,+$E$25-E18)</f>
        <v>0</v>
      </c>
      <c r="O23" s="717"/>
      <c r="P23" s="717"/>
      <c r="Q23" s="717"/>
      <c r="R23" s="717"/>
      <c r="S23" s="717"/>
      <c r="T23" s="717"/>
      <c r="U23" s="717"/>
    </row>
    <row r="24" spans="1:34" s="716" customFormat="1" ht="15" customHeight="1" thickTop="1" x14ac:dyDescent="0.2">
      <c r="A24" s="722"/>
      <c r="B24" s="756" t="s">
        <v>2629</v>
      </c>
      <c r="C24" s="757"/>
      <c r="D24" s="757"/>
      <c r="E24" s="755"/>
      <c r="F24" s="755"/>
      <c r="G24" s="755"/>
      <c r="H24" s="755"/>
      <c r="O24" s="717"/>
      <c r="P24" s="717"/>
      <c r="Q24" s="717"/>
      <c r="R24" s="717"/>
      <c r="S24" s="717"/>
      <c r="T24" s="717"/>
      <c r="U24" s="717"/>
    </row>
    <row r="25" spans="1:34" s="716" customFormat="1" ht="15" customHeight="1" x14ac:dyDescent="0.2">
      <c r="A25" s="722"/>
      <c r="B25" s="756" t="s">
        <v>820</v>
      </c>
      <c r="C25" s="757" t="e">
        <f>SUM(C12:C24)</f>
        <v>#N/A</v>
      </c>
      <c r="D25" s="757" t="e">
        <f>SUM(D12:D24)</f>
        <v>#N/A</v>
      </c>
      <c r="E25" s="755" t="e">
        <f>MAX(E12:E24)</f>
        <v>#N/A</v>
      </c>
      <c r="F25" s="755"/>
      <c r="G25" s="755" t="e">
        <f>MIN(G12:G24)</f>
        <v>#N/A</v>
      </c>
      <c r="H25" s="757" t="e">
        <f>MAX(H12:H24)</f>
        <v>#N/A</v>
      </c>
      <c r="I25" s="756" t="s">
        <v>793</v>
      </c>
      <c r="N25" s="717"/>
      <c r="O25" s="734"/>
      <c r="P25" s="717"/>
      <c r="Q25" s="717"/>
      <c r="R25" s="717"/>
      <c r="S25" s="717"/>
      <c r="T25" s="717"/>
      <c r="U25" s="717"/>
    </row>
    <row r="26" spans="1:34" s="716" customFormat="1" ht="15" customHeight="1" x14ac:dyDescent="0.2">
      <c r="A26" s="722"/>
      <c r="B26" s="756" t="s">
        <v>2624</v>
      </c>
      <c r="C26" s="757" t="e">
        <f>C25</f>
        <v>#N/A</v>
      </c>
      <c r="D26" s="757" t="e">
        <f>$D25*+(100-I26)/100</f>
        <v>#N/A</v>
      </c>
      <c r="E26" s="755" t="e">
        <f>E25*(1+LOG(1/(+(100-I26)/100)))</f>
        <v>#N/A</v>
      </c>
      <c r="F26" s="755"/>
      <c r="G26" s="755" t="e">
        <f>G25</f>
        <v>#N/A</v>
      </c>
      <c r="H26" s="757" t="e">
        <f>D25*E25*60*LOG(1/((100-I26)/100))/I32</f>
        <v>#N/A</v>
      </c>
      <c r="I26" s="2204">
        <v>24</v>
      </c>
      <c r="N26" s="717"/>
      <c r="O26" s="734"/>
      <c r="P26" s="717"/>
      <c r="Q26" s="717"/>
      <c r="R26" s="717"/>
      <c r="S26" s="717"/>
      <c r="T26" s="717"/>
      <c r="U26" s="717"/>
    </row>
    <row r="27" spans="1:34" s="716" customFormat="1" ht="15" customHeight="1" x14ac:dyDescent="0.2">
      <c r="A27" s="722"/>
      <c r="B27" s="722"/>
      <c r="C27" s="722"/>
      <c r="D27" s="722"/>
      <c r="E27" s="722"/>
      <c r="F27" s="722"/>
      <c r="G27" s="722"/>
      <c r="N27" s="717"/>
      <c r="O27" s="734"/>
      <c r="P27" s="717"/>
      <c r="Q27" s="717"/>
      <c r="R27" s="717"/>
      <c r="S27" s="717"/>
      <c r="T27" s="717"/>
      <c r="U27" s="717"/>
    </row>
    <row r="28" spans="1:34" s="716" customFormat="1" ht="15" customHeight="1" x14ac:dyDescent="0.2">
      <c r="A28" s="747" t="s">
        <v>776</v>
      </c>
      <c r="B28" s="747" t="s">
        <v>777</v>
      </c>
      <c r="C28" s="747"/>
      <c r="D28" s="748"/>
      <c r="E28" s="748"/>
      <c r="F28" s="748"/>
      <c r="G28" s="748"/>
      <c r="H28" s="748"/>
      <c r="I28" s="748"/>
      <c r="J28" s="748"/>
      <c r="K28" s="748"/>
      <c r="L28" s="748"/>
      <c r="O28" s="722"/>
      <c r="P28" s="722"/>
      <c r="Q28" s="722"/>
      <c r="R28"/>
      <c r="S28"/>
      <c r="T28"/>
      <c r="U28" s="717"/>
      <c r="V28" s="3"/>
      <c r="W28" s="3"/>
      <c r="X28" s="3"/>
      <c r="Y28" s="3"/>
      <c r="Z28" s="3"/>
      <c r="AA28" s="3"/>
      <c r="AB28" s="3"/>
      <c r="AC28" s="3"/>
      <c r="AD28" s="723"/>
    </row>
    <row r="29" spans="1:34" s="716" customFormat="1" ht="15" customHeight="1" x14ac:dyDescent="0.2">
      <c r="O29" s="722"/>
      <c r="P29" s="725"/>
      <c r="Q29" s="725"/>
      <c r="R29" s="726"/>
      <c r="S29" s="726"/>
      <c r="T29" s="726"/>
      <c r="U29" s="717"/>
      <c r="V29" s="3"/>
      <c r="W29" s="3"/>
      <c r="X29" s="3"/>
      <c r="Y29" s="3"/>
      <c r="Z29" s="3"/>
      <c r="AA29" s="3"/>
      <c r="AB29" s="3"/>
      <c r="AC29" s="3"/>
      <c r="AD29" s="727"/>
      <c r="AE29" s="3"/>
      <c r="AF29" s="3"/>
      <c r="AG29" s="3"/>
      <c r="AH29" s="3"/>
    </row>
    <row r="30" spans="1:34" s="716" customFormat="1" ht="15" customHeight="1" x14ac:dyDescent="0.2">
      <c r="A30" s="716" t="s">
        <v>778</v>
      </c>
      <c r="B30" s="716" t="s">
        <v>779</v>
      </c>
      <c r="D30" s="735" t="s">
        <v>780</v>
      </c>
      <c r="F30" s="724" t="s">
        <v>851</v>
      </c>
      <c r="J30" s="724"/>
      <c r="K30" s="736"/>
      <c r="N30" s="717"/>
      <c r="O30" s="717"/>
      <c r="P30" s="717"/>
      <c r="Q30" s="717"/>
      <c r="R30" s="717"/>
      <c r="S30" s="717"/>
      <c r="T30" s="717"/>
      <c r="U30" s="717"/>
    </row>
    <row r="31" spans="1:34" s="716" customFormat="1" ht="15" customHeight="1" x14ac:dyDescent="0.2">
      <c r="D31" s="735"/>
      <c r="F31" s="724"/>
      <c r="J31" s="724"/>
      <c r="K31" s="736"/>
      <c r="N31" s="717"/>
      <c r="O31" s="717"/>
      <c r="P31" s="717"/>
      <c r="Q31" s="717"/>
      <c r="R31" s="717"/>
      <c r="S31" s="717"/>
      <c r="T31" s="717"/>
      <c r="U31" s="717"/>
    </row>
    <row r="32" spans="1:34" s="716" customFormat="1" ht="15" customHeight="1" x14ac:dyDescent="0.2">
      <c r="A32" s="716" t="s">
        <v>781</v>
      </c>
      <c r="B32" s="716" t="s">
        <v>850</v>
      </c>
      <c r="D32" s="724" t="s">
        <v>825</v>
      </c>
      <c r="E32" s="752">
        <v>110</v>
      </c>
      <c r="F32" s="724" t="s">
        <v>824</v>
      </c>
      <c r="G32" s="752">
        <v>7</v>
      </c>
      <c r="H32" s="724" t="s">
        <v>826</v>
      </c>
      <c r="I32" s="753">
        <f>G32*E32</f>
        <v>770</v>
      </c>
      <c r="J32" s="724"/>
      <c r="K32" s="736"/>
      <c r="N32" s="717"/>
      <c r="O32" s="717"/>
      <c r="P32" s="717"/>
      <c r="Q32" s="717"/>
      <c r="R32" s="717"/>
      <c r="S32" s="717"/>
      <c r="T32" s="717"/>
      <c r="U32" s="717"/>
    </row>
    <row r="33" spans="1:53" s="716" customFormat="1" ht="15" customHeight="1" x14ac:dyDescent="0.2">
      <c r="E33" s="735"/>
      <c r="J33" s="724"/>
      <c r="K33" s="736"/>
      <c r="N33" s="717"/>
      <c r="O33" s="717"/>
      <c r="P33" s="717"/>
      <c r="Q33" s="717"/>
      <c r="R33" s="717"/>
      <c r="S33" s="717"/>
      <c r="T33" s="717"/>
      <c r="U33" s="717"/>
    </row>
    <row r="34" spans="1:53" ht="15" customHeight="1" thickBot="1" x14ac:dyDescent="0.25">
      <c r="A34" s="716" t="s">
        <v>781</v>
      </c>
      <c r="B34" s="716" t="s">
        <v>782</v>
      </c>
      <c r="C34" s="737"/>
    </row>
    <row r="35" spans="1:53" s="716" customFormat="1" ht="15" customHeight="1" thickTop="1" thickBot="1" x14ac:dyDescent="0.25">
      <c r="B35" s="764" t="s">
        <v>833</v>
      </c>
      <c r="C35" s="765" t="s">
        <v>783</v>
      </c>
      <c r="D35" s="765" t="s">
        <v>784</v>
      </c>
      <c r="E35" s="765" t="s">
        <v>785</v>
      </c>
      <c r="F35" s="765" t="s">
        <v>786</v>
      </c>
      <c r="G35" s="765" t="s">
        <v>787</v>
      </c>
      <c r="H35" s="765" t="s">
        <v>368</v>
      </c>
      <c r="I35" s="765" t="s">
        <v>788</v>
      </c>
      <c r="J35" s="765" t="s">
        <v>789</v>
      </c>
      <c r="K35" s="765" t="s">
        <v>790</v>
      </c>
      <c r="L35" s="766" t="s">
        <v>791</v>
      </c>
      <c r="N35" s="717"/>
      <c r="O35" s="717"/>
      <c r="P35" s="717"/>
      <c r="Q35" s="717"/>
      <c r="R35" s="717"/>
      <c r="S35" s="717"/>
      <c r="T35" s="717"/>
      <c r="U35" s="717"/>
    </row>
    <row r="36" spans="1:53" ht="15" customHeight="1" thickTop="1" x14ac:dyDescent="0.2">
      <c r="B36" s="762" t="s">
        <v>792</v>
      </c>
      <c r="C36" s="763" t="e">
        <f>D25</f>
        <v>#N/A</v>
      </c>
      <c r="D36" s="763" t="e">
        <f t="shared" ref="D36:L36" si="2">$C36*D38</f>
        <v>#N/A</v>
      </c>
      <c r="E36" s="763" t="e">
        <f t="shared" si="2"/>
        <v>#N/A</v>
      </c>
      <c r="F36" s="763" t="e">
        <f t="shared" si="2"/>
        <v>#N/A</v>
      </c>
      <c r="G36" s="763" t="e">
        <f t="shared" si="2"/>
        <v>#N/A</v>
      </c>
      <c r="H36" s="763" t="e">
        <f t="shared" si="2"/>
        <v>#N/A</v>
      </c>
      <c r="I36" s="763" t="e">
        <f t="shared" si="2"/>
        <v>#N/A</v>
      </c>
      <c r="J36" s="763" t="e">
        <f t="shared" si="2"/>
        <v>#N/A</v>
      </c>
      <c r="K36" s="763" t="e">
        <f t="shared" si="2"/>
        <v>#N/A</v>
      </c>
      <c r="L36" s="763" t="e">
        <f t="shared" si="2"/>
        <v>#N/A</v>
      </c>
    </row>
    <row r="37" spans="1:53" ht="15" customHeight="1" x14ac:dyDescent="0.2">
      <c r="B37" s="758" t="s">
        <v>793</v>
      </c>
      <c r="C37" s="759">
        <v>0</v>
      </c>
      <c r="D37" s="759">
        <v>10</v>
      </c>
      <c r="E37" s="759">
        <v>20</v>
      </c>
      <c r="F37" s="759">
        <v>30</v>
      </c>
      <c r="G37" s="759">
        <v>40</v>
      </c>
      <c r="H37" s="759">
        <v>50</v>
      </c>
      <c r="I37" s="759">
        <v>60</v>
      </c>
      <c r="J37" s="759">
        <v>70</v>
      </c>
      <c r="K37" s="759">
        <v>80</v>
      </c>
      <c r="L37" s="759">
        <v>90</v>
      </c>
    </row>
    <row r="38" spans="1:53" ht="15" customHeight="1" x14ac:dyDescent="0.2">
      <c r="B38" s="758" t="s">
        <v>794</v>
      </c>
      <c r="C38" s="759">
        <f t="shared" ref="C38:L38" si="3">(100-C37)/100</f>
        <v>1</v>
      </c>
      <c r="D38" s="759">
        <f t="shared" si="3"/>
        <v>0.9</v>
      </c>
      <c r="E38" s="759">
        <f t="shared" si="3"/>
        <v>0.8</v>
      </c>
      <c r="F38" s="759">
        <f t="shared" si="3"/>
        <v>0.7</v>
      </c>
      <c r="G38" s="759">
        <f t="shared" si="3"/>
        <v>0.6</v>
      </c>
      <c r="H38" s="759">
        <f t="shared" si="3"/>
        <v>0.5</v>
      </c>
      <c r="I38" s="759">
        <f t="shared" si="3"/>
        <v>0.4</v>
      </c>
      <c r="J38" s="759">
        <f t="shared" si="3"/>
        <v>0.3</v>
      </c>
      <c r="K38" s="759">
        <f t="shared" si="3"/>
        <v>0.2</v>
      </c>
      <c r="L38" s="759">
        <f t="shared" si="3"/>
        <v>0.1</v>
      </c>
    </row>
    <row r="39" spans="1:53" ht="15" customHeight="1" x14ac:dyDescent="0.2">
      <c r="B39" s="758" t="s">
        <v>795</v>
      </c>
      <c r="C39" s="759">
        <f t="shared" ref="C39:L39" si="4">LOG(1/C38)</f>
        <v>0</v>
      </c>
      <c r="D39" s="759">
        <f t="shared" si="4"/>
        <v>4.5757490560675143E-2</v>
      </c>
      <c r="E39" s="759">
        <f t="shared" si="4"/>
        <v>9.691001300805642E-2</v>
      </c>
      <c r="F39" s="759">
        <f t="shared" si="4"/>
        <v>0.15490195998574319</v>
      </c>
      <c r="G39" s="759">
        <f t="shared" si="4"/>
        <v>0.22184874961635639</v>
      </c>
      <c r="H39" s="759">
        <f t="shared" si="4"/>
        <v>0.3010299956639812</v>
      </c>
      <c r="I39" s="759">
        <f t="shared" si="4"/>
        <v>0.3979400086720376</v>
      </c>
      <c r="J39" s="759">
        <f t="shared" si="4"/>
        <v>0.52287874528033762</v>
      </c>
      <c r="K39" s="759">
        <f t="shared" si="4"/>
        <v>0.69897000433601886</v>
      </c>
      <c r="L39" s="759">
        <f t="shared" si="4"/>
        <v>1</v>
      </c>
    </row>
    <row r="40" spans="1:53" ht="15" customHeight="1" x14ac:dyDescent="0.2">
      <c r="B40" s="758" t="s">
        <v>796</v>
      </c>
      <c r="C40" s="759" t="e">
        <f t="shared" ref="C40:L40" si="5">$C36*$E$25*60*C39</f>
        <v>#N/A</v>
      </c>
      <c r="D40" s="759" t="e">
        <f t="shared" si="5"/>
        <v>#N/A</v>
      </c>
      <c r="E40" s="759" t="e">
        <f t="shared" si="5"/>
        <v>#N/A</v>
      </c>
      <c r="F40" s="759" t="e">
        <f t="shared" si="5"/>
        <v>#N/A</v>
      </c>
      <c r="G40" s="759" t="e">
        <f t="shared" si="5"/>
        <v>#N/A</v>
      </c>
      <c r="H40" s="759" t="e">
        <f t="shared" si="5"/>
        <v>#N/A</v>
      </c>
      <c r="I40" s="759" t="e">
        <f t="shared" si="5"/>
        <v>#N/A</v>
      </c>
      <c r="J40" s="759" t="e">
        <f t="shared" si="5"/>
        <v>#N/A</v>
      </c>
      <c r="K40" s="759" t="e">
        <f t="shared" si="5"/>
        <v>#N/A</v>
      </c>
      <c r="L40" s="759" t="e">
        <f t="shared" si="5"/>
        <v>#N/A</v>
      </c>
    </row>
    <row r="41" spans="1:53" ht="15" customHeight="1" x14ac:dyDescent="0.2">
      <c r="B41" s="758" t="s">
        <v>827</v>
      </c>
      <c r="C41" s="759" t="e">
        <f t="shared" ref="C41:L41" si="6">C40/$I$32</f>
        <v>#N/A</v>
      </c>
      <c r="D41" s="759" t="e">
        <f t="shared" si="6"/>
        <v>#N/A</v>
      </c>
      <c r="E41" s="759" t="e">
        <f t="shared" si="6"/>
        <v>#N/A</v>
      </c>
      <c r="F41" s="759" t="e">
        <f t="shared" si="6"/>
        <v>#N/A</v>
      </c>
      <c r="G41" s="759" t="e">
        <f t="shared" si="6"/>
        <v>#N/A</v>
      </c>
      <c r="H41" s="759" t="e">
        <f t="shared" si="6"/>
        <v>#N/A</v>
      </c>
      <c r="I41" s="759" t="e">
        <f t="shared" si="6"/>
        <v>#N/A</v>
      </c>
      <c r="J41" s="759" t="e">
        <f t="shared" si="6"/>
        <v>#N/A</v>
      </c>
      <c r="K41" s="759" t="e">
        <f t="shared" si="6"/>
        <v>#N/A</v>
      </c>
      <c r="L41" s="759" t="e">
        <f t="shared" si="6"/>
        <v>#N/A</v>
      </c>
    </row>
    <row r="42" spans="1:53" ht="29.25" customHeight="1" x14ac:dyDescent="0.2">
      <c r="B42" s="760" t="s">
        <v>797</v>
      </c>
      <c r="C42" s="759" t="e">
        <f t="shared" ref="C42:L42" si="7">C40/$D$25/60</f>
        <v>#N/A</v>
      </c>
      <c r="D42" s="759" t="e">
        <f t="shared" si="7"/>
        <v>#N/A</v>
      </c>
      <c r="E42" s="759" t="e">
        <f t="shared" si="7"/>
        <v>#N/A</v>
      </c>
      <c r="F42" s="759" t="e">
        <f t="shared" si="7"/>
        <v>#N/A</v>
      </c>
      <c r="G42" s="759" t="e">
        <f t="shared" si="7"/>
        <v>#N/A</v>
      </c>
      <c r="H42" s="759" t="e">
        <f t="shared" si="7"/>
        <v>#N/A</v>
      </c>
      <c r="I42" s="759" t="e">
        <f t="shared" si="7"/>
        <v>#N/A</v>
      </c>
      <c r="J42" s="759" t="e">
        <f t="shared" si="7"/>
        <v>#N/A</v>
      </c>
      <c r="K42" s="759" t="e">
        <f t="shared" si="7"/>
        <v>#N/A</v>
      </c>
      <c r="L42" s="759" t="e">
        <f t="shared" si="7"/>
        <v>#N/A</v>
      </c>
    </row>
    <row r="43" spans="1:53" ht="15" customHeight="1" x14ac:dyDescent="0.2">
      <c r="F43" s="717" t="s">
        <v>798</v>
      </c>
      <c r="N43" s="731"/>
      <c r="O43" s="731"/>
    </row>
    <row r="44" spans="1:53" s="716" customFormat="1" ht="15" customHeight="1" x14ac:dyDescent="0.2">
      <c r="A44" s="747" t="s">
        <v>799</v>
      </c>
      <c r="B44" s="747" t="s">
        <v>800</v>
      </c>
      <c r="C44" s="747"/>
      <c r="D44" s="748"/>
      <c r="E44" s="748"/>
      <c r="F44" s="748"/>
      <c r="G44" s="748"/>
      <c r="H44" s="748"/>
      <c r="I44" s="748"/>
      <c r="J44" s="748"/>
      <c r="K44" s="748"/>
      <c r="L44" s="748"/>
      <c r="O44" s="722"/>
      <c r="P44" s="722"/>
      <c r="Q44" s="722"/>
      <c r="R44"/>
      <c r="S44"/>
      <c r="T44"/>
      <c r="U44" s="717"/>
      <c r="V44" s="3"/>
      <c r="W44" s="3"/>
      <c r="X44" s="3"/>
      <c r="Y44" s="3"/>
      <c r="Z44" s="3"/>
      <c r="AA44" s="3"/>
      <c r="AB44" s="3"/>
      <c r="AC44" s="3"/>
      <c r="AD44" s="723"/>
    </row>
    <row r="45" spans="1:53" s="739" customFormat="1" ht="15" customHeight="1" thickBot="1" x14ac:dyDescent="0.25">
      <c r="D45" s="717"/>
      <c r="E45" s="717"/>
      <c r="F45" s="717"/>
      <c r="G45" s="717"/>
      <c r="H45" s="717"/>
      <c r="I45" s="717"/>
      <c r="J45" s="717"/>
      <c r="K45" s="725"/>
      <c r="L45" s="717"/>
      <c r="M45" s="717"/>
      <c r="N45" s="717"/>
      <c r="O45" s="717"/>
      <c r="P45" s="717"/>
      <c r="Q45" s="717"/>
      <c r="R45" s="717"/>
    </row>
    <row r="46" spans="1:53" s="739" customFormat="1" ht="15" customHeight="1" thickTop="1" x14ac:dyDescent="0.2">
      <c r="B46" s="774" t="s">
        <v>801</v>
      </c>
      <c r="C46" s="2202"/>
      <c r="D46" s="2202"/>
      <c r="E46" s="2202"/>
      <c r="F46" s="2203"/>
      <c r="G46" s="2202"/>
      <c r="H46" s="2201"/>
      <c r="I46" s="717"/>
      <c r="J46" s="717"/>
      <c r="K46" s="717"/>
      <c r="L46" s="785" t="s">
        <v>838</v>
      </c>
      <c r="M46" s="717"/>
      <c r="N46" s="717"/>
      <c r="O46" s="717"/>
      <c r="P46" s="717"/>
      <c r="Q46" s="717"/>
      <c r="R46" s="717"/>
    </row>
    <row r="47" spans="1:53" ht="29.25" customHeight="1" thickBot="1" x14ac:dyDescent="0.25">
      <c r="B47" s="786" t="s">
        <v>841</v>
      </c>
      <c r="C47" s="776" t="s">
        <v>803</v>
      </c>
      <c r="D47" s="776" t="s">
        <v>804</v>
      </c>
      <c r="E47" s="776" t="s">
        <v>805</v>
      </c>
      <c r="F47" s="776" t="s">
        <v>806</v>
      </c>
      <c r="G47" s="777" t="s">
        <v>807</v>
      </c>
      <c r="H47" s="778" t="s">
        <v>808</v>
      </c>
      <c r="K47" s="784" t="s">
        <v>845</v>
      </c>
      <c r="AP47" s="739"/>
      <c r="AQ47" s="739"/>
      <c r="AR47" s="739"/>
      <c r="AS47" s="739"/>
      <c r="AT47" s="739"/>
      <c r="AU47" s="739"/>
      <c r="AV47" s="739"/>
      <c r="AW47" s="739"/>
      <c r="AX47" s="739"/>
      <c r="AY47" s="739"/>
      <c r="AZ47" s="739"/>
      <c r="BA47" s="739"/>
    </row>
    <row r="48" spans="1:53" ht="15" customHeight="1" thickTop="1" x14ac:dyDescent="0.2">
      <c r="B48" s="2194"/>
      <c r="C48" s="2200"/>
      <c r="D48" s="2200"/>
      <c r="E48" s="2200"/>
      <c r="F48" s="2200"/>
      <c r="G48" s="2194">
        <f>SUM(C48:F48)</f>
        <v>0</v>
      </c>
      <c r="H48" s="2194">
        <f>1.71*G48*B48^1.5</f>
        <v>0</v>
      </c>
      <c r="J48" s="731"/>
      <c r="AP48" s="739"/>
      <c r="AQ48" s="739"/>
      <c r="AR48" s="739"/>
      <c r="AS48" s="739"/>
      <c r="AT48" s="739"/>
      <c r="AU48" s="739"/>
      <c r="AV48" s="739"/>
      <c r="AW48" s="739"/>
      <c r="AX48" s="739"/>
      <c r="AY48" s="739"/>
      <c r="AZ48" s="739"/>
      <c r="BA48" s="739"/>
    </row>
    <row r="49" spans="1:53" ht="15" customHeight="1" x14ac:dyDescent="0.2">
      <c r="A49" s="738"/>
      <c r="B49" s="741"/>
      <c r="C49" s="741"/>
      <c r="D49" s="741"/>
      <c r="E49" s="741"/>
      <c r="F49" s="741"/>
      <c r="AP49" s="739"/>
      <c r="AQ49" s="739"/>
      <c r="AR49" s="739"/>
      <c r="AS49" s="739"/>
      <c r="AT49" s="739"/>
      <c r="AU49" s="739"/>
      <c r="AV49" s="739"/>
      <c r="AW49" s="739"/>
      <c r="AX49" s="739"/>
      <c r="AY49" s="739"/>
      <c r="AZ49" s="739"/>
      <c r="BA49" s="739"/>
    </row>
    <row r="50" spans="1:53" ht="15" customHeight="1" thickBot="1" x14ac:dyDescent="0.25">
      <c r="A50" s="738"/>
      <c r="B50" s="741"/>
      <c r="C50" s="741"/>
      <c r="D50" s="741"/>
      <c r="E50" s="741"/>
      <c r="F50" s="741"/>
      <c r="AP50" s="739"/>
      <c r="AQ50" s="739"/>
      <c r="AR50" s="739"/>
      <c r="AS50" s="739"/>
      <c r="AT50" s="739"/>
      <c r="AU50" s="739"/>
      <c r="AV50" s="739"/>
      <c r="AW50" s="739"/>
      <c r="AX50" s="739"/>
      <c r="AY50" s="739"/>
      <c r="AZ50" s="739"/>
      <c r="BA50" s="739"/>
    </row>
    <row r="51" spans="1:53" ht="15" customHeight="1" thickTop="1" x14ac:dyDescent="0.2">
      <c r="A51" s="738"/>
      <c r="B51" s="774" t="s">
        <v>840</v>
      </c>
      <c r="C51" s="2202"/>
      <c r="D51" s="2202"/>
      <c r="E51" s="2202"/>
      <c r="F51" s="2203"/>
      <c r="G51" s="2202"/>
      <c r="H51" s="2201"/>
      <c r="L51" s="785" t="s">
        <v>838</v>
      </c>
      <c r="AP51" s="739"/>
      <c r="AQ51" s="739"/>
      <c r="AR51" s="739"/>
      <c r="AS51" s="739"/>
      <c r="AT51" s="739"/>
      <c r="AU51" s="739"/>
      <c r="AV51" s="739"/>
      <c r="AW51" s="739"/>
      <c r="AX51" s="739"/>
      <c r="AY51" s="739"/>
      <c r="AZ51" s="739"/>
      <c r="BA51" s="739"/>
    </row>
    <row r="52" spans="1:53" ht="29.25" customHeight="1" thickBot="1" x14ac:dyDescent="0.25">
      <c r="A52" s="738"/>
      <c r="B52" s="786" t="s">
        <v>841</v>
      </c>
      <c r="C52" s="776" t="s">
        <v>803</v>
      </c>
      <c r="D52" s="776" t="s">
        <v>804</v>
      </c>
      <c r="E52" s="776" t="s">
        <v>805</v>
      </c>
      <c r="F52" s="776" t="s">
        <v>806</v>
      </c>
      <c r="G52" s="777" t="s">
        <v>807</v>
      </c>
      <c r="H52" s="778" t="s">
        <v>808</v>
      </c>
      <c r="K52" s="784" t="s">
        <v>839</v>
      </c>
      <c r="O52" s="754"/>
      <c r="AP52" s="739"/>
      <c r="AQ52" s="739"/>
      <c r="AR52" s="739"/>
      <c r="AS52" s="739"/>
      <c r="AT52" s="739"/>
      <c r="AU52" s="739"/>
      <c r="AV52" s="739"/>
      <c r="AW52" s="739"/>
      <c r="AX52" s="739"/>
      <c r="AY52" s="739"/>
      <c r="AZ52" s="739"/>
      <c r="BA52" s="739"/>
    </row>
    <row r="53" spans="1:53" ht="15" customHeight="1" thickTop="1" x14ac:dyDescent="0.2">
      <c r="A53" s="738"/>
      <c r="B53" s="2194"/>
      <c r="C53" s="2200"/>
      <c r="D53" s="2200"/>
      <c r="E53" s="2200"/>
      <c r="F53" s="2200"/>
      <c r="G53" s="2194">
        <f>SUM(C53:F53)</f>
        <v>0</v>
      </c>
      <c r="H53" s="787">
        <f>1.55*G53*B53^1.42</f>
        <v>0</v>
      </c>
      <c r="AP53" s="739"/>
      <c r="AQ53" s="739"/>
      <c r="AR53" s="739"/>
      <c r="AS53" s="739"/>
      <c r="AT53" s="739"/>
      <c r="AU53" s="739"/>
      <c r="AV53" s="739"/>
      <c r="AW53" s="739"/>
      <c r="AX53" s="739"/>
      <c r="AY53" s="739"/>
      <c r="AZ53" s="739"/>
      <c r="BA53" s="739"/>
    </row>
    <row r="54" spans="1:53" ht="15" customHeight="1" x14ac:dyDescent="0.2">
      <c r="A54" s="738"/>
      <c r="B54" s="741"/>
      <c r="C54" s="741"/>
      <c r="D54" s="741"/>
      <c r="E54" s="741"/>
      <c r="F54" s="741"/>
      <c r="AP54" s="739"/>
      <c r="AQ54" s="739"/>
      <c r="AR54" s="739"/>
      <c r="AS54" s="739"/>
      <c r="AT54" s="739"/>
      <c r="AU54" s="739"/>
      <c r="AV54" s="739"/>
      <c r="AW54" s="739"/>
      <c r="AX54" s="739"/>
      <c r="AY54" s="739"/>
      <c r="AZ54" s="739"/>
      <c r="BA54" s="739"/>
    </row>
    <row r="55" spans="1:53" ht="15" customHeight="1" thickBot="1" x14ac:dyDescent="0.25">
      <c r="A55" s="738"/>
      <c r="B55" s="741"/>
      <c r="C55" s="741"/>
      <c r="D55" s="741"/>
      <c r="E55" s="741"/>
      <c r="F55" s="741"/>
      <c r="AP55" s="739"/>
      <c r="AQ55" s="739"/>
      <c r="AR55" s="739"/>
      <c r="AS55" s="739"/>
      <c r="AT55" s="739"/>
      <c r="AU55" s="739"/>
      <c r="AV55" s="739"/>
      <c r="AW55" s="739"/>
      <c r="AX55" s="739"/>
      <c r="AY55" s="739"/>
      <c r="AZ55" s="739"/>
      <c r="BA55" s="739"/>
    </row>
    <row r="56" spans="1:53" ht="15" customHeight="1" thickTop="1" x14ac:dyDescent="0.2">
      <c r="A56" s="738"/>
      <c r="B56" s="3206" t="s">
        <v>828</v>
      </c>
      <c r="C56" s="3207"/>
      <c r="D56" s="3207"/>
      <c r="E56" s="3207"/>
      <c r="F56" s="3207"/>
      <c r="G56" s="3207"/>
      <c r="H56" s="3209"/>
      <c r="I56" s="3"/>
      <c r="L56" s="785" t="s">
        <v>842</v>
      </c>
      <c r="AP56" s="739"/>
      <c r="AQ56" s="739"/>
      <c r="AR56" s="739"/>
      <c r="AS56" s="739"/>
      <c r="AT56" s="739"/>
      <c r="AU56" s="739"/>
      <c r="AV56" s="739"/>
      <c r="AW56" s="739"/>
      <c r="AX56" s="739"/>
      <c r="AY56" s="739"/>
      <c r="AZ56" s="739"/>
      <c r="BA56" s="739"/>
    </row>
    <row r="57" spans="1:53" ht="38.25" customHeight="1" thickBot="1" x14ac:dyDescent="0.25">
      <c r="A57" s="738"/>
      <c r="B57" s="786" t="s">
        <v>841</v>
      </c>
      <c r="C57" s="776" t="s">
        <v>816</v>
      </c>
      <c r="D57" s="776" t="s">
        <v>802</v>
      </c>
      <c r="E57" s="779" t="s">
        <v>844</v>
      </c>
      <c r="F57" s="779" t="s">
        <v>835</v>
      </c>
      <c r="G57" s="779" t="s">
        <v>836</v>
      </c>
      <c r="H57" s="783" t="s">
        <v>837</v>
      </c>
      <c r="K57" s="784" t="s">
        <v>843</v>
      </c>
      <c r="AP57" s="739"/>
      <c r="AQ57" s="739"/>
      <c r="AR57" s="739"/>
      <c r="AS57" s="739"/>
      <c r="AT57" s="739"/>
      <c r="AU57" s="739"/>
      <c r="AV57" s="739"/>
      <c r="AW57" s="739"/>
      <c r="AX57" s="739"/>
      <c r="AY57" s="739"/>
      <c r="AZ57" s="739"/>
      <c r="BA57" s="739"/>
    </row>
    <row r="58" spans="1:53" ht="15" customHeight="1" thickTop="1" x14ac:dyDescent="0.2">
      <c r="A58" s="738"/>
      <c r="B58" s="2194" t="e">
        <f>H26</f>
        <v>#N/A</v>
      </c>
      <c r="C58" s="2194">
        <v>1</v>
      </c>
      <c r="D58" s="2194">
        <v>1.1270870440513192</v>
      </c>
      <c r="E58" s="2200" t="e">
        <f>B58-D58/2</f>
        <v>#N/A</v>
      </c>
      <c r="F58" s="2199">
        <v>1</v>
      </c>
      <c r="G58" s="2194" t="e">
        <f>(2.791*C58*D58*E58^0.5)*F58</f>
        <v>#N/A</v>
      </c>
      <c r="H58" s="2198" t="e">
        <f>G58</f>
        <v>#N/A</v>
      </c>
      <c r="M58" s="2216" t="e">
        <f>D26</f>
        <v>#N/A</v>
      </c>
      <c r="AP58" s="739"/>
      <c r="AQ58" s="739"/>
      <c r="AR58" s="739"/>
      <c r="AS58" s="739"/>
      <c r="AT58" s="739"/>
      <c r="AU58" s="739"/>
      <c r="AV58" s="739"/>
      <c r="AW58" s="739"/>
      <c r="AX58" s="739"/>
      <c r="AY58" s="739"/>
      <c r="AZ58" s="739"/>
      <c r="BA58" s="739"/>
    </row>
    <row r="59" spans="1:53" ht="15" customHeight="1" x14ac:dyDescent="0.2">
      <c r="A59" s="738"/>
      <c r="B59" s="780"/>
      <c r="C59" s="780"/>
      <c r="D59" s="780"/>
      <c r="E59" s="781"/>
      <c r="F59" s="782"/>
      <c r="G59" s="780"/>
      <c r="H59" s="757"/>
      <c r="L59" s="731"/>
      <c r="AP59" s="739"/>
      <c r="AQ59" s="739"/>
      <c r="AR59" s="739"/>
      <c r="AS59" s="739"/>
      <c r="AT59" s="739"/>
      <c r="AU59" s="739"/>
      <c r="AV59" s="739"/>
      <c r="AW59" s="739"/>
      <c r="AX59" s="739"/>
      <c r="AY59" s="739"/>
      <c r="AZ59" s="739"/>
      <c r="BA59" s="739"/>
    </row>
    <row r="60" spans="1:53" ht="15" customHeight="1" x14ac:dyDescent="0.2">
      <c r="A60" s="738"/>
      <c r="B60" s="780"/>
      <c r="C60" s="780"/>
      <c r="D60" s="780"/>
      <c r="E60" s="781"/>
      <c r="F60" s="782"/>
      <c r="G60" s="780"/>
      <c r="H60" s="757"/>
      <c r="AP60" s="739"/>
      <c r="AQ60" s="739"/>
      <c r="AR60" s="739"/>
      <c r="AS60" s="739"/>
      <c r="AT60" s="739"/>
      <c r="AU60" s="739"/>
      <c r="AV60" s="739"/>
      <c r="AW60" s="739"/>
      <c r="AX60" s="739"/>
      <c r="AY60" s="739"/>
      <c r="AZ60" s="739"/>
      <c r="BA60" s="739"/>
    </row>
    <row r="61" spans="1:53" ht="15" customHeight="1" x14ac:dyDescent="0.2">
      <c r="A61" s="738"/>
      <c r="B61" s="780"/>
      <c r="C61" s="780"/>
      <c r="D61" s="780"/>
      <c r="E61" s="781"/>
      <c r="F61" s="782"/>
      <c r="G61" s="780"/>
      <c r="H61" s="757"/>
      <c r="AP61" s="739"/>
      <c r="AQ61" s="739"/>
      <c r="AR61" s="739"/>
      <c r="AS61" s="739"/>
      <c r="AT61" s="739"/>
      <c r="AU61" s="739"/>
      <c r="AV61" s="739"/>
      <c r="AW61" s="739"/>
      <c r="AX61" s="739"/>
      <c r="AY61" s="739"/>
      <c r="AZ61" s="739"/>
      <c r="BA61" s="739"/>
    </row>
    <row r="62" spans="1:53" ht="15" customHeight="1" x14ac:dyDescent="0.2">
      <c r="A62" s="738"/>
      <c r="B62" s="780"/>
      <c r="C62" s="780"/>
      <c r="D62" s="780"/>
      <c r="E62" s="781"/>
      <c r="F62" s="782"/>
      <c r="G62" s="780"/>
      <c r="H62" s="757"/>
      <c r="K62" s="740"/>
      <c r="AP62" s="739"/>
      <c r="AQ62" s="739"/>
      <c r="AR62" s="739"/>
      <c r="AS62" s="739"/>
      <c r="AT62" s="739"/>
      <c r="AU62" s="739"/>
      <c r="AV62" s="739"/>
      <c r="AW62" s="739"/>
      <c r="AX62" s="739"/>
      <c r="AY62" s="739"/>
      <c r="AZ62" s="739"/>
      <c r="BA62" s="739"/>
    </row>
    <row r="63" spans="1:53" ht="15" customHeight="1" x14ac:dyDescent="0.2">
      <c r="A63" s="738"/>
      <c r="B63" s="741"/>
      <c r="C63" s="741"/>
      <c r="D63" s="742"/>
      <c r="E63" s="743"/>
      <c r="F63" s="742"/>
      <c r="G63" s="741"/>
      <c r="H63" s="741"/>
      <c r="I63" s="744"/>
      <c r="AP63" s="739"/>
      <c r="AQ63" s="739"/>
      <c r="AR63" s="739"/>
      <c r="AS63" s="739"/>
      <c r="AT63" s="739"/>
      <c r="AU63" s="739"/>
      <c r="AV63" s="739"/>
      <c r="AW63" s="739"/>
      <c r="AX63" s="739"/>
      <c r="AY63" s="739"/>
      <c r="AZ63" s="739"/>
      <c r="BA63" s="739"/>
    </row>
    <row r="64" spans="1:53" ht="15" customHeight="1" x14ac:dyDescent="0.2">
      <c r="A64" s="738"/>
      <c r="B64" s="741"/>
      <c r="C64" s="741"/>
      <c r="D64" s="742"/>
      <c r="E64" s="743"/>
      <c r="F64" s="742"/>
      <c r="G64" s="741"/>
      <c r="H64" s="741"/>
      <c r="I64" s="744"/>
      <c r="AP64" s="739"/>
      <c r="AQ64" s="739"/>
      <c r="AR64" s="739"/>
      <c r="AS64" s="739"/>
      <c r="AT64" s="739"/>
      <c r="AU64" s="739"/>
      <c r="AV64" s="739"/>
      <c r="AW64" s="739"/>
      <c r="AX64" s="739"/>
      <c r="AY64" s="739"/>
      <c r="AZ64" s="739"/>
      <c r="BA64" s="739"/>
    </row>
    <row r="65" spans="1:53" s="716" customFormat="1" ht="15" customHeight="1" x14ac:dyDescent="0.2">
      <c r="A65" s="747" t="s">
        <v>829</v>
      </c>
      <c r="B65" s="747" t="s">
        <v>830</v>
      </c>
      <c r="C65" s="747"/>
      <c r="D65" s="748"/>
      <c r="E65" s="748"/>
      <c r="F65" s="748"/>
      <c r="G65" s="748"/>
      <c r="H65" s="748"/>
      <c r="I65" s="748"/>
      <c r="J65" s="748"/>
      <c r="K65" s="748"/>
      <c r="L65" s="748"/>
      <c r="O65" s="722"/>
      <c r="P65" s="722"/>
      <c r="Q65" s="722"/>
      <c r="R65"/>
      <c r="S65"/>
      <c r="T65"/>
      <c r="U65" s="717"/>
      <c r="V65" s="3"/>
      <c r="W65" s="3"/>
      <c r="X65" s="3"/>
      <c r="Y65" s="3"/>
      <c r="Z65" s="3"/>
      <c r="AA65" s="3"/>
      <c r="AB65" s="3"/>
      <c r="AC65" s="3"/>
      <c r="AD65" s="723"/>
    </row>
    <row r="66" spans="1:53" s="739" customFormat="1" ht="15" customHeight="1" x14ac:dyDescent="0.2">
      <c r="H66" s="717"/>
      <c r="I66" s="717"/>
      <c r="J66" s="717"/>
      <c r="K66" s="717"/>
      <c r="L66" s="717"/>
      <c r="M66" s="717"/>
    </row>
    <row r="67" spans="1:53" s="739" customFormat="1" ht="15" customHeight="1" thickBot="1" x14ac:dyDescent="0.25">
      <c r="B67" s="791" t="s">
        <v>846</v>
      </c>
      <c r="F67" s="751" t="s">
        <v>847</v>
      </c>
      <c r="H67" s="791" t="s">
        <v>846</v>
      </c>
      <c r="I67" s="717"/>
      <c r="J67" s="717"/>
      <c r="K67" s="717"/>
      <c r="L67" s="751" t="s">
        <v>843</v>
      </c>
      <c r="M67" s="717"/>
    </row>
    <row r="68" spans="1:53" s="3" customFormat="1" ht="15" customHeight="1" thickTop="1" x14ac:dyDescent="0.2">
      <c r="B68" s="788" t="s">
        <v>810</v>
      </c>
      <c r="C68" s="2197"/>
      <c r="D68" s="2197"/>
      <c r="E68" s="2197"/>
      <c r="F68" s="2196"/>
      <c r="G68" s="3197" t="s">
        <v>831</v>
      </c>
      <c r="H68" s="3198"/>
      <c r="I68" s="3198"/>
      <c r="J68" s="3198"/>
      <c r="K68" s="3198"/>
      <c r="L68" s="3210"/>
      <c r="AP68" s="739"/>
      <c r="AQ68" s="739"/>
      <c r="AR68" s="739"/>
      <c r="AS68" s="739"/>
      <c r="AT68" s="739"/>
      <c r="AU68" s="739"/>
      <c r="AV68" s="739"/>
      <c r="AW68" s="739"/>
      <c r="AX68" s="739"/>
      <c r="AY68" s="739"/>
      <c r="AZ68" s="739"/>
      <c r="BA68" s="739"/>
    </row>
    <row r="69" spans="1:53" s="3" customFormat="1" ht="29.25" customHeight="1" thickBot="1" x14ac:dyDescent="0.25">
      <c r="B69" s="775" t="s">
        <v>811</v>
      </c>
      <c r="C69" s="776" t="s">
        <v>812</v>
      </c>
      <c r="D69" s="779" t="s">
        <v>844</v>
      </c>
      <c r="E69" s="777" t="s">
        <v>813</v>
      </c>
      <c r="F69" s="778" t="s">
        <v>808</v>
      </c>
      <c r="G69" s="775" t="s">
        <v>811</v>
      </c>
      <c r="H69" s="776" t="s">
        <v>816</v>
      </c>
      <c r="I69" s="776" t="s">
        <v>802</v>
      </c>
      <c r="J69" s="779" t="s">
        <v>844</v>
      </c>
      <c r="K69" s="790" t="s">
        <v>813</v>
      </c>
      <c r="L69" s="778" t="s">
        <v>808</v>
      </c>
      <c r="AP69" s="739"/>
      <c r="AQ69" s="739"/>
      <c r="AR69" s="739"/>
      <c r="AS69" s="739"/>
      <c r="AT69" s="739"/>
      <c r="AU69" s="739"/>
      <c r="AV69" s="739"/>
      <c r="AW69" s="739"/>
      <c r="AX69" s="739"/>
      <c r="AY69" s="739"/>
      <c r="AZ69" s="739"/>
      <c r="BA69" s="739"/>
    </row>
    <row r="70" spans="1:53" s="739" customFormat="1" ht="15" customHeight="1" thickTop="1" x14ac:dyDescent="0.2">
      <c r="B70" s="2195">
        <v>1</v>
      </c>
      <c r="C70" s="2194">
        <v>1.5</v>
      </c>
      <c r="D70" s="2194">
        <v>1.2214189870885843</v>
      </c>
      <c r="E70" s="2194">
        <f>2.79*D70^0.5</f>
        <v>3.08344734629866</v>
      </c>
      <c r="F70" s="2192">
        <f>IF(D70=0,+B70*C70^2.5*1.533,2.192*C70^2*D70^0.5*B70)</f>
        <v>5.4507391799085996</v>
      </c>
      <c r="G70" s="789">
        <v>1</v>
      </c>
      <c r="H70" s="787">
        <v>1.5</v>
      </c>
      <c r="I70" s="787">
        <v>1.5</v>
      </c>
      <c r="J70" s="787">
        <v>0.75323311010636329</v>
      </c>
      <c r="K70" s="787">
        <f>2.79*J70^0.5</f>
        <v>2.4214131932363263</v>
      </c>
      <c r="L70" s="787">
        <f>IF(J70=0,+G70*H70*I70^1.5*1.705,2.791*H70*I70*J70^0.5*G70)</f>
        <v>5.450132437356924</v>
      </c>
      <c r="M70" s="717"/>
    </row>
    <row r="73" spans="1:53" ht="15" customHeight="1" thickBot="1" x14ac:dyDescent="0.25">
      <c r="B73" s="791" t="s">
        <v>846</v>
      </c>
      <c r="F73" s="751" t="s">
        <v>849</v>
      </c>
      <c r="H73" s="791" t="s">
        <v>846</v>
      </c>
      <c r="I73" s="739"/>
      <c r="J73" s="739"/>
      <c r="K73" s="739"/>
      <c r="L73" s="751" t="s">
        <v>848</v>
      </c>
      <c r="M73" s="739"/>
    </row>
    <row r="74" spans="1:53" ht="15" customHeight="1" thickTop="1" x14ac:dyDescent="0.2">
      <c r="B74" s="788" t="s">
        <v>814</v>
      </c>
      <c r="C74" s="2197"/>
      <c r="D74" s="2197"/>
      <c r="E74" s="2197"/>
      <c r="F74" s="2196"/>
      <c r="G74" s="3197" t="s">
        <v>832</v>
      </c>
      <c r="H74" s="3198"/>
      <c r="I74" s="3198"/>
      <c r="J74" s="3198"/>
      <c r="K74" s="3198"/>
      <c r="L74" s="3210"/>
      <c r="M74" s="3"/>
    </row>
    <row r="75" spans="1:53" ht="29.25" customHeight="1" thickBot="1" x14ac:dyDescent="0.25">
      <c r="B75" s="775" t="s">
        <v>811</v>
      </c>
      <c r="C75" s="776" t="s">
        <v>812</v>
      </c>
      <c r="D75" s="777" t="s">
        <v>815</v>
      </c>
      <c r="E75" s="777" t="s">
        <v>813</v>
      </c>
      <c r="F75" s="778" t="s">
        <v>808</v>
      </c>
      <c r="G75" s="775" t="s">
        <v>811</v>
      </c>
      <c r="H75" s="776" t="s">
        <v>816</v>
      </c>
      <c r="I75" s="776" t="s">
        <v>802</v>
      </c>
      <c r="J75" s="790" t="s">
        <v>815</v>
      </c>
      <c r="K75" s="790" t="s">
        <v>813</v>
      </c>
      <c r="L75" s="778" t="s">
        <v>808</v>
      </c>
      <c r="M75" s="3"/>
    </row>
    <row r="76" spans="1:53" ht="15" customHeight="1" thickTop="1" x14ac:dyDescent="0.2">
      <c r="B76" s="2195">
        <f>B70</f>
        <v>1</v>
      </c>
      <c r="C76" s="2194">
        <f>C70</f>
        <v>1.5</v>
      </c>
      <c r="D76" s="2194">
        <f>0.739/C76^(0.333333333333333)</f>
        <v>0.64557596344012502</v>
      </c>
      <c r="E76" s="2194">
        <f>2.56*C76^0.5</f>
        <v>3.1353468707624677</v>
      </c>
      <c r="F76" s="2194">
        <f>B76*1.533*C76^2.5</f>
        <v>4.2244512476474387</v>
      </c>
      <c r="G76" s="2193">
        <f>G70</f>
        <v>1</v>
      </c>
      <c r="H76" s="2192">
        <f>H70</f>
        <v>1.5</v>
      </c>
      <c r="I76" s="2192">
        <f>I70</f>
        <v>1.5</v>
      </c>
      <c r="J76" s="2192">
        <f>IF(H76=0,0,0.0585/I76^0.333333333333333*(3+4*I76/H76)^(1.33333333333333))</f>
        <v>0.68431516812266135</v>
      </c>
      <c r="K76" s="2192">
        <f>2.56*I76^0.5</f>
        <v>3.1353468707624677</v>
      </c>
      <c r="L76" s="2192">
        <f>G76*H76*I76^1.5*1.705</f>
        <v>4.6984275128759831</v>
      </c>
      <c r="M76" s="745"/>
    </row>
  </sheetData>
  <mergeCells count="12">
    <mergeCell ref="B56:H56"/>
    <mergeCell ref="G68:L68"/>
    <mergeCell ref="G74:L74"/>
    <mergeCell ref="B9:B11"/>
    <mergeCell ref="C9:C11"/>
    <mergeCell ref="D9:D11"/>
    <mergeCell ref="E9:E11"/>
    <mergeCell ref="I9:L9"/>
    <mergeCell ref="F9:F11"/>
    <mergeCell ref="G9:G11"/>
    <mergeCell ref="H9:H11"/>
    <mergeCell ref="I10:L11"/>
  </mergeCells>
  <dataValidations disablePrompts="1" count="2">
    <dataValidation allowBlank="1" showInputMessage="1" showErrorMessage="1" prompt="contribuição_x000a_extra" sqref="WVI1048561:WVI1048562 WLM1048561:WLM1048562 WBQ1048561:WBQ1048562 VRU1048561:VRU1048562 VHY1048561:VHY1048562 UYC1048561:UYC1048562 UOG1048561:UOG1048562 UEK1048561:UEK1048562 TUO1048561:TUO1048562 TKS1048561:TKS1048562 TAW1048561:TAW1048562 SRA1048561:SRA1048562 SHE1048561:SHE1048562 RXI1048561:RXI1048562 RNM1048561:RNM1048562 RDQ1048561:RDQ1048562 QTU1048561:QTU1048562 QJY1048561:QJY1048562 QAC1048561:QAC1048562 PQG1048561:PQG1048562 PGK1048561:PGK1048562 OWO1048561:OWO1048562 OMS1048561:OMS1048562 OCW1048561:OCW1048562 NTA1048561:NTA1048562 NJE1048561:NJE1048562 MZI1048561:MZI1048562 MPM1048561:MPM1048562 MFQ1048561:MFQ1048562 LVU1048561:LVU1048562 LLY1048561:LLY1048562 LCC1048561:LCC1048562 KSG1048561:KSG1048562 KIK1048561:KIK1048562 JYO1048561:JYO1048562 JOS1048561:JOS1048562 JEW1048561:JEW1048562 IVA1048561:IVA1048562 ILE1048561:ILE1048562 IBI1048561:IBI1048562 HRM1048561:HRM1048562 HHQ1048561:HHQ1048562 GXU1048561:GXU1048562 GNY1048561:GNY1048562 GEC1048561:GEC1048562 FUG1048561:FUG1048562 FKK1048561:FKK1048562 FAO1048561:FAO1048562 EQS1048561:EQS1048562 EGW1048561:EGW1048562 DXA1048561:DXA1048562 DNE1048561:DNE1048562 DDI1048561:DDI1048562 CTM1048561:CTM1048562 CJQ1048561:CJQ1048562 BZU1048561:BZU1048562 BPY1048561:BPY1048562 BGC1048561:BGC1048562 AWG1048561:AWG1048562 AMK1048561:AMK1048562 ACO1048561:ACO1048562 SS1048561:SS1048562 IW1048561:IW1048562 WVI983025:WVI983026 WLM983025:WLM983026 WBQ983025:WBQ983026 VRU983025:VRU983026 VHY983025:VHY983026 UYC983025:UYC983026 UOG983025:UOG983026 UEK983025:UEK983026 TUO983025:TUO983026 TKS983025:TKS983026 TAW983025:TAW983026 SRA983025:SRA983026 SHE983025:SHE983026 RXI983025:RXI983026 RNM983025:RNM983026 RDQ983025:RDQ983026 QTU983025:QTU983026 QJY983025:QJY983026 QAC983025:QAC983026 PQG983025:PQG983026 PGK983025:PGK983026 OWO983025:OWO983026 OMS983025:OMS983026 OCW983025:OCW983026 NTA983025:NTA983026 NJE983025:NJE983026 MZI983025:MZI983026 MPM983025:MPM983026 MFQ983025:MFQ983026 LVU983025:LVU983026 LLY983025:LLY983026 LCC983025:LCC983026 KSG983025:KSG983026 KIK983025:KIK983026 JYO983025:JYO983026 JOS983025:JOS983026 JEW983025:JEW983026 IVA983025:IVA983026 ILE983025:ILE983026 IBI983025:IBI983026 HRM983025:HRM983026 HHQ983025:HHQ983026 GXU983025:GXU983026 GNY983025:GNY983026 GEC983025:GEC983026 FUG983025:FUG983026 FKK983025:FKK983026 FAO983025:FAO983026 EQS983025:EQS983026 EGW983025:EGW983026 DXA983025:DXA983026 DNE983025:DNE983026 DDI983025:DDI983026 CTM983025:CTM983026 CJQ983025:CJQ983026 BZU983025:BZU983026 BPY983025:BPY983026 BGC983025:BGC983026 AWG983025:AWG983026 AMK983025:AMK983026 ACO983025:ACO983026 SS983025:SS983026 IW983025:IW983026 WVI917489:WVI917490 WLM917489:WLM917490 WBQ917489:WBQ917490 VRU917489:VRU917490 VHY917489:VHY917490 UYC917489:UYC917490 UOG917489:UOG917490 UEK917489:UEK917490 TUO917489:TUO917490 TKS917489:TKS917490 TAW917489:TAW917490 SRA917489:SRA917490 SHE917489:SHE917490 RXI917489:RXI917490 RNM917489:RNM917490 RDQ917489:RDQ917490 QTU917489:QTU917490 QJY917489:QJY917490 QAC917489:QAC917490 PQG917489:PQG917490 PGK917489:PGK917490 OWO917489:OWO917490 OMS917489:OMS917490 OCW917489:OCW917490 NTA917489:NTA917490 NJE917489:NJE917490 MZI917489:MZI917490 MPM917489:MPM917490 MFQ917489:MFQ917490 LVU917489:LVU917490 LLY917489:LLY917490 LCC917489:LCC917490 KSG917489:KSG917490 KIK917489:KIK917490 JYO917489:JYO917490 JOS917489:JOS917490 JEW917489:JEW917490 IVA917489:IVA917490 ILE917489:ILE917490 IBI917489:IBI917490 HRM917489:HRM917490 HHQ917489:HHQ917490 GXU917489:GXU917490 GNY917489:GNY917490 GEC917489:GEC917490 FUG917489:FUG917490 FKK917489:FKK917490 FAO917489:FAO917490 EQS917489:EQS917490 EGW917489:EGW917490 DXA917489:DXA917490 DNE917489:DNE917490 DDI917489:DDI917490 CTM917489:CTM917490 CJQ917489:CJQ917490 BZU917489:BZU917490 BPY917489:BPY917490 BGC917489:BGC917490 AWG917489:AWG917490 AMK917489:AMK917490 ACO917489:ACO917490 SS917489:SS917490 IW917489:IW917490 WVI851953:WVI851954 WLM851953:WLM851954 WBQ851953:WBQ851954 VRU851953:VRU851954 VHY851953:VHY851954 UYC851953:UYC851954 UOG851953:UOG851954 UEK851953:UEK851954 TUO851953:TUO851954 TKS851953:TKS851954 TAW851953:TAW851954 SRA851953:SRA851954 SHE851953:SHE851954 RXI851953:RXI851954 RNM851953:RNM851954 RDQ851953:RDQ851954 QTU851953:QTU851954 QJY851953:QJY851954 QAC851953:QAC851954 PQG851953:PQG851954 PGK851953:PGK851954 OWO851953:OWO851954 OMS851953:OMS851954 OCW851953:OCW851954 NTA851953:NTA851954 NJE851953:NJE851954 MZI851953:MZI851954 MPM851953:MPM851954 MFQ851953:MFQ851954 LVU851953:LVU851954 LLY851953:LLY851954 LCC851953:LCC851954 KSG851953:KSG851954 KIK851953:KIK851954 JYO851953:JYO851954 JOS851953:JOS851954 JEW851953:JEW851954 IVA851953:IVA851954 ILE851953:ILE851954 IBI851953:IBI851954 HRM851953:HRM851954 HHQ851953:HHQ851954 GXU851953:GXU851954 GNY851953:GNY851954 GEC851953:GEC851954 FUG851953:FUG851954 FKK851953:FKK851954 FAO851953:FAO851954 EQS851953:EQS851954 EGW851953:EGW851954 DXA851953:DXA851954 DNE851953:DNE851954 DDI851953:DDI851954 CTM851953:CTM851954 CJQ851953:CJQ851954 BZU851953:BZU851954 BPY851953:BPY851954 BGC851953:BGC851954 AWG851953:AWG851954 AMK851953:AMK851954 ACO851953:ACO851954 SS851953:SS851954 IW851953:IW851954 WVI786417:WVI786418 WLM786417:WLM786418 WBQ786417:WBQ786418 VRU786417:VRU786418 VHY786417:VHY786418 UYC786417:UYC786418 UOG786417:UOG786418 UEK786417:UEK786418 TUO786417:TUO786418 TKS786417:TKS786418 TAW786417:TAW786418 SRA786417:SRA786418 SHE786417:SHE786418 RXI786417:RXI786418 RNM786417:RNM786418 RDQ786417:RDQ786418 QTU786417:QTU786418 QJY786417:QJY786418 QAC786417:QAC786418 PQG786417:PQG786418 PGK786417:PGK786418 OWO786417:OWO786418 OMS786417:OMS786418 OCW786417:OCW786418 NTA786417:NTA786418 NJE786417:NJE786418 MZI786417:MZI786418 MPM786417:MPM786418 MFQ786417:MFQ786418 LVU786417:LVU786418 LLY786417:LLY786418 LCC786417:LCC786418 KSG786417:KSG786418 KIK786417:KIK786418 JYO786417:JYO786418 JOS786417:JOS786418 JEW786417:JEW786418 IVA786417:IVA786418 ILE786417:ILE786418 IBI786417:IBI786418 HRM786417:HRM786418 HHQ786417:HHQ786418 GXU786417:GXU786418 GNY786417:GNY786418 GEC786417:GEC786418 FUG786417:FUG786418 FKK786417:FKK786418 FAO786417:FAO786418 EQS786417:EQS786418 EGW786417:EGW786418 DXA786417:DXA786418 DNE786417:DNE786418 DDI786417:DDI786418 CTM786417:CTM786418 CJQ786417:CJQ786418 BZU786417:BZU786418 BPY786417:BPY786418 BGC786417:BGC786418 AWG786417:AWG786418 AMK786417:AMK786418 ACO786417:ACO786418 SS786417:SS786418 IW786417:IW786418 WVI720881:WVI720882 WLM720881:WLM720882 WBQ720881:WBQ720882 VRU720881:VRU720882 VHY720881:VHY720882 UYC720881:UYC720882 UOG720881:UOG720882 UEK720881:UEK720882 TUO720881:TUO720882 TKS720881:TKS720882 TAW720881:TAW720882 SRA720881:SRA720882 SHE720881:SHE720882 RXI720881:RXI720882 RNM720881:RNM720882 RDQ720881:RDQ720882 QTU720881:QTU720882 QJY720881:QJY720882 QAC720881:QAC720882 PQG720881:PQG720882 PGK720881:PGK720882 OWO720881:OWO720882 OMS720881:OMS720882 OCW720881:OCW720882 NTA720881:NTA720882 NJE720881:NJE720882 MZI720881:MZI720882 MPM720881:MPM720882 MFQ720881:MFQ720882 LVU720881:LVU720882 LLY720881:LLY720882 LCC720881:LCC720882 KSG720881:KSG720882 KIK720881:KIK720882 JYO720881:JYO720882 JOS720881:JOS720882 JEW720881:JEW720882 IVA720881:IVA720882 ILE720881:ILE720882 IBI720881:IBI720882 HRM720881:HRM720882 HHQ720881:HHQ720882 GXU720881:GXU720882 GNY720881:GNY720882 GEC720881:GEC720882 FUG720881:FUG720882 FKK720881:FKK720882 FAO720881:FAO720882 EQS720881:EQS720882 EGW720881:EGW720882 DXA720881:DXA720882 DNE720881:DNE720882 DDI720881:DDI720882 CTM720881:CTM720882 CJQ720881:CJQ720882 BZU720881:BZU720882 BPY720881:BPY720882 BGC720881:BGC720882 AWG720881:AWG720882 AMK720881:AMK720882 ACO720881:ACO720882 SS720881:SS720882 IW720881:IW720882 WVI655345:WVI655346 WLM655345:WLM655346 WBQ655345:WBQ655346 VRU655345:VRU655346 VHY655345:VHY655346 UYC655345:UYC655346 UOG655345:UOG655346 UEK655345:UEK655346 TUO655345:TUO655346 TKS655345:TKS655346 TAW655345:TAW655346 SRA655345:SRA655346 SHE655345:SHE655346 RXI655345:RXI655346 RNM655345:RNM655346 RDQ655345:RDQ655346 QTU655345:QTU655346 QJY655345:QJY655346 QAC655345:QAC655346 PQG655345:PQG655346 PGK655345:PGK655346 OWO655345:OWO655346 OMS655345:OMS655346 OCW655345:OCW655346 NTA655345:NTA655346 NJE655345:NJE655346 MZI655345:MZI655346 MPM655345:MPM655346 MFQ655345:MFQ655346 LVU655345:LVU655346 LLY655345:LLY655346 LCC655345:LCC655346 KSG655345:KSG655346 KIK655345:KIK655346 JYO655345:JYO655346 JOS655345:JOS655346 JEW655345:JEW655346 IVA655345:IVA655346 ILE655345:ILE655346 IBI655345:IBI655346 HRM655345:HRM655346 HHQ655345:HHQ655346 GXU655345:GXU655346 GNY655345:GNY655346 GEC655345:GEC655346 FUG655345:FUG655346 FKK655345:FKK655346 FAO655345:FAO655346 EQS655345:EQS655346 EGW655345:EGW655346 DXA655345:DXA655346 DNE655345:DNE655346 DDI655345:DDI655346 CTM655345:CTM655346 CJQ655345:CJQ655346 BZU655345:BZU655346 BPY655345:BPY655346 BGC655345:BGC655346 AWG655345:AWG655346 AMK655345:AMK655346 ACO655345:ACO655346 SS655345:SS655346 IW655345:IW655346 WVI589809:WVI589810 WLM589809:WLM589810 WBQ589809:WBQ589810 VRU589809:VRU589810 VHY589809:VHY589810 UYC589809:UYC589810 UOG589809:UOG589810 UEK589809:UEK589810 TUO589809:TUO589810 TKS589809:TKS589810 TAW589809:TAW589810 SRA589809:SRA589810 SHE589809:SHE589810 RXI589809:RXI589810 RNM589809:RNM589810 RDQ589809:RDQ589810 QTU589809:QTU589810 QJY589809:QJY589810 QAC589809:QAC589810 PQG589809:PQG589810 PGK589809:PGK589810 OWO589809:OWO589810 OMS589809:OMS589810 OCW589809:OCW589810 NTA589809:NTA589810 NJE589809:NJE589810 MZI589809:MZI589810 MPM589809:MPM589810 MFQ589809:MFQ589810 LVU589809:LVU589810 LLY589809:LLY589810 LCC589809:LCC589810 KSG589809:KSG589810 KIK589809:KIK589810 JYO589809:JYO589810 JOS589809:JOS589810 JEW589809:JEW589810 IVA589809:IVA589810 ILE589809:ILE589810 IBI589809:IBI589810 HRM589809:HRM589810 HHQ589809:HHQ589810 GXU589809:GXU589810 GNY589809:GNY589810 GEC589809:GEC589810 FUG589809:FUG589810 FKK589809:FKK589810 FAO589809:FAO589810 EQS589809:EQS589810 EGW589809:EGW589810 DXA589809:DXA589810 DNE589809:DNE589810 DDI589809:DDI589810 CTM589809:CTM589810 CJQ589809:CJQ589810 BZU589809:BZU589810 BPY589809:BPY589810 BGC589809:BGC589810 AWG589809:AWG589810 AMK589809:AMK589810 ACO589809:ACO589810 SS589809:SS589810 IW589809:IW589810 WVI524273:WVI524274 WLM524273:WLM524274 WBQ524273:WBQ524274 VRU524273:VRU524274 VHY524273:VHY524274 UYC524273:UYC524274 UOG524273:UOG524274 UEK524273:UEK524274 TUO524273:TUO524274 TKS524273:TKS524274 TAW524273:TAW524274 SRA524273:SRA524274 SHE524273:SHE524274 RXI524273:RXI524274 RNM524273:RNM524274 RDQ524273:RDQ524274 QTU524273:QTU524274 QJY524273:QJY524274 QAC524273:QAC524274 PQG524273:PQG524274 PGK524273:PGK524274 OWO524273:OWO524274 OMS524273:OMS524274 OCW524273:OCW524274 NTA524273:NTA524274 NJE524273:NJE524274 MZI524273:MZI524274 MPM524273:MPM524274 MFQ524273:MFQ524274 LVU524273:LVU524274 LLY524273:LLY524274 LCC524273:LCC524274 KSG524273:KSG524274 KIK524273:KIK524274 JYO524273:JYO524274 JOS524273:JOS524274 JEW524273:JEW524274 IVA524273:IVA524274 ILE524273:ILE524274 IBI524273:IBI524274 HRM524273:HRM524274 HHQ524273:HHQ524274 GXU524273:GXU524274 GNY524273:GNY524274 GEC524273:GEC524274 FUG524273:FUG524274 FKK524273:FKK524274 FAO524273:FAO524274 EQS524273:EQS524274 EGW524273:EGW524274 DXA524273:DXA524274 DNE524273:DNE524274 DDI524273:DDI524274 CTM524273:CTM524274 CJQ524273:CJQ524274 BZU524273:BZU524274 BPY524273:BPY524274 BGC524273:BGC524274 AWG524273:AWG524274 AMK524273:AMK524274 ACO524273:ACO524274 SS524273:SS524274 IW524273:IW524274 WVI458737:WVI458738 WLM458737:WLM458738 WBQ458737:WBQ458738 VRU458737:VRU458738 VHY458737:VHY458738 UYC458737:UYC458738 UOG458737:UOG458738 UEK458737:UEK458738 TUO458737:TUO458738 TKS458737:TKS458738 TAW458737:TAW458738 SRA458737:SRA458738 SHE458737:SHE458738 RXI458737:RXI458738 RNM458737:RNM458738 RDQ458737:RDQ458738 QTU458737:QTU458738 QJY458737:QJY458738 QAC458737:QAC458738 PQG458737:PQG458738 PGK458737:PGK458738 OWO458737:OWO458738 OMS458737:OMS458738 OCW458737:OCW458738 NTA458737:NTA458738 NJE458737:NJE458738 MZI458737:MZI458738 MPM458737:MPM458738 MFQ458737:MFQ458738 LVU458737:LVU458738 LLY458737:LLY458738 LCC458737:LCC458738 KSG458737:KSG458738 KIK458737:KIK458738 JYO458737:JYO458738 JOS458737:JOS458738 JEW458737:JEW458738 IVA458737:IVA458738 ILE458737:ILE458738 IBI458737:IBI458738 HRM458737:HRM458738 HHQ458737:HHQ458738 GXU458737:GXU458738 GNY458737:GNY458738 GEC458737:GEC458738 FUG458737:FUG458738 FKK458737:FKK458738 FAO458737:FAO458738 EQS458737:EQS458738 EGW458737:EGW458738 DXA458737:DXA458738 DNE458737:DNE458738 DDI458737:DDI458738 CTM458737:CTM458738 CJQ458737:CJQ458738 BZU458737:BZU458738 BPY458737:BPY458738 BGC458737:BGC458738 AWG458737:AWG458738 AMK458737:AMK458738 ACO458737:ACO458738 SS458737:SS458738 IW458737:IW458738 WVI393201:WVI393202 WLM393201:WLM393202 WBQ393201:WBQ393202 VRU393201:VRU393202 VHY393201:VHY393202 UYC393201:UYC393202 UOG393201:UOG393202 UEK393201:UEK393202 TUO393201:TUO393202 TKS393201:TKS393202 TAW393201:TAW393202 SRA393201:SRA393202 SHE393201:SHE393202 RXI393201:RXI393202 RNM393201:RNM393202 RDQ393201:RDQ393202 QTU393201:QTU393202 QJY393201:QJY393202 QAC393201:QAC393202 PQG393201:PQG393202 PGK393201:PGK393202 OWO393201:OWO393202 OMS393201:OMS393202 OCW393201:OCW393202 NTA393201:NTA393202 NJE393201:NJE393202 MZI393201:MZI393202 MPM393201:MPM393202 MFQ393201:MFQ393202 LVU393201:LVU393202 LLY393201:LLY393202 LCC393201:LCC393202 KSG393201:KSG393202 KIK393201:KIK393202 JYO393201:JYO393202 JOS393201:JOS393202 JEW393201:JEW393202 IVA393201:IVA393202 ILE393201:ILE393202 IBI393201:IBI393202 HRM393201:HRM393202 HHQ393201:HHQ393202 GXU393201:GXU393202 GNY393201:GNY393202 GEC393201:GEC393202 FUG393201:FUG393202 FKK393201:FKK393202 FAO393201:FAO393202 EQS393201:EQS393202 EGW393201:EGW393202 DXA393201:DXA393202 DNE393201:DNE393202 DDI393201:DDI393202 CTM393201:CTM393202 CJQ393201:CJQ393202 BZU393201:BZU393202 BPY393201:BPY393202 BGC393201:BGC393202 AWG393201:AWG393202 AMK393201:AMK393202 ACO393201:ACO393202 SS393201:SS393202 IW393201:IW393202 WVI327665:WVI327666 WLM327665:WLM327666 WBQ327665:WBQ327666 VRU327665:VRU327666 VHY327665:VHY327666 UYC327665:UYC327666 UOG327665:UOG327666 UEK327665:UEK327666 TUO327665:TUO327666 TKS327665:TKS327666 TAW327665:TAW327666 SRA327665:SRA327666 SHE327665:SHE327666 RXI327665:RXI327666 RNM327665:RNM327666 RDQ327665:RDQ327666 QTU327665:QTU327666 QJY327665:QJY327666 QAC327665:QAC327666 PQG327665:PQG327666 PGK327665:PGK327666 OWO327665:OWO327666 OMS327665:OMS327666 OCW327665:OCW327666 NTA327665:NTA327666 NJE327665:NJE327666 MZI327665:MZI327666 MPM327665:MPM327666 MFQ327665:MFQ327666 LVU327665:LVU327666 LLY327665:LLY327666 LCC327665:LCC327666 KSG327665:KSG327666 KIK327665:KIK327666 JYO327665:JYO327666 JOS327665:JOS327666 JEW327665:JEW327666 IVA327665:IVA327666 ILE327665:ILE327666 IBI327665:IBI327666 HRM327665:HRM327666 HHQ327665:HHQ327666 GXU327665:GXU327666 GNY327665:GNY327666 GEC327665:GEC327666 FUG327665:FUG327666 FKK327665:FKK327666 FAO327665:FAO327666 EQS327665:EQS327666 EGW327665:EGW327666 DXA327665:DXA327666 DNE327665:DNE327666 DDI327665:DDI327666 CTM327665:CTM327666 CJQ327665:CJQ327666 BZU327665:BZU327666 BPY327665:BPY327666 BGC327665:BGC327666 AWG327665:AWG327666 AMK327665:AMK327666 ACO327665:ACO327666 SS327665:SS327666 IW327665:IW327666 WVI262129:WVI262130 WLM262129:WLM262130 WBQ262129:WBQ262130 VRU262129:VRU262130 VHY262129:VHY262130 UYC262129:UYC262130 UOG262129:UOG262130 UEK262129:UEK262130 TUO262129:TUO262130 TKS262129:TKS262130 TAW262129:TAW262130 SRA262129:SRA262130 SHE262129:SHE262130 RXI262129:RXI262130 RNM262129:RNM262130 RDQ262129:RDQ262130 QTU262129:QTU262130 QJY262129:QJY262130 QAC262129:QAC262130 PQG262129:PQG262130 PGK262129:PGK262130 OWO262129:OWO262130 OMS262129:OMS262130 OCW262129:OCW262130 NTA262129:NTA262130 NJE262129:NJE262130 MZI262129:MZI262130 MPM262129:MPM262130 MFQ262129:MFQ262130 LVU262129:LVU262130 LLY262129:LLY262130 LCC262129:LCC262130 KSG262129:KSG262130 KIK262129:KIK262130 JYO262129:JYO262130 JOS262129:JOS262130 JEW262129:JEW262130 IVA262129:IVA262130 ILE262129:ILE262130 IBI262129:IBI262130 HRM262129:HRM262130 HHQ262129:HHQ262130 GXU262129:GXU262130 GNY262129:GNY262130 GEC262129:GEC262130 FUG262129:FUG262130 FKK262129:FKK262130 FAO262129:FAO262130 EQS262129:EQS262130 EGW262129:EGW262130 DXA262129:DXA262130 DNE262129:DNE262130 DDI262129:DDI262130 CTM262129:CTM262130 CJQ262129:CJQ262130 BZU262129:BZU262130 BPY262129:BPY262130 BGC262129:BGC262130 AWG262129:AWG262130 AMK262129:AMK262130 ACO262129:ACO262130 SS262129:SS262130 IW262129:IW262130 WVI196593:WVI196594 WLM196593:WLM196594 WBQ196593:WBQ196594 VRU196593:VRU196594 VHY196593:VHY196594 UYC196593:UYC196594 UOG196593:UOG196594 UEK196593:UEK196594 TUO196593:TUO196594 TKS196593:TKS196594 TAW196593:TAW196594 SRA196593:SRA196594 SHE196593:SHE196594 RXI196593:RXI196594 RNM196593:RNM196594 RDQ196593:RDQ196594 QTU196593:QTU196594 QJY196593:QJY196594 QAC196593:QAC196594 PQG196593:PQG196594 PGK196593:PGK196594 OWO196593:OWO196594 OMS196593:OMS196594 OCW196593:OCW196594 NTA196593:NTA196594 NJE196593:NJE196594 MZI196593:MZI196594 MPM196593:MPM196594 MFQ196593:MFQ196594 LVU196593:LVU196594 LLY196593:LLY196594 LCC196593:LCC196594 KSG196593:KSG196594 KIK196593:KIK196594 JYO196593:JYO196594 JOS196593:JOS196594 JEW196593:JEW196594 IVA196593:IVA196594 ILE196593:ILE196594 IBI196593:IBI196594 HRM196593:HRM196594 HHQ196593:HHQ196594 GXU196593:GXU196594 GNY196593:GNY196594 GEC196593:GEC196594 FUG196593:FUG196594 FKK196593:FKK196594 FAO196593:FAO196594 EQS196593:EQS196594 EGW196593:EGW196594 DXA196593:DXA196594 DNE196593:DNE196594 DDI196593:DDI196594 CTM196593:CTM196594 CJQ196593:CJQ196594 BZU196593:BZU196594 BPY196593:BPY196594 BGC196593:BGC196594 AWG196593:AWG196594 AMK196593:AMK196594 ACO196593:ACO196594 SS196593:SS196594 IW196593:IW196594 WVI131057:WVI131058 WLM131057:WLM131058 WBQ131057:WBQ131058 VRU131057:VRU131058 VHY131057:VHY131058 UYC131057:UYC131058 UOG131057:UOG131058 UEK131057:UEK131058 TUO131057:TUO131058 TKS131057:TKS131058 TAW131057:TAW131058 SRA131057:SRA131058 SHE131057:SHE131058 RXI131057:RXI131058 RNM131057:RNM131058 RDQ131057:RDQ131058 QTU131057:QTU131058 QJY131057:QJY131058 QAC131057:QAC131058 PQG131057:PQG131058 PGK131057:PGK131058 OWO131057:OWO131058 OMS131057:OMS131058 OCW131057:OCW131058 NTA131057:NTA131058 NJE131057:NJE131058 MZI131057:MZI131058 MPM131057:MPM131058 MFQ131057:MFQ131058 LVU131057:LVU131058 LLY131057:LLY131058 LCC131057:LCC131058 KSG131057:KSG131058 KIK131057:KIK131058 JYO131057:JYO131058 JOS131057:JOS131058 JEW131057:JEW131058 IVA131057:IVA131058 ILE131057:ILE131058 IBI131057:IBI131058 HRM131057:HRM131058 HHQ131057:HHQ131058 GXU131057:GXU131058 GNY131057:GNY131058 GEC131057:GEC131058 FUG131057:FUG131058 FKK131057:FKK131058 FAO131057:FAO131058 EQS131057:EQS131058 EGW131057:EGW131058 DXA131057:DXA131058 DNE131057:DNE131058 DDI131057:DDI131058 CTM131057:CTM131058 CJQ131057:CJQ131058 BZU131057:BZU131058 BPY131057:BPY131058 BGC131057:BGC131058 AWG131057:AWG131058 AMK131057:AMK131058 ACO131057:ACO131058 SS131057:SS131058 IW131057:IW131058 WVI65521:WVI65522 WLM65521:WLM65522 WBQ65521:WBQ65522 VRU65521:VRU65522 VHY65521:VHY65522 UYC65521:UYC65522 UOG65521:UOG65522 UEK65521:UEK65522 TUO65521:TUO65522 TKS65521:TKS65522 TAW65521:TAW65522 SRA65521:SRA65522 SHE65521:SHE65522 RXI65521:RXI65522 RNM65521:RNM65522 RDQ65521:RDQ65522 QTU65521:QTU65522 QJY65521:QJY65522 QAC65521:QAC65522 PQG65521:PQG65522 PGK65521:PGK65522 OWO65521:OWO65522 OMS65521:OMS65522 OCW65521:OCW65522 NTA65521:NTA65522 NJE65521:NJE65522 MZI65521:MZI65522 MPM65521:MPM65522 MFQ65521:MFQ65522 LVU65521:LVU65522 LLY65521:LLY65522 LCC65521:LCC65522 KSG65521:KSG65522 KIK65521:KIK65522 JYO65521:JYO65522 JOS65521:JOS65522 JEW65521:JEW65522 IVA65521:IVA65522 ILE65521:ILE65522 IBI65521:IBI65522 HRM65521:HRM65522 HHQ65521:HHQ65522 GXU65521:GXU65522 GNY65521:GNY65522 GEC65521:GEC65522 FUG65521:FUG65522 FKK65521:FKK65522 FAO65521:FAO65522 EQS65521:EQS65522 EGW65521:EGW65522 DXA65521:DXA65522 DNE65521:DNE65522 DDI65521:DDI65522 CTM65521:CTM65522 CJQ65521:CJQ65522 BZU65521:BZU65522 BPY65521:BPY65522 BGC65521:BGC65522 AWG65521:AWG65522 AMK65521:AMK65522 ACO65521:ACO65522 SS65521:SS65522 IW65521:IW65522 F131057:F131058 F196593:F196594 F262129:F262130 F327665:F327666 F393201:F393202 F458737:F458738 F524273:F524274 F589809:F589810 F655345:F655346 F720881:F720882 F786417:F786418 F851953:F851954 F917489:F917490 F983025:F983026 F1048561:F1048562 F65521:F65522"/>
    <dataValidation allowBlank="1" showInputMessage="1" showErrorMessage="1" prompt="saída sem_x000a_passar pela_x000a_obra de arte" sqref="WVJ1048561:WVJ1048562 WLN1048561:WLN1048562 WBR1048561:WBR1048562 VRV1048561:VRV1048562 VHZ1048561:VHZ1048562 UYD1048561:UYD1048562 UOH1048561:UOH1048562 UEL1048561:UEL1048562 TUP1048561:TUP1048562 TKT1048561:TKT1048562 TAX1048561:TAX1048562 SRB1048561:SRB1048562 SHF1048561:SHF1048562 RXJ1048561:RXJ1048562 RNN1048561:RNN1048562 RDR1048561:RDR1048562 QTV1048561:QTV1048562 QJZ1048561:QJZ1048562 QAD1048561:QAD1048562 PQH1048561:PQH1048562 PGL1048561:PGL1048562 OWP1048561:OWP1048562 OMT1048561:OMT1048562 OCX1048561:OCX1048562 NTB1048561:NTB1048562 NJF1048561:NJF1048562 MZJ1048561:MZJ1048562 MPN1048561:MPN1048562 MFR1048561:MFR1048562 LVV1048561:LVV1048562 LLZ1048561:LLZ1048562 LCD1048561:LCD1048562 KSH1048561:KSH1048562 KIL1048561:KIL1048562 JYP1048561:JYP1048562 JOT1048561:JOT1048562 JEX1048561:JEX1048562 IVB1048561:IVB1048562 ILF1048561:ILF1048562 IBJ1048561:IBJ1048562 HRN1048561:HRN1048562 HHR1048561:HHR1048562 GXV1048561:GXV1048562 GNZ1048561:GNZ1048562 GED1048561:GED1048562 FUH1048561:FUH1048562 FKL1048561:FKL1048562 FAP1048561:FAP1048562 EQT1048561:EQT1048562 EGX1048561:EGX1048562 DXB1048561:DXB1048562 DNF1048561:DNF1048562 DDJ1048561:DDJ1048562 CTN1048561:CTN1048562 CJR1048561:CJR1048562 BZV1048561:BZV1048562 BPZ1048561:BPZ1048562 BGD1048561:BGD1048562 AWH1048561:AWH1048562 AML1048561:AML1048562 ACP1048561:ACP1048562 ST1048561:ST1048562 IX1048561:IX1048562 WVJ983025:WVJ983026 WLN983025:WLN983026 WBR983025:WBR983026 VRV983025:VRV983026 VHZ983025:VHZ983026 UYD983025:UYD983026 UOH983025:UOH983026 UEL983025:UEL983026 TUP983025:TUP983026 TKT983025:TKT983026 TAX983025:TAX983026 SRB983025:SRB983026 SHF983025:SHF983026 RXJ983025:RXJ983026 RNN983025:RNN983026 RDR983025:RDR983026 QTV983025:QTV983026 QJZ983025:QJZ983026 QAD983025:QAD983026 PQH983025:PQH983026 PGL983025:PGL983026 OWP983025:OWP983026 OMT983025:OMT983026 OCX983025:OCX983026 NTB983025:NTB983026 NJF983025:NJF983026 MZJ983025:MZJ983026 MPN983025:MPN983026 MFR983025:MFR983026 LVV983025:LVV983026 LLZ983025:LLZ983026 LCD983025:LCD983026 KSH983025:KSH983026 KIL983025:KIL983026 JYP983025:JYP983026 JOT983025:JOT983026 JEX983025:JEX983026 IVB983025:IVB983026 ILF983025:ILF983026 IBJ983025:IBJ983026 HRN983025:HRN983026 HHR983025:HHR983026 GXV983025:GXV983026 GNZ983025:GNZ983026 GED983025:GED983026 FUH983025:FUH983026 FKL983025:FKL983026 FAP983025:FAP983026 EQT983025:EQT983026 EGX983025:EGX983026 DXB983025:DXB983026 DNF983025:DNF983026 DDJ983025:DDJ983026 CTN983025:CTN983026 CJR983025:CJR983026 BZV983025:BZV983026 BPZ983025:BPZ983026 BGD983025:BGD983026 AWH983025:AWH983026 AML983025:AML983026 ACP983025:ACP983026 ST983025:ST983026 IX983025:IX983026 WVJ917489:WVJ917490 WLN917489:WLN917490 WBR917489:WBR917490 VRV917489:VRV917490 VHZ917489:VHZ917490 UYD917489:UYD917490 UOH917489:UOH917490 UEL917489:UEL917490 TUP917489:TUP917490 TKT917489:TKT917490 TAX917489:TAX917490 SRB917489:SRB917490 SHF917489:SHF917490 RXJ917489:RXJ917490 RNN917489:RNN917490 RDR917489:RDR917490 QTV917489:QTV917490 QJZ917489:QJZ917490 QAD917489:QAD917490 PQH917489:PQH917490 PGL917489:PGL917490 OWP917489:OWP917490 OMT917489:OMT917490 OCX917489:OCX917490 NTB917489:NTB917490 NJF917489:NJF917490 MZJ917489:MZJ917490 MPN917489:MPN917490 MFR917489:MFR917490 LVV917489:LVV917490 LLZ917489:LLZ917490 LCD917489:LCD917490 KSH917489:KSH917490 KIL917489:KIL917490 JYP917489:JYP917490 JOT917489:JOT917490 JEX917489:JEX917490 IVB917489:IVB917490 ILF917489:ILF917490 IBJ917489:IBJ917490 HRN917489:HRN917490 HHR917489:HHR917490 GXV917489:GXV917490 GNZ917489:GNZ917490 GED917489:GED917490 FUH917489:FUH917490 FKL917489:FKL917490 FAP917489:FAP917490 EQT917489:EQT917490 EGX917489:EGX917490 DXB917489:DXB917490 DNF917489:DNF917490 DDJ917489:DDJ917490 CTN917489:CTN917490 CJR917489:CJR917490 BZV917489:BZV917490 BPZ917489:BPZ917490 BGD917489:BGD917490 AWH917489:AWH917490 AML917489:AML917490 ACP917489:ACP917490 ST917489:ST917490 IX917489:IX917490 WVJ851953:WVJ851954 WLN851953:WLN851954 WBR851953:WBR851954 VRV851953:VRV851954 VHZ851953:VHZ851954 UYD851953:UYD851954 UOH851953:UOH851954 UEL851953:UEL851954 TUP851953:TUP851954 TKT851953:TKT851954 TAX851953:TAX851954 SRB851953:SRB851954 SHF851953:SHF851954 RXJ851953:RXJ851954 RNN851953:RNN851954 RDR851953:RDR851954 QTV851953:QTV851954 QJZ851953:QJZ851954 QAD851953:QAD851954 PQH851953:PQH851954 PGL851953:PGL851954 OWP851953:OWP851954 OMT851953:OMT851954 OCX851953:OCX851954 NTB851953:NTB851954 NJF851953:NJF851954 MZJ851953:MZJ851954 MPN851953:MPN851954 MFR851953:MFR851954 LVV851953:LVV851954 LLZ851953:LLZ851954 LCD851953:LCD851954 KSH851953:KSH851954 KIL851953:KIL851954 JYP851953:JYP851954 JOT851953:JOT851954 JEX851953:JEX851954 IVB851953:IVB851954 ILF851953:ILF851954 IBJ851953:IBJ851954 HRN851953:HRN851954 HHR851953:HHR851954 GXV851953:GXV851954 GNZ851953:GNZ851954 GED851953:GED851954 FUH851953:FUH851954 FKL851953:FKL851954 FAP851953:FAP851954 EQT851953:EQT851954 EGX851953:EGX851954 DXB851953:DXB851954 DNF851953:DNF851954 DDJ851953:DDJ851954 CTN851953:CTN851954 CJR851953:CJR851954 BZV851953:BZV851954 BPZ851953:BPZ851954 BGD851953:BGD851954 AWH851953:AWH851954 AML851953:AML851954 ACP851953:ACP851954 ST851953:ST851954 IX851953:IX851954 WVJ786417:WVJ786418 WLN786417:WLN786418 WBR786417:WBR786418 VRV786417:VRV786418 VHZ786417:VHZ786418 UYD786417:UYD786418 UOH786417:UOH786418 UEL786417:UEL786418 TUP786417:TUP786418 TKT786417:TKT786418 TAX786417:TAX786418 SRB786417:SRB786418 SHF786417:SHF786418 RXJ786417:RXJ786418 RNN786417:RNN786418 RDR786417:RDR786418 QTV786417:QTV786418 QJZ786417:QJZ786418 QAD786417:QAD786418 PQH786417:PQH786418 PGL786417:PGL786418 OWP786417:OWP786418 OMT786417:OMT786418 OCX786417:OCX786418 NTB786417:NTB786418 NJF786417:NJF786418 MZJ786417:MZJ786418 MPN786417:MPN786418 MFR786417:MFR786418 LVV786417:LVV786418 LLZ786417:LLZ786418 LCD786417:LCD786418 KSH786417:KSH786418 KIL786417:KIL786418 JYP786417:JYP786418 JOT786417:JOT786418 JEX786417:JEX786418 IVB786417:IVB786418 ILF786417:ILF786418 IBJ786417:IBJ786418 HRN786417:HRN786418 HHR786417:HHR786418 GXV786417:GXV786418 GNZ786417:GNZ786418 GED786417:GED786418 FUH786417:FUH786418 FKL786417:FKL786418 FAP786417:FAP786418 EQT786417:EQT786418 EGX786417:EGX786418 DXB786417:DXB786418 DNF786417:DNF786418 DDJ786417:DDJ786418 CTN786417:CTN786418 CJR786417:CJR786418 BZV786417:BZV786418 BPZ786417:BPZ786418 BGD786417:BGD786418 AWH786417:AWH786418 AML786417:AML786418 ACP786417:ACP786418 ST786417:ST786418 IX786417:IX786418 WVJ720881:WVJ720882 WLN720881:WLN720882 WBR720881:WBR720882 VRV720881:VRV720882 VHZ720881:VHZ720882 UYD720881:UYD720882 UOH720881:UOH720882 UEL720881:UEL720882 TUP720881:TUP720882 TKT720881:TKT720882 TAX720881:TAX720882 SRB720881:SRB720882 SHF720881:SHF720882 RXJ720881:RXJ720882 RNN720881:RNN720882 RDR720881:RDR720882 QTV720881:QTV720882 QJZ720881:QJZ720882 QAD720881:QAD720882 PQH720881:PQH720882 PGL720881:PGL720882 OWP720881:OWP720882 OMT720881:OMT720882 OCX720881:OCX720882 NTB720881:NTB720882 NJF720881:NJF720882 MZJ720881:MZJ720882 MPN720881:MPN720882 MFR720881:MFR720882 LVV720881:LVV720882 LLZ720881:LLZ720882 LCD720881:LCD720882 KSH720881:KSH720882 KIL720881:KIL720882 JYP720881:JYP720882 JOT720881:JOT720882 JEX720881:JEX720882 IVB720881:IVB720882 ILF720881:ILF720882 IBJ720881:IBJ720882 HRN720881:HRN720882 HHR720881:HHR720882 GXV720881:GXV720882 GNZ720881:GNZ720882 GED720881:GED720882 FUH720881:FUH720882 FKL720881:FKL720882 FAP720881:FAP720882 EQT720881:EQT720882 EGX720881:EGX720882 DXB720881:DXB720882 DNF720881:DNF720882 DDJ720881:DDJ720882 CTN720881:CTN720882 CJR720881:CJR720882 BZV720881:BZV720882 BPZ720881:BPZ720882 BGD720881:BGD720882 AWH720881:AWH720882 AML720881:AML720882 ACP720881:ACP720882 ST720881:ST720882 IX720881:IX720882 WVJ655345:WVJ655346 WLN655345:WLN655346 WBR655345:WBR655346 VRV655345:VRV655346 VHZ655345:VHZ655346 UYD655345:UYD655346 UOH655345:UOH655346 UEL655345:UEL655346 TUP655345:TUP655346 TKT655345:TKT655346 TAX655345:TAX655346 SRB655345:SRB655346 SHF655345:SHF655346 RXJ655345:RXJ655346 RNN655345:RNN655346 RDR655345:RDR655346 QTV655345:QTV655346 QJZ655345:QJZ655346 QAD655345:QAD655346 PQH655345:PQH655346 PGL655345:PGL655346 OWP655345:OWP655346 OMT655345:OMT655346 OCX655345:OCX655346 NTB655345:NTB655346 NJF655345:NJF655346 MZJ655345:MZJ655346 MPN655345:MPN655346 MFR655345:MFR655346 LVV655345:LVV655346 LLZ655345:LLZ655346 LCD655345:LCD655346 KSH655345:KSH655346 KIL655345:KIL655346 JYP655345:JYP655346 JOT655345:JOT655346 JEX655345:JEX655346 IVB655345:IVB655346 ILF655345:ILF655346 IBJ655345:IBJ655346 HRN655345:HRN655346 HHR655345:HHR655346 GXV655345:GXV655346 GNZ655345:GNZ655346 GED655345:GED655346 FUH655345:FUH655346 FKL655345:FKL655346 FAP655345:FAP655346 EQT655345:EQT655346 EGX655345:EGX655346 DXB655345:DXB655346 DNF655345:DNF655346 DDJ655345:DDJ655346 CTN655345:CTN655346 CJR655345:CJR655346 BZV655345:BZV655346 BPZ655345:BPZ655346 BGD655345:BGD655346 AWH655345:AWH655346 AML655345:AML655346 ACP655345:ACP655346 ST655345:ST655346 IX655345:IX655346 WVJ589809:WVJ589810 WLN589809:WLN589810 WBR589809:WBR589810 VRV589809:VRV589810 VHZ589809:VHZ589810 UYD589809:UYD589810 UOH589809:UOH589810 UEL589809:UEL589810 TUP589809:TUP589810 TKT589809:TKT589810 TAX589809:TAX589810 SRB589809:SRB589810 SHF589809:SHF589810 RXJ589809:RXJ589810 RNN589809:RNN589810 RDR589809:RDR589810 QTV589809:QTV589810 QJZ589809:QJZ589810 QAD589809:QAD589810 PQH589809:PQH589810 PGL589809:PGL589810 OWP589809:OWP589810 OMT589809:OMT589810 OCX589809:OCX589810 NTB589809:NTB589810 NJF589809:NJF589810 MZJ589809:MZJ589810 MPN589809:MPN589810 MFR589809:MFR589810 LVV589809:LVV589810 LLZ589809:LLZ589810 LCD589809:LCD589810 KSH589809:KSH589810 KIL589809:KIL589810 JYP589809:JYP589810 JOT589809:JOT589810 JEX589809:JEX589810 IVB589809:IVB589810 ILF589809:ILF589810 IBJ589809:IBJ589810 HRN589809:HRN589810 HHR589809:HHR589810 GXV589809:GXV589810 GNZ589809:GNZ589810 GED589809:GED589810 FUH589809:FUH589810 FKL589809:FKL589810 FAP589809:FAP589810 EQT589809:EQT589810 EGX589809:EGX589810 DXB589809:DXB589810 DNF589809:DNF589810 DDJ589809:DDJ589810 CTN589809:CTN589810 CJR589809:CJR589810 BZV589809:BZV589810 BPZ589809:BPZ589810 BGD589809:BGD589810 AWH589809:AWH589810 AML589809:AML589810 ACP589809:ACP589810 ST589809:ST589810 IX589809:IX589810 WVJ524273:WVJ524274 WLN524273:WLN524274 WBR524273:WBR524274 VRV524273:VRV524274 VHZ524273:VHZ524274 UYD524273:UYD524274 UOH524273:UOH524274 UEL524273:UEL524274 TUP524273:TUP524274 TKT524273:TKT524274 TAX524273:TAX524274 SRB524273:SRB524274 SHF524273:SHF524274 RXJ524273:RXJ524274 RNN524273:RNN524274 RDR524273:RDR524274 QTV524273:QTV524274 QJZ524273:QJZ524274 QAD524273:QAD524274 PQH524273:PQH524274 PGL524273:PGL524274 OWP524273:OWP524274 OMT524273:OMT524274 OCX524273:OCX524274 NTB524273:NTB524274 NJF524273:NJF524274 MZJ524273:MZJ524274 MPN524273:MPN524274 MFR524273:MFR524274 LVV524273:LVV524274 LLZ524273:LLZ524274 LCD524273:LCD524274 KSH524273:KSH524274 KIL524273:KIL524274 JYP524273:JYP524274 JOT524273:JOT524274 JEX524273:JEX524274 IVB524273:IVB524274 ILF524273:ILF524274 IBJ524273:IBJ524274 HRN524273:HRN524274 HHR524273:HHR524274 GXV524273:GXV524274 GNZ524273:GNZ524274 GED524273:GED524274 FUH524273:FUH524274 FKL524273:FKL524274 FAP524273:FAP524274 EQT524273:EQT524274 EGX524273:EGX524274 DXB524273:DXB524274 DNF524273:DNF524274 DDJ524273:DDJ524274 CTN524273:CTN524274 CJR524273:CJR524274 BZV524273:BZV524274 BPZ524273:BPZ524274 BGD524273:BGD524274 AWH524273:AWH524274 AML524273:AML524274 ACP524273:ACP524274 ST524273:ST524274 IX524273:IX524274 WVJ458737:WVJ458738 WLN458737:WLN458738 WBR458737:WBR458738 VRV458737:VRV458738 VHZ458737:VHZ458738 UYD458737:UYD458738 UOH458737:UOH458738 UEL458737:UEL458738 TUP458737:TUP458738 TKT458737:TKT458738 TAX458737:TAX458738 SRB458737:SRB458738 SHF458737:SHF458738 RXJ458737:RXJ458738 RNN458737:RNN458738 RDR458737:RDR458738 QTV458737:QTV458738 QJZ458737:QJZ458738 QAD458737:QAD458738 PQH458737:PQH458738 PGL458737:PGL458738 OWP458737:OWP458738 OMT458737:OMT458738 OCX458737:OCX458738 NTB458737:NTB458738 NJF458737:NJF458738 MZJ458737:MZJ458738 MPN458737:MPN458738 MFR458737:MFR458738 LVV458737:LVV458738 LLZ458737:LLZ458738 LCD458737:LCD458738 KSH458737:KSH458738 KIL458737:KIL458738 JYP458737:JYP458738 JOT458737:JOT458738 JEX458737:JEX458738 IVB458737:IVB458738 ILF458737:ILF458738 IBJ458737:IBJ458738 HRN458737:HRN458738 HHR458737:HHR458738 GXV458737:GXV458738 GNZ458737:GNZ458738 GED458737:GED458738 FUH458737:FUH458738 FKL458737:FKL458738 FAP458737:FAP458738 EQT458737:EQT458738 EGX458737:EGX458738 DXB458737:DXB458738 DNF458737:DNF458738 DDJ458737:DDJ458738 CTN458737:CTN458738 CJR458737:CJR458738 BZV458737:BZV458738 BPZ458737:BPZ458738 BGD458737:BGD458738 AWH458737:AWH458738 AML458737:AML458738 ACP458737:ACP458738 ST458737:ST458738 IX458737:IX458738 WVJ393201:WVJ393202 WLN393201:WLN393202 WBR393201:WBR393202 VRV393201:VRV393202 VHZ393201:VHZ393202 UYD393201:UYD393202 UOH393201:UOH393202 UEL393201:UEL393202 TUP393201:TUP393202 TKT393201:TKT393202 TAX393201:TAX393202 SRB393201:SRB393202 SHF393201:SHF393202 RXJ393201:RXJ393202 RNN393201:RNN393202 RDR393201:RDR393202 QTV393201:QTV393202 QJZ393201:QJZ393202 QAD393201:QAD393202 PQH393201:PQH393202 PGL393201:PGL393202 OWP393201:OWP393202 OMT393201:OMT393202 OCX393201:OCX393202 NTB393201:NTB393202 NJF393201:NJF393202 MZJ393201:MZJ393202 MPN393201:MPN393202 MFR393201:MFR393202 LVV393201:LVV393202 LLZ393201:LLZ393202 LCD393201:LCD393202 KSH393201:KSH393202 KIL393201:KIL393202 JYP393201:JYP393202 JOT393201:JOT393202 JEX393201:JEX393202 IVB393201:IVB393202 ILF393201:ILF393202 IBJ393201:IBJ393202 HRN393201:HRN393202 HHR393201:HHR393202 GXV393201:GXV393202 GNZ393201:GNZ393202 GED393201:GED393202 FUH393201:FUH393202 FKL393201:FKL393202 FAP393201:FAP393202 EQT393201:EQT393202 EGX393201:EGX393202 DXB393201:DXB393202 DNF393201:DNF393202 DDJ393201:DDJ393202 CTN393201:CTN393202 CJR393201:CJR393202 BZV393201:BZV393202 BPZ393201:BPZ393202 BGD393201:BGD393202 AWH393201:AWH393202 AML393201:AML393202 ACP393201:ACP393202 ST393201:ST393202 IX393201:IX393202 WVJ327665:WVJ327666 WLN327665:WLN327666 WBR327665:WBR327666 VRV327665:VRV327666 VHZ327665:VHZ327666 UYD327665:UYD327666 UOH327665:UOH327666 UEL327665:UEL327666 TUP327665:TUP327666 TKT327665:TKT327666 TAX327665:TAX327666 SRB327665:SRB327666 SHF327665:SHF327666 RXJ327665:RXJ327666 RNN327665:RNN327666 RDR327665:RDR327666 QTV327665:QTV327666 QJZ327665:QJZ327666 QAD327665:QAD327666 PQH327665:PQH327666 PGL327665:PGL327666 OWP327665:OWP327666 OMT327665:OMT327666 OCX327665:OCX327666 NTB327665:NTB327666 NJF327665:NJF327666 MZJ327665:MZJ327666 MPN327665:MPN327666 MFR327665:MFR327666 LVV327665:LVV327666 LLZ327665:LLZ327666 LCD327665:LCD327666 KSH327665:KSH327666 KIL327665:KIL327666 JYP327665:JYP327666 JOT327665:JOT327666 JEX327665:JEX327666 IVB327665:IVB327666 ILF327665:ILF327666 IBJ327665:IBJ327666 HRN327665:HRN327666 HHR327665:HHR327666 GXV327665:GXV327666 GNZ327665:GNZ327666 GED327665:GED327666 FUH327665:FUH327666 FKL327665:FKL327666 FAP327665:FAP327666 EQT327665:EQT327666 EGX327665:EGX327666 DXB327665:DXB327666 DNF327665:DNF327666 DDJ327665:DDJ327666 CTN327665:CTN327666 CJR327665:CJR327666 BZV327665:BZV327666 BPZ327665:BPZ327666 BGD327665:BGD327666 AWH327665:AWH327666 AML327665:AML327666 ACP327665:ACP327666 ST327665:ST327666 IX327665:IX327666 WVJ262129:WVJ262130 WLN262129:WLN262130 WBR262129:WBR262130 VRV262129:VRV262130 VHZ262129:VHZ262130 UYD262129:UYD262130 UOH262129:UOH262130 UEL262129:UEL262130 TUP262129:TUP262130 TKT262129:TKT262130 TAX262129:TAX262130 SRB262129:SRB262130 SHF262129:SHF262130 RXJ262129:RXJ262130 RNN262129:RNN262130 RDR262129:RDR262130 QTV262129:QTV262130 QJZ262129:QJZ262130 QAD262129:QAD262130 PQH262129:PQH262130 PGL262129:PGL262130 OWP262129:OWP262130 OMT262129:OMT262130 OCX262129:OCX262130 NTB262129:NTB262130 NJF262129:NJF262130 MZJ262129:MZJ262130 MPN262129:MPN262130 MFR262129:MFR262130 LVV262129:LVV262130 LLZ262129:LLZ262130 LCD262129:LCD262130 KSH262129:KSH262130 KIL262129:KIL262130 JYP262129:JYP262130 JOT262129:JOT262130 JEX262129:JEX262130 IVB262129:IVB262130 ILF262129:ILF262130 IBJ262129:IBJ262130 HRN262129:HRN262130 HHR262129:HHR262130 GXV262129:GXV262130 GNZ262129:GNZ262130 GED262129:GED262130 FUH262129:FUH262130 FKL262129:FKL262130 FAP262129:FAP262130 EQT262129:EQT262130 EGX262129:EGX262130 DXB262129:DXB262130 DNF262129:DNF262130 DDJ262129:DDJ262130 CTN262129:CTN262130 CJR262129:CJR262130 BZV262129:BZV262130 BPZ262129:BPZ262130 BGD262129:BGD262130 AWH262129:AWH262130 AML262129:AML262130 ACP262129:ACP262130 ST262129:ST262130 IX262129:IX262130 WVJ196593:WVJ196594 WLN196593:WLN196594 WBR196593:WBR196594 VRV196593:VRV196594 VHZ196593:VHZ196594 UYD196593:UYD196594 UOH196593:UOH196594 UEL196593:UEL196594 TUP196593:TUP196594 TKT196593:TKT196594 TAX196593:TAX196594 SRB196593:SRB196594 SHF196593:SHF196594 RXJ196593:RXJ196594 RNN196593:RNN196594 RDR196593:RDR196594 QTV196593:QTV196594 QJZ196593:QJZ196594 QAD196593:QAD196594 PQH196593:PQH196594 PGL196593:PGL196594 OWP196593:OWP196594 OMT196593:OMT196594 OCX196593:OCX196594 NTB196593:NTB196594 NJF196593:NJF196594 MZJ196593:MZJ196594 MPN196593:MPN196594 MFR196593:MFR196594 LVV196593:LVV196594 LLZ196593:LLZ196594 LCD196593:LCD196594 KSH196593:KSH196594 KIL196593:KIL196594 JYP196593:JYP196594 JOT196593:JOT196594 JEX196593:JEX196594 IVB196593:IVB196594 ILF196593:ILF196594 IBJ196593:IBJ196594 HRN196593:HRN196594 HHR196593:HHR196594 GXV196593:GXV196594 GNZ196593:GNZ196594 GED196593:GED196594 FUH196593:FUH196594 FKL196593:FKL196594 FAP196593:FAP196594 EQT196593:EQT196594 EGX196593:EGX196594 DXB196593:DXB196594 DNF196593:DNF196594 DDJ196593:DDJ196594 CTN196593:CTN196594 CJR196593:CJR196594 BZV196593:BZV196594 BPZ196593:BPZ196594 BGD196593:BGD196594 AWH196593:AWH196594 AML196593:AML196594 ACP196593:ACP196594 ST196593:ST196594 IX196593:IX196594 WVJ131057:WVJ131058 WLN131057:WLN131058 WBR131057:WBR131058 VRV131057:VRV131058 VHZ131057:VHZ131058 UYD131057:UYD131058 UOH131057:UOH131058 UEL131057:UEL131058 TUP131057:TUP131058 TKT131057:TKT131058 TAX131057:TAX131058 SRB131057:SRB131058 SHF131057:SHF131058 RXJ131057:RXJ131058 RNN131057:RNN131058 RDR131057:RDR131058 QTV131057:QTV131058 QJZ131057:QJZ131058 QAD131057:QAD131058 PQH131057:PQH131058 PGL131057:PGL131058 OWP131057:OWP131058 OMT131057:OMT131058 OCX131057:OCX131058 NTB131057:NTB131058 NJF131057:NJF131058 MZJ131057:MZJ131058 MPN131057:MPN131058 MFR131057:MFR131058 LVV131057:LVV131058 LLZ131057:LLZ131058 LCD131057:LCD131058 KSH131057:KSH131058 KIL131057:KIL131058 JYP131057:JYP131058 JOT131057:JOT131058 JEX131057:JEX131058 IVB131057:IVB131058 ILF131057:ILF131058 IBJ131057:IBJ131058 HRN131057:HRN131058 HHR131057:HHR131058 GXV131057:GXV131058 GNZ131057:GNZ131058 GED131057:GED131058 FUH131057:FUH131058 FKL131057:FKL131058 FAP131057:FAP131058 EQT131057:EQT131058 EGX131057:EGX131058 DXB131057:DXB131058 DNF131057:DNF131058 DDJ131057:DDJ131058 CTN131057:CTN131058 CJR131057:CJR131058 BZV131057:BZV131058 BPZ131057:BPZ131058 BGD131057:BGD131058 AWH131057:AWH131058 AML131057:AML131058 ACP131057:ACP131058 ST131057:ST131058 IX131057:IX131058 WVJ65521:WVJ65522 WLN65521:WLN65522 WBR65521:WBR65522 VRV65521:VRV65522 VHZ65521:VHZ65522 UYD65521:UYD65522 UOH65521:UOH65522 UEL65521:UEL65522 TUP65521:TUP65522 TKT65521:TKT65522 TAX65521:TAX65522 SRB65521:SRB65522 SHF65521:SHF65522 RXJ65521:RXJ65522 RNN65521:RNN65522 RDR65521:RDR65522 QTV65521:QTV65522 QJZ65521:QJZ65522 QAD65521:QAD65522 PQH65521:PQH65522 PGL65521:PGL65522 OWP65521:OWP65522 OMT65521:OMT65522 OCX65521:OCX65522 NTB65521:NTB65522 NJF65521:NJF65522 MZJ65521:MZJ65522 MPN65521:MPN65522 MFR65521:MFR65522 LVV65521:LVV65522 LLZ65521:LLZ65522 LCD65521:LCD65522 KSH65521:KSH65522 KIL65521:KIL65522 JYP65521:JYP65522 JOT65521:JOT65522 JEX65521:JEX65522 IVB65521:IVB65522 ILF65521:ILF65522 IBJ65521:IBJ65522 HRN65521:HRN65522 HHR65521:HHR65522 GXV65521:GXV65522 GNZ65521:GNZ65522 GED65521:GED65522 FUH65521:FUH65522 FKL65521:FKL65522 FAP65521:FAP65522 EQT65521:EQT65522 EGX65521:EGX65522 DXB65521:DXB65522 DNF65521:DNF65522 DDJ65521:DDJ65522 CTN65521:CTN65522 CJR65521:CJR65522 BZV65521:BZV65522 BPZ65521:BPZ65522 BGD65521:BGD65522 AWH65521:AWH65522 AML65521:AML65522 ACP65521:ACP65522 ST65521:ST65522 IX65521:IX65522 G131057:G131058 G196593:G196594 G262129:G262130 G327665:G327666 G393201:G393202 G458737:G458738 G524273:G524274 G589809:G589810 G655345:G655346 G720881:G720882 G786417:G786418 G851953:G851954 G917489:G917490 G983025:G983026 G1048561:G1048562 G65521:G65522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42</vt:i4>
      </vt:variant>
      <vt:variant>
        <vt:lpstr>Intervalos nomeados</vt:lpstr>
      </vt:variant>
      <vt:variant>
        <vt:i4>54</vt:i4>
      </vt:variant>
    </vt:vector>
  </HeadingPairs>
  <TitlesOfParts>
    <vt:vector size="96" baseType="lpstr">
      <vt:lpstr>PAINEL</vt:lpstr>
      <vt:lpstr>Curva ABC</vt:lpstr>
      <vt:lpstr>Pareto</vt:lpstr>
      <vt:lpstr>Planilha6</vt:lpstr>
      <vt:lpstr>Orçamento auxliar</vt:lpstr>
      <vt:lpstr>Orçamento_Não_Deson</vt:lpstr>
      <vt:lpstr>Cronograma_Não_Deson</vt:lpstr>
      <vt:lpstr>CCU_Adm_Local_Não_Deson</vt:lpstr>
      <vt:lpstr>Orçamento_Deson</vt:lpstr>
      <vt:lpstr>Cronograma_Deson</vt:lpstr>
      <vt:lpstr>CCU_Adm_Local_Deson</vt:lpstr>
      <vt:lpstr>Dados_DMT</vt:lpstr>
      <vt:lpstr>Deson_X_Nao_Deson</vt:lpstr>
      <vt:lpstr>Estatística_Deson</vt:lpstr>
      <vt:lpstr>S_Preliminares</vt:lpstr>
      <vt:lpstr>Demolicao</vt:lpstr>
      <vt:lpstr>Dren_Quantificacao</vt:lpstr>
      <vt:lpstr>Dre_Ser_Prelim</vt:lpstr>
      <vt:lpstr>Dre_Terraplenagem</vt:lpstr>
      <vt:lpstr>Dre_Disp_Estruturais</vt:lpstr>
      <vt:lpstr>Bacia_Amortecimento</vt:lpstr>
      <vt:lpstr>Dre_Profunda</vt:lpstr>
      <vt:lpstr>Dre_Fecha_Vala</vt:lpstr>
      <vt:lpstr>Recap_Previo</vt:lpstr>
      <vt:lpstr>Recap_Final</vt:lpstr>
      <vt:lpstr>Pav_Dados</vt:lpstr>
      <vt:lpstr>Pav_Terraplenagem</vt:lpstr>
      <vt:lpstr>Pav_Estrutura</vt:lpstr>
      <vt:lpstr>S_Complementares</vt:lpstr>
      <vt:lpstr>Passeio</vt:lpstr>
      <vt:lpstr>Ciclovia</vt:lpstr>
      <vt:lpstr>Cubação - Canteiro</vt:lpstr>
      <vt:lpstr>Sinal_Via</vt:lpstr>
      <vt:lpstr>MEMÓRIA_PONTE</vt:lpstr>
      <vt:lpstr>Ponto_Onibus</vt:lpstr>
      <vt:lpstr>Calculo numero N</vt:lpstr>
      <vt:lpstr>Geotecnia</vt:lpstr>
      <vt:lpstr>Pav_Dim</vt:lpstr>
      <vt:lpstr>Dren_Dados</vt:lpstr>
      <vt:lpstr>Dren_Dim</vt:lpstr>
      <vt:lpstr>B_Amort_01 -</vt:lpstr>
      <vt:lpstr>B_Amort_01</vt:lpstr>
      <vt:lpstr>Bacia_Amortecimento!Area_de_impressao</vt:lpstr>
      <vt:lpstr>CCU_Adm_Local_Deson!Area_de_impressao</vt:lpstr>
      <vt:lpstr>CCU_Adm_Local_Não_Deson!Area_de_impressao</vt:lpstr>
      <vt:lpstr>Ciclovia!Area_de_impressao</vt:lpstr>
      <vt:lpstr>Cronograma_Deson!Area_de_impressao</vt:lpstr>
      <vt:lpstr>Cronograma_Não_Deson!Area_de_impressao</vt:lpstr>
      <vt:lpstr>'Cubação - Canteiro'!Area_de_impressao</vt:lpstr>
      <vt:lpstr>'Curva ABC'!Area_de_impressao</vt:lpstr>
      <vt:lpstr>Dados_DMT!Area_de_impressao</vt:lpstr>
      <vt:lpstr>Demolicao!Area_de_impressao</vt:lpstr>
      <vt:lpstr>Dre_Disp_Estruturais!Area_de_impressao</vt:lpstr>
      <vt:lpstr>Dre_Fecha_Vala!Area_de_impressao</vt:lpstr>
      <vt:lpstr>Dre_Profunda!Area_de_impressao</vt:lpstr>
      <vt:lpstr>Dre_Ser_Prelim!Area_de_impressao</vt:lpstr>
      <vt:lpstr>Dre_Terraplenagem!Area_de_impressao</vt:lpstr>
      <vt:lpstr>Dren_Dim!Area_de_impressao</vt:lpstr>
      <vt:lpstr>Dren_Quantificacao!Area_de_impressao</vt:lpstr>
      <vt:lpstr>Estatística_Deson!Area_de_impressao</vt:lpstr>
      <vt:lpstr>Geotecnia!Area_de_impressao</vt:lpstr>
      <vt:lpstr>MEMÓRIA_PONTE!Area_de_impressao</vt:lpstr>
      <vt:lpstr>Orçamento_Deson!Area_de_impressao</vt:lpstr>
      <vt:lpstr>Orçamento_Não_Deson!Area_de_impressao</vt:lpstr>
      <vt:lpstr>PAINEL!Area_de_impressao</vt:lpstr>
      <vt:lpstr>Pareto!Area_de_impressao</vt:lpstr>
      <vt:lpstr>Passeio!Area_de_impressao</vt:lpstr>
      <vt:lpstr>Pav_Dados!Area_de_impressao</vt:lpstr>
      <vt:lpstr>Pav_Dim!Area_de_impressao</vt:lpstr>
      <vt:lpstr>Pav_Estrutura!Area_de_impressao</vt:lpstr>
      <vt:lpstr>Pav_Terraplenagem!Area_de_impressao</vt:lpstr>
      <vt:lpstr>Planilha6!Area_de_impressao</vt:lpstr>
      <vt:lpstr>Ponto_Onibus!Area_de_impressao</vt:lpstr>
      <vt:lpstr>Recap_Final!Area_de_impressao</vt:lpstr>
      <vt:lpstr>Recap_Previo!Area_de_impressao</vt:lpstr>
      <vt:lpstr>S_Complementares!Area_de_impressao</vt:lpstr>
      <vt:lpstr>S_Preliminares!Area_de_impressao</vt:lpstr>
      <vt:lpstr>Sinal_Via!Area_de_impressao</vt:lpstr>
      <vt:lpstr>Cronograma_Não_Deson!Titulos_de_impressao</vt:lpstr>
      <vt:lpstr>'Curva ABC'!Titulos_de_impressao</vt:lpstr>
      <vt:lpstr>Dre_Disp_Estruturais!Titulos_de_impressao</vt:lpstr>
      <vt:lpstr>Dre_Fecha_Vala!Titulos_de_impressao</vt:lpstr>
      <vt:lpstr>Dre_Profunda!Titulos_de_impressao</vt:lpstr>
      <vt:lpstr>Dre_Ser_Prelim!Titulos_de_impressao</vt:lpstr>
      <vt:lpstr>Dre_Terraplenagem!Titulos_de_impressao</vt:lpstr>
      <vt:lpstr>Dren_Dados!Titulos_de_impressao</vt:lpstr>
      <vt:lpstr>Dren_Dim!Titulos_de_impressao</vt:lpstr>
      <vt:lpstr>Orçamento_Deson!Titulos_de_impressao</vt:lpstr>
      <vt:lpstr>Orçamento_Não_Deson!Titulos_de_impressao</vt:lpstr>
      <vt:lpstr>Passeio!Titulos_de_impressao</vt:lpstr>
      <vt:lpstr>Pav_Estrutura!Titulos_de_impressao</vt:lpstr>
      <vt:lpstr>Pav_Terraplenagem!Titulos_de_impressao</vt:lpstr>
      <vt:lpstr>Ponto_Onibus!Titulos_de_impressao</vt:lpstr>
      <vt:lpstr>Recap_Final!Titulos_de_impressao</vt:lpstr>
      <vt:lpstr>Recap_Previo!Titulos_de_impressao</vt:lpstr>
      <vt:lpstr>S_Complementares!Titulos_de_impressao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modelo</dc:title>
  <dc:subject>água e drenagem</dc:subject>
  <dc:creator>SHETTINI ENGENHARIA LTDA</dc:creator>
  <cp:keywords>planilha</cp:keywords>
  <cp:lastModifiedBy>Lizandra Schuaiga</cp:lastModifiedBy>
  <cp:lastPrinted>2024-08-27T22:22:00Z</cp:lastPrinted>
  <dcterms:created xsi:type="dcterms:W3CDTF">1998-01-22T18:19:34Z</dcterms:created>
  <dcterms:modified xsi:type="dcterms:W3CDTF">2026-02-11T20:01:56Z</dcterms:modified>
</cp:coreProperties>
</file>